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39"/>
  <workbookPr defaultThemeVersion="166925"/>
  <mc:AlternateContent xmlns:mc="http://schemas.openxmlformats.org/markup-compatibility/2006">
    <mc:Choice Requires="x15">
      <x15ac:absPath xmlns:x15ac="http://schemas.microsoft.com/office/spreadsheetml/2010/11/ac" url="S:\Internationaal\09. IOP\03. Countries &amp; Projects\01. Regional projects\2019-02-REG-DGD DP3\FIN\Final reporting\"/>
    </mc:Choice>
  </mc:AlternateContent>
  <xr:revisionPtr revIDLastSave="0" documentId="13_ncr:1_{9D05B1C9-0CB1-4640-931A-45DB98BEC8FC}" xr6:coauthVersionLast="36" xr6:coauthVersionMax="36" xr10:uidLastSave="{00000000-0000-0000-0000-000000000000}"/>
  <bookViews>
    <workbookView xWindow="0" yWindow="0" windowWidth="28800" windowHeight="12108" tabRatio="787" xr2:uid="{239BB6CC-ED9B-4D51-882F-429A4F6E2426}"/>
  </bookViews>
  <sheets>
    <sheet name="Summary" sheetId="1" r:id="rId1"/>
    <sheet name="Budget - actual RWA" sheetId="2" r:id="rId2"/>
    <sheet name="Invoice list RWA" sheetId="3" r:id="rId3"/>
    <sheet name="Exchange rate RWA" sheetId="4" r:id="rId4"/>
    <sheet name="Budget - actual TAN " sheetId="5" r:id="rId5"/>
    <sheet name="Invoice list TAN" sheetId="6" r:id="rId6"/>
    <sheet name="Exchange rate TAN" sheetId="7" r:id="rId7"/>
    <sheet name="Budget - actual UGA" sheetId="8" r:id="rId8"/>
    <sheet name="Invoice list UGA" sheetId="9" r:id="rId9"/>
    <sheet name="Exchange rate UGA" sheetId="10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44" i="8" l="1"/>
  <c r="V44" i="8"/>
  <c r="U44" i="8"/>
  <c r="T44" i="8"/>
  <c r="L1482" i="9"/>
  <c r="I1482" i="9"/>
  <c r="O21" i="1" l="1"/>
  <c r="O20" i="1"/>
  <c r="O19" i="1"/>
  <c r="O16" i="1"/>
  <c r="O11" i="1"/>
  <c r="N21" i="1"/>
  <c r="N20" i="1"/>
  <c r="N19" i="1"/>
  <c r="N16" i="1"/>
  <c r="N15" i="1"/>
  <c r="N11" i="1"/>
  <c r="N10" i="1"/>
  <c r="M21" i="1"/>
  <c r="M20" i="1"/>
  <c r="M19" i="1"/>
  <c r="M16" i="1"/>
  <c r="M15" i="1"/>
  <c r="M11" i="1"/>
  <c r="M10" i="1"/>
  <c r="G42" i="10"/>
  <c r="G41" i="10"/>
  <c r="G40" i="10"/>
  <c r="G39" i="10"/>
  <c r="C60" i="10" l="1"/>
  <c r="C58" i="10"/>
  <c r="F56" i="10"/>
  <c r="E56" i="10"/>
  <c r="C48" i="10"/>
  <c r="F46" i="10"/>
  <c r="F58" i="10" s="1"/>
  <c r="E46" i="10"/>
  <c r="G46" i="10" s="1"/>
  <c r="G45" i="10"/>
  <c r="G44" i="10"/>
  <c r="G43" i="10"/>
  <c r="G36" i="10"/>
  <c r="F36" i="10"/>
  <c r="E36" i="10"/>
  <c r="D36" i="10"/>
  <c r="C36" i="10"/>
  <c r="C29" i="10"/>
  <c r="C27" i="10"/>
  <c r="F25" i="10"/>
  <c r="F27" i="10" s="1"/>
  <c r="E25" i="10"/>
  <c r="C17" i="10"/>
  <c r="F15" i="10"/>
  <c r="E15" i="10"/>
  <c r="G14" i="10"/>
  <c r="G13" i="10"/>
  <c r="G12" i="10"/>
  <c r="G11" i="10"/>
  <c r="G10" i="10"/>
  <c r="G9" i="10"/>
  <c r="G8" i="10"/>
  <c r="G5" i="10"/>
  <c r="F5" i="10"/>
  <c r="E5" i="10"/>
  <c r="D5" i="10"/>
  <c r="C5" i="10"/>
  <c r="O2510" i="9"/>
  <c r="N2510" i="9"/>
  <c r="M2510" i="9"/>
  <c r="L2510" i="9"/>
  <c r="K2510" i="9"/>
  <c r="I2510" i="9"/>
  <c r="O2506" i="9"/>
  <c r="N2506" i="9"/>
  <c r="M2506" i="9"/>
  <c r="L2506" i="9"/>
  <c r="K2506" i="9"/>
  <c r="I2506" i="9"/>
  <c r="O2499" i="9"/>
  <c r="N2499" i="9"/>
  <c r="M2499" i="9"/>
  <c r="L2499" i="9"/>
  <c r="K2499" i="9"/>
  <c r="I2499" i="9"/>
  <c r="O2472" i="9"/>
  <c r="N2472" i="9"/>
  <c r="M2472" i="9"/>
  <c r="L2472" i="9"/>
  <c r="K2472" i="9"/>
  <c r="I2472" i="9"/>
  <c r="O2469" i="9"/>
  <c r="N2469" i="9"/>
  <c r="M2469" i="9"/>
  <c r="L2469" i="9"/>
  <c r="K2469" i="9"/>
  <c r="I2469" i="9"/>
  <c r="O2466" i="9"/>
  <c r="N2466" i="9"/>
  <c r="M2466" i="9"/>
  <c r="L2466" i="9"/>
  <c r="K2466" i="9"/>
  <c r="I2466" i="9"/>
  <c r="O2463" i="9"/>
  <c r="N2463" i="9"/>
  <c r="M2463" i="9"/>
  <c r="L2463" i="9"/>
  <c r="K2463" i="9"/>
  <c r="I2463" i="9"/>
  <c r="O2460" i="9"/>
  <c r="N2460" i="9"/>
  <c r="M2460" i="9"/>
  <c r="L2460" i="9"/>
  <c r="K2460" i="9"/>
  <c r="I2460" i="9"/>
  <c r="O2444" i="9"/>
  <c r="N2444" i="9"/>
  <c r="M2444" i="9"/>
  <c r="L2444" i="9"/>
  <c r="K2444" i="9"/>
  <c r="I2444" i="9"/>
  <c r="O2422" i="9"/>
  <c r="N2422" i="9"/>
  <c r="M2422" i="9"/>
  <c r="L2422" i="9"/>
  <c r="K2422" i="9"/>
  <c r="I2422" i="9"/>
  <c r="O2407" i="9"/>
  <c r="N2407" i="9"/>
  <c r="M2407" i="9"/>
  <c r="L2407" i="9"/>
  <c r="K2407" i="9"/>
  <c r="I2407" i="9"/>
  <c r="O2394" i="9"/>
  <c r="N2394" i="9"/>
  <c r="M2394" i="9"/>
  <c r="L2394" i="9"/>
  <c r="K2394" i="9"/>
  <c r="I2394" i="9"/>
  <c r="O2388" i="9"/>
  <c r="I2388" i="9"/>
  <c r="N2387" i="9"/>
  <c r="M2387" i="9"/>
  <c r="L2387" i="9"/>
  <c r="K2387" i="9"/>
  <c r="N2386" i="9"/>
  <c r="M2386" i="9"/>
  <c r="L2386" i="9"/>
  <c r="K2386" i="9"/>
  <c r="N2385" i="9"/>
  <c r="M2385" i="9"/>
  <c r="L2385" i="9"/>
  <c r="K2385" i="9"/>
  <c r="N2384" i="9"/>
  <c r="M2384" i="9"/>
  <c r="L2384" i="9"/>
  <c r="K2384" i="9"/>
  <c r="N2383" i="9"/>
  <c r="M2383" i="9"/>
  <c r="L2383" i="9"/>
  <c r="K2383" i="9"/>
  <c r="N2382" i="9"/>
  <c r="M2382" i="9"/>
  <c r="L2382" i="9"/>
  <c r="K2382" i="9"/>
  <c r="N2381" i="9"/>
  <c r="M2381" i="9"/>
  <c r="L2381" i="9"/>
  <c r="K2381" i="9"/>
  <c r="N2380" i="9"/>
  <c r="N2388" i="9" s="1"/>
  <c r="M2380" i="9"/>
  <c r="L2380" i="9"/>
  <c r="K2380" i="9"/>
  <c r="O2379" i="9"/>
  <c r="N2379" i="9"/>
  <c r="M2379" i="9"/>
  <c r="L2379" i="9"/>
  <c r="K2379" i="9"/>
  <c r="I2379" i="9"/>
  <c r="O2377" i="9"/>
  <c r="N2377" i="9"/>
  <c r="M2377" i="9"/>
  <c r="L2377" i="9"/>
  <c r="K2377" i="9"/>
  <c r="I2377" i="9"/>
  <c r="O2368" i="9"/>
  <c r="I2368" i="9"/>
  <c r="N2367" i="9"/>
  <c r="M2367" i="9"/>
  <c r="L2367" i="9"/>
  <c r="K2367" i="9"/>
  <c r="N2366" i="9"/>
  <c r="M2366" i="9"/>
  <c r="L2366" i="9"/>
  <c r="K2366" i="9"/>
  <c r="N2365" i="9"/>
  <c r="M2365" i="9"/>
  <c r="L2365" i="9"/>
  <c r="K2365" i="9"/>
  <c r="N2364" i="9"/>
  <c r="M2364" i="9"/>
  <c r="L2364" i="9"/>
  <c r="K2364" i="9"/>
  <c r="N2363" i="9"/>
  <c r="M2363" i="9"/>
  <c r="L2363" i="9"/>
  <c r="K2363" i="9"/>
  <c r="N2362" i="9"/>
  <c r="M2362" i="9"/>
  <c r="L2362" i="9"/>
  <c r="K2362" i="9"/>
  <c r="N2361" i="9"/>
  <c r="M2361" i="9"/>
  <c r="L2361" i="9"/>
  <c r="K2361" i="9"/>
  <c r="N2360" i="9"/>
  <c r="M2360" i="9"/>
  <c r="L2360" i="9"/>
  <c r="K2360" i="9"/>
  <c r="N2359" i="9"/>
  <c r="M2359" i="9"/>
  <c r="L2359" i="9"/>
  <c r="K2359" i="9"/>
  <c r="N2358" i="9"/>
  <c r="M2358" i="9"/>
  <c r="L2358" i="9"/>
  <c r="K2358" i="9"/>
  <c r="N2357" i="9"/>
  <c r="M2357" i="9"/>
  <c r="L2357" i="9"/>
  <c r="K2357" i="9"/>
  <c r="N2356" i="9"/>
  <c r="M2356" i="9"/>
  <c r="L2356" i="9"/>
  <c r="K2356" i="9"/>
  <c r="N2355" i="9"/>
  <c r="M2355" i="9"/>
  <c r="L2355" i="9"/>
  <c r="K2355" i="9"/>
  <c r="N2354" i="9"/>
  <c r="M2354" i="9"/>
  <c r="L2354" i="9"/>
  <c r="K2354" i="9"/>
  <c r="N2353" i="9"/>
  <c r="M2353" i="9"/>
  <c r="L2353" i="9"/>
  <c r="K2353" i="9"/>
  <c r="N2352" i="9"/>
  <c r="M2352" i="9"/>
  <c r="L2352" i="9"/>
  <c r="K2352" i="9"/>
  <c r="N2351" i="9"/>
  <c r="M2351" i="9"/>
  <c r="L2351" i="9"/>
  <c r="K2351" i="9"/>
  <c r="N2350" i="9"/>
  <c r="M2350" i="9"/>
  <c r="L2350" i="9"/>
  <c r="K2350" i="9"/>
  <c r="N2349" i="9"/>
  <c r="M2349" i="9"/>
  <c r="L2349" i="9"/>
  <c r="K2349" i="9"/>
  <c r="N2348" i="9"/>
  <c r="M2348" i="9"/>
  <c r="L2348" i="9"/>
  <c r="K2348" i="9"/>
  <c r="N2347" i="9"/>
  <c r="M2347" i="9"/>
  <c r="L2347" i="9"/>
  <c r="K2347" i="9"/>
  <c r="N2346" i="9"/>
  <c r="M2346" i="9"/>
  <c r="L2346" i="9"/>
  <c r="K2346" i="9"/>
  <c r="N2345" i="9"/>
  <c r="M2345" i="9"/>
  <c r="L2345" i="9"/>
  <c r="K2345" i="9"/>
  <c r="N2344" i="9"/>
  <c r="M2344" i="9"/>
  <c r="L2344" i="9"/>
  <c r="K2344" i="9"/>
  <c r="N2343" i="9"/>
  <c r="M2343" i="9"/>
  <c r="L2343" i="9"/>
  <c r="K2343" i="9"/>
  <c r="N2342" i="9"/>
  <c r="M2342" i="9"/>
  <c r="L2342" i="9"/>
  <c r="K2342" i="9"/>
  <c r="N2341" i="9"/>
  <c r="M2341" i="9"/>
  <c r="L2341" i="9"/>
  <c r="K2341" i="9"/>
  <c r="N2340" i="9"/>
  <c r="M2340" i="9"/>
  <c r="L2340" i="9"/>
  <c r="K2340" i="9"/>
  <c r="N2339" i="9"/>
  <c r="M2339" i="9"/>
  <c r="L2339" i="9"/>
  <c r="K2339" i="9"/>
  <c r="N2338" i="9"/>
  <c r="M2338" i="9"/>
  <c r="L2338" i="9"/>
  <c r="K2338" i="9"/>
  <c r="N2337" i="9"/>
  <c r="M2337" i="9"/>
  <c r="L2337" i="9"/>
  <c r="K2337" i="9"/>
  <c r="N2336" i="9"/>
  <c r="M2336" i="9"/>
  <c r="L2336" i="9"/>
  <c r="K2336" i="9"/>
  <c r="N2335" i="9"/>
  <c r="M2335" i="9"/>
  <c r="L2335" i="9"/>
  <c r="K2335" i="9"/>
  <c r="N2334" i="9"/>
  <c r="M2334" i="9"/>
  <c r="L2334" i="9"/>
  <c r="K2334" i="9"/>
  <c r="N2333" i="9"/>
  <c r="M2333" i="9"/>
  <c r="L2333" i="9"/>
  <c r="K2333" i="9"/>
  <c r="N2332" i="9"/>
  <c r="M2332" i="9"/>
  <c r="L2332" i="9"/>
  <c r="K2332" i="9"/>
  <c r="N2331" i="9"/>
  <c r="M2331" i="9"/>
  <c r="L2331" i="9"/>
  <c r="K2331" i="9"/>
  <c r="N2330" i="9"/>
  <c r="M2330" i="9"/>
  <c r="L2330" i="9"/>
  <c r="K2330" i="9"/>
  <c r="N2329" i="9"/>
  <c r="M2329" i="9"/>
  <c r="L2329" i="9"/>
  <c r="K2329" i="9"/>
  <c r="N2328" i="9"/>
  <c r="M2328" i="9"/>
  <c r="L2328" i="9"/>
  <c r="K2328" i="9"/>
  <c r="N2327" i="9"/>
  <c r="M2327" i="9"/>
  <c r="L2327" i="9"/>
  <c r="K2327" i="9"/>
  <c r="N2326" i="9"/>
  <c r="M2326" i="9"/>
  <c r="L2326" i="9"/>
  <c r="K2326" i="9"/>
  <c r="N2325" i="9"/>
  <c r="M2325" i="9"/>
  <c r="L2325" i="9"/>
  <c r="K2325" i="9"/>
  <c r="N2324" i="9"/>
  <c r="M2324" i="9"/>
  <c r="L2324" i="9"/>
  <c r="K2324" i="9"/>
  <c r="N2323" i="9"/>
  <c r="M2323" i="9"/>
  <c r="L2323" i="9"/>
  <c r="K2323" i="9"/>
  <c r="N2322" i="9"/>
  <c r="M2322" i="9"/>
  <c r="L2322" i="9"/>
  <c r="K2322" i="9"/>
  <c r="N2321" i="9"/>
  <c r="M2321" i="9"/>
  <c r="L2321" i="9"/>
  <c r="K2321" i="9"/>
  <c r="N2320" i="9"/>
  <c r="M2320" i="9"/>
  <c r="L2320" i="9"/>
  <c r="K2320" i="9"/>
  <c r="N2319" i="9"/>
  <c r="M2319" i="9"/>
  <c r="L2319" i="9"/>
  <c r="K2319" i="9"/>
  <c r="N2318" i="9"/>
  <c r="M2318" i="9"/>
  <c r="L2318" i="9"/>
  <c r="K2318" i="9"/>
  <c r="N2317" i="9"/>
  <c r="M2317" i="9"/>
  <c r="L2317" i="9"/>
  <c r="K2317" i="9"/>
  <c r="N2316" i="9"/>
  <c r="M2316" i="9"/>
  <c r="L2316" i="9"/>
  <c r="K2316" i="9"/>
  <c r="N2315" i="9"/>
  <c r="M2315" i="9"/>
  <c r="L2315" i="9"/>
  <c r="K2315" i="9"/>
  <c r="N2314" i="9"/>
  <c r="M2314" i="9"/>
  <c r="L2314" i="9"/>
  <c r="K2314" i="9"/>
  <c r="N2313" i="9"/>
  <c r="M2313" i="9"/>
  <c r="L2313" i="9"/>
  <c r="K2313" i="9"/>
  <c r="N2312" i="9"/>
  <c r="M2312" i="9"/>
  <c r="L2312" i="9"/>
  <c r="K2312" i="9"/>
  <c r="N2311" i="9"/>
  <c r="M2311" i="9"/>
  <c r="L2311" i="9"/>
  <c r="K2311" i="9"/>
  <c r="N2310" i="9"/>
  <c r="M2310" i="9"/>
  <c r="L2310" i="9"/>
  <c r="K2310" i="9"/>
  <c r="N2309" i="9"/>
  <c r="M2309" i="9"/>
  <c r="L2309" i="9"/>
  <c r="K2309" i="9"/>
  <c r="N2308" i="9"/>
  <c r="M2308" i="9"/>
  <c r="L2308" i="9"/>
  <c r="K2308" i="9"/>
  <c r="N2307" i="9"/>
  <c r="M2307" i="9"/>
  <c r="L2307" i="9"/>
  <c r="K2307" i="9"/>
  <c r="N2306" i="9"/>
  <c r="M2306" i="9"/>
  <c r="L2306" i="9"/>
  <c r="K2306" i="9"/>
  <c r="N2305" i="9"/>
  <c r="M2305" i="9"/>
  <c r="L2305" i="9"/>
  <c r="K2305" i="9"/>
  <c r="N2304" i="9"/>
  <c r="M2304" i="9"/>
  <c r="L2304" i="9"/>
  <c r="K2304" i="9"/>
  <c r="N2303" i="9"/>
  <c r="M2303" i="9"/>
  <c r="L2303" i="9"/>
  <c r="K2303" i="9"/>
  <c r="N2302" i="9"/>
  <c r="M2302" i="9"/>
  <c r="L2302" i="9"/>
  <c r="K2302" i="9"/>
  <c r="N2301" i="9"/>
  <c r="M2301" i="9"/>
  <c r="L2301" i="9"/>
  <c r="K2301" i="9"/>
  <c r="N2300" i="9"/>
  <c r="M2300" i="9"/>
  <c r="L2300" i="9"/>
  <c r="K2300" i="9"/>
  <c r="N2299" i="9"/>
  <c r="M2299" i="9"/>
  <c r="L2299" i="9"/>
  <c r="K2299" i="9"/>
  <c r="N2298" i="9"/>
  <c r="M2298" i="9"/>
  <c r="L2298" i="9"/>
  <c r="K2298" i="9"/>
  <c r="N2297" i="9"/>
  <c r="M2297" i="9"/>
  <c r="L2297" i="9"/>
  <c r="K2297" i="9"/>
  <c r="N2296" i="9"/>
  <c r="M2296" i="9"/>
  <c r="L2296" i="9"/>
  <c r="K2296" i="9"/>
  <c r="N2295" i="9"/>
  <c r="M2295" i="9"/>
  <c r="L2295" i="9"/>
  <c r="K2295" i="9"/>
  <c r="N2294" i="9"/>
  <c r="M2294" i="9"/>
  <c r="L2294" i="9"/>
  <c r="K2294" i="9"/>
  <c r="N2293" i="9"/>
  <c r="M2293" i="9"/>
  <c r="L2293" i="9"/>
  <c r="K2293" i="9"/>
  <c r="N2292" i="9"/>
  <c r="M2292" i="9"/>
  <c r="L2292" i="9"/>
  <c r="K2292" i="9"/>
  <c r="N2291" i="9"/>
  <c r="M2291" i="9"/>
  <c r="L2291" i="9"/>
  <c r="K2291" i="9"/>
  <c r="N2290" i="9"/>
  <c r="M2290" i="9"/>
  <c r="L2290" i="9"/>
  <c r="K2290" i="9"/>
  <c r="N2289" i="9"/>
  <c r="M2289" i="9"/>
  <c r="L2289" i="9"/>
  <c r="K2289" i="9"/>
  <c r="N2288" i="9"/>
  <c r="M2288" i="9"/>
  <c r="L2288" i="9"/>
  <c r="K2288" i="9"/>
  <c r="N2287" i="9"/>
  <c r="M2287" i="9"/>
  <c r="L2287" i="9"/>
  <c r="K2287" i="9"/>
  <c r="N2286" i="9"/>
  <c r="M2286" i="9"/>
  <c r="L2286" i="9"/>
  <c r="K2286" i="9"/>
  <c r="N2285" i="9"/>
  <c r="M2285" i="9"/>
  <c r="L2285" i="9"/>
  <c r="K2285" i="9"/>
  <c r="N2284" i="9"/>
  <c r="M2284" i="9"/>
  <c r="L2284" i="9"/>
  <c r="K2284" i="9"/>
  <c r="N2283" i="9"/>
  <c r="M2283" i="9"/>
  <c r="L2283" i="9"/>
  <c r="K2283" i="9"/>
  <c r="N2282" i="9"/>
  <c r="M2282" i="9"/>
  <c r="L2282" i="9"/>
  <c r="K2282" i="9"/>
  <c r="N2281" i="9"/>
  <c r="M2281" i="9"/>
  <c r="L2281" i="9"/>
  <c r="K2281" i="9"/>
  <c r="N2280" i="9"/>
  <c r="M2280" i="9"/>
  <c r="L2280" i="9"/>
  <c r="K2280" i="9"/>
  <c r="N2279" i="9"/>
  <c r="M2279" i="9"/>
  <c r="L2279" i="9"/>
  <c r="K2279" i="9"/>
  <c r="N2278" i="9"/>
  <c r="M2278" i="9"/>
  <c r="L2278" i="9"/>
  <c r="K2278" i="9"/>
  <c r="N2277" i="9"/>
  <c r="M2277" i="9"/>
  <c r="L2277" i="9"/>
  <c r="K2277" i="9"/>
  <c r="N2276" i="9"/>
  <c r="M2276" i="9"/>
  <c r="L2276" i="9"/>
  <c r="K2276" i="9"/>
  <c r="N2275" i="9"/>
  <c r="M2275" i="9"/>
  <c r="L2275" i="9"/>
  <c r="K2275" i="9"/>
  <c r="N2274" i="9"/>
  <c r="M2274" i="9"/>
  <c r="L2274" i="9"/>
  <c r="K2274" i="9"/>
  <c r="N2273" i="9"/>
  <c r="M2273" i="9"/>
  <c r="L2273" i="9"/>
  <c r="K2273" i="9"/>
  <c r="N2272" i="9"/>
  <c r="M2272" i="9"/>
  <c r="L2272" i="9"/>
  <c r="K2272" i="9"/>
  <c r="N2271" i="9"/>
  <c r="M2271" i="9"/>
  <c r="L2271" i="9"/>
  <c r="K2271" i="9"/>
  <c r="N2270" i="9"/>
  <c r="M2270" i="9"/>
  <c r="L2270" i="9"/>
  <c r="K2270" i="9"/>
  <c r="N2269" i="9"/>
  <c r="M2269" i="9"/>
  <c r="L2269" i="9"/>
  <c r="K2269" i="9"/>
  <c r="N2268" i="9"/>
  <c r="M2268" i="9"/>
  <c r="L2268" i="9"/>
  <c r="K2268" i="9"/>
  <c r="N2267" i="9"/>
  <c r="M2267" i="9"/>
  <c r="L2267" i="9"/>
  <c r="K2267" i="9"/>
  <c r="N2266" i="9"/>
  <c r="M2266" i="9"/>
  <c r="L2266" i="9"/>
  <c r="K2266" i="9"/>
  <c r="N2265" i="9"/>
  <c r="M2265" i="9"/>
  <c r="L2265" i="9"/>
  <c r="K2265" i="9"/>
  <c r="N2264" i="9"/>
  <c r="M2264" i="9"/>
  <c r="L2264" i="9"/>
  <c r="K2264" i="9"/>
  <c r="N2263" i="9"/>
  <c r="M2263" i="9"/>
  <c r="L2263" i="9"/>
  <c r="K2263" i="9"/>
  <c r="N2262" i="9"/>
  <c r="M2262" i="9"/>
  <c r="L2262" i="9"/>
  <c r="K2262" i="9"/>
  <c r="N2261" i="9"/>
  <c r="M2261" i="9"/>
  <c r="L2261" i="9"/>
  <c r="K2261" i="9"/>
  <c r="N2260" i="9"/>
  <c r="M2260" i="9"/>
  <c r="L2260" i="9"/>
  <c r="K2260" i="9"/>
  <c r="N2259" i="9"/>
  <c r="M2259" i="9"/>
  <c r="L2259" i="9"/>
  <c r="K2259" i="9"/>
  <c r="N2258" i="9"/>
  <c r="M2258" i="9"/>
  <c r="L2258" i="9"/>
  <c r="K2258" i="9"/>
  <c r="N2257" i="9"/>
  <c r="M2257" i="9"/>
  <c r="L2257" i="9"/>
  <c r="K2257" i="9"/>
  <c r="N2256" i="9"/>
  <c r="M2256" i="9"/>
  <c r="L2256" i="9"/>
  <c r="K2256" i="9"/>
  <c r="N2255" i="9"/>
  <c r="M2255" i="9"/>
  <c r="L2255" i="9"/>
  <c r="K2255" i="9"/>
  <c r="N2254" i="9"/>
  <c r="M2254" i="9"/>
  <c r="L2254" i="9"/>
  <c r="K2254" i="9"/>
  <c r="N2253" i="9"/>
  <c r="M2253" i="9"/>
  <c r="L2253" i="9"/>
  <c r="K2253" i="9"/>
  <c r="N2252" i="9"/>
  <c r="M2252" i="9"/>
  <c r="L2252" i="9"/>
  <c r="K2252" i="9"/>
  <c r="N2251" i="9"/>
  <c r="M2251" i="9"/>
  <c r="L2251" i="9"/>
  <c r="K2251" i="9"/>
  <c r="N2250" i="9"/>
  <c r="M2250" i="9"/>
  <c r="L2250" i="9"/>
  <c r="K2250" i="9"/>
  <c r="N2249" i="9"/>
  <c r="M2249" i="9"/>
  <c r="L2249" i="9"/>
  <c r="K2249" i="9"/>
  <c r="N2248" i="9"/>
  <c r="M2248" i="9"/>
  <c r="L2248" i="9"/>
  <c r="K2248" i="9"/>
  <c r="O2247" i="9"/>
  <c r="N2246" i="9"/>
  <c r="M2246" i="9"/>
  <c r="L2246" i="9"/>
  <c r="K2246" i="9"/>
  <c r="N2245" i="9"/>
  <c r="M2245" i="9"/>
  <c r="L2245" i="9"/>
  <c r="K2245" i="9"/>
  <c r="N2244" i="9"/>
  <c r="M2244" i="9"/>
  <c r="L2244" i="9"/>
  <c r="K2244" i="9"/>
  <c r="N2243" i="9"/>
  <c r="M2243" i="9"/>
  <c r="L2243" i="9"/>
  <c r="K2243" i="9"/>
  <c r="N2242" i="9"/>
  <c r="M2242" i="9"/>
  <c r="L2242" i="9"/>
  <c r="K2242" i="9"/>
  <c r="N2241" i="9"/>
  <c r="M2241" i="9"/>
  <c r="L2241" i="9"/>
  <c r="K2241" i="9"/>
  <c r="N2240" i="9"/>
  <c r="M2240" i="9"/>
  <c r="L2240" i="9"/>
  <c r="K2240" i="9"/>
  <c r="N2239" i="9"/>
  <c r="M2239" i="9"/>
  <c r="L2239" i="9"/>
  <c r="K2239" i="9"/>
  <c r="N2238" i="9"/>
  <c r="M2238" i="9"/>
  <c r="L2238" i="9"/>
  <c r="K2238" i="9"/>
  <c r="N2237" i="9"/>
  <c r="M2237" i="9"/>
  <c r="L2237" i="9"/>
  <c r="K2237" i="9"/>
  <c r="N2236" i="9"/>
  <c r="M2236" i="9"/>
  <c r="L2236" i="9"/>
  <c r="K2236" i="9"/>
  <c r="N2235" i="9"/>
  <c r="M2235" i="9"/>
  <c r="L2235" i="9"/>
  <c r="K2235" i="9"/>
  <c r="N2234" i="9"/>
  <c r="M2234" i="9"/>
  <c r="L2234" i="9"/>
  <c r="K2234" i="9"/>
  <c r="N2233" i="9"/>
  <c r="M2233" i="9"/>
  <c r="L2233" i="9"/>
  <c r="K2233" i="9"/>
  <c r="N2232" i="9"/>
  <c r="M2232" i="9"/>
  <c r="L2232" i="9"/>
  <c r="K2232" i="9"/>
  <c r="N2231" i="9"/>
  <c r="M2231" i="9"/>
  <c r="L2231" i="9"/>
  <c r="K2231" i="9"/>
  <c r="N2230" i="9"/>
  <c r="M2230" i="9"/>
  <c r="L2230" i="9"/>
  <c r="K2230" i="9"/>
  <c r="N2229" i="9"/>
  <c r="M2229" i="9"/>
  <c r="L2229" i="9"/>
  <c r="K2229" i="9"/>
  <c r="N2228" i="9"/>
  <c r="M2228" i="9"/>
  <c r="L2228" i="9"/>
  <c r="K2228" i="9"/>
  <c r="N2227" i="9"/>
  <c r="M2227" i="9"/>
  <c r="L2227" i="9"/>
  <c r="K2227" i="9"/>
  <c r="N2226" i="9"/>
  <c r="M2226" i="9"/>
  <c r="L2226" i="9"/>
  <c r="K2226" i="9"/>
  <c r="N2225" i="9"/>
  <c r="M2225" i="9"/>
  <c r="L2225" i="9"/>
  <c r="K2225" i="9"/>
  <c r="N2224" i="9"/>
  <c r="M2224" i="9"/>
  <c r="L2224" i="9"/>
  <c r="K2224" i="9"/>
  <c r="N2223" i="9"/>
  <c r="M2223" i="9"/>
  <c r="L2223" i="9"/>
  <c r="K2223" i="9"/>
  <c r="N2222" i="9"/>
  <c r="M2222" i="9"/>
  <c r="L2222" i="9"/>
  <c r="K2222" i="9"/>
  <c r="N2221" i="9"/>
  <c r="M2221" i="9"/>
  <c r="L2221" i="9"/>
  <c r="K2221" i="9"/>
  <c r="N2220" i="9"/>
  <c r="M2220" i="9"/>
  <c r="L2220" i="9"/>
  <c r="K2220" i="9"/>
  <c r="I2219" i="9"/>
  <c r="L2219" i="9" s="1"/>
  <c r="I2218" i="9"/>
  <c r="I2217" i="9"/>
  <c r="N2217" i="9" s="1"/>
  <c r="I2216" i="9"/>
  <c r="K2216" i="9" s="1"/>
  <c r="I2215" i="9"/>
  <c r="K2215" i="9" s="1"/>
  <c r="I2214" i="9"/>
  <c r="M2214" i="9" s="1"/>
  <c r="I2213" i="9"/>
  <c r="N2213" i="9" s="1"/>
  <c r="I2212" i="9"/>
  <c r="I2211" i="9"/>
  <c r="L2211" i="9" s="1"/>
  <c r="I2210" i="9"/>
  <c r="L2210" i="9" s="1"/>
  <c r="I2209" i="9"/>
  <c r="N2209" i="9" s="1"/>
  <c r="I2208" i="9"/>
  <c r="K2208" i="9" s="1"/>
  <c r="N2207" i="9"/>
  <c r="M2207" i="9"/>
  <c r="L2207" i="9"/>
  <c r="K2207" i="9"/>
  <c r="I2206" i="9"/>
  <c r="L2206" i="9" s="1"/>
  <c r="I2205" i="9"/>
  <c r="L2205" i="9" s="1"/>
  <c r="I2204" i="9"/>
  <c r="N2204" i="9" s="1"/>
  <c r="I2203" i="9"/>
  <c r="K2203" i="9" s="1"/>
  <c r="I2202" i="9"/>
  <c r="I2201" i="9"/>
  <c r="M2201" i="9" s="1"/>
  <c r="I2200" i="9"/>
  <c r="M2200" i="9" s="1"/>
  <c r="I2199" i="9"/>
  <c r="N2199" i="9" s="1"/>
  <c r="I2198" i="9"/>
  <c r="L2198" i="9" s="1"/>
  <c r="I2197" i="9"/>
  <c r="I2196" i="9"/>
  <c r="N2196" i="9" s="1"/>
  <c r="I2195" i="9"/>
  <c r="K2195" i="9" s="1"/>
  <c r="N2194" i="9"/>
  <c r="M2194" i="9"/>
  <c r="L2194" i="9"/>
  <c r="K2194" i="9"/>
  <c r="N2193" i="9"/>
  <c r="M2193" i="9"/>
  <c r="L2193" i="9"/>
  <c r="K2193" i="9"/>
  <c r="N2192" i="9"/>
  <c r="M2192" i="9"/>
  <c r="L2192" i="9"/>
  <c r="K2192" i="9"/>
  <c r="N2191" i="9"/>
  <c r="M2191" i="9"/>
  <c r="L2191" i="9"/>
  <c r="K2191" i="9"/>
  <c r="N2190" i="9"/>
  <c r="M2190" i="9"/>
  <c r="L2190" i="9"/>
  <c r="K2190" i="9"/>
  <c r="N2189" i="9"/>
  <c r="M2189" i="9"/>
  <c r="L2189" i="9"/>
  <c r="K2189" i="9"/>
  <c r="I2188" i="9"/>
  <c r="K2188" i="9" s="1"/>
  <c r="I2187" i="9"/>
  <c r="M2187" i="9" s="1"/>
  <c r="I2186" i="9"/>
  <c r="N2186" i="9" s="1"/>
  <c r="I2185" i="9"/>
  <c r="N2185" i="9" s="1"/>
  <c r="I2184" i="9"/>
  <c r="L2184" i="9" s="1"/>
  <c r="I2183" i="9"/>
  <c r="L2183" i="9" s="1"/>
  <c r="I2182" i="9"/>
  <c r="N2182" i="9" s="1"/>
  <c r="I2181" i="9"/>
  <c r="K2181" i="9" s="1"/>
  <c r="I2180" i="9"/>
  <c r="K2180" i="9" s="1"/>
  <c r="I2179" i="9"/>
  <c r="M2179" i="9" s="1"/>
  <c r="I2178" i="9"/>
  <c r="N2178" i="9" s="1"/>
  <c r="I2177" i="9"/>
  <c r="N2177" i="9" s="1"/>
  <c r="I2176" i="9"/>
  <c r="L2176" i="9" s="1"/>
  <c r="I2175" i="9"/>
  <c r="L2175" i="9" s="1"/>
  <c r="I2174" i="9"/>
  <c r="N2174" i="9" s="1"/>
  <c r="I2173" i="9"/>
  <c r="K2173" i="9" s="1"/>
  <c r="I2172" i="9"/>
  <c r="K2172" i="9" s="1"/>
  <c r="I2171" i="9"/>
  <c r="M2171" i="9" s="1"/>
  <c r="I2170" i="9"/>
  <c r="N2170" i="9" s="1"/>
  <c r="I2169" i="9"/>
  <c r="N2169" i="9" s="1"/>
  <c r="I2168" i="9"/>
  <c r="L2168" i="9" s="1"/>
  <c r="I2167" i="9"/>
  <c r="K2167" i="9" s="1"/>
  <c r="I2166" i="9"/>
  <c r="N2166" i="9" s="1"/>
  <c r="I2165" i="9"/>
  <c r="K2165" i="9" s="1"/>
  <c r="I2164" i="9"/>
  <c r="K2164" i="9" s="1"/>
  <c r="I2163" i="9"/>
  <c r="M2163" i="9" s="1"/>
  <c r="I2162" i="9"/>
  <c r="N2162" i="9" s="1"/>
  <c r="I2161" i="9"/>
  <c r="N2161" i="9" s="1"/>
  <c r="I2160" i="9"/>
  <c r="L2160" i="9" s="1"/>
  <c r="I2159" i="9"/>
  <c r="I2158" i="9"/>
  <c r="N2158" i="9" s="1"/>
  <c r="I2157" i="9"/>
  <c r="K2157" i="9" s="1"/>
  <c r="I2156" i="9"/>
  <c r="K2156" i="9" s="1"/>
  <c r="I2155" i="9"/>
  <c r="M2155" i="9" s="1"/>
  <c r="I2154" i="9"/>
  <c r="N2154" i="9" s="1"/>
  <c r="I2153" i="9"/>
  <c r="I2152" i="9"/>
  <c r="L2152" i="9" s="1"/>
  <c r="I2151" i="9"/>
  <c r="L2151" i="9" s="1"/>
  <c r="I2150" i="9"/>
  <c r="N2150" i="9" s="1"/>
  <c r="I2149" i="9"/>
  <c r="K2149" i="9" s="1"/>
  <c r="I2148" i="9"/>
  <c r="I2147" i="9"/>
  <c r="M2147" i="9" s="1"/>
  <c r="I2146" i="9"/>
  <c r="M2146" i="9" s="1"/>
  <c r="I2145" i="9"/>
  <c r="I2144" i="9"/>
  <c r="L2144" i="9" s="1"/>
  <c r="N2143" i="9"/>
  <c r="M2143" i="9"/>
  <c r="L2143" i="9"/>
  <c r="K2143" i="9"/>
  <c r="I2142" i="9"/>
  <c r="M2142" i="9" s="1"/>
  <c r="I2141" i="9"/>
  <c r="N2141" i="9" s="1"/>
  <c r="I2140" i="9"/>
  <c r="I2139" i="9"/>
  <c r="L2139" i="9" s="1"/>
  <c r="I2138" i="9"/>
  <c r="L2138" i="9" s="1"/>
  <c r="I2137" i="9"/>
  <c r="N2137" i="9" s="1"/>
  <c r="I2136" i="9"/>
  <c r="K2136" i="9" s="1"/>
  <c r="I2135" i="9"/>
  <c r="K2135" i="9" s="1"/>
  <c r="I2134" i="9"/>
  <c r="M2134" i="9" s="1"/>
  <c r="I2133" i="9"/>
  <c r="N2133" i="9" s="1"/>
  <c r="I2132" i="9"/>
  <c r="N2132" i="9" s="1"/>
  <c r="I2131" i="9"/>
  <c r="L2131" i="9" s="1"/>
  <c r="I2130" i="9"/>
  <c r="L2130" i="9" s="1"/>
  <c r="I2129" i="9"/>
  <c r="N2129" i="9" s="1"/>
  <c r="I2128" i="9"/>
  <c r="K2128" i="9" s="1"/>
  <c r="I2127" i="9"/>
  <c r="N2127" i="9" s="1"/>
  <c r="I2126" i="9"/>
  <c r="M2126" i="9" s="1"/>
  <c r="I2125" i="9"/>
  <c r="N2125" i="9" s="1"/>
  <c r="I2124" i="9"/>
  <c r="I2123" i="9"/>
  <c r="L2123" i="9" s="1"/>
  <c r="I2122" i="9"/>
  <c r="L2122" i="9" s="1"/>
  <c r="I2121" i="9"/>
  <c r="N2121" i="9" s="1"/>
  <c r="I2120" i="9"/>
  <c r="K2120" i="9" s="1"/>
  <c r="I2119" i="9"/>
  <c r="K2119" i="9" s="1"/>
  <c r="I2118" i="9"/>
  <c r="M2118" i="9" s="1"/>
  <c r="I2117" i="9"/>
  <c r="L2117" i="9" s="1"/>
  <c r="I2116" i="9"/>
  <c r="N2116" i="9" s="1"/>
  <c r="I2115" i="9"/>
  <c r="L2115" i="9" s="1"/>
  <c r="I2114" i="9"/>
  <c r="L2114" i="9" s="1"/>
  <c r="I2113" i="9"/>
  <c r="N2113" i="9" s="1"/>
  <c r="I2112" i="9"/>
  <c r="K2112" i="9" s="1"/>
  <c r="I2111" i="9"/>
  <c r="N2111" i="9" s="1"/>
  <c r="I2110" i="9"/>
  <c r="M2110" i="9" s="1"/>
  <c r="I2109" i="9"/>
  <c r="N2109" i="9" s="1"/>
  <c r="I2108" i="9"/>
  <c r="N2108" i="9" s="1"/>
  <c r="I2107" i="9"/>
  <c r="L2107" i="9" s="1"/>
  <c r="I2106" i="9"/>
  <c r="K2106" i="9" s="1"/>
  <c r="I2105" i="9"/>
  <c r="N2105" i="9" s="1"/>
  <c r="I2104" i="9"/>
  <c r="K2104" i="9" s="1"/>
  <c r="I2103" i="9"/>
  <c r="N2103" i="9" s="1"/>
  <c r="I2102" i="9"/>
  <c r="N2102" i="9" s="1"/>
  <c r="I2101" i="9"/>
  <c r="N2101" i="9" s="1"/>
  <c r="I2100" i="9"/>
  <c r="N2100" i="9" s="1"/>
  <c r="I2099" i="9"/>
  <c r="L2099" i="9" s="1"/>
  <c r="I2098" i="9"/>
  <c r="L2098" i="9" s="1"/>
  <c r="I2097" i="9"/>
  <c r="N2097" i="9" s="1"/>
  <c r="I2096" i="9"/>
  <c r="K2096" i="9" s="1"/>
  <c r="I2095" i="9"/>
  <c r="K2095" i="9" s="1"/>
  <c r="I2094" i="9"/>
  <c r="M2094" i="9" s="1"/>
  <c r="I2093" i="9"/>
  <c r="N2093" i="9" s="1"/>
  <c r="I2092" i="9"/>
  <c r="N2092" i="9" s="1"/>
  <c r="I2091" i="9"/>
  <c r="L2091" i="9" s="1"/>
  <c r="I2090" i="9"/>
  <c r="L2090" i="9" s="1"/>
  <c r="I2089" i="9"/>
  <c r="N2089" i="9" s="1"/>
  <c r="I2088" i="9"/>
  <c r="K2088" i="9" s="1"/>
  <c r="I2087" i="9"/>
  <c r="N2087" i="9" s="1"/>
  <c r="I2086" i="9"/>
  <c r="M2086" i="9" s="1"/>
  <c r="I2085" i="9"/>
  <c r="M2085" i="9" s="1"/>
  <c r="I2084" i="9"/>
  <c r="N2084" i="9" s="1"/>
  <c r="I2083" i="9"/>
  <c r="L2083" i="9" s="1"/>
  <c r="I2082" i="9"/>
  <c r="K2082" i="9" s="1"/>
  <c r="I2081" i="9"/>
  <c r="N2081" i="9" s="1"/>
  <c r="I2080" i="9"/>
  <c r="K2080" i="9" s="1"/>
  <c r="I2079" i="9"/>
  <c r="N2079" i="9" s="1"/>
  <c r="I2078" i="9"/>
  <c r="M2078" i="9" s="1"/>
  <c r="I2077" i="9"/>
  <c r="N2077" i="9" s="1"/>
  <c r="I2076" i="9"/>
  <c r="N2076" i="9" s="1"/>
  <c r="I2075" i="9"/>
  <c r="L2075" i="9" s="1"/>
  <c r="I2074" i="9"/>
  <c r="L2074" i="9" s="1"/>
  <c r="I2073" i="9"/>
  <c r="N2073" i="9" s="1"/>
  <c r="I2072" i="9"/>
  <c r="K2072" i="9" s="1"/>
  <c r="I2071" i="9"/>
  <c r="K2071" i="9" s="1"/>
  <c r="I2070" i="9"/>
  <c r="M2070" i="9" s="1"/>
  <c r="I2069" i="9"/>
  <c r="L2069" i="9" s="1"/>
  <c r="N2068" i="9"/>
  <c r="M2068" i="9"/>
  <c r="L2068" i="9"/>
  <c r="K2068" i="9"/>
  <c r="N2067" i="9"/>
  <c r="M2067" i="9"/>
  <c r="L2067" i="9"/>
  <c r="K2067" i="9"/>
  <c r="N2066" i="9"/>
  <c r="M2066" i="9"/>
  <c r="L2066" i="9"/>
  <c r="K2066" i="9"/>
  <c r="N2065" i="9"/>
  <c r="M2065" i="9"/>
  <c r="L2065" i="9"/>
  <c r="K2065" i="9"/>
  <c r="N2064" i="9"/>
  <c r="M2064" i="9"/>
  <c r="L2064" i="9"/>
  <c r="K2064" i="9"/>
  <c r="N2063" i="9"/>
  <c r="M2063" i="9"/>
  <c r="L2063" i="9"/>
  <c r="K2063" i="9"/>
  <c r="N2062" i="9"/>
  <c r="M2062" i="9"/>
  <c r="L2062" i="9"/>
  <c r="K2062" i="9"/>
  <c r="N2061" i="9"/>
  <c r="M2061" i="9"/>
  <c r="L2061" i="9"/>
  <c r="K2061" i="9"/>
  <c r="N2060" i="9"/>
  <c r="M2060" i="9"/>
  <c r="L2060" i="9"/>
  <c r="K2060" i="9"/>
  <c r="N2059" i="9"/>
  <c r="M2059" i="9"/>
  <c r="L2059" i="9"/>
  <c r="K2059" i="9"/>
  <c r="N2058" i="9"/>
  <c r="M2058" i="9"/>
  <c r="L2058" i="9"/>
  <c r="K2058" i="9"/>
  <c r="N2057" i="9"/>
  <c r="M2057" i="9"/>
  <c r="L2057" i="9"/>
  <c r="K2057" i="9"/>
  <c r="N2056" i="9"/>
  <c r="M2056" i="9"/>
  <c r="L2056" i="9"/>
  <c r="K2056" i="9"/>
  <c r="N2055" i="9"/>
  <c r="M2055" i="9"/>
  <c r="L2055" i="9"/>
  <c r="K2055" i="9"/>
  <c r="N2054" i="9"/>
  <c r="M2054" i="9"/>
  <c r="L2054" i="9"/>
  <c r="K2054" i="9"/>
  <c r="N2053" i="9"/>
  <c r="M2053" i="9"/>
  <c r="L2053" i="9"/>
  <c r="K2053" i="9"/>
  <c r="N2052" i="9"/>
  <c r="M2052" i="9"/>
  <c r="L2052" i="9"/>
  <c r="K2052" i="9"/>
  <c r="N2051" i="9"/>
  <c r="M2051" i="9"/>
  <c r="L2051" i="9"/>
  <c r="K2051" i="9"/>
  <c r="N2050" i="9"/>
  <c r="M2050" i="9"/>
  <c r="L2050" i="9"/>
  <c r="K2050" i="9"/>
  <c r="N2049" i="9"/>
  <c r="M2049" i="9"/>
  <c r="L2049" i="9"/>
  <c r="K2049" i="9"/>
  <c r="N2048" i="9"/>
  <c r="M2048" i="9"/>
  <c r="L2048" i="9"/>
  <c r="K2048" i="9"/>
  <c r="N2047" i="9"/>
  <c r="M2047" i="9"/>
  <c r="L2047" i="9"/>
  <c r="K2047" i="9"/>
  <c r="N2046" i="9"/>
  <c r="M2046" i="9"/>
  <c r="L2046" i="9"/>
  <c r="K2046" i="9"/>
  <c r="N2045" i="9"/>
  <c r="M2045" i="9"/>
  <c r="L2045" i="9"/>
  <c r="K2045" i="9"/>
  <c r="N2044" i="9"/>
  <c r="M2044" i="9"/>
  <c r="L2044" i="9"/>
  <c r="K2044" i="9"/>
  <c r="N2043" i="9"/>
  <c r="M2043" i="9"/>
  <c r="L2043" i="9"/>
  <c r="K2043" i="9"/>
  <c r="N2042" i="9"/>
  <c r="M2042" i="9"/>
  <c r="L2042" i="9"/>
  <c r="K2042" i="9"/>
  <c r="N2041" i="9"/>
  <c r="M2041" i="9"/>
  <c r="L2041" i="9"/>
  <c r="K2041" i="9"/>
  <c r="N2040" i="9"/>
  <c r="M2040" i="9"/>
  <c r="L2040" i="9"/>
  <c r="K2040" i="9"/>
  <c r="N2039" i="9"/>
  <c r="M2039" i="9"/>
  <c r="L2039" i="9"/>
  <c r="K2039" i="9"/>
  <c r="N2038" i="9"/>
  <c r="M2038" i="9"/>
  <c r="L2038" i="9"/>
  <c r="K2038" i="9"/>
  <c r="N2037" i="9"/>
  <c r="M2037" i="9"/>
  <c r="L2037" i="9"/>
  <c r="K2037" i="9"/>
  <c r="N2036" i="9"/>
  <c r="M2036" i="9"/>
  <c r="L2036" i="9"/>
  <c r="K2036" i="9"/>
  <c r="N2035" i="9"/>
  <c r="M2035" i="9"/>
  <c r="L2035" i="9"/>
  <c r="K2035" i="9"/>
  <c r="N2034" i="9"/>
  <c r="M2034" i="9"/>
  <c r="L2034" i="9"/>
  <c r="K2034" i="9"/>
  <c r="N2033" i="9"/>
  <c r="M2033" i="9"/>
  <c r="L2033" i="9"/>
  <c r="K2033" i="9"/>
  <c r="N2032" i="9"/>
  <c r="M2032" i="9"/>
  <c r="L2032" i="9"/>
  <c r="K2032" i="9"/>
  <c r="N2031" i="9"/>
  <c r="M2031" i="9"/>
  <c r="L2031" i="9"/>
  <c r="K2031" i="9"/>
  <c r="N2030" i="9"/>
  <c r="M2030" i="9"/>
  <c r="L2030" i="9"/>
  <c r="K2030" i="9"/>
  <c r="N2029" i="9"/>
  <c r="M2029" i="9"/>
  <c r="L2029" i="9"/>
  <c r="K2029" i="9"/>
  <c r="N2028" i="9"/>
  <c r="M2028" i="9"/>
  <c r="L2028" i="9"/>
  <c r="K2028" i="9"/>
  <c r="N2027" i="9"/>
  <c r="M2027" i="9"/>
  <c r="L2027" i="9"/>
  <c r="K2027" i="9"/>
  <c r="N2026" i="9"/>
  <c r="M2026" i="9"/>
  <c r="L2026" i="9"/>
  <c r="K2026" i="9"/>
  <c r="N2025" i="9"/>
  <c r="M2025" i="9"/>
  <c r="L2025" i="9"/>
  <c r="K2025" i="9"/>
  <c r="N2024" i="9"/>
  <c r="M2024" i="9"/>
  <c r="L2024" i="9"/>
  <c r="K2024" i="9"/>
  <c r="N2023" i="9"/>
  <c r="M2023" i="9"/>
  <c r="L2023" i="9"/>
  <c r="K2023" i="9"/>
  <c r="N2022" i="9"/>
  <c r="M2022" i="9"/>
  <c r="L2022" i="9"/>
  <c r="K2022" i="9"/>
  <c r="N2021" i="9"/>
  <c r="M2021" i="9"/>
  <c r="L2021" i="9"/>
  <c r="K2021" i="9"/>
  <c r="N2020" i="9"/>
  <c r="M2020" i="9"/>
  <c r="L2020" i="9"/>
  <c r="K2020" i="9"/>
  <c r="N2019" i="9"/>
  <c r="M2019" i="9"/>
  <c r="L2019" i="9"/>
  <c r="K2019" i="9"/>
  <c r="N2018" i="9"/>
  <c r="M2018" i="9"/>
  <c r="L2018" i="9"/>
  <c r="K2018" i="9"/>
  <c r="N2017" i="9"/>
  <c r="M2017" i="9"/>
  <c r="L2017" i="9"/>
  <c r="K2017" i="9"/>
  <c r="N2016" i="9"/>
  <c r="M2016" i="9"/>
  <c r="L2016" i="9"/>
  <c r="K2016" i="9"/>
  <c r="N2015" i="9"/>
  <c r="M2015" i="9"/>
  <c r="L2015" i="9"/>
  <c r="K2015" i="9"/>
  <c r="N2014" i="9"/>
  <c r="M2014" i="9"/>
  <c r="L2014" i="9"/>
  <c r="K2014" i="9"/>
  <c r="N2013" i="9"/>
  <c r="M2013" i="9"/>
  <c r="L2013" i="9"/>
  <c r="K2013" i="9"/>
  <c r="N2012" i="9"/>
  <c r="M2012" i="9"/>
  <c r="L2012" i="9"/>
  <c r="K2012" i="9"/>
  <c r="N2011" i="9"/>
  <c r="M2011" i="9"/>
  <c r="L2011" i="9"/>
  <c r="K2011" i="9"/>
  <c r="N2010" i="9"/>
  <c r="M2010" i="9"/>
  <c r="L2010" i="9"/>
  <c r="K2010" i="9"/>
  <c r="N2009" i="9"/>
  <c r="M2009" i="9"/>
  <c r="L2009" i="9"/>
  <c r="K2009" i="9"/>
  <c r="N2008" i="9"/>
  <c r="M2008" i="9"/>
  <c r="L2008" i="9"/>
  <c r="K2008" i="9"/>
  <c r="N2007" i="9"/>
  <c r="M2007" i="9"/>
  <c r="L2007" i="9"/>
  <c r="K2007" i="9"/>
  <c r="I2006" i="9"/>
  <c r="N2006" i="9" s="1"/>
  <c r="I2005" i="9"/>
  <c r="L2005" i="9" s="1"/>
  <c r="I2004" i="9"/>
  <c r="L2004" i="9" s="1"/>
  <c r="I2003" i="9"/>
  <c r="K2003" i="9" s="1"/>
  <c r="I2002" i="9"/>
  <c r="K2002" i="9" s="1"/>
  <c r="I2001" i="9"/>
  <c r="N2001" i="9" s="1"/>
  <c r="N2000" i="9"/>
  <c r="M2000" i="9"/>
  <c r="L2000" i="9"/>
  <c r="K2000" i="9"/>
  <c r="N1999" i="9"/>
  <c r="M1999" i="9"/>
  <c r="L1999" i="9"/>
  <c r="K1999" i="9"/>
  <c r="N1998" i="9"/>
  <c r="M1998" i="9"/>
  <c r="L1998" i="9"/>
  <c r="K1998" i="9"/>
  <c r="N1997" i="9"/>
  <c r="M1997" i="9"/>
  <c r="L1997" i="9"/>
  <c r="K1997" i="9"/>
  <c r="N1996" i="9"/>
  <c r="M1996" i="9"/>
  <c r="L1996" i="9"/>
  <c r="K1996" i="9"/>
  <c r="N1995" i="9"/>
  <c r="M1995" i="9"/>
  <c r="L1995" i="9"/>
  <c r="K1995" i="9"/>
  <c r="N1994" i="9"/>
  <c r="M1994" i="9"/>
  <c r="L1994" i="9"/>
  <c r="K1994" i="9"/>
  <c r="N1993" i="9"/>
  <c r="M1993" i="9"/>
  <c r="L1993" i="9"/>
  <c r="K1993" i="9"/>
  <c r="N1992" i="9"/>
  <c r="M1992" i="9"/>
  <c r="L1992" i="9"/>
  <c r="K1992" i="9"/>
  <c r="N1991" i="9"/>
  <c r="M1991" i="9"/>
  <c r="L1991" i="9"/>
  <c r="K1991" i="9"/>
  <c r="N1990" i="9"/>
  <c r="M1990" i="9"/>
  <c r="L1990" i="9"/>
  <c r="K1990" i="9"/>
  <c r="N1989" i="9"/>
  <c r="M1989" i="9"/>
  <c r="L1989" i="9"/>
  <c r="K1989" i="9"/>
  <c r="N1988" i="9"/>
  <c r="M1988" i="9"/>
  <c r="L1988" i="9"/>
  <c r="K1988" i="9"/>
  <c r="N1987" i="9"/>
  <c r="M1987" i="9"/>
  <c r="L1987" i="9"/>
  <c r="K1987" i="9"/>
  <c r="N1986" i="9"/>
  <c r="M1986" i="9"/>
  <c r="L1986" i="9"/>
  <c r="K1986" i="9"/>
  <c r="N1985" i="9"/>
  <c r="M1985" i="9"/>
  <c r="L1985" i="9"/>
  <c r="K1985" i="9"/>
  <c r="N1984" i="9"/>
  <c r="M1984" i="9"/>
  <c r="L1984" i="9"/>
  <c r="K1984" i="9"/>
  <c r="N1983" i="9"/>
  <c r="M1983" i="9"/>
  <c r="L1983" i="9"/>
  <c r="K1983" i="9"/>
  <c r="N1982" i="9"/>
  <c r="M1982" i="9"/>
  <c r="L1982" i="9"/>
  <c r="K1982" i="9"/>
  <c r="N1981" i="9"/>
  <c r="M1981" i="9"/>
  <c r="L1981" i="9"/>
  <c r="K1981" i="9"/>
  <c r="N1980" i="9"/>
  <c r="M1980" i="9"/>
  <c r="L1980" i="9"/>
  <c r="K1980" i="9"/>
  <c r="N1979" i="9"/>
  <c r="M1979" i="9"/>
  <c r="L1979" i="9"/>
  <c r="K1979" i="9"/>
  <c r="N1978" i="9"/>
  <c r="M1978" i="9"/>
  <c r="L1978" i="9"/>
  <c r="K1978" i="9"/>
  <c r="N1977" i="9"/>
  <c r="M1977" i="9"/>
  <c r="L1977" i="9"/>
  <c r="K1977" i="9"/>
  <c r="I1976" i="9"/>
  <c r="N1976" i="9" s="1"/>
  <c r="N1975" i="9"/>
  <c r="M1975" i="9"/>
  <c r="L1975" i="9"/>
  <c r="K1975" i="9"/>
  <c r="N1974" i="9"/>
  <c r="M1974" i="9"/>
  <c r="L1974" i="9"/>
  <c r="K1974" i="9"/>
  <c r="N1973" i="9"/>
  <c r="M1973" i="9"/>
  <c r="L1973" i="9"/>
  <c r="K1973" i="9"/>
  <c r="N1972" i="9"/>
  <c r="M1972" i="9"/>
  <c r="L1972" i="9"/>
  <c r="K1972" i="9"/>
  <c r="N1971" i="9"/>
  <c r="M1971" i="9"/>
  <c r="L1971" i="9"/>
  <c r="K1971" i="9"/>
  <c r="I1970" i="9"/>
  <c r="K1970" i="9" s="1"/>
  <c r="I1969" i="9"/>
  <c r="K1969" i="9" s="1"/>
  <c r="I1968" i="9"/>
  <c r="N1968" i="9" s="1"/>
  <c r="I1967" i="9"/>
  <c r="L1967" i="9" s="1"/>
  <c r="I1966" i="9"/>
  <c r="N1966" i="9" s="1"/>
  <c r="I1965" i="9"/>
  <c r="M1965" i="9" s="1"/>
  <c r="I1964" i="9"/>
  <c r="L1964" i="9" s="1"/>
  <c r="I1963" i="9"/>
  <c r="L1963" i="9" s="1"/>
  <c r="I1962" i="9"/>
  <c r="K1962" i="9" s="1"/>
  <c r="I1961" i="9"/>
  <c r="K1961" i="9" s="1"/>
  <c r="I1960" i="9"/>
  <c r="K1960" i="9" s="1"/>
  <c r="I1959" i="9"/>
  <c r="M1959" i="9" s="1"/>
  <c r="I1958" i="9"/>
  <c r="N1958" i="9" s="1"/>
  <c r="I1957" i="9"/>
  <c r="N1957" i="9" s="1"/>
  <c r="I1956" i="9"/>
  <c r="L1956" i="9" s="1"/>
  <c r="N1955" i="9"/>
  <c r="M1955" i="9"/>
  <c r="L1955" i="9"/>
  <c r="K1955" i="9"/>
  <c r="N1954" i="9"/>
  <c r="M1954" i="9"/>
  <c r="L1954" i="9"/>
  <c r="K1954" i="9"/>
  <c r="N1953" i="9"/>
  <c r="M1953" i="9"/>
  <c r="L1953" i="9"/>
  <c r="K1953" i="9"/>
  <c r="N1952" i="9"/>
  <c r="M1952" i="9"/>
  <c r="L1952" i="9"/>
  <c r="K1952" i="9"/>
  <c r="N1951" i="9"/>
  <c r="M1951" i="9"/>
  <c r="L1951" i="9"/>
  <c r="K1951" i="9"/>
  <c r="N1950" i="9"/>
  <c r="M1950" i="9"/>
  <c r="L1950" i="9"/>
  <c r="K1950" i="9"/>
  <c r="N1949" i="9"/>
  <c r="M1949" i="9"/>
  <c r="L1949" i="9"/>
  <c r="K1949" i="9"/>
  <c r="N1948" i="9"/>
  <c r="M1948" i="9"/>
  <c r="L1948" i="9"/>
  <c r="K1948" i="9"/>
  <c r="N1947" i="9"/>
  <c r="M1947" i="9"/>
  <c r="L1947" i="9"/>
  <c r="K1947" i="9"/>
  <c r="N1946" i="9"/>
  <c r="M1946" i="9"/>
  <c r="L1946" i="9"/>
  <c r="K1946" i="9"/>
  <c r="N1945" i="9"/>
  <c r="M1945" i="9"/>
  <c r="L1945" i="9"/>
  <c r="K1945" i="9"/>
  <c r="N1944" i="9"/>
  <c r="M1944" i="9"/>
  <c r="L1944" i="9"/>
  <c r="K1944" i="9"/>
  <c r="N1943" i="9"/>
  <c r="M1943" i="9"/>
  <c r="L1943" i="9"/>
  <c r="K1943" i="9"/>
  <c r="N1942" i="9"/>
  <c r="M1942" i="9"/>
  <c r="L1942" i="9"/>
  <c r="K1942" i="9"/>
  <c r="N1941" i="9"/>
  <c r="M1941" i="9"/>
  <c r="L1941" i="9"/>
  <c r="K1941" i="9"/>
  <c r="N1940" i="9"/>
  <c r="M1940" i="9"/>
  <c r="L1940" i="9"/>
  <c r="K1940" i="9"/>
  <c r="N1939" i="9"/>
  <c r="M1939" i="9"/>
  <c r="L1939" i="9"/>
  <c r="K1939" i="9"/>
  <c r="N1938" i="9"/>
  <c r="M1938" i="9"/>
  <c r="L1938" i="9"/>
  <c r="K1938" i="9"/>
  <c r="N1937" i="9"/>
  <c r="M1937" i="9"/>
  <c r="L1937" i="9"/>
  <c r="K1937" i="9"/>
  <c r="N1936" i="9"/>
  <c r="M1936" i="9"/>
  <c r="L1936" i="9"/>
  <c r="K1936" i="9"/>
  <c r="N1935" i="9"/>
  <c r="M1935" i="9"/>
  <c r="L1935" i="9"/>
  <c r="K1935" i="9"/>
  <c r="N1934" i="9"/>
  <c r="M1934" i="9"/>
  <c r="L1934" i="9"/>
  <c r="K1934" i="9"/>
  <c r="N1933" i="9"/>
  <c r="M1933" i="9"/>
  <c r="L1933" i="9"/>
  <c r="K1933" i="9"/>
  <c r="N1932" i="9"/>
  <c r="M1932" i="9"/>
  <c r="L1932" i="9"/>
  <c r="K1932" i="9"/>
  <c r="N1931" i="9"/>
  <c r="M1931" i="9"/>
  <c r="L1931" i="9"/>
  <c r="K1931" i="9"/>
  <c r="N1930" i="9"/>
  <c r="M1930" i="9"/>
  <c r="L1930" i="9"/>
  <c r="K1930" i="9"/>
  <c r="N1929" i="9"/>
  <c r="M1929" i="9"/>
  <c r="L1929" i="9"/>
  <c r="K1929" i="9"/>
  <c r="N1928" i="9"/>
  <c r="M1928" i="9"/>
  <c r="L1928" i="9"/>
  <c r="K1928" i="9"/>
  <c r="N1927" i="9"/>
  <c r="M1927" i="9"/>
  <c r="L1927" i="9"/>
  <c r="K1927" i="9"/>
  <c r="N1926" i="9"/>
  <c r="M1926" i="9"/>
  <c r="L1926" i="9"/>
  <c r="K1926" i="9"/>
  <c r="N1925" i="9"/>
  <c r="M1925" i="9"/>
  <c r="L1925" i="9"/>
  <c r="K1925" i="9"/>
  <c r="N1924" i="9"/>
  <c r="M1924" i="9"/>
  <c r="L1924" i="9"/>
  <c r="K1924" i="9"/>
  <c r="N1923" i="9"/>
  <c r="M1923" i="9"/>
  <c r="L1923" i="9"/>
  <c r="K1923" i="9"/>
  <c r="N1922" i="9"/>
  <c r="M1922" i="9"/>
  <c r="L1922" i="9"/>
  <c r="K1922" i="9"/>
  <c r="N1921" i="9"/>
  <c r="M1921" i="9"/>
  <c r="L1921" i="9"/>
  <c r="K1921" i="9"/>
  <c r="N1920" i="9"/>
  <c r="M1920" i="9"/>
  <c r="L1920" i="9"/>
  <c r="K1920" i="9"/>
  <c r="I1919" i="9"/>
  <c r="L1919" i="9" s="1"/>
  <c r="I1918" i="9"/>
  <c r="K1918" i="9" s="1"/>
  <c r="I1917" i="9"/>
  <c r="K1917" i="9" s="1"/>
  <c r="N1916" i="9"/>
  <c r="M1916" i="9"/>
  <c r="L1916" i="9"/>
  <c r="K1916" i="9"/>
  <c r="N1915" i="9"/>
  <c r="M1915" i="9"/>
  <c r="L1915" i="9"/>
  <c r="K1915" i="9"/>
  <c r="N1914" i="9"/>
  <c r="M1914" i="9"/>
  <c r="L1914" i="9"/>
  <c r="K1914" i="9"/>
  <c r="N1913" i="9"/>
  <c r="M1913" i="9"/>
  <c r="L1913" i="9"/>
  <c r="K1913" i="9"/>
  <c r="N1912" i="9"/>
  <c r="M1912" i="9"/>
  <c r="L1912" i="9"/>
  <c r="K1912" i="9"/>
  <c r="N1911" i="9"/>
  <c r="M1911" i="9"/>
  <c r="L1911" i="9"/>
  <c r="K1911" i="9"/>
  <c r="N1910" i="9"/>
  <c r="M1910" i="9"/>
  <c r="L1910" i="9"/>
  <c r="K1910" i="9"/>
  <c r="N1909" i="9"/>
  <c r="M1909" i="9"/>
  <c r="L1909" i="9"/>
  <c r="K1909" i="9"/>
  <c r="N1908" i="9"/>
  <c r="M1908" i="9"/>
  <c r="L1908" i="9"/>
  <c r="K1908" i="9"/>
  <c r="N1907" i="9"/>
  <c r="M1907" i="9"/>
  <c r="L1907" i="9"/>
  <c r="K1907" i="9"/>
  <c r="N1906" i="9"/>
  <c r="M1906" i="9"/>
  <c r="L1906" i="9"/>
  <c r="K1906" i="9"/>
  <c r="N1905" i="9"/>
  <c r="M1905" i="9"/>
  <c r="L1905" i="9"/>
  <c r="K1905" i="9"/>
  <c r="N1904" i="9"/>
  <c r="M1904" i="9"/>
  <c r="L1904" i="9"/>
  <c r="K1904" i="9"/>
  <c r="I1903" i="9"/>
  <c r="N1903" i="9" s="1"/>
  <c r="I1902" i="9"/>
  <c r="I1901" i="9"/>
  <c r="K1901" i="9" s="1"/>
  <c r="N1900" i="9"/>
  <c r="M1900" i="9"/>
  <c r="L1900" i="9"/>
  <c r="K1900" i="9"/>
  <c r="N1899" i="9"/>
  <c r="M1899" i="9"/>
  <c r="L1899" i="9"/>
  <c r="K1899" i="9"/>
  <c r="N1898" i="9"/>
  <c r="M1898" i="9"/>
  <c r="L1898" i="9"/>
  <c r="K1898" i="9"/>
  <c r="N1897" i="9"/>
  <c r="M1897" i="9"/>
  <c r="L1897" i="9"/>
  <c r="K1897" i="9"/>
  <c r="N1896" i="9"/>
  <c r="M1896" i="9"/>
  <c r="L1896" i="9"/>
  <c r="K1896" i="9"/>
  <c r="N1895" i="9"/>
  <c r="M1895" i="9"/>
  <c r="L1895" i="9"/>
  <c r="K1895" i="9"/>
  <c r="N1894" i="9"/>
  <c r="M1894" i="9"/>
  <c r="L1894" i="9"/>
  <c r="K1894" i="9"/>
  <c r="I1893" i="9"/>
  <c r="K1893" i="9" s="1"/>
  <c r="N1892" i="9"/>
  <c r="M1892" i="9"/>
  <c r="L1892" i="9"/>
  <c r="K1892" i="9"/>
  <c r="N1891" i="9"/>
  <c r="M1891" i="9"/>
  <c r="L1891" i="9"/>
  <c r="K1891" i="9"/>
  <c r="I1890" i="9"/>
  <c r="K1890" i="9" s="1"/>
  <c r="I1889" i="9"/>
  <c r="M1889" i="9" s="1"/>
  <c r="I1888" i="9"/>
  <c r="N1888" i="9" s="1"/>
  <c r="N1887" i="9"/>
  <c r="M1887" i="9"/>
  <c r="L1887" i="9"/>
  <c r="K1887" i="9"/>
  <c r="N1886" i="9"/>
  <c r="M1886" i="9"/>
  <c r="L1886" i="9"/>
  <c r="K1886" i="9"/>
  <c r="N1885" i="9"/>
  <c r="M1885" i="9"/>
  <c r="L1885" i="9"/>
  <c r="K1885" i="9"/>
  <c r="N1884" i="9"/>
  <c r="M1884" i="9"/>
  <c r="L1884" i="9"/>
  <c r="K1884" i="9"/>
  <c r="N1883" i="9"/>
  <c r="M1883" i="9"/>
  <c r="L1883" i="9"/>
  <c r="K1883" i="9"/>
  <c r="N1882" i="9"/>
  <c r="M1882" i="9"/>
  <c r="L1882" i="9"/>
  <c r="K1882" i="9"/>
  <c r="N1881" i="9"/>
  <c r="M1881" i="9"/>
  <c r="L1881" i="9"/>
  <c r="K1881" i="9"/>
  <c r="N1880" i="9"/>
  <c r="M1880" i="9"/>
  <c r="L1880" i="9"/>
  <c r="K1880" i="9"/>
  <c r="N1879" i="9"/>
  <c r="M1879" i="9"/>
  <c r="L1879" i="9"/>
  <c r="K1879" i="9"/>
  <c r="N1878" i="9"/>
  <c r="M1878" i="9"/>
  <c r="L1878" i="9"/>
  <c r="K1878" i="9"/>
  <c r="N1877" i="9"/>
  <c r="M1877" i="9"/>
  <c r="L1877" i="9"/>
  <c r="K1877" i="9"/>
  <c r="N1876" i="9"/>
  <c r="M1876" i="9"/>
  <c r="L1876" i="9"/>
  <c r="K1876" i="9"/>
  <c r="O1875" i="9"/>
  <c r="I1875" i="9"/>
  <c r="N1874" i="9"/>
  <c r="M1874" i="9"/>
  <c r="L1874" i="9"/>
  <c r="K1874" i="9"/>
  <c r="N1873" i="9"/>
  <c r="M1873" i="9"/>
  <c r="L1873" i="9"/>
  <c r="K1873" i="9"/>
  <c r="N1872" i="9"/>
  <c r="M1872" i="9"/>
  <c r="L1872" i="9"/>
  <c r="K1872" i="9"/>
  <c r="N1871" i="9"/>
  <c r="M1871" i="9"/>
  <c r="L1871" i="9"/>
  <c r="K1871" i="9"/>
  <c r="N1870" i="9"/>
  <c r="M1870" i="9"/>
  <c r="L1870" i="9"/>
  <c r="K1870" i="9"/>
  <c r="N1869" i="9"/>
  <c r="M1869" i="9"/>
  <c r="L1869" i="9"/>
  <c r="K1869" i="9"/>
  <c r="N1868" i="9"/>
  <c r="M1868" i="9"/>
  <c r="L1868" i="9"/>
  <c r="K1868" i="9"/>
  <c r="N1867" i="9"/>
  <c r="M1867" i="9"/>
  <c r="L1867" i="9"/>
  <c r="K1867" i="9"/>
  <c r="N1866" i="9"/>
  <c r="M1866" i="9"/>
  <c r="L1866" i="9"/>
  <c r="K1866" i="9"/>
  <c r="N1865" i="9"/>
  <c r="M1865" i="9"/>
  <c r="L1865" i="9"/>
  <c r="K1865" i="9"/>
  <c r="N1864" i="9"/>
  <c r="M1864" i="9"/>
  <c r="L1864" i="9"/>
  <c r="K1864" i="9"/>
  <c r="O1863" i="9"/>
  <c r="N1863" i="9"/>
  <c r="M1863" i="9"/>
  <c r="L1863" i="9"/>
  <c r="K1863" i="9"/>
  <c r="I1863" i="9"/>
  <c r="O1858" i="9"/>
  <c r="N1858" i="9"/>
  <c r="M1858" i="9"/>
  <c r="L1858" i="9"/>
  <c r="K1858" i="9"/>
  <c r="I1858" i="9"/>
  <c r="O1847" i="9"/>
  <c r="N1847" i="9"/>
  <c r="M1847" i="9"/>
  <c r="L1847" i="9"/>
  <c r="K1847" i="9"/>
  <c r="I1847" i="9"/>
  <c r="O1845" i="9"/>
  <c r="N1845" i="9"/>
  <c r="M1845" i="9"/>
  <c r="L1845" i="9"/>
  <c r="K1845" i="9"/>
  <c r="I1845" i="9"/>
  <c r="O1841" i="9"/>
  <c r="N1841" i="9"/>
  <c r="M1841" i="9"/>
  <c r="L1841" i="9"/>
  <c r="K1841" i="9"/>
  <c r="I1841" i="9"/>
  <c r="O1837" i="9"/>
  <c r="N1837" i="9"/>
  <c r="M1837" i="9"/>
  <c r="L1837" i="9"/>
  <c r="K1837" i="9"/>
  <c r="I1837" i="9"/>
  <c r="O1834" i="9"/>
  <c r="N1834" i="9"/>
  <c r="M1834" i="9"/>
  <c r="L1834" i="9"/>
  <c r="K1834" i="9"/>
  <c r="I1834" i="9"/>
  <c r="O1796" i="9"/>
  <c r="N1796" i="9"/>
  <c r="M1796" i="9"/>
  <c r="L1796" i="9"/>
  <c r="K1796" i="9"/>
  <c r="I1796" i="9"/>
  <c r="O1757" i="9"/>
  <c r="N1757" i="9"/>
  <c r="M1757" i="9"/>
  <c r="L1757" i="9"/>
  <c r="K1757" i="9"/>
  <c r="I1757" i="9"/>
  <c r="O1749" i="9"/>
  <c r="N1749" i="9"/>
  <c r="M1749" i="9"/>
  <c r="L1749" i="9"/>
  <c r="K1749" i="9"/>
  <c r="I1749" i="9"/>
  <c r="O1732" i="9"/>
  <c r="N1732" i="9"/>
  <c r="M1732" i="9"/>
  <c r="L1732" i="9"/>
  <c r="K1732" i="9"/>
  <c r="I1732" i="9"/>
  <c r="O1709" i="9"/>
  <c r="N1709" i="9"/>
  <c r="M1709" i="9"/>
  <c r="L1709" i="9"/>
  <c r="K1709" i="9"/>
  <c r="I1709" i="9"/>
  <c r="O1687" i="9"/>
  <c r="N1687" i="9"/>
  <c r="M1687" i="9"/>
  <c r="L1687" i="9"/>
  <c r="K1687" i="9"/>
  <c r="I1687" i="9"/>
  <c r="O1676" i="9"/>
  <c r="N1676" i="9"/>
  <c r="M1676" i="9"/>
  <c r="L1676" i="9"/>
  <c r="K1676" i="9"/>
  <c r="I1676" i="9"/>
  <c r="O1673" i="9"/>
  <c r="N1673" i="9"/>
  <c r="M1673" i="9"/>
  <c r="L1673" i="9"/>
  <c r="K1673" i="9"/>
  <c r="I1673" i="9"/>
  <c r="O1657" i="9"/>
  <c r="N1657" i="9"/>
  <c r="M1657" i="9"/>
  <c r="L1657" i="9"/>
  <c r="K1657" i="9"/>
  <c r="I1657" i="9"/>
  <c r="O1632" i="9"/>
  <c r="N1632" i="9"/>
  <c r="M1632" i="9"/>
  <c r="L1632" i="9"/>
  <c r="K1632" i="9"/>
  <c r="I1632" i="9"/>
  <c r="O1627" i="9"/>
  <c r="N1627" i="9"/>
  <c r="M1627" i="9"/>
  <c r="L1627" i="9"/>
  <c r="K1627" i="9"/>
  <c r="I1627" i="9"/>
  <c r="O1621" i="9"/>
  <c r="N1621" i="9"/>
  <c r="M1621" i="9"/>
  <c r="L1621" i="9"/>
  <c r="K1621" i="9"/>
  <c r="I1621" i="9"/>
  <c r="O1619" i="9"/>
  <c r="N1619" i="9"/>
  <c r="M1619" i="9"/>
  <c r="L1619" i="9"/>
  <c r="K1619" i="9"/>
  <c r="I1619" i="9"/>
  <c r="O1596" i="9"/>
  <c r="N1595" i="9"/>
  <c r="M1595" i="9"/>
  <c r="L1595" i="9"/>
  <c r="K1595" i="9"/>
  <c r="N1594" i="9"/>
  <c r="M1594" i="9"/>
  <c r="L1594" i="9"/>
  <c r="K1594" i="9"/>
  <c r="N1593" i="9"/>
  <c r="M1593" i="9"/>
  <c r="L1593" i="9"/>
  <c r="K1593" i="9"/>
  <c r="N1592" i="9"/>
  <c r="M1592" i="9"/>
  <c r="L1592" i="9"/>
  <c r="K1592" i="9"/>
  <c r="N1591" i="9"/>
  <c r="M1591" i="9"/>
  <c r="L1591" i="9"/>
  <c r="K1591" i="9"/>
  <c r="N1590" i="9"/>
  <c r="M1590" i="9"/>
  <c r="L1590" i="9"/>
  <c r="K1590" i="9"/>
  <c r="N1589" i="9"/>
  <c r="M1589" i="9"/>
  <c r="L1589" i="9"/>
  <c r="K1589" i="9"/>
  <c r="N1588" i="9"/>
  <c r="M1588" i="9"/>
  <c r="L1588" i="9"/>
  <c r="K1588" i="9"/>
  <c r="N1587" i="9"/>
  <c r="M1587" i="9"/>
  <c r="L1587" i="9"/>
  <c r="K1587" i="9"/>
  <c r="I1586" i="9"/>
  <c r="N1586" i="9" s="1"/>
  <c r="N1585" i="9"/>
  <c r="M1585" i="9"/>
  <c r="L1585" i="9"/>
  <c r="K1585" i="9"/>
  <c r="N1584" i="9"/>
  <c r="M1584" i="9"/>
  <c r="L1584" i="9"/>
  <c r="K1584" i="9"/>
  <c r="N1583" i="9"/>
  <c r="M1583" i="9"/>
  <c r="L1583" i="9"/>
  <c r="K1583" i="9"/>
  <c r="O1582" i="9"/>
  <c r="I1582" i="9"/>
  <c r="N1581" i="9"/>
  <c r="M1581" i="9"/>
  <c r="L1581" i="9"/>
  <c r="K1581" i="9"/>
  <c r="N1580" i="9"/>
  <c r="M1580" i="9"/>
  <c r="L1580" i="9"/>
  <c r="K1580" i="9"/>
  <c r="N1579" i="9"/>
  <c r="M1579" i="9"/>
  <c r="L1579" i="9"/>
  <c r="K1579" i="9"/>
  <c r="N1578" i="9"/>
  <c r="M1578" i="9"/>
  <c r="L1578" i="9"/>
  <c r="K1578" i="9"/>
  <c r="N1577" i="9"/>
  <c r="M1577" i="9"/>
  <c r="L1577" i="9"/>
  <c r="K1577" i="9"/>
  <c r="N1576" i="9"/>
  <c r="M1576" i="9"/>
  <c r="L1576" i="9"/>
  <c r="K1576" i="9"/>
  <c r="N1575" i="9"/>
  <c r="M1575" i="9"/>
  <c r="L1575" i="9"/>
  <c r="K1575" i="9"/>
  <c r="N1574" i="9"/>
  <c r="M1574" i="9"/>
  <c r="L1574" i="9"/>
  <c r="K1574" i="9"/>
  <c r="N1573" i="9"/>
  <c r="M1573" i="9"/>
  <c r="L1573" i="9"/>
  <c r="K1573" i="9"/>
  <c r="N1572" i="9"/>
  <c r="M1572" i="9"/>
  <c r="L1572" i="9"/>
  <c r="K1572" i="9"/>
  <c r="N1571" i="9"/>
  <c r="M1571" i="9"/>
  <c r="L1571" i="9"/>
  <c r="K1571" i="9"/>
  <c r="O1570" i="9"/>
  <c r="I1566" i="9"/>
  <c r="N1566" i="9" s="1"/>
  <c r="I1565" i="9"/>
  <c r="N1565" i="9" s="1"/>
  <c r="I1564" i="9"/>
  <c r="M1564" i="9" s="1"/>
  <c r="I1554" i="9"/>
  <c r="N1554" i="9" s="1"/>
  <c r="I1553" i="9"/>
  <c r="K1553" i="9" s="1"/>
  <c r="I1552" i="9"/>
  <c r="L1552" i="9" s="1"/>
  <c r="I1550" i="9"/>
  <c r="K1550" i="9" s="1"/>
  <c r="L1550" i="9" s="1"/>
  <c r="M1550" i="9" s="1"/>
  <c r="N1550" i="9" s="1"/>
  <c r="I1549" i="9"/>
  <c r="K1549" i="9" s="1"/>
  <c r="L1549" i="9" s="1"/>
  <c r="M1549" i="9" s="1"/>
  <c r="N1549" i="9" s="1"/>
  <c r="I1548" i="9"/>
  <c r="K1548" i="9" s="1"/>
  <c r="L1548" i="9" s="1"/>
  <c r="M1548" i="9" s="1"/>
  <c r="N1548" i="9" s="1"/>
  <c r="I1542" i="9"/>
  <c r="N1542" i="9" s="1"/>
  <c r="I1541" i="9"/>
  <c r="M1541" i="9" s="1"/>
  <c r="I1540" i="9"/>
  <c r="N1540" i="9" s="1"/>
  <c r="I1539" i="9"/>
  <c r="K1539" i="9" s="1"/>
  <c r="I1538" i="9"/>
  <c r="K1538" i="9" s="1"/>
  <c r="I1537" i="9"/>
  <c r="N1537" i="9" s="1"/>
  <c r="I1536" i="9"/>
  <c r="M1536" i="9" s="1"/>
  <c r="I1535" i="9"/>
  <c r="O1525" i="9"/>
  <c r="N1525" i="9"/>
  <c r="M1525" i="9"/>
  <c r="L1525" i="9"/>
  <c r="K1525" i="9"/>
  <c r="I1525" i="9"/>
  <c r="O1518" i="9"/>
  <c r="N1518" i="9"/>
  <c r="M1518" i="9"/>
  <c r="L1518" i="9"/>
  <c r="K1518" i="9"/>
  <c r="I1518" i="9"/>
  <c r="O1499" i="9"/>
  <c r="I1499" i="9"/>
  <c r="N1498" i="9"/>
  <c r="M1498" i="9"/>
  <c r="L1498" i="9"/>
  <c r="K1498" i="9"/>
  <c r="N1497" i="9"/>
  <c r="M1497" i="9"/>
  <c r="L1497" i="9"/>
  <c r="K1497" i="9"/>
  <c r="N1496" i="9"/>
  <c r="M1496" i="9"/>
  <c r="L1496" i="9"/>
  <c r="K1496" i="9"/>
  <c r="N1495" i="9"/>
  <c r="M1495" i="9"/>
  <c r="L1495" i="9"/>
  <c r="K1495" i="9"/>
  <c r="N1494" i="9"/>
  <c r="M1494" i="9"/>
  <c r="L1494" i="9"/>
  <c r="K1494" i="9"/>
  <c r="N1493" i="9"/>
  <c r="M1493" i="9"/>
  <c r="L1493" i="9"/>
  <c r="K1493" i="9"/>
  <c r="O1492" i="9"/>
  <c r="N1492" i="9"/>
  <c r="M1492" i="9"/>
  <c r="L1492" i="9"/>
  <c r="U96" i="8" s="1"/>
  <c r="K96" i="8" s="1"/>
  <c r="L96" i="8" s="1"/>
  <c r="M96" i="8" s="1"/>
  <c r="K1492" i="9"/>
  <c r="I1492" i="9"/>
  <c r="O1468" i="9"/>
  <c r="N1468" i="9"/>
  <c r="M1468" i="9"/>
  <c r="L1468" i="9"/>
  <c r="K1468" i="9"/>
  <c r="I1468" i="9"/>
  <c r="O1394" i="9"/>
  <c r="N1394" i="9"/>
  <c r="M1394" i="9"/>
  <c r="L1394" i="9"/>
  <c r="K1394" i="9"/>
  <c r="I1394" i="9"/>
  <c r="O1283" i="9"/>
  <c r="N1283" i="9"/>
  <c r="M1283" i="9"/>
  <c r="L1283" i="9"/>
  <c r="K1283" i="9"/>
  <c r="I1283" i="9"/>
  <c r="O1278" i="9"/>
  <c r="N1278" i="9"/>
  <c r="M1278" i="9"/>
  <c r="L1278" i="9"/>
  <c r="K1278" i="9"/>
  <c r="I1278" i="9"/>
  <c r="O1269" i="9"/>
  <c r="N1269" i="9"/>
  <c r="M1269" i="9"/>
  <c r="L1269" i="9"/>
  <c r="K1269" i="9"/>
  <c r="I1269" i="9"/>
  <c r="O1263" i="9"/>
  <c r="N1263" i="9"/>
  <c r="M1263" i="9"/>
  <c r="L1263" i="9"/>
  <c r="K1263" i="9"/>
  <c r="I1263" i="9"/>
  <c r="O1168" i="9"/>
  <c r="N1168" i="9"/>
  <c r="M1168" i="9"/>
  <c r="L1168" i="9"/>
  <c r="K1168" i="9"/>
  <c r="I1168" i="9"/>
  <c r="O1166" i="9"/>
  <c r="N1166" i="9"/>
  <c r="M1166" i="9"/>
  <c r="L1166" i="9"/>
  <c r="K1166" i="9"/>
  <c r="I1166" i="9"/>
  <c r="O1050" i="9"/>
  <c r="N1050" i="9"/>
  <c r="M1050" i="9"/>
  <c r="L1050" i="9"/>
  <c r="K1050" i="9"/>
  <c r="I1050" i="9"/>
  <c r="O1048" i="9"/>
  <c r="N1048" i="9"/>
  <c r="M1048" i="9"/>
  <c r="L1048" i="9"/>
  <c r="K1048" i="9"/>
  <c r="I1048" i="9"/>
  <c r="O1046" i="9"/>
  <c r="N1046" i="9"/>
  <c r="M1046" i="9"/>
  <c r="L1046" i="9"/>
  <c r="K1046" i="9"/>
  <c r="I1046" i="9"/>
  <c r="O1035" i="9"/>
  <c r="I1035" i="9"/>
  <c r="N1034" i="9"/>
  <c r="M1034" i="9"/>
  <c r="L1034" i="9"/>
  <c r="K1034" i="9"/>
  <c r="N1033" i="9"/>
  <c r="M1033" i="9"/>
  <c r="L1033" i="9"/>
  <c r="K1033" i="9"/>
  <c r="N1032" i="9"/>
  <c r="M1032" i="9"/>
  <c r="L1032" i="9"/>
  <c r="K1032" i="9"/>
  <c r="N1031" i="9"/>
  <c r="M1031" i="9"/>
  <c r="L1031" i="9"/>
  <c r="K1031" i="9"/>
  <c r="N1030" i="9"/>
  <c r="M1030" i="9"/>
  <c r="L1030" i="9"/>
  <c r="K1030" i="9"/>
  <c r="N1029" i="9"/>
  <c r="M1029" i="9"/>
  <c r="L1029" i="9"/>
  <c r="K1029" i="9"/>
  <c r="N1028" i="9"/>
  <c r="M1028" i="9"/>
  <c r="L1028" i="9"/>
  <c r="K1028" i="9"/>
  <c r="N1027" i="9"/>
  <c r="M1027" i="9"/>
  <c r="L1027" i="9"/>
  <c r="K1027" i="9"/>
  <c r="N1026" i="9"/>
  <c r="M1026" i="9"/>
  <c r="L1026" i="9"/>
  <c r="K1026" i="9"/>
  <c r="N1025" i="9"/>
  <c r="M1025" i="9"/>
  <c r="L1025" i="9"/>
  <c r="K1025" i="9"/>
  <c r="N1024" i="9"/>
  <c r="M1024" i="9"/>
  <c r="L1024" i="9"/>
  <c r="K1024" i="9"/>
  <c r="O1023" i="9"/>
  <c r="I1023" i="9"/>
  <c r="N1022" i="9"/>
  <c r="M1022" i="9"/>
  <c r="L1022" i="9"/>
  <c r="K1022" i="9"/>
  <c r="N1021" i="9"/>
  <c r="M1021" i="9"/>
  <c r="L1021" i="9"/>
  <c r="K1021" i="9"/>
  <c r="N1020" i="9"/>
  <c r="M1020" i="9"/>
  <c r="L1020" i="9"/>
  <c r="K1020" i="9"/>
  <c r="N1019" i="9"/>
  <c r="M1019" i="9"/>
  <c r="L1019" i="9"/>
  <c r="K1019" i="9"/>
  <c r="N1018" i="9"/>
  <c r="M1018" i="9"/>
  <c r="L1018" i="9"/>
  <c r="K1018" i="9"/>
  <c r="N1017" i="9"/>
  <c r="M1017" i="9"/>
  <c r="L1017" i="9"/>
  <c r="K1017" i="9"/>
  <c r="N1016" i="9"/>
  <c r="M1016" i="9"/>
  <c r="L1016" i="9"/>
  <c r="K1016" i="9"/>
  <c r="N1015" i="9"/>
  <c r="M1015" i="9"/>
  <c r="L1015" i="9"/>
  <c r="K1015" i="9"/>
  <c r="N1014" i="9"/>
  <c r="M1014" i="9"/>
  <c r="L1014" i="9"/>
  <c r="K1014" i="9"/>
  <c r="N1013" i="9"/>
  <c r="M1013" i="9"/>
  <c r="L1013" i="9"/>
  <c r="K1013" i="9"/>
  <c r="O1012" i="9"/>
  <c r="I1012" i="9"/>
  <c r="N1011" i="9"/>
  <c r="M1011" i="9"/>
  <c r="L1011" i="9"/>
  <c r="K1011" i="9"/>
  <c r="N1010" i="9"/>
  <c r="M1010" i="9"/>
  <c r="L1010" i="9"/>
  <c r="K1010" i="9"/>
  <c r="N1009" i="9"/>
  <c r="M1009" i="9"/>
  <c r="L1009" i="9"/>
  <c r="K1009" i="9"/>
  <c r="N1008" i="9"/>
  <c r="M1008" i="9"/>
  <c r="L1008" i="9"/>
  <c r="K1008" i="9"/>
  <c r="N1007" i="9"/>
  <c r="M1007" i="9"/>
  <c r="L1007" i="9"/>
  <c r="K1007" i="9"/>
  <c r="N1006" i="9"/>
  <c r="M1006" i="9"/>
  <c r="L1006" i="9"/>
  <c r="K1006" i="9"/>
  <c r="O1005" i="9"/>
  <c r="N1005" i="9"/>
  <c r="M1005" i="9"/>
  <c r="L1005" i="9"/>
  <c r="K1005" i="9"/>
  <c r="I1005" i="9"/>
  <c r="O999" i="9"/>
  <c r="N999" i="9"/>
  <c r="M999" i="9"/>
  <c r="L999" i="9"/>
  <c r="K999" i="9"/>
  <c r="I999" i="9"/>
  <c r="O861" i="9"/>
  <c r="I861" i="9"/>
  <c r="N860" i="9"/>
  <c r="M860" i="9"/>
  <c r="L860" i="9"/>
  <c r="K860" i="9"/>
  <c r="N859" i="9"/>
  <c r="M859" i="9"/>
  <c r="L859" i="9"/>
  <c r="K859" i="9"/>
  <c r="N858" i="9"/>
  <c r="M858" i="9"/>
  <c r="L858" i="9"/>
  <c r="K858" i="9"/>
  <c r="N857" i="9"/>
  <c r="M857" i="9"/>
  <c r="L857" i="9"/>
  <c r="K857" i="9"/>
  <c r="N856" i="9"/>
  <c r="M856" i="9"/>
  <c r="L856" i="9"/>
  <c r="K856" i="9"/>
  <c r="N855" i="9"/>
  <c r="M855" i="9"/>
  <c r="L855" i="9"/>
  <c r="K855" i="9"/>
  <c r="N854" i="9"/>
  <c r="M854" i="9"/>
  <c r="L854" i="9"/>
  <c r="K854" i="9"/>
  <c r="N853" i="9"/>
  <c r="M853" i="9"/>
  <c r="L853" i="9"/>
  <c r="K853" i="9"/>
  <c r="N852" i="9"/>
  <c r="M852" i="9"/>
  <c r="L852" i="9"/>
  <c r="K852" i="9"/>
  <c r="N851" i="9"/>
  <c r="M851" i="9"/>
  <c r="L851" i="9"/>
  <c r="K851" i="9"/>
  <c r="N850" i="9"/>
  <c r="N861" i="9" s="1"/>
  <c r="M850" i="9"/>
  <c r="L850" i="9"/>
  <c r="K850" i="9"/>
  <c r="O849" i="9"/>
  <c r="I849" i="9"/>
  <c r="N848" i="9"/>
  <c r="M848" i="9"/>
  <c r="L848" i="9"/>
  <c r="K848" i="9"/>
  <c r="N847" i="9"/>
  <c r="M847" i="9"/>
  <c r="L847" i="9"/>
  <c r="K847" i="9"/>
  <c r="N846" i="9"/>
  <c r="M846" i="9"/>
  <c r="L846" i="9"/>
  <c r="K846" i="9"/>
  <c r="N845" i="9"/>
  <c r="M845" i="9"/>
  <c r="L845" i="9"/>
  <c r="K845" i="9"/>
  <c r="N844" i="9"/>
  <c r="M844" i="9"/>
  <c r="L844" i="9"/>
  <c r="K844" i="9"/>
  <c r="N843" i="9"/>
  <c r="M843" i="9"/>
  <c r="L843" i="9"/>
  <c r="K843" i="9"/>
  <c r="N842" i="9"/>
  <c r="M842" i="9"/>
  <c r="L842" i="9"/>
  <c r="K842" i="9"/>
  <c r="N841" i="9"/>
  <c r="M841" i="9"/>
  <c r="L841" i="9"/>
  <c r="K841" i="9"/>
  <c r="N840" i="9"/>
  <c r="M840" i="9"/>
  <c r="L840" i="9"/>
  <c r="K840" i="9"/>
  <c r="N839" i="9"/>
  <c r="M839" i="9"/>
  <c r="L839" i="9"/>
  <c r="K839" i="9"/>
  <c r="N838" i="9"/>
  <c r="M838" i="9"/>
  <c r="L838" i="9"/>
  <c r="K838" i="9"/>
  <c r="O837" i="9"/>
  <c r="N837" i="9"/>
  <c r="M837" i="9"/>
  <c r="L837" i="9"/>
  <c r="K837" i="9"/>
  <c r="I837" i="9"/>
  <c r="O831" i="9"/>
  <c r="N831" i="9"/>
  <c r="M831" i="9"/>
  <c r="L831" i="9"/>
  <c r="K831" i="9"/>
  <c r="I831" i="9"/>
  <c r="O706" i="9"/>
  <c r="N706" i="9"/>
  <c r="M706" i="9"/>
  <c r="L706" i="9"/>
  <c r="K706" i="9"/>
  <c r="I706" i="9"/>
  <c r="O698" i="9"/>
  <c r="I698" i="9"/>
  <c r="N697" i="9"/>
  <c r="M697" i="9"/>
  <c r="L697" i="9"/>
  <c r="K697" i="9"/>
  <c r="N696" i="9"/>
  <c r="M696" i="9"/>
  <c r="L696" i="9"/>
  <c r="K696" i="9"/>
  <c r="N695" i="9"/>
  <c r="M695" i="9"/>
  <c r="L695" i="9"/>
  <c r="K695" i="9"/>
  <c r="N694" i="9"/>
  <c r="M694" i="9"/>
  <c r="L694" i="9"/>
  <c r="K694" i="9"/>
  <c r="N693" i="9"/>
  <c r="M693" i="9"/>
  <c r="L693" i="9"/>
  <c r="K693" i="9"/>
  <c r="N692" i="9"/>
  <c r="M692" i="9"/>
  <c r="L692" i="9"/>
  <c r="K692" i="9"/>
  <c r="N691" i="9"/>
  <c r="M691" i="9"/>
  <c r="L691" i="9"/>
  <c r="K691" i="9"/>
  <c r="O690" i="9"/>
  <c r="I690" i="9"/>
  <c r="N689" i="9"/>
  <c r="M689" i="9"/>
  <c r="L689" i="9"/>
  <c r="K689" i="9"/>
  <c r="N688" i="9"/>
  <c r="M688" i="9"/>
  <c r="L688" i="9"/>
  <c r="K688" i="9"/>
  <c r="N687" i="9"/>
  <c r="M687" i="9"/>
  <c r="L687" i="9"/>
  <c r="K687" i="9"/>
  <c r="N686" i="9"/>
  <c r="M686" i="9"/>
  <c r="L686" i="9"/>
  <c r="K686" i="9"/>
  <c r="N685" i="9"/>
  <c r="M685" i="9"/>
  <c r="L685" i="9"/>
  <c r="K685" i="9"/>
  <c r="N684" i="9"/>
  <c r="M684" i="9"/>
  <c r="L684" i="9"/>
  <c r="K684" i="9"/>
  <c r="N683" i="9"/>
  <c r="M683" i="9"/>
  <c r="L683" i="9"/>
  <c r="K683" i="9"/>
  <c r="N682" i="9"/>
  <c r="M682" i="9"/>
  <c r="L682" i="9"/>
  <c r="K682" i="9"/>
  <c r="N681" i="9"/>
  <c r="M681" i="9"/>
  <c r="L681" i="9"/>
  <c r="K681" i="9"/>
  <c r="N680" i="9"/>
  <c r="M680" i="9"/>
  <c r="L680" i="9"/>
  <c r="K680" i="9"/>
  <c r="N679" i="9"/>
  <c r="N690" i="9" s="1"/>
  <c r="M679" i="9"/>
  <c r="L679" i="9"/>
  <c r="K679" i="9"/>
  <c r="O678" i="9"/>
  <c r="N678" i="9"/>
  <c r="M678" i="9"/>
  <c r="L678" i="9"/>
  <c r="K678" i="9"/>
  <c r="I678" i="9"/>
  <c r="O366" i="9"/>
  <c r="N366" i="9"/>
  <c r="M366" i="9"/>
  <c r="L366" i="9"/>
  <c r="K366" i="9"/>
  <c r="I366" i="9"/>
  <c r="O354" i="9"/>
  <c r="N354" i="9"/>
  <c r="M354" i="9"/>
  <c r="L354" i="9"/>
  <c r="K354" i="9"/>
  <c r="I354" i="9"/>
  <c r="O349" i="9"/>
  <c r="N349" i="9"/>
  <c r="M349" i="9"/>
  <c r="L349" i="9"/>
  <c r="K349" i="9"/>
  <c r="I349" i="9"/>
  <c r="O309" i="9"/>
  <c r="N309" i="9"/>
  <c r="M309" i="9"/>
  <c r="L309" i="9"/>
  <c r="K309" i="9"/>
  <c r="I309" i="9"/>
  <c r="O202" i="9"/>
  <c r="N202" i="9"/>
  <c r="M202" i="9"/>
  <c r="L202" i="9"/>
  <c r="K202" i="9"/>
  <c r="I202" i="9"/>
  <c r="O139" i="9"/>
  <c r="N139" i="9"/>
  <c r="M139" i="9"/>
  <c r="L139" i="9"/>
  <c r="K139" i="9"/>
  <c r="I139" i="9"/>
  <c r="O129" i="9"/>
  <c r="N129" i="9"/>
  <c r="M129" i="9"/>
  <c r="L129" i="9"/>
  <c r="K129" i="9"/>
  <c r="I129" i="9"/>
  <c r="O110" i="9"/>
  <c r="N110" i="9"/>
  <c r="M110" i="9"/>
  <c r="L110" i="9"/>
  <c r="K110" i="9"/>
  <c r="I110" i="9"/>
  <c r="O94" i="9"/>
  <c r="N94" i="9"/>
  <c r="M94" i="9"/>
  <c r="L94" i="9"/>
  <c r="K94" i="9"/>
  <c r="I94" i="9"/>
  <c r="O74" i="9"/>
  <c r="N74" i="9"/>
  <c r="M74" i="9"/>
  <c r="L74" i="9"/>
  <c r="K74" i="9"/>
  <c r="I74" i="9"/>
  <c r="O63" i="9"/>
  <c r="N63" i="9"/>
  <c r="M63" i="9"/>
  <c r="L63" i="9"/>
  <c r="K63" i="9"/>
  <c r="I63" i="9"/>
  <c r="O59" i="9"/>
  <c r="N59" i="9"/>
  <c r="M59" i="9"/>
  <c r="L59" i="9"/>
  <c r="K59" i="9"/>
  <c r="I59" i="9"/>
  <c r="O34" i="9"/>
  <c r="I31" i="9"/>
  <c r="K31" i="9" s="1"/>
  <c r="L31" i="9" s="1"/>
  <c r="M31" i="9" s="1"/>
  <c r="N31" i="9" s="1"/>
  <c r="I30" i="9"/>
  <c r="O29" i="9"/>
  <c r="N29" i="9"/>
  <c r="M29" i="9"/>
  <c r="L29" i="9"/>
  <c r="K29" i="9"/>
  <c r="I29" i="9"/>
  <c r="O14" i="9"/>
  <c r="N14" i="9"/>
  <c r="M14" i="9"/>
  <c r="L14" i="9"/>
  <c r="K14" i="9"/>
  <c r="I14" i="9"/>
  <c r="O11" i="9"/>
  <c r="N11" i="9"/>
  <c r="M11" i="9"/>
  <c r="L11" i="9"/>
  <c r="K11" i="9"/>
  <c r="I11" i="9"/>
  <c r="W160" i="8"/>
  <c r="V160" i="8"/>
  <c r="U160" i="8"/>
  <c r="T160" i="8"/>
  <c r="I160" i="8"/>
  <c r="AB159" i="8"/>
  <c r="AG159" i="8" s="1"/>
  <c r="Z159" i="8"/>
  <c r="AE159" i="8" s="1"/>
  <c r="R159" i="8"/>
  <c r="Q159" i="8"/>
  <c r="AA159" i="8" s="1"/>
  <c r="AF159" i="8" s="1"/>
  <c r="P159" i="8"/>
  <c r="O159" i="8"/>
  <c r="Y159" i="8" s="1"/>
  <c r="AD159" i="8" s="1"/>
  <c r="L159" i="8"/>
  <c r="M159" i="8" s="1"/>
  <c r="K159" i="8"/>
  <c r="H159" i="8"/>
  <c r="Z158" i="8"/>
  <c r="AE158" i="8" s="1"/>
  <c r="R158" i="8"/>
  <c r="AB158" i="8" s="1"/>
  <c r="AG158" i="8" s="1"/>
  <c r="Q158" i="8"/>
  <c r="AA158" i="8" s="1"/>
  <c r="AF158" i="8" s="1"/>
  <c r="P158" i="8"/>
  <c r="O158" i="8"/>
  <c r="Y158" i="8" s="1"/>
  <c r="AD158" i="8" s="1"/>
  <c r="K158" i="8"/>
  <c r="L158" i="8" s="1"/>
  <c r="M158" i="8" s="1"/>
  <c r="H158" i="8"/>
  <c r="AB157" i="8"/>
  <c r="AG157" i="8" s="1"/>
  <c r="Y157" i="8"/>
  <c r="AD157" i="8" s="1"/>
  <c r="R157" i="8"/>
  <c r="Q157" i="8"/>
  <c r="AA157" i="8" s="1"/>
  <c r="AF157" i="8" s="1"/>
  <c r="P157" i="8"/>
  <c r="Z157" i="8" s="1"/>
  <c r="AE157" i="8" s="1"/>
  <c r="O157" i="8"/>
  <c r="L157" i="8"/>
  <c r="M157" i="8" s="1"/>
  <c r="K157" i="8"/>
  <c r="H157" i="8"/>
  <c r="AB156" i="8"/>
  <c r="AG156" i="8" s="1"/>
  <c r="Z156" i="8"/>
  <c r="AE156" i="8" s="1"/>
  <c r="Y156" i="8"/>
  <c r="AD156" i="8" s="1"/>
  <c r="R156" i="8"/>
  <c r="Q156" i="8"/>
  <c r="AA156" i="8" s="1"/>
  <c r="AF156" i="8" s="1"/>
  <c r="P156" i="8"/>
  <c r="O156" i="8"/>
  <c r="K156" i="8"/>
  <c r="L156" i="8" s="1"/>
  <c r="M156" i="8" s="1"/>
  <c r="H156" i="8"/>
  <c r="AB155" i="8"/>
  <c r="AG155" i="8" s="1"/>
  <c r="AA155" i="8"/>
  <c r="AF155" i="8" s="1"/>
  <c r="Y155" i="8"/>
  <c r="AD155" i="8" s="1"/>
  <c r="R155" i="8"/>
  <c r="Q155" i="8"/>
  <c r="P155" i="8"/>
  <c r="Z155" i="8" s="1"/>
  <c r="AE155" i="8" s="1"/>
  <c r="O155" i="8"/>
  <c r="K155" i="8"/>
  <c r="L155" i="8" s="1"/>
  <c r="M155" i="8" s="1"/>
  <c r="H155" i="8"/>
  <c r="AA154" i="8"/>
  <c r="AF154" i="8" s="1"/>
  <c r="R154" i="8"/>
  <c r="AB154" i="8" s="1"/>
  <c r="AG154" i="8" s="1"/>
  <c r="Q154" i="8"/>
  <c r="P154" i="8"/>
  <c r="Z154" i="8" s="1"/>
  <c r="AE154" i="8" s="1"/>
  <c r="O154" i="8"/>
  <c r="Y154" i="8" s="1"/>
  <c r="AD154" i="8" s="1"/>
  <c r="K154" i="8"/>
  <c r="L154" i="8" s="1"/>
  <c r="M154" i="8" s="1"/>
  <c r="H154" i="8"/>
  <c r="Z153" i="8"/>
  <c r="AE153" i="8" s="1"/>
  <c r="R153" i="8"/>
  <c r="AB153" i="8" s="1"/>
  <c r="AG153" i="8" s="1"/>
  <c r="Q153" i="8"/>
  <c r="AA153" i="8" s="1"/>
  <c r="AF153" i="8" s="1"/>
  <c r="P153" i="8"/>
  <c r="O153" i="8"/>
  <c r="Y153" i="8" s="1"/>
  <c r="AD153" i="8" s="1"/>
  <c r="K153" i="8"/>
  <c r="L153" i="8" s="1"/>
  <c r="M153" i="8" s="1"/>
  <c r="H153" i="8"/>
  <c r="AA152" i="8"/>
  <c r="AF152" i="8" s="1"/>
  <c r="Z152" i="8"/>
  <c r="AE152" i="8" s="1"/>
  <c r="R152" i="8"/>
  <c r="AB152" i="8" s="1"/>
  <c r="AG152" i="8" s="1"/>
  <c r="Q152" i="8"/>
  <c r="P152" i="8"/>
  <c r="O152" i="8"/>
  <c r="Y152" i="8" s="1"/>
  <c r="AD152" i="8" s="1"/>
  <c r="K152" i="8"/>
  <c r="L152" i="8" s="1"/>
  <c r="M152" i="8" s="1"/>
  <c r="H152" i="8"/>
  <c r="AB151" i="8"/>
  <c r="AG151" i="8" s="1"/>
  <c r="Z151" i="8"/>
  <c r="AE151" i="8" s="1"/>
  <c r="R151" i="8"/>
  <c r="Q151" i="8"/>
  <c r="AA151" i="8" s="1"/>
  <c r="AF151" i="8" s="1"/>
  <c r="P151" i="8"/>
  <c r="O151" i="8"/>
  <c r="Y151" i="8" s="1"/>
  <c r="AD151" i="8" s="1"/>
  <c r="K151" i="8"/>
  <c r="L151" i="8" s="1"/>
  <c r="M151" i="8" s="1"/>
  <c r="H151" i="8"/>
  <c r="Z150" i="8"/>
  <c r="AE150" i="8" s="1"/>
  <c r="R150" i="8"/>
  <c r="AB150" i="8" s="1"/>
  <c r="AG150" i="8" s="1"/>
  <c r="Q150" i="8"/>
  <c r="AA150" i="8" s="1"/>
  <c r="AF150" i="8" s="1"/>
  <c r="P150" i="8"/>
  <c r="O150" i="8"/>
  <c r="Y150" i="8" s="1"/>
  <c r="AD150" i="8" s="1"/>
  <c r="K150" i="8"/>
  <c r="L150" i="8" s="1"/>
  <c r="M150" i="8" s="1"/>
  <c r="H150" i="8"/>
  <c r="AB149" i="8"/>
  <c r="AG149" i="8" s="1"/>
  <c r="AA149" i="8"/>
  <c r="AF149" i="8" s="1"/>
  <c r="Z149" i="8"/>
  <c r="AE149" i="8" s="1"/>
  <c r="Y149" i="8"/>
  <c r="AD149" i="8" s="1"/>
  <c r="P149" i="8"/>
  <c r="L149" i="8"/>
  <c r="M149" i="8" s="1"/>
  <c r="K149" i="8"/>
  <c r="H149" i="8"/>
  <c r="AG147" i="8"/>
  <c r="R147" i="8"/>
  <c r="AB147" i="8" s="1"/>
  <c r="Q147" i="8"/>
  <c r="AA147" i="8" s="1"/>
  <c r="AF147" i="8" s="1"/>
  <c r="P147" i="8"/>
  <c r="Z147" i="8" s="1"/>
  <c r="AE147" i="8" s="1"/>
  <c r="O147" i="8"/>
  <c r="Y147" i="8" s="1"/>
  <c r="AD147" i="8" s="1"/>
  <c r="L147" i="8"/>
  <c r="M147" i="8" s="1"/>
  <c r="K147" i="8"/>
  <c r="H147" i="8"/>
  <c r="AF145" i="8"/>
  <c r="Y145" i="8"/>
  <c r="AD145" i="8" s="1"/>
  <c r="R145" i="8"/>
  <c r="AB145" i="8" s="1"/>
  <c r="AG145" i="8" s="1"/>
  <c r="Q145" i="8"/>
  <c r="AA145" i="8" s="1"/>
  <c r="P145" i="8"/>
  <c r="Z145" i="8" s="1"/>
  <c r="AE145" i="8" s="1"/>
  <c r="O145" i="8"/>
  <c r="L145" i="8"/>
  <c r="M145" i="8" s="1"/>
  <c r="K145" i="8"/>
  <c r="AG144" i="8"/>
  <c r="AF144" i="8"/>
  <c r="AD144" i="8"/>
  <c r="AB144" i="8"/>
  <c r="AA144" i="8"/>
  <c r="Z144" i="8"/>
  <c r="AE144" i="8" s="1"/>
  <c r="Y144" i="8"/>
  <c r="K144" i="8"/>
  <c r="L144" i="8" s="1"/>
  <c r="M144" i="8" s="1"/>
  <c r="AA143" i="8"/>
  <c r="AF143" i="8" s="1"/>
  <c r="Y143" i="8"/>
  <c r="AD143" i="8" s="1"/>
  <c r="R143" i="8"/>
  <c r="AB143" i="8" s="1"/>
  <c r="AG143" i="8" s="1"/>
  <c r="Q143" i="8"/>
  <c r="P143" i="8"/>
  <c r="Z143" i="8" s="1"/>
  <c r="AE143" i="8" s="1"/>
  <c r="O143" i="8"/>
  <c r="K143" i="8"/>
  <c r="L143" i="8" s="1"/>
  <c r="M143" i="8" s="1"/>
  <c r="G143" i="8"/>
  <c r="H143" i="8" s="1"/>
  <c r="F143" i="8"/>
  <c r="AB142" i="8"/>
  <c r="AG142" i="8" s="1"/>
  <c r="Z142" i="8"/>
  <c r="AE142" i="8" s="1"/>
  <c r="R142" i="8"/>
  <c r="Q142" i="8"/>
  <c r="AA142" i="8" s="1"/>
  <c r="AF142" i="8" s="1"/>
  <c r="P142" i="8"/>
  <c r="O142" i="8"/>
  <c r="Y142" i="8" s="1"/>
  <c r="AD142" i="8" s="1"/>
  <c r="L142" i="8"/>
  <c r="M142" i="8" s="1"/>
  <c r="K142" i="8"/>
  <c r="G142" i="8"/>
  <c r="F142" i="8"/>
  <c r="AB141" i="8"/>
  <c r="AG141" i="8" s="1"/>
  <c r="R141" i="8"/>
  <c r="Q141" i="8"/>
  <c r="AA141" i="8" s="1"/>
  <c r="AF141" i="8" s="1"/>
  <c r="P141" i="8"/>
  <c r="Z141" i="8" s="1"/>
  <c r="AE141" i="8" s="1"/>
  <c r="O141" i="8"/>
  <c r="Y141" i="8" s="1"/>
  <c r="AD141" i="8" s="1"/>
  <c r="L141" i="8"/>
  <c r="M141" i="8" s="1"/>
  <c r="K141" i="8"/>
  <c r="G141" i="8"/>
  <c r="F141" i="8"/>
  <c r="AG140" i="8"/>
  <c r="Y140" i="8"/>
  <c r="AD140" i="8" s="1"/>
  <c r="R140" i="8"/>
  <c r="AB140" i="8" s="1"/>
  <c r="Q140" i="8"/>
  <c r="AA140" i="8" s="1"/>
  <c r="AF140" i="8" s="1"/>
  <c r="P140" i="8"/>
  <c r="Z140" i="8" s="1"/>
  <c r="AE140" i="8" s="1"/>
  <c r="O140" i="8"/>
  <c r="L140" i="8"/>
  <c r="M140" i="8" s="1"/>
  <c r="K140" i="8"/>
  <c r="G140" i="8"/>
  <c r="F140" i="8"/>
  <c r="Y139" i="8"/>
  <c r="AD139" i="8" s="1"/>
  <c r="R139" i="8"/>
  <c r="AB139" i="8" s="1"/>
  <c r="AG139" i="8" s="1"/>
  <c r="Q139" i="8"/>
  <c r="AA139" i="8" s="1"/>
  <c r="AF139" i="8" s="1"/>
  <c r="P139" i="8"/>
  <c r="Z139" i="8" s="1"/>
  <c r="AE139" i="8" s="1"/>
  <c r="O139" i="8"/>
  <c r="K139" i="8"/>
  <c r="L139" i="8" s="1"/>
  <c r="M139" i="8" s="1"/>
  <c r="G139" i="8"/>
  <c r="H139" i="8" s="1"/>
  <c r="F139" i="8"/>
  <c r="AB138" i="8"/>
  <c r="AG138" i="8" s="1"/>
  <c r="Z138" i="8"/>
  <c r="AE138" i="8" s="1"/>
  <c r="R138" i="8"/>
  <c r="Q138" i="8"/>
  <c r="AA138" i="8" s="1"/>
  <c r="AF138" i="8" s="1"/>
  <c r="P138" i="8"/>
  <c r="O138" i="8"/>
  <c r="Y138" i="8" s="1"/>
  <c r="AD138" i="8" s="1"/>
  <c r="K138" i="8"/>
  <c r="L138" i="8" s="1"/>
  <c r="M138" i="8" s="1"/>
  <c r="G138" i="8"/>
  <c r="F138" i="8"/>
  <c r="H138" i="8" s="1"/>
  <c r="AE137" i="8"/>
  <c r="AB137" i="8"/>
  <c r="AG137" i="8" s="1"/>
  <c r="R137" i="8"/>
  <c r="Q137" i="8"/>
  <c r="AA137" i="8" s="1"/>
  <c r="AF137" i="8" s="1"/>
  <c r="P137" i="8"/>
  <c r="Z137" i="8" s="1"/>
  <c r="O137" i="8"/>
  <c r="Y137" i="8" s="1"/>
  <c r="AD137" i="8" s="1"/>
  <c r="L137" i="8"/>
  <c r="M137" i="8" s="1"/>
  <c r="K137" i="8"/>
  <c r="G137" i="8"/>
  <c r="F137" i="8"/>
  <c r="R136" i="8"/>
  <c r="Q136" i="8"/>
  <c r="P136" i="8"/>
  <c r="Z136" i="8" s="1"/>
  <c r="AE136" i="8" s="1"/>
  <c r="O136" i="8"/>
  <c r="Y136" i="8" s="1"/>
  <c r="AD136" i="8" s="1"/>
  <c r="K136" i="8"/>
  <c r="L136" i="8" s="1"/>
  <c r="M136" i="8" s="1"/>
  <c r="G136" i="8"/>
  <c r="F136" i="8"/>
  <c r="AA135" i="8"/>
  <c r="AF135" i="8" s="1"/>
  <c r="Y135" i="8"/>
  <c r="AD135" i="8" s="1"/>
  <c r="R135" i="8"/>
  <c r="AB135" i="8" s="1"/>
  <c r="AG135" i="8" s="1"/>
  <c r="Q135" i="8"/>
  <c r="P135" i="8"/>
  <c r="Z135" i="8" s="1"/>
  <c r="AE135" i="8" s="1"/>
  <c r="O135" i="8"/>
  <c r="K135" i="8"/>
  <c r="L135" i="8" s="1"/>
  <c r="M135" i="8" s="1"/>
  <c r="G135" i="8"/>
  <c r="F135" i="8"/>
  <c r="W131" i="8"/>
  <c r="V131" i="8"/>
  <c r="U131" i="8"/>
  <c r="T131" i="8"/>
  <c r="I131" i="8"/>
  <c r="AE130" i="8"/>
  <c r="AA130" i="8"/>
  <c r="AF130" i="8" s="1"/>
  <c r="Z130" i="8"/>
  <c r="Y130" i="8"/>
  <c r="AD130" i="8" s="1"/>
  <c r="R130" i="8"/>
  <c r="AB130" i="8" s="1"/>
  <c r="AG130" i="8" s="1"/>
  <c r="K130" i="8"/>
  <c r="L130" i="8" s="1"/>
  <c r="M130" i="8" s="1"/>
  <c r="G130" i="8"/>
  <c r="F130" i="8"/>
  <c r="AF129" i="8"/>
  <c r="AD129" i="8"/>
  <c r="AA129" i="8"/>
  <c r="Z129" i="8"/>
  <c r="AE129" i="8" s="1"/>
  <c r="Y129" i="8"/>
  <c r="R129" i="8"/>
  <c r="AB129" i="8" s="1"/>
  <c r="AG129" i="8" s="1"/>
  <c r="K129" i="8"/>
  <c r="L129" i="8" s="1"/>
  <c r="M129" i="8" s="1"/>
  <c r="G129" i="8"/>
  <c r="E129" i="8"/>
  <c r="F129" i="8" s="1"/>
  <c r="AG128" i="8"/>
  <c r="AE128" i="8"/>
  <c r="AA128" i="8"/>
  <c r="AF128" i="8" s="1"/>
  <c r="Z128" i="8"/>
  <c r="Y128" i="8"/>
  <c r="AD128" i="8" s="1"/>
  <c r="R128" i="8"/>
  <c r="AB128" i="8" s="1"/>
  <c r="M128" i="8"/>
  <c r="K128" i="8"/>
  <c r="L128" i="8" s="1"/>
  <c r="G128" i="8"/>
  <c r="E128" i="8"/>
  <c r="F128" i="8" s="1"/>
  <c r="AF127" i="8"/>
  <c r="AD127" i="8"/>
  <c r="AA127" i="8"/>
  <c r="Z127" i="8"/>
  <c r="AE127" i="8" s="1"/>
  <c r="Y127" i="8"/>
  <c r="R127" i="8"/>
  <c r="AB127" i="8" s="1"/>
  <c r="AG127" i="8" s="1"/>
  <c r="K127" i="8"/>
  <c r="L127" i="8" s="1"/>
  <c r="M127" i="8" s="1"/>
  <c r="G127" i="8"/>
  <c r="E127" i="8"/>
  <c r="F127" i="8" s="1"/>
  <c r="AF126" i="8"/>
  <c r="AD126" i="8"/>
  <c r="AA126" i="8"/>
  <c r="Z126" i="8"/>
  <c r="AE126" i="8" s="1"/>
  <c r="Y126" i="8"/>
  <c r="R126" i="8"/>
  <c r="AB126" i="8" s="1"/>
  <c r="AG126" i="8" s="1"/>
  <c r="K126" i="8"/>
  <c r="L126" i="8" s="1"/>
  <c r="M126" i="8" s="1"/>
  <c r="G126" i="8"/>
  <c r="F126" i="8"/>
  <c r="AF125" i="8"/>
  <c r="AA125" i="8"/>
  <c r="Z125" i="8"/>
  <c r="AE125" i="8" s="1"/>
  <c r="Y125" i="8"/>
  <c r="AD125" i="8" s="1"/>
  <c r="R125" i="8"/>
  <c r="AB125" i="8" s="1"/>
  <c r="AG125" i="8" s="1"/>
  <c r="K125" i="8"/>
  <c r="L125" i="8" s="1"/>
  <c r="M125" i="8" s="1"/>
  <c r="G125" i="8"/>
  <c r="E125" i="8"/>
  <c r="F125" i="8" s="1"/>
  <c r="AF124" i="8"/>
  <c r="AE124" i="8"/>
  <c r="AD124" i="8"/>
  <c r="AB124" i="8"/>
  <c r="AG124" i="8" s="1"/>
  <c r="AA124" i="8"/>
  <c r="Z124" i="8"/>
  <c r="Y124" i="8"/>
  <c r="R124" i="8"/>
  <c r="K124" i="8"/>
  <c r="L124" i="8" s="1"/>
  <c r="M124" i="8" s="1"/>
  <c r="G124" i="8"/>
  <c r="E124" i="8"/>
  <c r="F124" i="8" s="1"/>
  <c r="AA123" i="8"/>
  <c r="AF123" i="8" s="1"/>
  <c r="Z123" i="8"/>
  <c r="AE123" i="8" s="1"/>
  <c r="Y123" i="8"/>
  <c r="AD123" i="8" s="1"/>
  <c r="R123" i="8"/>
  <c r="AB123" i="8" s="1"/>
  <c r="AG123" i="8" s="1"/>
  <c r="K123" i="8"/>
  <c r="L123" i="8" s="1"/>
  <c r="M123" i="8" s="1"/>
  <c r="G123" i="8"/>
  <c r="F123" i="8"/>
  <c r="H123" i="8" s="1"/>
  <c r="AE122" i="8"/>
  <c r="AA122" i="8"/>
  <c r="AF122" i="8" s="1"/>
  <c r="Z122" i="8"/>
  <c r="Y122" i="8"/>
  <c r="AD122" i="8" s="1"/>
  <c r="R122" i="8"/>
  <c r="AB122" i="8" s="1"/>
  <c r="AG122" i="8" s="1"/>
  <c r="K122" i="8"/>
  <c r="L122" i="8" s="1"/>
  <c r="M122" i="8" s="1"/>
  <c r="G122" i="8"/>
  <c r="F122" i="8"/>
  <c r="E122" i="8"/>
  <c r="AE121" i="8"/>
  <c r="AA121" i="8"/>
  <c r="AF121" i="8" s="1"/>
  <c r="Z121" i="8"/>
  <c r="Y121" i="8"/>
  <c r="AD121" i="8" s="1"/>
  <c r="R121" i="8"/>
  <c r="AB121" i="8" s="1"/>
  <c r="AG121" i="8" s="1"/>
  <c r="K121" i="8"/>
  <c r="L121" i="8" s="1"/>
  <c r="M121" i="8" s="1"/>
  <c r="G121" i="8"/>
  <c r="F121" i="8"/>
  <c r="D121" i="8"/>
  <c r="AE120" i="8"/>
  <c r="AA120" i="8"/>
  <c r="AF120" i="8" s="1"/>
  <c r="Z120" i="8"/>
  <c r="Y120" i="8"/>
  <c r="AD120" i="8" s="1"/>
  <c r="R120" i="8"/>
  <c r="AB120" i="8" s="1"/>
  <c r="AG120" i="8" s="1"/>
  <c r="K120" i="8"/>
  <c r="L120" i="8" s="1"/>
  <c r="M120" i="8" s="1"/>
  <c r="G120" i="8"/>
  <c r="E120" i="8"/>
  <c r="D120" i="8"/>
  <c r="AE119" i="8"/>
  <c r="AD119" i="8"/>
  <c r="AB119" i="8"/>
  <c r="AG119" i="8" s="1"/>
  <c r="AA119" i="8"/>
  <c r="AF119" i="8" s="1"/>
  <c r="Z119" i="8"/>
  <c r="Y119" i="8"/>
  <c r="R119" i="8"/>
  <c r="L119" i="8"/>
  <c r="M119" i="8" s="1"/>
  <c r="K119" i="8"/>
  <c r="G119" i="8"/>
  <c r="E119" i="8"/>
  <c r="D119" i="8"/>
  <c r="AE118" i="8"/>
  <c r="AA118" i="8"/>
  <c r="AF118" i="8" s="1"/>
  <c r="Z118" i="8"/>
  <c r="Y118" i="8"/>
  <c r="AD118" i="8" s="1"/>
  <c r="R118" i="8"/>
  <c r="K118" i="8"/>
  <c r="L118" i="8" s="1"/>
  <c r="M118" i="8" s="1"/>
  <c r="G118" i="8"/>
  <c r="E118" i="8"/>
  <c r="D118" i="8"/>
  <c r="AB116" i="8"/>
  <c r="AG116" i="8" s="1"/>
  <c r="Z116" i="8"/>
  <c r="AE116" i="8" s="1"/>
  <c r="Y116" i="8"/>
  <c r="AD116" i="8" s="1"/>
  <c r="Q116" i="8"/>
  <c r="AA116" i="8" s="1"/>
  <c r="AF116" i="8" s="1"/>
  <c r="L116" i="8"/>
  <c r="M116" i="8" s="1"/>
  <c r="K116" i="8"/>
  <c r="G116" i="8"/>
  <c r="D116" i="8"/>
  <c r="F116" i="8" s="1"/>
  <c r="AG115" i="8"/>
  <c r="AE115" i="8"/>
  <c r="AB115" i="8"/>
  <c r="AA115" i="8"/>
  <c r="AF115" i="8" s="1"/>
  <c r="Z115" i="8"/>
  <c r="Y115" i="8"/>
  <c r="AD115" i="8" s="1"/>
  <c r="Q115" i="8"/>
  <c r="K115" i="8"/>
  <c r="L115" i="8" s="1"/>
  <c r="M115" i="8" s="1"/>
  <c r="G115" i="8"/>
  <c r="F115" i="8"/>
  <c r="H115" i="8" s="1"/>
  <c r="AF114" i="8"/>
  <c r="AB114" i="8"/>
  <c r="AG114" i="8" s="1"/>
  <c r="Z114" i="8"/>
  <c r="AE114" i="8" s="1"/>
  <c r="Y114" i="8"/>
  <c r="AD114" i="8" s="1"/>
  <c r="Q114" i="8"/>
  <c r="AA114" i="8" s="1"/>
  <c r="L114" i="8"/>
  <c r="M114" i="8" s="1"/>
  <c r="K114" i="8"/>
  <c r="G114" i="8"/>
  <c r="D114" i="8"/>
  <c r="F114" i="8" s="1"/>
  <c r="H114" i="8" s="1"/>
  <c r="AG113" i="8"/>
  <c r="AD113" i="8"/>
  <c r="AB113" i="8"/>
  <c r="Z113" i="8"/>
  <c r="AE113" i="8" s="1"/>
  <c r="Y113" i="8"/>
  <c r="Q113" i="8"/>
  <c r="AA113" i="8" s="1"/>
  <c r="AF113" i="8" s="1"/>
  <c r="K113" i="8"/>
  <c r="L113" i="8" s="1"/>
  <c r="M113" i="8" s="1"/>
  <c r="G113" i="8"/>
  <c r="F113" i="8"/>
  <c r="AB112" i="8"/>
  <c r="AG112" i="8" s="1"/>
  <c r="Z112" i="8"/>
  <c r="AE112" i="8" s="1"/>
  <c r="Y112" i="8"/>
  <c r="AD112" i="8" s="1"/>
  <c r="Q112" i="8"/>
  <c r="AA112" i="8" s="1"/>
  <c r="AF112" i="8" s="1"/>
  <c r="K112" i="8"/>
  <c r="L112" i="8" s="1"/>
  <c r="M112" i="8" s="1"/>
  <c r="G112" i="8"/>
  <c r="F112" i="8"/>
  <c r="AD111" i="8"/>
  <c r="AB111" i="8"/>
  <c r="AG111" i="8" s="1"/>
  <c r="Z111" i="8"/>
  <c r="AE111" i="8" s="1"/>
  <c r="Y111" i="8"/>
  <c r="Q111" i="8"/>
  <c r="AA111" i="8" s="1"/>
  <c r="AF111" i="8" s="1"/>
  <c r="K111" i="8"/>
  <c r="L111" i="8" s="1"/>
  <c r="M111" i="8" s="1"/>
  <c r="G111" i="8"/>
  <c r="F111" i="8"/>
  <c r="E111" i="8"/>
  <c r="AE110" i="8"/>
  <c r="AB110" i="8"/>
  <c r="AG110" i="8" s="1"/>
  <c r="Z110" i="8"/>
  <c r="Y110" i="8"/>
  <c r="AD110" i="8" s="1"/>
  <c r="Q110" i="8"/>
  <c r="AA110" i="8" s="1"/>
  <c r="AF110" i="8" s="1"/>
  <c r="K110" i="8"/>
  <c r="L110" i="8" s="1"/>
  <c r="M110" i="8" s="1"/>
  <c r="H110" i="8"/>
  <c r="G110" i="8"/>
  <c r="F110" i="8"/>
  <c r="D110" i="8"/>
  <c r="AD109" i="8"/>
  <c r="AB109" i="8"/>
  <c r="AG109" i="8" s="1"/>
  <c r="Z109" i="8"/>
  <c r="AE109" i="8" s="1"/>
  <c r="Y109" i="8"/>
  <c r="Q109" i="8"/>
  <c r="AA109" i="8" s="1"/>
  <c r="AF109" i="8" s="1"/>
  <c r="K109" i="8"/>
  <c r="L109" i="8" s="1"/>
  <c r="M109" i="8" s="1"/>
  <c r="G109" i="8"/>
  <c r="F109" i="8"/>
  <c r="E109" i="8"/>
  <c r="AG108" i="8"/>
  <c r="AB108" i="8"/>
  <c r="Z108" i="8"/>
  <c r="AE108" i="8" s="1"/>
  <c r="Y108" i="8"/>
  <c r="AD108" i="8" s="1"/>
  <c r="Q108" i="8"/>
  <c r="AA108" i="8" s="1"/>
  <c r="AF108" i="8" s="1"/>
  <c r="K108" i="8"/>
  <c r="L108" i="8" s="1"/>
  <c r="M108" i="8" s="1"/>
  <c r="G108" i="8"/>
  <c r="F108" i="8"/>
  <c r="H108" i="8" s="1"/>
  <c r="AD107" i="8"/>
  <c r="AB107" i="8"/>
  <c r="AG107" i="8" s="1"/>
  <c r="Z107" i="8"/>
  <c r="AE107" i="8" s="1"/>
  <c r="Y107" i="8"/>
  <c r="Q107" i="8"/>
  <c r="AA107" i="8" s="1"/>
  <c r="AF107" i="8" s="1"/>
  <c r="K107" i="8"/>
  <c r="L107" i="8" s="1"/>
  <c r="M107" i="8" s="1"/>
  <c r="G107" i="8"/>
  <c r="D107" i="8"/>
  <c r="F107" i="8" s="1"/>
  <c r="AD106" i="8"/>
  <c r="AB106" i="8"/>
  <c r="AG106" i="8" s="1"/>
  <c r="AA106" i="8"/>
  <c r="AF106" i="8" s="1"/>
  <c r="Z106" i="8"/>
  <c r="AE106" i="8" s="1"/>
  <c r="Y106" i="8"/>
  <c r="Q106" i="8"/>
  <c r="K106" i="8"/>
  <c r="L106" i="8" s="1"/>
  <c r="M106" i="8" s="1"/>
  <c r="G106" i="8"/>
  <c r="F106" i="8"/>
  <c r="AB105" i="8"/>
  <c r="AG105" i="8" s="1"/>
  <c r="AA105" i="8"/>
  <c r="AF105" i="8" s="1"/>
  <c r="Z105" i="8"/>
  <c r="AE105" i="8" s="1"/>
  <c r="Y105" i="8"/>
  <c r="AD105" i="8" s="1"/>
  <c r="Q105" i="8"/>
  <c r="L105" i="8"/>
  <c r="M105" i="8" s="1"/>
  <c r="K105" i="8"/>
  <c r="G105" i="8"/>
  <c r="D105" i="8"/>
  <c r="F105" i="8" s="1"/>
  <c r="AB104" i="8"/>
  <c r="AG104" i="8" s="1"/>
  <c r="Z104" i="8"/>
  <c r="AE104" i="8" s="1"/>
  <c r="Y104" i="8"/>
  <c r="AD104" i="8" s="1"/>
  <c r="Q104" i="8"/>
  <c r="AA104" i="8" s="1"/>
  <c r="AF104" i="8" s="1"/>
  <c r="L104" i="8"/>
  <c r="M104" i="8" s="1"/>
  <c r="K104" i="8"/>
  <c r="G104" i="8"/>
  <c r="D104" i="8"/>
  <c r="F104" i="8" s="1"/>
  <c r="AB103" i="8"/>
  <c r="AG103" i="8" s="1"/>
  <c r="AA103" i="8"/>
  <c r="AF103" i="8" s="1"/>
  <c r="Z103" i="8"/>
  <c r="AE103" i="8" s="1"/>
  <c r="Y103" i="8"/>
  <c r="AD103" i="8" s="1"/>
  <c r="Q103" i="8"/>
  <c r="L103" i="8"/>
  <c r="M103" i="8" s="1"/>
  <c r="K103" i="8"/>
  <c r="G103" i="8"/>
  <c r="F103" i="8"/>
  <c r="AG102" i="8"/>
  <c r="AB102" i="8"/>
  <c r="AA102" i="8"/>
  <c r="AF102" i="8" s="1"/>
  <c r="Z102" i="8"/>
  <c r="AE102" i="8" s="1"/>
  <c r="Y102" i="8"/>
  <c r="AD102" i="8" s="1"/>
  <c r="Q102" i="8"/>
  <c r="K102" i="8"/>
  <c r="L102" i="8" s="1"/>
  <c r="M102" i="8" s="1"/>
  <c r="G102" i="8"/>
  <c r="F102" i="8"/>
  <c r="D102" i="8"/>
  <c r="AG101" i="8"/>
  <c r="AB101" i="8"/>
  <c r="Z101" i="8"/>
  <c r="AE101" i="8" s="1"/>
  <c r="Y101" i="8"/>
  <c r="AD101" i="8" s="1"/>
  <c r="Q101" i="8"/>
  <c r="AA101" i="8" s="1"/>
  <c r="AF101" i="8" s="1"/>
  <c r="K101" i="8"/>
  <c r="L101" i="8" s="1"/>
  <c r="M101" i="8" s="1"/>
  <c r="G101" i="8"/>
  <c r="D101" i="8"/>
  <c r="F101" i="8" s="1"/>
  <c r="AD100" i="8"/>
  <c r="AB100" i="8"/>
  <c r="AG100" i="8" s="1"/>
  <c r="Z100" i="8"/>
  <c r="AE100" i="8" s="1"/>
  <c r="Y100" i="8"/>
  <c r="Q100" i="8"/>
  <c r="AA100" i="8" s="1"/>
  <c r="AF100" i="8" s="1"/>
  <c r="K100" i="8"/>
  <c r="L100" i="8" s="1"/>
  <c r="M100" i="8" s="1"/>
  <c r="G100" i="8"/>
  <c r="F100" i="8"/>
  <c r="AG99" i="8"/>
  <c r="AB99" i="8"/>
  <c r="Z99" i="8"/>
  <c r="AE99" i="8" s="1"/>
  <c r="Y99" i="8"/>
  <c r="AD99" i="8" s="1"/>
  <c r="Q99" i="8"/>
  <c r="L99" i="8"/>
  <c r="M99" i="8" s="1"/>
  <c r="K99" i="8"/>
  <c r="G99" i="8"/>
  <c r="H99" i="8" s="1"/>
  <c r="D99" i="8"/>
  <c r="F99" i="8" s="1"/>
  <c r="AB98" i="8"/>
  <c r="AG98" i="8" s="1"/>
  <c r="Z98" i="8"/>
  <c r="AE98" i="8" s="1"/>
  <c r="Y98" i="8"/>
  <c r="AD98" i="8" s="1"/>
  <c r="Q98" i="8"/>
  <c r="AA98" i="8" s="1"/>
  <c r="AF98" i="8" s="1"/>
  <c r="L98" i="8"/>
  <c r="M98" i="8" s="1"/>
  <c r="K98" i="8"/>
  <c r="G98" i="8"/>
  <c r="D98" i="8"/>
  <c r="F98" i="8" s="1"/>
  <c r="H98" i="8" s="1"/>
  <c r="AF96" i="8"/>
  <c r="AB96" i="8"/>
  <c r="AG96" i="8" s="1"/>
  <c r="AA96" i="8"/>
  <c r="Y96" i="8"/>
  <c r="AD96" i="8" s="1"/>
  <c r="P96" i="8"/>
  <c r="G96" i="8"/>
  <c r="AD95" i="8"/>
  <c r="AB95" i="8"/>
  <c r="AG95" i="8" s="1"/>
  <c r="AA95" i="8"/>
  <c r="AF95" i="8" s="1"/>
  <c r="Y95" i="8"/>
  <c r="P95" i="8"/>
  <c r="Z95" i="8" s="1"/>
  <c r="AE95" i="8" s="1"/>
  <c r="K95" i="8"/>
  <c r="L95" i="8" s="1"/>
  <c r="M95" i="8" s="1"/>
  <c r="G95" i="8"/>
  <c r="AG94" i="8"/>
  <c r="AB94" i="8"/>
  <c r="AA94" i="8"/>
  <c r="AF94" i="8" s="1"/>
  <c r="Y94" i="8"/>
  <c r="AD94" i="8" s="1"/>
  <c r="P94" i="8"/>
  <c r="Z94" i="8" s="1"/>
  <c r="AE94" i="8" s="1"/>
  <c r="K94" i="8"/>
  <c r="L94" i="8" s="1"/>
  <c r="M94" i="8" s="1"/>
  <c r="G94" i="8"/>
  <c r="AG93" i="8"/>
  <c r="AB93" i="8"/>
  <c r="AA93" i="8"/>
  <c r="AF93" i="8" s="1"/>
  <c r="Y93" i="8"/>
  <c r="AD93" i="8" s="1"/>
  <c r="P93" i="8"/>
  <c r="Z93" i="8" s="1"/>
  <c r="AE93" i="8" s="1"/>
  <c r="K93" i="8"/>
  <c r="L93" i="8" s="1"/>
  <c r="M93" i="8" s="1"/>
  <c r="G93" i="8"/>
  <c r="AE92" i="8"/>
  <c r="AB92" i="8"/>
  <c r="AG92" i="8" s="1"/>
  <c r="AA92" i="8"/>
  <c r="AF92" i="8" s="1"/>
  <c r="Y92" i="8"/>
  <c r="AD92" i="8" s="1"/>
  <c r="P92" i="8"/>
  <c r="Z92" i="8" s="1"/>
  <c r="K92" i="8"/>
  <c r="L92" i="8" s="1"/>
  <c r="M92" i="8" s="1"/>
  <c r="G92" i="8"/>
  <c r="F92" i="8"/>
  <c r="E92" i="8"/>
  <c r="AB91" i="8"/>
  <c r="AG91" i="8" s="1"/>
  <c r="AA91" i="8"/>
  <c r="AF91" i="8" s="1"/>
  <c r="Z91" i="8"/>
  <c r="AE91" i="8" s="1"/>
  <c r="Y91" i="8"/>
  <c r="AD91" i="8" s="1"/>
  <c r="P91" i="8"/>
  <c r="L91" i="8"/>
  <c r="M91" i="8" s="1"/>
  <c r="K91" i="8"/>
  <c r="G91" i="8"/>
  <c r="E91" i="8"/>
  <c r="D91" i="8"/>
  <c r="F91" i="8" s="1"/>
  <c r="H91" i="8" s="1"/>
  <c r="AD90" i="8"/>
  <c r="AB90" i="8"/>
  <c r="AG90" i="8" s="1"/>
  <c r="AA90" i="8"/>
  <c r="AF90" i="8" s="1"/>
  <c r="Y90" i="8"/>
  <c r="P90" i="8"/>
  <c r="Z90" i="8" s="1"/>
  <c r="AE90" i="8" s="1"/>
  <c r="K90" i="8"/>
  <c r="L90" i="8" s="1"/>
  <c r="M90" i="8" s="1"/>
  <c r="G90" i="8"/>
  <c r="E90" i="8"/>
  <c r="F90" i="8" s="1"/>
  <c r="AE89" i="8"/>
  <c r="AB89" i="8"/>
  <c r="AG89" i="8" s="1"/>
  <c r="AA89" i="8"/>
  <c r="AF89" i="8" s="1"/>
  <c r="Y89" i="8"/>
  <c r="AD89" i="8" s="1"/>
  <c r="P89" i="8"/>
  <c r="Z89" i="8" s="1"/>
  <c r="K89" i="8"/>
  <c r="L89" i="8" s="1"/>
  <c r="M89" i="8" s="1"/>
  <c r="G89" i="8"/>
  <c r="F89" i="8"/>
  <c r="AB88" i="8"/>
  <c r="AG88" i="8" s="1"/>
  <c r="AA88" i="8"/>
  <c r="AF88" i="8" s="1"/>
  <c r="Y88" i="8"/>
  <c r="AD88" i="8" s="1"/>
  <c r="P88" i="8"/>
  <c r="Z88" i="8" s="1"/>
  <c r="AE88" i="8" s="1"/>
  <c r="L88" i="8"/>
  <c r="M88" i="8" s="1"/>
  <c r="K88" i="8"/>
  <c r="G88" i="8"/>
  <c r="E88" i="8"/>
  <c r="F88" i="8" s="1"/>
  <c r="AB87" i="8"/>
  <c r="AG87" i="8" s="1"/>
  <c r="AA87" i="8"/>
  <c r="AF87" i="8" s="1"/>
  <c r="Z87" i="8"/>
  <c r="AE87" i="8" s="1"/>
  <c r="Y87" i="8"/>
  <c r="AD87" i="8" s="1"/>
  <c r="P87" i="8"/>
  <c r="K87" i="8"/>
  <c r="L87" i="8" s="1"/>
  <c r="M87" i="8" s="1"/>
  <c r="G87" i="8"/>
  <c r="E87" i="8"/>
  <c r="D87" i="8"/>
  <c r="AD86" i="8"/>
  <c r="AB86" i="8"/>
  <c r="AG86" i="8" s="1"/>
  <c r="AA86" i="8"/>
  <c r="AF86" i="8" s="1"/>
  <c r="Y86" i="8"/>
  <c r="P86" i="8"/>
  <c r="Z86" i="8" s="1"/>
  <c r="AE86" i="8" s="1"/>
  <c r="K86" i="8"/>
  <c r="L86" i="8" s="1"/>
  <c r="M86" i="8" s="1"/>
  <c r="G86" i="8"/>
  <c r="F86" i="8"/>
  <c r="H86" i="8" s="1"/>
  <c r="AG85" i="8"/>
  <c r="AB85" i="8"/>
  <c r="AA85" i="8"/>
  <c r="AF85" i="8" s="1"/>
  <c r="Y85" i="8"/>
  <c r="AD85" i="8" s="1"/>
  <c r="P85" i="8"/>
  <c r="Z85" i="8" s="1"/>
  <c r="AE85" i="8" s="1"/>
  <c r="K85" i="8"/>
  <c r="L85" i="8" s="1"/>
  <c r="M85" i="8" s="1"/>
  <c r="G85" i="8"/>
  <c r="D85" i="8"/>
  <c r="F85" i="8" s="1"/>
  <c r="H85" i="8" s="1"/>
  <c r="AD84" i="8"/>
  <c r="AB84" i="8"/>
  <c r="AG84" i="8" s="1"/>
  <c r="AA84" i="8"/>
  <c r="AF84" i="8" s="1"/>
  <c r="Y84" i="8"/>
  <c r="P84" i="8"/>
  <c r="Z84" i="8" s="1"/>
  <c r="AE84" i="8" s="1"/>
  <c r="K84" i="8"/>
  <c r="L84" i="8" s="1"/>
  <c r="M84" i="8" s="1"/>
  <c r="G84" i="8"/>
  <c r="D84" i="8"/>
  <c r="F84" i="8" s="1"/>
  <c r="H84" i="8" s="1"/>
  <c r="AB83" i="8"/>
  <c r="AG83" i="8" s="1"/>
  <c r="AA83" i="8"/>
  <c r="AF83" i="8" s="1"/>
  <c r="Y83" i="8"/>
  <c r="AD83" i="8" s="1"/>
  <c r="P83" i="8"/>
  <c r="Z83" i="8" s="1"/>
  <c r="AE83" i="8" s="1"/>
  <c r="K83" i="8"/>
  <c r="L83" i="8" s="1"/>
  <c r="M83" i="8" s="1"/>
  <c r="G83" i="8"/>
  <c r="D83" i="8"/>
  <c r="F83" i="8" s="1"/>
  <c r="AB82" i="8"/>
  <c r="AG82" i="8" s="1"/>
  <c r="AA82" i="8"/>
  <c r="AF82" i="8" s="1"/>
  <c r="Y82" i="8"/>
  <c r="AD82" i="8" s="1"/>
  <c r="P82" i="8"/>
  <c r="Z82" i="8" s="1"/>
  <c r="AE82" i="8" s="1"/>
  <c r="K82" i="8"/>
  <c r="L82" i="8" s="1"/>
  <c r="M82" i="8" s="1"/>
  <c r="G82" i="8"/>
  <c r="H82" i="8" s="1"/>
  <c r="D82" i="8"/>
  <c r="F82" i="8" s="1"/>
  <c r="AB81" i="8"/>
  <c r="AG81" i="8" s="1"/>
  <c r="AA81" i="8"/>
  <c r="AF81" i="8" s="1"/>
  <c r="Y81" i="8"/>
  <c r="AD81" i="8" s="1"/>
  <c r="P81" i="8"/>
  <c r="Z81" i="8" s="1"/>
  <c r="AE81" i="8" s="1"/>
  <c r="L81" i="8"/>
  <c r="M81" i="8" s="1"/>
  <c r="K81" i="8"/>
  <c r="G81" i="8"/>
  <c r="D81" i="8"/>
  <c r="F81" i="8" s="1"/>
  <c r="AG80" i="8"/>
  <c r="AE80" i="8"/>
  <c r="AB80" i="8"/>
  <c r="AA80" i="8"/>
  <c r="AF80" i="8" s="1"/>
  <c r="Y80" i="8"/>
  <c r="AD80" i="8" s="1"/>
  <c r="P80" i="8"/>
  <c r="Z80" i="8" s="1"/>
  <c r="K80" i="8"/>
  <c r="L80" i="8" s="1"/>
  <c r="M80" i="8" s="1"/>
  <c r="G80" i="8"/>
  <c r="D80" i="8"/>
  <c r="F80" i="8" s="1"/>
  <c r="AF79" i="8"/>
  <c r="AB79" i="8"/>
  <c r="AG79" i="8" s="1"/>
  <c r="AA79" i="8"/>
  <c r="Y79" i="8"/>
  <c r="AD79" i="8" s="1"/>
  <c r="P79" i="8"/>
  <c r="K79" i="8"/>
  <c r="L79" i="8" s="1"/>
  <c r="M79" i="8" s="1"/>
  <c r="G79" i="8"/>
  <c r="D79" i="8"/>
  <c r="F79" i="8" s="1"/>
  <c r="AB77" i="8"/>
  <c r="AG77" i="8" s="1"/>
  <c r="AA77" i="8"/>
  <c r="AF77" i="8" s="1"/>
  <c r="Z77" i="8"/>
  <c r="AE77" i="8" s="1"/>
  <c r="O77" i="8"/>
  <c r="Y77" i="8" s="1"/>
  <c r="AD77" i="8" s="1"/>
  <c r="L77" i="8"/>
  <c r="M77" i="8" s="1"/>
  <c r="K77" i="8"/>
  <c r="G77" i="8"/>
  <c r="H77" i="8" s="1"/>
  <c r="F77" i="8"/>
  <c r="AG76" i="8"/>
  <c r="AB76" i="8"/>
  <c r="AA76" i="8"/>
  <c r="AF76" i="8" s="1"/>
  <c r="Z76" i="8"/>
  <c r="AE76" i="8" s="1"/>
  <c r="O76" i="8"/>
  <c r="Y76" i="8" s="1"/>
  <c r="AD76" i="8" s="1"/>
  <c r="M76" i="8"/>
  <c r="K76" i="8"/>
  <c r="L76" i="8" s="1"/>
  <c r="G76" i="8"/>
  <c r="H76" i="8" s="1"/>
  <c r="F76" i="8"/>
  <c r="AE75" i="8"/>
  <c r="AB75" i="8"/>
  <c r="AG75" i="8" s="1"/>
  <c r="AA75" i="8"/>
  <c r="AF75" i="8" s="1"/>
  <c r="Z75" i="8"/>
  <c r="O75" i="8"/>
  <c r="Y75" i="8" s="1"/>
  <c r="AD75" i="8" s="1"/>
  <c r="L75" i="8"/>
  <c r="M75" i="8" s="1"/>
  <c r="K75" i="8"/>
  <c r="G75" i="8"/>
  <c r="D75" i="8"/>
  <c r="F75" i="8" s="1"/>
  <c r="H75" i="8" s="1"/>
  <c r="AB74" i="8"/>
  <c r="AG74" i="8" s="1"/>
  <c r="AA74" i="8"/>
  <c r="AF74" i="8" s="1"/>
  <c r="Z74" i="8"/>
  <c r="AE74" i="8" s="1"/>
  <c r="O74" i="8"/>
  <c r="Y74" i="8" s="1"/>
  <c r="AD74" i="8" s="1"/>
  <c r="K74" i="8"/>
  <c r="L74" i="8" s="1"/>
  <c r="M74" i="8" s="1"/>
  <c r="G74" i="8"/>
  <c r="F74" i="8"/>
  <c r="D74" i="8"/>
  <c r="AF73" i="8"/>
  <c r="AB73" i="8"/>
  <c r="AG73" i="8" s="1"/>
  <c r="AA73" i="8"/>
  <c r="Z73" i="8"/>
  <c r="AE73" i="8" s="1"/>
  <c r="O73" i="8"/>
  <c r="Y73" i="8" s="1"/>
  <c r="AD73" i="8" s="1"/>
  <c r="L73" i="8"/>
  <c r="M73" i="8" s="1"/>
  <c r="K73" i="8"/>
  <c r="G73" i="8"/>
  <c r="D73" i="8"/>
  <c r="F73" i="8" s="1"/>
  <c r="AB72" i="8"/>
  <c r="AG72" i="8" s="1"/>
  <c r="AA72" i="8"/>
  <c r="AF72" i="8" s="1"/>
  <c r="Z72" i="8"/>
  <c r="AE72" i="8" s="1"/>
  <c r="O72" i="8"/>
  <c r="Y72" i="8" s="1"/>
  <c r="AD72" i="8" s="1"/>
  <c r="L72" i="8"/>
  <c r="M72" i="8" s="1"/>
  <c r="K72" i="8"/>
  <c r="G72" i="8"/>
  <c r="F72" i="8"/>
  <c r="AE71" i="8"/>
  <c r="AB71" i="8"/>
  <c r="AG71" i="8" s="1"/>
  <c r="AA71" i="8"/>
  <c r="AF71" i="8" s="1"/>
  <c r="Z71" i="8"/>
  <c r="Y71" i="8"/>
  <c r="AD71" i="8" s="1"/>
  <c r="O71" i="8"/>
  <c r="K71" i="8"/>
  <c r="L71" i="8" s="1"/>
  <c r="M71" i="8" s="1"/>
  <c r="G71" i="8"/>
  <c r="F71" i="8"/>
  <c r="H71" i="8" s="1"/>
  <c r="AB70" i="8"/>
  <c r="AG70" i="8" s="1"/>
  <c r="AA70" i="8"/>
  <c r="AF70" i="8" s="1"/>
  <c r="Z70" i="8"/>
  <c r="AE70" i="8" s="1"/>
  <c r="O70" i="8"/>
  <c r="Y70" i="8" s="1"/>
  <c r="AD70" i="8" s="1"/>
  <c r="K70" i="8"/>
  <c r="L70" i="8" s="1"/>
  <c r="M70" i="8" s="1"/>
  <c r="G70" i="8"/>
  <c r="H70" i="8" s="1"/>
  <c r="F70" i="8"/>
  <c r="AB69" i="8"/>
  <c r="AG69" i="8" s="1"/>
  <c r="AA69" i="8"/>
  <c r="AF69" i="8" s="1"/>
  <c r="Z69" i="8"/>
  <c r="AE69" i="8" s="1"/>
  <c r="Y69" i="8"/>
  <c r="AD69" i="8" s="1"/>
  <c r="O69" i="8"/>
  <c r="K69" i="8"/>
  <c r="L69" i="8" s="1"/>
  <c r="M69" i="8" s="1"/>
  <c r="G69" i="8"/>
  <c r="F69" i="8"/>
  <c r="AB68" i="8"/>
  <c r="AG68" i="8" s="1"/>
  <c r="AA68" i="8"/>
  <c r="AF68" i="8" s="1"/>
  <c r="Z68" i="8"/>
  <c r="AE68" i="8" s="1"/>
  <c r="O68" i="8"/>
  <c r="L68" i="8"/>
  <c r="M68" i="8" s="1"/>
  <c r="K68" i="8"/>
  <c r="G68" i="8"/>
  <c r="D68" i="8"/>
  <c r="F68" i="8" s="1"/>
  <c r="I65" i="8"/>
  <c r="R64" i="8"/>
  <c r="AB64" i="8" s="1"/>
  <c r="AG64" i="8" s="1"/>
  <c r="Q64" i="8"/>
  <c r="AA64" i="8" s="1"/>
  <c r="AF64" i="8" s="1"/>
  <c r="P64" i="8"/>
  <c r="Z64" i="8" s="1"/>
  <c r="AE64" i="8" s="1"/>
  <c r="O64" i="8"/>
  <c r="Y64" i="8" s="1"/>
  <c r="AD64" i="8" s="1"/>
  <c r="K64" i="8"/>
  <c r="L64" i="8" s="1"/>
  <c r="M64" i="8" s="1"/>
  <c r="AA63" i="8"/>
  <c r="AF63" i="8" s="1"/>
  <c r="R63" i="8"/>
  <c r="AB63" i="8" s="1"/>
  <c r="AG63" i="8" s="1"/>
  <c r="Q63" i="8"/>
  <c r="P63" i="8"/>
  <c r="Z63" i="8" s="1"/>
  <c r="AE63" i="8" s="1"/>
  <c r="O63" i="8"/>
  <c r="Y63" i="8" s="1"/>
  <c r="AD63" i="8" s="1"/>
  <c r="L63" i="8"/>
  <c r="M63" i="8" s="1"/>
  <c r="K63" i="8"/>
  <c r="AE62" i="8"/>
  <c r="Z62" i="8"/>
  <c r="Y62" i="8"/>
  <c r="AD62" i="8" s="1"/>
  <c r="R62" i="8"/>
  <c r="AB62" i="8" s="1"/>
  <c r="AG62" i="8" s="1"/>
  <c r="Q62" i="8"/>
  <c r="AA62" i="8" s="1"/>
  <c r="AF62" i="8" s="1"/>
  <c r="P62" i="8"/>
  <c r="O62" i="8"/>
  <c r="K62" i="8"/>
  <c r="L62" i="8" s="1"/>
  <c r="M62" i="8" s="1"/>
  <c r="AD61" i="8"/>
  <c r="AA61" i="8"/>
  <c r="AF61" i="8" s="1"/>
  <c r="Y61" i="8"/>
  <c r="R61" i="8"/>
  <c r="AB61" i="8" s="1"/>
  <c r="AG61" i="8" s="1"/>
  <c r="Q61" i="8"/>
  <c r="P61" i="8"/>
  <c r="Z61" i="8" s="1"/>
  <c r="AE61" i="8" s="1"/>
  <c r="O61" i="8"/>
  <c r="K61" i="8"/>
  <c r="L61" i="8" s="1"/>
  <c r="M61" i="8" s="1"/>
  <c r="AD60" i="8"/>
  <c r="Z60" i="8"/>
  <c r="AE60" i="8" s="1"/>
  <c r="Y60" i="8"/>
  <c r="R60" i="8"/>
  <c r="AB60" i="8" s="1"/>
  <c r="AG60" i="8" s="1"/>
  <c r="Q60" i="8"/>
  <c r="AA60" i="8" s="1"/>
  <c r="AF60" i="8" s="1"/>
  <c r="P60" i="8"/>
  <c r="O60" i="8"/>
  <c r="M60" i="8"/>
  <c r="K60" i="8"/>
  <c r="L60" i="8" s="1"/>
  <c r="AB59" i="8"/>
  <c r="AG59" i="8" s="1"/>
  <c r="R59" i="8"/>
  <c r="Q59" i="8"/>
  <c r="AA59" i="8" s="1"/>
  <c r="AF59" i="8" s="1"/>
  <c r="P59" i="8"/>
  <c r="Z59" i="8" s="1"/>
  <c r="AE59" i="8" s="1"/>
  <c r="O59" i="8"/>
  <c r="Y59" i="8" s="1"/>
  <c r="AD59" i="8" s="1"/>
  <c r="K59" i="8"/>
  <c r="L59" i="8" s="1"/>
  <c r="M59" i="8" s="1"/>
  <c r="AE58" i="8"/>
  <c r="R58" i="8"/>
  <c r="AB58" i="8" s="1"/>
  <c r="AG58" i="8" s="1"/>
  <c r="Q58" i="8"/>
  <c r="AA58" i="8" s="1"/>
  <c r="AF58" i="8" s="1"/>
  <c r="P58" i="8"/>
  <c r="Z58" i="8" s="1"/>
  <c r="O58" i="8"/>
  <c r="Y58" i="8" s="1"/>
  <c r="AD58" i="8" s="1"/>
  <c r="K58" i="8"/>
  <c r="L58" i="8" s="1"/>
  <c r="M58" i="8" s="1"/>
  <c r="AB57" i="8"/>
  <c r="AG57" i="8" s="1"/>
  <c r="Z57" i="8"/>
  <c r="AE57" i="8" s="1"/>
  <c r="R57" i="8"/>
  <c r="Q57" i="8"/>
  <c r="AA57" i="8" s="1"/>
  <c r="AF57" i="8" s="1"/>
  <c r="P57" i="8"/>
  <c r="O57" i="8"/>
  <c r="Y57" i="8" s="1"/>
  <c r="AD57" i="8" s="1"/>
  <c r="K57" i="8"/>
  <c r="L57" i="8" s="1"/>
  <c r="M57" i="8" s="1"/>
  <c r="AE56" i="8"/>
  <c r="R56" i="8"/>
  <c r="AB56" i="8" s="1"/>
  <c r="AG56" i="8" s="1"/>
  <c r="Q56" i="8"/>
  <c r="AA56" i="8" s="1"/>
  <c r="AF56" i="8" s="1"/>
  <c r="P56" i="8"/>
  <c r="Z56" i="8" s="1"/>
  <c r="O56" i="8"/>
  <c r="Y56" i="8" s="1"/>
  <c r="AD56" i="8" s="1"/>
  <c r="K56" i="8"/>
  <c r="L56" i="8" s="1"/>
  <c r="M56" i="8" s="1"/>
  <c r="AB55" i="8"/>
  <c r="AG55" i="8" s="1"/>
  <c r="R55" i="8"/>
  <c r="Q55" i="8"/>
  <c r="AA55" i="8" s="1"/>
  <c r="AF55" i="8" s="1"/>
  <c r="P55" i="8"/>
  <c r="Z55" i="8" s="1"/>
  <c r="AE55" i="8" s="1"/>
  <c r="O55" i="8"/>
  <c r="Y55" i="8" s="1"/>
  <c r="AD55" i="8" s="1"/>
  <c r="L55" i="8"/>
  <c r="M55" i="8" s="1"/>
  <c r="K55" i="8"/>
  <c r="AB54" i="8"/>
  <c r="AG54" i="8" s="1"/>
  <c r="R54" i="8"/>
  <c r="Q54" i="8"/>
  <c r="AA54" i="8" s="1"/>
  <c r="AF54" i="8" s="1"/>
  <c r="P54" i="8"/>
  <c r="Z54" i="8" s="1"/>
  <c r="AE54" i="8" s="1"/>
  <c r="O54" i="8"/>
  <c r="Y54" i="8" s="1"/>
  <c r="AD54" i="8" s="1"/>
  <c r="K54" i="8"/>
  <c r="L54" i="8" s="1"/>
  <c r="M54" i="8" s="1"/>
  <c r="R53" i="8"/>
  <c r="AB53" i="8" s="1"/>
  <c r="AG53" i="8" s="1"/>
  <c r="Q53" i="8"/>
  <c r="AA53" i="8" s="1"/>
  <c r="AF53" i="8" s="1"/>
  <c r="P53" i="8"/>
  <c r="Z53" i="8" s="1"/>
  <c r="AE53" i="8" s="1"/>
  <c r="O53" i="8"/>
  <c r="Y53" i="8" s="1"/>
  <c r="AD53" i="8" s="1"/>
  <c r="K53" i="8"/>
  <c r="L53" i="8" s="1"/>
  <c r="M53" i="8" s="1"/>
  <c r="H53" i="8"/>
  <c r="E53" i="8"/>
  <c r="R52" i="8"/>
  <c r="Q52" i="8"/>
  <c r="P52" i="8"/>
  <c r="O52" i="8"/>
  <c r="H52" i="8"/>
  <c r="AB51" i="8"/>
  <c r="AG51" i="8" s="1"/>
  <c r="Y51" i="8"/>
  <c r="AD51" i="8" s="1"/>
  <c r="R51" i="8"/>
  <c r="Q51" i="8"/>
  <c r="AA51" i="8" s="1"/>
  <c r="AF51" i="8" s="1"/>
  <c r="P51" i="8"/>
  <c r="Z51" i="8" s="1"/>
  <c r="AE51" i="8" s="1"/>
  <c r="O51" i="8"/>
  <c r="K51" i="8"/>
  <c r="L51" i="8" s="1"/>
  <c r="M51" i="8" s="1"/>
  <c r="Z50" i="8"/>
  <c r="AE50" i="8" s="1"/>
  <c r="R50" i="8"/>
  <c r="AB50" i="8" s="1"/>
  <c r="AG50" i="8" s="1"/>
  <c r="Q50" i="8"/>
  <c r="AA50" i="8" s="1"/>
  <c r="AF50" i="8" s="1"/>
  <c r="P50" i="8"/>
  <c r="O50" i="8"/>
  <c r="Y50" i="8" s="1"/>
  <c r="AD50" i="8" s="1"/>
  <c r="K50" i="8"/>
  <c r="L50" i="8" s="1"/>
  <c r="M50" i="8" s="1"/>
  <c r="H50" i="8"/>
  <c r="R49" i="8"/>
  <c r="Q49" i="8"/>
  <c r="P49" i="8"/>
  <c r="O49" i="8"/>
  <c r="H49" i="8"/>
  <c r="AG48" i="8"/>
  <c r="AB48" i="8"/>
  <c r="AA48" i="8"/>
  <c r="AF48" i="8" s="1"/>
  <c r="Y48" i="8"/>
  <c r="AD48" i="8" s="1"/>
  <c r="P48" i="8"/>
  <c r="Z48" i="8" s="1"/>
  <c r="AE48" i="8" s="1"/>
  <c r="K48" i="8"/>
  <c r="L48" i="8" s="1"/>
  <c r="M48" i="8" s="1"/>
  <c r="AF47" i="8"/>
  <c r="R47" i="8"/>
  <c r="AB47" i="8" s="1"/>
  <c r="AG47" i="8" s="1"/>
  <c r="Q47" i="8"/>
  <c r="AA47" i="8" s="1"/>
  <c r="P47" i="8"/>
  <c r="Z47" i="8" s="1"/>
  <c r="AE47" i="8" s="1"/>
  <c r="O47" i="8"/>
  <c r="Y47" i="8" s="1"/>
  <c r="AD47" i="8" s="1"/>
  <c r="K47" i="8"/>
  <c r="L47" i="8" s="1"/>
  <c r="M47" i="8" s="1"/>
  <c r="G47" i="8"/>
  <c r="F47" i="8"/>
  <c r="R46" i="8"/>
  <c r="AB46" i="8" s="1"/>
  <c r="AG46" i="8" s="1"/>
  <c r="Q46" i="8"/>
  <c r="AA46" i="8" s="1"/>
  <c r="AF46" i="8" s="1"/>
  <c r="P46" i="8"/>
  <c r="Z46" i="8" s="1"/>
  <c r="AE46" i="8" s="1"/>
  <c r="O46" i="8"/>
  <c r="Y46" i="8" s="1"/>
  <c r="AD46" i="8" s="1"/>
  <c r="K46" i="8"/>
  <c r="L46" i="8" s="1"/>
  <c r="M46" i="8" s="1"/>
  <c r="G46" i="8"/>
  <c r="E46" i="8"/>
  <c r="F46" i="8" s="1"/>
  <c r="H46" i="8" s="1"/>
  <c r="AA45" i="8"/>
  <c r="AF45" i="8" s="1"/>
  <c r="R45" i="8"/>
  <c r="AB45" i="8" s="1"/>
  <c r="AG45" i="8" s="1"/>
  <c r="Q45" i="8"/>
  <c r="P45" i="8"/>
  <c r="Z45" i="8" s="1"/>
  <c r="AE45" i="8" s="1"/>
  <c r="O45" i="8"/>
  <c r="Y45" i="8" s="1"/>
  <c r="AD45" i="8" s="1"/>
  <c r="L45" i="8"/>
  <c r="M45" i="8" s="1"/>
  <c r="K45" i="8"/>
  <c r="G45" i="8"/>
  <c r="E45" i="8"/>
  <c r="F45" i="8" s="1"/>
  <c r="R44" i="8"/>
  <c r="Q44" i="8"/>
  <c r="P44" i="8"/>
  <c r="O44" i="8"/>
  <c r="G44" i="8"/>
  <c r="F44" i="8"/>
  <c r="H44" i="8" s="1"/>
  <c r="AF43" i="8"/>
  <c r="AA43" i="8"/>
  <c r="R43" i="8"/>
  <c r="AB43" i="8" s="1"/>
  <c r="AG43" i="8" s="1"/>
  <c r="Q43" i="8"/>
  <c r="P43" i="8"/>
  <c r="Z43" i="8" s="1"/>
  <c r="AE43" i="8" s="1"/>
  <c r="O43" i="8"/>
  <c r="Y43" i="8" s="1"/>
  <c r="AD43" i="8" s="1"/>
  <c r="L43" i="8"/>
  <c r="M43" i="8" s="1"/>
  <c r="K43" i="8"/>
  <c r="G43" i="8"/>
  <c r="F43" i="8"/>
  <c r="AG42" i="8"/>
  <c r="Z42" i="8"/>
  <c r="AE42" i="8" s="1"/>
  <c r="R42" i="8"/>
  <c r="AB42" i="8" s="1"/>
  <c r="Q42" i="8"/>
  <c r="AA42" i="8" s="1"/>
  <c r="AF42" i="8" s="1"/>
  <c r="P42" i="8"/>
  <c r="O42" i="8"/>
  <c r="Y42" i="8" s="1"/>
  <c r="AD42" i="8" s="1"/>
  <c r="K42" i="8"/>
  <c r="L42" i="8" s="1"/>
  <c r="M42" i="8" s="1"/>
  <c r="G42" i="8"/>
  <c r="F42" i="8"/>
  <c r="H42" i="8" s="1"/>
  <c r="AA41" i="8"/>
  <c r="AF41" i="8" s="1"/>
  <c r="R41" i="8"/>
  <c r="AB41" i="8" s="1"/>
  <c r="AG41" i="8" s="1"/>
  <c r="Q41" i="8"/>
  <c r="P41" i="8"/>
  <c r="Z41" i="8" s="1"/>
  <c r="AE41" i="8" s="1"/>
  <c r="O41" i="8"/>
  <c r="Y41" i="8" s="1"/>
  <c r="AD41" i="8" s="1"/>
  <c r="M41" i="8"/>
  <c r="K41" i="8"/>
  <c r="L41" i="8" s="1"/>
  <c r="G41" i="8"/>
  <c r="F41" i="8"/>
  <c r="AB40" i="8"/>
  <c r="AG40" i="8" s="1"/>
  <c r="R40" i="8"/>
  <c r="Q40" i="8"/>
  <c r="AA40" i="8" s="1"/>
  <c r="AF40" i="8" s="1"/>
  <c r="P40" i="8"/>
  <c r="Z40" i="8" s="1"/>
  <c r="AE40" i="8" s="1"/>
  <c r="O40" i="8"/>
  <c r="Y40" i="8" s="1"/>
  <c r="AD40" i="8" s="1"/>
  <c r="K40" i="8"/>
  <c r="L40" i="8" s="1"/>
  <c r="M40" i="8" s="1"/>
  <c r="G40" i="8"/>
  <c r="F40" i="8"/>
  <c r="R39" i="8"/>
  <c r="AB39" i="8" s="1"/>
  <c r="AG39" i="8" s="1"/>
  <c r="Q39" i="8"/>
  <c r="AA39" i="8" s="1"/>
  <c r="AF39" i="8" s="1"/>
  <c r="P39" i="8"/>
  <c r="Z39" i="8" s="1"/>
  <c r="AE39" i="8" s="1"/>
  <c r="O39" i="8"/>
  <c r="Y39" i="8" s="1"/>
  <c r="AD39" i="8" s="1"/>
  <c r="M39" i="8"/>
  <c r="K39" i="8"/>
  <c r="L39" i="8" s="1"/>
  <c r="G39" i="8"/>
  <c r="F39" i="8"/>
  <c r="H39" i="8" s="1"/>
  <c r="AB38" i="8"/>
  <c r="AG38" i="8" s="1"/>
  <c r="Y38" i="8"/>
  <c r="AD38" i="8" s="1"/>
  <c r="R38" i="8"/>
  <c r="Q38" i="8"/>
  <c r="AA38" i="8" s="1"/>
  <c r="AF38" i="8" s="1"/>
  <c r="P38" i="8"/>
  <c r="Z38" i="8" s="1"/>
  <c r="AE38" i="8" s="1"/>
  <c r="O38" i="8"/>
  <c r="L38" i="8"/>
  <c r="M38" i="8" s="1"/>
  <c r="K38" i="8"/>
  <c r="G38" i="8"/>
  <c r="F38" i="8"/>
  <c r="R37" i="8"/>
  <c r="AB37" i="8" s="1"/>
  <c r="AG37" i="8" s="1"/>
  <c r="Q37" i="8"/>
  <c r="AA37" i="8" s="1"/>
  <c r="AF37" i="8" s="1"/>
  <c r="P37" i="8"/>
  <c r="Z37" i="8" s="1"/>
  <c r="AE37" i="8" s="1"/>
  <c r="O37" i="8"/>
  <c r="Y37" i="8" s="1"/>
  <c r="AD37" i="8" s="1"/>
  <c r="K37" i="8"/>
  <c r="L37" i="8" s="1"/>
  <c r="M37" i="8" s="1"/>
  <c r="G37" i="8"/>
  <c r="F37" i="8"/>
  <c r="AA36" i="8"/>
  <c r="AF36" i="8" s="1"/>
  <c r="R36" i="8"/>
  <c r="AB36" i="8" s="1"/>
  <c r="AG36" i="8" s="1"/>
  <c r="Q36" i="8"/>
  <c r="P36" i="8"/>
  <c r="Z36" i="8" s="1"/>
  <c r="AE36" i="8" s="1"/>
  <c r="O36" i="8"/>
  <c r="Y36" i="8" s="1"/>
  <c r="AD36" i="8" s="1"/>
  <c r="K36" i="8"/>
  <c r="L36" i="8" s="1"/>
  <c r="M36" i="8" s="1"/>
  <c r="G36" i="8"/>
  <c r="F36" i="8"/>
  <c r="H36" i="8" s="1"/>
  <c r="R35" i="8"/>
  <c r="AB35" i="8" s="1"/>
  <c r="AG35" i="8" s="1"/>
  <c r="Q35" i="8"/>
  <c r="AA35" i="8" s="1"/>
  <c r="AF35" i="8" s="1"/>
  <c r="P35" i="8"/>
  <c r="Z35" i="8" s="1"/>
  <c r="AE35" i="8" s="1"/>
  <c r="O35" i="8"/>
  <c r="Y35" i="8" s="1"/>
  <c r="AD35" i="8" s="1"/>
  <c r="M35" i="8"/>
  <c r="K35" i="8"/>
  <c r="L35" i="8" s="1"/>
  <c r="G35" i="8"/>
  <c r="H35" i="8" s="1"/>
  <c r="F35" i="8"/>
  <c r="Y34" i="8"/>
  <c r="AD34" i="8" s="1"/>
  <c r="R34" i="8"/>
  <c r="Q34" i="8"/>
  <c r="P34" i="8"/>
  <c r="O34" i="8"/>
  <c r="L34" i="8"/>
  <c r="M34" i="8" s="1"/>
  <c r="K34" i="8"/>
  <c r="G34" i="8"/>
  <c r="F34" i="8"/>
  <c r="W31" i="8"/>
  <c r="V31" i="8"/>
  <c r="U31" i="8"/>
  <c r="T31" i="8"/>
  <c r="I31" i="8"/>
  <c r="AB30" i="8"/>
  <c r="AG30" i="8" s="1"/>
  <c r="Z30" i="8"/>
  <c r="AE30" i="8" s="1"/>
  <c r="Y30" i="8"/>
  <c r="AD30" i="8" s="1"/>
  <c r="Q30" i="8"/>
  <c r="AA30" i="8" s="1"/>
  <c r="AF30" i="8" s="1"/>
  <c r="K30" i="8"/>
  <c r="L30" i="8" s="1"/>
  <c r="M30" i="8" s="1"/>
  <c r="G30" i="8"/>
  <c r="F30" i="8"/>
  <c r="AF29" i="8"/>
  <c r="AB29" i="8"/>
  <c r="AG29" i="8" s="1"/>
  <c r="AA29" i="8"/>
  <c r="Z29" i="8"/>
  <c r="AE29" i="8" s="1"/>
  <c r="Y29" i="8"/>
  <c r="AD29" i="8" s="1"/>
  <c r="P29" i="8"/>
  <c r="K29" i="8"/>
  <c r="L29" i="8" s="1"/>
  <c r="M29" i="8" s="1"/>
  <c r="G29" i="8"/>
  <c r="D29" i="8"/>
  <c r="F29" i="8" s="1"/>
  <c r="AD28" i="8"/>
  <c r="AB28" i="8"/>
  <c r="AG28" i="8" s="1"/>
  <c r="AA28" i="8"/>
  <c r="AF28" i="8" s="1"/>
  <c r="Y28" i="8"/>
  <c r="P28" i="8"/>
  <c r="Z28" i="8" s="1"/>
  <c r="AE28" i="8" s="1"/>
  <c r="L28" i="8"/>
  <c r="M28" i="8" s="1"/>
  <c r="K28" i="8"/>
  <c r="G28" i="8"/>
  <c r="E28" i="8"/>
  <c r="F28" i="8" s="1"/>
  <c r="H28" i="8" s="1"/>
  <c r="AF27" i="8"/>
  <c r="AD27" i="8"/>
  <c r="AB27" i="8"/>
  <c r="AG27" i="8" s="1"/>
  <c r="AA27" i="8"/>
  <c r="Z27" i="8"/>
  <c r="AE27" i="8" s="1"/>
  <c r="O27" i="8"/>
  <c r="Y27" i="8" s="1"/>
  <c r="L27" i="8"/>
  <c r="M27" i="8" s="1"/>
  <c r="K27" i="8"/>
  <c r="G27" i="8"/>
  <c r="F27" i="8"/>
  <c r="AF26" i="8"/>
  <c r="AB26" i="8"/>
  <c r="AG26" i="8" s="1"/>
  <c r="AA26" i="8"/>
  <c r="Z26" i="8"/>
  <c r="AE26" i="8" s="1"/>
  <c r="O26" i="8"/>
  <c r="Y26" i="8" s="1"/>
  <c r="AD26" i="8" s="1"/>
  <c r="K26" i="8"/>
  <c r="L26" i="8" s="1"/>
  <c r="M26" i="8" s="1"/>
  <c r="G26" i="8"/>
  <c r="D26" i="8"/>
  <c r="F26" i="8" s="1"/>
  <c r="AF25" i="8"/>
  <c r="AB25" i="8"/>
  <c r="AG25" i="8" s="1"/>
  <c r="AA25" i="8"/>
  <c r="Z25" i="8"/>
  <c r="AE25" i="8" s="1"/>
  <c r="O25" i="8"/>
  <c r="Y25" i="8" s="1"/>
  <c r="AD25" i="8" s="1"/>
  <c r="K25" i="8"/>
  <c r="L25" i="8" s="1"/>
  <c r="M25" i="8" s="1"/>
  <c r="G25" i="8"/>
  <c r="D25" i="8"/>
  <c r="F25" i="8" s="1"/>
  <c r="AD24" i="8"/>
  <c r="AB24" i="8"/>
  <c r="AG24" i="8" s="1"/>
  <c r="AA24" i="8"/>
  <c r="AF24" i="8" s="1"/>
  <c r="Z24" i="8"/>
  <c r="AE24" i="8" s="1"/>
  <c r="Y24" i="8"/>
  <c r="O24" i="8"/>
  <c r="L24" i="8"/>
  <c r="M24" i="8" s="1"/>
  <c r="K24" i="8"/>
  <c r="G24" i="8"/>
  <c r="F24" i="8"/>
  <c r="AG23" i="8"/>
  <c r="AB23" i="8"/>
  <c r="AA23" i="8"/>
  <c r="AF23" i="8" s="1"/>
  <c r="Z23" i="8"/>
  <c r="AE23" i="8" s="1"/>
  <c r="O23" i="8"/>
  <c r="Y23" i="8" s="1"/>
  <c r="AD23" i="8" s="1"/>
  <c r="K23" i="8"/>
  <c r="L23" i="8" s="1"/>
  <c r="M23" i="8" s="1"/>
  <c r="G23" i="8"/>
  <c r="D23" i="8"/>
  <c r="F23" i="8" s="1"/>
  <c r="H23" i="8" s="1"/>
  <c r="AB22" i="8"/>
  <c r="AG22" i="8" s="1"/>
  <c r="R22" i="8"/>
  <c r="Q22" i="8"/>
  <c r="AA22" i="8" s="1"/>
  <c r="AF22" i="8" s="1"/>
  <c r="P22" i="8"/>
  <c r="Z22" i="8" s="1"/>
  <c r="AE22" i="8" s="1"/>
  <c r="O22" i="8"/>
  <c r="Y22" i="8" s="1"/>
  <c r="AD22" i="8" s="1"/>
  <c r="L22" i="8"/>
  <c r="M22" i="8" s="1"/>
  <c r="K22" i="8"/>
  <c r="G22" i="8"/>
  <c r="H22" i="8" s="1"/>
  <c r="F22" i="8"/>
  <c r="Z21" i="8"/>
  <c r="AE21" i="8" s="1"/>
  <c r="R21" i="8"/>
  <c r="AB21" i="8" s="1"/>
  <c r="AG21" i="8" s="1"/>
  <c r="Q21" i="8"/>
  <c r="AA21" i="8" s="1"/>
  <c r="AF21" i="8" s="1"/>
  <c r="P21" i="8"/>
  <c r="O21" i="8"/>
  <c r="Y21" i="8" s="1"/>
  <c r="AD21" i="8" s="1"/>
  <c r="K21" i="8"/>
  <c r="L21" i="8" s="1"/>
  <c r="M21" i="8" s="1"/>
  <c r="G21" i="8"/>
  <c r="E21" i="8"/>
  <c r="F21" i="8" s="1"/>
  <c r="AA20" i="8"/>
  <c r="AF20" i="8" s="1"/>
  <c r="R20" i="8"/>
  <c r="AB20" i="8" s="1"/>
  <c r="AG20" i="8" s="1"/>
  <c r="Q20" i="8"/>
  <c r="P20" i="8"/>
  <c r="Z20" i="8" s="1"/>
  <c r="AE20" i="8" s="1"/>
  <c r="O20" i="8"/>
  <c r="Y20" i="8" s="1"/>
  <c r="AD20" i="8" s="1"/>
  <c r="K20" i="8"/>
  <c r="L20" i="8" s="1"/>
  <c r="M20" i="8" s="1"/>
  <c r="G20" i="8"/>
  <c r="E20" i="8"/>
  <c r="F20" i="8" s="1"/>
  <c r="R19" i="8"/>
  <c r="AB19" i="8" s="1"/>
  <c r="AG19" i="8" s="1"/>
  <c r="Q19" i="8"/>
  <c r="AA19" i="8" s="1"/>
  <c r="AF19" i="8" s="1"/>
  <c r="P19" i="8"/>
  <c r="Z19" i="8" s="1"/>
  <c r="AE19" i="8" s="1"/>
  <c r="O19" i="8"/>
  <c r="Y19" i="8" s="1"/>
  <c r="AD19" i="8" s="1"/>
  <c r="K19" i="8"/>
  <c r="L19" i="8" s="1"/>
  <c r="M19" i="8" s="1"/>
  <c r="G19" i="8"/>
  <c r="E19" i="8"/>
  <c r="F19" i="8" s="1"/>
  <c r="AE18" i="8"/>
  <c r="R18" i="8"/>
  <c r="AB18" i="8" s="1"/>
  <c r="AG18" i="8" s="1"/>
  <c r="Q18" i="8"/>
  <c r="AA18" i="8" s="1"/>
  <c r="AF18" i="8" s="1"/>
  <c r="P18" i="8"/>
  <c r="Z18" i="8" s="1"/>
  <c r="O18" i="8"/>
  <c r="Y18" i="8" s="1"/>
  <c r="AD18" i="8" s="1"/>
  <c r="L18" i="8"/>
  <c r="M18" i="8" s="1"/>
  <c r="K18" i="8"/>
  <c r="G18" i="8"/>
  <c r="E18" i="8"/>
  <c r="F18" i="8" s="1"/>
  <c r="AB17" i="8"/>
  <c r="AG17" i="8" s="1"/>
  <c r="Z17" i="8"/>
  <c r="AE17" i="8" s="1"/>
  <c r="Y17" i="8"/>
  <c r="AD17" i="8" s="1"/>
  <c r="R17" i="8"/>
  <c r="Q17" i="8"/>
  <c r="AA17" i="8" s="1"/>
  <c r="AF17" i="8" s="1"/>
  <c r="P17" i="8"/>
  <c r="O17" i="8"/>
  <c r="K17" i="8"/>
  <c r="L17" i="8" s="1"/>
  <c r="M17" i="8" s="1"/>
  <c r="G17" i="8"/>
  <c r="F17" i="8"/>
  <c r="H17" i="8" s="1"/>
  <c r="AB16" i="8"/>
  <c r="AG16" i="8" s="1"/>
  <c r="AA16" i="8"/>
  <c r="AF16" i="8" s="1"/>
  <c r="R16" i="8"/>
  <c r="Q16" i="8"/>
  <c r="P16" i="8"/>
  <c r="Z16" i="8" s="1"/>
  <c r="AE16" i="8" s="1"/>
  <c r="O16" i="8"/>
  <c r="Y16" i="8" s="1"/>
  <c r="AD16" i="8" s="1"/>
  <c r="K16" i="8"/>
  <c r="L16" i="8" s="1"/>
  <c r="M16" i="8" s="1"/>
  <c r="G16" i="8"/>
  <c r="D16" i="8"/>
  <c r="F16" i="8" s="1"/>
  <c r="H16" i="8" s="1"/>
  <c r="Y15" i="8"/>
  <c r="AD15" i="8" s="1"/>
  <c r="R15" i="8"/>
  <c r="AB15" i="8" s="1"/>
  <c r="AG15" i="8" s="1"/>
  <c r="Q15" i="8"/>
  <c r="AA15" i="8" s="1"/>
  <c r="AF15" i="8" s="1"/>
  <c r="P15" i="8"/>
  <c r="Z15" i="8" s="1"/>
  <c r="AE15" i="8" s="1"/>
  <c r="O15" i="8"/>
  <c r="K15" i="8"/>
  <c r="L15" i="8" s="1"/>
  <c r="M15" i="8" s="1"/>
  <c r="G15" i="8"/>
  <c r="E15" i="8"/>
  <c r="F15" i="8" s="1"/>
  <c r="Z14" i="8"/>
  <c r="AE14" i="8" s="1"/>
  <c r="Y14" i="8"/>
  <c r="AD14" i="8" s="1"/>
  <c r="R14" i="8"/>
  <c r="AB14" i="8" s="1"/>
  <c r="AG14" i="8" s="1"/>
  <c r="Q14" i="8"/>
  <c r="AA14" i="8" s="1"/>
  <c r="AF14" i="8" s="1"/>
  <c r="P14" i="8"/>
  <c r="O14" i="8"/>
  <c r="K14" i="8"/>
  <c r="L14" i="8" s="1"/>
  <c r="M14" i="8" s="1"/>
  <c r="G14" i="8"/>
  <c r="E14" i="8"/>
  <c r="F14" i="8" s="1"/>
  <c r="H14" i="8" s="1"/>
  <c r="AB13" i="8"/>
  <c r="AG13" i="8" s="1"/>
  <c r="R13" i="8"/>
  <c r="Q13" i="8"/>
  <c r="AA13" i="8" s="1"/>
  <c r="AF13" i="8" s="1"/>
  <c r="P13" i="8"/>
  <c r="Z13" i="8" s="1"/>
  <c r="AE13" i="8" s="1"/>
  <c r="O13" i="8"/>
  <c r="Y13" i="8" s="1"/>
  <c r="AD13" i="8" s="1"/>
  <c r="K13" i="8"/>
  <c r="L13" i="8" s="1"/>
  <c r="M13" i="8" s="1"/>
  <c r="G13" i="8"/>
  <c r="H13" i="8" s="1"/>
  <c r="E13" i="8"/>
  <c r="F13" i="8" s="1"/>
  <c r="R12" i="8"/>
  <c r="AB12" i="8" s="1"/>
  <c r="AG12" i="8" s="1"/>
  <c r="Q12" i="8"/>
  <c r="AA12" i="8" s="1"/>
  <c r="AF12" i="8" s="1"/>
  <c r="P12" i="8"/>
  <c r="Z12" i="8" s="1"/>
  <c r="AE12" i="8" s="1"/>
  <c r="O12" i="8"/>
  <c r="Y12" i="8" s="1"/>
  <c r="AD12" i="8" s="1"/>
  <c r="M12" i="8"/>
  <c r="K12" i="8"/>
  <c r="L12" i="8" s="1"/>
  <c r="G12" i="8"/>
  <c r="F12" i="8"/>
  <c r="AE11" i="8"/>
  <c r="Z11" i="8"/>
  <c r="Y11" i="8"/>
  <c r="AD11" i="8" s="1"/>
  <c r="R11" i="8"/>
  <c r="AB11" i="8" s="1"/>
  <c r="AG11" i="8" s="1"/>
  <c r="Q11" i="8"/>
  <c r="AA11" i="8" s="1"/>
  <c r="AF11" i="8" s="1"/>
  <c r="P11" i="8"/>
  <c r="O11" i="8"/>
  <c r="L11" i="8"/>
  <c r="M11" i="8" s="1"/>
  <c r="K11" i="8"/>
  <c r="G11" i="8"/>
  <c r="F11" i="8"/>
  <c r="AG10" i="8"/>
  <c r="AB10" i="8"/>
  <c r="R10" i="8"/>
  <c r="Q10" i="8"/>
  <c r="AA10" i="8" s="1"/>
  <c r="AF10" i="8" s="1"/>
  <c r="P10" i="8"/>
  <c r="Z10" i="8" s="1"/>
  <c r="AE10" i="8" s="1"/>
  <c r="O10" i="8"/>
  <c r="K10" i="8"/>
  <c r="L10" i="8" s="1"/>
  <c r="M10" i="8" s="1"/>
  <c r="G10" i="8"/>
  <c r="H10" i="8" s="1"/>
  <c r="F10" i="8"/>
  <c r="K2163" i="9" l="1"/>
  <c r="N2200" i="9"/>
  <c r="N2219" i="9"/>
  <c r="K2205" i="9"/>
  <c r="Z96" i="8"/>
  <c r="AE96" i="8" s="1"/>
  <c r="K1536" i="9"/>
  <c r="M698" i="9"/>
  <c r="M2113" i="9"/>
  <c r="N2128" i="9"/>
  <c r="M1582" i="9"/>
  <c r="L1536" i="9"/>
  <c r="N2094" i="9"/>
  <c r="M2158" i="9"/>
  <c r="N2368" i="9"/>
  <c r="N1536" i="9"/>
  <c r="K2139" i="9"/>
  <c r="N1499" i="9"/>
  <c r="N2160" i="9"/>
  <c r="L1553" i="9"/>
  <c r="I34" i="9"/>
  <c r="M1553" i="9"/>
  <c r="L1890" i="9"/>
  <c r="K1967" i="9"/>
  <c r="N2003" i="9"/>
  <c r="K2070" i="9"/>
  <c r="L2086" i="9"/>
  <c r="K2090" i="9"/>
  <c r="L2101" i="9"/>
  <c r="N2176" i="9"/>
  <c r="M2182" i="9"/>
  <c r="I1570" i="9"/>
  <c r="N1553" i="9"/>
  <c r="N1596" i="9"/>
  <c r="M1890" i="9"/>
  <c r="M1918" i="9"/>
  <c r="M1967" i="9"/>
  <c r="N2112" i="9"/>
  <c r="M2129" i="9"/>
  <c r="N2135" i="9"/>
  <c r="M2204" i="9"/>
  <c r="L849" i="9"/>
  <c r="L1012" i="9"/>
  <c r="L1539" i="9"/>
  <c r="N1582" i="9"/>
  <c r="N1875" i="9"/>
  <c r="N1890" i="9"/>
  <c r="N1962" i="9"/>
  <c r="N1967" i="9"/>
  <c r="M2077" i="9"/>
  <c r="K2087" i="9"/>
  <c r="M2091" i="9"/>
  <c r="K2125" i="9"/>
  <c r="K2160" i="9"/>
  <c r="K2171" i="9"/>
  <c r="L2200" i="9"/>
  <c r="L2208" i="9"/>
  <c r="L2368" i="9"/>
  <c r="L690" i="9"/>
  <c r="N698" i="9"/>
  <c r="K861" i="9"/>
  <c r="M1012" i="9"/>
  <c r="K1023" i="9"/>
  <c r="M1035" i="9"/>
  <c r="K1499" i="9"/>
  <c r="M690" i="9"/>
  <c r="N849" i="9"/>
  <c r="N1012" i="9"/>
  <c r="L1540" i="9"/>
  <c r="M1552" i="9"/>
  <c r="L1582" i="9"/>
  <c r="L1976" i="9"/>
  <c r="L2073" i="9"/>
  <c r="K2085" i="9"/>
  <c r="K2098" i="9"/>
  <c r="M2109" i="9"/>
  <c r="M2120" i="9"/>
  <c r="L2126" i="9"/>
  <c r="N2131" i="9"/>
  <c r="L2137" i="9"/>
  <c r="L2166" i="9"/>
  <c r="N2184" i="9"/>
  <c r="L2209" i="9"/>
  <c r="L2388" i="9"/>
  <c r="M1499" i="9"/>
  <c r="N1552" i="9"/>
  <c r="K2069" i="9"/>
  <c r="L2085" i="9"/>
  <c r="L2089" i="9"/>
  <c r="L2105" i="9"/>
  <c r="N2157" i="9"/>
  <c r="M2198" i="9"/>
  <c r="L2201" i="9"/>
  <c r="M2388" i="9"/>
  <c r="M1970" i="9"/>
  <c r="M2069" i="9"/>
  <c r="N2085" i="9"/>
  <c r="M2089" i="9"/>
  <c r="K2094" i="9"/>
  <c r="M2105" i="9"/>
  <c r="K2115" i="9"/>
  <c r="L2181" i="9"/>
  <c r="N2198" i="9"/>
  <c r="L1901" i="9"/>
  <c r="K1958" i="9"/>
  <c r="L1966" i="9"/>
  <c r="M2083" i="9"/>
  <c r="K2093" i="9"/>
  <c r="M2104" i="9"/>
  <c r="K2117" i="9"/>
  <c r="K2146" i="9"/>
  <c r="L2150" i="9"/>
  <c r="K2155" i="9"/>
  <c r="N2163" i="9"/>
  <c r="K2168" i="9"/>
  <c r="N2181" i="9"/>
  <c r="M2195" i="9"/>
  <c r="K2206" i="9"/>
  <c r="M2208" i="9"/>
  <c r="L2216" i="9"/>
  <c r="M1538" i="9"/>
  <c r="M1958" i="9"/>
  <c r="L1962" i="9"/>
  <c r="L1970" i="9"/>
  <c r="K1976" i="9"/>
  <c r="M2003" i="9"/>
  <c r="K2074" i="9"/>
  <c r="K2086" i="9"/>
  <c r="L2093" i="9"/>
  <c r="L2109" i="9"/>
  <c r="L2113" i="9"/>
  <c r="M2117" i="9"/>
  <c r="L2121" i="9"/>
  <c r="K2126" i="9"/>
  <c r="L2129" i="9"/>
  <c r="K2141" i="9"/>
  <c r="L2146" i="9"/>
  <c r="N2155" i="9"/>
  <c r="N2168" i="9"/>
  <c r="N2195" i="9"/>
  <c r="M2206" i="9"/>
  <c r="K2213" i="9"/>
  <c r="N2216" i="9"/>
  <c r="N1538" i="9"/>
  <c r="M2093" i="9"/>
  <c r="N2117" i="9"/>
  <c r="N2146" i="9"/>
  <c r="L1566" i="9"/>
  <c r="K1903" i="9"/>
  <c r="N1918" i="9"/>
  <c r="K1959" i="9"/>
  <c r="N1970" i="9"/>
  <c r="M1976" i="9"/>
  <c r="N2070" i="9"/>
  <c r="L2080" i="9"/>
  <c r="L2097" i="9"/>
  <c r="M2101" i="9"/>
  <c r="K2122" i="9"/>
  <c r="N2126" i="9"/>
  <c r="K2134" i="9"/>
  <c r="K2142" i="9"/>
  <c r="K2144" i="9"/>
  <c r="M2152" i="9"/>
  <c r="L2174" i="9"/>
  <c r="K2179" i="9"/>
  <c r="K2187" i="9"/>
  <c r="L2196" i="9"/>
  <c r="K2200" i="9"/>
  <c r="L2204" i="9"/>
  <c r="K2214" i="9"/>
  <c r="M2217" i="9"/>
  <c r="L1959" i="9"/>
  <c r="K2118" i="9"/>
  <c r="K2130" i="9"/>
  <c r="N2134" i="9"/>
  <c r="L2142" i="9"/>
  <c r="M2144" i="9"/>
  <c r="L2147" i="9"/>
  <c r="N2152" i="9"/>
  <c r="N2179" i="9"/>
  <c r="N2187" i="9"/>
  <c r="L2214" i="9"/>
  <c r="N1889" i="9"/>
  <c r="N1959" i="9"/>
  <c r="N2142" i="9"/>
  <c r="N2144" i="9"/>
  <c r="K2211" i="9"/>
  <c r="N2214" i="9"/>
  <c r="N1965" i="9"/>
  <c r="K2001" i="9"/>
  <c r="L2077" i="9"/>
  <c r="L2082" i="9"/>
  <c r="L2094" i="9"/>
  <c r="L2128" i="9"/>
  <c r="K2131" i="9"/>
  <c r="N2139" i="9"/>
  <c r="N2171" i="9"/>
  <c r="K2176" i="9"/>
  <c r="M2184" i="9"/>
  <c r="N2211" i="9"/>
  <c r="K2219" i="9"/>
  <c r="K690" i="9"/>
  <c r="M1023" i="9"/>
  <c r="K1035" i="9"/>
  <c r="L1499" i="9"/>
  <c r="K1535" i="9"/>
  <c r="M1539" i="9"/>
  <c r="K1554" i="9"/>
  <c r="M1566" i="9"/>
  <c r="K1586" i="9"/>
  <c r="K1596" i="9" s="1"/>
  <c r="K1888" i="9"/>
  <c r="L1893" i="9"/>
  <c r="M1901" i="9"/>
  <c r="K1956" i="9"/>
  <c r="M1961" i="9"/>
  <c r="M1964" i="9"/>
  <c r="M1966" i="9"/>
  <c r="K2005" i="9"/>
  <c r="N2069" i="9"/>
  <c r="M2072" i="9"/>
  <c r="K2078" i="9"/>
  <c r="L2081" i="9"/>
  <c r="N2083" i="9"/>
  <c r="N2091" i="9"/>
  <c r="M2096" i="9"/>
  <c r="K2102" i="9"/>
  <c r="M2108" i="9"/>
  <c r="K2110" i="9"/>
  <c r="M2116" i="9"/>
  <c r="L2118" i="9"/>
  <c r="M2121" i="9"/>
  <c r="L2125" i="9"/>
  <c r="K2133" i="9"/>
  <c r="K2138" i="9"/>
  <c r="L2141" i="9"/>
  <c r="N2147" i="9"/>
  <c r="K2151" i="9"/>
  <c r="K2154" i="9"/>
  <c r="K2162" i="9"/>
  <c r="K2170" i="9"/>
  <c r="K2178" i="9"/>
  <c r="K2186" i="9"/>
  <c r="M2196" i="9"/>
  <c r="N2201" i="9"/>
  <c r="L2213" i="9"/>
  <c r="M849" i="9"/>
  <c r="N1023" i="9"/>
  <c r="L1035" i="9"/>
  <c r="L1535" i="9"/>
  <c r="K1537" i="9"/>
  <c r="N1539" i="9"/>
  <c r="L1554" i="9"/>
  <c r="L1586" i="9"/>
  <c r="L1596" i="9" s="1"/>
  <c r="K1875" i="9"/>
  <c r="N1901" i="9"/>
  <c r="N1956" i="9"/>
  <c r="N1964" i="9"/>
  <c r="N2005" i="9"/>
  <c r="L2078" i="9"/>
  <c r="M2081" i="9"/>
  <c r="L2102" i="9"/>
  <c r="L2110" i="9"/>
  <c r="N2118" i="9"/>
  <c r="M2125" i="9"/>
  <c r="L2133" i="9"/>
  <c r="M2141" i="9"/>
  <c r="L2154" i="9"/>
  <c r="L2162" i="9"/>
  <c r="L2170" i="9"/>
  <c r="L2178" i="9"/>
  <c r="L2186" i="9"/>
  <c r="M2213" i="9"/>
  <c r="K698" i="9"/>
  <c r="L861" i="9"/>
  <c r="M1535" i="9"/>
  <c r="K1582" i="9"/>
  <c r="L1875" i="9"/>
  <c r="N2078" i="9"/>
  <c r="M2102" i="9"/>
  <c r="N2110" i="9"/>
  <c r="M2133" i="9"/>
  <c r="M2154" i="9"/>
  <c r="M2162" i="9"/>
  <c r="M2170" i="9"/>
  <c r="M2178" i="9"/>
  <c r="M2186" i="9"/>
  <c r="L698" i="9"/>
  <c r="K849" i="9"/>
  <c r="M861" i="9"/>
  <c r="K1012" i="9"/>
  <c r="L1023" i="9"/>
  <c r="N1035" i="9"/>
  <c r="L1538" i="9"/>
  <c r="K1540" i="9"/>
  <c r="N1564" i="9"/>
  <c r="M1875" i="9"/>
  <c r="L1918" i="9"/>
  <c r="M1957" i="9"/>
  <c r="M1962" i="9"/>
  <c r="L2003" i="9"/>
  <c r="M2006" i="9"/>
  <c r="L2070" i="9"/>
  <c r="M2073" i="9"/>
  <c r="K2077" i="9"/>
  <c r="N2086" i="9"/>
  <c r="M2097" i="9"/>
  <c r="K2101" i="9"/>
  <c r="K2109" i="9"/>
  <c r="M2131" i="9"/>
  <c r="M2139" i="9"/>
  <c r="M2149" i="9"/>
  <c r="K2152" i="9"/>
  <c r="M2157" i="9"/>
  <c r="M2160" i="9"/>
  <c r="M2165" i="9"/>
  <c r="M2168" i="9"/>
  <c r="L2173" i="9"/>
  <c r="M2176" i="9"/>
  <c r="M2181" i="9"/>
  <c r="K2184" i="9"/>
  <c r="L2195" i="9"/>
  <c r="K2198" i="9"/>
  <c r="N2206" i="9"/>
  <c r="N2208" i="9"/>
  <c r="M2211" i="9"/>
  <c r="M2216" i="9"/>
  <c r="M2219" i="9"/>
  <c r="N1541" i="9"/>
  <c r="K1566" i="9"/>
  <c r="I1596" i="9"/>
  <c r="L1958" i="9"/>
  <c r="K1966" i="9"/>
  <c r="N2080" i="9"/>
  <c r="K2083" i="9"/>
  <c r="K2091" i="9"/>
  <c r="M2107" i="9"/>
  <c r="M2112" i="9"/>
  <c r="N2115" i="9"/>
  <c r="L2134" i="9"/>
  <c r="M2137" i="9"/>
  <c r="K2147" i="9"/>
  <c r="M2150" i="9"/>
  <c r="L2155" i="9"/>
  <c r="L2158" i="9"/>
  <c r="L2163" i="9"/>
  <c r="M2166" i="9"/>
  <c r="L2171" i="9"/>
  <c r="M2174" i="9"/>
  <c r="L2179" i="9"/>
  <c r="L2182" i="9"/>
  <c r="L2187" i="9"/>
  <c r="K2201" i="9"/>
  <c r="M2209" i="9"/>
  <c r="L2217" i="9"/>
  <c r="K2368" i="9"/>
  <c r="O2511" i="9"/>
  <c r="H12" i="8"/>
  <c r="H19" i="8"/>
  <c r="H81" i="8"/>
  <c r="F87" i="8"/>
  <c r="H87" i="8" s="1"/>
  <c r="H109" i="8"/>
  <c r="H111" i="8"/>
  <c r="H122" i="8"/>
  <c r="H107" i="8"/>
  <c r="P31" i="8"/>
  <c r="Z31" i="8" s="1"/>
  <c r="AE31" i="8" s="1"/>
  <c r="H37" i="8"/>
  <c r="H40" i="8"/>
  <c r="H43" i="8"/>
  <c r="H45" i="8"/>
  <c r="I132" i="8"/>
  <c r="I161" i="8" s="1"/>
  <c r="H69" i="8"/>
  <c r="H74" i="8"/>
  <c r="H104" i="8"/>
  <c r="F118" i="8"/>
  <c r="F120" i="8"/>
  <c r="H137" i="8"/>
  <c r="Q65" i="8"/>
  <c r="H20" i="8"/>
  <c r="H30" i="8"/>
  <c r="R65" i="8"/>
  <c r="H38" i="8"/>
  <c r="H47" i="8"/>
  <c r="H72" i="8"/>
  <c r="H79" i="8"/>
  <c r="H83" i="8"/>
  <c r="H92" i="8"/>
  <c r="H112" i="8"/>
  <c r="H120" i="8"/>
  <c r="H141" i="8"/>
  <c r="O31" i="8"/>
  <c r="Y31" i="8" s="1"/>
  <c r="AD31" i="8" s="1"/>
  <c r="H24" i="8"/>
  <c r="H80" i="8"/>
  <c r="H89" i="8"/>
  <c r="H113" i="8"/>
  <c r="H121" i="8"/>
  <c r="H124" i="8"/>
  <c r="H135" i="8"/>
  <c r="E58" i="10"/>
  <c r="E27" i="10"/>
  <c r="G15" i="10"/>
  <c r="G29" i="10" s="1"/>
  <c r="N2159" i="9"/>
  <c r="M2159" i="9"/>
  <c r="M2212" i="9"/>
  <c r="L2212" i="9"/>
  <c r="K2212" i="9"/>
  <c r="N1535" i="9"/>
  <c r="L1537" i="9"/>
  <c r="M1540" i="9"/>
  <c r="K1542" i="9"/>
  <c r="M1554" i="9"/>
  <c r="K1565" i="9"/>
  <c r="M1586" i="9"/>
  <c r="M1596" i="9" s="1"/>
  <c r="L1888" i="9"/>
  <c r="M1893" i="9"/>
  <c r="L1903" i="9"/>
  <c r="L1917" i="9"/>
  <c r="K1919" i="9"/>
  <c r="N1961" i="9"/>
  <c r="M1968" i="9"/>
  <c r="L1968" i="9"/>
  <c r="L2002" i="9"/>
  <c r="K2004" i="9"/>
  <c r="N2072" i="9"/>
  <c r="K2075" i="9"/>
  <c r="K2079" i="9"/>
  <c r="L2084" i="9"/>
  <c r="K2084" i="9"/>
  <c r="L2088" i="9"/>
  <c r="N2096" i="9"/>
  <c r="K2099" i="9"/>
  <c r="M2103" i="9"/>
  <c r="L2103" i="9"/>
  <c r="N2107" i="9"/>
  <c r="K2114" i="9"/>
  <c r="N2120" i="9"/>
  <c r="K2123" i="9"/>
  <c r="K2127" i="9"/>
  <c r="L2132" i="9"/>
  <c r="K2132" i="9"/>
  <c r="L2136" i="9"/>
  <c r="M2145" i="9"/>
  <c r="L2145" i="9"/>
  <c r="K2145" i="9"/>
  <c r="N2149" i="9"/>
  <c r="K2159" i="9"/>
  <c r="M2173" i="9"/>
  <c r="N2183" i="9"/>
  <c r="M2183" i="9"/>
  <c r="L2203" i="9"/>
  <c r="N2210" i="9"/>
  <c r="M2210" i="9"/>
  <c r="N2212" i="9"/>
  <c r="K30" i="9"/>
  <c r="M1537" i="9"/>
  <c r="L1542" i="9"/>
  <c r="L1565" i="9"/>
  <c r="M1888" i="9"/>
  <c r="N1893" i="9"/>
  <c r="M1903" i="9"/>
  <c r="M1917" i="9"/>
  <c r="K1964" i="9"/>
  <c r="K1968" i="9"/>
  <c r="M2002" i="9"/>
  <c r="M2075" i="9"/>
  <c r="N2082" i="9"/>
  <c r="M2082" i="9"/>
  <c r="M2084" i="9"/>
  <c r="M2088" i="9"/>
  <c r="M2099" i="9"/>
  <c r="K2103" i="9"/>
  <c r="L2108" i="9"/>
  <c r="K2108" i="9"/>
  <c r="L2112" i="9"/>
  <c r="M2123" i="9"/>
  <c r="N2130" i="9"/>
  <c r="M2130" i="9"/>
  <c r="M2132" i="9"/>
  <c r="M2136" i="9"/>
  <c r="N2145" i="9"/>
  <c r="L2157" i="9"/>
  <c r="L2159" i="9"/>
  <c r="N2164" i="9"/>
  <c r="M2164" i="9"/>
  <c r="L2164" i="9"/>
  <c r="M2169" i="9"/>
  <c r="L2169" i="9"/>
  <c r="K2169" i="9"/>
  <c r="N2173" i="9"/>
  <c r="K2183" i="9"/>
  <c r="M2203" i="9"/>
  <c r="K2210" i="9"/>
  <c r="K2388" i="9"/>
  <c r="M2185" i="9"/>
  <c r="L2185" i="9"/>
  <c r="K2185" i="9"/>
  <c r="M1542" i="9"/>
  <c r="M1565" i="9"/>
  <c r="N1917" i="9"/>
  <c r="M1960" i="9"/>
  <c r="L1960" i="9"/>
  <c r="N2002" i="9"/>
  <c r="M2071" i="9"/>
  <c r="L2071" i="9"/>
  <c r="N2075" i="9"/>
  <c r="N2088" i="9"/>
  <c r="M2095" i="9"/>
  <c r="L2095" i="9"/>
  <c r="N2099" i="9"/>
  <c r="N2106" i="9"/>
  <c r="M2106" i="9"/>
  <c r="M2119" i="9"/>
  <c r="L2119" i="9"/>
  <c r="N2123" i="9"/>
  <c r="N2136" i="9"/>
  <c r="N2167" i="9"/>
  <c r="M2167" i="9"/>
  <c r="N2188" i="9"/>
  <c r="M2188" i="9"/>
  <c r="L2188" i="9"/>
  <c r="M2199" i="9"/>
  <c r="L2199" i="9"/>
  <c r="K2199" i="9"/>
  <c r="N2203" i="9"/>
  <c r="N2215" i="9"/>
  <c r="M2215" i="9"/>
  <c r="L2215" i="9"/>
  <c r="N1919" i="9"/>
  <c r="M1919" i="9"/>
  <c r="M2127" i="9"/>
  <c r="L2127" i="9"/>
  <c r="K1541" i="9"/>
  <c r="K1564" i="9"/>
  <c r="N1902" i="9"/>
  <c r="M1902" i="9"/>
  <c r="L2076" i="9"/>
  <c r="K2076" i="9"/>
  <c r="L2100" i="9"/>
  <c r="K2100" i="9"/>
  <c r="L2124" i="9"/>
  <c r="K2124" i="9"/>
  <c r="N2148" i="9"/>
  <c r="M2148" i="9"/>
  <c r="L2148" i="9"/>
  <c r="M2153" i="9"/>
  <c r="L2153" i="9"/>
  <c r="K2153" i="9"/>
  <c r="N2197" i="9"/>
  <c r="M2197" i="9"/>
  <c r="N2218" i="9"/>
  <c r="M2218" i="9"/>
  <c r="L1541" i="9"/>
  <c r="K1552" i="9"/>
  <c r="L1564" i="9"/>
  <c r="K1889" i="9"/>
  <c r="K1902" i="9"/>
  <c r="M1956" i="9"/>
  <c r="N1960" i="9"/>
  <c r="L1965" i="9"/>
  <c r="K1965" i="9"/>
  <c r="L1969" i="9"/>
  <c r="M2001" i="9"/>
  <c r="L2001" i="9"/>
  <c r="M2005" i="9"/>
  <c r="N2071" i="9"/>
  <c r="N2074" i="9"/>
  <c r="M2074" i="9"/>
  <c r="M2076" i="9"/>
  <c r="M2080" i="9"/>
  <c r="M2087" i="9"/>
  <c r="L2087" i="9"/>
  <c r="N2095" i="9"/>
  <c r="N2098" i="9"/>
  <c r="M2098" i="9"/>
  <c r="M2100" i="9"/>
  <c r="L2104" i="9"/>
  <c r="L2106" i="9"/>
  <c r="M2115" i="9"/>
  <c r="N2119" i="9"/>
  <c r="N2122" i="9"/>
  <c r="M2122" i="9"/>
  <c r="M2124" i="9"/>
  <c r="M2128" i="9"/>
  <c r="M2135" i="9"/>
  <c r="L2135" i="9"/>
  <c r="K2148" i="9"/>
  <c r="N2151" i="9"/>
  <c r="M2151" i="9"/>
  <c r="N2153" i="9"/>
  <c r="L2165" i="9"/>
  <c r="L2167" i="9"/>
  <c r="N2172" i="9"/>
  <c r="M2172" i="9"/>
  <c r="L2172" i="9"/>
  <c r="M2177" i="9"/>
  <c r="L2177" i="9"/>
  <c r="K2177" i="9"/>
  <c r="K2197" i="9"/>
  <c r="K2218" i="9"/>
  <c r="M2368" i="9"/>
  <c r="M2079" i="9"/>
  <c r="L2079" i="9"/>
  <c r="N2114" i="9"/>
  <c r="M2114" i="9"/>
  <c r="N2180" i="9"/>
  <c r="M2180" i="9"/>
  <c r="L2180" i="9"/>
  <c r="L1889" i="9"/>
  <c r="L1902" i="9"/>
  <c r="N1963" i="9"/>
  <c r="M1963" i="9"/>
  <c r="M1969" i="9"/>
  <c r="L2092" i="9"/>
  <c r="K2092" i="9"/>
  <c r="M2111" i="9"/>
  <c r="L2111" i="9"/>
  <c r="N2124" i="9"/>
  <c r="M2140" i="9"/>
  <c r="L2140" i="9"/>
  <c r="K2140" i="9"/>
  <c r="N2175" i="9"/>
  <c r="M2175" i="9"/>
  <c r="L2197" i="9"/>
  <c r="N2202" i="9"/>
  <c r="M2202" i="9"/>
  <c r="L2202" i="9"/>
  <c r="L2218" i="9"/>
  <c r="N2004" i="9"/>
  <c r="M2004" i="9"/>
  <c r="I2247" i="9"/>
  <c r="L1957" i="9"/>
  <c r="K1957" i="9"/>
  <c r="L1961" i="9"/>
  <c r="K1963" i="9"/>
  <c r="N1969" i="9"/>
  <c r="L2006" i="9"/>
  <c r="K2006" i="9"/>
  <c r="L2072" i="9"/>
  <c r="N2090" i="9"/>
  <c r="M2090" i="9"/>
  <c r="M2092" i="9"/>
  <c r="L2096" i="9"/>
  <c r="N2104" i="9"/>
  <c r="K2107" i="9"/>
  <c r="K2111" i="9"/>
  <c r="L2116" i="9"/>
  <c r="K2116" i="9"/>
  <c r="L2120" i="9"/>
  <c r="N2138" i="9"/>
  <c r="M2138" i="9"/>
  <c r="N2140" i="9"/>
  <c r="L2149" i="9"/>
  <c r="N2156" i="9"/>
  <c r="M2156" i="9"/>
  <c r="L2156" i="9"/>
  <c r="M2161" i="9"/>
  <c r="L2161" i="9"/>
  <c r="K2161" i="9"/>
  <c r="N2165" i="9"/>
  <c r="K2175" i="9"/>
  <c r="K2202" i="9"/>
  <c r="N2205" i="9"/>
  <c r="M2205" i="9"/>
  <c r="K2073" i="9"/>
  <c r="K2081" i="9"/>
  <c r="K2089" i="9"/>
  <c r="K2097" i="9"/>
  <c r="K2105" i="9"/>
  <c r="K2113" i="9"/>
  <c r="K2121" i="9"/>
  <c r="K2129" i="9"/>
  <c r="K2137" i="9"/>
  <c r="K2150" i="9"/>
  <c r="K2158" i="9"/>
  <c r="K2166" i="9"/>
  <c r="K2174" i="9"/>
  <c r="K2182" i="9"/>
  <c r="K2196" i="9"/>
  <c r="K2204" i="9"/>
  <c r="K2209" i="9"/>
  <c r="K2217" i="9"/>
  <c r="H90" i="8"/>
  <c r="H100" i="8"/>
  <c r="H105" i="8"/>
  <c r="H127" i="8"/>
  <c r="H11" i="8"/>
  <c r="H25" i="8"/>
  <c r="H73" i="8"/>
  <c r="H101" i="8"/>
  <c r="H106" i="8"/>
  <c r="H118" i="8"/>
  <c r="H125" i="8"/>
  <c r="H129" i="8"/>
  <c r="H142" i="8"/>
  <c r="H15" i="8"/>
  <c r="H21" i="8"/>
  <c r="H26" i="8"/>
  <c r="H103" i="8"/>
  <c r="H126" i="8"/>
  <c r="H128" i="8"/>
  <c r="H140" i="8"/>
  <c r="F31" i="8"/>
  <c r="Q31" i="8"/>
  <c r="AA31" i="8" s="1"/>
  <c r="AF31" i="8" s="1"/>
  <c r="H27" i="8"/>
  <c r="H34" i="8"/>
  <c r="F65" i="8"/>
  <c r="R31" i="8"/>
  <c r="AB31" i="8"/>
  <c r="AG31" i="8" s="1"/>
  <c r="AA34" i="8"/>
  <c r="AF34" i="8" s="1"/>
  <c r="Y68" i="8"/>
  <c r="AD68" i="8" s="1"/>
  <c r="O131" i="8"/>
  <c r="Y10" i="8"/>
  <c r="AD10" i="8" s="1"/>
  <c r="H18" i="8"/>
  <c r="K31" i="8"/>
  <c r="L31" i="8" s="1"/>
  <c r="M31" i="8" s="1"/>
  <c r="AB34" i="8"/>
  <c r="AG34" i="8" s="1"/>
  <c r="AA99" i="8"/>
  <c r="AF99" i="8" s="1"/>
  <c r="Q131" i="8"/>
  <c r="H29" i="8"/>
  <c r="P65" i="8"/>
  <c r="Z34" i="8"/>
  <c r="AE34" i="8" s="1"/>
  <c r="H88" i="8"/>
  <c r="H68" i="8"/>
  <c r="AB136" i="8"/>
  <c r="AG136" i="8" s="1"/>
  <c r="R160" i="8"/>
  <c r="H41" i="8"/>
  <c r="P131" i="8"/>
  <c r="Z79" i="8"/>
  <c r="AE79" i="8" s="1"/>
  <c r="H102" i="8"/>
  <c r="P160" i="8"/>
  <c r="O65" i="8"/>
  <c r="H116" i="8"/>
  <c r="O160" i="8"/>
  <c r="Y160" i="8" s="1"/>
  <c r="AD160" i="8" s="1"/>
  <c r="F160" i="8"/>
  <c r="H136" i="8"/>
  <c r="H160" i="8" s="1"/>
  <c r="K131" i="8"/>
  <c r="O15" i="1" s="1"/>
  <c r="AB118" i="8"/>
  <c r="AG118" i="8" s="1"/>
  <c r="R131" i="8"/>
  <c r="AB131" i="8" s="1"/>
  <c r="AG131" i="8" s="1"/>
  <c r="F119" i="8"/>
  <c r="H119" i="8" s="1"/>
  <c r="Z160" i="8"/>
  <c r="AE160" i="8" s="1"/>
  <c r="H130" i="8"/>
  <c r="K160" i="8"/>
  <c r="Q160" i="8"/>
  <c r="AA136" i="8"/>
  <c r="AF136" i="8" s="1"/>
  <c r="I2511" i="9" l="1"/>
  <c r="N1570" i="9"/>
  <c r="L2247" i="9"/>
  <c r="K1570" i="9"/>
  <c r="N2247" i="9"/>
  <c r="K2247" i="9"/>
  <c r="M1570" i="9"/>
  <c r="L1570" i="9"/>
  <c r="H31" i="8"/>
  <c r="R132" i="8"/>
  <c r="K34" i="9"/>
  <c r="K2511" i="9" s="1"/>
  <c r="L30" i="9"/>
  <c r="M2247" i="9"/>
  <c r="H65" i="8"/>
  <c r="R161" i="8"/>
  <c r="AB160" i="8"/>
  <c r="AG160" i="8" s="1"/>
  <c r="F131" i="8"/>
  <c r="F132" i="8" s="1"/>
  <c r="F161" i="8" s="1"/>
  <c r="O132" i="8"/>
  <c r="Y131" i="8"/>
  <c r="AD131" i="8" s="1"/>
  <c r="H131" i="8"/>
  <c r="H132" i="8" s="1"/>
  <c r="H161" i="8" s="1"/>
  <c r="AA131" i="8"/>
  <c r="AF131" i="8" s="1"/>
  <c r="Q132" i="8"/>
  <c r="AA160" i="8"/>
  <c r="AF160" i="8" s="1"/>
  <c r="Q161" i="8"/>
  <c r="L131" i="8"/>
  <c r="M131" i="8" s="1"/>
  <c r="P132" i="8"/>
  <c r="Z131" i="8"/>
  <c r="AE131" i="8" s="1"/>
  <c r="L160" i="8"/>
  <c r="M160" i="8" s="1"/>
  <c r="P161" i="8" l="1"/>
  <c r="L34" i="9"/>
  <c r="L2511" i="9" s="1"/>
  <c r="M30" i="9"/>
  <c r="O161" i="8"/>
  <c r="M34" i="9" l="1"/>
  <c r="M2511" i="9" s="1"/>
  <c r="N30" i="9"/>
  <c r="N34" i="9" l="1"/>
  <c r="N2511" i="9" s="1"/>
  <c r="C132" i="7" l="1"/>
  <c r="C130" i="7"/>
  <c r="F128" i="7"/>
  <c r="E128" i="7"/>
  <c r="C120" i="7"/>
  <c r="F118" i="7"/>
  <c r="E118" i="7"/>
  <c r="G117" i="7"/>
  <c r="G116" i="7"/>
  <c r="G115" i="7"/>
  <c r="G114" i="7"/>
  <c r="G113" i="7"/>
  <c r="G112" i="7"/>
  <c r="G111" i="7"/>
  <c r="G110" i="7"/>
  <c r="G109" i="7"/>
  <c r="G108" i="7"/>
  <c r="G105" i="7"/>
  <c r="F105" i="7"/>
  <c r="E105" i="7"/>
  <c r="D105" i="7"/>
  <c r="C105" i="7"/>
  <c r="C98" i="7"/>
  <c r="E96" i="7"/>
  <c r="C96" i="7"/>
  <c r="F94" i="7"/>
  <c r="E94" i="7"/>
  <c r="C86" i="7"/>
  <c r="F84" i="7"/>
  <c r="E84" i="7"/>
  <c r="G83" i="7"/>
  <c r="G82" i="7"/>
  <c r="G81" i="7"/>
  <c r="G80" i="7"/>
  <c r="G79" i="7"/>
  <c r="G78" i="7"/>
  <c r="G77" i="7"/>
  <c r="G76" i="7"/>
  <c r="G75" i="7"/>
  <c r="G74" i="7"/>
  <c r="G73" i="7"/>
  <c r="G72" i="7"/>
  <c r="G69" i="7"/>
  <c r="F69" i="7"/>
  <c r="E69" i="7"/>
  <c r="D69" i="7"/>
  <c r="C69" i="7"/>
  <c r="C60" i="7"/>
  <c r="E58" i="7"/>
  <c r="C58" i="7"/>
  <c r="F56" i="7"/>
  <c r="E56" i="7"/>
  <c r="C48" i="7"/>
  <c r="F46" i="7"/>
  <c r="E46" i="7"/>
  <c r="G45" i="7"/>
  <c r="G44" i="7"/>
  <c r="G43" i="7"/>
  <c r="G42" i="7"/>
  <c r="G41" i="7"/>
  <c r="G40" i="7"/>
  <c r="G39" i="7"/>
  <c r="G36" i="7"/>
  <c r="F36" i="7"/>
  <c r="E36" i="7"/>
  <c r="D36" i="7"/>
  <c r="C36" i="7"/>
  <c r="C29" i="7"/>
  <c r="C27" i="7"/>
  <c r="F25" i="7"/>
  <c r="E25" i="7"/>
  <c r="C17" i="7"/>
  <c r="F15" i="7"/>
  <c r="F27" i="7" s="1"/>
  <c r="E15" i="7"/>
  <c r="G14" i="7"/>
  <c r="G13" i="7"/>
  <c r="G12" i="7"/>
  <c r="G11" i="7"/>
  <c r="G10" i="7"/>
  <c r="G9" i="7"/>
  <c r="G8" i="7"/>
  <c r="G5" i="7"/>
  <c r="F5" i="7"/>
  <c r="E5" i="7"/>
  <c r="D5" i="7"/>
  <c r="C5" i="7"/>
  <c r="N5579" i="6"/>
  <c r="M5579" i="6"/>
  <c r="L5579" i="6"/>
  <c r="K5579" i="6"/>
  <c r="J5579" i="6"/>
  <c r="H5579" i="6"/>
  <c r="N5488" i="6"/>
  <c r="M5488" i="6"/>
  <c r="L5488" i="6"/>
  <c r="K5488" i="6"/>
  <c r="J5488" i="6"/>
  <c r="H5488" i="6"/>
  <c r="N5484" i="6"/>
  <c r="H5484" i="6"/>
  <c r="M5483" i="6"/>
  <c r="L5483" i="6"/>
  <c r="K5483" i="6"/>
  <c r="J5483" i="6"/>
  <c r="M5482" i="6"/>
  <c r="L5482" i="6"/>
  <c r="K5482" i="6"/>
  <c r="J5482" i="6"/>
  <c r="M5481" i="6"/>
  <c r="L5481" i="6"/>
  <c r="K5481" i="6"/>
  <c r="J5481" i="6"/>
  <c r="M5480" i="6"/>
  <c r="L5480" i="6"/>
  <c r="K5480" i="6"/>
  <c r="J5480" i="6"/>
  <c r="M5479" i="6"/>
  <c r="L5479" i="6"/>
  <c r="K5479" i="6"/>
  <c r="J5479" i="6"/>
  <c r="M5478" i="6"/>
  <c r="L5478" i="6"/>
  <c r="K5478" i="6"/>
  <c r="J5478" i="6"/>
  <c r="M5477" i="6"/>
  <c r="L5477" i="6"/>
  <c r="K5477" i="6"/>
  <c r="J5477" i="6"/>
  <c r="M5476" i="6"/>
  <c r="L5476" i="6"/>
  <c r="K5476" i="6"/>
  <c r="J5476" i="6"/>
  <c r="M5475" i="6"/>
  <c r="L5475" i="6"/>
  <c r="K5475" i="6"/>
  <c r="J5475" i="6"/>
  <c r="M5474" i="6"/>
  <c r="L5474" i="6"/>
  <c r="K5474" i="6"/>
  <c r="J5474" i="6"/>
  <c r="M5473" i="6"/>
  <c r="L5473" i="6"/>
  <c r="K5473" i="6"/>
  <c r="J5473" i="6"/>
  <c r="M5472" i="6"/>
  <c r="L5472" i="6"/>
  <c r="K5472" i="6"/>
  <c r="J5472" i="6"/>
  <c r="M5471" i="6"/>
  <c r="L5471" i="6"/>
  <c r="K5471" i="6"/>
  <c r="J5471" i="6"/>
  <c r="M5470" i="6"/>
  <c r="L5470" i="6"/>
  <c r="K5470" i="6"/>
  <c r="J5470" i="6"/>
  <c r="M5469" i="6"/>
  <c r="L5469" i="6"/>
  <c r="K5469" i="6"/>
  <c r="J5469" i="6"/>
  <c r="M5468" i="6"/>
  <c r="L5468" i="6"/>
  <c r="K5468" i="6"/>
  <c r="J5468" i="6"/>
  <c r="M5467" i="6"/>
  <c r="L5467" i="6"/>
  <c r="K5467" i="6"/>
  <c r="J5467" i="6"/>
  <c r="M5466" i="6"/>
  <c r="L5466" i="6"/>
  <c r="K5466" i="6"/>
  <c r="J5466" i="6"/>
  <c r="M5465" i="6"/>
  <c r="L5465" i="6"/>
  <c r="K5465" i="6"/>
  <c r="J5465" i="6"/>
  <c r="M5464" i="6"/>
  <c r="L5464" i="6"/>
  <c r="K5464" i="6"/>
  <c r="J5464" i="6"/>
  <c r="M5463" i="6"/>
  <c r="L5463" i="6"/>
  <c r="K5463" i="6"/>
  <c r="J5463" i="6"/>
  <c r="M5462" i="6"/>
  <c r="L5462" i="6"/>
  <c r="K5462" i="6"/>
  <c r="J5462" i="6"/>
  <c r="M5461" i="6"/>
  <c r="L5461" i="6"/>
  <c r="K5461" i="6"/>
  <c r="J5461" i="6"/>
  <c r="M5460" i="6"/>
  <c r="M5484" i="6" s="1"/>
  <c r="L5460" i="6"/>
  <c r="L5484" i="6" s="1"/>
  <c r="K5460" i="6"/>
  <c r="J5460" i="6"/>
  <c r="N5459" i="6"/>
  <c r="H5459" i="6"/>
  <c r="M5458" i="6"/>
  <c r="L5458" i="6"/>
  <c r="K5458" i="6"/>
  <c r="J5458" i="6"/>
  <c r="M5457" i="6"/>
  <c r="L5457" i="6"/>
  <c r="K5457" i="6"/>
  <c r="J5457" i="6"/>
  <c r="M5456" i="6"/>
  <c r="L5456" i="6"/>
  <c r="K5456" i="6"/>
  <c r="J5456" i="6"/>
  <c r="M5455" i="6"/>
  <c r="L5455" i="6"/>
  <c r="K5455" i="6"/>
  <c r="J5455" i="6"/>
  <c r="M5454" i="6"/>
  <c r="L5454" i="6"/>
  <c r="K5454" i="6"/>
  <c r="J5454" i="6"/>
  <c r="M5453" i="6"/>
  <c r="L5453" i="6"/>
  <c r="K5453" i="6"/>
  <c r="J5453" i="6"/>
  <c r="N5452" i="6"/>
  <c r="M5452" i="6"/>
  <c r="H5452" i="6"/>
  <c r="M5451" i="6"/>
  <c r="L5451" i="6"/>
  <c r="K5451" i="6"/>
  <c r="J5451" i="6"/>
  <c r="M5450" i="6"/>
  <c r="L5450" i="6"/>
  <c r="K5450" i="6"/>
  <c r="J5450" i="6"/>
  <c r="M5449" i="6"/>
  <c r="L5449" i="6"/>
  <c r="K5449" i="6"/>
  <c r="J5449" i="6"/>
  <c r="M5448" i="6"/>
  <c r="L5448" i="6"/>
  <c r="K5448" i="6"/>
  <c r="J5448" i="6"/>
  <c r="M5447" i="6"/>
  <c r="L5447" i="6"/>
  <c r="K5447" i="6"/>
  <c r="J5447" i="6"/>
  <c r="M5446" i="6"/>
  <c r="L5446" i="6"/>
  <c r="L5452" i="6" s="1"/>
  <c r="K5446" i="6"/>
  <c r="K5452" i="6" s="1"/>
  <c r="J5446" i="6"/>
  <c r="J5452" i="6" s="1"/>
  <c r="N5445" i="6"/>
  <c r="H5445" i="6"/>
  <c r="M5444" i="6"/>
  <c r="L5444" i="6"/>
  <c r="K5444" i="6"/>
  <c r="J5444" i="6"/>
  <c r="M5443" i="6"/>
  <c r="L5443" i="6"/>
  <c r="K5443" i="6"/>
  <c r="J5443" i="6"/>
  <c r="M5442" i="6"/>
  <c r="L5442" i="6"/>
  <c r="K5442" i="6"/>
  <c r="J5442" i="6"/>
  <c r="M5441" i="6"/>
  <c r="L5441" i="6"/>
  <c r="K5441" i="6"/>
  <c r="J5441" i="6"/>
  <c r="M5440" i="6"/>
  <c r="L5440" i="6"/>
  <c r="K5440" i="6"/>
  <c r="J5440" i="6"/>
  <c r="M5439" i="6"/>
  <c r="M5445" i="6" s="1"/>
  <c r="L5439" i="6"/>
  <c r="L5445" i="6" s="1"/>
  <c r="K5439" i="6"/>
  <c r="J5439" i="6"/>
  <c r="N5438" i="6"/>
  <c r="H5438" i="6"/>
  <c r="M5437" i="6"/>
  <c r="L5437" i="6"/>
  <c r="K5437" i="6"/>
  <c r="J5437" i="6"/>
  <c r="M5436" i="6"/>
  <c r="L5436" i="6"/>
  <c r="K5436" i="6"/>
  <c r="J5436" i="6"/>
  <c r="M5435" i="6"/>
  <c r="L5435" i="6"/>
  <c r="K5435" i="6"/>
  <c r="J5435" i="6"/>
  <c r="M5434" i="6"/>
  <c r="L5434" i="6"/>
  <c r="K5434" i="6"/>
  <c r="J5434" i="6"/>
  <c r="M5433" i="6"/>
  <c r="L5433" i="6"/>
  <c r="K5433" i="6"/>
  <c r="J5433" i="6"/>
  <c r="M5432" i="6"/>
  <c r="L5432" i="6"/>
  <c r="K5432" i="6"/>
  <c r="J5432" i="6"/>
  <c r="M5431" i="6"/>
  <c r="L5431" i="6"/>
  <c r="K5431" i="6"/>
  <c r="J5431" i="6"/>
  <c r="M5430" i="6"/>
  <c r="L5430" i="6"/>
  <c r="K5430" i="6"/>
  <c r="J5430" i="6"/>
  <c r="M5429" i="6"/>
  <c r="L5429" i="6"/>
  <c r="K5429" i="6"/>
  <c r="J5429" i="6"/>
  <c r="M5428" i="6"/>
  <c r="L5428" i="6"/>
  <c r="K5428" i="6"/>
  <c r="J5428" i="6"/>
  <c r="M5427" i="6"/>
  <c r="L5427" i="6"/>
  <c r="K5427" i="6"/>
  <c r="J5427" i="6"/>
  <c r="M5426" i="6"/>
  <c r="L5426" i="6"/>
  <c r="K5426" i="6"/>
  <c r="J5426" i="6"/>
  <c r="M5425" i="6"/>
  <c r="L5425" i="6"/>
  <c r="K5425" i="6"/>
  <c r="J5425" i="6"/>
  <c r="M5424" i="6"/>
  <c r="L5424" i="6"/>
  <c r="K5424" i="6"/>
  <c r="J5424" i="6"/>
  <c r="M5423" i="6"/>
  <c r="L5423" i="6"/>
  <c r="K5423" i="6"/>
  <c r="J5423" i="6"/>
  <c r="M5422" i="6"/>
  <c r="L5422" i="6"/>
  <c r="K5422" i="6"/>
  <c r="J5422" i="6"/>
  <c r="M5421" i="6"/>
  <c r="L5421" i="6"/>
  <c r="K5421" i="6"/>
  <c r="J5421" i="6"/>
  <c r="M5420" i="6"/>
  <c r="L5420" i="6"/>
  <c r="K5420" i="6"/>
  <c r="J5420" i="6"/>
  <c r="M5419" i="6"/>
  <c r="L5419" i="6"/>
  <c r="K5419" i="6"/>
  <c r="J5419" i="6"/>
  <c r="M5418" i="6"/>
  <c r="L5418" i="6"/>
  <c r="K5418" i="6"/>
  <c r="J5418" i="6"/>
  <c r="M5417" i="6"/>
  <c r="L5417" i="6"/>
  <c r="K5417" i="6"/>
  <c r="J5417" i="6"/>
  <c r="M5416" i="6"/>
  <c r="L5416" i="6"/>
  <c r="K5416" i="6"/>
  <c r="J5416" i="6"/>
  <c r="M5415" i="6"/>
  <c r="L5415" i="6"/>
  <c r="K5415" i="6"/>
  <c r="J5415" i="6"/>
  <c r="M5414" i="6"/>
  <c r="L5414" i="6"/>
  <c r="L5438" i="6" s="1"/>
  <c r="K5414" i="6"/>
  <c r="J5414" i="6"/>
  <c r="J5438" i="6" s="1"/>
  <c r="N5413" i="6"/>
  <c r="H5413" i="6"/>
  <c r="M5412" i="6"/>
  <c r="L5412" i="6"/>
  <c r="K5412" i="6"/>
  <c r="J5412" i="6"/>
  <c r="M5411" i="6"/>
  <c r="L5411" i="6"/>
  <c r="K5411" i="6"/>
  <c r="J5411" i="6"/>
  <c r="M5410" i="6"/>
  <c r="L5410" i="6"/>
  <c r="K5410" i="6"/>
  <c r="J5410" i="6"/>
  <c r="M5409" i="6"/>
  <c r="L5409" i="6"/>
  <c r="K5409" i="6"/>
  <c r="J5409" i="6"/>
  <c r="M5408" i="6"/>
  <c r="L5408" i="6"/>
  <c r="K5408" i="6"/>
  <c r="J5408" i="6"/>
  <c r="M5407" i="6"/>
  <c r="L5407" i="6"/>
  <c r="L5413" i="6" s="1"/>
  <c r="K5407" i="6"/>
  <c r="K5413" i="6" s="1"/>
  <c r="J5407" i="6"/>
  <c r="J5413" i="6" s="1"/>
  <c r="N5406" i="6"/>
  <c r="H5406" i="6"/>
  <c r="M5405" i="6"/>
  <c r="L5405" i="6"/>
  <c r="K5405" i="6"/>
  <c r="J5405" i="6"/>
  <c r="M5404" i="6"/>
  <c r="L5404" i="6"/>
  <c r="K5404" i="6"/>
  <c r="J5404" i="6"/>
  <c r="M5403" i="6"/>
  <c r="L5403" i="6"/>
  <c r="K5403" i="6"/>
  <c r="J5403" i="6"/>
  <c r="M5402" i="6"/>
  <c r="L5402" i="6"/>
  <c r="K5402" i="6"/>
  <c r="J5402" i="6"/>
  <c r="M5401" i="6"/>
  <c r="L5401" i="6"/>
  <c r="K5401" i="6"/>
  <c r="J5401" i="6"/>
  <c r="M5400" i="6"/>
  <c r="L5400" i="6"/>
  <c r="K5400" i="6"/>
  <c r="J5400" i="6"/>
  <c r="M5399" i="6"/>
  <c r="L5399" i="6"/>
  <c r="K5399" i="6"/>
  <c r="J5399" i="6"/>
  <c r="M5398" i="6"/>
  <c r="L5398" i="6"/>
  <c r="K5398" i="6"/>
  <c r="J5398" i="6"/>
  <c r="M5397" i="6"/>
  <c r="L5397" i="6"/>
  <c r="K5397" i="6"/>
  <c r="J5397" i="6"/>
  <c r="M5396" i="6"/>
  <c r="L5396" i="6"/>
  <c r="K5396" i="6"/>
  <c r="J5396" i="6"/>
  <c r="M5395" i="6"/>
  <c r="L5395" i="6"/>
  <c r="K5395" i="6"/>
  <c r="J5395" i="6"/>
  <c r="M5394" i="6"/>
  <c r="M5406" i="6" s="1"/>
  <c r="L5394" i="6"/>
  <c r="L5406" i="6" s="1"/>
  <c r="K5394" i="6"/>
  <c r="K5406" i="6" s="1"/>
  <c r="J5394" i="6"/>
  <c r="N5393" i="6"/>
  <c r="H5393" i="6"/>
  <c r="M5392" i="6"/>
  <c r="L5392" i="6"/>
  <c r="K5392" i="6"/>
  <c r="J5392" i="6"/>
  <c r="M5391" i="6"/>
  <c r="L5391" i="6"/>
  <c r="K5391" i="6"/>
  <c r="J5391" i="6"/>
  <c r="M5390" i="6"/>
  <c r="L5390" i="6"/>
  <c r="K5390" i="6"/>
  <c r="J5390" i="6"/>
  <c r="M5389" i="6"/>
  <c r="L5389" i="6"/>
  <c r="K5389" i="6"/>
  <c r="J5389" i="6"/>
  <c r="M5388" i="6"/>
  <c r="L5388" i="6"/>
  <c r="K5388" i="6"/>
  <c r="J5388" i="6"/>
  <c r="M5387" i="6"/>
  <c r="L5387" i="6"/>
  <c r="K5387" i="6"/>
  <c r="K5393" i="6" s="1"/>
  <c r="J5387" i="6"/>
  <c r="N5386" i="6"/>
  <c r="H5386" i="6"/>
  <c r="M5385" i="6"/>
  <c r="L5385" i="6"/>
  <c r="K5385" i="6"/>
  <c r="J5385" i="6"/>
  <c r="M5384" i="6"/>
  <c r="L5384" i="6"/>
  <c r="K5384" i="6"/>
  <c r="J5384" i="6"/>
  <c r="M5383" i="6"/>
  <c r="L5383" i="6"/>
  <c r="K5383" i="6"/>
  <c r="J5383" i="6"/>
  <c r="M5382" i="6"/>
  <c r="L5382" i="6"/>
  <c r="K5382" i="6"/>
  <c r="J5382" i="6"/>
  <c r="M5381" i="6"/>
  <c r="L5381" i="6"/>
  <c r="K5381" i="6"/>
  <c r="J5381" i="6"/>
  <c r="M5380" i="6"/>
  <c r="L5380" i="6"/>
  <c r="K5380" i="6"/>
  <c r="J5380" i="6"/>
  <c r="M5379" i="6"/>
  <c r="L5379" i="6"/>
  <c r="K5379" i="6"/>
  <c r="J5379" i="6"/>
  <c r="M5378" i="6"/>
  <c r="L5378" i="6"/>
  <c r="K5378" i="6"/>
  <c r="J5378" i="6"/>
  <c r="M5377" i="6"/>
  <c r="L5377" i="6"/>
  <c r="K5377" i="6"/>
  <c r="J5377" i="6"/>
  <c r="M5376" i="6"/>
  <c r="L5376" i="6"/>
  <c r="K5376" i="6"/>
  <c r="J5376" i="6"/>
  <c r="M5375" i="6"/>
  <c r="L5375" i="6"/>
  <c r="K5375" i="6"/>
  <c r="J5375" i="6"/>
  <c r="M5374" i="6"/>
  <c r="L5374" i="6"/>
  <c r="K5374" i="6"/>
  <c r="J5374" i="6"/>
  <c r="M5373" i="6"/>
  <c r="L5373" i="6"/>
  <c r="K5373" i="6"/>
  <c r="J5373" i="6"/>
  <c r="M5372" i="6"/>
  <c r="L5372" i="6"/>
  <c r="K5372" i="6"/>
  <c r="J5372" i="6"/>
  <c r="M5371" i="6"/>
  <c r="L5371" i="6"/>
  <c r="K5371" i="6"/>
  <c r="J5371" i="6"/>
  <c r="M5370" i="6"/>
  <c r="L5370" i="6"/>
  <c r="K5370" i="6"/>
  <c r="J5370" i="6"/>
  <c r="M5369" i="6"/>
  <c r="L5369" i="6"/>
  <c r="K5369" i="6"/>
  <c r="J5369" i="6"/>
  <c r="M5368" i="6"/>
  <c r="L5368" i="6"/>
  <c r="K5368" i="6"/>
  <c r="J5368" i="6"/>
  <c r="M5367" i="6"/>
  <c r="L5367" i="6"/>
  <c r="K5367" i="6"/>
  <c r="J5367" i="6"/>
  <c r="M5366" i="6"/>
  <c r="L5366" i="6"/>
  <c r="K5366" i="6"/>
  <c r="J5366" i="6"/>
  <c r="M5365" i="6"/>
  <c r="L5365" i="6"/>
  <c r="K5365" i="6"/>
  <c r="J5365" i="6"/>
  <c r="M5364" i="6"/>
  <c r="L5364" i="6"/>
  <c r="K5364" i="6"/>
  <c r="J5364" i="6"/>
  <c r="M5363" i="6"/>
  <c r="L5363" i="6"/>
  <c r="K5363" i="6"/>
  <c r="J5363" i="6"/>
  <c r="M5362" i="6"/>
  <c r="L5362" i="6"/>
  <c r="K5362" i="6"/>
  <c r="J5362" i="6"/>
  <c r="M5361" i="6"/>
  <c r="L5361" i="6"/>
  <c r="K5361" i="6"/>
  <c r="J5361" i="6"/>
  <c r="M5360" i="6"/>
  <c r="L5360" i="6"/>
  <c r="K5360" i="6"/>
  <c r="J5360" i="6"/>
  <c r="M5359" i="6"/>
  <c r="L5359" i="6"/>
  <c r="K5359" i="6"/>
  <c r="J5359" i="6"/>
  <c r="M5358" i="6"/>
  <c r="L5358" i="6"/>
  <c r="K5358" i="6"/>
  <c r="J5358" i="6"/>
  <c r="M5357" i="6"/>
  <c r="L5357" i="6"/>
  <c r="K5357" i="6"/>
  <c r="J5357" i="6"/>
  <c r="M5356" i="6"/>
  <c r="L5356" i="6"/>
  <c r="K5356" i="6"/>
  <c r="J5356" i="6"/>
  <c r="J5386" i="6" s="1"/>
  <c r="N5355" i="6"/>
  <c r="H5355" i="6"/>
  <c r="M5354" i="6"/>
  <c r="L5354" i="6"/>
  <c r="K5354" i="6"/>
  <c r="J5354" i="6"/>
  <c r="M5353" i="6"/>
  <c r="L5353" i="6"/>
  <c r="K5353" i="6"/>
  <c r="J5353" i="6"/>
  <c r="M5352" i="6"/>
  <c r="L5352" i="6"/>
  <c r="K5352" i="6"/>
  <c r="J5352" i="6"/>
  <c r="M5351" i="6"/>
  <c r="L5351" i="6"/>
  <c r="K5351" i="6"/>
  <c r="J5351" i="6"/>
  <c r="M5350" i="6"/>
  <c r="L5350" i="6"/>
  <c r="K5350" i="6"/>
  <c r="J5350" i="6"/>
  <c r="M5349" i="6"/>
  <c r="M5355" i="6" s="1"/>
  <c r="L5349" i="6"/>
  <c r="K5349" i="6"/>
  <c r="K5355" i="6" s="1"/>
  <c r="J5349" i="6"/>
  <c r="J5355" i="6" s="1"/>
  <c r="N5348" i="6"/>
  <c r="H5348" i="6"/>
  <c r="M5347" i="6"/>
  <c r="L5347" i="6"/>
  <c r="K5347" i="6"/>
  <c r="J5347" i="6"/>
  <c r="M5346" i="6"/>
  <c r="L5346" i="6"/>
  <c r="K5346" i="6"/>
  <c r="J5346" i="6"/>
  <c r="M5345" i="6"/>
  <c r="L5345" i="6"/>
  <c r="K5345" i="6"/>
  <c r="J5345" i="6"/>
  <c r="M5344" i="6"/>
  <c r="L5344" i="6"/>
  <c r="K5344" i="6"/>
  <c r="J5344" i="6"/>
  <c r="M5343" i="6"/>
  <c r="L5343" i="6"/>
  <c r="K5343" i="6"/>
  <c r="J5343" i="6"/>
  <c r="M5342" i="6"/>
  <c r="L5342" i="6"/>
  <c r="K5342" i="6"/>
  <c r="J5342" i="6"/>
  <c r="M5341" i="6"/>
  <c r="L5341" i="6"/>
  <c r="K5341" i="6"/>
  <c r="J5341" i="6"/>
  <c r="M5340" i="6"/>
  <c r="L5340" i="6"/>
  <c r="K5340" i="6"/>
  <c r="J5340" i="6"/>
  <c r="M5339" i="6"/>
  <c r="L5339" i="6"/>
  <c r="K5339" i="6"/>
  <c r="J5339" i="6"/>
  <c r="M5338" i="6"/>
  <c r="L5338" i="6"/>
  <c r="K5338" i="6"/>
  <c r="J5338" i="6"/>
  <c r="M5337" i="6"/>
  <c r="L5337" i="6"/>
  <c r="K5337" i="6"/>
  <c r="J5337" i="6"/>
  <c r="M5336" i="6"/>
  <c r="M5348" i="6" s="1"/>
  <c r="L5336" i="6"/>
  <c r="K5336" i="6"/>
  <c r="J5336" i="6"/>
  <c r="N5335" i="6"/>
  <c r="H5335" i="6"/>
  <c r="M5334" i="6"/>
  <c r="L5334" i="6"/>
  <c r="K5334" i="6"/>
  <c r="J5334" i="6"/>
  <c r="M5333" i="6"/>
  <c r="L5333" i="6"/>
  <c r="K5333" i="6"/>
  <c r="J5333" i="6"/>
  <c r="M5332" i="6"/>
  <c r="L5332" i="6"/>
  <c r="K5332" i="6"/>
  <c r="J5332" i="6"/>
  <c r="M5331" i="6"/>
  <c r="L5331" i="6"/>
  <c r="K5331" i="6"/>
  <c r="J5331" i="6"/>
  <c r="M5330" i="6"/>
  <c r="L5330" i="6"/>
  <c r="K5330" i="6"/>
  <c r="J5330" i="6"/>
  <c r="M5329" i="6"/>
  <c r="L5329" i="6"/>
  <c r="K5329" i="6"/>
  <c r="J5329" i="6"/>
  <c r="M5328" i="6"/>
  <c r="L5328" i="6"/>
  <c r="K5328" i="6"/>
  <c r="J5328" i="6"/>
  <c r="M5327" i="6"/>
  <c r="L5327" i="6"/>
  <c r="K5327" i="6"/>
  <c r="J5327" i="6"/>
  <c r="M5326" i="6"/>
  <c r="L5326" i="6"/>
  <c r="K5326" i="6"/>
  <c r="J5326" i="6"/>
  <c r="M5325" i="6"/>
  <c r="L5325" i="6"/>
  <c r="K5325" i="6"/>
  <c r="J5325" i="6"/>
  <c r="M5324" i="6"/>
  <c r="L5324" i="6"/>
  <c r="K5324" i="6"/>
  <c r="J5324" i="6"/>
  <c r="M5323" i="6"/>
  <c r="L5323" i="6"/>
  <c r="K5323" i="6"/>
  <c r="J5323" i="6"/>
  <c r="M5322" i="6"/>
  <c r="L5322" i="6"/>
  <c r="K5322" i="6"/>
  <c r="J5322" i="6"/>
  <c r="M5321" i="6"/>
  <c r="L5321" i="6"/>
  <c r="K5321" i="6"/>
  <c r="J5321" i="6"/>
  <c r="M5320" i="6"/>
  <c r="L5320" i="6"/>
  <c r="K5320" i="6"/>
  <c r="J5320" i="6"/>
  <c r="M5319" i="6"/>
  <c r="L5319" i="6"/>
  <c r="K5319" i="6"/>
  <c r="J5319" i="6"/>
  <c r="M5318" i="6"/>
  <c r="L5318" i="6"/>
  <c r="K5318" i="6"/>
  <c r="J5318" i="6"/>
  <c r="M5317" i="6"/>
  <c r="L5317" i="6"/>
  <c r="K5317" i="6"/>
  <c r="J5317" i="6"/>
  <c r="M5316" i="6"/>
  <c r="L5316" i="6"/>
  <c r="K5316" i="6"/>
  <c r="J5316" i="6"/>
  <c r="M5315" i="6"/>
  <c r="L5315" i="6"/>
  <c r="K5315" i="6"/>
  <c r="J5315" i="6"/>
  <c r="M5314" i="6"/>
  <c r="L5314" i="6"/>
  <c r="K5314" i="6"/>
  <c r="J5314" i="6"/>
  <c r="M5313" i="6"/>
  <c r="L5313" i="6"/>
  <c r="K5313" i="6"/>
  <c r="J5313" i="6"/>
  <c r="M5312" i="6"/>
  <c r="L5312" i="6"/>
  <c r="K5312" i="6"/>
  <c r="J5312" i="6"/>
  <c r="M5311" i="6"/>
  <c r="L5311" i="6"/>
  <c r="K5311" i="6"/>
  <c r="J5311" i="6"/>
  <c r="M5310" i="6"/>
  <c r="L5310" i="6"/>
  <c r="K5310" i="6"/>
  <c r="J5310" i="6"/>
  <c r="M5309" i="6"/>
  <c r="L5309" i="6"/>
  <c r="K5309" i="6"/>
  <c r="J5309" i="6"/>
  <c r="M5308" i="6"/>
  <c r="L5308" i="6"/>
  <c r="K5308" i="6"/>
  <c r="J5308" i="6"/>
  <c r="M5307" i="6"/>
  <c r="L5307" i="6"/>
  <c r="K5307" i="6"/>
  <c r="J5307" i="6"/>
  <c r="M5306" i="6"/>
  <c r="L5306" i="6"/>
  <c r="K5306" i="6"/>
  <c r="J5306" i="6"/>
  <c r="M5305" i="6"/>
  <c r="L5305" i="6"/>
  <c r="K5305" i="6"/>
  <c r="J5305" i="6"/>
  <c r="M5304" i="6"/>
  <c r="L5304" i="6"/>
  <c r="K5304" i="6"/>
  <c r="J5304" i="6"/>
  <c r="M5303" i="6"/>
  <c r="L5303" i="6"/>
  <c r="K5303" i="6"/>
  <c r="J5303" i="6"/>
  <c r="M5302" i="6"/>
  <c r="L5302" i="6"/>
  <c r="K5302" i="6"/>
  <c r="J5302" i="6"/>
  <c r="M5301" i="6"/>
  <c r="L5301" i="6"/>
  <c r="K5301" i="6"/>
  <c r="J5301" i="6"/>
  <c r="M5300" i="6"/>
  <c r="L5300" i="6"/>
  <c r="K5300" i="6"/>
  <c r="J5300" i="6"/>
  <c r="M5299" i="6"/>
  <c r="L5299" i="6"/>
  <c r="K5299" i="6"/>
  <c r="J5299" i="6"/>
  <c r="N5298" i="6"/>
  <c r="H5298" i="6"/>
  <c r="M5297" i="6"/>
  <c r="L5297" i="6"/>
  <c r="K5297" i="6"/>
  <c r="J5297" i="6"/>
  <c r="M5296" i="6"/>
  <c r="L5296" i="6"/>
  <c r="K5296" i="6"/>
  <c r="J5296" i="6"/>
  <c r="M5295" i="6"/>
  <c r="L5295" i="6"/>
  <c r="K5295" i="6"/>
  <c r="J5295" i="6"/>
  <c r="M5294" i="6"/>
  <c r="L5294" i="6"/>
  <c r="K5294" i="6"/>
  <c r="J5294" i="6"/>
  <c r="M5293" i="6"/>
  <c r="L5293" i="6"/>
  <c r="K5293" i="6"/>
  <c r="J5293" i="6"/>
  <c r="M5292" i="6"/>
  <c r="L5292" i="6"/>
  <c r="K5292" i="6"/>
  <c r="J5292" i="6"/>
  <c r="M5291" i="6"/>
  <c r="L5291" i="6"/>
  <c r="K5291" i="6"/>
  <c r="J5291" i="6"/>
  <c r="M5290" i="6"/>
  <c r="L5290" i="6"/>
  <c r="K5290" i="6"/>
  <c r="J5290" i="6"/>
  <c r="M5289" i="6"/>
  <c r="L5289" i="6"/>
  <c r="K5289" i="6"/>
  <c r="J5289" i="6"/>
  <c r="M5288" i="6"/>
  <c r="L5288" i="6"/>
  <c r="K5288" i="6"/>
  <c r="J5288" i="6"/>
  <c r="M5287" i="6"/>
  <c r="L5287" i="6"/>
  <c r="K5287" i="6"/>
  <c r="J5287" i="6"/>
  <c r="M5286" i="6"/>
  <c r="L5286" i="6"/>
  <c r="K5286" i="6"/>
  <c r="J5286" i="6"/>
  <c r="M5285" i="6"/>
  <c r="L5285" i="6"/>
  <c r="K5285" i="6"/>
  <c r="J5285" i="6"/>
  <c r="M5284" i="6"/>
  <c r="L5284" i="6"/>
  <c r="K5284" i="6"/>
  <c r="J5284" i="6"/>
  <c r="M5283" i="6"/>
  <c r="L5283" i="6"/>
  <c r="K5283" i="6"/>
  <c r="J5283" i="6"/>
  <c r="M5282" i="6"/>
  <c r="L5282" i="6"/>
  <c r="K5282" i="6"/>
  <c r="J5282" i="6"/>
  <c r="M5281" i="6"/>
  <c r="L5281" i="6"/>
  <c r="K5281" i="6"/>
  <c r="J5281" i="6"/>
  <c r="M5280" i="6"/>
  <c r="L5280" i="6"/>
  <c r="K5280" i="6"/>
  <c r="J5280" i="6"/>
  <c r="M5279" i="6"/>
  <c r="L5279" i="6"/>
  <c r="K5279" i="6"/>
  <c r="J5279" i="6"/>
  <c r="M5278" i="6"/>
  <c r="L5278" i="6"/>
  <c r="K5278" i="6"/>
  <c r="J5278" i="6"/>
  <c r="M5277" i="6"/>
  <c r="L5277" i="6"/>
  <c r="K5277" i="6"/>
  <c r="J5277" i="6"/>
  <c r="M5276" i="6"/>
  <c r="L5276" i="6"/>
  <c r="K5276" i="6"/>
  <c r="J5276" i="6"/>
  <c r="M5275" i="6"/>
  <c r="L5275" i="6"/>
  <c r="K5275" i="6"/>
  <c r="J5275" i="6"/>
  <c r="M5274" i="6"/>
  <c r="L5274" i="6"/>
  <c r="K5274" i="6"/>
  <c r="J5274" i="6"/>
  <c r="M5273" i="6"/>
  <c r="L5273" i="6"/>
  <c r="K5273" i="6"/>
  <c r="J5273" i="6"/>
  <c r="M5272" i="6"/>
  <c r="L5272" i="6"/>
  <c r="K5272" i="6"/>
  <c r="J5272" i="6"/>
  <c r="M5271" i="6"/>
  <c r="L5271" i="6"/>
  <c r="K5271" i="6"/>
  <c r="J5271" i="6"/>
  <c r="M5270" i="6"/>
  <c r="L5270" i="6"/>
  <c r="K5270" i="6"/>
  <c r="J5270" i="6"/>
  <c r="M5269" i="6"/>
  <c r="L5269" i="6"/>
  <c r="K5269" i="6"/>
  <c r="J5269" i="6"/>
  <c r="M5268" i="6"/>
  <c r="L5268" i="6"/>
  <c r="K5268" i="6"/>
  <c r="J5268" i="6"/>
  <c r="N5267" i="6"/>
  <c r="L5267" i="6"/>
  <c r="K5267" i="6"/>
  <c r="J5267" i="6"/>
  <c r="H5267" i="6"/>
  <c r="M5266" i="6"/>
  <c r="M5265" i="6"/>
  <c r="M5264" i="6"/>
  <c r="M5263" i="6"/>
  <c r="M5262" i="6"/>
  <c r="N5261" i="6"/>
  <c r="M5261" i="6"/>
  <c r="K5261" i="6"/>
  <c r="J5261" i="6"/>
  <c r="H5261" i="6"/>
  <c r="L5260" i="6"/>
  <c r="L5259" i="6"/>
  <c r="L5258" i="6"/>
  <c r="L5257" i="6"/>
  <c r="L5256" i="6"/>
  <c r="L5255" i="6"/>
  <c r="N5254" i="6"/>
  <c r="M5254" i="6"/>
  <c r="K5254" i="6"/>
  <c r="J5254" i="6"/>
  <c r="H5254" i="6"/>
  <c r="L5253" i="6"/>
  <c r="L5252" i="6"/>
  <c r="L5251" i="6"/>
  <c r="L5250" i="6"/>
  <c r="L5249" i="6"/>
  <c r="L5248" i="6"/>
  <c r="L5247" i="6"/>
  <c r="L5246" i="6"/>
  <c r="L5245" i="6"/>
  <c r="N5244" i="6"/>
  <c r="H5244" i="6"/>
  <c r="M5243" i="6"/>
  <c r="L5243" i="6"/>
  <c r="K5243" i="6"/>
  <c r="J5243" i="6"/>
  <c r="M5242" i="6"/>
  <c r="L5242" i="6"/>
  <c r="K5242" i="6"/>
  <c r="J5242" i="6"/>
  <c r="M5241" i="6"/>
  <c r="L5241" i="6"/>
  <c r="K5241" i="6"/>
  <c r="J5241" i="6"/>
  <c r="M5240" i="6"/>
  <c r="L5240" i="6"/>
  <c r="K5240" i="6"/>
  <c r="J5240" i="6"/>
  <c r="M5239" i="6"/>
  <c r="L5239" i="6"/>
  <c r="K5239" i="6"/>
  <c r="J5239" i="6"/>
  <c r="M5238" i="6"/>
  <c r="M5244" i="6" s="1"/>
  <c r="L5238" i="6"/>
  <c r="K5238" i="6"/>
  <c r="J5238" i="6"/>
  <c r="N5237" i="6"/>
  <c r="K5237" i="6"/>
  <c r="J5237" i="6"/>
  <c r="H5237" i="6"/>
  <c r="M5236" i="6"/>
  <c r="M5237" i="6" s="1"/>
  <c r="L5236" i="6"/>
  <c r="L5237" i="6" s="1"/>
  <c r="K5236" i="6"/>
  <c r="J5236" i="6"/>
  <c r="N5235" i="6"/>
  <c r="H5235" i="6"/>
  <c r="M5234" i="6"/>
  <c r="L5234" i="6"/>
  <c r="K5234" i="6"/>
  <c r="J5234" i="6"/>
  <c r="M5233" i="6"/>
  <c r="L5233" i="6"/>
  <c r="K5233" i="6"/>
  <c r="K5235" i="6" s="1"/>
  <c r="J5233" i="6"/>
  <c r="M5232" i="6"/>
  <c r="M5235" i="6" s="1"/>
  <c r="L5232" i="6"/>
  <c r="K5232" i="6"/>
  <c r="J5232" i="6"/>
  <c r="N5231" i="6"/>
  <c r="H5231" i="6"/>
  <c r="M5230" i="6"/>
  <c r="L5230" i="6"/>
  <c r="K5230" i="6"/>
  <c r="J5230" i="6"/>
  <c r="M5229" i="6"/>
  <c r="L5229" i="6"/>
  <c r="K5229" i="6"/>
  <c r="J5229" i="6"/>
  <c r="M5228" i="6"/>
  <c r="L5228" i="6"/>
  <c r="L5231" i="6" s="1"/>
  <c r="K5228" i="6"/>
  <c r="J5228" i="6"/>
  <c r="M5227" i="6"/>
  <c r="L5227" i="6"/>
  <c r="K5227" i="6"/>
  <c r="J5227" i="6"/>
  <c r="J5231" i="6" s="1"/>
  <c r="N5226" i="6"/>
  <c r="H5226" i="6"/>
  <c r="M5225" i="6"/>
  <c r="L5225" i="6"/>
  <c r="K5225" i="6"/>
  <c r="J5225" i="6"/>
  <c r="M5224" i="6"/>
  <c r="L5224" i="6"/>
  <c r="K5224" i="6"/>
  <c r="J5224" i="6"/>
  <c r="M5223" i="6"/>
  <c r="L5223" i="6"/>
  <c r="K5223" i="6"/>
  <c r="J5223" i="6"/>
  <c r="M5222" i="6"/>
  <c r="L5222" i="6"/>
  <c r="K5222" i="6"/>
  <c r="J5222" i="6"/>
  <c r="M5221" i="6"/>
  <c r="L5221" i="6"/>
  <c r="K5221" i="6"/>
  <c r="J5221" i="6"/>
  <c r="M5220" i="6"/>
  <c r="L5220" i="6"/>
  <c r="K5220" i="6"/>
  <c r="J5220" i="6"/>
  <c r="M5219" i="6"/>
  <c r="L5219" i="6"/>
  <c r="K5219" i="6"/>
  <c r="J5219" i="6"/>
  <c r="M5218" i="6"/>
  <c r="L5218" i="6"/>
  <c r="K5218" i="6"/>
  <c r="J5218" i="6"/>
  <c r="M5217" i="6"/>
  <c r="L5217" i="6"/>
  <c r="K5217" i="6"/>
  <c r="J5217" i="6"/>
  <c r="M5216" i="6"/>
  <c r="L5216" i="6"/>
  <c r="K5216" i="6"/>
  <c r="J5216" i="6"/>
  <c r="M5215" i="6"/>
  <c r="L5215" i="6"/>
  <c r="K5215" i="6"/>
  <c r="J5215" i="6"/>
  <c r="M5214" i="6"/>
  <c r="L5214" i="6"/>
  <c r="K5214" i="6"/>
  <c r="J5214" i="6"/>
  <c r="M5213" i="6"/>
  <c r="L5213" i="6"/>
  <c r="K5213" i="6"/>
  <c r="J5213" i="6"/>
  <c r="M5212" i="6"/>
  <c r="L5212" i="6"/>
  <c r="K5212" i="6"/>
  <c r="J5212" i="6"/>
  <c r="M5211" i="6"/>
  <c r="L5211" i="6"/>
  <c r="K5211" i="6"/>
  <c r="J5211" i="6"/>
  <c r="M5210" i="6"/>
  <c r="M5226" i="6" s="1"/>
  <c r="L5210" i="6"/>
  <c r="L5226" i="6" s="1"/>
  <c r="K5210" i="6"/>
  <c r="J5210" i="6"/>
  <c r="N5209" i="6"/>
  <c r="H5209" i="6"/>
  <c r="M5208" i="6"/>
  <c r="M5209" i="6" s="1"/>
  <c r="L5208" i="6"/>
  <c r="L5209" i="6" s="1"/>
  <c r="K5208" i="6"/>
  <c r="K5209" i="6" s="1"/>
  <c r="J5208" i="6"/>
  <c r="J5209" i="6" s="1"/>
  <c r="N5207" i="6"/>
  <c r="H5207" i="6"/>
  <c r="M5206" i="6"/>
  <c r="M5207" i="6" s="1"/>
  <c r="L5206" i="6"/>
  <c r="L5207" i="6" s="1"/>
  <c r="K5206" i="6"/>
  <c r="K5207" i="6" s="1"/>
  <c r="J5206" i="6"/>
  <c r="J5207" i="6" s="1"/>
  <c r="N5205" i="6"/>
  <c r="H5205" i="6"/>
  <c r="M5204" i="6"/>
  <c r="M5205" i="6" s="1"/>
  <c r="L5204" i="6"/>
  <c r="L5205" i="6" s="1"/>
  <c r="K5204" i="6"/>
  <c r="K5205" i="6" s="1"/>
  <c r="J5204" i="6"/>
  <c r="J5205" i="6" s="1"/>
  <c r="N5203" i="6"/>
  <c r="H5203" i="6"/>
  <c r="M5202" i="6"/>
  <c r="M5203" i="6" s="1"/>
  <c r="L5202" i="6"/>
  <c r="L5203" i="6" s="1"/>
  <c r="K5202" i="6"/>
  <c r="K5203" i="6" s="1"/>
  <c r="J5202" i="6"/>
  <c r="J5203" i="6" s="1"/>
  <c r="N5201" i="6"/>
  <c r="M5201" i="6"/>
  <c r="L5201" i="6"/>
  <c r="K5201" i="6"/>
  <c r="J5201" i="6"/>
  <c r="H5201" i="6"/>
  <c r="N5189" i="6"/>
  <c r="M5189" i="6"/>
  <c r="L5189" i="6"/>
  <c r="K5189" i="6"/>
  <c r="J5189" i="6"/>
  <c r="H5189" i="6"/>
  <c r="N5184" i="6"/>
  <c r="M5184" i="6"/>
  <c r="L5184" i="6"/>
  <c r="K5184" i="6"/>
  <c r="J5184" i="6"/>
  <c r="H5184" i="6"/>
  <c r="N5176" i="6"/>
  <c r="M5176" i="6"/>
  <c r="L5176" i="6"/>
  <c r="K5176" i="6"/>
  <c r="J5176" i="6"/>
  <c r="H5176" i="6"/>
  <c r="M5168" i="6"/>
  <c r="L5168" i="6"/>
  <c r="K5168" i="6"/>
  <c r="J5168" i="6"/>
  <c r="H5168" i="6"/>
  <c r="N5154" i="6"/>
  <c r="N5153" i="6"/>
  <c r="N5152" i="6"/>
  <c r="N5151" i="6"/>
  <c r="N5150" i="6"/>
  <c r="N5149" i="6"/>
  <c r="N5148" i="6"/>
  <c r="N5147" i="6"/>
  <c r="N5146" i="6"/>
  <c r="N5145" i="6"/>
  <c r="N5144" i="6"/>
  <c r="N5143" i="6"/>
  <c r="N5142" i="6"/>
  <c r="N5141" i="6"/>
  <c r="N5140" i="6"/>
  <c r="N5139" i="6"/>
  <c r="N5138" i="6"/>
  <c r="N5137" i="6"/>
  <c r="N5136" i="6"/>
  <c r="N5135" i="6"/>
  <c r="N5134" i="6"/>
  <c r="N5133" i="6"/>
  <c r="N5132" i="6"/>
  <c r="N5131" i="6"/>
  <c r="N5130" i="6"/>
  <c r="N5129" i="6"/>
  <c r="N5128" i="6"/>
  <c r="N5127" i="6"/>
  <c r="N5126" i="6"/>
  <c r="N5125" i="6"/>
  <c r="N5124" i="6"/>
  <c r="N5123" i="6"/>
  <c r="N5122" i="6"/>
  <c r="N5121" i="6"/>
  <c r="N5120" i="6"/>
  <c r="N5119" i="6"/>
  <c r="N5118" i="6"/>
  <c r="N5117" i="6"/>
  <c r="N5116" i="6"/>
  <c r="N5115" i="6"/>
  <c r="N5114" i="6"/>
  <c r="N5113" i="6"/>
  <c r="N5112" i="6"/>
  <c r="N5111" i="6"/>
  <c r="N5110" i="6"/>
  <c r="N5109" i="6"/>
  <c r="N5108" i="6"/>
  <c r="N5107" i="6"/>
  <c r="N5106" i="6"/>
  <c r="N5105" i="6"/>
  <c r="N5104" i="6"/>
  <c r="N5103" i="6"/>
  <c r="N5102" i="6"/>
  <c r="N5101" i="6"/>
  <c r="H5100" i="6"/>
  <c r="N5099" i="6"/>
  <c r="M5099" i="6"/>
  <c r="L5099" i="6"/>
  <c r="K5099" i="6"/>
  <c r="J5099" i="6"/>
  <c r="N5098" i="6"/>
  <c r="M5098" i="6"/>
  <c r="L5098" i="6"/>
  <c r="K5098" i="6"/>
  <c r="J5098" i="6"/>
  <c r="N5097" i="6"/>
  <c r="M5097" i="6"/>
  <c r="L5097" i="6"/>
  <c r="K5097" i="6"/>
  <c r="J5097" i="6"/>
  <c r="N5096" i="6"/>
  <c r="M5096" i="6"/>
  <c r="L5096" i="6"/>
  <c r="K5096" i="6"/>
  <c r="J5096" i="6"/>
  <c r="N5095" i="6"/>
  <c r="M5095" i="6"/>
  <c r="L5095" i="6"/>
  <c r="K5095" i="6"/>
  <c r="J5095" i="6"/>
  <c r="N5094" i="6"/>
  <c r="M5094" i="6"/>
  <c r="L5094" i="6"/>
  <c r="K5094" i="6"/>
  <c r="J5094" i="6"/>
  <c r="N5093" i="6"/>
  <c r="M5093" i="6"/>
  <c r="L5093" i="6"/>
  <c r="K5093" i="6"/>
  <c r="J5093" i="6"/>
  <c r="N5092" i="6"/>
  <c r="M5092" i="6"/>
  <c r="L5092" i="6"/>
  <c r="K5092" i="6"/>
  <c r="J5092" i="6"/>
  <c r="N5091" i="6"/>
  <c r="M5091" i="6"/>
  <c r="L5091" i="6"/>
  <c r="K5091" i="6"/>
  <c r="J5091" i="6"/>
  <c r="M5090" i="6"/>
  <c r="L5090" i="6"/>
  <c r="K5090" i="6"/>
  <c r="J5090" i="6"/>
  <c r="H5090" i="6"/>
  <c r="N5089" i="6"/>
  <c r="N5088" i="6"/>
  <c r="N5087" i="6"/>
  <c r="N5090" i="6" s="1"/>
  <c r="M5086" i="6"/>
  <c r="L5086" i="6"/>
  <c r="K5086" i="6"/>
  <c r="J5086" i="6"/>
  <c r="H5086" i="6"/>
  <c r="N5085" i="6"/>
  <c r="N5084" i="6"/>
  <c r="N5083" i="6"/>
  <c r="N5082" i="6"/>
  <c r="N5081" i="6"/>
  <c r="M5080" i="6"/>
  <c r="L5080" i="6"/>
  <c r="K5080" i="6"/>
  <c r="J5080" i="6"/>
  <c r="H5080" i="6"/>
  <c r="N5079" i="6"/>
  <c r="N5080" i="6" s="1"/>
  <c r="M5078" i="6"/>
  <c r="L5078" i="6"/>
  <c r="K5078" i="6"/>
  <c r="J5078" i="6"/>
  <c r="H5078" i="6"/>
  <c r="N5053" i="6"/>
  <c r="N5052" i="6"/>
  <c r="N5051" i="6"/>
  <c r="N5050" i="6"/>
  <c r="N5049" i="6"/>
  <c r="N5048" i="6"/>
  <c r="N5047" i="6"/>
  <c r="N5046" i="6"/>
  <c r="N5045" i="6"/>
  <c r="N5044" i="6"/>
  <c r="N5043" i="6"/>
  <c r="N5042" i="6"/>
  <c r="N5041" i="6"/>
  <c r="N5040" i="6"/>
  <c r="N5039" i="6"/>
  <c r="N5038" i="6"/>
  <c r="N5037" i="6"/>
  <c r="N5036" i="6"/>
  <c r="N5035" i="6"/>
  <c r="N5034" i="6"/>
  <c r="N5033" i="6"/>
  <c r="N5032" i="6"/>
  <c r="N5031" i="6"/>
  <c r="N5030" i="6"/>
  <c r="N5029" i="6"/>
  <c r="N5028" i="6"/>
  <c r="N5027" i="6"/>
  <c r="N5026" i="6"/>
  <c r="N5025" i="6"/>
  <c r="N5024" i="6"/>
  <c r="N5023" i="6"/>
  <c r="N5022" i="6"/>
  <c r="N5021" i="6"/>
  <c r="N5020" i="6"/>
  <c r="N5019" i="6"/>
  <c r="N5018" i="6"/>
  <c r="N5017" i="6"/>
  <c r="N5016" i="6"/>
  <c r="N5015" i="6"/>
  <c r="N5014" i="6"/>
  <c r="N5013" i="6"/>
  <c r="N5012" i="6"/>
  <c r="N5011" i="6"/>
  <c r="N5010" i="6"/>
  <c r="N5009" i="6"/>
  <c r="N5008" i="6"/>
  <c r="N5007" i="6"/>
  <c r="N5006" i="6"/>
  <c r="N5005" i="6"/>
  <c r="N5004" i="6"/>
  <c r="N5003" i="6"/>
  <c r="N5002" i="6"/>
  <c r="N5001" i="6"/>
  <c r="N5000" i="6"/>
  <c r="N4999" i="6"/>
  <c r="N4998" i="6"/>
  <c r="N4997" i="6"/>
  <c r="N4996" i="6"/>
  <c r="N4995" i="6"/>
  <c r="N4994" i="6"/>
  <c r="N4993" i="6"/>
  <c r="N4992" i="6"/>
  <c r="N4991" i="6"/>
  <c r="N4990" i="6"/>
  <c r="N4989" i="6"/>
  <c r="N4988" i="6"/>
  <c r="N4987" i="6"/>
  <c r="N4986" i="6"/>
  <c r="N4985" i="6"/>
  <c r="N4984" i="6"/>
  <c r="N4983" i="6"/>
  <c r="N4982" i="6"/>
  <c r="N4981" i="6"/>
  <c r="N4980" i="6"/>
  <c r="N4979" i="6"/>
  <c r="N4978" i="6"/>
  <c r="N4977" i="6"/>
  <c r="N4976" i="6"/>
  <c r="N4975" i="6"/>
  <c r="N4974" i="6"/>
  <c r="N4973" i="6"/>
  <c r="N4972" i="6"/>
  <c r="N4971" i="6"/>
  <c r="N4970" i="6"/>
  <c r="N4969" i="6"/>
  <c r="N4968" i="6"/>
  <c r="N4967" i="6"/>
  <c r="N4966" i="6"/>
  <c r="N4965" i="6"/>
  <c r="N4964" i="6"/>
  <c r="N4963" i="6"/>
  <c r="N4962" i="6"/>
  <c r="N4961" i="6"/>
  <c r="N4960" i="6"/>
  <c r="N4959" i="6"/>
  <c r="N4958" i="6"/>
  <c r="N4957" i="6"/>
  <c r="N4956" i="6"/>
  <c r="N4955" i="6"/>
  <c r="N4954" i="6"/>
  <c r="N4953" i="6"/>
  <c r="N4952" i="6"/>
  <c r="N4951" i="6"/>
  <c r="N4950" i="6"/>
  <c r="N4949" i="6"/>
  <c r="N4948" i="6"/>
  <c r="N4947" i="6"/>
  <c r="N4946" i="6"/>
  <c r="N4945" i="6"/>
  <c r="N4944" i="6"/>
  <c r="M4944" i="6"/>
  <c r="L4944" i="6"/>
  <c r="K4944" i="6"/>
  <c r="J4944" i="6"/>
  <c r="H4944" i="6"/>
  <c r="N4901" i="6"/>
  <c r="M4901" i="6"/>
  <c r="L4901" i="6"/>
  <c r="K4901" i="6"/>
  <c r="J4901" i="6"/>
  <c r="H4901" i="6"/>
  <c r="M4867" i="6"/>
  <c r="L4867" i="6"/>
  <c r="K4867" i="6"/>
  <c r="J4867" i="6"/>
  <c r="H4867" i="6"/>
  <c r="N4854" i="6"/>
  <c r="N4853" i="6"/>
  <c r="N4852" i="6"/>
  <c r="N4851" i="6"/>
  <c r="N4850" i="6"/>
  <c r="N4849" i="6"/>
  <c r="N4848" i="6"/>
  <c r="N4847" i="6"/>
  <c r="N4846" i="6"/>
  <c r="N4845" i="6"/>
  <c r="N4844" i="6"/>
  <c r="N4843" i="6"/>
  <c r="N4842" i="6"/>
  <c r="N4841" i="6"/>
  <c r="N4840" i="6"/>
  <c r="N4839" i="6"/>
  <c r="N4838" i="6"/>
  <c r="N4837" i="6"/>
  <c r="N4836" i="6"/>
  <c r="N4835" i="6"/>
  <c r="N4834" i="6"/>
  <c r="N4833" i="6"/>
  <c r="N4832" i="6"/>
  <c r="N4831" i="6"/>
  <c r="N4830" i="6"/>
  <c r="N4829" i="6"/>
  <c r="N4828" i="6"/>
  <c r="N4827" i="6"/>
  <c r="N4826" i="6"/>
  <c r="N4825" i="6"/>
  <c r="N4824" i="6"/>
  <c r="N4823" i="6"/>
  <c r="N4822" i="6"/>
  <c r="N4821" i="6"/>
  <c r="N4820" i="6"/>
  <c r="N4819" i="6"/>
  <c r="N4818" i="6"/>
  <c r="N4817" i="6"/>
  <c r="N4816" i="6"/>
  <c r="N4815" i="6"/>
  <c r="N4814" i="6"/>
  <c r="N4813" i="6"/>
  <c r="N4812" i="6"/>
  <c r="N4811" i="6"/>
  <c r="N4810" i="6"/>
  <c r="N4809" i="6"/>
  <c r="N4808" i="6"/>
  <c r="N4807" i="6"/>
  <c r="N4806" i="6"/>
  <c r="N4805" i="6"/>
  <c r="N4804" i="6"/>
  <c r="N4803" i="6"/>
  <c r="N4802" i="6"/>
  <c r="N4801" i="6"/>
  <c r="N4800" i="6"/>
  <c r="N4799" i="6"/>
  <c r="N4798" i="6"/>
  <c r="N4797" i="6"/>
  <c r="N4796" i="6"/>
  <c r="N4795" i="6"/>
  <c r="N4794" i="6"/>
  <c r="N4793" i="6"/>
  <c r="N4792" i="6"/>
  <c r="N4791" i="6"/>
  <c r="N4790" i="6"/>
  <c r="N4789" i="6"/>
  <c r="N4788" i="6"/>
  <c r="N4787" i="6"/>
  <c r="N4786" i="6"/>
  <c r="N4785" i="6"/>
  <c r="N4784" i="6"/>
  <c r="N4783" i="6"/>
  <c r="N4782" i="6"/>
  <c r="N4781" i="6"/>
  <c r="N4780" i="6"/>
  <c r="N4779" i="6"/>
  <c r="N4778" i="6"/>
  <c r="N4777" i="6"/>
  <c r="N4776" i="6"/>
  <c r="N4775" i="6"/>
  <c r="N4774" i="6"/>
  <c r="N4773" i="6"/>
  <c r="N4772" i="6"/>
  <c r="N4771" i="6"/>
  <c r="N4770" i="6"/>
  <c r="N4769" i="6"/>
  <c r="N4768" i="6"/>
  <c r="N4767" i="6"/>
  <c r="N4766" i="6"/>
  <c r="N4765" i="6"/>
  <c r="N4764" i="6"/>
  <c r="N4763" i="6"/>
  <c r="N4762" i="6"/>
  <c r="N4761" i="6"/>
  <c r="N4760" i="6"/>
  <c r="N4759" i="6"/>
  <c r="N4758" i="6"/>
  <c r="N4757" i="6"/>
  <c r="N4756" i="6"/>
  <c r="N4755" i="6"/>
  <c r="N4754" i="6"/>
  <c r="N4753" i="6"/>
  <c r="N4752" i="6"/>
  <c r="N4751" i="6"/>
  <c r="N4750" i="6"/>
  <c r="N4749" i="6"/>
  <c r="N4748" i="6"/>
  <c r="N4747" i="6"/>
  <c r="N4746" i="6"/>
  <c r="N4745" i="6"/>
  <c r="N4744" i="6"/>
  <c r="N4743" i="6"/>
  <c r="N4742" i="6"/>
  <c r="N4741" i="6"/>
  <c r="N4740" i="6"/>
  <c r="N4739" i="6"/>
  <c r="N4738" i="6"/>
  <c r="N4737" i="6"/>
  <c r="N4736" i="6"/>
  <c r="N4735" i="6"/>
  <c r="N4734" i="6"/>
  <c r="N4733" i="6"/>
  <c r="N4732" i="6"/>
  <c r="N4731" i="6"/>
  <c r="M4731" i="6"/>
  <c r="L4731" i="6"/>
  <c r="K4731" i="6"/>
  <c r="J4731" i="6"/>
  <c r="H4731" i="6"/>
  <c r="M4658" i="6"/>
  <c r="L4658" i="6"/>
  <c r="K4658" i="6"/>
  <c r="J4658" i="6"/>
  <c r="H4658" i="6"/>
  <c r="N4654" i="6"/>
  <c r="N4653" i="6"/>
  <c r="N4652" i="6"/>
  <c r="N4651" i="6"/>
  <c r="N4650" i="6"/>
  <c r="N4649" i="6"/>
  <c r="N4648" i="6"/>
  <c r="N4647" i="6"/>
  <c r="N4646" i="6"/>
  <c r="N4645" i="6"/>
  <c r="N4644" i="6"/>
  <c r="N4643" i="6"/>
  <c r="N4642" i="6"/>
  <c r="N4641" i="6"/>
  <c r="N4640" i="6"/>
  <c r="M4639" i="6"/>
  <c r="L4639" i="6"/>
  <c r="K4639" i="6"/>
  <c r="J4639" i="6"/>
  <c r="H4639" i="6"/>
  <c r="N4638" i="6"/>
  <c r="N4639" i="6" s="1"/>
  <c r="N4637" i="6"/>
  <c r="M4637" i="6"/>
  <c r="L4637" i="6"/>
  <c r="K4637" i="6"/>
  <c r="J4637" i="6"/>
  <c r="H4637" i="6"/>
  <c r="N4636" i="6"/>
  <c r="M4635" i="6"/>
  <c r="L4635" i="6"/>
  <c r="K4635" i="6"/>
  <c r="J4635" i="6"/>
  <c r="H4635" i="6"/>
  <c r="N4634" i="6"/>
  <c r="N4635" i="6" s="1"/>
  <c r="H4633" i="6"/>
  <c r="J4632" i="6"/>
  <c r="J4631" i="6"/>
  <c r="N4630" i="6"/>
  <c r="M4630" i="6"/>
  <c r="M4633" i="6" s="1"/>
  <c r="L4630" i="6"/>
  <c r="L4633" i="6" s="1"/>
  <c r="K4630" i="6"/>
  <c r="J4630" i="6"/>
  <c r="N4629" i="6"/>
  <c r="M4629" i="6"/>
  <c r="L4629" i="6"/>
  <c r="K4629" i="6"/>
  <c r="J4629" i="6"/>
  <c r="J4628" i="6"/>
  <c r="J4627" i="6"/>
  <c r="J4626" i="6"/>
  <c r="J4625" i="6"/>
  <c r="H4624" i="6"/>
  <c r="N4623" i="6"/>
  <c r="M4623" i="6"/>
  <c r="L4623" i="6"/>
  <c r="K4623" i="6"/>
  <c r="J4623" i="6"/>
  <c r="N4622" i="6"/>
  <c r="M4622" i="6"/>
  <c r="L4622" i="6"/>
  <c r="K4622" i="6"/>
  <c r="J4622" i="6"/>
  <c r="N4621" i="6"/>
  <c r="M4621" i="6"/>
  <c r="L4621" i="6"/>
  <c r="K4621" i="6"/>
  <c r="J4621" i="6"/>
  <c r="N4620" i="6"/>
  <c r="M4620" i="6"/>
  <c r="L4620" i="6"/>
  <c r="K4620" i="6"/>
  <c r="J4620" i="6"/>
  <c r="N4619" i="6"/>
  <c r="M4619" i="6"/>
  <c r="L4619" i="6"/>
  <c r="K4619" i="6"/>
  <c r="J4619" i="6"/>
  <c r="N4618" i="6"/>
  <c r="M4618" i="6"/>
  <c r="L4618" i="6"/>
  <c r="K4618" i="6"/>
  <c r="J4618" i="6"/>
  <c r="N4617" i="6"/>
  <c r="M4617" i="6"/>
  <c r="L4617" i="6"/>
  <c r="K4617" i="6"/>
  <c r="J4617" i="6"/>
  <c r="N4616" i="6"/>
  <c r="M4616" i="6"/>
  <c r="L4616" i="6"/>
  <c r="K4616" i="6"/>
  <c r="J4616" i="6"/>
  <c r="N4615" i="6"/>
  <c r="M4615" i="6"/>
  <c r="L4615" i="6"/>
  <c r="K4615" i="6"/>
  <c r="J4615" i="6"/>
  <c r="N4614" i="6"/>
  <c r="M4614" i="6"/>
  <c r="L4614" i="6"/>
  <c r="K4614" i="6"/>
  <c r="J4614" i="6"/>
  <c r="N4613" i="6"/>
  <c r="M4613" i="6"/>
  <c r="L4613" i="6"/>
  <c r="K4613" i="6"/>
  <c r="J4613" i="6"/>
  <c r="N4612" i="6"/>
  <c r="M4612" i="6"/>
  <c r="L4612" i="6"/>
  <c r="K4612" i="6"/>
  <c r="J4612" i="6"/>
  <c r="H4612" i="6"/>
  <c r="N4608" i="6"/>
  <c r="M4608" i="6"/>
  <c r="L4608" i="6"/>
  <c r="K4608" i="6"/>
  <c r="J4608" i="6"/>
  <c r="H4608" i="6"/>
  <c r="N4603" i="6"/>
  <c r="M4603" i="6"/>
  <c r="L4603" i="6"/>
  <c r="K4603" i="6"/>
  <c r="J4603" i="6"/>
  <c r="H4603" i="6"/>
  <c r="N4560" i="6"/>
  <c r="M4560" i="6"/>
  <c r="L4560" i="6"/>
  <c r="K4560" i="6"/>
  <c r="J4560" i="6"/>
  <c r="H4560" i="6"/>
  <c r="M4499" i="6"/>
  <c r="L4499" i="6"/>
  <c r="K4499" i="6"/>
  <c r="J4499" i="6"/>
  <c r="H4499" i="6"/>
  <c r="N4495" i="6"/>
  <c r="N4494" i="6"/>
  <c r="N4493" i="6"/>
  <c r="N4492" i="6"/>
  <c r="N4491" i="6"/>
  <c r="N4490" i="6"/>
  <c r="N4489" i="6"/>
  <c r="N4488" i="6"/>
  <c r="N4487" i="6"/>
  <c r="N4486" i="6"/>
  <c r="N4485" i="6"/>
  <c r="N4484" i="6"/>
  <c r="N4483" i="6"/>
  <c r="N4482" i="6"/>
  <c r="N4481" i="6"/>
  <c r="N4480" i="6"/>
  <c r="N4479" i="6"/>
  <c r="N4478" i="6"/>
  <c r="N4477" i="6"/>
  <c r="N4476" i="6"/>
  <c r="N4475" i="6"/>
  <c r="N4474" i="6"/>
  <c r="N4473" i="6"/>
  <c r="N4472" i="6"/>
  <c r="N4471" i="6"/>
  <c r="N4470" i="6"/>
  <c r="N4469" i="6"/>
  <c r="N4468" i="6"/>
  <c r="N4467" i="6"/>
  <c r="N4466" i="6"/>
  <c r="N4465" i="6"/>
  <c r="N4464" i="6"/>
  <c r="N4463" i="6"/>
  <c r="N4462" i="6"/>
  <c r="M4462" i="6"/>
  <c r="L4462" i="6"/>
  <c r="K4462" i="6"/>
  <c r="J4462" i="6"/>
  <c r="H4462" i="6"/>
  <c r="N4452" i="6"/>
  <c r="M4452" i="6"/>
  <c r="L4452" i="6"/>
  <c r="K4452" i="6"/>
  <c r="J4452" i="6"/>
  <c r="H4452" i="6"/>
  <c r="M4449" i="6"/>
  <c r="L4449" i="6"/>
  <c r="K4449" i="6"/>
  <c r="J4449" i="6"/>
  <c r="H4449" i="6"/>
  <c r="N4442" i="6"/>
  <c r="N4441" i="6"/>
  <c r="N4440" i="6"/>
  <c r="N4439" i="6"/>
  <c r="N4438" i="6"/>
  <c r="N4437" i="6"/>
  <c r="N4436" i="6"/>
  <c r="N4435" i="6"/>
  <c r="N4434" i="6"/>
  <c r="N4433" i="6"/>
  <c r="N4432" i="6"/>
  <c r="N4431" i="6"/>
  <c r="N4430" i="6"/>
  <c r="N4429" i="6"/>
  <c r="N4428" i="6"/>
  <c r="N4427" i="6"/>
  <c r="N4426" i="6"/>
  <c r="N4425" i="6"/>
  <c r="N4424" i="6"/>
  <c r="N4423" i="6"/>
  <c r="N4422" i="6"/>
  <c r="N4421" i="6"/>
  <c r="N4420" i="6"/>
  <c r="N4419" i="6"/>
  <c r="N4418" i="6"/>
  <c r="N4417" i="6"/>
  <c r="N4416" i="6"/>
  <c r="N4415" i="6"/>
  <c r="N4414" i="6"/>
  <c r="N4413" i="6"/>
  <c r="N4412" i="6"/>
  <c r="N4411" i="6"/>
  <c r="N4410" i="6"/>
  <c r="N4409" i="6"/>
  <c r="N4408" i="6"/>
  <c r="N4407" i="6"/>
  <c r="N4406" i="6"/>
  <c r="N4405" i="6"/>
  <c r="N4404" i="6"/>
  <c r="N4403" i="6"/>
  <c r="N4402" i="6"/>
  <c r="N4401" i="6"/>
  <c r="N4400" i="6"/>
  <c r="N4399" i="6"/>
  <c r="N4398" i="6"/>
  <c r="N4397" i="6"/>
  <c r="N4396" i="6"/>
  <c r="N4395" i="6"/>
  <c r="N4394" i="6"/>
  <c r="N4393" i="6"/>
  <c r="N4392" i="6"/>
  <c r="N4391" i="6"/>
  <c r="N4390" i="6"/>
  <c r="N4389" i="6"/>
  <c r="N4388" i="6"/>
  <c r="N4387" i="6"/>
  <c r="N4386" i="6"/>
  <c r="N4385" i="6"/>
  <c r="N4384" i="6"/>
  <c r="N4383" i="6"/>
  <c r="N4382" i="6"/>
  <c r="N4381" i="6"/>
  <c r="N4380" i="6"/>
  <c r="N4379" i="6"/>
  <c r="N4378" i="6"/>
  <c r="N4377" i="6"/>
  <c r="N4376" i="6"/>
  <c r="M4376" i="6"/>
  <c r="L4376" i="6"/>
  <c r="K4376" i="6"/>
  <c r="J4376" i="6"/>
  <c r="H4376" i="6"/>
  <c r="N4364" i="6"/>
  <c r="M4364" i="6"/>
  <c r="L4364" i="6"/>
  <c r="K4364" i="6"/>
  <c r="J4364" i="6"/>
  <c r="H4364" i="6"/>
  <c r="N4328" i="6"/>
  <c r="M4328" i="6"/>
  <c r="L4328" i="6"/>
  <c r="K4328" i="6"/>
  <c r="J4328" i="6"/>
  <c r="H4328" i="6"/>
  <c r="N4320" i="6"/>
  <c r="M4320" i="6"/>
  <c r="L4320" i="6"/>
  <c r="K4320" i="6"/>
  <c r="J4320" i="6"/>
  <c r="H4320" i="6"/>
  <c r="N4309" i="6"/>
  <c r="M4309" i="6"/>
  <c r="L4309" i="6"/>
  <c r="K4309" i="6"/>
  <c r="J4309" i="6"/>
  <c r="H4309" i="6"/>
  <c r="M4300" i="6"/>
  <c r="L4300" i="6"/>
  <c r="K4300" i="6"/>
  <c r="J4300" i="6"/>
  <c r="H4300" i="6"/>
  <c r="N4296" i="6"/>
  <c r="N4295" i="6"/>
  <c r="N4294" i="6"/>
  <c r="N4293" i="6"/>
  <c r="N4292" i="6"/>
  <c r="N4291" i="6"/>
  <c r="N4290" i="6"/>
  <c r="N4289" i="6"/>
  <c r="N4288" i="6"/>
  <c r="N4287" i="6"/>
  <c r="N4286" i="6"/>
  <c r="N4285" i="6"/>
  <c r="N4284" i="6"/>
  <c r="N4283" i="6"/>
  <c r="N4282" i="6"/>
  <c r="N4281" i="6"/>
  <c r="N4280" i="6"/>
  <c r="N4279" i="6"/>
  <c r="N4278" i="6"/>
  <c r="N4277" i="6"/>
  <c r="N4276" i="6"/>
  <c r="N4275" i="6"/>
  <c r="N4274" i="6"/>
  <c r="N4273" i="6"/>
  <c r="N4272" i="6"/>
  <c r="N4271" i="6"/>
  <c r="N4270" i="6"/>
  <c r="N4269" i="6"/>
  <c r="N4268" i="6"/>
  <c r="N4267" i="6"/>
  <c r="N4266" i="6"/>
  <c r="N4265" i="6"/>
  <c r="N4264" i="6"/>
  <c r="M4263" i="6"/>
  <c r="L4263" i="6"/>
  <c r="K4263" i="6"/>
  <c r="J4263" i="6"/>
  <c r="H4263" i="6"/>
  <c r="N4259" i="6"/>
  <c r="N4258" i="6"/>
  <c r="N4257" i="6"/>
  <c r="N4256" i="6"/>
  <c r="N4255" i="6"/>
  <c r="N4254" i="6"/>
  <c r="N4253" i="6"/>
  <c r="N4252" i="6"/>
  <c r="N4251" i="6"/>
  <c r="N4250" i="6"/>
  <c r="N4249" i="6"/>
  <c r="N4248" i="6"/>
  <c r="N4247" i="6"/>
  <c r="N4246" i="6"/>
  <c r="N4245" i="6"/>
  <c r="M4244" i="6"/>
  <c r="L4244" i="6"/>
  <c r="K4244" i="6"/>
  <c r="J4244" i="6"/>
  <c r="H4244" i="6"/>
  <c r="N4195" i="6"/>
  <c r="N4194" i="6"/>
  <c r="N4193" i="6"/>
  <c r="N4192" i="6"/>
  <c r="N4191" i="6"/>
  <c r="N4190" i="6"/>
  <c r="N4189" i="6"/>
  <c r="N4188" i="6"/>
  <c r="N4187" i="6"/>
  <c r="N4186" i="6"/>
  <c r="N4185" i="6"/>
  <c r="N4184" i="6"/>
  <c r="N4183" i="6"/>
  <c r="N4182" i="6"/>
  <c r="N4181" i="6"/>
  <c r="N4180" i="6"/>
  <c r="N4179" i="6"/>
  <c r="N4178" i="6"/>
  <c r="N4177" i="6"/>
  <c r="N4176" i="6"/>
  <c r="N4175" i="6"/>
  <c r="N4174" i="6"/>
  <c r="N4173" i="6"/>
  <c r="N4172" i="6"/>
  <c r="N4171" i="6"/>
  <c r="N4170" i="6"/>
  <c r="N4169" i="6"/>
  <c r="N4168" i="6"/>
  <c r="N4167" i="6"/>
  <c r="N4166" i="6"/>
  <c r="N4165" i="6"/>
  <c r="N4164" i="6"/>
  <c r="N4163" i="6"/>
  <c r="N4162" i="6"/>
  <c r="N4161" i="6"/>
  <c r="N4160" i="6"/>
  <c r="N4159" i="6"/>
  <c r="N4158" i="6"/>
  <c r="N4157" i="6"/>
  <c r="N4156" i="6"/>
  <c r="N4155" i="6"/>
  <c r="N4154" i="6"/>
  <c r="N4153" i="6"/>
  <c r="N4152" i="6"/>
  <c r="N4151" i="6"/>
  <c r="N4150" i="6"/>
  <c r="N4149" i="6"/>
  <c r="N4148" i="6"/>
  <c r="N4147" i="6"/>
  <c r="N4146" i="6"/>
  <c r="N4145" i="6"/>
  <c r="N4144" i="6"/>
  <c r="N4143" i="6"/>
  <c r="N4142" i="6"/>
  <c r="N4141" i="6"/>
  <c r="N4140" i="6"/>
  <c r="N4139" i="6"/>
  <c r="N4138" i="6"/>
  <c r="N4137" i="6"/>
  <c r="N4136" i="6"/>
  <c r="N4135" i="6"/>
  <c r="N4134" i="6"/>
  <c r="N4133" i="6"/>
  <c r="N4132" i="6"/>
  <c r="N4131" i="6"/>
  <c r="N4130" i="6"/>
  <c r="N4129" i="6"/>
  <c r="N4128" i="6"/>
  <c r="N4127" i="6"/>
  <c r="N4126" i="6"/>
  <c r="N4125" i="6"/>
  <c r="N4124" i="6"/>
  <c r="N4123" i="6"/>
  <c r="N4122" i="6"/>
  <c r="N4121" i="6"/>
  <c r="N4120" i="6"/>
  <c r="N4119" i="6"/>
  <c r="N4118" i="6"/>
  <c r="N4117" i="6"/>
  <c r="N4116" i="6"/>
  <c r="N4115" i="6"/>
  <c r="N4114" i="6"/>
  <c r="N4113" i="6"/>
  <c r="N4112" i="6"/>
  <c r="N4111" i="6"/>
  <c r="N4110" i="6"/>
  <c r="N4109" i="6"/>
  <c r="N4108" i="6"/>
  <c r="N4107" i="6"/>
  <c r="N4106" i="6"/>
  <c r="N4105" i="6"/>
  <c r="N4104" i="6"/>
  <c r="N4103" i="6"/>
  <c r="N4102" i="6"/>
  <c r="N4101" i="6"/>
  <c r="N4100" i="6"/>
  <c r="N4099" i="6"/>
  <c r="N4098" i="6"/>
  <c r="N4097" i="6"/>
  <c r="N4096" i="6"/>
  <c r="N4095" i="6"/>
  <c r="N4094" i="6"/>
  <c r="N4093" i="6"/>
  <c r="N4092" i="6"/>
  <c r="N4091" i="6"/>
  <c r="N4090" i="6"/>
  <c r="N4089" i="6"/>
  <c r="N4088" i="6"/>
  <c r="N4087" i="6"/>
  <c r="N4086" i="6"/>
  <c r="N4085" i="6"/>
  <c r="N4084" i="6"/>
  <c r="N4083" i="6"/>
  <c r="N4082" i="6"/>
  <c r="N4081" i="6"/>
  <c r="N4080" i="6"/>
  <c r="N4079" i="6"/>
  <c r="N4078" i="6"/>
  <c r="N4077" i="6"/>
  <c r="N4076" i="6"/>
  <c r="N4075" i="6"/>
  <c r="N4074" i="6"/>
  <c r="N4073" i="6"/>
  <c r="N4072" i="6"/>
  <c r="N4071" i="6"/>
  <c r="N4070" i="6"/>
  <c r="N4069" i="6"/>
  <c r="N4068" i="6"/>
  <c r="N4067" i="6"/>
  <c r="N4066" i="6"/>
  <c r="N4065" i="6"/>
  <c r="N4064" i="6"/>
  <c r="N4063" i="6"/>
  <c r="N4062" i="6"/>
  <c r="N4061" i="6"/>
  <c r="N4060" i="6"/>
  <c r="N4059" i="6"/>
  <c r="N4058" i="6"/>
  <c r="N4057" i="6"/>
  <c r="N4056" i="6"/>
  <c r="N4055" i="6"/>
  <c r="N4054" i="6"/>
  <c r="N4053" i="6"/>
  <c r="N4052" i="6"/>
  <c r="N4051" i="6"/>
  <c r="N4050" i="6"/>
  <c r="N4049" i="6"/>
  <c r="N4048" i="6"/>
  <c r="N4047" i="6"/>
  <c r="N4046" i="6"/>
  <c r="N4045" i="6"/>
  <c r="N4044" i="6"/>
  <c r="N4043" i="6"/>
  <c r="N4042" i="6"/>
  <c r="N4041" i="6"/>
  <c r="N4040" i="6"/>
  <c r="N4039" i="6"/>
  <c r="N4038" i="6"/>
  <c r="N4037" i="6"/>
  <c r="N4036" i="6"/>
  <c r="N4035" i="6"/>
  <c r="N4034" i="6"/>
  <c r="N4033" i="6"/>
  <c r="N4032" i="6"/>
  <c r="N4031" i="6"/>
  <c r="N4030" i="6"/>
  <c r="N4029" i="6"/>
  <c r="N4028" i="6"/>
  <c r="N4027" i="6"/>
  <c r="N4026" i="6"/>
  <c r="N4025" i="6"/>
  <c r="N4024" i="6"/>
  <c r="N4023" i="6"/>
  <c r="N4022" i="6"/>
  <c r="N4021" i="6"/>
  <c r="N4020" i="6"/>
  <c r="N4019" i="6"/>
  <c r="N4018" i="6"/>
  <c r="N4017" i="6"/>
  <c r="N4016" i="6"/>
  <c r="N4015" i="6"/>
  <c r="N4014" i="6"/>
  <c r="N4013" i="6"/>
  <c r="N4012" i="6"/>
  <c r="N4011" i="6"/>
  <c r="N4010" i="6"/>
  <c r="N4009" i="6"/>
  <c r="N4008" i="6"/>
  <c r="N4007" i="6"/>
  <c r="N4006" i="6"/>
  <c r="N4005" i="6"/>
  <c r="N4004" i="6"/>
  <c r="N4003" i="6"/>
  <c r="N4002" i="6"/>
  <c r="N4001" i="6"/>
  <c r="N4000" i="6"/>
  <c r="N3999" i="6"/>
  <c r="N3998" i="6"/>
  <c r="N3997" i="6"/>
  <c r="N3996" i="6"/>
  <c r="N3995" i="6"/>
  <c r="N3994" i="6"/>
  <c r="N3993" i="6"/>
  <c r="N3992" i="6"/>
  <c r="N3991" i="6"/>
  <c r="N3990" i="6"/>
  <c r="N3989" i="6"/>
  <c r="N3988" i="6"/>
  <c r="N3987" i="6"/>
  <c r="N3986" i="6"/>
  <c r="N3985" i="6"/>
  <c r="N3984" i="6"/>
  <c r="N3983" i="6"/>
  <c r="N3982" i="6"/>
  <c r="N3981" i="6"/>
  <c r="N3980" i="6"/>
  <c r="N3979" i="6"/>
  <c r="N3978" i="6"/>
  <c r="N3977" i="6"/>
  <c r="N3976" i="6"/>
  <c r="N3975" i="6"/>
  <c r="N3974" i="6"/>
  <c r="N3973" i="6"/>
  <c r="N3972" i="6"/>
  <c r="N3971" i="6"/>
  <c r="N3970" i="6"/>
  <c r="N3969" i="6"/>
  <c r="N3968" i="6"/>
  <c r="N3967" i="6"/>
  <c r="N3966" i="6"/>
  <c r="N3965" i="6"/>
  <c r="N3964" i="6"/>
  <c r="N3963" i="6"/>
  <c r="N3962" i="6"/>
  <c r="N3961" i="6"/>
  <c r="N3960" i="6"/>
  <c r="N3959" i="6"/>
  <c r="N3958" i="6"/>
  <c r="N3957" i="6"/>
  <c r="N3956" i="6"/>
  <c r="N3955" i="6"/>
  <c r="N3954" i="6"/>
  <c r="N3953" i="6"/>
  <c r="N3952" i="6"/>
  <c r="N3951" i="6"/>
  <c r="N3950" i="6"/>
  <c r="N3949" i="6"/>
  <c r="N3948" i="6"/>
  <c r="N3947" i="6"/>
  <c r="N3946" i="6"/>
  <c r="N3945" i="6"/>
  <c r="N3944" i="6"/>
  <c r="N3943" i="6"/>
  <c r="N3942" i="6"/>
  <c r="N3941" i="6"/>
  <c r="N3940" i="6"/>
  <c r="N3939" i="6"/>
  <c r="N3938" i="6"/>
  <c r="N3937" i="6"/>
  <c r="N3936" i="6"/>
  <c r="N3935" i="6"/>
  <c r="N3934" i="6"/>
  <c r="N3933" i="6"/>
  <c r="N3932" i="6"/>
  <c r="N3931" i="6"/>
  <c r="N3930" i="6"/>
  <c r="N3929" i="6"/>
  <c r="N3928" i="6"/>
  <c r="N3927" i="6"/>
  <c r="N3926" i="6"/>
  <c r="N3925" i="6"/>
  <c r="N3924" i="6"/>
  <c r="N3923" i="6"/>
  <c r="N3922" i="6"/>
  <c r="N3921" i="6"/>
  <c r="N3920" i="6"/>
  <c r="N3919" i="6"/>
  <c r="N3918" i="6"/>
  <c r="N3917" i="6"/>
  <c r="N3916" i="6"/>
  <c r="N3915" i="6"/>
  <c r="N3914" i="6"/>
  <c r="N3913" i="6"/>
  <c r="N3912" i="6"/>
  <c r="N3911" i="6"/>
  <c r="N3910" i="6"/>
  <c r="N3909" i="6"/>
  <c r="N3908" i="6"/>
  <c r="N3907" i="6"/>
  <c r="N3906" i="6"/>
  <c r="N3905" i="6"/>
  <c r="N3904" i="6"/>
  <c r="N3903" i="6"/>
  <c r="N3902" i="6"/>
  <c r="N3901" i="6"/>
  <c r="N3900" i="6"/>
  <c r="N3899" i="6"/>
  <c r="N3898" i="6"/>
  <c r="N3897" i="6"/>
  <c r="N3896" i="6"/>
  <c r="N3895" i="6"/>
  <c r="N3894" i="6"/>
  <c r="N3893" i="6"/>
  <c r="N3892" i="6"/>
  <c r="N3891" i="6"/>
  <c r="N3890" i="6"/>
  <c r="N3889" i="6"/>
  <c r="N3888" i="6"/>
  <c r="N3887" i="6"/>
  <c r="N3886" i="6"/>
  <c r="N3885" i="6"/>
  <c r="N3884" i="6"/>
  <c r="N3883" i="6"/>
  <c r="N3882" i="6"/>
  <c r="N3881" i="6"/>
  <c r="N3880" i="6"/>
  <c r="N3879" i="6"/>
  <c r="N3878" i="6"/>
  <c r="N3877" i="6"/>
  <c r="N3876" i="6"/>
  <c r="N3875" i="6"/>
  <c r="N3874" i="6"/>
  <c r="N3873" i="6"/>
  <c r="N3872" i="6"/>
  <c r="N3871" i="6"/>
  <c r="N3870" i="6"/>
  <c r="N3869" i="6"/>
  <c r="N3868" i="6"/>
  <c r="N3867" i="6"/>
  <c r="N3866" i="6"/>
  <c r="N3865" i="6"/>
  <c r="N3864" i="6"/>
  <c r="N3863" i="6"/>
  <c r="N3862" i="6"/>
  <c r="N3861" i="6"/>
  <c r="N3860" i="6"/>
  <c r="N3859" i="6"/>
  <c r="N3858" i="6"/>
  <c r="N3857" i="6"/>
  <c r="N3856" i="6"/>
  <c r="N3855" i="6"/>
  <c r="N3854" i="6"/>
  <c r="N3853" i="6"/>
  <c r="N3852" i="6"/>
  <c r="N3851" i="6"/>
  <c r="N3850" i="6"/>
  <c r="N3849" i="6"/>
  <c r="N3848" i="6"/>
  <c r="N3847" i="6"/>
  <c r="N3846" i="6"/>
  <c r="N3845" i="6"/>
  <c r="N3844" i="6"/>
  <c r="N3843" i="6"/>
  <c r="N3842" i="6"/>
  <c r="N3841" i="6"/>
  <c r="N3840" i="6"/>
  <c r="N3839" i="6"/>
  <c r="M3838" i="6"/>
  <c r="L3838" i="6"/>
  <c r="K3838" i="6"/>
  <c r="J3838" i="6"/>
  <c r="H3838" i="6"/>
  <c r="N3837" i="6"/>
  <c r="N3836" i="6"/>
  <c r="N3835" i="6"/>
  <c r="N3834" i="6"/>
  <c r="N3833" i="6"/>
  <c r="M3833" i="6"/>
  <c r="L3833" i="6"/>
  <c r="K3833" i="6"/>
  <c r="J3833" i="6"/>
  <c r="H3833" i="6"/>
  <c r="N3831" i="6"/>
  <c r="M3831" i="6"/>
  <c r="L3831" i="6"/>
  <c r="K3831" i="6"/>
  <c r="J3831" i="6"/>
  <c r="H3831" i="6"/>
  <c r="M3829" i="6"/>
  <c r="L3829" i="6"/>
  <c r="K3829" i="6"/>
  <c r="J3829" i="6"/>
  <c r="H3829" i="6"/>
  <c r="N3828" i="6"/>
  <c r="N3829" i="6" s="1"/>
  <c r="M3827" i="6"/>
  <c r="L3827" i="6"/>
  <c r="K3827" i="6"/>
  <c r="J3827" i="6"/>
  <c r="H3827" i="6"/>
  <c r="N3826" i="6"/>
  <c r="N3825" i="6"/>
  <c r="N3824" i="6"/>
  <c r="N3823" i="6"/>
  <c r="N3822" i="6"/>
  <c r="N3821" i="6"/>
  <c r="N3820" i="6"/>
  <c r="M3819" i="6"/>
  <c r="L3819" i="6"/>
  <c r="K3819" i="6"/>
  <c r="J3819" i="6"/>
  <c r="H3819" i="6"/>
  <c r="N3818" i="6"/>
  <c r="N3817" i="6"/>
  <c r="N3816" i="6"/>
  <c r="N3815" i="6"/>
  <c r="N3814" i="6"/>
  <c r="N3813" i="6"/>
  <c r="N3812" i="6"/>
  <c r="N3811" i="6"/>
  <c r="N3810" i="6"/>
  <c r="N3809" i="6"/>
  <c r="M3808" i="6"/>
  <c r="L3808" i="6"/>
  <c r="K3808" i="6"/>
  <c r="J3808" i="6"/>
  <c r="H3808" i="6"/>
  <c r="N3805" i="6"/>
  <c r="N3804" i="6"/>
  <c r="N3803" i="6"/>
  <c r="N3802" i="6"/>
  <c r="M3801" i="6"/>
  <c r="L3801" i="6"/>
  <c r="K3801" i="6"/>
  <c r="J3801" i="6"/>
  <c r="H3801" i="6"/>
  <c r="N3800" i="6"/>
  <c r="N3799" i="6"/>
  <c r="N3798" i="6"/>
  <c r="M3798" i="6"/>
  <c r="L3798" i="6"/>
  <c r="K3798" i="6"/>
  <c r="J3798" i="6"/>
  <c r="H3798" i="6"/>
  <c r="M3796" i="6"/>
  <c r="L3796" i="6"/>
  <c r="K3796" i="6"/>
  <c r="J3796" i="6"/>
  <c r="H3796" i="6"/>
  <c r="N3795" i="6"/>
  <c r="N3796" i="6" s="1"/>
  <c r="M3794" i="6"/>
  <c r="L3794" i="6"/>
  <c r="K3794" i="6"/>
  <c r="J3794" i="6"/>
  <c r="H3794" i="6"/>
  <c r="N3793" i="6"/>
  <c r="N3792" i="6"/>
  <c r="N3791" i="6"/>
  <c r="N3790" i="6"/>
  <c r="N3789" i="6"/>
  <c r="N3788" i="6"/>
  <c r="M3787" i="6"/>
  <c r="L3787" i="6"/>
  <c r="K3787" i="6"/>
  <c r="J3787" i="6"/>
  <c r="H3787" i="6"/>
  <c r="N3783" i="6"/>
  <c r="N3787" i="6" s="1"/>
  <c r="M3782" i="6"/>
  <c r="L3782" i="6"/>
  <c r="K3782" i="6"/>
  <c r="J3782" i="6"/>
  <c r="H3782" i="6"/>
  <c r="N3778" i="6"/>
  <c r="N3777" i="6"/>
  <c r="N3776" i="6"/>
  <c r="N3775" i="6"/>
  <c r="N3774" i="6"/>
  <c r="M3773" i="6"/>
  <c r="L3773" i="6"/>
  <c r="K3773" i="6"/>
  <c r="J3773" i="6"/>
  <c r="H3773" i="6"/>
  <c r="N3772" i="6"/>
  <c r="N3773" i="6" s="1"/>
  <c r="M3771" i="6"/>
  <c r="L3771" i="6"/>
  <c r="K3771" i="6"/>
  <c r="J3771" i="6"/>
  <c r="H3771" i="6"/>
  <c r="N3761" i="6"/>
  <c r="N3760" i="6"/>
  <c r="N3759" i="6"/>
  <c r="N3758" i="6"/>
  <c r="N3757" i="6"/>
  <c r="N3756" i="6"/>
  <c r="N3755" i="6"/>
  <c r="N3754" i="6"/>
  <c r="N3753" i="6"/>
  <c r="N3752" i="6"/>
  <c r="N3751" i="6"/>
  <c r="N3750" i="6"/>
  <c r="N3749" i="6"/>
  <c r="N3748" i="6"/>
  <c r="N3747" i="6"/>
  <c r="N3746" i="6"/>
  <c r="N3745" i="6"/>
  <c r="N3744" i="6"/>
  <c r="N3743" i="6"/>
  <c r="N3742" i="6"/>
  <c r="N3741" i="6"/>
  <c r="N3740" i="6"/>
  <c r="N3739" i="6"/>
  <c r="N3738" i="6"/>
  <c r="M3737" i="6"/>
  <c r="L3737" i="6"/>
  <c r="K3737" i="6"/>
  <c r="J3737" i="6"/>
  <c r="H3737" i="6"/>
  <c r="N3736" i="6"/>
  <c r="N3735" i="6"/>
  <c r="N3737" i="6" s="1"/>
  <c r="M3734" i="6"/>
  <c r="L3734" i="6"/>
  <c r="K3734" i="6"/>
  <c r="J3734" i="6"/>
  <c r="H3734" i="6"/>
  <c r="N3733" i="6"/>
  <c r="N3734" i="6" s="1"/>
  <c r="M3732" i="6"/>
  <c r="L3732" i="6"/>
  <c r="K3732" i="6"/>
  <c r="J3732" i="6"/>
  <c r="H3732" i="6"/>
  <c r="N3731" i="6"/>
  <c r="N3732" i="6" s="1"/>
  <c r="M3730" i="6"/>
  <c r="L3730" i="6"/>
  <c r="K3730" i="6"/>
  <c r="J3730" i="6"/>
  <c r="H3730" i="6"/>
  <c r="N3729" i="6"/>
  <c r="N3730" i="6" s="1"/>
  <c r="M3728" i="6"/>
  <c r="L3728" i="6"/>
  <c r="K3728" i="6"/>
  <c r="J3728" i="6"/>
  <c r="H3728" i="6"/>
  <c r="N3727" i="6"/>
  <c r="N3728" i="6" s="1"/>
  <c r="M3726" i="6"/>
  <c r="L3726" i="6"/>
  <c r="K3726" i="6"/>
  <c r="J3726" i="6"/>
  <c r="H3726" i="6"/>
  <c r="N3725" i="6"/>
  <c r="N3726" i="6" s="1"/>
  <c r="N3724" i="6"/>
  <c r="M3724" i="6"/>
  <c r="L3724" i="6"/>
  <c r="K3724" i="6"/>
  <c r="J3724" i="6"/>
  <c r="H3724" i="6"/>
  <c r="N3723" i="6"/>
  <c r="M3722" i="6"/>
  <c r="L3722" i="6"/>
  <c r="K3722" i="6"/>
  <c r="J3722" i="6"/>
  <c r="H3722" i="6"/>
  <c r="N3721" i="6"/>
  <c r="N3722" i="6" s="1"/>
  <c r="M3720" i="6"/>
  <c r="L3720" i="6"/>
  <c r="K3720" i="6"/>
  <c r="J3720" i="6"/>
  <c r="H3720" i="6"/>
  <c r="N3719" i="6"/>
  <c r="N3720" i="6" s="1"/>
  <c r="M3718" i="6"/>
  <c r="L3718" i="6"/>
  <c r="K3718" i="6"/>
  <c r="J3718" i="6"/>
  <c r="H3718" i="6"/>
  <c r="N3717" i="6"/>
  <c r="N3718" i="6" s="1"/>
  <c r="M3716" i="6"/>
  <c r="L3716" i="6"/>
  <c r="K3716" i="6"/>
  <c r="J3716" i="6"/>
  <c r="H3716" i="6"/>
  <c r="N3704" i="6"/>
  <c r="N3703" i="6"/>
  <c r="N3702" i="6"/>
  <c r="N3701" i="6"/>
  <c r="N3700" i="6"/>
  <c r="N3699" i="6"/>
  <c r="N3698" i="6"/>
  <c r="N3697" i="6"/>
  <c r="N3696" i="6"/>
  <c r="N3695" i="6"/>
  <c r="N3694" i="6"/>
  <c r="N3693" i="6"/>
  <c r="N3692" i="6"/>
  <c r="N3691" i="6"/>
  <c r="N3690" i="6"/>
  <c r="N3689" i="6"/>
  <c r="N3688" i="6"/>
  <c r="N3687" i="6"/>
  <c r="N3686" i="6"/>
  <c r="N3685" i="6"/>
  <c r="N3684" i="6"/>
  <c r="N3683" i="6"/>
  <c r="N3682" i="6"/>
  <c r="N3681" i="6"/>
  <c r="N3680" i="6"/>
  <c r="N3679" i="6"/>
  <c r="N3678" i="6"/>
  <c r="N3677" i="6"/>
  <c r="N3676" i="6"/>
  <c r="N3675" i="6"/>
  <c r="M3674" i="6"/>
  <c r="L3674" i="6"/>
  <c r="K3674" i="6"/>
  <c r="J3674" i="6"/>
  <c r="H3674" i="6"/>
  <c r="N3661" i="6"/>
  <c r="N3660" i="6"/>
  <c r="N3659" i="6"/>
  <c r="N3658" i="6"/>
  <c r="N3657" i="6"/>
  <c r="N3656" i="6"/>
  <c r="N3655" i="6"/>
  <c r="M3654" i="6"/>
  <c r="L3654" i="6"/>
  <c r="K3654" i="6"/>
  <c r="J3654" i="6"/>
  <c r="H3654" i="6"/>
  <c r="N3653" i="6"/>
  <c r="N3652" i="6"/>
  <c r="N3651" i="6"/>
  <c r="N3650" i="6"/>
  <c r="N3649" i="6"/>
  <c r="N3648" i="6"/>
  <c r="N3647" i="6"/>
  <c r="N3646" i="6"/>
  <c r="N3645" i="6"/>
  <c r="N3644" i="6"/>
  <c r="N3643" i="6"/>
  <c r="M3642" i="6"/>
  <c r="L3642" i="6"/>
  <c r="K3642" i="6"/>
  <c r="J3642" i="6"/>
  <c r="H3642" i="6"/>
  <c r="N3641" i="6"/>
  <c r="N3640" i="6"/>
  <c r="N3639" i="6"/>
  <c r="N3638" i="6"/>
  <c r="N3637" i="6"/>
  <c r="N3636" i="6"/>
  <c r="N3635" i="6"/>
  <c r="N3634" i="6"/>
  <c r="N3633" i="6"/>
  <c r="N3632" i="6"/>
  <c r="N3631" i="6"/>
  <c r="M3630" i="6"/>
  <c r="L3630" i="6"/>
  <c r="K3630" i="6"/>
  <c r="J3630" i="6"/>
  <c r="H3630" i="6"/>
  <c r="N3619" i="6"/>
  <c r="N3618" i="6"/>
  <c r="N3617" i="6"/>
  <c r="N3616" i="6"/>
  <c r="N3615" i="6"/>
  <c r="N3614" i="6"/>
  <c r="N3613" i="6"/>
  <c r="N3612" i="6"/>
  <c r="N3611" i="6"/>
  <c r="N3610" i="6"/>
  <c r="N3609" i="6"/>
  <c r="M3608" i="6"/>
  <c r="L3608" i="6"/>
  <c r="K3608" i="6"/>
  <c r="J3608" i="6"/>
  <c r="H3608" i="6"/>
  <c r="N3607" i="6"/>
  <c r="N3606" i="6"/>
  <c r="N3605" i="6"/>
  <c r="N3604" i="6"/>
  <c r="N3603" i="6"/>
  <c r="N3602" i="6"/>
  <c r="N3601" i="6"/>
  <c r="N3600" i="6"/>
  <c r="N3599" i="6"/>
  <c r="N3598" i="6"/>
  <c r="N3597" i="6"/>
  <c r="M3596" i="6"/>
  <c r="L3596" i="6"/>
  <c r="K3596" i="6"/>
  <c r="J3596" i="6"/>
  <c r="H3596" i="6"/>
  <c r="N3595" i="6"/>
  <c r="N3594" i="6"/>
  <c r="N3593" i="6"/>
  <c r="N3592" i="6"/>
  <c r="N3591" i="6"/>
  <c r="N3590" i="6"/>
  <c r="N3589" i="6"/>
  <c r="N3588" i="6"/>
  <c r="N3587" i="6"/>
  <c r="N3586" i="6"/>
  <c r="N3585" i="6"/>
  <c r="M3584" i="6"/>
  <c r="L3584" i="6"/>
  <c r="K3584" i="6"/>
  <c r="J3584" i="6"/>
  <c r="H3584" i="6"/>
  <c r="N3583" i="6"/>
  <c r="N3582" i="6"/>
  <c r="N3581" i="6"/>
  <c r="N3580" i="6"/>
  <c r="N3579" i="6"/>
  <c r="N3578" i="6"/>
  <c r="N3577" i="6"/>
  <c r="N3576" i="6"/>
  <c r="N3575" i="6"/>
  <c r="N3574" i="6"/>
  <c r="N3573" i="6"/>
  <c r="M3572" i="6"/>
  <c r="L3572" i="6"/>
  <c r="K3572" i="6"/>
  <c r="J3572" i="6"/>
  <c r="H3572" i="6"/>
  <c r="N3571" i="6"/>
  <c r="N3572" i="6" s="1"/>
  <c r="M3570" i="6"/>
  <c r="L3570" i="6"/>
  <c r="K3570" i="6"/>
  <c r="J3570" i="6"/>
  <c r="H3570" i="6"/>
  <c r="N3569" i="6"/>
  <c r="N3570" i="6" s="1"/>
  <c r="M3568" i="6"/>
  <c r="L3568" i="6"/>
  <c r="K3568" i="6"/>
  <c r="J3568" i="6"/>
  <c r="H3568" i="6"/>
  <c r="N3567" i="6"/>
  <c r="N3566" i="6"/>
  <c r="N3565" i="6"/>
  <c r="N3564" i="6"/>
  <c r="N3563" i="6"/>
  <c r="N3562" i="6"/>
  <c r="N3561" i="6"/>
  <c r="N3560" i="6"/>
  <c r="N3559" i="6"/>
  <c r="N3558" i="6"/>
  <c r="M3557" i="6"/>
  <c r="L3557" i="6"/>
  <c r="K3557" i="6"/>
  <c r="J3557" i="6"/>
  <c r="H3557" i="6"/>
  <c r="N3556" i="6"/>
  <c r="N3555" i="6"/>
  <c r="N3554" i="6"/>
  <c r="N3553" i="6"/>
  <c r="N3552" i="6"/>
  <c r="N3551" i="6"/>
  <c r="N3550" i="6"/>
  <c r="N3549" i="6"/>
  <c r="N3548" i="6"/>
  <c r="N3547" i="6"/>
  <c r="M3546" i="6"/>
  <c r="L3546" i="6"/>
  <c r="K3546" i="6"/>
  <c r="J3546" i="6"/>
  <c r="H3546" i="6"/>
  <c r="N3545" i="6"/>
  <c r="N3544" i="6"/>
  <c r="N3543" i="6"/>
  <c r="N3542" i="6"/>
  <c r="N3541" i="6"/>
  <c r="N3540" i="6"/>
  <c r="N3539" i="6"/>
  <c r="N3538" i="6"/>
  <c r="N3537" i="6"/>
  <c r="N3536" i="6"/>
  <c r="N3535" i="6"/>
  <c r="M3534" i="6"/>
  <c r="L3534" i="6"/>
  <c r="K3534" i="6"/>
  <c r="J3534" i="6"/>
  <c r="H3534" i="6"/>
  <c r="N3533" i="6"/>
  <c r="N3534" i="6" s="1"/>
  <c r="N3532" i="6"/>
  <c r="M3532" i="6"/>
  <c r="L3532" i="6"/>
  <c r="K3532" i="6"/>
  <c r="J3532" i="6"/>
  <c r="H3532" i="6"/>
  <c r="M3530" i="6"/>
  <c r="L3530" i="6"/>
  <c r="K3530" i="6"/>
  <c r="J3530" i="6"/>
  <c r="H3530" i="6"/>
  <c r="N3528" i="6"/>
  <c r="N3530" i="6" s="1"/>
  <c r="M3527" i="6"/>
  <c r="L3527" i="6"/>
  <c r="K3527" i="6"/>
  <c r="J3527" i="6"/>
  <c r="H3527" i="6"/>
  <c r="N3526" i="6"/>
  <c r="N3525" i="6"/>
  <c r="N3524" i="6"/>
  <c r="N3523" i="6"/>
  <c r="N3522" i="6"/>
  <c r="N3521" i="6"/>
  <c r="N3520" i="6"/>
  <c r="N3519" i="6"/>
  <c r="N3518" i="6"/>
  <c r="N3517" i="6"/>
  <c r="N3516" i="6"/>
  <c r="N3515" i="6"/>
  <c r="N3514" i="6"/>
  <c r="N3513" i="6"/>
  <c r="N3512" i="6"/>
  <c r="N3511" i="6"/>
  <c r="N3510" i="6"/>
  <c r="N3509" i="6"/>
  <c r="M3509" i="6"/>
  <c r="L3509" i="6"/>
  <c r="K3509" i="6"/>
  <c r="J3509" i="6"/>
  <c r="H3509" i="6"/>
  <c r="M3507" i="6"/>
  <c r="L3507" i="6"/>
  <c r="K3507" i="6"/>
  <c r="J3507" i="6"/>
  <c r="H3507" i="6"/>
  <c r="N3499" i="6"/>
  <c r="N3498" i="6"/>
  <c r="N3497" i="6"/>
  <c r="N3496" i="6"/>
  <c r="N3495" i="6"/>
  <c r="N3494" i="6"/>
  <c r="N3493" i="6"/>
  <c r="N3492" i="6"/>
  <c r="N3491" i="6"/>
  <c r="N3490" i="6"/>
  <c r="N3489" i="6"/>
  <c r="N3488" i="6"/>
  <c r="N3487" i="6"/>
  <c r="N3486" i="6"/>
  <c r="N3485" i="6"/>
  <c r="N3484" i="6"/>
  <c r="N3483" i="6"/>
  <c r="M3482" i="6"/>
  <c r="L3482" i="6"/>
  <c r="K3482" i="6"/>
  <c r="J3482" i="6"/>
  <c r="H3482" i="6"/>
  <c r="N3472" i="6"/>
  <c r="N3471" i="6"/>
  <c r="N3470" i="6"/>
  <c r="N3469" i="6"/>
  <c r="N3468" i="6"/>
  <c r="N3467" i="6"/>
  <c r="N3482" i="6" s="1"/>
  <c r="M3466" i="6"/>
  <c r="L3466" i="6"/>
  <c r="K3466" i="6"/>
  <c r="J3466" i="6"/>
  <c r="H3466" i="6"/>
  <c r="N3465" i="6"/>
  <c r="N3464" i="6"/>
  <c r="N3466" i="6" s="1"/>
  <c r="N3463" i="6"/>
  <c r="M3463" i="6"/>
  <c r="L3463" i="6"/>
  <c r="K3463" i="6"/>
  <c r="J3463" i="6"/>
  <c r="H3463" i="6"/>
  <c r="N3462" i="6"/>
  <c r="N3461" i="6"/>
  <c r="M3460" i="6"/>
  <c r="L3460" i="6"/>
  <c r="K3460" i="6"/>
  <c r="J3460" i="6"/>
  <c r="H3460" i="6"/>
  <c r="N3459" i="6"/>
  <c r="N3458" i="6"/>
  <c r="N3457" i="6"/>
  <c r="N3456" i="6"/>
  <c r="N3455" i="6"/>
  <c r="M3454" i="6"/>
  <c r="L3454" i="6"/>
  <c r="K3454" i="6"/>
  <c r="J3454" i="6"/>
  <c r="H3454" i="6"/>
  <c r="N3442" i="6"/>
  <c r="N3441" i="6"/>
  <c r="N3440" i="6"/>
  <c r="N3439" i="6"/>
  <c r="N3438" i="6"/>
  <c r="N3437" i="6"/>
  <c r="N3436" i="6"/>
  <c r="N3435" i="6"/>
  <c r="N3434" i="6"/>
  <c r="N3433" i="6"/>
  <c r="N3432" i="6"/>
  <c r="N3431" i="6"/>
  <c r="N3430" i="6"/>
  <c r="N3429" i="6"/>
  <c r="N3428" i="6"/>
  <c r="N3427" i="6"/>
  <c r="N3426" i="6"/>
  <c r="N3425" i="6"/>
  <c r="N3424" i="6"/>
  <c r="N3423" i="6"/>
  <c r="N3422" i="6"/>
  <c r="N3421" i="6"/>
  <c r="N3420" i="6"/>
  <c r="N3419" i="6"/>
  <c r="N3418" i="6"/>
  <c r="N3417" i="6"/>
  <c r="N3416" i="6"/>
  <c r="N3415" i="6"/>
  <c r="N3414" i="6"/>
  <c r="N3413" i="6"/>
  <c r="N3412" i="6"/>
  <c r="N3411" i="6"/>
  <c r="M3407" i="6"/>
  <c r="L3407" i="6"/>
  <c r="K3407" i="6"/>
  <c r="J3407" i="6"/>
  <c r="H3407" i="6"/>
  <c r="N3406" i="6"/>
  <c r="N3405" i="6"/>
  <c r="N3404" i="6"/>
  <c r="N3403" i="6"/>
  <c r="N3402" i="6"/>
  <c r="M3401" i="6"/>
  <c r="L3401" i="6"/>
  <c r="K3401" i="6"/>
  <c r="J3401" i="6"/>
  <c r="H3401" i="6"/>
  <c r="N3397" i="6"/>
  <c r="N3396" i="6"/>
  <c r="N3395" i="6"/>
  <c r="N3394" i="6"/>
  <c r="N3393" i="6"/>
  <c r="N3392" i="6"/>
  <c r="N3391" i="6"/>
  <c r="N3390" i="6"/>
  <c r="N3389" i="6"/>
  <c r="N3388" i="6"/>
  <c r="N3387" i="6"/>
  <c r="N3386" i="6"/>
  <c r="N3385" i="6"/>
  <c r="N3384" i="6"/>
  <c r="N3383" i="6"/>
  <c r="N3382" i="6"/>
  <c r="N3381" i="6"/>
  <c r="N3380" i="6"/>
  <c r="N3379" i="6"/>
  <c r="N3378" i="6"/>
  <c r="N3377" i="6"/>
  <c r="N3376" i="6"/>
  <c r="N3375" i="6"/>
  <c r="N3374" i="6"/>
  <c r="N3373" i="6"/>
  <c r="N3372" i="6"/>
  <c r="N3371" i="6"/>
  <c r="N3370" i="6"/>
  <c r="N3369" i="6"/>
  <c r="N3368" i="6"/>
  <c r="N3367" i="6"/>
  <c r="N3366" i="6"/>
  <c r="N3365" i="6"/>
  <c r="N3364" i="6"/>
  <c r="N3363" i="6"/>
  <c r="N3362" i="6"/>
  <c r="N3361" i="6"/>
  <c r="N3360" i="6"/>
  <c r="N3359" i="6"/>
  <c r="N3358" i="6"/>
  <c r="N3357" i="6"/>
  <c r="N3356" i="6"/>
  <c r="N3355" i="6"/>
  <c r="N3354" i="6"/>
  <c r="N3353" i="6"/>
  <c r="N3352" i="6"/>
  <c r="M3351" i="6"/>
  <c r="L3351" i="6"/>
  <c r="K3351" i="6"/>
  <c r="J3351" i="6"/>
  <c r="H3351" i="6"/>
  <c r="N3349" i="6"/>
  <c r="N3348" i="6"/>
  <c r="N3347" i="6"/>
  <c r="N3346" i="6"/>
  <c r="N3345" i="6"/>
  <c r="N3344" i="6"/>
  <c r="N3343" i="6"/>
  <c r="N3342" i="6"/>
  <c r="N3341" i="6"/>
  <c r="N3340" i="6"/>
  <c r="M3340" i="6"/>
  <c r="L3340" i="6"/>
  <c r="K3340" i="6"/>
  <c r="J3340" i="6"/>
  <c r="H3340" i="6"/>
  <c r="N3320" i="6"/>
  <c r="M3320" i="6"/>
  <c r="L3320" i="6"/>
  <c r="K3320" i="6"/>
  <c r="J3320" i="6"/>
  <c r="H3320" i="6"/>
  <c r="H3317" i="6"/>
  <c r="N3316" i="6"/>
  <c r="M3316" i="6"/>
  <c r="L3316" i="6"/>
  <c r="K3316" i="6"/>
  <c r="J3316" i="6"/>
  <c r="N3315" i="6"/>
  <c r="M3315" i="6"/>
  <c r="L3315" i="6"/>
  <c r="K3315" i="6"/>
  <c r="J3315" i="6"/>
  <c r="N3314" i="6"/>
  <c r="M3314" i="6"/>
  <c r="L3314" i="6"/>
  <c r="K3314" i="6"/>
  <c r="J3314" i="6"/>
  <c r="N3313" i="6"/>
  <c r="M3313" i="6"/>
  <c r="L3313" i="6"/>
  <c r="K3313" i="6"/>
  <c r="J3313" i="6"/>
  <c r="N3312" i="6"/>
  <c r="M3312" i="6"/>
  <c r="L3312" i="6"/>
  <c r="K3312" i="6"/>
  <c r="J3312" i="6"/>
  <c r="N3311" i="6"/>
  <c r="M3311" i="6"/>
  <c r="L3311" i="6"/>
  <c r="K3311" i="6"/>
  <c r="J3311" i="6"/>
  <c r="M3310" i="6"/>
  <c r="L3310" i="6"/>
  <c r="K3310" i="6"/>
  <c r="J3310" i="6"/>
  <c r="H3310" i="6"/>
  <c r="N3306" i="6"/>
  <c r="N3305" i="6"/>
  <c r="N3304" i="6"/>
  <c r="N3303" i="6"/>
  <c r="N3302" i="6"/>
  <c r="N3301" i="6"/>
  <c r="N3300" i="6"/>
  <c r="N3299" i="6"/>
  <c r="N3298" i="6"/>
  <c r="N3297" i="6"/>
  <c r="N3296" i="6"/>
  <c r="N3295" i="6"/>
  <c r="N3294" i="6"/>
  <c r="N3293" i="6"/>
  <c r="N3292" i="6"/>
  <c r="H3291" i="6"/>
  <c r="N3290" i="6"/>
  <c r="M3290" i="6"/>
  <c r="L3290" i="6"/>
  <c r="K3290" i="6"/>
  <c r="J3290" i="6"/>
  <c r="N3289" i="6"/>
  <c r="M3289" i="6"/>
  <c r="L3289" i="6"/>
  <c r="K3289" i="6"/>
  <c r="J3289" i="6"/>
  <c r="N3288" i="6"/>
  <c r="M3288" i="6"/>
  <c r="L3288" i="6"/>
  <c r="K3288" i="6"/>
  <c r="J3288" i="6"/>
  <c r="N3287" i="6"/>
  <c r="M3287" i="6"/>
  <c r="L3287" i="6"/>
  <c r="K3287" i="6"/>
  <c r="J3287" i="6"/>
  <c r="N3286" i="6"/>
  <c r="M3286" i="6"/>
  <c r="L3286" i="6"/>
  <c r="K3286" i="6"/>
  <c r="J3286" i="6"/>
  <c r="N3285" i="6"/>
  <c r="M3285" i="6"/>
  <c r="L3285" i="6"/>
  <c r="K3285" i="6"/>
  <c r="J3285" i="6"/>
  <c r="M3284" i="6"/>
  <c r="L3284" i="6"/>
  <c r="K3284" i="6"/>
  <c r="J3284" i="6"/>
  <c r="H3284" i="6"/>
  <c r="N3282" i="6"/>
  <c r="N3284" i="6" s="1"/>
  <c r="N3281" i="6"/>
  <c r="M3281" i="6"/>
  <c r="L3281" i="6"/>
  <c r="K3281" i="6"/>
  <c r="J3281" i="6"/>
  <c r="H3281" i="6"/>
  <c r="N3220" i="6"/>
  <c r="H3220" i="6"/>
  <c r="M3219" i="6"/>
  <c r="M3220" i="6" s="1"/>
  <c r="L3219" i="6"/>
  <c r="L3220" i="6" s="1"/>
  <c r="K3219" i="6"/>
  <c r="K3220" i="6" s="1"/>
  <c r="J3219" i="6"/>
  <c r="J3220" i="6" s="1"/>
  <c r="M3216" i="6"/>
  <c r="L3216" i="6"/>
  <c r="K3216" i="6"/>
  <c r="J3216" i="6"/>
  <c r="H3216" i="6"/>
  <c r="N3203" i="6"/>
  <c r="N3202" i="6"/>
  <c r="N3201" i="6"/>
  <c r="N3200" i="6"/>
  <c r="N3199" i="6"/>
  <c r="N3198" i="6"/>
  <c r="N3197" i="6"/>
  <c r="N3196" i="6"/>
  <c r="N3195" i="6"/>
  <c r="N3194" i="6"/>
  <c r="N3193" i="6"/>
  <c r="N3192" i="6"/>
  <c r="N3191" i="6"/>
  <c r="N3190" i="6"/>
  <c r="N3189" i="6"/>
  <c r="N3188" i="6"/>
  <c r="N3187" i="6"/>
  <c r="N3186" i="6"/>
  <c r="N3185" i="6"/>
  <c r="N3184" i="6"/>
  <c r="N3183" i="6"/>
  <c r="N3182" i="6"/>
  <c r="N3181" i="6"/>
  <c r="N3180" i="6"/>
  <c r="N3179" i="6"/>
  <c r="N3178" i="6"/>
  <c r="N3177" i="6"/>
  <c r="N3176" i="6"/>
  <c r="N3175" i="6"/>
  <c r="N3174" i="6"/>
  <c r="N3173" i="6"/>
  <c r="N3172" i="6"/>
  <c r="N3171" i="6"/>
  <c r="N3170" i="6"/>
  <c r="N3169" i="6"/>
  <c r="N3168" i="6"/>
  <c r="N3167" i="6"/>
  <c r="N3166" i="6"/>
  <c r="N3165" i="6"/>
  <c r="N3164" i="6"/>
  <c r="N3163" i="6"/>
  <c r="N3162" i="6"/>
  <c r="N3161" i="6"/>
  <c r="N3160" i="6"/>
  <c r="N3159" i="6"/>
  <c r="N3158" i="6"/>
  <c r="N3157" i="6"/>
  <c r="N3156" i="6"/>
  <c r="M3155" i="6"/>
  <c r="L3155" i="6"/>
  <c r="K3155" i="6"/>
  <c r="J3155" i="6"/>
  <c r="H3155" i="6"/>
  <c r="N3148" i="6"/>
  <c r="N3147" i="6"/>
  <c r="N3146" i="6"/>
  <c r="N3145" i="6"/>
  <c r="N3144" i="6"/>
  <c r="N3143" i="6"/>
  <c r="N3142" i="6"/>
  <c r="N3141" i="6"/>
  <c r="N3140" i="6"/>
  <c r="N3139" i="6"/>
  <c r="N3138" i="6"/>
  <c r="N3137" i="6"/>
  <c r="N3136" i="6"/>
  <c r="N3135" i="6"/>
  <c r="N3134" i="6"/>
  <c r="N3133" i="6"/>
  <c r="N3132" i="6"/>
  <c r="N3131" i="6"/>
  <c r="N3130" i="6"/>
  <c r="N3129" i="6"/>
  <c r="N3128" i="6"/>
  <c r="N3127" i="6"/>
  <c r="N3126" i="6"/>
  <c r="N3125" i="6"/>
  <c r="N3124" i="6"/>
  <c r="N3123" i="6"/>
  <c r="N3122" i="6"/>
  <c r="N3121" i="6"/>
  <c r="N3120" i="6"/>
  <c r="N3119" i="6"/>
  <c r="N3118" i="6"/>
  <c r="N3117" i="6"/>
  <c r="N3116" i="6"/>
  <c r="N3115" i="6"/>
  <c r="N3114" i="6"/>
  <c r="N3113" i="6"/>
  <c r="N3112" i="6"/>
  <c r="N3111" i="6"/>
  <c r="N3110" i="6"/>
  <c r="N3109" i="6"/>
  <c r="N3108" i="6"/>
  <c r="N3107" i="6"/>
  <c r="N3106" i="6"/>
  <c r="N3105" i="6"/>
  <c r="N3104" i="6"/>
  <c r="N3103" i="6"/>
  <c r="N3102" i="6"/>
  <c r="N3101" i="6"/>
  <c r="N3100" i="6"/>
  <c r="N3099" i="6"/>
  <c r="N3098" i="6"/>
  <c r="N3097" i="6"/>
  <c r="N3096" i="6"/>
  <c r="N3095" i="6"/>
  <c r="N3094" i="6"/>
  <c r="N3093" i="6"/>
  <c r="N3092" i="6"/>
  <c r="N3091" i="6"/>
  <c r="N3090" i="6"/>
  <c r="N3089" i="6"/>
  <c r="N3088" i="6"/>
  <c r="N3087" i="6"/>
  <c r="N3086" i="6"/>
  <c r="N3085" i="6"/>
  <c r="N3084" i="6"/>
  <c r="N3083" i="6"/>
  <c r="H3082" i="6"/>
  <c r="N3081" i="6"/>
  <c r="M3081" i="6"/>
  <c r="L3081" i="6"/>
  <c r="K3081" i="6"/>
  <c r="J3081" i="6"/>
  <c r="N3080" i="6"/>
  <c r="M3080" i="6"/>
  <c r="L3080" i="6"/>
  <c r="K3080" i="6"/>
  <c r="J3080" i="6"/>
  <c r="N3079" i="6"/>
  <c r="M3079" i="6"/>
  <c r="L3079" i="6"/>
  <c r="K3079" i="6"/>
  <c r="J3079" i="6"/>
  <c r="N3078" i="6"/>
  <c r="M3078" i="6"/>
  <c r="L3078" i="6"/>
  <c r="K3078" i="6"/>
  <c r="J3078" i="6"/>
  <c r="N3077" i="6"/>
  <c r="M3077" i="6"/>
  <c r="L3077" i="6"/>
  <c r="K3077" i="6"/>
  <c r="J3077" i="6"/>
  <c r="N3076" i="6"/>
  <c r="M3076" i="6"/>
  <c r="L3076" i="6"/>
  <c r="K3076" i="6"/>
  <c r="J3076" i="6"/>
  <c r="H3076" i="6"/>
  <c r="H2961" i="6"/>
  <c r="N2960" i="6"/>
  <c r="M2960" i="6"/>
  <c r="L2960" i="6"/>
  <c r="K2960" i="6"/>
  <c r="J2960" i="6"/>
  <c r="N2959" i="6"/>
  <c r="M2959" i="6"/>
  <c r="L2959" i="6"/>
  <c r="K2959" i="6"/>
  <c r="J2959" i="6"/>
  <c r="M2958" i="6"/>
  <c r="L2958" i="6"/>
  <c r="K2958" i="6"/>
  <c r="J2958" i="6"/>
  <c r="M2957" i="6"/>
  <c r="L2957" i="6"/>
  <c r="K2957" i="6"/>
  <c r="J2957" i="6"/>
  <c r="M2956" i="6"/>
  <c r="L2956" i="6"/>
  <c r="K2956" i="6"/>
  <c r="J2956" i="6"/>
  <c r="M2955" i="6"/>
  <c r="L2955" i="6"/>
  <c r="K2955" i="6"/>
  <c r="J2955" i="6"/>
  <c r="M2954" i="6"/>
  <c r="L2954" i="6"/>
  <c r="K2954" i="6"/>
  <c r="J2954" i="6"/>
  <c r="M2953" i="6"/>
  <c r="X52" i="5" s="1"/>
  <c r="L2953" i="6"/>
  <c r="K2953" i="6"/>
  <c r="J2953" i="6"/>
  <c r="N2952" i="6"/>
  <c r="M2952" i="6"/>
  <c r="L2952" i="6"/>
  <c r="K2952" i="6"/>
  <c r="J2952" i="6"/>
  <c r="H2952" i="6"/>
  <c r="N2948" i="6"/>
  <c r="M2948" i="6"/>
  <c r="L2948" i="6"/>
  <c r="K2948" i="6"/>
  <c r="J2948" i="6"/>
  <c r="H2948" i="6"/>
  <c r="M2946" i="6"/>
  <c r="L2946" i="6"/>
  <c r="K2946" i="6"/>
  <c r="J2946" i="6"/>
  <c r="H2946" i="6"/>
  <c r="N2942" i="6"/>
  <c r="N2941" i="6"/>
  <c r="N2940" i="6"/>
  <c r="N2939" i="6"/>
  <c r="N2938" i="6"/>
  <c r="N2937" i="6"/>
  <c r="N2936" i="6"/>
  <c r="N2935" i="6"/>
  <c r="N2934" i="6"/>
  <c r="N2933" i="6"/>
  <c r="N2932" i="6"/>
  <c r="N2931" i="6"/>
  <c r="N2930" i="6"/>
  <c r="N2929" i="6"/>
  <c r="N2928" i="6"/>
  <c r="N2927" i="6"/>
  <c r="N2926" i="6"/>
  <c r="N2925" i="6"/>
  <c r="N2924" i="6"/>
  <c r="N2923" i="6"/>
  <c r="N2922" i="6"/>
  <c r="N2921" i="6"/>
  <c r="N2920" i="6"/>
  <c r="N2919" i="6"/>
  <c r="N2918" i="6"/>
  <c r="N2917" i="6"/>
  <c r="N2916" i="6"/>
  <c r="N2915" i="6"/>
  <c r="N2914" i="6"/>
  <c r="N2913" i="6"/>
  <c r="N2912" i="6"/>
  <c r="N2911" i="6"/>
  <c r="N2910" i="6"/>
  <c r="M2909" i="6"/>
  <c r="L2909" i="6"/>
  <c r="K2909" i="6"/>
  <c r="J2909" i="6"/>
  <c r="H2909" i="6"/>
  <c r="N2905" i="6"/>
  <c r="N2904" i="6"/>
  <c r="N2903" i="6"/>
  <c r="N2902" i="6"/>
  <c r="N2901" i="6"/>
  <c r="N2900" i="6"/>
  <c r="N2899" i="6"/>
  <c r="N2898" i="6"/>
  <c r="N2897" i="6"/>
  <c r="N2896" i="6"/>
  <c r="N2895" i="6"/>
  <c r="N2894" i="6"/>
  <c r="N2893" i="6"/>
  <c r="N2892" i="6"/>
  <c r="N2891" i="6"/>
  <c r="N2890" i="6"/>
  <c r="N2889" i="6"/>
  <c r="N2888" i="6"/>
  <c r="N2887" i="6"/>
  <c r="N2886" i="6"/>
  <c r="N2885" i="6"/>
  <c r="N2884" i="6"/>
  <c r="N2883" i="6"/>
  <c r="N2882" i="6"/>
  <c r="N2881" i="6"/>
  <c r="N2880" i="6"/>
  <c r="N2879" i="6"/>
  <c r="N2878" i="6"/>
  <c r="N2877" i="6"/>
  <c r="N2876" i="6"/>
  <c r="N2875" i="6"/>
  <c r="N2874" i="6"/>
  <c r="N2873" i="6"/>
  <c r="M2872" i="6"/>
  <c r="L2872" i="6"/>
  <c r="K2872" i="6"/>
  <c r="J2872" i="6"/>
  <c r="H2872" i="6"/>
  <c r="N2866" i="6"/>
  <c r="N2865" i="6"/>
  <c r="N2864" i="6"/>
  <c r="N2863" i="6"/>
  <c r="N2862" i="6"/>
  <c r="N2861" i="6"/>
  <c r="N2860" i="6"/>
  <c r="N2859" i="6"/>
  <c r="N2858" i="6"/>
  <c r="N2857" i="6"/>
  <c r="N2856" i="6"/>
  <c r="N2855" i="6"/>
  <c r="N2854" i="6"/>
  <c r="N2853" i="6"/>
  <c r="N2852" i="6"/>
  <c r="N2851" i="6"/>
  <c r="N2850" i="6"/>
  <c r="N2849" i="6"/>
  <c r="N2848" i="6"/>
  <c r="N2847" i="6"/>
  <c r="N2846" i="6"/>
  <c r="N2845" i="6"/>
  <c r="N2844" i="6"/>
  <c r="N2843" i="6"/>
  <c r="N2842" i="6"/>
  <c r="N2841" i="6"/>
  <c r="N2840" i="6"/>
  <c r="N2839" i="6"/>
  <c r="N2838" i="6"/>
  <c r="N2837" i="6"/>
  <c r="N2836" i="6"/>
  <c r="N2835" i="6"/>
  <c r="N2834" i="6"/>
  <c r="N2833" i="6"/>
  <c r="N2832" i="6"/>
  <c r="N2831" i="6"/>
  <c r="N2830" i="6"/>
  <c r="N2829" i="6"/>
  <c r="N2828" i="6"/>
  <c r="N2827" i="6"/>
  <c r="N2826" i="6"/>
  <c r="N2825" i="6"/>
  <c r="N2824" i="6"/>
  <c r="N2823" i="6"/>
  <c r="N2822" i="6"/>
  <c r="N2821" i="6"/>
  <c r="N2820" i="6"/>
  <c r="N2819" i="6"/>
  <c r="N2818" i="6"/>
  <c r="N2817" i="6"/>
  <c r="M2817" i="6"/>
  <c r="L2817" i="6"/>
  <c r="K2817" i="6"/>
  <c r="J2817" i="6"/>
  <c r="H2817" i="6"/>
  <c r="H2789" i="6"/>
  <c r="N2788" i="6"/>
  <c r="M2788" i="6"/>
  <c r="L2788" i="6"/>
  <c r="K2788" i="6"/>
  <c r="J2788" i="6"/>
  <c r="N2787" i="6"/>
  <c r="M2787" i="6"/>
  <c r="L2787" i="6"/>
  <c r="K2787" i="6"/>
  <c r="J2787" i="6"/>
  <c r="N2786" i="6"/>
  <c r="M2786" i="6"/>
  <c r="L2786" i="6"/>
  <c r="K2786" i="6"/>
  <c r="J2786" i="6"/>
  <c r="N2785" i="6"/>
  <c r="M2785" i="6"/>
  <c r="L2785" i="6"/>
  <c r="K2785" i="6"/>
  <c r="J2785" i="6"/>
  <c r="N2784" i="6"/>
  <c r="M2784" i="6"/>
  <c r="L2784" i="6"/>
  <c r="K2784" i="6"/>
  <c r="J2784" i="6"/>
  <c r="N2783" i="6"/>
  <c r="M2783" i="6"/>
  <c r="L2783" i="6"/>
  <c r="K2783" i="6"/>
  <c r="J2783" i="6"/>
  <c r="N2782" i="6"/>
  <c r="M2782" i="6"/>
  <c r="L2782" i="6"/>
  <c r="K2782" i="6"/>
  <c r="J2782" i="6"/>
  <c r="N2781" i="6"/>
  <c r="M2781" i="6"/>
  <c r="L2781" i="6"/>
  <c r="K2781" i="6"/>
  <c r="J2781" i="6"/>
  <c r="N2780" i="6"/>
  <c r="M2780" i="6"/>
  <c r="L2780" i="6"/>
  <c r="K2780" i="6"/>
  <c r="J2780" i="6"/>
  <c r="N2779" i="6"/>
  <c r="M2779" i="6"/>
  <c r="L2779" i="6"/>
  <c r="K2779" i="6"/>
  <c r="J2779" i="6"/>
  <c r="H2778" i="6"/>
  <c r="N2777" i="6"/>
  <c r="M2777" i="6"/>
  <c r="L2777" i="6"/>
  <c r="K2777" i="6"/>
  <c r="J2777" i="6"/>
  <c r="N2776" i="6"/>
  <c r="M2776" i="6"/>
  <c r="L2776" i="6"/>
  <c r="K2776" i="6"/>
  <c r="J2776" i="6"/>
  <c r="N2775" i="6"/>
  <c r="M2775" i="6"/>
  <c r="L2775" i="6"/>
  <c r="K2775" i="6"/>
  <c r="J2775" i="6"/>
  <c r="N2774" i="6"/>
  <c r="M2774" i="6"/>
  <c r="L2774" i="6"/>
  <c r="K2774" i="6"/>
  <c r="J2774" i="6"/>
  <c r="N2773" i="6"/>
  <c r="M2773" i="6"/>
  <c r="L2773" i="6"/>
  <c r="K2773" i="6"/>
  <c r="J2773" i="6"/>
  <c r="N2772" i="6"/>
  <c r="M2772" i="6"/>
  <c r="L2772" i="6"/>
  <c r="K2772" i="6"/>
  <c r="J2772" i="6"/>
  <c r="N2771" i="6"/>
  <c r="M2771" i="6"/>
  <c r="L2771" i="6"/>
  <c r="K2771" i="6"/>
  <c r="J2771" i="6"/>
  <c r="N2770" i="6"/>
  <c r="M2770" i="6"/>
  <c r="L2770" i="6"/>
  <c r="K2770" i="6"/>
  <c r="J2770" i="6"/>
  <c r="N2769" i="6"/>
  <c r="M2769" i="6"/>
  <c r="L2769" i="6"/>
  <c r="K2769" i="6"/>
  <c r="J2769" i="6"/>
  <c r="N2768" i="6"/>
  <c r="M2768" i="6"/>
  <c r="L2768" i="6"/>
  <c r="K2768" i="6"/>
  <c r="J2768" i="6"/>
  <c r="N2767" i="6"/>
  <c r="M2767" i="6"/>
  <c r="L2767" i="6"/>
  <c r="K2767" i="6"/>
  <c r="J2767" i="6"/>
  <c r="N2766" i="6"/>
  <c r="M2766" i="6"/>
  <c r="L2766" i="6"/>
  <c r="K2766" i="6"/>
  <c r="J2766" i="6"/>
  <c r="H2765" i="6"/>
  <c r="N2764" i="6"/>
  <c r="M2764" i="6"/>
  <c r="L2764" i="6"/>
  <c r="K2764" i="6"/>
  <c r="J2764" i="6"/>
  <c r="N2763" i="6"/>
  <c r="M2763" i="6"/>
  <c r="L2763" i="6"/>
  <c r="K2763" i="6"/>
  <c r="J2763" i="6"/>
  <c r="N2762" i="6"/>
  <c r="M2762" i="6"/>
  <c r="L2762" i="6"/>
  <c r="K2762" i="6"/>
  <c r="J2762" i="6"/>
  <c r="N2761" i="6"/>
  <c r="M2761" i="6"/>
  <c r="L2761" i="6"/>
  <c r="K2761" i="6"/>
  <c r="J2761" i="6"/>
  <c r="N2760" i="6"/>
  <c r="M2760" i="6"/>
  <c r="L2760" i="6"/>
  <c r="K2760" i="6"/>
  <c r="J2760" i="6"/>
  <c r="N2759" i="6"/>
  <c r="M2759" i="6"/>
  <c r="L2759" i="6"/>
  <c r="K2759" i="6"/>
  <c r="J2759" i="6"/>
  <c r="N2758" i="6"/>
  <c r="M2758" i="6"/>
  <c r="L2758" i="6"/>
  <c r="K2758" i="6"/>
  <c r="J2758" i="6"/>
  <c r="N2757" i="6"/>
  <c r="M2757" i="6"/>
  <c r="L2757" i="6"/>
  <c r="K2757" i="6"/>
  <c r="J2757" i="6"/>
  <c r="N2756" i="6"/>
  <c r="M2756" i="6"/>
  <c r="L2756" i="6"/>
  <c r="K2756" i="6"/>
  <c r="J2756" i="6"/>
  <c r="N2755" i="6"/>
  <c r="M2755" i="6"/>
  <c r="L2755" i="6"/>
  <c r="K2755" i="6"/>
  <c r="J2755" i="6"/>
  <c r="J2765" i="6" s="1"/>
  <c r="M2754" i="6"/>
  <c r="L2754" i="6"/>
  <c r="K2754" i="6"/>
  <c r="J2754" i="6"/>
  <c r="H2754" i="6"/>
  <c r="N2750" i="6"/>
  <c r="N2749" i="6"/>
  <c r="N2748" i="6"/>
  <c r="N2747" i="6"/>
  <c r="N2746" i="6"/>
  <c r="N2745" i="6"/>
  <c r="N2744" i="6"/>
  <c r="N2743" i="6"/>
  <c r="N2742" i="6"/>
  <c r="N2741" i="6"/>
  <c r="N2740" i="6"/>
  <c r="N2739" i="6"/>
  <c r="N2738" i="6"/>
  <c r="N2737" i="6"/>
  <c r="N2736" i="6"/>
  <c r="N2735" i="6"/>
  <c r="N2734" i="6"/>
  <c r="N2733" i="6"/>
  <c r="N2732" i="6"/>
  <c r="N2731" i="6"/>
  <c r="N2730" i="6"/>
  <c r="N2729" i="6"/>
  <c r="N2728" i="6"/>
  <c r="N2727" i="6"/>
  <c r="N2726" i="6"/>
  <c r="N2725" i="6"/>
  <c r="N2724" i="6"/>
  <c r="N2723" i="6"/>
  <c r="N2722" i="6"/>
  <c r="N2721" i="6"/>
  <c r="N2720" i="6"/>
  <c r="N2719" i="6"/>
  <c r="N2718" i="6"/>
  <c r="N2717" i="6"/>
  <c r="M2717" i="6"/>
  <c r="L2717" i="6"/>
  <c r="K2717" i="6"/>
  <c r="J2717" i="6"/>
  <c r="H2717" i="6"/>
  <c r="H2638" i="6"/>
  <c r="N2637" i="6"/>
  <c r="M2637" i="6"/>
  <c r="L2637" i="6"/>
  <c r="K2637" i="6"/>
  <c r="J2637" i="6"/>
  <c r="N2636" i="6"/>
  <c r="M2636" i="6"/>
  <c r="L2636" i="6"/>
  <c r="K2636" i="6"/>
  <c r="J2636" i="6"/>
  <c r="N2635" i="6"/>
  <c r="M2635" i="6"/>
  <c r="L2635" i="6"/>
  <c r="K2635" i="6"/>
  <c r="J2635" i="6"/>
  <c r="N2634" i="6"/>
  <c r="M2634" i="6"/>
  <c r="L2634" i="6"/>
  <c r="K2634" i="6"/>
  <c r="J2634" i="6"/>
  <c r="N2633" i="6"/>
  <c r="M2633" i="6"/>
  <c r="L2633" i="6"/>
  <c r="K2633" i="6"/>
  <c r="J2633" i="6"/>
  <c r="N2632" i="6"/>
  <c r="M2632" i="6"/>
  <c r="L2632" i="6"/>
  <c r="K2632" i="6"/>
  <c r="J2632" i="6"/>
  <c r="N2631" i="6"/>
  <c r="M2631" i="6"/>
  <c r="L2631" i="6"/>
  <c r="K2631" i="6"/>
  <c r="J2631" i="6"/>
  <c r="N2630" i="6"/>
  <c r="M2630" i="6"/>
  <c r="L2630" i="6"/>
  <c r="K2630" i="6"/>
  <c r="J2630" i="6"/>
  <c r="N2629" i="6"/>
  <c r="M2629" i="6"/>
  <c r="L2629" i="6"/>
  <c r="K2629" i="6"/>
  <c r="J2629" i="6"/>
  <c r="N2628" i="6"/>
  <c r="M2628" i="6"/>
  <c r="L2628" i="6"/>
  <c r="K2628" i="6"/>
  <c r="J2628" i="6"/>
  <c r="N2627" i="6"/>
  <c r="M2627" i="6"/>
  <c r="L2627" i="6"/>
  <c r="K2627" i="6"/>
  <c r="J2627" i="6"/>
  <c r="N2626" i="6"/>
  <c r="H2626" i="6"/>
  <c r="M2625" i="6"/>
  <c r="L2625" i="6"/>
  <c r="K2625" i="6"/>
  <c r="J2625" i="6"/>
  <c r="M2624" i="6"/>
  <c r="L2624" i="6"/>
  <c r="K2624" i="6"/>
  <c r="J2624" i="6"/>
  <c r="M2623" i="6"/>
  <c r="L2623" i="6"/>
  <c r="K2623" i="6"/>
  <c r="J2623" i="6"/>
  <c r="N2622" i="6"/>
  <c r="M2622" i="6"/>
  <c r="L2622" i="6"/>
  <c r="K2622" i="6"/>
  <c r="J2622" i="6"/>
  <c r="H2622" i="6"/>
  <c r="N2537" i="6"/>
  <c r="M2537" i="6"/>
  <c r="L2537" i="6"/>
  <c r="K2537" i="6"/>
  <c r="J2537" i="6"/>
  <c r="H2537" i="6"/>
  <c r="M2392" i="6"/>
  <c r="L2392" i="6"/>
  <c r="K2392" i="6"/>
  <c r="J2392" i="6"/>
  <c r="H2392" i="6"/>
  <c r="N2379" i="6"/>
  <c r="N2378" i="6"/>
  <c r="N2377" i="6"/>
  <c r="N2376" i="6"/>
  <c r="N2375" i="6"/>
  <c r="N2374" i="6"/>
  <c r="N2373" i="6"/>
  <c r="N2372" i="6"/>
  <c r="N2371" i="6"/>
  <c r="N2370" i="6"/>
  <c r="N2369" i="6"/>
  <c r="N2368" i="6"/>
  <c r="N2367" i="6"/>
  <c r="N2366" i="6"/>
  <c r="N2365" i="6"/>
  <c r="N2364" i="6"/>
  <c r="N2363" i="6"/>
  <c r="N2362" i="6"/>
  <c r="N2361" i="6"/>
  <c r="N2360" i="6"/>
  <c r="N2359" i="6"/>
  <c r="N2358" i="6"/>
  <c r="N2357" i="6"/>
  <c r="N2356" i="6"/>
  <c r="N2355" i="6"/>
  <c r="N2354" i="6"/>
  <c r="N2353" i="6"/>
  <c r="N2352" i="6"/>
  <c r="N2351" i="6"/>
  <c r="N2350" i="6"/>
  <c r="N2349" i="6"/>
  <c r="N2348" i="6"/>
  <c r="N2347" i="6"/>
  <c r="N2346" i="6"/>
  <c r="N2345" i="6"/>
  <c r="N2344" i="6"/>
  <c r="N2343" i="6"/>
  <c r="N2342" i="6"/>
  <c r="N2341" i="6"/>
  <c r="N2340" i="6"/>
  <c r="N2339" i="6"/>
  <c r="N2338" i="6"/>
  <c r="N2337" i="6"/>
  <c r="N2336" i="6"/>
  <c r="N2335" i="6"/>
  <c r="N2334" i="6"/>
  <c r="N2333" i="6"/>
  <c r="N2332" i="6"/>
  <c r="N2331" i="6"/>
  <c r="N2330" i="6"/>
  <c r="N2329" i="6"/>
  <c r="N2328" i="6"/>
  <c r="N2327" i="6"/>
  <c r="N2326" i="6"/>
  <c r="N2325" i="6"/>
  <c r="N2324" i="6"/>
  <c r="N2323" i="6"/>
  <c r="N2322" i="6"/>
  <c r="N2321" i="6"/>
  <c r="N2320" i="6"/>
  <c r="N2319" i="6"/>
  <c r="N2318" i="6"/>
  <c r="N2317" i="6"/>
  <c r="N2316" i="6"/>
  <c r="N2315" i="6"/>
  <c r="N2314" i="6"/>
  <c r="N2313" i="6"/>
  <c r="N2312" i="6"/>
  <c r="N2311" i="6"/>
  <c r="N2310" i="6"/>
  <c r="N2309" i="6"/>
  <c r="N2308" i="6"/>
  <c r="N2307" i="6"/>
  <c r="N2306" i="6"/>
  <c r="N2305" i="6"/>
  <c r="N2304" i="6"/>
  <c r="N2303" i="6"/>
  <c r="N2302" i="6"/>
  <c r="N2301" i="6"/>
  <c r="N2300" i="6"/>
  <c r="N2299" i="6"/>
  <c r="N2298" i="6"/>
  <c r="N2297" i="6"/>
  <c r="N2296" i="6"/>
  <c r="N2295" i="6"/>
  <c r="N2294" i="6"/>
  <c r="N2293" i="6"/>
  <c r="N2292" i="6"/>
  <c r="N2291" i="6"/>
  <c r="N2290" i="6"/>
  <c r="N2289" i="6"/>
  <c r="N2288" i="6"/>
  <c r="N2287" i="6"/>
  <c r="N2286" i="6"/>
  <c r="N2285" i="6"/>
  <c r="N2284" i="6"/>
  <c r="N2283" i="6"/>
  <c r="N2282" i="6"/>
  <c r="N2281" i="6"/>
  <c r="N2280" i="6"/>
  <c r="N2279" i="6"/>
  <c r="N2278" i="6"/>
  <c r="N2277" i="6"/>
  <c r="N2276" i="6"/>
  <c r="N2275" i="6"/>
  <c r="N2274" i="6"/>
  <c r="N2273" i="6"/>
  <c r="N2272" i="6"/>
  <c r="N2271" i="6"/>
  <c r="N2270" i="6"/>
  <c r="N2269" i="6"/>
  <c r="N2268" i="6"/>
  <c r="N2267" i="6"/>
  <c r="N2266" i="6"/>
  <c r="N2265" i="6"/>
  <c r="N2264" i="6"/>
  <c r="N2263" i="6"/>
  <c r="N2262" i="6"/>
  <c r="N2261" i="6"/>
  <c r="N2260" i="6"/>
  <c r="N2259" i="6"/>
  <c r="M2259" i="6"/>
  <c r="L2259" i="6"/>
  <c r="K2259" i="6"/>
  <c r="J2259" i="6"/>
  <c r="H2259" i="6"/>
  <c r="N2255" i="6"/>
  <c r="M2255" i="6"/>
  <c r="L2255" i="6"/>
  <c r="K2255" i="6"/>
  <c r="J2255" i="6"/>
  <c r="H2255" i="6"/>
  <c r="H2249" i="6"/>
  <c r="N2248" i="6"/>
  <c r="M2248" i="6"/>
  <c r="L2248" i="6"/>
  <c r="K2248" i="6"/>
  <c r="J2248" i="6"/>
  <c r="N2247" i="6"/>
  <c r="M2247" i="6"/>
  <c r="L2247" i="6"/>
  <c r="K2247" i="6"/>
  <c r="J2247" i="6"/>
  <c r="N2246" i="6"/>
  <c r="M2246" i="6"/>
  <c r="L2246" i="6"/>
  <c r="K2246" i="6"/>
  <c r="J2246" i="6"/>
  <c r="N2245" i="6"/>
  <c r="M2245" i="6"/>
  <c r="L2245" i="6"/>
  <c r="K2245" i="6"/>
  <c r="J2245" i="6"/>
  <c r="N2244" i="6"/>
  <c r="M2244" i="6"/>
  <c r="L2244" i="6"/>
  <c r="K2244" i="6"/>
  <c r="J2244" i="6"/>
  <c r="N2243" i="6"/>
  <c r="M2243" i="6"/>
  <c r="L2243" i="6"/>
  <c r="K2243" i="6"/>
  <c r="J2243" i="6"/>
  <c r="N2242" i="6"/>
  <c r="M2242" i="6"/>
  <c r="L2242" i="6"/>
  <c r="K2242" i="6"/>
  <c r="J2242" i="6"/>
  <c r="N2241" i="6"/>
  <c r="M2241" i="6"/>
  <c r="L2241" i="6"/>
  <c r="K2241" i="6"/>
  <c r="J2241" i="6"/>
  <c r="H2241" i="6"/>
  <c r="H2114" i="6"/>
  <c r="N2113" i="6"/>
  <c r="M2113" i="6"/>
  <c r="L2113" i="6"/>
  <c r="K2113" i="6"/>
  <c r="J2113" i="6"/>
  <c r="N2112" i="6"/>
  <c r="M2112" i="6"/>
  <c r="L2112" i="6"/>
  <c r="K2112" i="6"/>
  <c r="J2112" i="6"/>
  <c r="N2111" i="6"/>
  <c r="M2111" i="6"/>
  <c r="L2111" i="6"/>
  <c r="K2111" i="6"/>
  <c r="J2111" i="6"/>
  <c r="N2110" i="6"/>
  <c r="M2110" i="6"/>
  <c r="L2110" i="6"/>
  <c r="K2110" i="6"/>
  <c r="J2110" i="6"/>
  <c r="N2109" i="6"/>
  <c r="M2109" i="6"/>
  <c r="L2109" i="6"/>
  <c r="K2109" i="6"/>
  <c r="J2109" i="6"/>
  <c r="N2108" i="6"/>
  <c r="M2108" i="6"/>
  <c r="L2108" i="6"/>
  <c r="K2108" i="6"/>
  <c r="J2108" i="6"/>
  <c r="N2107" i="6"/>
  <c r="M2107" i="6"/>
  <c r="L2107" i="6"/>
  <c r="K2107" i="6"/>
  <c r="J2107" i="6"/>
  <c r="N2106" i="6"/>
  <c r="M2106" i="6"/>
  <c r="L2106" i="6"/>
  <c r="K2106" i="6"/>
  <c r="J2106" i="6"/>
  <c r="N2105" i="6"/>
  <c r="M2105" i="6"/>
  <c r="L2105" i="6"/>
  <c r="K2105" i="6"/>
  <c r="J2105" i="6"/>
  <c r="N2104" i="6"/>
  <c r="M2104" i="6"/>
  <c r="L2104" i="6"/>
  <c r="K2104" i="6"/>
  <c r="J2104" i="6"/>
  <c r="N2103" i="6"/>
  <c r="M2103" i="6"/>
  <c r="L2103" i="6"/>
  <c r="K2103" i="6"/>
  <c r="J2103" i="6"/>
  <c r="N2102" i="6"/>
  <c r="M2102" i="6"/>
  <c r="L2102" i="6"/>
  <c r="K2102" i="6"/>
  <c r="J2102" i="6"/>
  <c r="H2102" i="6"/>
  <c r="N2041" i="6"/>
  <c r="M2041" i="6"/>
  <c r="L2041" i="6"/>
  <c r="K2041" i="6"/>
  <c r="J2041" i="6"/>
  <c r="H2041" i="6"/>
  <c r="N2031" i="6"/>
  <c r="M2031" i="6"/>
  <c r="L2031" i="6"/>
  <c r="K2031" i="6"/>
  <c r="J2031" i="6"/>
  <c r="H2031" i="6"/>
  <c r="H2017" i="6"/>
  <c r="N2016" i="6"/>
  <c r="M2016" i="6"/>
  <c r="L2016" i="6"/>
  <c r="K2016" i="6"/>
  <c r="J2016" i="6"/>
  <c r="N2015" i="6"/>
  <c r="M2015" i="6"/>
  <c r="L2015" i="6"/>
  <c r="K2015" i="6"/>
  <c r="J2015" i="6"/>
  <c r="N2014" i="6"/>
  <c r="M2014" i="6"/>
  <c r="L2014" i="6"/>
  <c r="K2014" i="6"/>
  <c r="J2014" i="6"/>
  <c r="N2013" i="6"/>
  <c r="M2013" i="6"/>
  <c r="L2013" i="6"/>
  <c r="K2013" i="6"/>
  <c r="J2013" i="6"/>
  <c r="N2012" i="6"/>
  <c r="M2012" i="6"/>
  <c r="L2012" i="6"/>
  <c r="K2012" i="6"/>
  <c r="J2012" i="6"/>
  <c r="N2011" i="6"/>
  <c r="M2011" i="6"/>
  <c r="L2011" i="6"/>
  <c r="K2011" i="6"/>
  <c r="J2011" i="6"/>
  <c r="N2010" i="6"/>
  <c r="M2010" i="6"/>
  <c r="L2010" i="6"/>
  <c r="K2010" i="6"/>
  <c r="J2010" i="6"/>
  <c r="N2009" i="6"/>
  <c r="M2009" i="6"/>
  <c r="L2009" i="6"/>
  <c r="K2009" i="6"/>
  <c r="J2009" i="6"/>
  <c r="N2008" i="6"/>
  <c r="M2008" i="6"/>
  <c r="L2008" i="6"/>
  <c r="K2008" i="6"/>
  <c r="J2008" i="6"/>
  <c r="N2007" i="6"/>
  <c r="M2007" i="6"/>
  <c r="L2007" i="6"/>
  <c r="K2007" i="6"/>
  <c r="J2007" i="6"/>
  <c r="N2006" i="6"/>
  <c r="M2006" i="6"/>
  <c r="L2006" i="6"/>
  <c r="K2006" i="6"/>
  <c r="J2006" i="6"/>
  <c r="N2005" i="6"/>
  <c r="M2005" i="6"/>
  <c r="L2005" i="6"/>
  <c r="K2005" i="6"/>
  <c r="J2005" i="6"/>
  <c r="N2004" i="6"/>
  <c r="M2004" i="6"/>
  <c r="L2004" i="6"/>
  <c r="K2004" i="6"/>
  <c r="J2004" i="6"/>
  <c r="N2003" i="6"/>
  <c r="M2003" i="6"/>
  <c r="L2003" i="6"/>
  <c r="K2003" i="6"/>
  <c r="J2003" i="6"/>
  <c r="N2002" i="6"/>
  <c r="M2002" i="6"/>
  <c r="L2002" i="6"/>
  <c r="K2002" i="6"/>
  <c r="J2002" i="6"/>
  <c r="N2001" i="6"/>
  <c r="M2001" i="6"/>
  <c r="L2001" i="6"/>
  <c r="K2001" i="6"/>
  <c r="J2001" i="6"/>
  <c r="N2000" i="6"/>
  <c r="M2000" i="6"/>
  <c r="L2000" i="6"/>
  <c r="K2000" i="6"/>
  <c r="J2000" i="6"/>
  <c r="N1999" i="6"/>
  <c r="M1999" i="6"/>
  <c r="L1999" i="6"/>
  <c r="K1999" i="6"/>
  <c r="J1999" i="6"/>
  <c r="N1998" i="6"/>
  <c r="M1998" i="6"/>
  <c r="L1998" i="6"/>
  <c r="K1998" i="6"/>
  <c r="J1998" i="6"/>
  <c r="N1997" i="6"/>
  <c r="M1997" i="6"/>
  <c r="L1997" i="6"/>
  <c r="K1997" i="6"/>
  <c r="J1997" i="6"/>
  <c r="N1996" i="6"/>
  <c r="M1996" i="6"/>
  <c r="L1996" i="6"/>
  <c r="K1996" i="6"/>
  <c r="J1996" i="6"/>
  <c r="N1995" i="6"/>
  <c r="M1995" i="6"/>
  <c r="L1995" i="6"/>
  <c r="K1995" i="6"/>
  <c r="J1995" i="6"/>
  <c r="N1994" i="6"/>
  <c r="M1994" i="6"/>
  <c r="L1994" i="6"/>
  <c r="K1994" i="6"/>
  <c r="J1994" i="6"/>
  <c r="N1993" i="6"/>
  <c r="M1993" i="6"/>
  <c r="L1993" i="6"/>
  <c r="K1993" i="6"/>
  <c r="J1993" i="6"/>
  <c r="N1992" i="6"/>
  <c r="M1992" i="6"/>
  <c r="L1992" i="6"/>
  <c r="K1992" i="6"/>
  <c r="J1992" i="6"/>
  <c r="N1991" i="6"/>
  <c r="M1991" i="6"/>
  <c r="L1991" i="6"/>
  <c r="K1991" i="6"/>
  <c r="J1991" i="6"/>
  <c r="N1990" i="6"/>
  <c r="M1990" i="6"/>
  <c r="L1990" i="6"/>
  <c r="K1990" i="6"/>
  <c r="J1990" i="6"/>
  <c r="N1989" i="6"/>
  <c r="M1989" i="6"/>
  <c r="L1989" i="6"/>
  <c r="K1989" i="6"/>
  <c r="J1989" i="6"/>
  <c r="N1988" i="6"/>
  <c r="M1988" i="6"/>
  <c r="L1988" i="6"/>
  <c r="K1988" i="6"/>
  <c r="J1988" i="6"/>
  <c r="N1987" i="6"/>
  <c r="M1987" i="6"/>
  <c r="L1987" i="6"/>
  <c r="K1987" i="6"/>
  <c r="J1987" i="6"/>
  <c r="N1986" i="6"/>
  <c r="M1986" i="6"/>
  <c r="L1986" i="6"/>
  <c r="K1986" i="6"/>
  <c r="J1986" i="6"/>
  <c r="N1985" i="6"/>
  <c r="M1985" i="6"/>
  <c r="L1985" i="6"/>
  <c r="K1985" i="6"/>
  <c r="J1985" i="6"/>
  <c r="N1984" i="6"/>
  <c r="M1984" i="6"/>
  <c r="L1984" i="6"/>
  <c r="K1984" i="6"/>
  <c r="J1984" i="6"/>
  <c r="N1983" i="6"/>
  <c r="M1983" i="6"/>
  <c r="L1983" i="6"/>
  <c r="K1983" i="6"/>
  <c r="J1983" i="6"/>
  <c r="N1982" i="6"/>
  <c r="M1982" i="6"/>
  <c r="L1982" i="6"/>
  <c r="K1982" i="6"/>
  <c r="J1982" i="6"/>
  <c r="N1981" i="6"/>
  <c r="M1981" i="6"/>
  <c r="L1981" i="6"/>
  <c r="K1981" i="6"/>
  <c r="J1981" i="6"/>
  <c r="N1980" i="6"/>
  <c r="M1980" i="6"/>
  <c r="L1980" i="6"/>
  <c r="K1980" i="6"/>
  <c r="J1980" i="6"/>
  <c r="N1979" i="6"/>
  <c r="M1979" i="6"/>
  <c r="L1979" i="6"/>
  <c r="K1979" i="6"/>
  <c r="J1979" i="6"/>
  <c r="N1978" i="6"/>
  <c r="M1978" i="6"/>
  <c r="L1978" i="6"/>
  <c r="K1978" i="6"/>
  <c r="J1978" i="6"/>
  <c r="N1977" i="6"/>
  <c r="M1977" i="6"/>
  <c r="L1977" i="6"/>
  <c r="K1977" i="6"/>
  <c r="J1977" i="6"/>
  <c r="N1976" i="6"/>
  <c r="M1976" i="6"/>
  <c r="L1976" i="6"/>
  <c r="K1976" i="6"/>
  <c r="J1976" i="6"/>
  <c r="N1975" i="6"/>
  <c r="M1975" i="6"/>
  <c r="L1975" i="6"/>
  <c r="K1975" i="6"/>
  <c r="J1975" i="6"/>
  <c r="N1974" i="6"/>
  <c r="M1974" i="6"/>
  <c r="L1974" i="6"/>
  <c r="K1974" i="6"/>
  <c r="J1974" i="6"/>
  <c r="N1973" i="6"/>
  <c r="M1973" i="6"/>
  <c r="L1973" i="6"/>
  <c r="K1973" i="6"/>
  <c r="J1973" i="6"/>
  <c r="N1972" i="6"/>
  <c r="M1972" i="6"/>
  <c r="L1972" i="6"/>
  <c r="K1972" i="6"/>
  <c r="J1972" i="6"/>
  <c r="N1971" i="6"/>
  <c r="M1971" i="6"/>
  <c r="L1971" i="6"/>
  <c r="K1971" i="6"/>
  <c r="J1971" i="6"/>
  <c r="N1970" i="6"/>
  <c r="M1970" i="6"/>
  <c r="L1970" i="6"/>
  <c r="K1970" i="6"/>
  <c r="J1970" i="6"/>
  <c r="N1969" i="6"/>
  <c r="M1969" i="6"/>
  <c r="L1969" i="6"/>
  <c r="K1969" i="6"/>
  <c r="J1969" i="6"/>
  <c r="N1968" i="6"/>
  <c r="M1968" i="6"/>
  <c r="L1968" i="6"/>
  <c r="K1968" i="6"/>
  <c r="J1968" i="6"/>
  <c r="N1967" i="6"/>
  <c r="M1967" i="6"/>
  <c r="L1967" i="6"/>
  <c r="K1967" i="6"/>
  <c r="J1967" i="6"/>
  <c r="N1966" i="6"/>
  <c r="M1966" i="6"/>
  <c r="L1966" i="6"/>
  <c r="K1966" i="6"/>
  <c r="J1966" i="6"/>
  <c r="N1965" i="6"/>
  <c r="M1965" i="6"/>
  <c r="L1965" i="6"/>
  <c r="K1965" i="6"/>
  <c r="J1965" i="6"/>
  <c r="N1964" i="6"/>
  <c r="M1964" i="6"/>
  <c r="L1964" i="6"/>
  <c r="K1964" i="6"/>
  <c r="J1964" i="6"/>
  <c r="N1963" i="6"/>
  <c r="M1963" i="6"/>
  <c r="L1963" i="6"/>
  <c r="K1963" i="6"/>
  <c r="J1963" i="6"/>
  <c r="N1962" i="6"/>
  <c r="M1962" i="6"/>
  <c r="L1962" i="6"/>
  <c r="K1962" i="6"/>
  <c r="J1962" i="6"/>
  <c r="N1961" i="6"/>
  <c r="M1961" i="6"/>
  <c r="L1961" i="6"/>
  <c r="K1961" i="6"/>
  <c r="J1961" i="6"/>
  <c r="N1960" i="6"/>
  <c r="M1960" i="6"/>
  <c r="L1960" i="6"/>
  <c r="K1960" i="6"/>
  <c r="J1960" i="6"/>
  <c r="N1959" i="6"/>
  <c r="M1959" i="6"/>
  <c r="L1959" i="6"/>
  <c r="K1959" i="6"/>
  <c r="J1959" i="6"/>
  <c r="N1958" i="6"/>
  <c r="M1958" i="6"/>
  <c r="L1958" i="6"/>
  <c r="K1958" i="6"/>
  <c r="J1958" i="6"/>
  <c r="N1957" i="6"/>
  <c r="M1957" i="6"/>
  <c r="L1957" i="6"/>
  <c r="K1957" i="6"/>
  <c r="J1957" i="6"/>
  <c r="N1956" i="6"/>
  <c r="M1956" i="6"/>
  <c r="L1956" i="6"/>
  <c r="K1956" i="6"/>
  <c r="J1956" i="6"/>
  <c r="N1955" i="6"/>
  <c r="M1955" i="6"/>
  <c r="L1955" i="6"/>
  <c r="K1955" i="6"/>
  <c r="J1955" i="6"/>
  <c r="N1954" i="6"/>
  <c r="M1954" i="6"/>
  <c r="L1954" i="6"/>
  <c r="K1954" i="6"/>
  <c r="J1954" i="6"/>
  <c r="N1953" i="6"/>
  <c r="M1953" i="6"/>
  <c r="L1953" i="6"/>
  <c r="K1953" i="6"/>
  <c r="J1953" i="6"/>
  <c r="N1952" i="6"/>
  <c r="M1952" i="6"/>
  <c r="L1952" i="6"/>
  <c r="K1952" i="6"/>
  <c r="J1952" i="6"/>
  <c r="N1951" i="6"/>
  <c r="M1951" i="6"/>
  <c r="L1951" i="6"/>
  <c r="K1951" i="6"/>
  <c r="J1951" i="6"/>
  <c r="N1950" i="6"/>
  <c r="M1950" i="6"/>
  <c r="L1950" i="6"/>
  <c r="K1950" i="6"/>
  <c r="J1950" i="6"/>
  <c r="N1949" i="6"/>
  <c r="M1949" i="6"/>
  <c r="L1949" i="6"/>
  <c r="K1949" i="6"/>
  <c r="J1949" i="6"/>
  <c r="N1948" i="6"/>
  <c r="M1948" i="6"/>
  <c r="L1948" i="6"/>
  <c r="K1948" i="6"/>
  <c r="J1948" i="6"/>
  <c r="N1947" i="6"/>
  <c r="M1947" i="6"/>
  <c r="L1947" i="6"/>
  <c r="K1947" i="6"/>
  <c r="J1947" i="6"/>
  <c r="N1946" i="6"/>
  <c r="M1946" i="6"/>
  <c r="L1946" i="6"/>
  <c r="K1946" i="6"/>
  <c r="J1946" i="6"/>
  <c r="N1945" i="6"/>
  <c r="M1945" i="6"/>
  <c r="L1945" i="6"/>
  <c r="K1945" i="6"/>
  <c r="J1945" i="6"/>
  <c r="N1944" i="6"/>
  <c r="M1944" i="6"/>
  <c r="L1944" i="6"/>
  <c r="K1944" i="6"/>
  <c r="J1944" i="6"/>
  <c r="H1942" i="6"/>
  <c r="H1941" i="6"/>
  <c r="L1941" i="6" s="1"/>
  <c r="H1940" i="6"/>
  <c r="N1940" i="6" s="1"/>
  <c r="H1939" i="6"/>
  <c r="N1939" i="6" s="1"/>
  <c r="H1938" i="6"/>
  <c r="M1937" i="6"/>
  <c r="H1937" i="6"/>
  <c r="K1937" i="6" s="1"/>
  <c r="H1936" i="6"/>
  <c r="L1936" i="6" s="1"/>
  <c r="H1935" i="6"/>
  <c r="N1935" i="6" s="1"/>
  <c r="N1934" i="6"/>
  <c r="M1934" i="6"/>
  <c r="L1934" i="6"/>
  <c r="K1934" i="6"/>
  <c r="J1934" i="6"/>
  <c r="N1933" i="6"/>
  <c r="M1933" i="6"/>
  <c r="L1933" i="6"/>
  <c r="K1933" i="6"/>
  <c r="J1933" i="6"/>
  <c r="N1932" i="6"/>
  <c r="M1932" i="6"/>
  <c r="L1932" i="6"/>
  <c r="K1932" i="6"/>
  <c r="J1932" i="6"/>
  <c r="N1931" i="6"/>
  <c r="M1931" i="6"/>
  <c r="L1931" i="6"/>
  <c r="K1931" i="6"/>
  <c r="J1931" i="6"/>
  <c r="N1930" i="6"/>
  <c r="M1930" i="6"/>
  <c r="L1930" i="6"/>
  <c r="K1930" i="6"/>
  <c r="J1930" i="6"/>
  <c r="N1929" i="6"/>
  <c r="M1929" i="6"/>
  <c r="L1929" i="6"/>
  <c r="K1929" i="6"/>
  <c r="J1929" i="6"/>
  <c r="N1928" i="6"/>
  <c r="M1928" i="6"/>
  <c r="L1928" i="6"/>
  <c r="K1928" i="6"/>
  <c r="J1928" i="6"/>
  <c r="N1927" i="6"/>
  <c r="M1927" i="6"/>
  <c r="L1927" i="6"/>
  <c r="K1927" i="6"/>
  <c r="J1927" i="6"/>
  <c r="N1926" i="6"/>
  <c r="M1926" i="6"/>
  <c r="L1926" i="6"/>
  <c r="K1926" i="6"/>
  <c r="J1926" i="6"/>
  <c r="N1925" i="6"/>
  <c r="M1925" i="6"/>
  <c r="L1925" i="6"/>
  <c r="K1925" i="6"/>
  <c r="J1925" i="6"/>
  <c r="N1924" i="6"/>
  <c r="M1924" i="6"/>
  <c r="L1924" i="6"/>
  <c r="K1924" i="6"/>
  <c r="J1924" i="6"/>
  <c r="N1923" i="6"/>
  <c r="M1923" i="6"/>
  <c r="L1923" i="6"/>
  <c r="K1923" i="6"/>
  <c r="J1923" i="6"/>
  <c r="N1922" i="6"/>
  <c r="M1922" i="6"/>
  <c r="L1922" i="6"/>
  <c r="K1922" i="6"/>
  <c r="J1922" i="6"/>
  <c r="N1921" i="6"/>
  <c r="M1921" i="6"/>
  <c r="L1921" i="6"/>
  <c r="K1921" i="6"/>
  <c r="J1921" i="6"/>
  <c r="N1920" i="6"/>
  <c r="M1920" i="6"/>
  <c r="L1920" i="6"/>
  <c r="K1920" i="6"/>
  <c r="J1920" i="6"/>
  <c r="N1919" i="6"/>
  <c r="M1919" i="6"/>
  <c r="L1919" i="6"/>
  <c r="K1919" i="6"/>
  <c r="J1919" i="6"/>
  <c r="N1918" i="6"/>
  <c r="M1918" i="6"/>
  <c r="L1918" i="6"/>
  <c r="K1918" i="6"/>
  <c r="J1918" i="6"/>
  <c r="N1917" i="6"/>
  <c r="M1917" i="6"/>
  <c r="L1917" i="6"/>
  <c r="K1917" i="6"/>
  <c r="J1917" i="6"/>
  <c r="N1916" i="6"/>
  <c r="M1916" i="6"/>
  <c r="L1916" i="6"/>
  <c r="K1916" i="6"/>
  <c r="J1916" i="6"/>
  <c r="N1915" i="6"/>
  <c r="M1915" i="6"/>
  <c r="L1915" i="6"/>
  <c r="K1915" i="6"/>
  <c r="J1915" i="6"/>
  <c r="N1914" i="6"/>
  <c r="M1914" i="6"/>
  <c r="L1914" i="6"/>
  <c r="K1914" i="6"/>
  <c r="J1914" i="6"/>
  <c r="N1913" i="6"/>
  <c r="M1913" i="6"/>
  <c r="L1913" i="6"/>
  <c r="K1913" i="6"/>
  <c r="J1913" i="6"/>
  <c r="N1912" i="6"/>
  <c r="M1912" i="6"/>
  <c r="L1912" i="6"/>
  <c r="K1912" i="6"/>
  <c r="J1912" i="6"/>
  <c r="N1911" i="6"/>
  <c r="M1911" i="6"/>
  <c r="L1911" i="6"/>
  <c r="K1911" i="6"/>
  <c r="J1911" i="6"/>
  <c r="N1910" i="6"/>
  <c r="M1910" i="6"/>
  <c r="L1910" i="6"/>
  <c r="K1910" i="6"/>
  <c r="J1910" i="6"/>
  <c r="N1909" i="6"/>
  <c r="M1909" i="6"/>
  <c r="L1909" i="6"/>
  <c r="K1909" i="6"/>
  <c r="J1909" i="6"/>
  <c r="N1908" i="6"/>
  <c r="M1908" i="6"/>
  <c r="L1908" i="6"/>
  <c r="K1908" i="6"/>
  <c r="J1908" i="6"/>
  <c r="N1907" i="6"/>
  <c r="M1907" i="6"/>
  <c r="L1907" i="6"/>
  <c r="K1907" i="6"/>
  <c r="J1907" i="6"/>
  <c r="N1906" i="6"/>
  <c r="M1906" i="6"/>
  <c r="L1906" i="6"/>
  <c r="K1906" i="6"/>
  <c r="J1906" i="6"/>
  <c r="N1905" i="6"/>
  <c r="M1905" i="6"/>
  <c r="L1905" i="6"/>
  <c r="K1905" i="6"/>
  <c r="J1905" i="6"/>
  <c r="N1904" i="6"/>
  <c r="M1904" i="6"/>
  <c r="L1904" i="6"/>
  <c r="K1904" i="6"/>
  <c r="J1904" i="6"/>
  <c r="N1903" i="6"/>
  <c r="M1903" i="6"/>
  <c r="L1903" i="6"/>
  <c r="K1903" i="6"/>
  <c r="J1903" i="6"/>
  <c r="N1902" i="6"/>
  <c r="M1902" i="6"/>
  <c r="L1902" i="6"/>
  <c r="K1902" i="6"/>
  <c r="J1902" i="6"/>
  <c r="N1901" i="6"/>
  <c r="M1901" i="6"/>
  <c r="L1901" i="6"/>
  <c r="K1901" i="6"/>
  <c r="J1901" i="6"/>
  <c r="N1900" i="6"/>
  <c r="M1900" i="6"/>
  <c r="L1900" i="6"/>
  <c r="K1900" i="6"/>
  <c r="J1900" i="6"/>
  <c r="N1899" i="6"/>
  <c r="M1899" i="6"/>
  <c r="L1899" i="6"/>
  <c r="K1899" i="6"/>
  <c r="J1899" i="6"/>
  <c r="N1898" i="6"/>
  <c r="M1898" i="6"/>
  <c r="L1898" i="6"/>
  <c r="K1898" i="6"/>
  <c r="J1898" i="6"/>
  <c r="N1897" i="6"/>
  <c r="M1897" i="6"/>
  <c r="L1897" i="6"/>
  <c r="K1897" i="6"/>
  <c r="J1897" i="6"/>
  <c r="N1896" i="6"/>
  <c r="M1896" i="6"/>
  <c r="L1896" i="6"/>
  <c r="K1896" i="6"/>
  <c r="J1896" i="6"/>
  <c r="N1895" i="6"/>
  <c r="M1895" i="6"/>
  <c r="L1895" i="6"/>
  <c r="K1895" i="6"/>
  <c r="J1895" i="6"/>
  <c r="N1894" i="6"/>
  <c r="M1894" i="6"/>
  <c r="L1894" i="6"/>
  <c r="K1894" i="6"/>
  <c r="J1894" i="6"/>
  <c r="N1893" i="6"/>
  <c r="M1893" i="6"/>
  <c r="L1893" i="6"/>
  <c r="K1893" i="6"/>
  <c r="J1893" i="6"/>
  <c r="N1892" i="6"/>
  <c r="M1892" i="6"/>
  <c r="L1892" i="6"/>
  <c r="K1892" i="6"/>
  <c r="J1892" i="6"/>
  <c r="N1891" i="6"/>
  <c r="M1891" i="6"/>
  <c r="L1891" i="6"/>
  <c r="K1891" i="6"/>
  <c r="J1891" i="6"/>
  <c r="N1890" i="6"/>
  <c r="M1890" i="6"/>
  <c r="L1890" i="6"/>
  <c r="K1890" i="6"/>
  <c r="J1890" i="6"/>
  <c r="N1889" i="6"/>
  <c r="M1889" i="6"/>
  <c r="L1889" i="6"/>
  <c r="K1889" i="6"/>
  <c r="J1889" i="6"/>
  <c r="N1888" i="6"/>
  <c r="M1888" i="6"/>
  <c r="L1888" i="6"/>
  <c r="K1888" i="6"/>
  <c r="J1888" i="6"/>
  <c r="N1887" i="6"/>
  <c r="M1887" i="6"/>
  <c r="L1887" i="6"/>
  <c r="K1887" i="6"/>
  <c r="J1887" i="6"/>
  <c r="N1886" i="6"/>
  <c r="M1886" i="6"/>
  <c r="L1886" i="6"/>
  <c r="K1886" i="6"/>
  <c r="J1886" i="6"/>
  <c r="N1885" i="6"/>
  <c r="M1885" i="6"/>
  <c r="L1885" i="6"/>
  <c r="K1885" i="6"/>
  <c r="J1885" i="6"/>
  <c r="N1884" i="6"/>
  <c r="M1884" i="6"/>
  <c r="L1884" i="6"/>
  <c r="K1884" i="6"/>
  <c r="J1884" i="6"/>
  <c r="N1883" i="6"/>
  <c r="M1883" i="6"/>
  <c r="L1883" i="6"/>
  <c r="K1883" i="6"/>
  <c r="J1883" i="6"/>
  <c r="N1882" i="6"/>
  <c r="M1882" i="6"/>
  <c r="L1882" i="6"/>
  <c r="K1882" i="6"/>
  <c r="J1882" i="6"/>
  <c r="N1881" i="6"/>
  <c r="M1881" i="6"/>
  <c r="L1881" i="6"/>
  <c r="K1881" i="6"/>
  <c r="J1881" i="6"/>
  <c r="N1880" i="6"/>
  <c r="M1880" i="6"/>
  <c r="L1880" i="6"/>
  <c r="K1880" i="6"/>
  <c r="J1880" i="6"/>
  <c r="N1879" i="6"/>
  <c r="M1879" i="6"/>
  <c r="L1879" i="6"/>
  <c r="K1879" i="6"/>
  <c r="J1879" i="6"/>
  <c r="N1878" i="6"/>
  <c r="M1878" i="6"/>
  <c r="L1878" i="6"/>
  <c r="K1878" i="6"/>
  <c r="J1878" i="6"/>
  <c r="N1877" i="6"/>
  <c r="M1877" i="6"/>
  <c r="L1877" i="6"/>
  <c r="K1877" i="6"/>
  <c r="J1877" i="6"/>
  <c r="N1876" i="6"/>
  <c r="M1876" i="6"/>
  <c r="L1876" i="6"/>
  <c r="K1876" i="6"/>
  <c r="J1876" i="6"/>
  <c r="N1875" i="6"/>
  <c r="M1875" i="6"/>
  <c r="L1875" i="6"/>
  <c r="K1875" i="6"/>
  <c r="J1875" i="6"/>
  <c r="N1874" i="6"/>
  <c r="M1874" i="6"/>
  <c r="L1874" i="6"/>
  <c r="K1874" i="6"/>
  <c r="J1874" i="6"/>
  <c r="N1873" i="6"/>
  <c r="M1873" i="6"/>
  <c r="L1873" i="6"/>
  <c r="K1873" i="6"/>
  <c r="J1873" i="6"/>
  <c r="N1872" i="6"/>
  <c r="M1872" i="6"/>
  <c r="L1872" i="6"/>
  <c r="K1872" i="6"/>
  <c r="J1872" i="6"/>
  <c r="N1871" i="6"/>
  <c r="M1871" i="6"/>
  <c r="L1871" i="6"/>
  <c r="K1871" i="6"/>
  <c r="J1871" i="6"/>
  <c r="N1870" i="6"/>
  <c r="M1870" i="6"/>
  <c r="L1870" i="6"/>
  <c r="K1870" i="6"/>
  <c r="J1870" i="6"/>
  <c r="N1869" i="6"/>
  <c r="M1869" i="6"/>
  <c r="L1869" i="6"/>
  <c r="K1869" i="6"/>
  <c r="J1869" i="6"/>
  <c r="N1868" i="6"/>
  <c r="M1868" i="6"/>
  <c r="L1868" i="6"/>
  <c r="K1868" i="6"/>
  <c r="J1868" i="6"/>
  <c r="N1867" i="6"/>
  <c r="M1867" i="6"/>
  <c r="L1867" i="6"/>
  <c r="K1867" i="6"/>
  <c r="J1867" i="6"/>
  <c r="N1866" i="6"/>
  <c r="M1866" i="6"/>
  <c r="L1866" i="6"/>
  <c r="K1866" i="6"/>
  <c r="J1866" i="6"/>
  <c r="N1865" i="6"/>
  <c r="M1865" i="6"/>
  <c r="L1865" i="6"/>
  <c r="K1865" i="6"/>
  <c r="J1865" i="6"/>
  <c r="N1864" i="6"/>
  <c r="M1864" i="6"/>
  <c r="L1864" i="6"/>
  <c r="K1864" i="6"/>
  <c r="J1864" i="6"/>
  <c r="N1863" i="6"/>
  <c r="M1863" i="6"/>
  <c r="L1863" i="6"/>
  <c r="K1863" i="6"/>
  <c r="J1863" i="6"/>
  <c r="N1862" i="6"/>
  <c r="M1862" i="6"/>
  <c r="L1862" i="6"/>
  <c r="K1862" i="6"/>
  <c r="J1862" i="6"/>
  <c r="N1861" i="6"/>
  <c r="M1861" i="6"/>
  <c r="L1861" i="6"/>
  <c r="K1861" i="6"/>
  <c r="J1861" i="6"/>
  <c r="N1860" i="6"/>
  <c r="M1860" i="6"/>
  <c r="L1860" i="6"/>
  <c r="K1860" i="6"/>
  <c r="J1860" i="6"/>
  <c r="N1859" i="6"/>
  <c r="M1859" i="6"/>
  <c r="L1859" i="6"/>
  <c r="K1859" i="6"/>
  <c r="J1859" i="6"/>
  <c r="N1858" i="6"/>
  <c r="M1858" i="6"/>
  <c r="L1858" i="6"/>
  <c r="K1858" i="6"/>
  <c r="J1858" i="6"/>
  <c r="N1857" i="6"/>
  <c r="M1857" i="6"/>
  <c r="L1857" i="6"/>
  <c r="K1857" i="6"/>
  <c r="J1857" i="6"/>
  <c r="N1856" i="6"/>
  <c r="M1856" i="6"/>
  <c r="L1856" i="6"/>
  <c r="K1856" i="6"/>
  <c r="J1856" i="6"/>
  <c r="N1855" i="6"/>
  <c r="M1855" i="6"/>
  <c r="L1855" i="6"/>
  <c r="K1855" i="6"/>
  <c r="J1855" i="6"/>
  <c r="N1854" i="6"/>
  <c r="M1854" i="6"/>
  <c r="L1854" i="6"/>
  <c r="K1854" i="6"/>
  <c r="J1854" i="6"/>
  <c r="N1853" i="6"/>
  <c r="M1853" i="6"/>
  <c r="L1853" i="6"/>
  <c r="K1853" i="6"/>
  <c r="J1853" i="6"/>
  <c r="N1852" i="6"/>
  <c r="M1852" i="6"/>
  <c r="L1852" i="6"/>
  <c r="K1852" i="6"/>
  <c r="J1852" i="6"/>
  <c r="N1851" i="6"/>
  <c r="M1851" i="6"/>
  <c r="L1851" i="6"/>
  <c r="K1851" i="6"/>
  <c r="J1851" i="6"/>
  <c r="N1850" i="6"/>
  <c r="M1850" i="6"/>
  <c r="L1850" i="6"/>
  <c r="K1850" i="6"/>
  <c r="J1850" i="6"/>
  <c r="N1849" i="6"/>
  <c r="M1849" i="6"/>
  <c r="L1849" i="6"/>
  <c r="K1849" i="6"/>
  <c r="J1849" i="6"/>
  <c r="N1848" i="6"/>
  <c r="M1848" i="6"/>
  <c r="L1848" i="6"/>
  <c r="K1848" i="6"/>
  <c r="J1848" i="6"/>
  <c r="N1847" i="6"/>
  <c r="M1847" i="6"/>
  <c r="L1847" i="6"/>
  <c r="K1847" i="6"/>
  <c r="J1847" i="6"/>
  <c r="N1846" i="6"/>
  <c r="M1846" i="6"/>
  <c r="L1846" i="6"/>
  <c r="K1846" i="6"/>
  <c r="J1846" i="6"/>
  <c r="N1845" i="6"/>
  <c r="M1845" i="6"/>
  <c r="L1845" i="6"/>
  <c r="K1845" i="6"/>
  <c r="J1845" i="6"/>
  <c r="N1844" i="6"/>
  <c r="M1844" i="6"/>
  <c r="L1844" i="6"/>
  <c r="K1844" i="6"/>
  <c r="J1844" i="6"/>
  <c r="N1843" i="6"/>
  <c r="M1843" i="6"/>
  <c r="L1843" i="6"/>
  <c r="K1843" i="6"/>
  <c r="J1843" i="6"/>
  <c r="N1842" i="6"/>
  <c r="M1842" i="6"/>
  <c r="L1842" i="6"/>
  <c r="K1842" i="6"/>
  <c r="J1842" i="6"/>
  <c r="N1841" i="6"/>
  <c r="M1841" i="6"/>
  <c r="L1841" i="6"/>
  <c r="K1841" i="6"/>
  <c r="J1841" i="6"/>
  <c r="N1840" i="6"/>
  <c r="M1840" i="6"/>
  <c r="L1840" i="6"/>
  <c r="K1840" i="6"/>
  <c r="J1840" i="6"/>
  <c r="N1839" i="6"/>
  <c r="M1839" i="6"/>
  <c r="L1839" i="6"/>
  <c r="K1839" i="6"/>
  <c r="J1839" i="6"/>
  <c r="N1838" i="6"/>
  <c r="M1838" i="6"/>
  <c r="L1838" i="6"/>
  <c r="K1838" i="6"/>
  <c r="J1838" i="6"/>
  <c r="N1837" i="6"/>
  <c r="M1837" i="6"/>
  <c r="L1837" i="6"/>
  <c r="K1837" i="6"/>
  <c r="J1837" i="6"/>
  <c r="N1836" i="6"/>
  <c r="M1836" i="6"/>
  <c r="L1836" i="6"/>
  <c r="K1836" i="6"/>
  <c r="J1836" i="6"/>
  <c r="N1835" i="6"/>
  <c r="M1835" i="6"/>
  <c r="L1835" i="6"/>
  <c r="K1835" i="6"/>
  <c r="J1835" i="6"/>
  <c r="N1834" i="6"/>
  <c r="M1834" i="6"/>
  <c r="L1834" i="6"/>
  <c r="K1834" i="6"/>
  <c r="J1834" i="6"/>
  <c r="N1833" i="6"/>
  <c r="M1833" i="6"/>
  <c r="L1833" i="6"/>
  <c r="K1833" i="6"/>
  <c r="J1833" i="6"/>
  <c r="N1832" i="6"/>
  <c r="M1832" i="6"/>
  <c r="L1832" i="6"/>
  <c r="K1832" i="6"/>
  <c r="J1832" i="6"/>
  <c r="N1831" i="6"/>
  <c r="M1831" i="6"/>
  <c r="L1831" i="6"/>
  <c r="K1831" i="6"/>
  <c r="J1831" i="6"/>
  <c r="N1830" i="6"/>
  <c r="M1830" i="6"/>
  <c r="L1830" i="6"/>
  <c r="K1830" i="6"/>
  <c r="J1830" i="6"/>
  <c r="N1829" i="6"/>
  <c r="M1829" i="6"/>
  <c r="L1829" i="6"/>
  <c r="K1829" i="6"/>
  <c r="J1829" i="6"/>
  <c r="N1828" i="6"/>
  <c r="M1828" i="6"/>
  <c r="L1828" i="6"/>
  <c r="K1828" i="6"/>
  <c r="J1828" i="6"/>
  <c r="N1827" i="6"/>
  <c r="M1827" i="6"/>
  <c r="L1827" i="6"/>
  <c r="K1827" i="6"/>
  <c r="J1827" i="6"/>
  <c r="N1826" i="6"/>
  <c r="M1826" i="6"/>
  <c r="L1826" i="6"/>
  <c r="K1826" i="6"/>
  <c r="J1826" i="6"/>
  <c r="N1825" i="6"/>
  <c r="M1825" i="6"/>
  <c r="L1825" i="6"/>
  <c r="K1825" i="6"/>
  <c r="J1825" i="6"/>
  <c r="N1824" i="6"/>
  <c r="M1824" i="6"/>
  <c r="L1824" i="6"/>
  <c r="K1824" i="6"/>
  <c r="J1824" i="6"/>
  <c r="N1823" i="6"/>
  <c r="M1823" i="6"/>
  <c r="L1823" i="6"/>
  <c r="K1823" i="6"/>
  <c r="J1823" i="6"/>
  <c r="N1822" i="6"/>
  <c r="M1822" i="6"/>
  <c r="L1822" i="6"/>
  <c r="K1822" i="6"/>
  <c r="J1822" i="6"/>
  <c r="N1821" i="6"/>
  <c r="M1821" i="6"/>
  <c r="L1821" i="6"/>
  <c r="K1821" i="6"/>
  <c r="J1821" i="6"/>
  <c r="N1820" i="6"/>
  <c r="M1820" i="6"/>
  <c r="L1820" i="6"/>
  <c r="K1820" i="6"/>
  <c r="J1820" i="6"/>
  <c r="N1819" i="6"/>
  <c r="M1819" i="6"/>
  <c r="L1819" i="6"/>
  <c r="K1819" i="6"/>
  <c r="J1819" i="6"/>
  <c r="N1818" i="6"/>
  <c r="M1818" i="6"/>
  <c r="L1818" i="6"/>
  <c r="K1818" i="6"/>
  <c r="J1818" i="6"/>
  <c r="N1817" i="6"/>
  <c r="M1817" i="6"/>
  <c r="L1817" i="6"/>
  <c r="K1817" i="6"/>
  <c r="J1817" i="6"/>
  <c r="N1816" i="6"/>
  <c r="M1816" i="6"/>
  <c r="L1816" i="6"/>
  <c r="K1816" i="6"/>
  <c r="J1816" i="6"/>
  <c r="N1815" i="6"/>
  <c r="M1815" i="6"/>
  <c r="L1815" i="6"/>
  <c r="K1815" i="6"/>
  <c r="J1815" i="6"/>
  <c r="N1814" i="6"/>
  <c r="M1814" i="6"/>
  <c r="L1814" i="6"/>
  <c r="K1814" i="6"/>
  <c r="J1814" i="6"/>
  <c r="N1813" i="6"/>
  <c r="M1813" i="6"/>
  <c r="L1813" i="6"/>
  <c r="K1813" i="6"/>
  <c r="J1813" i="6"/>
  <c r="N1812" i="6"/>
  <c r="M1812" i="6"/>
  <c r="L1812" i="6"/>
  <c r="K1812" i="6"/>
  <c r="J1812" i="6"/>
  <c r="N1811" i="6"/>
  <c r="M1811" i="6"/>
  <c r="L1811" i="6"/>
  <c r="K1811" i="6"/>
  <c r="J1811" i="6"/>
  <c r="N1810" i="6"/>
  <c r="M1810" i="6"/>
  <c r="L1810" i="6"/>
  <c r="K1810" i="6"/>
  <c r="J1810" i="6"/>
  <c r="N1809" i="6"/>
  <c r="M1809" i="6"/>
  <c r="L1809" i="6"/>
  <c r="K1809" i="6"/>
  <c r="J1809" i="6"/>
  <c r="N1808" i="6"/>
  <c r="M1808" i="6"/>
  <c r="L1808" i="6"/>
  <c r="K1808" i="6"/>
  <c r="J1808" i="6"/>
  <c r="N1807" i="6"/>
  <c r="M1807" i="6"/>
  <c r="L1807" i="6"/>
  <c r="K1807" i="6"/>
  <c r="J1807" i="6"/>
  <c r="N1806" i="6"/>
  <c r="M1806" i="6"/>
  <c r="L1806" i="6"/>
  <c r="K1806" i="6"/>
  <c r="J1806" i="6"/>
  <c r="N1805" i="6"/>
  <c r="M1805" i="6"/>
  <c r="L1805" i="6"/>
  <c r="K1805" i="6"/>
  <c r="J1805" i="6"/>
  <c r="N1804" i="6"/>
  <c r="M1804" i="6"/>
  <c r="L1804" i="6"/>
  <c r="K1804" i="6"/>
  <c r="J1804" i="6"/>
  <c r="N1803" i="6"/>
  <c r="M1803" i="6"/>
  <c r="L1803" i="6"/>
  <c r="K1803" i="6"/>
  <c r="J1803" i="6"/>
  <c r="N1802" i="6"/>
  <c r="M1802" i="6"/>
  <c r="L1802" i="6"/>
  <c r="K1802" i="6"/>
  <c r="J1802" i="6"/>
  <c r="N1801" i="6"/>
  <c r="M1801" i="6"/>
  <c r="L1801" i="6"/>
  <c r="K1801" i="6"/>
  <c r="J1801" i="6"/>
  <c r="N1800" i="6"/>
  <c r="M1800" i="6"/>
  <c r="L1800" i="6"/>
  <c r="K1800" i="6"/>
  <c r="J1800" i="6"/>
  <c r="N1799" i="6"/>
  <c r="M1799" i="6"/>
  <c r="L1799" i="6"/>
  <c r="K1799" i="6"/>
  <c r="J1799" i="6"/>
  <c r="N1798" i="6"/>
  <c r="M1798" i="6"/>
  <c r="L1798" i="6"/>
  <c r="K1798" i="6"/>
  <c r="J1798" i="6"/>
  <c r="N1797" i="6"/>
  <c r="M1797" i="6"/>
  <c r="L1797" i="6"/>
  <c r="K1797" i="6"/>
  <c r="J1797" i="6"/>
  <c r="N1796" i="6"/>
  <c r="M1796" i="6"/>
  <c r="L1796" i="6"/>
  <c r="K1796" i="6"/>
  <c r="J1796" i="6"/>
  <c r="N1795" i="6"/>
  <c r="M1795" i="6"/>
  <c r="L1795" i="6"/>
  <c r="K1795" i="6"/>
  <c r="J1795" i="6"/>
  <c r="N1794" i="6"/>
  <c r="M1794" i="6"/>
  <c r="L1794" i="6"/>
  <c r="K1794" i="6"/>
  <c r="J1794" i="6"/>
  <c r="N1793" i="6"/>
  <c r="M1793" i="6"/>
  <c r="L1793" i="6"/>
  <c r="K1793" i="6"/>
  <c r="J1793" i="6"/>
  <c r="N1792" i="6"/>
  <c r="M1792" i="6"/>
  <c r="L1792" i="6"/>
  <c r="K1792" i="6"/>
  <c r="J1792" i="6"/>
  <c r="N1791" i="6"/>
  <c r="M1791" i="6"/>
  <c r="L1791" i="6"/>
  <c r="K1791" i="6"/>
  <c r="J1791" i="6"/>
  <c r="N1790" i="6"/>
  <c r="M1790" i="6"/>
  <c r="L1790" i="6"/>
  <c r="K1790" i="6"/>
  <c r="J1790" i="6"/>
  <c r="N1789" i="6"/>
  <c r="M1789" i="6"/>
  <c r="L1789" i="6"/>
  <c r="K1789" i="6"/>
  <c r="J1789" i="6"/>
  <c r="N1788" i="6"/>
  <c r="M1788" i="6"/>
  <c r="L1788" i="6"/>
  <c r="K1788" i="6"/>
  <c r="J1788" i="6"/>
  <c r="N1787" i="6"/>
  <c r="M1787" i="6"/>
  <c r="L1787" i="6"/>
  <c r="K1787" i="6"/>
  <c r="J1787" i="6"/>
  <c r="N1786" i="6"/>
  <c r="M1786" i="6"/>
  <c r="L1786" i="6"/>
  <c r="K1786" i="6"/>
  <c r="J1786" i="6"/>
  <c r="N1785" i="6"/>
  <c r="M1785" i="6"/>
  <c r="L1785" i="6"/>
  <c r="K1785" i="6"/>
  <c r="J1785" i="6"/>
  <c r="N1784" i="6"/>
  <c r="M1784" i="6"/>
  <c r="L1784" i="6"/>
  <c r="K1784" i="6"/>
  <c r="J1784" i="6"/>
  <c r="N1783" i="6"/>
  <c r="M1783" i="6"/>
  <c r="L1783" i="6"/>
  <c r="K1783" i="6"/>
  <c r="J1783" i="6"/>
  <c r="N1782" i="6"/>
  <c r="M1782" i="6"/>
  <c r="L1782" i="6"/>
  <c r="K1782" i="6"/>
  <c r="J1782" i="6"/>
  <c r="N1781" i="6"/>
  <c r="M1781" i="6"/>
  <c r="L1781" i="6"/>
  <c r="K1781" i="6"/>
  <c r="J1781" i="6"/>
  <c r="N1780" i="6"/>
  <c r="M1780" i="6"/>
  <c r="L1780" i="6"/>
  <c r="K1780" i="6"/>
  <c r="J1780" i="6"/>
  <c r="N1779" i="6"/>
  <c r="M1779" i="6"/>
  <c r="L1779" i="6"/>
  <c r="K1779" i="6"/>
  <c r="J1779" i="6"/>
  <c r="N1778" i="6"/>
  <c r="M1778" i="6"/>
  <c r="L1778" i="6"/>
  <c r="K1778" i="6"/>
  <c r="J1778" i="6"/>
  <c r="N1777" i="6"/>
  <c r="M1777" i="6"/>
  <c r="L1777" i="6"/>
  <c r="K1777" i="6"/>
  <c r="J1777" i="6"/>
  <c r="N1776" i="6"/>
  <c r="M1776" i="6"/>
  <c r="L1776" i="6"/>
  <c r="K1776" i="6"/>
  <c r="J1776" i="6"/>
  <c r="N1775" i="6"/>
  <c r="M1775" i="6"/>
  <c r="L1775" i="6"/>
  <c r="K1775" i="6"/>
  <c r="J1775" i="6"/>
  <c r="N1774" i="6"/>
  <c r="M1774" i="6"/>
  <c r="L1774" i="6"/>
  <c r="K1774" i="6"/>
  <c r="J1774" i="6"/>
  <c r="N1773" i="6"/>
  <c r="M1773" i="6"/>
  <c r="L1773" i="6"/>
  <c r="K1773" i="6"/>
  <c r="J1773" i="6"/>
  <c r="N1772" i="6"/>
  <c r="M1772" i="6"/>
  <c r="L1772" i="6"/>
  <c r="K1772" i="6"/>
  <c r="J1772" i="6"/>
  <c r="N1771" i="6"/>
  <c r="M1771" i="6"/>
  <c r="L1771" i="6"/>
  <c r="K1771" i="6"/>
  <c r="J1771" i="6"/>
  <c r="N1770" i="6"/>
  <c r="M1770" i="6"/>
  <c r="L1770" i="6"/>
  <c r="K1770" i="6"/>
  <c r="J1770" i="6"/>
  <c r="N1769" i="6"/>
  <c r="M1769" i="6"/>
  <c r="L1769" i="6"/>
  <c r="K1769" i="6"/>
  <c r="J1769" i="6"/>
  <c r="N1768" i="6"/>
  <c r="M1768" i="6"/>
  <c r="L1768" i="6"/>
  <c r="K1768" i="6"/>
  <c r="J1768" i="6"/>
  <c r="N1767" i="6"/>
  <c r="M1767" i="6"/>
  <c r="L1767" i="6"/>
  <c r="K1767" i="6"/>
  <c r="J1767" i="6"/>
  <c r="N1766" i="6"/>
  <c r="M1766" i="6"/>
  <c r="L1766" i="6"/>
  <c r="K1766" i="6"/>
  <c r="J1766" i="6"/>
  <c r="N1765" i="6"/>
  <c r="M1765" i="6"/>
  <c r="L1765" i="6"/>
  <c r="K1765" i="6"/>
  <c r="J1765" i="6"/>
  <c r="N1764" i="6"/>
  <c r="M1764" i="6"/>
  <c r="L1764" i="6"/>
  <c r="K1764" i="6"/>
  <c r="J1764" i="6"/>
  <c r="N1763" i="6"/>
  <c r="M1763" i="6"/>
  <c r="L1763" i="6"/>
  <c r="K1763" i="6"/>
  <c r="J1763" i="6"/>
  <c r="N1762" i="6"/>
  <c r="M1762" i="6"/>
  <c r="L1762" i="6"/>
  <c r="K1762" i="6"/>
  <c r="J1762" i="6"/>
  <c r="N1761" i="6"/>
  <c r="M1761" i="6"/>
  <c r="L1761" i="6"/>
  <c r="K1761" i="6"/>
  <c r="J1761" i="6"/>
  <c r="N1760" i="6"/>
  <c r="M1760" i="6"/>
  <c r="L1760" i="6"/>
  <c r="K1760" i="6"/>
  <c r="J1760" i="6"/>
  <c r="N1759" i="6"/>
  <c r="M1759" i="6"/>
  <c r="L1759" i="6"/>
  <c r="K1759" i="6"/>
  <c r="J1759" i="6"/>
  <c r="N1758" i="6"/>
  <c r="M1758" i="6"/>
  <c r="L1758" i="6"/>
  <c r="K1758" i="6"/>
  <c r="J1758" i="6"/>
  <c r="N1757" i="6"/>
  <c r="H1757" i="6"/>
  <c r="L1757" i="6" s="1"/>
  <c r="H1756" i="6"/>
  <c r="J1756" i="6" s="1"/>
  <c r="H1755" i="6"/>
  <c r="H1754" i="6"/>
  <c r="N1754" i="6" s="1"/>
  <c r="H1753" i="6"/>
  <c r="L1753" i="6" s="1"/>
  <c r="H1752" i="6"/>
  <c r="J1752" i="6" s="1"/>
  <c r="H1751" i="6"/>
  <c r="H1750" i="6"/>
  <c r="N1750" i="6" s="1"/>
  <c r="H1749" i="6"/>
  <c r="L1749" i="6" s="1"/>
  <c r="H1748" i="6"/>
  <c r="J1748" i="6" s="1"/>
  <c r="H1747" i="6"/>
  <c r="H1746" i="6"/>
  <c r="N1746" i="6" s="1"/>
  <c r="H1745" i="6"/>
  <c r="L1745" i="6" s="1"/>
  <c r="H1744" i="6"/>
  <c r="J1744" i="6" s="1"/>
  <c r="H1743" i="6"/>
  <c r="M1743" i="6" s="1"/>
  <c r="H1742" i="6"/>
  <c r="N1742" i="6" s="1"/>
  <c r="H1741" i="6"/>
  <c r="N1741" i="6" s="1"/>
  <c r="H1740" i="6"/>
  <c r="J1740" i="6" s="1"/>
  <c r="H1739" i="6"/>
  <c r="H1738" i="6"/>
  <c r="N1738" i="6" s="1"/>
  <c r="H1737" i="6"/>
  <c r="N1737" i="6" s="1"/>
  <c r="H1736" i="6"/>
  <c r="J1736" i="6" s="1"/>
  <c r="H1735" i="6"/>
  <c r="M1735" i="6" s="1"/>
  <c r="H1734" i="6"/>
  <c r="N1734" i="6" s="1"/>
  <c r="H1733" i="6"/>
  <c r="N1733" i="6" s="1"/>
  <c r="H1732" i="6"/>
  <c r="L1732" i="6" s="1"/>
  <c r="H1731" i="6"/>
  <c r="M1731" i="6" s="1"/>
  <c r="H1730" i="6"/>
  <c r="N1730" i="6" s="1"/>
  <c r="H1729" i="6"/>
  <c r="N1729" i="6" s="1"/>
  <c r="H1728" i="6"/>
  <c r="H1727" i="6"/>
  <c r="M1727" i="6" s="1"/>
  <c r="H1726" i="6"/>
  <c r="M1726" i="6" s="1"/>
  <c r="H1725" i="6"/>
  <c r="H1724" i="6"/>
  <c r="K1724" i="6" s="1"/>
  <c r="H1723" i="6"/>
  <c r="H1722" i="6"/>
  <c r="H1721" i="6"/>
  <c r="K1721" i="6" s="1"/>
  <c r="H1720" i="6"/>
  <c r="K1720" i="6" s="1"/>
  <c r="H1719" i="6"/>
  <c r="K1719" i="6" s="1"/>
  <c r="H1718" i="6"/>
  <c r="K1718" i="6" s="1"/>
  <c r="H1717" i="6"/>
  <c r="N1717" i="6" s="1"/>
  <c r="H1716" i="6"/>
  <c r="M1716" i="6" s="1"/>
  <c r="H1715" i="6"/>
  <c r="M1715" i="6" s="1"/>
  <c r="H1714" i="6"/>
  <c r="M1714" i="6" s="1"/>
  <c r="H1713" i="6"/>
  <c r="M1713" i="6" s="1"/>
  <c r="H1712" i="6"/>
  <c r="L1712" i="6" s="1"/>
  <c r="H1711" i="6"/>
  <c r="K1711" i="6" s="1"/>
  <c r="H1710" i="6"/>
  <c r="H1709" i="6"/>
  <c r="N1709" i="6" s="1"/>
  <c r="H1708" i="6"/>
  <c r="H1707" i="6"/>
  <c r="J1707" i="6" s="1"/>
  <c r="H1706" i="6"/>
  <c r="M1706" i="6" s="1"/>
  <c r="H1705" i="6"/>
  <c r="N1705" i="6" s="1"/>
  <c r="H1704" i="6"/>
  <c r="K1704" i="6" s="1"/>
  <c r="H1703" i="6"/>
  <c r="J1703" i="6" s="1"/>
  <c r="H1702" i="6"/>
  <c r="H1701" i="6"/>
  <c r="N1701" i="6" s="1"/>
  <c r="H1700" i="6"/>
  <c r="M1700" i="6" s="1"/>
  <c r="H1699" i="6"/>
  <c r="M1699" i="6" s="1"/>
  <c r="H1698" i="6"/>
  <c r="M1698" i="6" s="1"/>
  <c r="H1697" i="6"/>
  <c r="M1697" i="6" s="1"/>
  <c r="H1696" i="6"/>
  <c r="L1696" i="6" s="1"/>
  <c r="H1695" i="6"/>
  <c r="K1695" i="6" s="1"/>
  <c r="H1694" i="6"/>
  <c r="K1694" i="6" s="1"/>
  <c r="H1693" i="6"/>
  <c r="H1692" i="6"/>
  <c r="M1692" i="6" s="1"/>
  <c r="H1691" i="6"/>
  <c r="N1691" i="6" s="1"/>
  <c r="H1690" i="6"/>
  <c r="N1690" i="6" s="1"/>
  <c r="H1689" i="6"/>
  <c r="J1689" i="6" s="1"/>
  <c r="H1688" i="6"/>
  <c r="L1688" i="6" s="1"/>
  <c r="H1687" i="6"/>
  <c r="N1687" i="6" s="1"/>
  <c r="H1686" i="6"/>
  <c r="N1686" i="6" s="1"/>
  <c r="H1685" i="6"/>
  <c r="J1685" i="6" s="1"/>
  <c r="H1684" i="6"/>
  <c r="L1684" i="6" s="1"/>
  <c r="H1683" i="6"/>
  <c r="N1683" i="6" s="1"/>
  <c r="H1682" i="6"/>
  <c r="N1682" i="6" s="1"/>
  <c r="H1681" i="6"/>
  <c r="N1681" i="6" s="1"/>
  <c r="H1680" i="6"/>
  <c r="L1680" i="6" s="1"/>
  <c r="H1679" i="6"/>
  <c r="N1679" i="6" s="1"/>
  <c r="H1678" i="6"/>
  <c r="N1678" i="6" s="1"/>
  <c r="H1677" i="6"/>
  <c r="J1677" i="6" s="1"/>
  <c r="H1676" i="6"/>
  <c r="L1676" i="6" s="1"/>
  <c r="H1675" i="6"/>
  <c r="N1675" i="6" s="1"/>
  <c r="H1674" i="6"/>
  <c r="N1674" i="6" s="1"/>
  <c r="H1673" i="6"/>
  <c r="J1673" i="6" s="1"/>
  <c r="H1672" i="6"/>
  <c r="L1672" i="6" s="1"/>
  <c r="H1671" i="6"/>
  <c r="N1671" i="6" s="1"/>
  <c r="H1670" i="6"/>
  <c r="N1670" i="6" s="1"/>
  <c r="H1669" i="6"/>
  <c r="J1669" i="6" s="1"/>
  <c r="H1668" i="6"/>
  <c r="L1668" i="6" s="1"/>
  <c r="H1667" i="6"/>
  <c r="N1667" i="6" s="1"/>
  <c r="H1666" i="6"/>
  <c r="N1666" i="6" s="1"/>
  <c r="H1665" i="6"/>
  <c r="N1665" i="6" s="1"/>
  <c r="H1664" i="6"/>
  <c r="L1664" i="6" s="1"/>
  <c r="H1663" i="6"/>
  <c r="N1663" i="6" s="1"/>
  <c r="H1662" i="6"/>
  <c r="N1662" i="6" s="1"/>
  <c r="H1661" i="6"/>
  <c r="J1661" i="6" s="1"/>
  <c r="N1660" i="6"/>
  <c r="H1660" i="6"/>
  <c r="L1660" i="6" s="1"/>
  <c r="H1659" i="6"/>
  <c r="N1659" i="6" s="1"/>
  <c r="H1658" i="6"/>
  <c r="N1658" i="6" s="1"/>
  <c r="H1657" i="6"/>
  <c r="J1657" i="6" s="1"/>
  <c r="H1656" i="6"/>
  <c r="L1656" i="6" s="1"/>
  <c r="H1655" i="6"/>
  <c r="N1655" i="6" s="1"/>
  <c r="H1654" i="6"/>
  <c r="N1654" i="6" s="1"/>
  <c r="H1653" i="6"/>
  <c r="J1653" i="6" s="1"/>
  <c r="H1652" i="6"/>
  <c r="L1652" i="6" s="1"/>
  <c r="H1651" i="6"/>
  <c r="N1651" i="6" s="1"/>
  <c r="H1650" i="6"/>
  <c r="N1650" i="6" s="1"/>
  <c r="H1649" i="6"/>
  <c r="N1649" i="6" s="1"/>
  <c r="H1648" i="6"/>
  <c r="L1648" i="6" s="1"/>
  <c r="H1647" i="6"/>
  <c r="N1647" i="6" s="1"/>
  <c r="H1646" i="6"/>
  <c r="N1646" i="6" s="1"/>
  <c r="H1645" i="6"/>
  <c r="J1645" i="6" s="1"/>
  <c r="H1644" i="6"/>
  <c r="L1644" i="6" s="1"/>
  <c r="H1643" i="6"/>
  <c r="N1643" i="6" s="1"/>
  <c r="H1642" i="6"/>
  <c r="N1642" i="6" s="1"/>
  <c r="H1641" i="6"/>
  <c r="J1641" i="6" s="1"/>
  <c r="H1640" i="6"/>
  <c r="L1640" i="6" s="1"/>
  <c r="H1639" i="6"/>
  <c r="N1639" i="6" s="1"/>
  <c r="H1638" i="6"/>
  <c r="N1638" i="6" s="1"/>
  <c r="H1637" i="6"/>
  <c r="J1637" i="6" s="1"/>
  <c r="H1636" i="6"/>
  <c r="L1636" i="6" s="1"/>
  <c r="H1635" i="6"/>
  <c r="N1635" i="6" s="1"/>
  <c r="H1634" i="6"/>
  <c r="N1634" i="6" s="1"/>
  <c r="H1633" i="6"/>
  <c r="N1633" i="6" s="1"/>
  <c r="H1632" i="6"/>
  <c r="L1632" i="6" s="1"/>
  <c r="H1631" i="6"/>
  <c r="N1631" i="6" s="1"/>
  <c r="H1630" i="6"/>
  <c r="N1630" i="6" s="1"/>
  <c r="H1629" i="6"/>
  <c r="J1629" i="6" s="1"/>
  <c r="H1628" i="6"/>
  <c r="L1628" i="6" s="1"/>
  <c r="H1627" i="6"/>
  <c r="N1627" i="6" s="1"/>
  <c r="H1626" i="6"/>
  <c r="N1626" i="6" s="1"/>
  <c r="H1625" i="6"/>
  <c r="J1625" i="6" s="1"/>
  <c r="H1624" i="6"/>
  <c r="L1624" i="6" s="1"/>
  <c r="H1623" i="6"/>
  <c r="N1623" i="6" s="1"/>
  <c r="H1622" i="6"/>
  <c r="N1622" i="6" s="1"/>
  <c r="H1621" i="6"/>
  <c r="J1621" i="6" s="1"/>
  <c r="H1620" i="6"/>
  <c r="L1620" i="6" s="1"/>
  <c r="H1619" i="6"/>
  <c r="N1619" i="6" s="1"/>
  <c r="H1618" i="6"/>
  <c r="N1618" i="6" s="1"/>
  <c r="H1617" i="6"/>
  <c r="N1617" i="6" s="1"/>
  <c r="H1616" i="6"/>
  <c r="L1616" i="6" s="1"/>
  <c r="H1615" i="6"/>
  <c r="N1615" i="6" s="1"/>
  <c r="H1614" i="6"/>
  <c r="N1614" i="6" s="1"/>
  <c r="H1613" i="6"/>
  <c r="J1613" i="6" s="1"/>
  <c r="H1612" i="6"/>
  <c r="L1612" i="6" s="1"/>
  <c r="H1611" i="6"/>
  <c r="N1611" i="6" s="1"/>
  <c r="H1610" i="6"/>
  <c r="N1610" i="6" s="1"/>
  <c r="H1609" i="6"/>
  <c r="J1609" i="6" s="1"/>
  <c r="H1608" i="6"/>
  <c r="L1608" i="6" s="1"/>
  <c r="H1607" i="6"/>
  <c r="N1607" i="6" s="1"/>
  <c r="H1606" i="6"/>
  <c r="N1606" i="6" s="1"/>
  <c r="H1605" i="6"/>
  <c r="J1605" i="6" s="1"/>
  <c r="H1604" i="6"/>
  <c r="L1604" i="6" s="1"/>
  <c r="H1603" i="6"/>
  <c r="N1603" i="6" s="1"/>
  <c r="H1602" i="6"/>
  <c r="L1602" i="6" s="1"/>
  <c r="N1601" i="6"/>
  <c r="M1601" i="6"/>
  <c r="L1601" i="6"/>
  <c r="K1601" i="6"/>
  <c r="J1601" i="6"/>
  <c r="N1600" i="6"/>
  <c r="M1600" i="6"/>
  <c r="L1600" i="6"/>
  <c r="K1600" i="6"/>
  <c r="J1600" i="6"/>
  <c r="N1599" i="6"/>
  <c r="M1599" i="6"/>
  <c r="L1599" i="6"/>
  <c r="K1599" i="6"/>
  <c r="J1599" i="6"/>
  <c r="N1598" i="6"/>
  <c r="M1598" i="6"/>
  <c r="L1598" i="6"/>
  <c r="K1598" i="6"/>
  <c r="J1598" i="6"/>
  <c r="N1597" i="6"/>
  <c r="M1597" i="6"/>
  <c r="L1597" i="6"/>
  <c r="K1597" i="6"/>
  <c r="J1597" i="6"/>
  <c r="N1596" i="6"/>
  <c r="M1596" i="6"/>
  <c r="L1596" i="6"/>
  <c r="K1596" i="6"/>
  <c r="J1596" i="6"/>
  <c r="N1595" i="6"/>
  <c r="M1595" i="6"/>
  <c r="L1595" i="6"/>
  <c r="K1595" i="6"/>
  <c r="J1595" i="6"/>
  <c r="N1594" i="6"/>
  <c r="M1594" i="6"/>
  <c r="L1594" i="6"/>
  <c r="K1594" i="6"/>
  <c r="J1594" i="6"/>
  <c r="N1593" i="6"/>
  <c r="M1593" i="6"/>
  <c r="L1593" i="6"/>
  <c r="K1593" i="6"/>
  <c r="J1593" i="6"/>
  <c r="N1592" i="6"/>
  <c r="M1592" i="6"/>
  <c r="L1592" i="6"/>
  <c r="K1592" i="6"/>
  <c r="J1592" i="6"/>
  <c r="N1591" i="6"/>
  <c r="M1591" i="6"/>
  <c r="L1591" i="6"/>
  <c r="K1591" i="6"/>
  <c r="J1591" i="6"/>
  <c r="N1590" i="6"/>
  <c r="M1590" i="6"/>
  <c r="L1590" i="6"/>
  <c r="K1590" i="6"/>
  <c r="J1590" i="6"/>
  <c r="N1589" i="6"/>
  <c r="M1589" i="6"/>
  <c r="L1589" i="6"/>
  <c r="K1589" i="6"/>
  <c r="J1589" i="6"/>
  <c r="N1588" i="6"/>
  <c r="M1588" i="6"/>
  <c r="L1588" i="6"/>
  <c r="K1588" i="6"/>
  <c r="J1588" i="6"/>
  <c r="N1587" i="6"/>
  <c r="M1587" i="6"/>
  <c r="L1587" i="6"/>
  <c r="K1587" i="6"/>
  <c r="J1587" i="6"/>
  <c r="N1586" i="6"/>
  <c r="M1586" i="6"/>
  <c r="L1586" i="6"/>
  <c r="K1586" i="6"/>
  <c r="J1586" i="6"/>
  <c r="N1585" i="6"/>
  <c r="M1585" i="6"/>
  <c r="L1585" i="6"/>
  <c r="K1585" i="6"/>
  <c r="J1585" i="6"/>
  <c r="N1584" i="6"/>
  <c r="M1584" i="6"/>
  <c r="L1584" i="6"/>
  <c r="K1584" i="6"/>
  <c r="J1584" i="6"/>
  <c r="N1583" i="6"/>
  <c r="M1583" i="6"/>
  <c r="L1583" i="6"/>
  <c r="K1583" i="6"/>
  <c r="J1583" i="6"/>
  <c r="N1582" i="6"/>
  <c r="M1582" i="6"/>
  <c r="L1582" i="6"/>
  <c r="K1582" i="6"/>
  <c r="J1582" i="6"/>
  <c r="N1581" i="6"/>
  <c r="M1581" i="6"/>
  <c r="L1581" i="6"/>
  <c r="K1581" i="6"/>
  <c r="J1581" i="6"/>
  <c r="N1580" i="6"/>
  <c r="M1580" i="6"/>
  <c r="L1580" i="6"/>
  <c r="K1580" i="6"/>
  <c r="J1580" i="6"/>
  <c r="N1579" i="6"/>
  <c r="M1579" i="6"/>
  <c r="L1579" i="6"/>
  <c r="K1579" i="6"/>
  <c r="J1579" i="6"/>
  <c r="N1578" i="6"/>
  <c r="M1578" i="6"/>
  <c r="L1578" i="6"/>
  <c r="K1578" i="6"/>
  <c r="J1578" i="6"/>
  <c r="N1577" i="6"/>
  <c r="M1577" i="6"/>
  <c r="L1577" i="6"/>
  <c r="K1577" i="6"/>
  <c r="J1577" i="6"/>
  <c r="N1576" i="6"/>
  <c r="M1576" i="6"/>
  <c r="L1576" i="6"/>
  <c r="K1576" i="6"/>
  <c r="J1576" i="6"/>
  <c r="N1575" i="6"/>
  <c r="M1575" i="6"/>
  <c r="L1575" i="6"/>
  <c r="K1575" i="6"/>
  <c r="J1575" i="6"/>
  <c r="N1574" i="6"/>
  <c r="M1574" i="6"/>
  <c r="L1574" i="6"/>
  <c r="K1574" i="6"/>
  <c r="J1574" i="6"/>
  <c r="N1573" i="6"/>
  <c r="M1573" i="6"/>
  <c r="L1573" i="6"/>
  <c r="K1573" i="6"/>
  <c r="J1573" i="6"/>
  <c r="N1572" i="6"/>
  <c r="M1572" i="6"/>
  <c r="L1572" i="6"/>
  <c r="K1572" i="6"/>
  <c r="J1572" i="6"/>
  <c r="N1571" i="6"/>
  <c r="M1571" i="6"/>
  <c r="L1571" i="6"/>
  <c r="K1571" i="6"/>
  <c r="J1571" i="6"/>
  <c r="N1570" i="6"/>
  <c r="M1570" i="6"/>
  <c r="L1570" i="6"/>
  <c r="K1570" i="6"/>
  <c r="J1570" i="6"/>
  <c r="N1569" i="6"/>
  <c r="M1569" i="6"/>
  <c r="L1569" i="6"/>
  <c r="K1569" i="6"/>
  <c r="J1569" i="6"/>
  <c r="N1568" i="6"/>
  <c r="M1568" i="6"/>
  <c r="L1568" i="6"/>
  <c r="K1568" i="6"/>
  <c r="J1568" i="6"/>
  <c r="N1567" i="6"/>
  <c r="M1567" i="6"/>
  <c r="L1567" i="6"/>
  <c r="K1567" i="6"/>
  <c r="J1567" i="6"/>
  <c r="N1566" i="6"/>
  <c r="M1566" i="6"/>
  <c r="L1566" i="6"/>
  <c r="K1566" i="6"/>
  <c r="J1566" i="6"/>
  <c r="N1565" i="6"/>
  <c r="M1565" i="6"/>
  <c r="L1565" i="6"/>
  <c r="K1565" i="6"/>
  <c r="J1565" i="6"/>
  <c r="N1564" i="6"/>
  <c r="M1564" i="6"/>
  <c r="L1564" i="6"/>
  <c r="K1564" i="6"/>
  <c r="J1564" i="6"/>
  <c r="N1563" i="6"/>
  <c r="M1563" i="6"/>
  <c r="L1563" i="6"/>
  <c r="K1563" i="6"/>
  <c r="J1563" i="6"/>
  <c r="N1562" i="6"/>
  <c r="M1562" i="6"/>
  <c r="L1562" i="6"/>
  <c r="K1562" i="6"/>
  <c r="J1562" i="6"/>
  <c r="N1561" i="6"/>
  <c r="M1561" i="6"/>
  <c r="L1561" i="6"/>
  <c r="K1561" i="6"/>
  <c r="J1561" i="6"/>
  <c r="N1560" i="6"/>
  <c r="M1560" i="6"/>
  <c r="L1560" i="6"/>
  <c r="K1560" i="6"/>
  <c r="J1560" i="6"/>
  <c r="N1559" i="6"/>
  <c r="M1559" i="6"/>
  <c r="L1559" i="6"/>
  <c r="K1559" i="6"/>
  <c r="J1559" i="6"/>
  <c r="N1558" i="6"/>
  <c r="M1558" i="6"/>
  <c r="L1558" i="6"/>
  <c r="K1558" i="6"/>
  <c r="J1558" i="6"/>
  <c r="N1557" i="6"/>
  <c r="M1557" i="6"/>
  <c r="L1557" i="6"/>
  <c r="K1557" i="6"/>
  <c r="J1557" i="6"/>
  <c r="N1556" i="6"/>
  <c r="M1556" i="6"/>
  <c r="L1556" i="6"/>
  <c r="K1556" i="6"/>
  <c r="J1556" i="6"/>
  <c r="N1555" i="6"/>
  <c r="M1555" i="6"/>
  <c r="L1555" i="6"/>
  <c r="K1555" i="6"/>
  <c r="J1555" i="6"/>
  <c r="N1554" i="6"/>
  <c r="M1554" i="6"/>
  <c r="L1554" i="6"/>
  <c r="K1554" i="6"/>
  <c r="J1554" i="6"/>
  <c r="N1553" i="6"/>
  <c r="M1553" i="6"/>
  <c r="L1553" i="6"/>
  <c r="K1553" i="6"/>
  <c r="J1553" i="6"/>
  <c r="N1552" i="6"/>
  <c r="M1552" i="6"/>
  <c r="L1552" i="6"/>
  <c r="K1552" i="6"/>
  <c r="J1552" i="6"/>
  <c r="N1551" i="6"/>
  <c r="M1551" i="6"/>
  <c r="L1551" i="6"/>
  <c r="K1551" i="6"/>
  <c r="J1551" i="6"/>
  <c r="N1550" i="6"/>
  <c r="M1550" i="6"/>
  <c r="L1550" i="6"/>
  <c r="K1550" i="6"/>
  <c r="J1550" i="6"/>
  <c r="N1549" i="6"/>
  <c r="M1549" i="6"/>
  <c r="L1549" i="6"/>
  <c r="K1549" i="6"/>
  <c r="J1549" i="6"/>
  <c r="N1548" i="6"/>
  <c r="M1548" i="6"/>
  <c r="L1548" i="6"/>
  <c r="K1548" i="6"/>
  <c r="J1548" i="6"/>
  <c r="N1547" i="6"/>
  <c r="M1547" i="6"/>
  <c r="L1547" i="6"/>
  <c r="K1547" i="6"/>
  <c r="J1547" i="6"/>
  <c r="N1546" i="6"/>
  <c r="M1546" i="6"/>
  <c r="L1546" i="6"/>
  <c r="K1546" i="6"/>
  <c r="J1546" i="6"/>
  <c r="N1545" i="6"/>
  <c r="M1545" i="6"/>
  <c r="L1545" i="6"/>
  <c r="K1545" i="6"/>
  <c r="J1545" i="6"/>
  <c r="N1544" i="6"/>
  <c r="M1544" i="6"/>
  <c r="L1544" i="6"/>
  <c r="K1544" i="6"/>
  <c r="J1544" i="6"/>
  <c r="N1543" i="6"/>
  <c r="M1543" i="6"/>
  <c r="L1543" i="6"/>
  <c r="K1543" i="6"/>
  <c r="J1543" i="6"/>
  <c r="N1542" i="6"/>
  <c r="M1542" i="6"/>
  <c r="L1542" i="6"/>
  <c r="K1542" i="6"/>
  <c r="J1542" i="6"/>
  <c r="N1541" i="6"/>
  <c r="M1541" i="6"/>
  <c r="L1541" i="6"/>
  <c r="K1541" i="6"/>
  <c r="J1541" i="6"/>
  <c r="N1540" i="6"/>
  <c r="M1540" i="6"/>
  <c r="L1540" i="6"/>
  <c r="K1540" i="6"/>
  <c r="J1540" i="6"/>
  <c r="N1539" i="6"/>
  <c r="M1539" i="6"/>
  <c r="L1539" i="6"/>
  <c r="K1539" i="6"/>
  <c r="J1539" i="6"/>
  <c r="N1538" i="6"/>
  <c r="M1538" i="6"/>
  <c r="L1538" i="6"/>
  <c r="K1538" i="6"/>
  <c r="J1538" i="6"/>
  <c r="N1537" i="6"/>
  <c r="M1537" i="6"/>
  <c r="L1537" i="6"/>
  <c r="K1537" i="6"/>
  <c r="J1537" i="6"/>
  <c r="N1536" i="6"/>
  <c r="M1536" i="6"/>
  <c r="L1536" i="6"/>
  <c r="K1536" i="6"/>
  <c r="J1536" i="6"/>
  <c r="N1535" i="6"/>
  <c r="M1535" i="6"/>
  <c r="L1535" i="6"/>
  <c r="K1535" i="6"/>
  <c r="J1535" i="6"/>
  <c r="N1534" i="6"/>
  <c r="M1534" i="6"/>
  <c r="L1534" i="6"/>
  <c r="K1534" i="6"/>
  <c r="J1534" i="6"/>
  <c r="N1533" i="6"/>
  <c r="M1533" i="6"/>
  <c r="L1533" i="6"/>
  <c r="K1533" i="6"/>
  <c r="J1533" i="6"/>
  <c r="N1532" i="6"/>
  <c r="M1532" i="6"/>
  <c r="L1532" i="6"/>
  <c r="K1532" i="6"/>
  <c r="J1532" i="6"/>
  <c r="N1531" i="6"/>
  <c r="M1531" i="6"/>
  <c r="L1531" i="6"/>
  <c r="K1531" i="6"/>
  <c r="J1531" i="6"/>
  <c r="N1530" i="6"/>
  <c r="M1530" i="6"/>
  <c r="L1530" i="6"/>
  <c r="K1530" i="6"/>
  <c r="J1530" i="6"/>
  <c r="N1529" i="6"/>
  <c r="M1529" i="6"/>
  <c r="L1529" i="6"/>
  <c r="K1529" i="6"/>
  <c r="J1529" i="6"/>
  <c r="N1528" i="6"/>
  <c r="M1528" i="6"/>
  <c r="L1528" i="6"/>
  <c r="K1528" i="6"/>
  <c r="J1528" i="6"/>
  <c r="N1527" i="6"/>
  <c r="M1527" i="6"/>
  <c r="L1527" i="6"/>
  <c r="K1527" i="6"/>
  <c r="J1527" i="6"/>
  <c r="N1526" i="6"/>
  <c r="M1526" i="6"/>
  <c r="L1526" i="6"/>
  <c r="K1526" i="6"/>
  <c r="J1526" i="6"/>
  <c r="N1525" i="6"/>
  <c r="M1525" i="6"/>
  <c r="L1525" i="6"/>
  <c r="K1525" i="6"/>
  <c r="J1525" i="6"/>
  <c r="N1524" i="6"/>
  <c r="M1524" i="6"/>
  <c r="L1524" i="6"/>
  <c r="K1524" i="6"/>
  <c r="J1524" i="6"/>
  <c r="N1523" i="6"/>
  <c r="M1523" i="6"/>
  <c r="L1523" i="6"/>
  <c r="K1523" i="6"/>
  <c r="J1523" i="6"/>
  <c r="N1522" i="6"/>
  <c r="M1522" i="6"/>
  <c r="L1522" i="6"/>
  <c r="K1522" i="6"/>
  <c r="J1522" i="6"/>
  <c r="N1521" i="6"/>
  <c r="M1521" i="6"/>
  <c r="L1521" i="6"/>
  <c r="K1521" i="6"/>
  <c r="J1521" i="6"/>
  <c r="N1520" i="6"/>
  <c r="M1520" i="6"/>
  <c r="L1520" i="6"/>
  <c r="K1520" i="6"/>
  <c r="J1520" i="6"/>
  <c r="N1519" i="6"/>
  <c r="M1519" i="6"/>
  <c r="L1519" i="6"/>
  <c r="K1519" i="6"/>
  <c r="J1519" i="6"/>
  <c r="N1518" i="6"/>
  <c r="M1518" i="6"/>
  <c r="L1518" i="6"/>
  <c r="K1518" i="6"/>
  <c r="J1518" i="6"/>
  <c r="N1517" i="6"/>
  <c r="M1517" i="6"/>
  <c r="L1517" i="6"/>
  <c r="K1517" i="6"/>
  <c r="J1517" i="6"/>
  <c r="N1516" i="6"/>
  <c r="M1516" i="6"/>
  <c r="L1516" i="6"/>
  <c r="K1516" i="6"/>
  <c r="J1516" i="6"/>
  <c r="N1515" i="6"/>
  <c r="M1515" i="6"/>
  <c r="L1515" i="6"/>
  <c r="K1515" i="6"/>
  <c r="J1515" i="6"/>
  <c r="N1514" i="6"/>
  <c r="M1514" i="6"/>
  <c r="L1514" i="6"/>
  <c r="K1514" i="6"/>
  <c r="J1514" i="6"/>
  <c r="N1513" i="6"/>
  <c r="M1513" i="6"/>
  <c r="L1513" i="6"/>
  <c r="K1513" i="6"/>
  <c r="J1513" i="6"/>
  <c r="N1512" i="6"/>
  <c r="M1512" i="6"/>
  <c r="L1512" i="6"/>
  <c r="K1512" i="6"/>
  <c r="J1512" i="6"/>
  <c r="N1511" i="6"/>
  <c r="M1511" i="6"/>
  <c r="L1511" i="6"/>
  <c r="K1511" i="6"/>
  <c r="J1511" i="6"/>
  <c r="N1510" i="6"/>
  <c r="M1510" i="6"/>
  <c r="L1510" i="6"/>
  <c r="K1510" i="6"/>
  <c r="J1510" i="6"/>
  <c r="N1509" i="6"/>
  <c r="M1509" i="6"/>
  <c r="L1509" i="6"/>
  <c r="K1509" i="6"/>
  <c r="J1509" i="6"/>
  <c r="N1508" i="6"/>
  <c r="M1508" i="6"/>
  <c r="L1508" i="6"/>
  <c r="K1508" i="6"/>
  <c r="J1508" i="6"/>
  <c r="N1507" i="6"/>
  <c r="M1507" i="6"/>
  <c r="L1507" i="6"/>
  <c r="K1507" i="6"/>
  <c r="J1507" i="6"/>
  <c r="N1506" i="6"/>
  <c r="M1506" i="6"/>
  <c r="L1506" i="6"/>
  <c r="K1506" i="6"/>
  <c r="J1506" i="6"/>
  <c r="N1505" i="6"/>
  <c r="M1505" i="6"/>
  <c r="L1505" i="6"/>
  <c r="K1505" i="6"/>
  <c r="J1505" i="6"/>
  <c r="N1504" i="6"/>
  <c r="M1504" i="6"/>
  <c r="L1504" i="6"/>
  <c r="K1504" i="6"/>
  <c r="J1504" i="6"/>
  <c r="N1503" i="6"/>
  <c r="M1503" i="6"/>
  <c r="L1503" i="6"/>
  <c r="K1503" i="6"/>
  <c r="J1503" i="6"/>
  <c r="N1502" i="6"/>
  <c r="M1502" i="6"/>
  <c r="L1502" i="6"/>
  <c r="K1502" i="6"/>
  <c r="J1502" i="6"/>
  <c r="N1501" i="6"/>
  <c r="M1501" i="6"/>
  <c r="L1501" i="6"/>
  <c r="K1501" i="6"/>
  <c r="J1501" i="6"/>
  <c r="N1500" i="6"/>
  <c r="M1500" i="6"/>
  <c r="L1500" i="6"/>
  <c r="K1500" i="6"/>
  <c r="J1500" i="6"/>
  <c r="N1499" i="6"/>
  <c r="M1499" i="6"/>
  <c r="L1499" i="6"/>
  <c r="K1499" i="6"/>
  <c r="J1499" i="6"/>
  <c r="N1498" i="6"/>
  <c r="M1498" i="6"/>
  <c r="L1498" i="6"/>
  <c r="K1498" i="6"/>
  <c r="J1498" i="6"/>
  <c r="N1497" i="6"/>
  <c r="M1497" i="6"/>
  <c r="L1497" i="6"/>
  <c r="K1497" i="6"/>
  <c r="J1497" i="6"/>
  <c r="N1496" i="6"/>
  <c r="M1496" i="6"/>
  <c r="L1496" i="6"/>
  <c r="K1496" i="6"/>
  <c r="J1496" i="6"/>
  <c r="N1495" i="6"/>
  <c r="M1495" i="6"/>
  <c r="L1495" i="6"/>
  <c r="K1495" i="6"/>
  <c r="J1495" i="6"/>
  <c r="N1494" i="6"/>
  <c r="M1494" i="6"/>
  <c r="L1494" i="6"/>
  <c r="K1494" i="6"/>
  <c r="J1494" i="6"/>
  <c r="N1493" i="6"/>
  <c r="M1493" i="6"/>
  <c r="L1493" i="6"/>
  <c r="K1493" i="6"/>
  <c r="J1493" i="6"/>
  <c r="N1492" i="6"/>
  <c r="M1492" i="6"/>
  <c r="L1492" i="6"/>
  <c r="K1492" i="6"/>
  <c r="J1492" i="6"/>
  <c r="N1491" i="6"/>
  <c r="M1491" i="6"/>
  <c r="L1491" i="6"/>
  <c r="K1491" i="6"/>
  <c r="J1491" i="6"/>
  <c r="N1490" i="6"/>
  <c r="M1490" i="6"/>
  <c r="L1490" i="6"/>
  <c r="K1490" i="6"/>
  <c r="J1490" i="6"/>
  <c r="N1489" i="6"/>
  <c r="M1489" i="6"/>
  <c r="L1489" i="6"/>
  <c r="K1489" i="6"/>
  <c r="J1489" i="6"/>
  <c r="N1488" i="6"/>
  <c r="M1488" i="6"/>
  <c r="L1488" i="6"/>
  <c r="K1488" i="6"/>
  <c r="J1488" i="6"/>
  <c r="N1487" i="6"/>
  <c r="M1487" i="6"/>
  <c r="L1487" i="6"/>
  <c r="K1487" i="6"/>
  <c r="J1487" i="6"/>
  <c r="N1486" i="6"/>
  <c r="M1486" i="6"/>
  <c r="L1486" i="6"/>
  <c r="K1486" i="6"/>
  <c r="J1486" i="6"/>
  <c r="N1485" i="6"/>
  <c r="M1485" i="6"/>
  <c r="L1485" i="6"/>
  <c r="K1485" i="6"/>
  <c r="J1485" i="6"/>
  <c r="N1484" i="6"/>
  <c r="M1484" i="6"/>
  <c r="L1484" i="6"/>
  <c r="K1484" i="6"/>
  <c r="J1484" i="6"/>
  <c r="N1483" i="6"/>
  <c r="M1483" i="6"/>
  <c r="L1483" i="6"/>
  <c r="K1483" i="6"/>
  <c r="J1483" i="6"/>
  <c r="N1482" i="6"/>
  <c r="M1482" i="6"/>
  <c r="L1482" i="6"/>
  <c r="K1482" i="6"/>
  <c r="J1482" i="6"/>
  <c r="N1481" i="6"/>
  <c r="M1481" i="6"/>
  <c r="L1481" i="6"/>
  <c r="K1481" i="6"/>
  <c r="J1481" i="6"/>
  <c r="N1480" i="6"/>
  <c r="M1480" i="6"/>
  <c r="L1480" i="6"/>
  <c r="K1480" i="6"/>
  <c r="J1480" i="6"/>
  <c r="N1479" i="6"/>
  <c r="M1479" i="6"/>
  <c r="L1479" i="6"/>
  <c r="K1479" i="6"/>
  <c r="J1479" i="6"/>
  <c r="N1478" i="6"/>
  <c r="M1478" i="6"/>
  <c r="L1478" i="6"/>
  <c r="K1478" i="6"/>
  <c r="J1478" i="6"/>
  <c r="N1477" i="6"/>
  <c r="M1477" i="6"/>
  <c r="L1477" i="6"/>
  <c r="K1477" i="6"/>
  <c r="J1477" i="6"/>
  <c r="N1476" i="6"/>
  <c r="M1476" i="6"/>
  <c r="L1476" i="6"/>
  <c r="K1476" i="6"/>
  <c r="J1476" i="6"/>
  <c r="N1475" i="6"/>
  <c r="M1475" i="6"/>
  <c r="L1475" i="6"/>
  <c r="K1475" i="6"/>
  <c r="J1475" i="6"/>
  <c r="N1474" i="6"/>
  <c r="M1474" i="6"/>
  <c r="L1474" i="6"/>
  <c r="K1474" i="6"/>
  <c r="J1474" i="6"/>
  <c r="N1473" i="6"/>
  <c r="M1473" i="6"/>
  <c r="L1473" i="6"/>
  <c r="K1473" i="6"/>
  <c r="J1473" i="6"/>
  <c r="N1472" i="6"/>
  <c r="M1472" i="6"/>
  <c r="L1472" i="6"/>
  <c r="K1472" i="6"/>
  <c r="J1472" i="6"/>
  <c r="N1471" i="6"/>
  <c r="M1471" i="6"/>
  <c r="L1471" i="6"/>
  <c r="K1471" i="6"/>
  <c r="J1471" i="6"/>
  <c r="N1470" i="6"/>
  <c r="M1470" i="6"/>
  <c r="L1470" i="6"/>
  <c r="K1470" i="6"/>
  <c r="J1470" i="6"/>
  <c r="N1469" i="6"/>
  <c r="M1469" i="6"/>
  <c r="L1469" i="6"/>
  <c r="K1469" i="6"/>
  <c r="J1469" i="6"/>
  <c r="N1468" i="6"/>
  <c r="M1468" i="6"/>
  <c r="L1468" i="6"/>
  <c r="K1468" i="6"/>
  <c r="J1468" i="6"/>
  <c r="N1467" i="6"/>
  <c r="M1467" i="6"/>
  <c r="L1467" i="6"/>
  <c r="K1467" i="6"/>
  <c r="J1467" i="6"/>
  <c r="N1466" i="6"/>
  <c r="M1466" i="6"/>
  <c r="L1466" i="6"/>
  <c r="K1466" i="6"/>
  <c r="J1466" i="6"/>
  <c r="N1465" i="6"/>
  <c r="M1465" i="6"/>
  <c r="L1465" i="6"/>
  <c r="K1465" i="6"/>
  <c r="J1465" i="6"/>
  <c r="N1464" i="6"/>
  <c r="M1464" i="6"/>
  <c r="L1464" i="6"/>
  <c r="K1464" i="6"/>
  <c r="J1464" i="6"/>
  <c r="N1463" i="6"/>
  <c r="M1463" i="6"/>
  <c r="L1463" i="6"/>
  <c r="K1463" i="6"/>
  <c r="J1463" i="6"/>
  <c r="N1462" i="6"/>
  <c r="M1462" i="6"/>
  <c r="L1462" i="6"/>
  <c r="K1462" i="6"/>
  <c r="J1462" i="6"/>
  <c r="N1461" i="6"/>
  <c r="M1461" i="6"/>
  <c r="L1461" i="6"/>
  <c r="K1461" i="6"/>
  <c r="J1461" i="6"/>
  <c r="N1460" i="6"/>
  <c r="M1460" i="6"/>
  <c r="L1460" i="6"/>
  <c r="K1460" i="6"/>
  <c r="J1460" i="6"/>
  <c r="N1459" i="6"/>
  <c r="M1459" i="6"/>
  <c r="L1459" i="6"/>
  <c r="K1459" i="6"/>
  <c r="J1459" i="6"/>
  <c r="N1458" i="6"/>
  <c r="M1458" i="6"/>
  <c r="L1458" i="6"/>
  <c r="K1458" i="6"/>
  <c r="J1458" i="6"/>
  <c r="N1457" i="6"/>
  <c r="M1457" i="6"/>
  <c r="L1457" i="6"/>
  <c r="K1457" i="6"/>
  <c r="J1457" i="6"/>
  <c r="N1456" i="6"/>
  <c r="M1456" i="6"/>
  <c r="L1456" i="6"/>
  <c r="K1456" i="6"/>
  <c r="J1456" i="6"/>
  <c r="N1455" i="6"/>
  <c r="M1455" i="6"/>
  <c r="L1455" i="6"/>
  <c r="K1455" i="6"/>
  <c r="J1455" i="6"/>
  <c r="N1454" i="6"/>
  <c r="M1454" i="6"/>
  <c r="L1454" i="6"/>
  <c r="K1454" i="6"/>
  <c r="J1454" i="6"/>
  <c r="N1453" i="6"/>
  <c r="M1453" i="6"/>
  <c r="L1453" i="6"/>
  <c r="K1453" i="6"/>
  <c r="J1453" i="6"/>
  <c r="N1452" i="6"/>
  <c r="M1452" i="6"/>
  <c r="L1452" i="6"/>
  <c r="K1452" i="6"/>
  <c r="J1452" i="6"/>
  <c r="N1451" i="6"/>
  <c r="M1451" i="6"/>
  <c r="L1451" i="6"/>
  <c r="K1451" i="6"/>
  <c r="J1451" i="6"/>
  <c r="N1450" i="6"/>
  <c r="M1450" i="6"/>
  <c r="L1450" i="6"/>
  <c r="K1450" i="6"/>
  <c r="J1450" i="6"/>
  <c r="N1449" i="6"/>
  <c r="M1449" i="6"/>
  <c r="L1449" i="6"/>
  <c r="K1449" i="6"/>
  <c r="J1449" i="6"/>
  <c r="N1448" i="6"/>
  <c r="M1448" i="6"/>
  <c r="L1448" i="6"/>
  <c r="K1448" i="6"/>
  <c r="J1448" i="6"/>
  <c r="N1447" i="6"/>
  <c r="M1447" i="6"/>
  <c r="L1447" i="6"/>
  <c r="K1447" i="6"/>
  <c r="J1447" i="6"/>
  <c r="N1446" i="6"/>
  <c r="M1446" i="6"/>
  <c r="L1446" i="6"/>
  <c r="K1446" i="6"/>
  <c r="J1446" i="6"/>
  <c r="N1445" i="6"/>
  <c r="M1445" i="6"/>
  <c r="L1445" i="6"/>
  <c r="K1445" i="6"/>
  <c r="J1445" i="6"/>
  <c r="N1444" i="6"/>
  <c r="M1444" i="6"/>
  <c r="L1444" i="6"/>
  <c r="K1444" i="6"/>
  <c r="J1444" i="6"/>
  <c r="N1443" i="6"/>
  <c r="M1443" i="6"/>
  <c r="L1443" i="6"/>
  <c r="K1443" i="6"/>
  <c r="J1443" i="6"/>
  <c r="N1442" i="6"/>
  <c r="M1442" i="6"/>
  <c r="L1442" i="6"/>
  <c r="K1442" i="6"/>
  <c r="J1442" i="6"/>
  <c r="N1441" i="6"/>
  <c r="M1441" i="6"/>
  <c r="L1441" i="6"/>
  <c r="K1441" i="6"/>
  <c r="J1441" i="6"/>
  <c r="N1440" i="6"/>
  <c r="M1440" i="6"/>
  <c r="L1440" i="6"/>
  <c r="K1440" i="6"/>
  <c r="J1440" i="6"/>
  <c r="N1439" i="6"/>
  <c r="M1439" i="6"/>
  <c r="L1439" i="6"/>
  <c r="K1439" i="6"/>
  <c r="J1439" i="6"/>
  <c r="N1438" i="6"/>
  <c r="M1438" i="6"/>
  <c r="L1438" i="6"/>
  <c r="K1438" i="6"/>
  <c r="J1438" i="6"/>
  <c r="N1437" i="6"/>
  <c r="M1437" i="6"/>
  <c r="L1437" i="6"/>
  <c r="K1437" i="6"/>
  <c r="J1437" i="6"/>
  <c r="N1436" i="6"/>
  <c r="M1436" i="6"/>
  <c r="L1436" i="6"/>
  <c r="K1436" i="6"/>
  <c r="J1436" i="6"/>
  <c r="N1435" i="6"/>
  <c r="M1435" i="6"/>
  <c r="L1435" i="6"/>
  <c r="K1435" i="6"/>
  <c r="J1435" i="6"/>
  <c r="N1434" i="6"/>
  <c r="M1434" i="6"/>
  <c r="L1434" i="6"/>
  <c r="K1434" i="6"/>
  <c r="J1434" i="6"/>
  <c r="N1433" i="6"/>
  <c r="M1433" i="6"/>
  <c r="L1433" i="6"/>
  <c r="K1433" i="6"/>
  <c r="J1433" i="6"/>
  <c r="N1432" i="6"/>
  <c r="M1432" i="6"/>
  <c r="L1432" i="6"/>
  <c r="K1432" i="6"/>
  <c r="J1432" i="6"/>
  <c r="N1431" i="6"/>
  <c r="M1431" i="6"/>
  <c r="L1431" i="6"/>
  <c r="K1431" i="6"/>
  <c r="J1431" i="6"/>
  <c r="N1430" i="6"/>
  <c r="M1430" i="6"/>
  <c r="L1430" i="6"/>
  <c r="K1430" i="6"/>
  <c r="J1430" i="6"/>
  <c r="N1429" i="6"/>
  <c r="M1429" i="6"/>
  <c r="L1429" i="6"/>
  <c r="K1429" i="6"/>
  <c r="J1429" i="6"/>
  <c r="N1428" i="6"/>
  <c r="M1428" i="6"/>
  <c r="L1428" i="6"/>
  <c r="K1428" i="6"/>
  <c r="J1428" i="6"/>
  <c r="N1427" i="6"/>
  <c r="M1427" i="6"/>
  <c r="L1427" i="6"/>
  <c r="K1427" i="6"/>
  <c r="J1427" i="6"/>
  <c r="N1426" i="6"/>
  <c r="M1426" i="6"/>
  <c r="L1426" i="6"/>
  <c r="K1426" i="6"/>
  <c r="J1426" i="6"/>
  <c r="N1425" i="6"/>
  <c r="M1425" i="6"/>
  <c r="L1425" i="6"/>
  <c r="K1425" i="6"/>
  <c r="J1425" i="6"/>
  <c r="N1424" i="6"/>
  <c r="M1424" i="6"/>
  <c r="L1424" i="6"/>
  <c r="K1424" i="6"/>
  <c r="J1424" i="6"/>
  <c r="N1423" i="6"/>
  <c r="M1423" i="6"/>
  <c r="L1423" i="6"/>
  <c r="K1423" i="6"/>
  <c r="J1423" i="6"/>
  <c r="N1422" i="6"/>
  <c r="M1422" i="6"/>
  <c r="L1422" i="6"/>
  <c r="K1422" i="6"/>
  <c r="J1422" i="6"/>
  <c r="N1421" i="6"/>
  <c r="M1421" i="6"/>
  <c r="L1421" i="6"/>
  <c r="K1421" i="6"/>
  <c r="J1421" i="6"/>
  <c r="N1420" i="6"/>
  <c r="M1420" i="6"/>
  <c r="L1420" i="6"/>
  <c r="K1420" i="6"/>
  <c r="J1420" i="6"/>
  <c r="N1419" i="6"/>
  <c r="M1419" i="6"/>
  <c r="L1419" i="6"/>
  <c r="K1419" i="6"/>
  <c r="J1419" i="6"/>
  <c r="N1418" i="6"/>
  <c r="M1418" i="6"/>
  <c r="L1418" i="6"/>
  <c r="K1418" i="6"/>
  <c r="J1418" i="6"/>
  <c r="N1417" i="6"/>
  <c r="M1417" i="6"/>
  <c r="L1417" i="6"/>
  <c r="K1417" i="6"/>
  <c r="J1417" i="6"/>
  <c r="N1416" i="6"/>
  <c r="M1416" i="6"/>
  <c r="L1416" i="6"/>
  <c r="K1416" i="6"/>
  <c r="J1416" i="6"/>
  <c r="N1415" i="6"/>
  <c r="M1415" i="6"/>
  <c r="L1415" i="6"/>
  <c r="K1415" i="6"/>
  <c r="J1415" i="6"/>
  <c r="N1414" i="6"/>
  <c r="M1414" i="6"/>
  <c r="L1414" i="6"/>
  <c r="K1414" i="6"/>
  <c r="J1414" i="6"/>
  <c r="N1413" i="6"/>
  <c r="M1413" i="6"/>
  <c r="L1413" i="6"/>
  <c r="K1413" i="6"/>
  <c r="J1413" i="6"/>
  <c r="N1412" i="6"/>
  <c r="M1412" i="6"/>
  <c r="L1412" i="6"/>
  <c r="K1412" i="6"/>
  <c r="J1412" i="6"/>
  <c r="N1411" i="6"/>
  <c r="M1411" i="6"/>
  <c r="L1411" i="6"/>
  <c r="K1411" i="6"/>
  <c r="J1411" i="6"/>
  <c r="N1410" i="6"/>
  <c r="M1410" i="6"/>
  <c r="L1410" i="6"/>
  <c r="K1410" i="6"/>
  <c r="J1410" i="6"/>
  <c r="N1409" i="6"/>
  <c r="M1409" i="6"/>
  <c r="L1409" i="6"/>
  <c r="K1409" i="6"/>
  <c r="J1409" i="6"/>
  <c r="N1408" i="6"/>
  <c r="M1408" i="6"/>
  <c r="L1408" i="6"/>
  <c r="K1408" i="6"/>
  <c r="J1408" i="6"/>
  <c r="N1407" i="6"/>
  <c r="M1407" i="6"/>
  <c r="L1407" i="6"/>
  <c r="K1407" i="6"/>
  <c r="J1407" i="6"/>
  <c r="N1406" i="6"/>
  <c r="M1406" i="6"/>
  <c r="L1406" i="6"/>
  <c r="K1406" i="6"/>
  <c r="J1406" i="6"/>
  <c r="H1406" i="6"/>
  <c r="N1354" i="6"/>
  <c r="M1354" i="6"/>
  <c r="L1354" i="6"/>
  <c r="K1354" i="6"/>
  <c r="J1354" i="6"/>
  <c r="H1354" i="6"/>
  <c r="N1340" i="6"/>
  <c r="M1340" i="6"/>
  <c r="L1340" i="6"/>
  <c r="K1340" i="6"/>
  <c r="J1340" i="6"/>
  <c r="H1340" i="6"/>
  <c r="N1320" i="6"/>
  <c r="M1320" i="6"/>
  <c r="L1320" i="6"/>
  <c r="K1320" i="6"/>
  <c r="H1320" i="6"/>
  <c r="N1308" i="6"/>
  <c r="M1308" i="6"/>
  <c r="L1308" i="6"/>
  <c r="K1308" i="6"/>
  <c r="J1308" i="6"/>
  <c r="H1308" i="6"/>
  <c r="N1294" i="6"/>
  <c r="M1294" i="6"/>
  <c r="L1294" i="6"/>
  <c r="K1294" i="6"/>
  <c r="J1294" i="6"/>
  <c r="H1294" i="6"/>
  <c r="N1269" i="6"/>
  <c r="M1269" i="6"/>
  <c r="L1269" i="6"/>
  <c r="K1269" i="6"/>
  <c r="J1269" i="6"/>
  <c r="H1269" i="6"/>
  <c r="N1263" i="6"/>
  <c r="M1263" i="6"/>
  <c r="L1263" i="6"/>
  <c r="K1263" i="6"/>
  <c r="J1263" i="6"/>
  <c r="H1263" i="6"/>
  <c r="M1238" i="6"/>
  <c r="L1238" i="6"/>
  <c r="K1238" i="6"/>
  <c r="J1238" i="6"/>
  <c r="H1238" i="6"/>
  <c r="N1231" i="6"/>
  <c r="N1230" i="6"/>
  <c r="N1229" i="6"/>
  <c r="N1228" i="6"/>
  <c r="N1227" i="6"/>
  <c r="N1226" i="6"/>
  <c r="N1225" i="6"/>
  <c r="N1224" i="6"/>
  <c r="N1223" i="6"/>
  <c r="N1222" i="6"/>
  <c r="N1221" i="6"/>
  <c r="N1220" i="6"/>
  <c r="N1219" i="6"/>
  <c r="N1218" i="6"/>
  <c r="N1217" i="6"/>
  <c r="N1216" i="6"/>
  <c r="N1215" i="6"/>
  <c r="N1214" i="6"/>
  <c r="N1213" i="6"/>
  <c r="N1212" i="6"/>
  <c r="N1211" i="6"/>
  <c r="N1210" i="6"/>
  <c r="N1209" i="6"/>
  <c r="N1208" i="6"/>
  <c r="N1207" i="6"/>
  <c r="N1206" i="6"/>
  <c r="N1205" i="6"/>
  <c r="N1204" i="6"/>
  <c r="N1203" i="6"/>
  <c r="N1202" i="6"/>
  <c r="N1201" i="6"/>
  <c r="N1200" i="6"/>
  <c r="N1199" i="6"/>
  <c r="N1198" i="6"/>
  <c r="N1197" i="6"/>
  <c r="N1196" i="6"/>
  <c r="N1195" i="6"/>
  <c r="N1194" i="6"/>
  <c r="N1193" i="6"/>
  <c r="N1192" i="6"/>
  <c r="N1191" i="6"/>
  <c r="N1190" i="6"/>
  <c r="N1189" i="6"/>
  <c r="N1188" i="6"/>
  <c r="N1187" i="6"/>
  <c r="N1186" i="6"/>
  <c r="N1185" i="6"/>
  <c r="N1184" i="6"/>
  <c r="N1183" i="6"/>
  <c r="N1182" i="6"/>
  <c r="N1181" i="6"/>
  <c r="N1180" i="6"/>
  <c r="N1179" i="6"/>
  <c r="N1178" i="6"/>
  <c r="N1177" i="6"/>
  <c r="N1176" i="6"/>
  <c r="N1175" i="6"/>
  <c r="N1174" i="6"/>
  <c r="N1173" i="6"/>
  <c r="N1172" i="6"/>
  <c r="N1171" i="6"/>
  <c r="N1170" i="6"/>
  <c r="N1169" i="6"/>
  <c r="N1168" i="6"/>
  <c r="N1167" i="6"/>
  <c r="N1166" i="6"/>
  <c r="N1165" i="6"/>
  <c r="N1164" i="6"/>
  <c r="N1163" i="6"/>
  <c r="M1162" i="6"/>
  <c r="L1162" i="6"/>
  <c r="K1162" i="6"/>
  <c r="J1162" i="6"/>
  <c r="H1162" i="6"/>
  <c r="N1110" i="6"/>
  <c r="N1109" i="6"/>
  <c r="N1108" i="6"/>
  <c r="N1107" i="6"/>
  <c r="N1106" i="6"/>
  <c r="N1105" i="6"/>
  <c r="N1104" i="6"/>
  <c r="N1103" i="6"/>
  <c r="N1102" i="6"/>
  <c r="N1101" i="6"/>
  <c r="N1100" i="6"/>
  <c r="N1099" i="6"/>
  <c r="N1098" i="6"/>
  <c r="N1097" i="6"/>
  <c r="N1096" i="6"/>
  <c r="N1095" i="6"/>
  <c r="N1094" i="6"/>
  <c r="N1093" i="6"/>
  <c r="N1092" i="6"/>
  <c r="N1091" i="6"/>
  <c r="N1090" i="6"/>
  <c r="N1089" i="6"/>
  <c r="N1088" i="6"/>
  <c r="N1087" i="6"/>
  <c r="N1086" i="6"/>
  <c r="N1085" i="6"/>
  <c r="N1084" i="6"/>
  <c r="N1083" i="6"/>
  <c r="N1082" i="6"/>
  <c r="N1081" i="6"/>
  <c r="N1080" i="6"/>
  <c r="N1079" i="6"/>
  <c r="N1078" i="6"/>
  <c r="N1077" i="6"/>
  <c r="N1076" i="6"/>
  <c r="N1075" i="6"/>
  <c r="N1074" i="6"/>
  <c r="N1073" i="6"/>
  <c r="N1072" i="6"/>
  <c r="N1071" i="6"/>
  <c r="N1070" i="6"/>
  <c r="N1069" i="6"/>
  <c r="N1068" i="6"/>
  <c r="N1067" i="6"/>
  <c r="N1066" i="6"/>
  <c r="N1065" i="6"/>
  <c r="N1064" i="6"/>
  <c r="N1063" i="6"/>
  <c r="N1062" i="6"/>
  <c r="N1061" i="6"/>
  <c r="N1060" i="6"/>
  <c r="N1059" i="6"/>
  <c r="N1058" i="6"/>
  <c r="N1057" i="6"/>
  <c r="N1056" i="6"/>
  <c r="N1055" i="6"/>
  <c r="N1054" i="6"/>
  <c r="N1053" i="6"/>
  <c r="N1052" i="6"/>
  <c r="N1051" i="6"/>
  <c r="N1050" i="6"/>
  <c r="N1049" i="6"/>
  <c r="N1048" i="6"/>
  <c r="N1047" i="6"/>
  <c r="N1046" i="6"/>
  <c r="N1045" i="6"/>
  <c r="N1044" i="6"/>
  <c r="N1043" i="6"/>
  <c r="N1042" i="6"/>
  <c r="N1041" i="6"/>
  <c r="N1040" i="6"/>
  <c r="N1039" i="6"/>
  <c r="N1038" i="6"/>
  <c r="N1037" i="6"/>
  <c r="N1036" i="6"/>
  <c r="N1035" i="6"/>
  <c r="N1034" i="6"/>
  <c r="N1033" i="6"/>
  <c r="N1032" i="6"/>
  <c r="N1031" i="6"/>
  <c r="N1030" i="6"/>
  <c r="N1029" i="6"/>
  <c r="N1028" i="6"/>
  <c r="N1027" i="6"/>
  <c r="N1026" i="6"/>
  <c r="N1025" i="6"/>
  <c r="N1024" i="6"/>
  <c r="N1023" i="6"/>
  <c r="N1022" i="6"/>
  <c r="N1021" i="6"/>
  <c r="N1020" i="6"/>
  <c r="N1019" i="6"/>
  <c r="N1018" i="6"/>
  <c r="N1017" i="6"/>
  <c r="N1016" i="6"/>
  <c r="N1015" i="6"/>
  <c r="N1014" i="6"/>
  <c r="N1013" i="6"/>
  <c r="N1012" i="6"/>
  <c r="N1011" i="6"/>
  <c r="N1010" i="6"/>
  <c r="N1009" i="6"/>
  <c r="N1008" i="6"/>
  <c r="N1007" i="6"/>
  <c r="N1006" i="6"/>
  <c r="N1005" i="6"/>
  <c r="N1004" i="6"/>
  <c r="N1003" i="6"/>
  <c r="N1002" i="6"/>
  <c r="N1001" i="6"/>
  <c r="N1000" i="6"/>
  <c r="N999" i="6"/>
  <c r="N998" i="6"/>
  <c r="N997" i="6"/>
  <c r="N996" i="6"/>
  <c r="N995" i="6"/>
  <c r="N994" i="6"/>
  <c r="N993" i="6"/>
  <c r="N992" i="6"/>
  <c r="N991" i="6"/>
  <c r="N990" i="6"/>
  <c r="N989" i="6"/>
  <c r="N988" i="6"/>
  <c r="N987" i="6"/>
  <c r="N986" i="6"/>
  <c r="N985" i="6"/>
  <c r="N984" i="6"/>
  <c r="N983" i="6"/>
  <c r="N982" i="6"/>
  <c r="N981" i="6"/>
  <c r="N980" i="6"/>
  <c r="N979" i="6"/>
  <c r="N978" i="6"/>
  <c r="N977" i="6"/>
  <c r="N976" i="6"/>
  <c r="N975" i="6"/>
  <c r="N974" i="6"/>
  <c r="N973" i="6"/>
  <c r="N972" i="6"/>
  <c r="N971" i="6"/>
  <c r="N970" i="6"/>
  <c r="N969" i="6"/>
  <c r="N968" i="6"/>
  <c r="N967" i="6"/>
  <c r="N966" i="6"/>
  <c r="N965" i="6"/>
  <c r="N964" i="6"/>
  <c r="N963" i="6"/>
  <c r="N962" i="6"/>
  <c r="N961" i="6"/>
  <c r="N960" i="6"/>
  <c r="N959" i="6"/>
  <c r="N958" i="6"/>
  <c r="N957" i="6"/>
  <c r="N956" i="6"/>
  <c r="N955" i="6"/>
  <c r="N954" i="6"/>
  <c r="N953" i="6"/>
  <c r="N952" i="6"/>
  <c r="N951" i="6"/>
  <c r="N950" i="6"/>
  <c r="N949" i="6"/>
  <c r="N948" i="6"/>
  <c r="N947" i="6"/>
  <c r="N946" i="6"/>
  <c r="N945" i="6"/>
  <c r="N944" i="6"/>
  <c r="N943" i="6"/>
  <c r="N942" i="6"/>
  <c r="N941" i="6"/>
  <c r="N940" i="6"/>
  <c r="N939" i="6"/>
  <c r="N938" i="6"/>
  <c r="N937" i="6"/>
  <c r="N936" i="6"/>
  <c r="N935" i="6"/>
  <c r="N934" i="6"/>
  <c r="N933" i="6"/>
  <c r="N932" i="6"/>
  <c r="N931" i="6"/>
  <c r="N930" i="6"/>
  <c r="N929" i="6"/>
  <c r="N928" i="6"/>
  <c r="N927" i="6"/>
  <c r="N926" i="6"/>
  <c r="N925" i="6"/>
  <c r="N924" i="6"/>
  <c r="N923" i="6"/>
  <c r="N922" i="6"/>
  <c r="N921" i="6"/>
  <c r="N920" i="6"/>
  <c r="N919" i="6"/>
  <c r="N918" i="6"/>
  <c r="N917" i="6"/>
  <c r="N916" i="6"/>
  <c r="N915" i="6"/>
  <c r="N914" i="6"/>
  <c r="N913" i="6"/>
  <c r="N912" i="6"/>
  <c r="N911" i="6"/>
  <c r="N910" i="6"/>
  <c r="N909" i="6"/>
  <c r="N908" i="6"/>
  <c r="N907" i="6"/>
  <c r="N906" i="6"/>
  <c r="N905" i="6"/>
  <c r="N904" i="6"/>
  <c r="N903" i="6"/>
  <c r="N902" i="6"/>
  <c r="N901" i="6"/>
  <c r="N900" i="6"/>
  <c r="N899" i="6"/>
  <c r="N898" i="6"/>
  <c r="N897" i="6"/>
  <c r="N896" i="6"/>
  <c r="N895" i="6"/>
  <c r="N894" i="6"/>
  <c r="N893" i="6"/>
  <c r="N892" i="6"/>
  <c r="N891" i="6"/>
  <c r="N890" i="6"/>
  <c r="N889" i="6"/>
  <c r="N888" i="6"/>
  <c r="N887" i="6"/>
  <c r="N886" i="6"/>
  <c r="N885" i="6"/>
  <c r="N884" i="6"/>
  <c r="N883" i="6"/>
  <c r="N882" i="6"/>
  <c r="N881" i="6"/>
  <c r="N880" i="6"/>
  <c r="N879" i="6"/>
  <c r="N878" i="6"/>
  <c r="N877" i="6"/>
  <c r="N876" i="6"/>
  <c r="N875" i="6"/>
  <c r="N874" i="6"/>
  <c r="N873" i="6"/>
  <c r="N872" i="6"/>
  <c r="N871" i="6"/>
  <c r="N870" i="6"/>
  <c r="N869" i="6"/>
  <c r="N868" i="6"/>
  <c r="N867" i="6"/>
  <c r="N866" i="6"/>
  <c r="N865" i="6"/>
  <c r="N864" i="6"/>
  <c r="N863" i="6"/>
  <c r="N862" i="6"/>
  <c r="N861" i="6"/>
  <c r="N860" i="6"/>
  <c r="N859" i="6"/>
  <c r="N858" i="6"/>
  <c r="N857" i="6"/>
  <c r="N856" i="6"/>
  <c r="N855" i="6"/>
  <c r="N854" i="6"/>
  <c r="N853" i="6"/>
  <c r="N852" i="6"/>
  <c r="N851" i="6"/>
  <c r="N850" i="6"/>
  <c r="N849" i="6"/>
  <c r="N848" i="6"/>
  <c r="N847" i="6"/>
  <c r="N846" i="6"/>
  <c r="N845" i="6"/>
  <c r="N844" i="6"/>
  <c r="N843" i="6"/>
  <c r="N842" i="6"/>
  <c r="N841" i="6"/>
  <c r="N840" i="6"/>
  <c r="N839" i="6"/>
  <c r="N838" i="6"/>
  <c r="N837" i="6"/>
  <c r="N836" i="6"/>
  <c r="N835" i="6"/>
  <c r="N834" i="6"/>
  <c r="N833" i="6"/>
  <c r="N832" i="6"/>
  <c r="N831" i="6"/>
  <c r="N830" i="6"/>
  <c r="N829" i="6"/>
  <c r="N828" i="6"/>
  <c r="N827" i="6"/>
  <c r="N826" i="6"/>
  <c r="N825" i="6"/>
  <c r="N824" i="6"/>
  <c r="N823" i="6"/>
  <c r="N822" i="6"/>
  <c r="N821" i="6"/>
  <c r="N820" i="6"/>
  <c r="N819" i="6"/>
  <c r="N818" i="6"/>
  <c r="N817" i="6"/>
  <c r="N816" i="6"/>
  <c r="N815" i="6"/>
  <c r="N814" i="6"/>
  <c r="N813" i="6"/>
  <c r="N812" i="6"/>
  <c r="N811" i="6"/>
  <c r="N810" i="6"/>
  <c r="N809" i="6"/>
  <c r="N808" i="6"/>
  <c r="N807" i="6"/>
  <c r="N806" i="6"/>
  <c r="N805" i="6"/>
  <c r="N804" i="6"/>
  <c r="N803" i="6"/>
  <c r="N802" i="6"/>
  <c r="N801" i="6"/>
  <c r="N800" i="6"/>
  <c r="N799" i="6"/>
  <c r="N798" i="6"/>
  <c r="N797" i="6"/>
  <c r="N796" i="6"/>
  <c r="N795" i="6"/>
  <c r="N794" i="6"/>
  <c r="N793" i="6"/>
  <c r="N792" i="6"/>
  <c r="N791" i="6"/>
  <c r="N790" i="6"/>
  <c r="N789" i="6"/>
  <c r="N788" i="6"/>
  <c r="N787" i="6"/>
  <c r="N786" i="6"/>
  <c r="N785" i="6"/>
  <c r="N784" i="6"/>
  <c r="N783" i="6"/>
  <c r="N782" i="6"/>
  <c r="N781" i="6"/>
  <c r="N780" i="6"/>
  <c r="N779" i="6"/>
  <c r="N778" i="6"/>
  <c r="N777" i="6"/>
  <c r="N776" i="6"/>
  <c r="N775" i="6"/>
  <c r="N774" i="6"/>
  <c r="N773" i="6"/>
  <c r="N772" i="6"/>
  <c r="N771" i="6"/>
  <c r="N770" i="6"/>
  <c r="N769" i="6"/>
  <c r="N768" i="6"/>
  <c r="N767" i="6"/>
  <c r="N766" i="6"/>
  <c r="N765" i="6"/>
  <c r="N764" i="6"/>
  <c r="N763" i="6"/>
  <c r="N762" i="6"/>
  <c r="N761" i="6"/>
  <c r="N760" i="6"/>
  <c r="N759" i="6"/>
  <c r="N758" i="6"/>
  <c r="N757" i="6"/>
  <c r="N756" i="6"/>
  <c r="N755" i="6"/>
  <c r="N754" i="6"/>
  <c r="N753" i="6"/>
  <c r="N752" i="6"/>
  <c r="N751" i="6"/>
  <c r="N750" i="6"/>
  <c r="N749" i="6"/>
  <c r="N748" i="6"/>
  <c r="N747" i="6"/>
  <c r="N746" i="6"/>
  <c r="N745" i="6"/>
  <c r="N744" i="6"/>
  <c r="N743" i="6"/>
  <c r="N742" i="6"/>
  <c r="N741" i="6"/>
  <c r="N740" i="6"/>
  <c r="N739" i="6"/>
  <c r="N738" i="6"/>
  <c r="N737" i="6"/>
  <c r="N736" i="6"/>
  <c r="N735" i="6"/>
  <c r="N734" i="6"/>
  <c r="N733" i="6"/>
  <c r="N732" i="6"/>
  <c r="N731" i="6"/>
  <c r="N730" i="6"/>
  <c r="N729" i="6"/>
  <c r="N728" i="6"/>
  <c r="N727" i="6"/>
  <c r="N726" i="6"/>
  <c r="N725" i="6"/>
  <c r="N724" i="6"/>
  <c r="N723" i="6"/>
  <c r="N722" i="6"/>
  <c r="N721" i="6"/>
  <c r="N720" i="6"/>
  <c r="N719" i="6"/>
  <c r="N718" i="6"/>
  <c r="N717" i="6"/>
  <c r="N716" i="6"/>
  <c r="N715" i="6"/>
  <c r="N714" i="6"/>
  <c r="N713" i="6"/>
  <c r="N712" i="6"/>
  <c r="N711" i="6"/>
  <c r="N710" i="6"/>
  <c r="N709" i="6"/>
  <c r="N708" i="6"/>
  <c r="N707" i="6"/>
  <c r="N706" i="6"/>
  <c r="N705" i="6"/>
  <c r="N704" i="6"/>
  <c r="N703" i="6"/>
  <c r="N702" i="6"/>
  <c r="N701" i="6"/>
  <c r="N700" i="6"/>
  <c r="N699" i="6"/>
  <c r="N698" i="6"/>
  <c r="N697" i="6"/>
  <c r="N696" i="6"/>
  <c r="N695" i="6"/>
  <c r="N694" i="6"/>
  <c r="N693" i="6"/>
  <c r="N692" i="6"/>
  <c r="N691" i="6"/>
  <c r="N690" i="6"/>
  <c r="N689" i="6"/>
  <c r="N688" i="6"/>
  <c r="N687" i="6"/>
  <c r="N686" i="6"/>
  <c r="N685" i="6"/>
  <c r="N684" i="6"/>
  <c r="N683" i="6"/>
  <c r="N682" i="6"/>
  <c r="N681" i="6"/>
  <c r="N680" i="6"/>
  <c r="N679" i="6"/>
  <c r="N678" i="6"/>
  <c r="N677" i="6"/>
  <c r="N676" i="6"/>
  <c r="N675" i="6"/>
  <c r="N674" i="6"/>
  <c r="N673" i="6"/>
  <c r="N672" i="6"/>
  <c r="N671" i="6"/>
  <c r="N670" i="6"/>
  <c r="N669" i="6"/>
  <c r="N668" i="6"/>
  <c r="N667" i="6"/>
  <c r="N666" i="6"/>
  <c r="N665" i="6"/>
  <c r="N664" i="6"/>
  <c r="N663" i="6"/>
  <c r="N662" i="6"/>
  <c r="N661" i="6"/>
  <c r="N660" i="6"/>
  <c r="N659" i="6"/>
  <c r="N658" i="6"/>
  <c r="N657" i="6"/>
  <c r="N656" i="6"/>
  <c r="N655" i="6"/>
  <c r="N654" i="6"/>
  <c r="N653" i="6"/>
  <c r="N652" i="6"/>
  <c r="N651" i="6"/>
  <c r="N650" i="6"/>
  <c r="N649" i="6"/>
  <c r="N648" i="6"/>
  <c r="N647" i="6"/>
  <c r="N646" i="6"/>
  <c r="N645" i="6"/>
  <c r="N644" i="6"/>
  <c r="N643" i="6"/>
  <c r="N642" i="6"/>
  <c r="N641" i="6"/>
  <c r="N640" i="6"/>
  <c r="N639" i="6"/>
  <c r="N638" i="6"/>
  <c r="N637" i="6"/>
  <c r="N636" i="6"/>
  <c r="N635" i="6"/>
  <c r="N634" i="6"/>
  <c r="N633" i="6"/>
  <c r="N632" i="6"/>
  <c r="N631" i="6"/>
  <c r="N630" i="6"/>
  <c r="N629" i="6"/>
  <c r="N628" i="6"/>
  <c r="N627" i="6"/>
  <c r="N626" i="6"/>
  <c r="N625" i="6"/>
  <c r="N624" i="6"/>
  <c r="N623" i="6"/>
  <c r="N622" i="6"/>
  <c r="N621" i="6"/>
  <c r="N620" i="6"/>
  <c r="N619" i="6"/>
  <c r="N618" i="6"/>
  <c r="N617" i="6"/>
  <c r="N616" i="6"/>
  <c r="N615" i="6"/>
  <c r="N614" i="6"/>
  <c r="N613" i="6"/>
  <c r="N612" i="6"/>
  <c r="N611" i="6"/>
  <c r="N610" i="6"/>
  <c r="N609" i="6"/>
  <c r="N608" i="6"/>
  <c r="N607" i="6"/>
  <c r="N606" i="6"/>
  <c r="N605" i="6"/>
  <c r="N604" i="6"/>
  <c r="N603" i="6"/>
  <c r="N602" i="6"/>
  <c r="N601" i="6"/>
  <c r="N600" i="6"/>
  <c r="N599" i="6"/>
  <c r="N598" i="6"/>
  <c r="N597" i="6"/>
  <c r="N596" i="6"/>
  <c r="N595" i="6"/>
  <c r="N594" i="6"/>
  <c r="N593" i="6"/>
  <c r="N592" i="6"/>
  <c r="N591" i="6"/>
  <c r="N590" i="6"/>
  <c r="N589" i="6"/>
  <c r="N588" i="6"/>
  <c r="N587" i="6"/>
  <c r="N586" i="6"/>
  <c r="N585" i="6"/>
  <c r="N584" i="6"/>
  <c r="N583" i="6"/>
  <c r="N582" i="6"/>
  <c r="N581" i="6"/>
  <c r="N580" i="6"/>
  <c r="N579" i="6"/>
  <c r="N578" i="6"/>
  <c r="N577" i="6"/>
  <c r="N576" i="6"/>
  <c r="N575" i="6"/>
  <c r="N574" i="6"/>
  <c r="N573" i="6"/>
  <c r="N572" i="6"/>
  <c r="N571" i="6"/>
  <c r="N570" i="6"/>
  <c r="N569" i="6"/>
  <c r="N568" i="6"/>
  <c r="N567" i="6"/>
  <c r="N566" i="6"/>
  <c r="N565" i="6"/>
  <c r="N564" i="6"/>
  <c r="N563" i="6"/>
  <c r="N562" i="6"/>
  <c r="N561" i="6"/>
  <c r="N560" i="6"/>
  <c r="N559" i="6"/>
  <c r="N558" i="6"/>
  <c r="N557" i="6"/>
  <c r="N556" i="6"/>
  <c r="N555" i="6"/>
  <c r="M555" i="6"/>
  <c r="L555" i="6"/>
  <c r="K555" i="6"/>
  <c r="J555" i="6"/>
  <c r="H555" i="6"/>
  <c r="M510" i="6"/>
  <c r="L510" i="6"/>
  <c r="K510" i="6"/>
  <c r="J510" i="6"/>
  <c r="H510" i="6"/>
  <c r="N497" i="6"/>
  <c r="N496" i="6"/>
  <c r="N495" i="6"/>
  <c r="N494" i="6"/>
  <c r="N493" i="6"/>
  <c r="N492" i="6"/>
  <c r="N491" i="6"/>
  <c r="N490" i="6"/>
  <c r="N489" i="6"/>
  <c r="N488" i="6"/>
  <c r="N487" i="6"/>
  <c r="N486" i="6"/>
  <c r="N485" i="6"/>
  <c r="N484" i="6"/>
  <c r="N483" i="6"/>
  <c r="N482" i="6"/>
  <c r="N481" i="6"/>
  <c r="N480" i="6"/>
  <c r="N479" i="6"/>
  <c r="N478" i="6"/>
  <c r="N477" i="6"/>
  <c r="N476" i="6"/>
  <c r="N475" i="6"/>
  <c r="N474" i="6"/>
  <c r="N473" i="6"/>
  <c r="N472" i="6"/>
  <c r="N471" i="6"/>
  <c r="N470" i="6"/>
  <c r="N469" i="6"/>
  <c r="N468" i="6"/>
  <c r="N467" i="6"/>
  <c r="N466" i="6"/>
  <c r="N465" i="6"/>
  <c r="N464" i="6"/>
  <c r="N463" i="6"/>
  <c r="N462" i="6"/>
  <c r="N461" i="6"/>
  <c r="N460" i="6"/>
  <c r="N459" i="6"/>
  <c r="N458" i="6"/>
  <c r="N457" i="6"/>
  <c r="N456" i="6"/>
  <c r="N455" i="6"/>
  <c r="N454" i="6"/>
  <c r="N453" i="6"/>
  <c r="N452" i="6"/>
  <c r="N451" i="6"/>
  <c r="N450" i="6"/>
  <c r="M449" i="6"/>
  <c r="L449" i="6"/>
  <c r="K449" i="6"/>
  <c r="J449" i="6"/>
  <c r="H449" i="6"/>
  <c r="N445" i="6"/>
  <c r="N444" i="6"/>
  <c r="N443" i="6"/>
  <c r="N442" i="6"/>
  <c r="N441" i="6"/>
  <c r="N440" i="6"/>
  <c r="N439" i="6"/>
  <c r="N438" i="6"/>
  <c r="N437" i="6"/>
  <c r="N436" i="6"/>
  <c r="N435" i="6"/>
  <c r="N434" i="6"/>
  <c r="N433" i="6"/>
  <c r="N432" i="6"/>
  <c r="N431" i="6"/>
  <c r="N430" i="6"/>
  <c r="N429" i="6"/>
  <c r="N428" i="6"/>
  <c r="N427" i="6"/>
  <c r="N426" i="6"/>
  <c r="N425" i="6"/>
  <c r="N424" i="6"/>
  <c r="N423" i="6"/>
  <c r="N422" i="6"/>
  <c r="N421" i="6"/>
  <c r="N420" i="6"/>
  <c r="N419" i="6"/>
  <c r="N418" i="6"/>
  <c r="N417" i="6"/>
  <c r="N416" i="6"/>
  <c r="N415" i="6"/>
  <c r="N414" i="6"/>
  <c r="N413" i="6"/>
  <c r="M412" i="6"/>
  <c r="L412" i="6"/>
  <c r="K412" i="6"/>
  <c r="J412" i="6"/>
  <c r="H412" i="6"/>
  <c r="N399" i="6"/>
  <c r="N398" i="6"/>
  <c r="N397" i="6"/>
  <c r="N396" i="6"/>
  <c r="N395" i="6"/>
  <c r="N394" i="6"/>
  <c r="N393" i="6"/>
  <c r="N392" i="6"/>
  <c r="N391" i="6"/>
  <c r="N390" i="6"/>
  <c r="N389" i="6"/>
  <c r="N388" i="6"/>
  <c r="N387" i="6"/>
  <c r="N386" i="6"/>
  <c r="N385" i="6"/>
  <c r="N384" i="6"/>
  <c r="N383" i="6"/>
  <c r="N382" i="6"/>
  <c r="N381" i="6"/>
  <c r="N380" i="6"/>
  <c r="N379" i="6"/>
  <c r="N378" i="6"/>
  <c r="N377" i="6"/>
  <c r="N376" i="6"/>
  <c r="N375" i="6"/>
  <c r="N374" i="6"/>
  <c r="N373" i="6"/>
  <c r="N372" i="6"/>
  <c r="N371" i="6"/>
  <c r="N370" i="6"/>
  <c r="N369" i="6"/>
  <c r="N368" i="6"/>
  <c r="N367" i="6"/>
  <c r="N366" i="6"/>
  <c r="N365" i="6"/>
  <c r="N364" i="6"/>
  <c r="N363" i="6"/>
  <c r="N362" i="6"/>
  <c r="N361" i="6"/>
  <c r="N360" i="6"/>
  <c r="N359" i="6"/>
  <c r="N358" i="6"/>
  <c r="M357" i="6"/>
  <c r="L357" i="6"/>
  <c r="K357" i="6"/>
  <c r="J357" i="6"/>
  <c r="H357" i="6"/>
  <c r="N354" i="6"/>
  <c r="N353" i="6"/>
  <c r="N352" i="6"/>
  <c r="N351" i="6"/>
  <c r="N350" i="6"/>
  <c r="N349" i="6"/>
  <c r="N348" i="6"/>
  <c r="N347" i="6"/>
  <c r="N346" i="6"/>
  <c r="N345" i="6"/>
  <c r="N344" i="6"/>
  <c r="N343" i="6"/>
  <c r="M343" i="6"/>
  <c r="L343" i="6"/>
  <c r="K343" i="6"/>
  <c r="J343" i="6"/>
  <c r="H343" i="6"/>
  <c r="N228" i="6"/>
  <c r="M228" i="6"/>
  <c r="L228" i="6"/>
  <c r="K228" i="6"/>
  <c r="J228" i="6"/>
  <c r="H228" i="6"/>
  <c r="N125" i="6"/>
  <c r="M125" i="6"/>
  <c r="L125" i="6"/>
  <c r="K125" i="6"/>
  <c r="J125" i="6"/>
  <c r="H125" i="6"/>
  <c r="N120" i="6"/>
  <c r="M120" i="6"/>
  <c r="L120" i="6"/>
  <c r="K120" i="6"/>
  <c r="J120" i="6"/>
  <c r="H120" i="6"/>
  <c r="N75" i="6"/>
  <c r="M75" i="6"/>
  <c r="L75" i="6"/>
  <c r="K75" i="6"/>
  <c r="J75" i="6"/>
  <c r="H75" i="6"/>
  <c r="N72" i="6"/>
  <c r="M72" i="6"/>
  <c r="L72" i="6"/>
  <c r="K72" i="6"/>
  <c r="J72" i="6"/>
  <c r="H72" i="6"/>
  <c r="N69" i="6"/>
  <c r="M69" i="6"/>
  <c r="L69" i="6"/>
  <c r="K69" i="6"/>
  <c r="J69" i="6"/>
  <c r="H69" i="6"/>
  <c r="N67" i="6"/>
  <c r="M67" i="6"/>
  <c r="L67" i="6"/>
  <c r="K67" i="6"/>
  <c r="J67" i="6"/>
  <c r="H67" i="6"/>
  <c r="N51" i="6"/>
  <c r="M51" i="6"/>
  <c r="L51" i="6"/>
  <c r="K51" i="6"/>
  <c r="J51" i="6"/>
  <c r="H51" i="6"/>
  <c r="N8" i="6"/>
  <c r="M8" i="6"/>
  <c r="L8" i="6"/>
  <c r="K8" i="6"/>
  <c r="J8" i="6"/>
  <c r="H8" i="6"/>
  <c r="Y237" i="5"/>
  <c r="X237" i="5"/>
  <c r="W237" i="5"/>
  <c r="V237" i="5"/>
  <c r="U237" i="5"/>
  <c r="AA236" i="5"/>
  <c r="AG236" i="5" s="1"/>
  <c r="AE236" i="5"/>
  <c r="AK236" i="5" s="1"/>
  <c r="AD236" i="5"/>
  <c r="AJ236" i="5" s="1"/>
  <c r="AC236" i="5"/>
  <c r="AI236" i="5" s="1"/>
  <c r="AB236" i="5"/>
  <c r="AH236" i="5" s="1"/>
  <c r="K236" i="5"/>
  <c r="L236" i="5" s="1"/>
  <c r="M236" i="5" s="1"/>
  <c r="H236" i="5"/>
  <c r="AC235" i="5"/>
  <c r="AI235" i="5" s="1"/>
  <c r="AA235" i="5"/>
  <c r="AG235" i="5" s="1"/>
  <c r="AE235" i="5"/>
  <c r="AK235" i="5" s="1"/>
  <c r="AD235" i="5"/>
  <c r="AJ235" i="5" s="1"/>
  <c r="AB235" i="5"/>
  <c r="AH235" i="5" s="1"/>
  <c r="L235" i="5"/>
  <c r="M235" i="5" s="1"/>
  <c r="K235" i="5"/>
  <c r="H235" i="5"/>
  <c r="AD234" i="5"/>
  <c r="AJ234" i="5" s="1"/>
  <c r="AE234" i="5"/>
  <c r="AK234" i="5" s="1"/>
  <c r="AC234" i="5"/>
  <c r="AI234" i="5" s="1"/>
  <c r="AB234" i="5"/>
  <c r="AH234" i="5" s="1"/>
  <c r="AA234" i="5"/>
  <c r="AG234" i="5" s="1"/>
  <c r="K234" i="5"/>
  <c r="L234" i="5" s="1"/>
  <c r="M234" i="5" s="1"/>
  <c r="H234" i="5"/>
  <c r="AE233" i="5"/>
  <c r="AK233" i="5" s="1"/>
  <c r="AD233" i="5"/>
  <c r="AJ233" i="5" s="1"/>
  <c r="AC233" i="5"/>
  <c r="AI233" i="5" s="1"/>
  <c r="AB233" i="5"/>
  <c r="AH233" i="5" s="1"/>
  <c r="AA233" i="5"/>
  <c r="AG233" i="5" s="1"/>
  <c r="K233" i="5"/>
  <c r="L233" i="5" s="1"/>
  <c r="M233" i="5" s="1"/>
  <c r="H233" i="5"/>
  <c r="AE232" i="5"/>
  <c r="AK232" i="5" s="1"/>
  <c r="AC232" i="5"/>
  <c r="AI232" i="5" s="1"/>
  <c r="AB232" i="5"/>
  <c r="AH232" i="5" s="1"/>
  <c r="AA232" i="5"/>
  <c r="AG232" i="5" s="1"/>
  <c r="AD232" i="5"/>
  <c r="AJ232" i="5" s="1"/>
  <c r="K232" i="5"/>
  <c r="L232" i="5" s="1"/>
  <c r="M232" i="5" s="1"/>
  <c r="H232" i="5"/>
  <c r="AE231" i="5"/>
  <c r="AK231" i="5" s="1"/>
  <c r="AD231" i="5"/>
  <c r="AJ231" i="5" s="1"/>
  <c r="AC231" i="5"/>
  <c r="AI231" i="5" s="1"/>
  <c r="AB231" i="5"/>
  <c r="AH231" i="5" s="1"/>
  <c r="AA231" i="5"/>
  <c r="AG231" i="5" s="1"/>
  <c r="K231" i="5"/>
  <c r="L231" i="5" s="1"/>
  <c r="M231" i="5" s="1"/>
  <c r="H231" i="5"/>
  <c r="AE230" i="5"/>
  <c r="AK230" i="5" s="1"/>
  <c r="AD230" i="5"/>
  <c r="AJ230" i="5" s="1"/>
  <c r="AC230" i="5"/>
  <c r="AI230" i="5" s="1"/>
  <c r="AB230" i="5"/>
  <c r="AH230" i="5" s="1"/>
  <c r="AA230" i="5"/>
  <c r="AG230" i="5" s="1"/>
  <c r="K230" i="5"/>
  <c r="L230" i="5" s="1"/>
  <c r="M230" i="5" s="1"/>
  <c r="H230" i="5"/>
  <c r="AC229" i="5"/>
  <c r="AI229" i="5" s="1"/>
  <c r="AB229" i="5"/>
  <c r="AH229" i="5" s="1"/>
  <c r="AE229" i="5"/>
  <c r="AK229" i="5" s="1"/>
  <c r="AD229" i="5"/>
  <c r="AJ229" i="5" s="1"/>
  <c r="AA229" i="5"/>
  <c r="AG229" i="5" s="1"/>
  <c r="K229" i="5"/>
  <c r="L229" i="5" s="1"/>
  <c r="M229" i="5" s="1"/>
  <c r="H229" i="5"/>
  <c r="AE228" i="5"/>
  <c r="AK228" i="5" s="1"/>
  <c r="AD228" i="5"/>
  <c r="AJ228" i="5" s="1"/>
  <c r="AC228" i="5"/>
  <c r="AI228" i="5" s="1"/>
  <c r="AB228" i="5"/>
  <c r="AH228" i="5" s="1"/>
  <c r="AA228" i="5"/>
  <c r="AG228" i="5" s="1"/>
  <c r="K228" i="5"/>
  <c r="L228" i="5" s="1"/>
  <c r="M228" i="5" s="1"/>
  <c r="H228" i="5"/>
  <c r="AA227" i="5"/>
  <c r="AG227" i="5" s="1"/>
  <c r="AE227" i="5"/>
  <c r="AK227" i="5" s="1"/>
  <c r="AD227" i="5"/>
  <c r="AJ227" i="5" s="1"/>
  <c r="AC227" i="5"/>
  <c r="AI227" i="5" s="1"/>
  <c r="AB227" i="5"/>
  <c r="AH227" i="5" s="1"/>
  <c r="K227" i="5"/>
  <c r="L227" i="5" s="1"/>
  <c r="M227" i="5" s="1"/>
  <c r="H227" i="5"/>
  <c r="AD225" i="5"/>
  <c r="AJ225" i="5" s="1"/>
  <c r="AE225" i="5"/>
  <c r="AK225" i="5" s="1"/>
  <c r="AC225" i="5"/>
  <c r="AI225" i="5" s="1"/>
  <c r="AB225" i="5"/>
  <c r="AH225" i="5" s="1"/>
  <c r="AA225" i="5"/>
  <c r="AG225" i="5" s="1"/>
  <c r="K225" i="5"/>
  <c r="L225" i="5" s="1"/>
  <c r="M225" i="5" s="1"/>
  <c r="H225" i="5"/>
  <c r="AJ223" i="5"/>
  <c r="AI223" i="5"/>
  <c r="AH223" i="5"/>
  <c r="AG223" i="5"/>
  <c r="K223" i="5"/>
  <c r="AE223" i="5"/>
  <c r="AK223" i="5" s="1"/>
  <c r="G223" i="5"/>
  <c r="F223" i="5"/>
  <c r="AD222" i="5"/>
  <c r="AJ222" i="5" s="1"/>
  <c r="AC222" i="5"/>
  <c r="AI222" i="5" s="1"/>
  <c r="AB222" i="5"/>
  <c r="AH222" i="5" s="1"/>
  <c r="AA222" i="5"/>
  <c r="AG222" i="5" s="1"/>
  <c r="K222" i="5"/>
  <c r="AE222" i="5"/>
  <c r="AK222" i="5" s="1"/>
  <c r="G222" i="5"/>
  <c r="F222" i="5"/>
  <c r="D222" i="5"/>
  <c r="AD221" i="5"/>
  <c r="AJ221" i="5" s="1"/>
  <c r="AC221" i="5"/>
  <c r="AI221" i="5" s="1"/>
  <c r="AB221" i="5"/>
  <c r="AH221" i="5" s="1"/>
  <c r="AA221" i="5"/>
  <c r="AG221" i="5" s="1"/>
  <c r="AE221" i="5"/>
  <c r="AK221" i="5" s="1"/>
  <c r="K221" i="5"/>
  <c r="L221" i="5" s="1"/>
  <c r="M221" i="5" s="1"/>
  <c r="G221" i="5"/>
  <c r="F221" i="5"/>
  <c r="AG220" i="5"/>
  <c r="AD220" i="5"/>
  <c r="AJ220" i="5" s="1"/>
  <c r="AC220" i="5"/>
  <c r="AI220" i="5" s="1"/>
  <c r="AB220" i="5"/>
  <c r="AH220" i="5" s="1"/>
  <c r="AA220" i="5"/>
  <c r="AE220" i="5"/>
  <c r="AK220" i="5" s="1"/>
  <c r="L220" i="5"/>
  <c r="M220" i="5" s="1"/>
  <c r="K220" i="5"/>
  <c r="G220" i="5"/>
  <c r="F220" i="5"/>
  <c r="AH219" i="5"/>
  <c r="AD219" i="5"/>
  <c r="AJ219" i="5" s="1"/>
  <c r="AC219" i="5"/>
  <c r="AI219" i="5" s="1"/>
  <c r="AB219" i="5"/>
  <c r="AA219" i="5"/>
  <c r="AG219" i="5" s="1"/>
  <c r="AE219" i="5"/>
  <c r="AK219" i="5" s="1"/>
  <c r="K219" i="5"/>
  <c r="L219" i="5" s="1"/>
  <c r="M219" i="5" s="1"/>
  <c r="G219" i="5"/>
  <c r="F219" i="5"/>
  <c r="AD218" i="5"/>
  <c r="AJ218" i="5" s="1"/>
  <c r="AC218" i="5"/>
  <c r="AI218" i="5" s="1"/>
  <c r="AB218" i="5"/>
  <c r="AH218" i="5" s="1"/>
  <c r="AA218" i="5"/>
  <c r="AG218" i="5" s="1"/>
  <c r="AE218" i="5"/>
  <c r="AK218" i="5" s="1"/>
  <c r="K218" i="5"/>
  <c r="L218" i="5" s="1"/>
  <c r="M218" i="5" s="1"/>
  <c r="G218" i="5"/>
  <c r="F218" i="5"/>
  <c r="AH217" i="5"/>
  <c r="AD217" i="5"/>
  <c r="AJ217" i="5" s="1"/>
  <c r="AC217" i="5"/>
  <c r="AI217" i="5" s="1"/>
  <c r="AB217" i="5"/>
  <c r="AA217" i="5"/>
  <c r="AG217" i="5" s="1"/>
  <c r="AE217" i="5"/>
  <c r="AK217" i="5" s="1"/>
  <c r="K217" i="5"/>
  <c r="L217" i="5" s="1"/>
  <c r="M217" i="5" s="1"/>
  <c r="G217" i="5"/>
  <c r="F217" i="5"/>
  <c r="AI216" i="5"/>
  <c r="AD216" i="5"/>
  <c r="AJ216" i="5" s="1"/>
  <c r="AC216" i="5"/>
  <c r="AB216" i="5"/>
  <c r="AH216" i="5" s="1"/>
  <c r="AA216" i="5"/>
  <c r="AG216" i="5" s="1"/>
  <c r="AE216" i="5"/>
  <c r="AK216" i="5" s="1"/>
  <c r="K216" i="5"/>
  <c r="L216" i="5" s="1"/>
  <c r="M216" i="5" s="1"/>
  <c r="G216" i="5"/>
  <c r="F216" i="5"/>
  <c r="AD215" i="5"/>
  <c r="AJ215" i="5" s="1"/>
  <c r="AC215" i="5"/>
  <c r="AI215" i="5" s="1"/>
  <c r="AB215" i="5"/>
  <c r="AH215" i="5" s="1"/>
  <c r="AA215" i="5"/>
  <c r="AG215" i="5" s="1"/>
  <c r="K215" i="5"/>
  <c r="G215" i="5"/>
  <c r="AE215" i="5" s="1"/>
  <c r="AK215" i="5" s="1"/>
  <c r="F215" i="5"/>
  <c r="AD214" i="5"/>
  <c r="AJ214" i="5" s="1"/>
  <c r="AC214" i="5"/>
  <c r="AI214" i="5" s="1"/>
  <c r="AB214" i="5"/>
  <c r="AH214" i="5" s="1"/>
  <c r="AA214" i="5"/>
  <c r="AG214" i="5" s="1"/>
  <c r="AE214" i="5"/>
  <c r="AK214" i="5" s="1"/>
  <c r="L214" i="5"/>
  <c r="M214" i="5" s="1"/>
  <c r="K214" i="5"/>
  <c r="G214" i="5"/>
  <c r="F214" i="5"/>
  <c r="AD213" i="5"/>
  <c r="AJ213" i="5" s="1"/>
  <c r="AC213" i="5"/>
  <c r="AI213" i="5" s="1"/>
  <c r="AB213" i="5"/>
  <c r="AH213" i="5" s="1"/>
  <c r="AA213" i="5"/>
  <c r="AG213" i="5" s="1"/>
  <c r="AE213" i="5"/>
  <c r="AK213" i="5" s="1"/>
  <c r="K213" i="5"/>
  <c r="L213" i="5" s="1"/>
  <c r="M213" i="5" s="1"/>
  <c r="G213" i="5"/>
  <c r="F213" i="5"/>
  <c r="AD212" i="5"/>
  <c r="AJ212" i="5" s="1"/>
  <c r="AC212" i="5"/>
  <c r="AI212" i="5" s="1"/>
  <c r="AB212" i="5"/>
  <c r="AH212" i="5" s="1"/>
  <c r="AA212" i="5"/>
  <c r="AG212" i="5" s="1"/>
  <c r="AE212" i="5"/>
  <c r="AK212" i="5" s="1"/>
  <c r="K212" i="5"/>
  <c r="L212" i="5" s="1"/>
  <c r="M212" i="5" s="1"/>
  <c r="G212" i="5"/>
  <c r="F212" i="5"/>
  <c r="AD211" i="5"/>
  <c r="AJ211" i="5" s="1"/>
  <c r="AC211" i="5"/>
  <c r="AI211" i="5" s="1"/>
  <c r="AB211" i="5"/>
  <c r="AH211" i="5" s="1"/>
  <c r="AA211" i="5"/>
  <c r="AG211" i="5" s="1"/>
  <c r="AE211" i="5"/>
  <c r="AK211" i="5" s="1"/>
  <c r="K211" i="5"/>
  <c r="L211" i="5" s="1"/>
  <c r="M211" i="5" s="1"/>
  <c r="G211" i="5"/>
  <c r="F211" i="5"/>
  <c r="AD210" i="5"/>
  <c r="AJ210" i="5" s="1"/>
  <c r="AC210" i="5"/>
  <c r="AI210" i="5" s="1"/>
  <c r="AB210" i="5"/>
  <c r="AH210" i="5" s="1"/>
  <c r="AA210" i="5"/>
  <c r="AG210" i="5" s="1"/>
  <c r="AE210" i="5"/>
  <c r="AK210" i="5" s="1"/>
  <c r="K210" i="5"/>
  <c r="L210" i="5" s="1"/>
  <c r="M210" i="5" s="1"/>
  <c r="G210" i="5"/>
  <c r="F210" i="5"/>
  <c r="AG209" i="5"/>
  <c r="AD209" i="5"/>
  <c r="AJ209" i="5" s="1"/>
  <c r="AC209" i="5"/>
  <c r="AI209" i="5" s="1"/>
  <c r="AB209" i="5"/>
  <c r="AH209" i="5" s="1"/>
  <c r="AA209" i="5"/>
  <c r="AE209" i="5"/>
  <c r="AK209" i="5" s="1"/>
  <c r="L209" i="5"/>
  <c r="M209" i="5" s="1"/>
  <c r="K209" i="5"/>
  <c r="G209" i="5"/>
  <c r="F209" i="5"/>
  <c r="AD208" i="5"/>
  <c r="AJ208" i="5" s="1"/>
  <c r="AC208" i="5"/>
  <c r="AI208" i="5" s="1"/>
  <c r="AB208" i="5"/>
  <c r="AH208" i="5" s="1"/>
  <c r="AA208" i="5"/>
  <c r="AG208" i="5" s="1"/>
  <c r="AE208" i="5"/>
  <c r="AK208" i="5" s="1"/>
  <c r="L208" i="5"/>
  <c r="M208" i="5" s="1"/>
  <c r="K208" i="5"/>
  <c r="G208" i="5"/>
  <c r="F208" i="5"/>
  <c r="AH207" i="5"/>
  <c r="AD207" i="5"/>
  <c r="AJ207" i="5" s="1"/>
  <c r="AC207" i="5"/>
  <c r="AI207" i="5" s="1"/>
  <c r="AB207" i="5"/>
  <c r="AA207" i="5"/>
  <c r="AG207" i="5" s="1"/>
  <c r="AE207" i="5"/>
  <c r="AK207" i="5" s="1"/>
  <c r="K207" i="5"/>
  <c r="L207" i="5" s="1"/>
  <c r="M207" i="5" s="1"/>
  <c r="G207" i="5"/>
  <c r="F207" i="5"/>
  <c r="AD206" i="5"/>
  <c r="AJ206" i="5" s="1"/>
  <c r="AC206" i="5"/>
  <c r="AI206" i="5" s="1"/>
  <c r="AB206" i="5"/>
  <c r="AH206" i="5" s="1"/>
  <c r="AA206" i="5"/>
  <c r="AG206" i="5" s="1"/>
  <c r="AE206" i="5"/>
  <c r="AK206" i="5" s="1"/>
  <c r="K206" i="5"/>
  <c r="L206" i="5" s="1"/>
  <c r="M206" i="5" s="1"/>
  <c r="G206" i="5"/>
  <c r="F206" i="5"/>
  <c r="AD205" i="5"/>
  <c r="AJ205" i="5" s="1"/>
  <c r="AC205" i="5"/>
  <c r="AI205" i="5" s="1"/>
  <c r="AB205" i="5"/>
  <c r="AH205" i="5" s="1"/>
  <c r="AA205" i="5"/>
  <c r="AG205" i="5" s="1"/>
  <c r="AE205" i="5"/>
  <c r="AK205" i="5" s="1"/>
  <c r="L205" i="5"/>
  <c r="M205" i="5" s="1"/>
  <c r="K205" i="5"/>
  <c r="G205" i="5"/>
  <c r="F205" i="5"/>
  <c r="AD204" i="5"/>
  <c r="AJ204" i="5" s="1"/>
  <c r="AC204" i="5"/>
  <c r="AI204" i="5" s="1"/>
  <c r="AB204" i="5"/>
  <c r="AH204" i="5" s="1"/>
  <c r="AA204" i="5"/>
  <c r="AG204" i="5" s="1"/>
  <c r="AE204" i="5"/>
  <c r="AK204" i="5" s="1"/>
  <c r="L204" i="5"/>
  <c r="M204" i="5" s="1"/>
  <c r="K204" i="5"/>
  <c r="G204" i="5"/>
  <c r="F204" i="5"/>
  <c r="AD203" i="5"/>
  <c r="AJ203" i="5" s="1"/>
  <c r="AC203" i="5"/>
  <c r="AI203" i="5" s="1"/>
  <c r="AB203" i="5"/>
  <c r="AH203" i="5" s="1"/>
  <c r="AA203" i="5"/>
  <c r="AG203" i="5" s="1"/>
  <c r="AE203" i="5"/>
  <c r="AK203" i="5" s="1"/>
  <c r="K203" i="5"/>
  <c r="L203" i="5" s="1"/>
  <c r="M203" i="5" s="1"/>
  <c r="G203" i="5"/>
  <c r="F203" i="5"/>
  <c r="AD202" i="5"/>
  <c r="AJ202" i="5" s="1"/>
  <c r="AC202" i="5"/>
  <c r="AI202" i="5" s="1"/>
  <c r="AB202" i="5"/>
  <c r="AH202" i="5" s="1"/>
  <c r="AA202" i="5"/>
  <c r="AG202" i="5" s="1"/>
  <c r="AE202" i="5"/>
  <c r="AK202" i="5" s="1"/>
  <c r="M202" i="5"/>
  <c r="L202" i="5"/>
  <c r="K202" i="5"/>
  <c r="G202" i="5"/>
  <c r="F202" i="5"/>
  <c r="AJ201" i="5"/>
  <c r="AD201" i="5"/>
  <c r="AC201" i="5"/>
  <c r="AI201" i="5" s="1"/>
  <c r="AB201" i="5"/>
  <c r="AH201" i="5" s="1"/>
  <c r="AA201" i="5"/>
  <c r="AG201" i="5" s="1"/>
  <c r="AE201" i="5"/>
  <c r="AK201" i="5" s="1"/>
  <c r="K201" i="5"/>
  <c r="L201" i="5" s="1"/>
  <c r="M201" i="5" s="1"/>
  <c r="G201" i="5"/>
  <c r="F201" i="5"/>
  <c r="AD200" i="5"/>
  <c r="AJ200" i="5" s="1"/>
  <c r="AC200" i="5"/>
  <c r="AI200" i="5" s="1"/>
  <c r="AB200" i="5"/>
  <c r="AH200" i="5" s="1"/>
  <c r="AA200" i="5"/>
  <c r="AG200" i="5" s="1"/>
  <c r="AE200" i="5"/>
  <c r="AK200" i="5" s="1"/>
  <c r="K200" i="5"/>
  <c r="L200" i="5" s="1"/>
  <c r="M200" i="5" s="1"/>
  <c r="G200" i="5"/>
  <c r="F200" i="5"/>
  <c r="AD199" i="5"/>
  <c r="AJ199" i="5" s="1"/>
  <c r="AC199" i="5"/>
  <c r="AI199" i="5" s="1"/>
  <c r="AB199" i="5"/>
  <c r="AH199" i="5" s="1"/>
  <c r="AA199" i="5"/>
  <c r="AG199" i="5" s="1"/>
  <c r="AE199" i="5"/>
  <c r="AK199" i="5" s="1"/>
  <c r="K199" i="5"/>
  <c r="L199" i="5" s="1"/>
  <c r="M199" i="5" s="1"/>
  <c r="G199" i="5"/>
  <c r="F199" i="5"/>
  <c r="AJ198" i="5"/>
  <c r="AD198" i="5"/>
  <c r="AC198" i="5"/>
  <c r="AI198" i="5" s="1"/>
  <c r="AB198" i="5"/>
  <c r="AH198" i="5" s="1"/>
  <c r="AA198" i="5"/>
  <c r="AG198" i="5" s="1"/>
  <c r="AE198" i="5"/>
  <c r="AK198" i="5" s="1"/>
  <c r="K198" i="5"/>
  <c r="L198" i="5" s="1"/>
  <c r="M198" i="5" s="1"/>
  <c r="G198" i="5"/>
  <c r="F198" i="5"/>
  <c r="AD197" i="5"/>
  <c r="AJ197" i="5" s="1"/>
  <c r="AC197" i="5"/>
  <c r="AI197" i="5" s="1"/>
  <c r="AB197" i="5"/>
  <c r="AH197" i="5" s="1"/>
  <c r="AA197" i="5"/>
  <c r="AG197" i="5" s="1"/>
  <c r="AE197" i="5"/>
  <c r="AK197" i="5" s="1"/>
  <c r="K197" i="5"/>
  <c r="L197" i="5" s="1"/>
  <c r="M197" i="5" s="1"/>
  <c r="G197" i="5"/>
  <c r="F197" i="5"/>
  <c r="AE196" i="5"/>
  <c r="AK196" i="5" s="1"/>
  <c r="AD196" i="5"/>
  <c r="AJ196" i="5" s="1"/>
  <c r="AC196" i="5"/>
  <c r="AI196" i="5" s="1"/>
  <c r="AA196" i="5"/>
  <c r="AG196" i="5" s="1"/>
  <c r="AB196" i="5"/>
  <c r="AH196" i="5" s="1"/>
  <c r="K196" i="5"/>
  <c r="L196" i="5" s="1"/>
  <c r="M196" i="5" s="1"/>
  <c r="G196" i="5"/>
  <c r="AE195" i="5"/>
  <c r="AK195" i="5" s="1"/>
  <c r="AD195" i="5"/>
  <c r="AJ195" i="5" s="1"/>
  <c r="AC195" i="5"/>
  <c r="AI195" i="5" s="1"/>
  <c r="AB195" i="5"/>
  <c r="AH195" i="5" s="1"/>
  <c r="AA195" i="5"/>
  <c r="AG195" i="5" s="1"/>
  <c r="K195" i="5"/>
  <c r="L195" i="5" s="1"/>
  <c r="M195" i="5" s="1"/>
  <c r="G195" i="5"/>
  <c r="F195" i="5"/>
  <c r="H195" i="5" s="1"/>
  <c r="AE194" i="5"/>
  <c r="AK194" i="5" s="1"/>
  <c r="AD194" i="5"/>
  <c r="AJ194" i="5" s="1"/>
  <c r="AC194" i="5"/>
  <c r="AI194" i="5" s="1"/>
  <c r="AB194" i="5"/>
  <c r="AH194" i="5" s="1"/>
  <c r="AA194" i="5"/>
  <c r="AG194" i="5" s="1"/>
  <c r="K194" i="5"/>
  <c r="L194" i="5" s="1"/>
  <c r="M194" i="5" s="1"/>
  <c r="H194" i="5"/>
  <c r="G194" i="5"/>
  <c r="F194" i="5"/>
  <c r="AE193" i="5"/>
  <c r="AK193" i="5" s="1"/>
  <c r="AD193" i="5"/>
  <c r="AJ193" i="5" s="1"/>
  <c r="AC193" i="5"/>
  <c r="AI193" i="5" s="1"/>
  <c r="AB193" i="5"/>
  <c r="AH193" i="5" s="1"/>
  <c r="AA193" i="5"/>
  <c r="AG193" i="5" s="1"/>
  <c r="K193" i="5"/>
  <c r="L193" i="5" s="1"/>
  <c r="M193" i="5" s="1"/>
  <c r="G193" i="5"/>
  <c r="F193" i="5"/>
  <c r="H193" i="5" s="1"/>
  <c r="AE192" i="5"/>
  <c r="AK192" i="5" s="1"/>
  <c r="AC192" i="5"/>
  <c r="AI192" i="5" s="1"/>
  <c r="AD192" i="5"/>
  <c r="AJ192" i="5" s="1"/>
  <c r="AB192" i="5"/>
  <c r="AH192" i="5" s="1"/>
  <c r="AA192" i="5"/>
  <c r="AG192" i="5" s="1"/>
  <c r="L192" i="5"/>
  <c r="M192" i="5" s="1"/>
  <c r="K192" i="5"/>
  <c r="H192" i="5"/>
  <c r="G192" i="5"/>
  <c r="F192" i="5"/>
  <c r="AE191" i="5"/>
  <c r="AK191" i="5" s="1"/>
  <c r="AD191" i="5"/>
  <c r="AJ191" i="5" s="1"/>
  <c r="AC191" i="5"/>
  <c r="AI191" i="5" s="1"/>
  <c r="AB191" i="5"/>
  <c r="AH191" i="5" s="1"/>
  <c r="AA191" i="5"/>
  <c r="AG191" i="5" s="1"/>
  <c r="K191" i="5"/>
  <c r="L191" i="5" s="1"/>
  <c r="M191" i="5" s="1"/>
  <c r="G191" i="5"/>
  <c r="H191" i="5" s="1"/>
  <c r="F191" i="5"/>
  <c r="AE190" i="5"/>
  <c r="AK190" i="5" s="1"/>
  <c r="AD190" i="5"/>
  <c r="AJ190" i="5" s="1"/>
  <c r="AC190" i="5"/>
  <c r="AI190" i="5" s="1"/>
  <c r="AB190" i="5"/>
  <c r="AH190" i="5" s="1"/>
  <c r="AA190" i="5"/>
  <c r="AG190" i="5" s="1"/>
  <c r="K190" i="5"/>
  <c r="L190" i="5" s="1"/>
  <c r="M190" i="5" s="1"/>
  <c r="G190" i="5"/>
  <c r="H190" i="5" s="1"/>
  <c r="F190" i="5"/>
  <c r="AE189" i="5"/>
  <c r="AK189" i="5" s="1"/>
  <c r="AD189" i="5"/>
  <c r="AJ189" i="5" s="1"/>
  <c r="AC189" i="5"/>
  <c r="AI189" i="5" s="1"/>
  <c r="AB189" i="5"/>
  <c r="AH189" i="5" s="1"/>
  <c r="AA189" i="5"/>
  <c r="AG189" i="5" s="1"/>
  <c r="K189" i="5"/>
  <c r="L189" i="5" s="1"/>
  <c r="M189" i="5" s="1"/>
  <c r="G189" i="5"/>
  <c r="F189" i="5"/>
  <c r="AE188" i="5"/>
  <c r="AK188" i="5" s="1"/>
  <c r="AD188" i="5"/>
  <c r="AJ188" i="5" s="1"/>
  <c r="AC188" i="5"/>
  <c r="AI188" i="5" s="1"/>
  <c r="AB188" i="5"/>
  <c r="AH188" i="5" s="1"/>
  <c r="AA188" i="5"/>
  <c r="AG188" i="5" s="1"/>
  <c r="K188" i="5"/>
  <c r="L188" i="5" s="1"/>
  <c r="M188" i="5" s="1"/>
  <c r="G188" i="5"/>
  <c r="F188" i="5"/>
  <c r="AE187" i="5"/>
  <c r="AK187" i="5" s="1"/>
  <c r="AA187" i="5"/>
  <c r="AG187" i="5" s="1"/>
  <c r="L187" i="5"/>
  <c r="M187" i="5" s="1"/>
  <c r="K187" i="5"/>
  <c r="G187" i="5"/>
  <c r="F187" i="5"/>
  <c r="Y183" i="5"/>
  <c r="X183" i="5"/>
  <c r="W183" i="5"/>
  <c r="V183" i="5"/>
  <c r="U183" i="5"/>
  <c r="AD182" i="5"/>
  <c r="AJ182" i="5" s="1"/>
  <c r="AC182" i="5"/>
  <c r="AI182" i="5" s="1"/>
  <c r="AB182" i="5"/>
  <c r="AH182" i="5" s="1"/>
  <c r="AA182" i="5"/>
  <c r="AG182" i="5" s="1"/>
  <c r="K182" i="5"/>
  <c r="AE182" i="5"/>
  <c r="AK182" i="5" s="1"/>
  <c r="G182" i="5"/>
  <c r="F182" i="5"/>
  <c r="AD181" i="5"/>
  <c r="AJ181" i="5" s="1"/>
  <c r="AC181" i="5"/>
  <c r="AI181" i="5" s="1"/>
  <c r="AB181" i="5"/>
  <c r="AH181" i="5" s="1"/>
  <c r="AA181" i="5"/>
  <c r="AG181" i="5" s="1"/>
  <c r="L181" i="5"/>
  <c r="M181" i="5" s="1"/>
  <c r="K181" i="5"/>
  <c r="AE181" i="5"/>
  <c r="AK181" i="5" s="1"/>
  <c r="G181" i="5"/>
  <c r="F181" i="5"/>
  <c r="AD180" i="5"/>
  <c r="AJ180" i="5" s="1"/>
  <c r="AC180" i="5"/>
  <c r="AI180" i="5" s="1"/>
  <c r="AB180" i="5"/>
  <c r="AH180" i="5" s="1"/>
  <c r="AA180" i="5"/>
  <c r="AG180" i="5" s="1"/>
  <c r="AE180" i="5"/>
  <c r="AK180" i="5" s="1"/>
  <c r="K180" i="5"/>
  <c r="L180" i="5" s="1"/>
  <c r="M180" i="5" s="1"/>
  <c r="G180" i="5"/>
  <c r="F180" i="5"/>
  <c r="AD179" i="5"/>
  <c r="AJ179" i="5" s="1"/>
  <c r="AC179" i="5"/>
  <c r="AI179" i="5" s="1"/>
  <c r="AB179" i="5"/>
  <c r="AH179" i="5" s="1"/>
  <c r="AA179" i="5"/>
  <c r="AG179" i="5" s="1"/>
  <c r="AE179" i="5"/>
  <c r="AK179" i="5" s="1"/>
  <c r="L179" i="5"/>
  <c r="M179" i="5" s="1"/>
  <c r="K179" i="5"/>
  <c r="G179" i="5"/>
  <c r="F179" i="5"/>
  <c r="AD178" i="5"/>
  <c r="AJ178" i="5" s="1"/>
  <c r="AC178" i="5"/>
  <c r="AI178" i="5" s="1"/>
  <c r="AB178" i="5"/>
  <c r="AH178" i="5" s="1"/>
  <c r="AA178" i="5"/>
  <c r="AG178" i="5" s="1"/>
  <c r="AE178" i="5"/>
  <c r="AK178" i="5" s="1"/>
  <c r="K178" i="5"/>
  <c r="L178" i="5" s="1"/>
  <c r="M178" i="5" s="1"/>
  <c r="G178" i="5"/>
  <c r="F178" i="5"/>
  <c r="AD177" i="5"/>
  <c r="AJ177" i="5" s="1"/>
  <c r="AC177" i="5"/>
  <c r="AI177" i="5" s="1"/>
  <c r="AB177" i="5"/>
  <c r="AH177" i="5" s="1"/>
  <c r="AA177" i="5"/>
  <c r="AG177" i="5" s="1"/>
  <c r="AE177" i="5"/>
  <c r="AK177" i="5" s="1"/>
  <c r="K177" i="5"/>
  <c r="L177" i="5" s="1"/>
  <c r="M177" i="5" s="1"/>
  <c r="G177" i="5"/>
  <c r="F177" i="5"/>
  <c r="AD176" i="5"/>
  <c r="AJ176" i="5" s="1"/>
  <c r="AC176" i="5"/>
  <c r="AI176" i="5" s="1"/>
  <c r="AB176" i="5"/>
  <c r="AH176" i="5" s="1"/>
  <c r="AA176" i="5"/>
  <c r="AG176" i="5" s="1"/>
  <c r="K176" i="5"/>
  <c r="AE176" i="5"/>
  <c r="AK176" i="5" s="1"/>
  <c r="G176" i="5"/>
  <c r="F176" i="5"/>
  <c r="AD175" i="5"/>
  <c r="AJ175" i="5" s="1"/>
  <c r="AC175" i="5"/>
  <c r="AI175" i="5" s="1"/>
  <c r="AB175" i="5"/>
  <c r="AH175" i="5" s="1"/>
  <c r="AA175" i="5"/>
  <c r="AG175" i="5" s="1"/>
  <c r="K175" i="5"/>
  <c r="L175" i="5" s="1"/>
  <c r="M175" i="5" s="1"/>
  <c r="AE175" i="5"/>
  <c r="AK175" i="5" s="1"/>
  <c r="G175" i="5"/>
  <c r="F175" i="5"/>
  <c r="AG174" i="5"/>
  <c r="AD174" i="5"/>
  <c r="AJ174" i="5" s="1"/>
  <c r="AC174" i="5"/>
  <c r="AI174" i="5" s="1"/>
  <c r="AB174" i="5"/>
  <c r="AH174" i="5" s="1"/>
  <c r="AA174" i="5"/>
  <c r="AE174" i="5"/>
  <c r="AK174" i="5" s="1"/>
  <c r="K174" i="5"/>
  <c r="L174" i="5" s="1"/>
  <c r="M174" i="5" s="1"/>
  <c r="G174" i="5"/>
  <c r="F174" i="5"/>
  <c r="AD173" i="5"/>
  <c r="AJ173" i="5" s="1"/>
  <c r="AC173" i="5"/>
  <c r="AI173" i="5" s="1"/>
  <c r="AB173" i="5"/>
  <c r="AH173" i="5" s="1"/>
  <c r="AA173" i="5"/>
  <c r="AG173" i="5" s="1"/>
  <c r="AE173" i="5"/>
  <c r="AK173" i="5" s="1"/>
  <c r="L173" i="5"/>
  <c r="M173" i="5" s="1"/>
  <c r="K173" i="5"/>
  <c r="G173" i="5"/>
  <c r="F173" i="5"/>
  <c r="AJ172" i="5"/>
  <c r="AI172" i="5"/>
  <c r="AD172" i="5"/>
  <c r="AC172" i="5"/>
  <c r="AB172" i="5"/>
  <c r="AH172" i="5" s="1"/>
  <c r="AA172" i="5"/>
  <c r="AG172" i="5" s="1"/>
  <c r="AE172" i="5"/>
  <c r="AK172" i="5" s="1"/>
  <c r="K172" i="5"/>
  <c r="L172" i="5" s="1"/>
  <c r="M172" i="5" s="1"/>
  <c r="G172" i="5"/>
  <c r="F172" i="5"/>
  <c r="AD171" i="5"/>
  <c r="AJ171" i="5" s="1"/>
  <c r="AC171" i="5"/>
  <c r="AI171" i="5" s="1"/>
  <c r="AB171" i="5"/>
  <c r="AH171" i="5" s="1"/>
  <c r="AA171" i="5"/>
  <c r="AG171" i="5" s="1"/>
  <c r="L171" i="5"/>
  <c r="M171" i="5" s="1"/>
  <c r="K171" i="5"/>
  <c r="AE171" i="5"/>
  <c r="AK171" i="5" s="1"/>
  <c r="AD170" i="5"/>
  <c r="AJ170" i="5" s="1"/>
  <c r="AC170" i="5"/>
  <c r="AI170" i="5" s="1"/>
  <c r="AB170" i="5"/>
  <c r="AH170" i="5" s="1"/>
  <c r="AA170" i="5"/>
  <c r="AG170" i="5" s="1"/>
  <c r="AE170" i="5"/>
  <c r="AK170" i="5" s="1"/>
  <c r="K170" i="5"/>
  <c r="L170" i="5" s="1"/>
  <c r="M170" i="5" s="1"/>
  <c r="G170" i="5"/>
  <c r="F170" i="5"/>
  <c r="AD169" i="5"/>
  <c r="AJ169" i="5" s="1"/>
  <c r="AC169" i="5"/>
  <c r="AI169" i="5" s="1"/>
  <c r="AB169" i="5"/>
  <c r="AH169" i="5" s="1"/>
  <c r="AA169" i="5"/>
  <c r="AG169" i="5" s="1"/>
  <c r="AE169" i="5"/>
  <c r="AK169" i="5" s="1"/>
  <c r="K169" i="5"/>
  <c r="L169" i="5" s="1"/>
  <c r="F169" i="5"/>
  <c r="AD168" i="5"/>
  <c r="AJ168" i="5" s="1"/>
  <c r="AC168" i="5"/>
  <c r="AI168" i="5" s="1"/>
  <c r="AB168" i="5"/>
  <c r="AH168" i="5" s="1"/>
  <c r="AA168" i="5"/>
  <c r="AG168" i="5" s="1"/>
  <c r="AE168" i="5"/>
  <c r="AK168" i="5" s="1"/>
  <c r="K168" i="5"/>
  <c r="L168" i="5" s="1"/>
  <c r="E168" i="5"/>
  <c r="F168" i="5" s="1"/>
  <c r="AD167" i="5"/>
  <c r="AJ167" i="5" s="1"/>
  <c r="AC167" i="5"/>
  <c r="AI167" i="5" s="1"/>
  <c r="AB167" i="5"/>
  <c r="AH167" i="5" s="1"/>
  <c r="AA167" i="5"/>
  <c r="AG167" i="5" s="1"/>
  <c r="AE167" i="5"/>
  <c r="AK167" i="5" s="1"/>
  <c r="L167" i="5"/>
  <c r="M167" i="5" s="1"/>
  <c r="K167" i="5"/>
  <c r="G167" i="5"/>
  <c r="F167" i="5"/>
  <c r="AG166" i="5"/>
  <c r="AD166" i="5"/>
  <c r="AJ166" i="5" s="1"/>
  <c r="AC166" i="5"/>
  <c r="AI166" i="5" s="1"/>
  <c r="AB166" i="5"/>
  <c r="AH166" i="5" s="1"/>
  <c r="AA166" i="5"/>
  <c r="AE166" i="5"/>
  <c r="AK166" i="5" s="1"/>
  <c r="K166" i="5"/>
  <c r="L166" i="5" s="1"/>
  <c r="M166" i="5" s="1"/>
  <c r="G166" i="5"/>
  <c r="F166" i="5"/>
  <c r="AD165" i="5"/>
  <c r="AJ165" i="5" s="1"/>
  <c r="AC165" i="5"/>
  <c r="AI165" i="5" s="1"/>
  <c r="AB165" i="5"/>
  <c r="AH165" i="5" s="1"/>
  <c r="AA165" i="5"/>
  <c r="AG165" i="5" s="1"/>
  <c r="AE165" i="5"/>
  <c r="AK165" i="5" s="1"/>
  <c r="L165" i="5"/>
  <c r="M165" i="5" s="1"/>
  <c r="K165" i="5"/>
  <c r="G165" i="5"/>
  <c r="E165" i="5"/>
  <c r="F165" i="5" s="1"/>
  <c r="AD164" i="5"/>
  <c r="AJ164" i="5" s="1"/>
  <c r="AC164" i="5"/>
  <c r="AI164" i="5" s="1"/>
  <c r="AB164" i="5"/>
  <c r="AH164" i="5" s="1"/>
  <c r="AA164" i="5"/>
  <c r="AG164" i="5" s="1"/>
  <c r="AE164" i="5"/>
  <c r="AK164" i="5" s="1"/>
  <c r="L164" i="5"/>
  <c r="M164" i="5" s="1"/>
  <c r="K164" i="5"/>
  <c r="G164" i="5"/>
  <c r="F164" i="5"/>
  <c r="AD163" i="5"/>
  <c r="AJ163" i="5" s="1"/>
  <c r="AC163" i="5"/>
  <c r="AI163" i="5" s="1"/>
  <c r="AB163" i="5"/>
  <c r="AH163" i="5" s="1"/>
  <c r="AA163" i="5"/>
  <c r="AG163" i="5" s="1"/>
  <c r="AE163" i="5"/>
  <c r="AK163" i="5" s="1"/>
  <c r="L163" i="5"/>
  <c r="M163" i="5" s="1"/>
  <c r="K163" i="5"/>
  <c r="G163" i="5"/>
  <c r="F163" i="5"/>
  <c r="AD162" i="5"/>
  <c r="AJ162" i="5" s="1"/>
  <c r="AC162" i="5"/>
  <c r="AI162" i="5" s="1"/>
  <c r="AB162" i="5"/>
  <c r="AH162" i="5" s="1"/>
  <c r="AA162" i="5"/>
  <c r="AG162" i="5" s="1"/>
  <c r="AE162" i="5"/>
  <c r="AK162" i="5" s="1"/>
  <c r="L162" i="5"/>
  <c r="M162" i="5" s="1"/>
  <c r="K162" i="5"/>
  <c r="G162" i="5"/>
  <c r="F162" i="5"/>
  <c r="AD161" i="5"/>
  <c r="AJ161" i="5" s="1"/>
  <c r="AC161" i="5"/>
  <c r="AI161" i="5" s="1"/>
  <c r="AB161" i="5"/>
  <c r="AH161" i="5" s="1"/>
  <c r="AA161" i="5"/>
  <c r="AG161" i="5" s="1"/>
  <c r="AE161" i="5"/>
  <c r="AK161" i="5" s="1"/>
  <c r="K161" i="5"/>
  <c r="L161" i="5" s="1"/>
  <c r="M161" i="5" s="1"/>
  <c r="G161" i="5"/>
  <c r="F161" i="5"/>
  <c r="AD160" i="5"/>
  <c r="AJ160" i="5" s="1"/>
  <c r="AC160" i="5"/>
  <c r="AI160" i="5" s="1"/>
  <c r="AB160" i="5"/>
  <c r="AH160" i="5" s="1"/>
  <c r="AA160" i="5"/>
  <c r="AG160" i="5" s="1"/>
  <c r="AE160" i="5"/>
  <c r="AK160" i="5" s="1"/>
  <c r="L160" i="5"/>
  <c r="M160" i="5" s="1"/>
  <c r="K160" i="5"/>
  <c r="G160" i="5"/>
  <c r="F160" i="5"/>
  <c r="AD159" i="5"/>
  <c r="AJ159" i="5" s="1"/>
  <c r="AC159" i="5"/>
  <c r="AI159" i="5" s="1"/>
  <c r="AB159" i="5"/>
  <c r="AH159" i="5" s="1"/>
  <c r="AA159" i="5"/>
  <c r="AG159" i="5" s="1"/>
  <c r="AE159" i="5"/>
  <c r="AK159" i="5" s="1"/>
  <c r="K159" i="5"/>
  <c r="L159" i="5" s="1"/>
  <c r="M159" i="5" s="1"/>
  <c r="G159" i="5"/>
  <c r="F159" i="5"/>
  <c r="AD158" i="5"/>
  <c r="AJ158" i="5" s="1"/>
  <c r="AC158" i="5"/>
  <c r="AI158" i="5" s="1"/>
  <c r="AB158" i="5"/>
  <c r="AH158" i="5" s="1"/>
  <c r="AA158" i="5"/>
  <c r="AG158" i="5" s="1"/>
  <c r="AE158" i="5"/>
  <c r="AK158" i="5" s="1"/>
  <c r="L158" i="5"/>
  <c r="M158" i="5" s="1"/>
  <c r="K158" i="5"/>
  <c r="G158" i="5"/>
  <c r="F158" i="5"/>
  <c r="AD157" i="5"/>
  <c r="AJ157" i="5" s="1"/>
  <c r="AC157" i="5"/>
  <c r="AI157" i="5" s="1"/>
  <c r="AB157" i="5"/>
  <c r="AH157" i="5" s="1"/>
  <c r="AA157" i="5"/>
  <c r="AG157" i="5" s="1"/>
  <c r="AE157" i="5"/>
  <c r="AK157" i="5" s="1"/>
  <c r="L157" i="5"/>
  <c r="M157" i="5" s="1"/>
  <c r="K157" i="5"/>
  <c r="G157" i="5"/>
  <c r="F157" i="5"/>
  <c r="AD156" i="5"/>
  <c r="AJ156" i="5" s="1"/>
  <c r="AC156" i="5"/>
  <c r="AI156" i="5" s="1"/>
  <c r="AB156" i="5"/>
  <c r="AH156" i="5" s="1"/>
  <c r="AA156" i="5"/>
  <c r="AG156" i="5" s="1"/>
  <c r="AE156" i="5"/>
  <c r="AK156" i="5" s="1"/>
  <c r="K156" i="5"/>
  <c r="L156" i="5" s="1"/>
  <c r="M156" i="5" s="1"/>
  <c r="G156" i="5"/>
  <c r="F156" i="5"/>
  <c r="AH155" i="5"/>
  <c r="AD155" i="5"/>
  <c r="AJ155" i="5" s="1"/>
  <c r="AC155" i="5"/>
  <c r="AI155" i="5" s="1"/>
  <c r="AB155" i="5"/>
  <c r="AA155" i="5"/>
  <c r="AG155" i="5" s="1"/>
  <c r="AE155" i="5"/>
  <c r="AK155" i="5" s="1"/>
  <c r="M155" i="5"/>
  <c r="K155" i="5"/>
  <c r="L155" i="5" s="1"/>
  <c r="G155" i="5"/>
  <c r="F155" i="5"/>
  <c r="AD154" i="5"/>
  <c r="AJ154" i="5" s="1"/>
  <c r="AC154" i="5"/>
  <c r="AI154" i="5" s="1"/>
  <c r="AB154" i="5"/>
  <c r="AH154" i="5" s="1"/>
  <c r="AA154" i="5"/>
  <c r="AG154" i="5" s="1"/>
  <c r="AE154" i="5"/>
  <c r="AK154" i="5" s="1"/>
  <c r="L154" i="5"/>
  <c r="M154" i="5" s="1"/>
  <c r="K154" i="5"/>
  <c r="G154" i="5"/>
  <c r="F154" i="5"/>
  <c r="AD153" i="5"/>
  <c r="AJ153" i="5" s="1"/>
  <c r="AC153" i="5"/>
  <c r="AI153" i="5" s="1"/>
  <c r="AB153" i="5"/>
  <c r="AH153" i="5" s="1"/>
  <c r="AA153" i="5"/>
  <c r="AG153" i="5" s="1"/>
  <c r="AE153" i="5"/>
  <c r="AK153" i="5" s="1"/>
  <c r="K153" i="5"/>
  <c r="L153" i="5" s="1"/>
  <c r="M153" i="5" s="1"/>
  <c r="G153" i="5"/>
  <c r="F153" i="5"/>
  <c r="AD152" i="5"/>
  <c r="AJ152" i="5" s="1"/>
  <c r="AC152" i="5"/>
  <c r="AI152" i="5" s="1"/>
  <c r="AB152" i="5"/>
  <c r="AH152" i="5" s="1"/>
  <c r="AA152" i="5"/>
  <c r="AG152" i="5" s="1"/>
  <c r="AE152" i="5"/>
  <c r="AK152" i="5" s="1"/>
  <c r="K152" i="5"/>
  <c r="L152" i="5" s="1"/>
  <c r="M152" i="5" s="1"/>
  <c r="E152" i="5"/>
  <c r="F152" i="5" s="1"/>
  <c r="AD151" i="5"/>
  <c r="AJ151" i="5" s="1"/>
  <c r="AC151" i="5"/>
  <c r="AI151" i="5" s="1"/>
  <c r="AB151" i="5"/>
  <c r="AH151" i="5" s="1"/>
  <c r="AA151" i="5"/>
  <c r="AG151" i="5" s="1"/>
  <c r="AE151" i="5"/>
  <c r="AK151" i="5" s="1"/>
  <c r="L151" i="5"/>
  <c r="M151" i="5" s="1"/>
  <c r="K151" i="5"/>
  <c r="F151" i="5"/>
  <c r="AD150" i="5"/>
  <c r="AJ150" i="5" s="1"/>
  <c r="AC150" i="5"/>
  <c r="AI150" i="5" s="1"/>
  <c r="AB150" i="5"/>
  <c r="AH150" i="5" s="1"/>
  <c r="AA150" i="5"/>
  <c r="AG150" i="5" s="1"/>
  <c r="AE150" i="5"/>
  <c r="AK150" i="5" s="1"/>
  <c r="K150" i="5"/>
  <c r="L150" i="5" s="1"/>
  <c r="M150" i="5" s="1"/>
  <c r="F150" i="5"/>
  <c r="AD149" i="5"/>
  <c r="AJ149" i="5" s="1"/>
  <c r="AC149" i="5"/>
  <c r="AI149" i="5" s="1"/>
  <c r="AB149" i="5"/>
  <c r="AH149" i="5" s="1"/>
  <c r="AA149" i="5"/>
  <c r="AG149" i="5" s="1"/>
  <c r="AE149" i="5"/>
  <c r="AK149" i="5" s="1"/>
  <c r="K149" i="5"/>
  <c r="L149" i="5" s="1"/>
  <c r="M149" i="5" s="1"/>
  <c r="G149" i="5"/>
  <c r="F149" i="5"/>
  <c r="AD148" i="5"/>
  <c r="AJ148" i="5" s="1"/>
  <c r="AC148" i="5"/>
  <c r="AI148" i="5" s="1"/>
  <c r="AB148" i="5"/>
  <c r="AH148" i="5" s="1"/>
  <c r="AA148" i="5"/>
  <c r="AG148" i="5" s="1"/>
  <c r="AE148" i="5"/>
  <c r="AK148" i="5" s="1"/>
  <c r="K148" i="5"/>
  <c r="L148" i="5" s="1"/>
  <c r="M148" i="5" s="1"/>
  <c r="G148" i="5"/>
  <c r="F148" i="5"/>
  <c r="AD147" i="5"/>
  <c r="AJ147" i="5" s="1"/>
  <c r="AC147" i="5"/>
  <c r="AI147" i="5" s="1"/>
  <c r="AB147" i="5"/>
  <c r="AH147" i="5" s="1"/>
  <c r="AA147" i="5"/>
  <c r="AG147" i="5" s="1"/>
  <c r="AE147" i="5"/>
  <c r="AK147" i="5" s="1"/>
  <c r="K147" i="5"/>
  <c r="L147" i="5" s="1"/>
  <c r="M147" i="5" s="1"/>
  <c r="G147" i="5"/>
  <c r="F147" i="5"/>
  <c r="AD146" i="5"/>
  <c r="AJ146" i="5" s="1"/>
  <c r="AC146" i="5"/>
  <c r="AI146" i="5" s="1"/>
  <c r="AB146" i="5"/>
  <c r="AH146" i="5" s="1"/>
  <c r="AA146" i="5"/>
  <c r="AG146" i="5" s="1"/>
  <c r="AE146" i="5"/>
  <c r="AK146" i="5" s="1"/>
  <c r="K146" i="5"/>
  <c r="L146" i="5" s="1"/>
  <c r="M146" i="5" s="1"/>
  <c r="G146" i="5"/>
  <c r="F146" i="5"/>
  <c r="AD145" i="5"/>
  <c r="AJ145" i="5" s="1"/>
  <c r="AC145" i="5"/>
  <c r="AI145" i="5" s="1"/>
  <c r="AB145" i="5"/>
  <c r="AH145" i="5" s="1"/>
  <c r="AA145" i="5"/>
  <c r="AG145" i="5" s="1"/>
  <c r="AE145" i="5"/>
  <c r="AK145" i="5" s="1"/>
  <c r="K145" i="5"/>
  <c r="L145" i="5" s="1"/>
  <c r="M145" i="5" s="1"/>
  <c r="G145" i="5"/>
  <c r="F145" i="5"/>
  <c r="AD144" i="5"/>
  <c r="AJ144" i="5" s="1"/>
  <c r="AC144" i="5"/>
  <c r="AI144" i="5" s="1"/>
  <c r="AB144" i="5"/>
  <c r="AH144" i="5" s="1"/>
  <c r="AA144" i="5"/>
  <c r="AG144" i="5" s="1"/>
  <c r="AE144" i="5"/>
  <c r="AK144" i="5" s="1"/>
  <c r="K144" i="5"/>
  <c r="L144" i="5" s="1"/>
  <c r="M144" i="5" s="1"/>
  <c r="G144" i="5"/>
  <c r="F144" i="5"/>
  <c r="AD143" i="5"/>
  <c r="AJ143" i="5" s="1"/>
  <c r="AC143" i="5"/>
  <c r="AI143" i="5" s="1"/>
  <c r="AB143" i="5"/>
  <c r="AH143" i="5" s="1"/>
  <c r="AA143" i="5"/>
  <c r="AG143" i="5" s="1"/>
  <c r="AE143" i="5"/>
  <c r="AK143" i="5" s="1"/>
  <c r="K143" i="5"/>
  <c r="L143" i="5" s="1"/>
  <c r="M143" i="5" s="1"/>
  <c r="G143" i="5"/>
  <c r="F143" i="5"/>
  <c r="AD142" i="5"/>
  <c r="AJ142" i="5" s="1"/>
  <c r="AC142" i="5"/>
  <c r="AI142" i="5" s="1"/>
  <c r="AB142" i="5"/>
  <c r="AH142" i="5" s="1"/>
  <c r="AA142" i="5"/>
  <c r="AG142" i="5" s="1"/>
  <c r="AE142" i="5"/>
  <c r="AK142" i="5" s="1"/>
  <c r="K142" i="5"/>
  <c r="L142" i="5" s="1"/>
  <c r="M142" i="5" s="1"/>
  <c r="G142" i="5"/>
  <c r="F142" i="5"/>
  <c r="AD141" i="5"/>
  <c r="AJ141" i="5" s="1"/>
  <c r="AC141" i="5"/>
  <c r="AI141" i="5" s="1"/>
  <c r="AB141" i="5"/>
  <c r="AH141" i="5" s="1"/>
  <c r="AA141" i="5"/>
  <c r="AG141" i="5" s="1"/>
  <c r="AE141" i="5"/>
  <c r="AK141" i="5" s="1"/>
  <c r="K141" i="5"/>
  <c r="L141" i="5" s="1"/>
  <c r="M141" i="5" s="1"/>
  <c r="G141" i="5"/>
  <c r="F141" i="5"/>
  <c r="AD140" i="5"/>
  <c r="AJ140" i="5" s="1"/>
  <c r="AC140" i="5"/>
  <c r="AI140" i="5" s="1"/>
  <c r="AB140" i="5"/>
  <c r="AH140" i="5" s="1"/>
  <c r="AA140" i="5"/>
  <c r="AG140" i="5" s="1"/>
  <c r="AE140" i="5"/>
  <c r="AK140" i="5" s="1"/>
  <c r="K140" i="5"/>
  <c r="L140" i="5" s="1"/>
  <c r="M140" i="5" s="1"/>
  <c r="G140" i="5"/>
  <c r="F140" i="5"/>
  <c r="AE138" i="5"/>
  <c r="AK138" i="5" s="1"/>
  <c r="AC138" i="5"/>
  <c r="AI138" i="5" s="1"/>
  <c r="AB138" i="5"/>
  <c r="AH138" i="5" s="1"/>
  <c r="AA138" i="5"/>
  <c r="AG138" i="5" s="1"/>
  <c r="AD138" i="5"/>
  <c r="AJ138" i="5" s="1"/>
  <c r="K138" i="5"/>
  <c r="I138" i="5"/>
  <c r="G138" i="5"/>
  <c r="F138" i="5"/>
  <c r="AE137" i="5"/>
  <c r="AK137" i="5" s="1"/>
  <c r="AD137" i="5"/>
  <c r="AJ137" i="5" s="1"/>
  <c r="AC137" i="5"/>
  <c r="AI137" i="5" s="1"/>
  <c r="AB137" i="5"/>
  <c r="AH137" i="5" s="1"/>
  <c r="AA137" i="5"/>
  <c r="AG137" i="5" s="1"/>
  <c r="L137" i="5"/>
  <c r="M137" i="5" s="1"/>
  <c r="K137" i="5"/>
  <c r="G137" i="5"/>
  <c r="F137" i="5"/>
  <c r="AH136" i="5"/>
  <c r="AE136" i="5"/>
  <c r="AK136" i="5" s="1"/>
  <c r="AC136" i="5"/>
  <c r="AI136" i="5" s="1"/>
  <c r="AB136" i="5"/>
  <c r="AA136" i="5"/>
  <c r="AG136" i="5" s="1"/>
  <c r="AD136" i="5"/>
  <c r="AJ136" i="5" s="1"/>
  <c r="M136" i="5"/>
  <c r="K136" i="5"/>
  <c r="L136" i="5" s="1"/>
  <c r="G136" i="5"/>
  <c r="H136" i="5" s="1"/>
  <c r="F136" i="5"/>
  <c r="AE135" i="5"/>
  <c r="AK135" i="5" s="1"/>
  <c r="AC135" i="5"/>
  <c r="AI135" i="5" s="1"/>
  <c r="AB135" i="5"/>
  <c r="AH135" i="5" s="1"/>
  <c r="AA135" i="5"/>
  <c r="AG135" i="5" s="1"/>
  <c r="AD135" i="5"/>
  <c r="AJ135" i="5" s="1"/>
  <c r="K135" i="5"/>
  <c r="L135" i="5" s="1"/>
  <c r="M135" i="5" s="1"/>
  <c r="G135" i="5"/>
  <c r="H135" i="5" s="1"/>
  <c r="F135" i="5"/>
  <c r="AE134" i="5"/>
  <c r="AK134" i="5" s="1"/>
  <c r="AC134" i="5"/>
  <c r="AI134" i="5" s="1"/>
  <c r="AB134" i="5"/>
  <c r="AH134" i="5" s="1"/>
  <c r="AA134" i="5"/>
  <c r="AG134" i="5" s="1"/>
  <c r="AD134" i="5"/>
  <c r="AJ134" i="5" s="1"/>
  <c r="M134" i="5"/>
  <c r="K134" i="5"/>
  <c r="L134" i="5" s="1"/>
  <c r="G134" i="5"/>
  <c r="F134" i="5"/>
  <c r="AE133" i="5"/>
  <c r="AK133" i="5" s="1"/>
  <c r="AC133" i="5"/>
  <c r="AI133" i="5" s="1"/>
  <c r="AB133" i="5"/>
  <c r="AH133" i="5" s="1"/>
  <c r="AA133" i="5"/>
  <c r="AG133" i="5" s="1"/>
  <c r="AD133" i="5"/>
  <c r="AJ133" i="5" s="1"/>
  <c r="K133" i="5"/>
  <c r="L133" i="5" s="1"/>
  <c r="M133" i="5" s="1"/>
  <c r="G133" i="5"/>
  <c r="F133" i="5"/>
  <c r="H133" i="5" s="1"/>
  <c r="AE132" i="5"/>
  <c r="AK132" i="5" s="1"/>
  <c r="AC132" i="5"/>
  <c r="AI132" i="5" s="1"/>
  <c r="AB132" i="5"/>
  <c r="AH132" i="5" s="1"/>
  <c r="AA132" i="5"/>
  <c r="AG132" i="5" s="1"/>
  <c r="AD132" i="5"/>
  <c r="AJ132" i="5" s="1"/>
  <c r="K132" i="5"/>
  <c r="L132" i="5" s="1"/>
  <c r="M132" i="5" s="1"/>
  <c r="G132" i="5"/>
  <c r="H132" i="5" s="1"/>
  <c r="F132" i="5"/>
  <c r="AE131" i="5"/>
  <c r="AK131" i="5" s="1"/>
  <c r="AC131" i="5"/>
  <c r="AI131" i="5" s="1"/>
  <c r="AB131" i="5"/>
  <c r="AH131" i="5" s="1"/>
  <c r="AA131" i="5"/>
  <c r="AG131" i="5" s="1"/>
  <c r="AD131" i="5"/>
  <c r="AJ131" i="5" s="1"/>
  <c r="K131" i="5"/>
  <c r="L131" i="5" s="1"/>
  <c r="M131" i="5" s="1"/>
  <c r="G131" i="5"/>
  <c r="H131" i="5" s="1"/>
  <c r="F131" i="5"/>
  <c r="AE130" i="5"/>
  <c r="AK130" i="5" s="1"/>
  <c r="AD130" i="5"/>
  <c r="AJ130" i="5" s="1"/>
  <c r="AC130" i="5"/>
  <c r="AI130" i="5" s="1"/>
  <c r="AB130" i="5"/>
  <c r="AH130" i="5" s="1"/>
  <c r="AA130" i="5"/>
  <c r="AG130" i="5" s="1"/>
  <c r="K130" i="5"/>
  <c r="L130" i="5" s="1"/>
  <c r="M130" i="5" s="1"/>
  <c r="G130" i="5"/>
  <c r="F130" i="5"/>
  <c r="AE128" i="5"/>
  <c r="AK128" i="5" s="1"/>
  <c r="AD128" i="5"/>
  <c r="AJ128" i="5" s="1"/>
  <c r="AC128" i="5"/>
  <c r="AI128" i="5" s="1"/>
  <c r="AB128" i="5"/>
  <c r="AH128" i="5" s="1"/>
  <c r="AA128" i="5"/>
  <c r="AG128" i="5" s="1"/>
  <c r="M128" i="5"/>
  <c r="L128" i="5"/>
  <c r="K128" i="5"/>
  <c r="G128" i="5"/>
  <c r="F128" i="5"/>
  <c r="H128" i="5" s="1"/>
  <c r="AE127" i="5"/>
  <c r="AK127" i="5" s="1"/>
  <c r="AD127" i="5"/>
  <c r="AJ127" i="5" s="1"/>
  <c r="AB127" i="5"/>
  <c r="AH127" i="5" s="1"/>
  <c r="AA127" i="5"/>
  <c r="AG127" i="5" s="1"/>
  <c r="AC127" i="5"/>
  <c r="AI127" i="5" s="1"/>
  <c r="K127" i="5"/>
  <c r="L127" i="5" s="1"/>
  <c r="M127" i="5" s="1"/>
  <c r="G127" i="5"/>
  <c r="H127" i="5" s="1"/>
  <c r="F127" i="5"/>
  <c r="AE126" i="5"/>
  <c r="AK126" i="5" s="1"/>
  <c r="AD126" i="5"/>
  <c r="AJ126" i="5" s="1"/>
  <c r="AB126" i="5"/>
  <c r="AH126" i="5" s="1"/>
  <c r="AA126" i="5"/>
  <c r="AG126" i="5" s="1"/>
  <c r="AC126" i="5"/>
  <c r="AI126" i="5" s="1"/>
  <c r="L126" i="5"/>
  <c r="M126" i="5" s="1"/>
  <c r="K126" i="5"/>
  <c r="G126" i="5"/>
  <c r="F126" i="5"/>
  <c r="AE125" i="5"/>
  <c r="AK125" i="5" s="1"/>
  <c r="AD125" i="5"/>
  <c r="AJ125" i="5" s="1"/>
  <c r="AB125" i="5"/>
  <c r="AH125" i="5" s="1"/>
  <c r="AA125" i="5"/>
  <c r="AG125" i="5" s="1"/>
  <c r="AC125" i="5"/>
  <c r="AI125" i="5" s="1"/>
  <c r="L125" i="5"/>
  <c r="M125" i="5" s="1"/>
  <c r="K125" i="5"/>
  <c r="G125" i="5"/>
  <c r="F125" i="5"/>
  <c r="AE124" i="5"/>
  <c r="AK124" i="5" s="1"/>
  <c r="AD124" i="5"/>
  <c r="AJ124" i="5" s="1"/>
  <c r="AB124" i="5"/>
  <c r="AH124" i="5" s="1"/>
  <c r="AA124" i="5"/>
  <c r="AG124" i="5" s="1"/>
  <c r="AC124" i="5"/>
  <c r="AI124" i="5" s="1"/>
  <c r="K124" i="5"/>
  <c r="L124" i="5" s="1"/>
  <c r="M124" i="5" s="1"/>
  <c r="G124" i="5"/>
  <c r="F124" i="5"/>
  <c r="AE123" i="5"/>
  <c r="AK123" i="5" s="1"/>
  <c r="AD123" i="5"/>
  <c r="AJ123" i="5" s="1"/>
  <c r="AB123" i="5"/>
  <c r="AH123" i="5" s="1"/>
  <c r="AA123" i="5"/>
  <c r="AG123" i="5" s="1"/>
  <c r="AC123" i="5"/>
  <c r="AI123" i="5" s="1"/>
  <c r="L123" i="5"/>
  <c r="M123" i="5" s="1"/>
  <c r="K123" i="5"/>
  <c r="G123" i="5"/>
  <c r="F123" i="5"/>
  <c r="H123" i="5" s="1"/>
  <c r="AE122" i="5"/>
  <c r="AK122" i="5" s="1"/>
  <c r="AD122" i="5"/>
  <c r="AJ122" i="5" s="1"/>
  <c r="AB122" i="5"/>
  <c r="AH122" i="5" s="1"/>
  <c r="AA122" i="5"/>
  <c r="AG122" i="5" s="1"/>
  <c r="AC122" i="5"/>
  <c r="AI122" i="5" s="1"/>
  <c r="K122" i="5"/>
  <c r="L122" i="5" s="1"/>
  <c r="M122" i="5" s="1"/>
  <c r="G122" i="5"/>
  <c r="F122" i="5"/>
  <c r="H122" i="5" s="1"/>
  <c r="AE121" i="5"/>
  <c r="AK121" i="5" s="1"/>
  <c r="AD121" i="5"/>
  <c r="AJ121" i="5" s="1"/>
  <c r="AB121" i="5"/>
  <c r="AH121" i="5" s="1"/>
  <c r="AA121" i="5"/>
  <c r="AG121" i="5" s="1"/>
  <c r="AC121" i="5"/>
  <c r="AI121" i="5" s="1"/>
  <c r="K121" i="5"/>
  <c r="L121" i="5" s="1"/>
  <c r="M121" i="5" s="1"/>
  <c r="G121" i="5"/>
  <c r="F121" i="5"/>
  <c r="AE120" i="5"/>
  <c r="AK120" i="5" s="1"/>
  <c r="AD120" i="5"/>
  <c r="AJ120" i="5" s="1"/>
  <c r="AC120" i="5"/>
  <c r="AI120" i="5" s="1"/>
  <c r="AB120" i="5"/>
  <c r="AH120" i="5" s="1"/>
  <c r="AA120" i="5"/>
  <c r="AG120" i="5" s="1"/>
  <c r="L120" i="5"/>
  <c r="M120" i="5" s="1"/>
  <c r="K120" i="5"/>
  <c r="G120" i="5"/>
  <c r="F120" i="5"/>
  <c r="H120" i="5" s="1"/>
  <c r="AE119" i="5"/>
  <c r="AK119" i="5" s="1"/>
  <c r="AD119" i="5"/>
  <c r="AJ119" i="5" s="1"/>
  <c r="AB119" i="5"/>
  <c r="AH119" i="5" s="1"/>
  <c r="AA119" i="5"/>
  <c r="AG119" i="5" s="1"/>
  <c r="AC119" i="5"/>
  <c r="AI119" i="5" s="1"/>
  <c r="K119" i="5"/>
  <c r="L119" i="5" s="1"/>
  <c r="M119" i="5" s="1"/>
  <c r="G119" i="5"/>
  <c r="H119" i="5" s="1"/>
  <c r="F119" i="5"/>
  <c r="AE118" i="5"/>
  <c r="AK118" i="5" s="1"/>
  <c r="AD118" i="5"/>
  <c r="AJ118" i="5" s="1"/>
  <c r="AC118" i="5"/>
  <c r="AI118" i="5" s="1"/>
  <c r="AB118" i="5"/>
  <c r="AH118" i="5" s="1"/>
  <c r="AA118" i="5"/>
  <c r="AG118" i="5" s="1"/>
  <c r="K118" i="5"/>
  <c r="L118" i="5" s="1"/>
  <c r="M118" i="5" s="1"/>
  <c r="G118" i="5"/>
  <c r="H118" i="5" s="1"/>
  <c r="F118" i="5"/>
  <c r="AE117" i="5"/>
  <c r="AK117" i="5" s="1"/>
  <c r="AD117" i="5"/>
  <c r="AJ117" i="5" s="1"/>
  <c r="AB117" i="5"/>
  <c r="AH117" i="5" s="1"/>
  <c r="AA117" i="5"/>
  <c r="AG117" i="5" s="1"/>
  <c r="AC117" i="5"/>
  <c r="AI117" i="5" s="1"/>
  <c r="K117" i="5"/>
  <c r="L117" i="5" s="1"/>
  <c r="M117" i="5" s="1"/>
  <c r="G117" i="5"/>
  <c r="F117" i="5"/>
  <c r="AE116" i="5"/>
  <c r="AK116" i="5" s="1"/>
  <c r="AD116" i="5"/>
  <c r="AJ116" i="5" s="1"/>
  <c r="AC116" i="5"/>
  <c r="AI116" i="5" s="1"/>
  <c r="AB116" i="5"/>
  <c r="AH116" i="5" s="1"/>
  <c r="AA116" i="5"/>
  <c r="AG116" i="5" s="1"/>
  <c r="L116" i="5"/>
  <c r="M116" i="5" s="1"/>
  <c r="K116" i="5"/>
  <c r="G116" i="5"/>
  <c r="F116" i="5"/>
  <c r="AH115" i="5"/>
  <c r="AE115" i="5"/>
  <c r="AK115" i="5" s="1"/>
  <c r="AD115" i="5"/>
  <c r="AJ115" i="5" s="1"/>
  <c r="AB115" i="5"/>
  <c r="AA115" i="5"/>
  <c r="AG115" i="5" s="1"/>
  <c r="AC115" i="5"/>
  <c r="AI115" i="5" s="1"/>
  <c r="K115" i="5"/>
  <c r="L115" i="5" s="1"/>
  <c r="M115" i="5" s="1"/>
  <c r="G115" i="5"/>
  <c r="F115" i="5"/>
  <c r="AE114" i="5"/>
  <c r="AK114" i="5" s="1"/>
  <c r="AD114" i="5"/>
  <c r="AJ114" i="5" s="1"/>
  <c r="AB114" i="5"/>
  <c r="AH114" i="5" s="1"/>
  <c r="AA114" i="5"/>
  <c r="AG114" i="5" s="1"/>
  <c r="AC114" i="5"/>
  <c r="AI114" i="5" s="1"/>
  <c r="K114" i="5"/>
  <c r="L114" i="5" s="1"/>
  <c r="M114" i="5" s="1"/>
  <c r="G114" i="5"/>
  <c r="F114" i="5"/>
  <c r="AE113" i="5"/>
  <c r="AK113" i="5" s="1"/>
  <c r="AD113" i="5"/>
  <c r="AJ113" i="5" s="1"/>
  <c r="AB113" i="5"/>
  <c r="AH113" i="5" s="1"/>
  <c r="AA113" i="5"/>
  <c r="AG113" i="5" s="1"/>
  <c r="AC113" i="5"/>
  <c r="AI113" i="5" s="1"/>
  <c r="M113" i="5"/>
  <c r="K113" i="5"/>
  <c r="L113" i="5" s="1"/>
  <c r="G113" i="5"/>
  <c r="F113" i="5"/>
  <c r="AE112" i="5"/>
  <c r="AK112" i="5" s="1"/>
  <c r="AD112" i="5"/>
  <c r="AJ112" i="5" s="1"/>
  <c r="AC112" i="5"/>
  <c r="AI112" i="5" s="1"/>
  <c r="AB112" i="5"/>
  <c r="AH112" i="5" s="1"/>
  <c r="AA112" i="5"/>
  <c r="AG112" i="5" s="1"/>
  <c r="K112" i="5"/>
  <c r="L112" i="5" s="1"/>
  <c r="M112" i="5" s="1"/>
  <c r="G112" i="5"/>
  <c r="F112" i="5"/>
  <c r="AE111" i="5"/>
  <c r="AK111" i="5" s="1"/>
  <c r="AD111" i="5"/>
  <c r="AJ111" i="5" s="1"/>
  <c r="AB111" i="5"/>
  <c r="AH111" i="5" s="1"/>
  <c r="AA111" i="5"/>
  <c r="AG111" i="5" s="1"/>
  <c r="AC111" i="5"/>
  <c r="AI111" i="5" s="1"/>
  <c r="K111" i="5"/>
  <c r="L111" i="5" s="1"/>
  <c r="M111" i="5" s="1"/>
  <c r="G111" i="5"/>
  <c r="F111" i="5"/>
  <c r="AE110" i="5"/>
  <c r="AK110" i="5" s="1"/>
  <c r="AD110" i="5"/>
  <c r="AJ110" i="5" s="1"/>
  <c r="AB110" i="5"/>
  <c r="AH110" i="5" s="1"/>
  <c r="AA110" i="5"/>
  <c r="AG110" i="5" s="1"/>
  <c r="K110" i="5"/>
  <c r="L110" i="5" s="1"/>
  <c r="M110" i="5" s="1"/>
  <c r="G110" i="5"/>
  <c r="F110" i="5"/>
  <c r="AE108" i="5"/>
  <c r="AK108" i="5" s="1"/>
  <c r="AD108" i="5"/>
  <c r="AJ108" i="5" s="1"/>
  <c r="AC108" i="5"/>
  <c r="AI108" i="5" s="1"/>
  <c r="AA108" i="5"/>
  <c r="AG108" i="5" s="1"/>
  <c r="AB108" i="5"/>
  <c r="AH108" i="5" s="1"/>
  <c r="L108" i="5"/>
  <c r="M108" i="5" s="1"/>
  <c r="K108" i="5"/>
  <c r="G108" i="5"/>
  <c r="AE107" i="5"/>
  <c r="AK107" i="5" s="1"/>
  <c r="AD107" i="5"/>
  <c r="AJ107" i="5" s="1"/>
  <c r="AC107" i="5"/>
  <c r="AI107" i="5" s="1"/>
  <c r="AA107" i="5"/>
  <c r="AG107" i="5" s="1"/>
  <c r="AB107" i="5"/>
  <c r="AH107" i="5" s="1"/>
  <c r="K107" i="5"/>
  <c r="L107" i="5" s="1"/>
  <c r="M107" i="5" s="1"/>
  <c r="G107" i="5"/>
  <c r="AE106" i="5"/>
  <c r="AK106" i="5" s="1"/>
  <c r="AD106" i="5"/>
  <c r="AJ106" i="5" s="1"/>
  <c r="AC106" i="5"/>
  <c r="AI106" i="5" s="1"/>
  <c r="AA106" i="5"/>
  <c r="AG106" i="5" s="1"/>
  <c r="AB106" i="5"/>
  <c r="AH106" i="5" s="1"/>
  <c r="K106" i="5"/>
  <c r="L106" i="5" s="1"/>
  <c r="M106" i="5" s="1"/>
  <c r="G106" i="5"/>
  <c r="AE105" i="5"/>
  <c r="AK105" i="5" s="1"/>
  <c r="AD105" i="5"/>
  <c r="AJ105" i="5" s="1"/>
  <c r="AC105" i="5"/>
  <c r="AI105" i="5" s="1"/>
  <c r="AA105" i="5"/>
  <c r="AG105" i="5" s="1"/>
  <c r="AB105" i="5"/>
  <c r="AH105" i="5" s="1"/>
  <c r="K105" i="5"/>
  <c r="L105" i="5" s="1"/>
  <c r="M105" i="5" s="1"/>
  <c r="G105" i="5"/>
  <c r="AE104" i="5"/>
  <c r="AK104" i="5" s="1"/>
  <c r="AD104" i="5"/>
  <c r="AJ104" i="5" s="1"/>
  <c r="AC104" i="5"/>
  <c r="AI104" i="5" s="1"/>
  <c r="AA104" i="5"/>
  <c r="AG104" i="5" s="1"/>
  <c r="AB104" i="5"/>
  <c r="AH104" i="5" s="1"/>
  <c r="K104" i="5"/>
  <c r="L104" i="5" s="1"/>
  <c r="M104" i="5" s="1"/>
  <c r="G104" i="5"/>
  <c r="AE103" i="5"/>
  <c r="AK103" i="5" s="1"/>
  <c r="AD103" i="5"/>
  <c r="AJ103" i="5" s="1"/>
  <c r="AC103" i="5"/>
  <c r="AI103" i="5" s="1"/>
  <c r="AA103" i="5"/>
  <c r="AG103" i="5" s="1"/>
  <c r="AB103" i="5"/>
  <c r="AH103" i="5" s="1"/>
  <c r="K103" i="5"/>
  <c r="L103" i="5" s="1"/>
  <c r="M103" i="5" s="1"/>
  <c r="G103" i="5"/>
  <c r="AE102" i="5"/>
  <c r="AK102" i="5" s="1"/>
  <c r="AD102" i="5"/>
  <c r="AJ102" i="5" s="1"/>
  <c r="AC102" i="5"/>
  <c r="AI102" i="5" s="1"/>
  <c r="AA102" i="5"/>
  <c r="AG102" i="5" s="1"/>
  <c r="AB102" i="5"/>
  <c r="AH102" i="5" s="1"/>
  <c r="K102" i="5"/>
  <c r="L102" i="5" s="1"/>
  <c r="M102" i="5" s="1"/>
  <c r="G102" i="5"/>
  <c r="AE101" i="5"/>
  <c r="AK101" i="5" s="1"/>
  <c r="AD101" i="5"/>
  <c r="AJ101" i="5" s="1"/>
  <c r="AC101" i="5"/>
  <c r="AI101" i="5" s="1"/>
  <c r="AA101" i="5"/>
  <c r="AG101" i="5" s="1"/>
  <c r="AB101" i="5"/>
  <c r="AH101" i="5" s="1"/>
  <c r="K101" i="5"/>
  <c r="L101" i="5" s="1"/>
  <c r="M101" i="5" s="1"/>
  <c r="G101" i="5"/>
  <c r="F101" i="5"/>
  <c r="AE100" i="5"/>
  <c r="AK100" i="5" s="1"/>
  <c r="AD100" i="5"/>
  <c r="AJ100" i="5" s="1"/>
  <c r="AC100" i="5"/>
  <c r="AI100" i="5" s="1"/>
  <c r="AB100" i="5"/>
  <c r="AH100" i="5" s="1"/>
  <c r="AA100" i="5"/>
  <c r="AG100" i="5" s="1"/>
  <c r="K100" i="5"/>
  <c r="L100" i="5" s="1"/>
  <c r="M100" i="5" s="1"/>
  <c r="G100" i="5"/>
  <c r="F100" i="5"/>
  <c r="AE99" i="5"/>
  <c r="AK99" i="5" s="1"/>
  <c r="AD99" i="5"/>
  <c r="AJ99" i="5" s="1"/>
  <c r="AC99" i="5"/>
  <c r="AI99" i="5" s="1"/>
  <c r="AB99" i="5"/>
  <c r="AH99" i="5" s="1"/>
  <c r="AA99" i="5"/>
  <c r="AG99" i="5" s="1"/>
  <c r="L99" i="5"/>
  <c r="M99" i="5" s="1"/>
  <c r="K99" i="5"/>
  <c r="G99" i="5"/>
  <c r="F99" i="5"/>
  <c r="H99" i="5" s="1"/>
  <c r="AE98" i="5"/>
  <c r="AK98" i="5" s="1"/>
  <c r="AD98" i="5"/>
  <c r="AJ98" i="5" s="1"/>
  <c r="AC98" i="5"/>
  <c r="AI98" i="5" s="1"/>
  <c r="AA98" i="5"/>
  <c r="AG98" i="5" s="1"/>
  <c r="AB98" i="5"/>
  <c r="AH98" i="5" s="1"/>
  <c r="K98" i="5"/>
  <c r="L98" i="5" s="1"/>
  <c r="M98" i="5" s="1"/>
  <c r="G98" i="5"/>
  <c r="H98" i="5" s="1"/>
  <c r="F98" i="5"/>
  <c r="AE97" i="5"/>
  <c r="AK97" i="5" s="1"/>
  <c r="AD97" i="5"/>
  <c r="AJ97" i="5" s="1"/>
  <c r="AC97" i="5"/>
  <c r="AI97" i="5" s="1"/>
  <c r="AA97" i="5"/>
  <c r="AG97" i="5" s="1"/>
  <c r="AB97" i="5"/>
  <c r="AH97" i="5" s="1"/>
  <c r="L97" i="5"/>
  <c r="M97" i="5" s="1"/>
  <c r="K97" i="5"/>
  <c r="G97" i="5"/>
  <c r="F97" i="5"/>
  <c r="AE96" i="5"/>
  <c r="AK96" i="5" s="1"/>
  <c r="AD96" i="5"/>
  <c r="AJ96" i="5" s="1"/>
  <c r="AC96" i="5"/>
  <c r="AI96" i="5" s="1"/>
  <c r="AB96" i="5"/>
  <c r="AH96" i="5" s="1"/>
  <c r="AA96" i="5"/>
  <c r="AG96" i="5" s="1"/>
  <c r="K96" i="5"/>
  <c r="L96" i="5" s="1"/>
  <c r="M96" i="5" s="1"/>
  <c r="G96" i="5"/>
  <c r="F96" i="5"/>
  <c r="AE95" i="5"/>
  <c r="AK95" i="5" s="1"/>
  <c r="AD95" i="5"/>
  <c r="AJ95" i="5" s="1"/>
  <c r="AC95" i="5"/>
  <c r="AI95" i="5" s="1"/>
  <c r="AA95" i="5"/>
  <c r="AG95" i="5" s="1"/>
  <c r="AB95" i="5"/>
  <c r="AH95" i="5" s="1"/>
  <c r="K95" i="5"/>
  <c r="L95" i="5" s="1"/>
  <c r="M95" i="5" s="1"/>
  <c r="G95" i="5"/>
  <c r="F95" i="5"/>
  <c r="H95" i="5" s="1"/>
  <c r="AE94" i="5"/>
  <c r="AK94" i="5" s="1"/>
  <c r="AD94" i="5"/>
  <c r="AJ94" i="5" s="1"/>
  <c r="AC94" i="5"/>
  <c r="AI94" i="5" s="1"/>
  <c r="AA94" i="5"/>
  <c r="AG94" i="5" s="1"/>
  <c r="AB94" i="5"/>
  <c r="AH94" i="5" s="1"/>
  <c r="K94" i="5"/>
  <c r="L94" i="5" s="1"/>
  <c r="M94" i="5" s="1"/>
  <c r="G94" i="5"/>
  <c r="H94" i="5" s="1"/>
  <c r="F94" i="5"/>
  <c r="AE93" i="5"/>
  <c r="AK93" i="5" s="1"/>
  <c r="AD93" i="5"/>
  <c r="AJ93" i="5" s="1"/>
  <c r="AC93" i="5"/>
  <c r="AI93" i="5" s="1"/>
  <c r="AA93" i="5"/>
  <c r="AG93" i="5" s="1"/>
  <c r="AB93" i="5"/>
  <c r="AH93" i="5" s="1"/>
  <c r="M93" i="5"/>
  <c r="K93" i="5"/>
  <c r="L93" i="5" s="1"/>
  <c r="G93" i="5"/>
  <c r="H93" i="5" s="1"/>
  <c r="F93" i="5"/>
  <c r="AE92" i="5"/>
  <c r="AK92" i="5" s="1"/>
  <c r="AD92" i="5"/>
  <c r="AJ92" i="5" s="1"/>
  <c r="AC92" i="5"/>
  <c r="AI92" i="5" s="1"/>
  <c r="AA92" i="5"/>
  <c r="AG92" i="5" s="1"/>
  <c r="AB92" i="5"/>
  <c r="AH92" i="5" s="1"/>
  <c r="K92" i="5"/>
  <c r="L92" i="5" s="1"/>
  <c r="M92" i="5" s="1"/>
  <c r="G92" i="5"/>
  <c r="F92" i="5"/>
  <c r="AE91" i="5"/>
  <c r="AK91" i="5" s="1"/>
  <c r="AD91" i="5"/>
  <c r="AJ91" i="5" s="1"/>
  <c r="AC91" i="5"/>
  <c r="AI91" i="5" s="1"/>
  <c r="AB91" i="5"/>
  <c r="AH91" i="5" s="1"/>
  <c r="AA91" i="5"/>
  <c r="AG91" i="5" s="1"/>
  <c r="L91" i="5"/>
  <c r="M91" i="5" s="1"/>
  <c r="K91" i="5"/>
  <c r="G91" i="5"/>
  <c r="F91" i="5"/>
  <c r="AE90" i="5"/>
  <c r="AK90" i="5" s="1"/>
  <c r="AD90" i="5"/>
  <c r="AJ90" i="5" s="1"/>
  <c r="AC90" i="5"/>
  <c r="AI90" i="5" s="1"/>
  <c r="AB90" i="5"/>
  <c r="AH90" i="5" s="1"/>
  <c r="AA90" i="5"/>
  <c r="AG90" i="5" s="1"/>
  <c r="K90" i="5"/>
  <c r="L90" i="5" s="1"/>
  <c r="M90" i="5" s="1"/>
  <c r="G90" i="5"/>
  <c r="H90" i="5" s="1"/>
  <c r="F90" i="5"/>
  <c r="AE88" i="5"/>
  <c r="AK88" i="5" s="1"/>
  <c r="AD88" i="5"/>
  <c r="AJ88" i="5" s="1"/>
  <c r="AC88" i="5"/>
  <c r="AI88" i="5" s="1"/>
  <c r="AB88" i="5"/>
  <c r="AH88" i="5" s="1"/>
  <c r="AA88" i="5"/>
  <c r="AG88" i="5" s="1"/>
  <c r="K88" i="5"/>
  <c r="L88" i="5" s="1"/>
  <c r="M88" i="5" s="1"/>
  <c r="G88" i="5"/>
  <c r="F88" i="5"/>
  <c r="AE87" i="5"/>
  <c r="AK87" i="5" s="1"/>
  <c r="AD87" i="5"/>
  <c r="AJ87" i="5" s="1"/>
  <c r="AC87" i="5"/>
  <c r="AI87" i="5" s="1"/>
  <c r="AB87" i="5"/>
  <c r="AH87" i="5" s="1"/>
  <c r="AA87" i="5"/>
  <c r="AG87" i="5" s="1"/>
  <c r="K87" i="5"/>
  <c r="L87" i="5" s="1"/>
  <c r="M87" i="5" s="1"/>
  <c r="G87" i="5"/>
  <c r="F87" i="5"/>
  <c r="AE86" i="5"/>
  <c r="AK86" i="5" s="1"/>
  <c r="AD86" i="5"/>
  <c r="AJ86" i="5" s="1"/>
  <c r="AC86" i="5"/>
  <c r="AI86" i="5" s="1"/>
  <c r="AB86" i="5"/>
  <c r="AH86" i="5" s="1"/>
  <c r="AA86" i="5"/>
  <c r="AG86" i="5" s="1"/>
  <c r="K86" i="5"/>
  <c r="L86" i="5" s="1"/>
  <c r="M86" i="5" s="1"/>
  <c r="G86" i="5"/>
  <c r="F86" i="5"/>
  <c r="AE85" i="5"/>
  <c r="AK85" i="5" s="1"/>
  <c r="AD85" i="5"/>
  <c r="AJ85" i="5" s="1"/>
  <c r="AC85" i="5"/>
  <c r="AI85" i="5" s="1"/>
  <c r="AB85" i="5"/>
  <c r="AH85" i="5" s="1"/>
  <c r="AA85" i="5"/>
  <c r="AG85" i="5" s="1"/>
  <c r="K85" i="5"/>
  <c r="L85" i="5" s="1"/>
  <c r="M85" i="5" s="1"/>
  <c r="H85" i="5"/>
  <c r="G85" i="5"/>
  <c r="F85" i="5"/>
  <c r="AI84" i="5"/>
  <c r="AH84" i="5"/>
  <c r="AE84" i="5"/>
  <c r="AK84" i="5" s="1"/>
  <c r="AD84" i="5"/>
  <c r="AJ84" i="5" s="1"/>
  <c r="AC84" i="5"/>
  <c r="AB84" i="5"/>
  <c r="AA84" i="5"/>
  <c r="AG84" i="5" s="1"/>
  <c r="K84" i="5"/>
  <c r="L84" i="5" s="1"/>
  <c r="M84" i="5" s="1"/>
  <c r="G84" i="5"/>
  <c r="H84" i="5" s="1"/>
  <c r="F84" i="5"/>
  <c r="AE83" i="5"/>
  <c r="AK83" i="5" s="1"/>
  <c r="AD83" i="5"/>
  <c r="AJ83" i="5" s="1"/>
  <c r="AC83" i="5"/>
  <c r="AI83" i="5" s="1"/>
  <c r="AB83" i="5"/>
  <c r="AH83" i="5" s="1"/>
  <c r="AA83" i="5"/>
  <c r="AG83" i="5" s="1"/>
  <c r="K83" i="5"/>
  <c r="L83" i="5" s="1"/>
  <c r="M83" i="5" s="1"/>
  <c r="G83" i="5"/>
  <c r="F83" i="5"/>
  <c r="H83" i="5" s="1"/>
  <c r="AE82" i="5"/>
  <c r="AK82" i="5" s="1"/>
  <c r="AD82" i="5"/>
  <c r="AJ82" i="5" s="1"/>
  <c r="AC82" i="5"/>
  <c r="AI82" i="5" s="1"/>
  <c r="AB82" i="5"/>
  <c r="AH82" i="5" s="1"/>
  <c r="AA82" i="5"/>
  <c r="AG82" i="5" s="1"/>
  <c r="L82" i="5"/>
  <c r="M82" i="5" s="1"/>
  <c r="K82" i="5"/>
  <c r="G82" i="5"/>
  <c r="F82" i="5"/>
  <c r="I79" i="5"/>
  <c r="AE78" i="5"/>
  <c r="AK78" i="5" s="1"/>
  <c r="AD78" i="5"/>
  <c r="AJ78" i="5" s="1"/>
  <c r="AC78" i="5"/>
  <c r="AI78" i="5" s="1"/>
  <c r="AB78" i="5"/>
  <c r="AH78" i="5" s="1"/>
  <c r="AA78" i="5"/>
  <c r="AG78" i="5" s="1"/>
  <c r="K78" i="5"/>
  <c r="L78" i="5" s="1"/>
  <c r="M78" i="5" s="1"/>
  <c r="AE77" i="5"/>
  <c r="AK77" i="5" s="1"/>
  <c r="AD77" i="5"/>
  <c r="AJ77" i="5" s="1"/>
  <c r="AC77" i="5"/>
  <c r="AI77" i="5" s="1"/>
  <c r="AB77" i="5"/>
  <c r="AH77" i="5" s="1"/>
  <c r="AA77" i="5"/>
  <c r="AG77" i="5" s="1"/>
  <c r="L77" i="5"/>
  <c r="M77" i="5" s="1"/>
  <c r="K77" i="5"/>
  <c r="H77" i="5"/>
  <c r="AE76" i="5"/>
  <c r="AK76" i="5" s="1"/>
  <c r="AD76" i="5"/>
  <c r="AJ76" i="5" s="1"/>
  <c r="AC76" i="5"/>
  <c r="AI76" i="5" s="1"/>
  <c r="AB76" i="5"/>
  <c r="AH76" i="5" s="1"/>
  <c r="AA76" i="5"/>
  <c r="AG76" i="5" s="1"/>
  <c r="K76" i="5"/>
  <c r="L76" i="5" s="1"/>
  <c r="M76" i="5" s="1"/>
  <c r="AD75" i="5"/>
  <c r="AJ75" i="5" s="1"/>
  <c r="AB75" i="5"/>
  <c r="AH75" i="5" s="1"/>
  <c r="AE75" i="5"/>
  <c r="AK75" i="5" s="1"/>
  <c r="AC75" i="5"/>
  <c r="AI75" i="5" s="1"/>
  <c r="AA75" i="5"/>
  <c r="AG75" i="5" s="1"/>
  <c r="K75" i="5"/>
  <c r="L75" i="5" s="1"/>
  <c r="M75" i="5" s="1"/>
  <c r="H75" i="5"/>
  <c r="AE74" i="5"/>
  <c r="AK74" i="5" s="1"/>
  <c r="H74" i="5"/>
  <c r="AD73" i="5"/>
  <c r="AJ73" i="5" s="1"/>
  <c r="AC73" i="5"/>
  <c r="AI73" i="5" s="1"/>
  <c r="AA73" i="5"/>
  <c r="AG73" i="5" s="1"/>
  <c r="AE73" i="5"/>
  <c r="AK73" i="5" s="1"/>
  <c r="AB73" i="5"/>
  <c r="AH73" i="5" s="1"/>
  <c r="K73" i="5"/>
  <c r="L73" i="5" s="1"/>
  <c r="M73" i="5" s="1"/>
  <c r="G73" i="5"/>
  <c r="AD72" i="5"/>
  <c r="AJ72" i="5" s="1"/>
  <c r="AC72" i="5"/>
  <c r="AI72" i="5" s="1"/>
  <c r="AB72" i="5"/>
  <c r="AH72" i="5" s="1"/>
  <c r="AA72" i="5"/>
  <c r="AG72" i="5" s="1"/>
  <c r="AE72" i="5"/>
  <c r="AK72" i="5" s="1"/>
  <c r="K72" i="5"/>
  <c r="L72" i="5" s="1"/>
  <c r="M72" i="5" s="1"/>
  <c r="F72" i="5"/>
  <c r="AD71" i="5"/>
  <c r="AJ71" i="5" s="1"/>
  <c r="AC71" i="5"/>
  <c r="AI71" i="5" s="1"/>
  <c r="AB71" i="5"/>
  <c r="AH71" i="5" s="1"/>
  <c r="AA71" i="5"/>
  <c r="AG71" i="5" s="1"/>
  <c r="AE71" i="5"/>
  <c r="AK71" i="5" s="1"/>
  <c r="K71" i="5"/>
  <c r="L71" i="5" s="1"/>
  <c r="M71" i="5" s="1"/>
  <c r="F71" i="5"/>
  <c r="AD70" i="5"/>
  <c r="AJ70" i="5" s="1"/>
  <c r="AC70" i="5"/>
  <c r="AI70" i="5" s="1"/>
  <c r="AB70" i="5"/>
  <c r="AH70" i="5" s="1"/>
  <c r="AA70" i="5"/>
  <c r="AG70" i="5" s="1"/>
  <c r="AE70" i="5"/>
  <c r="AK70" i="5" s="1"/>
  <c r="M70" i="5"/>
  <c r="K70" i="5"/>
  <c r="L70" i="5" s="1"/>
  <c r="F70" i="5"/>
  <c r="AD69" i="5"/>
  <c r="AJ69" i="5" s="1"/>
  <c r="AC69" i="5"/>
  <c r="AI69" i="5" s="1"/>
  <c r="AB69" i="5"/>
  <c r="AH69" i="5" s="1"/>
  <c r="AA69" i="5"/>
  <c r="AG69" i="5" s="1"/>
  <c r="AE69" i="5"/>
  <c r="AK69" i="5" s="1"/>
  <c r="K69" i="5"/>
  <c r="L69" i="5" s="1"/>
  <c r="M69" i="5" s="1"/>
  <c r="F69" i="5"/>
  <c r="AD68" i="5"/>
  <c r="AJ68" i="5" s="1"/>
  <c r="AC68" i="5"/>
  <c r="AI68" i="5" s="1"/>
  <c r="AB68" i="5"/>
  <c r="AH68" i="5" s="1"/>
  <c r="AA68" i="5"/>
  <c r="AG68" i="5" s="1"/>
  <c r="AE68" i="5"/>
  <c r="AK68" i="5" s="1"/>
  <c r="K68" i="5"/>
  <c r="L68" i="5" s="1"/>
  <c r="M68" i="5" s="1"/>
  <c r="F68" i="5"/>
  <c r="AD67" i="5"/>
  <c r="AJ67" i="5" s="1"/>
  <c r="AC67" i="5"/>
  <c r="AI67" i="5" s="1"/>
  <c r="AB67" i="5"/>
  <c r="AH67" i="5" s="1"/>
  <c r="AA67" i="5"/>
  <c r="AG67" i="5" s="1"/>
  <c r="AE67" i="5"/>
  <c r="AK67" i="5" s="1"/>
  <c r="K67" i="5"/>
  <c r="L67" i="5" s="1"/>
  <c r="M67" i="5" s="1"/>
  <c r="F67" i="5"/>
  <c r="AD66" i="5"/>
  <c r="AJ66" i="5" s="1"/>
  <c r="AC66" i="5"/>
  <c r="AI66" i="5" s="1"/>
  <c r="AB66" i="5"/>
  <c r="AH66" i="5" s="1"/>
  <c r="AA66" i="5"/>
  <c r="AG66" i="5" s="1"/>
  <c r="AE66" i="5"/>
  <c r="AK66" i="5" s="1"/>
  <c r="K66" i="5"/>
  <c r="L66" i="5" s="1"/>
  <c r="M66" i="5" s="1"/>
  <c r="F66" i="5"/>
  <c r="AD65" i="5"/>
  <c r="AJ65" i="5" s="1"/>
  <c r="AC65" i="5"/>
  <c r="AI65" i="5" s="1"/>
  <c r="AB65" i="5"/>
  <c r="AH65" i="5" s="1"/>
  <c r="AA65" i="5"/>
  <c r="AG65" i="5" s="1"/>
  <c r="AE65" i="5"/>
  <c r="AK65" i="5" s="1"/>
  <c r="K65" i="5"/>
  <c r="L65" i="5" s="1"/>
  <c r="M65" i="5" s="1"/>
  <c r="E65" i="5"/>
  <c r="F65" i="5" s="1"/>
  <c r="AD64" i="5"/>
  <c r="AJ64" i="5" s="1"/>
  <c r="AC64" i="5"/>
  <c r="AI64" i="5" s="1"/>
  <c r="AB64" i="5"/>
  <c r="AH64" i="5" s="1"/>
  <c r="AA64" i="5"/>
  <c r="AG64" i="5" s="1"/>
  <c r="AE64" i="5"/>
  <c r="AK64" i="5" s="1"/>
  <c r="K64" i="5"/>
  <c r="L64" i="5" s="1"/>
  <c r="M64" i="5" s="1"/>
  <c r="F64" i="5"/>
  <c r="AD63" i="5"/>
  <c r="AJ63" i="5" s="1"/>
  <c r="AC63" i="5"/>
  <c r="AI63" i="5" s="1"/>
  <c r="AB63" i="5"/>
  <c r="AH63" i="5" s="1"/>
  <c r="AA63" i="5"/>
  <c r="AG63" i="5" s="1"/>
  <c r="AE63" i="5"/>
  <c r="AK63" i="5" s="1"/>
  <c r="K63" i="5"/>
  <c r="L63" i="5" s="1"/>
  <c r="M63" i="5" s="1"/>
  <c r="F63" i="5"/>
  <c r="AD62" i="5"/>
  <c r="AJ62" i="5" s="1"/>
  <c r="AC62" i="5"/>
  <c r="AI62" i="5" s="1"/>
  <c r="AB62" i="5"/>
  <c r="AH62" i="5" s="1"/>
  <c r="AA62" i="5"/>
  <c r="AG62" i="5" s="1"/>
  <c r="AE62" i="5"/>
  <c r="AK62" i="5" s="1"/>
  <c r="L62" i="5"/>
  <c r="M62" i="5" s="1"/>
  <c r="K62" i="5"/>
  <c r="F62" i="5"/>
  <c r="AD61" i="5"/>
  <c r="AJ61" i="5" s="1"/>
  <c r="AC61" i="5"/>
  <c r="AI61" i="5" s="1"/>
  <c r="AB61" i="5"/>
  <c r="AH61" i="5" s="1"/>
  <c r="AA61" i="5"/>
  <c r="AG61" i="5" s="1"/>
  <c r="AE61" i="5"/>
  <c r="AK61" i="5" s="1"/>
  <c r="K61" i="5"/>
  <c r="L61" i="5" s="1"/>
  <c r="M61" i="5" s="1"/>
  <c r="F61" i="5"/>
  <c r="AE60" i="5"/>
  <c r="AK60" i="5" s="1"/>
  <c r="AD60" i="5"/>
  <c r="AJ60" i="5" s="1"/>
  <c r="AC60" i="5"/>
  <c r="AI60" i="5" s="1"/>
  <c r="AB60" i="5"/>
  <c r="AH60" i="5" s="1"/>
  <c r="AA60" i="5"/>
  <c r="AG60" i="5" s="1"/>
  <c r="L60" i="5"/>
  <c r="M60" i="5" s="1"/>
  <c r="K60" i="5"/>
  <c r="F60" i="5"/>
  <c r="AE59" i="5"/>
  <c r="AK59" i="5" s="1"/>
  <c r="AD59" i="5"/>
  <c r="AJ59" i="5" s="1"/>
  <c r="AC59" i="5"/>
  <c r="AI59" i="5" s="1"/>
  <c r="AB59" i="5"/>
  <c r="AH59" i="5" s="1"/>
  <c r="AA59" i="5"/>
  <c r="AG59" i="5" s="1"/>
  <c r="K59" i="5"/>
  <c r="L59" i="5" s="1"/>
  <c r="M59" i="5" s="1"/>
  <c r="G59" i="5"/>
  <c r="F59" i="5"/>
  <c r="AE58" i="5"/>
  <c r="AK58" i="5" s="1"/>
  <c r="AC58" i="5"/>
  <c r="AI58" i="5" s="1"/>
  <c r="AD58" i="5"/>
  <c r="AJ58" i="5" s="1"/>
  <c r="AB58" i="5"/>
  <c r="AH58" i="5" s="1"/>
  <c r="AA58" i="5"/>
  <c r="AG58" i="5" s="1"/>
  <c r="L58" i="5"/>
  <c r="M58" i="5" s="1"/>
  <c r="K58" i="5"/>
  <c r="G58" i="5"/>
  <c r="F58" i="5"/>
  <c r="AE57" i="5"/>
  <c r="AK57" i="5" s="1"/>
  <c r="AD57" i="5"/>
  <c r="AJ57" i="5" s="1"/>
  <c r="AC57" i="5"/>
  <c r="AI57" i="5" s="1"/>
  <c r="AB57" i="5"/>
  <c r="AH57" i="5" s="1"/>
  <c r="AA57" i="5"/>
  <c r="AG57" i="5" s="1"/>
  <c r="M57" i="5"/>
  <c r="K57" i="5"/>
  <c r="L57" i="5" s="1"/>
  <c r="G57" i="5"/>
  <c r="H57" i="5" s="1"/>
  <c r="F57" i="5"/>
  <c r="AE56" i="5"/>
  <c r="AK56" i="5" s="1"/>
  <c r="AC56" i="5"/>
  <c r="AI56" i="5" s="1"/>
  <c r="AD56" i="5"/>
  <c r="AJ56" i="5" s="1"/>
  <c r="AB56" i="5"/>
  <c r="AH56" i="5" s="1"/>
  <c r="AA56" i="5"/>
  <c r="AG56" i="5" s="1"/>
  <c r="K56" i="5"/>
  <c r="L56" i="5" s="1"/>
  <c r="M56" i="5" s="1"/>
  <c r="G56" i="5"/>
  <c r="F56" i="5"/>
  <c r="AE55" i="5"/>
  <c r="AK55" i="5" s="1"/>
  <c r="AD55" i="5"/>
  <c r="AJ55" i="5" s="1"/>
  <c r="AC55" i="5"/>
  <c r="AI55" i="5" s="1"/>
  <c r="AB55" i="5"/>
  <c r="AH55" i="5" s="1"/>
  <c r="AA55" i="5"/>
  <c r="AG55" i="5" s="1"/>
  <c r="K55" i="5"/>
  <c r="L55" i="5" s="1"/>
  <c r="M55" i="5" s="1"/>
  <c r="G55" i="5"/>
  <c r="F55" i="5"/>
  <c r="H55" i="5" s="1"/>
  <c r="AE54" i="5"/>
  <c r="AK54" i="5" s="1"/>
  <c r="AC54" i="5"/>
  <c r="AI54" i="5" s="1"/>
  <c r="AD54" i="5"/>
  <c r="AJ54" i="5" s="1"/>
  <c r="AB54" i="5"/>
  <c r="AH54" i="5" s="1"/>
  <c r="AA54" i="5"/>
  <c r="AG54" i="5" s="1"/>
  <c r="K54" i="5"/>
  <c r="L54" i="5" s="1"/>
  <c r="M54" i="5" s="1"/>
  <c r="G54" i="5"/>
  <c r="F54" i="5"/>
  <c r="AE53" i="5"/>
  <c r="AK53" i="5" s="1"/>
  <c r="AB53" i="5"/>
  <c r="AH53" i="5" s="1"/>
  <c r="AA53" i="5"/>
  <c r="AG53" i="5" s="1"/>
  <c r="AD53" i="5"/>
  <c r="AJ53" i="5" s="1"/>
  <c r="AC53" i="5"/>
  <c r="AI53" i="5" s="1"/>
  <c r="K53" i="5"/>
  <c r="L53" i="5" s="1"/>
  <c r="M53" i="5" s="1"/>
  <c r="H53" i="5"/>
  <c r="G53" i="5"/>
  <c r="F53" i="5"/>
  <c r="G52" i="5"/>
  <c r="F52" i="5"/>
  <c r="AE51" i="5"/>
  <c r="AK51" i="5" s="1"/>
  <c r="AA51" i="5"/>
  <c r="AG51" i="5" s="1"/>
  <c r="AD51" i="5"/>
  <c r="AJ51" i="5" s="1"/>
  <c r="AC51" i="5"/>
  <c r="AI51" i="5" s="1"/>
  <c r="AB51" i="5"/>
  <c r="AH51" i="5" s="1"/>
  <c r="K51" i="5"/>
  <c r="L51" i="5" s="1"/>
  <c r="M51" i="5" s="1"/>
  <c r="G51" i="5"/>
  <c r="F51" i="5"/>
  <c r="H51" i="5" s="1"/>
  <c r="AE50" i="5"/>
  <c r="AK50" i="5" s="1"/>
  <c r="AD50" i="5"/>
  <c r="AJ50" i="5" s="1"/>
  <c r="AC50" i="5"/>
  <c r="AI50" i="5" s="1"/>
  <c r="AB50" i="5"/>
  <c r="AH50" i="5" s="1"/>
  <c r="AA50" i="5"/>
  <c r="AG50" i="5" s="1"/>
  <c r="K50" i="5"/>
  <c r="L50" i="5" s="1"/>
  <c r="M50" i="5" s="1"/>
  <c r="G50" i="5"/>
  <c r="F50" i="5"/>
  <c r="AE49" i="5"/>
  <c r="AK49" i="5" s="1"/>
  <c r="AB49" i="5"/>
  <c r="AH49" i="5" s="1"/>
  <c r="AD49" i="5"/>
  <c r="AJ49" i="5" s="1"/>
  <c r="AC49" i="5"/>
  <c r="AI49" i="5" s="1"/>
  <c r="AA49" i="5"/>
  <c r="AG49" i="5" s="1"/>
  <c r="K49" i="5"/>
  <c r="L49" i="5" s="1"/>
  <c r="M49" i="5" s="1"/>
  <c r="G49" i="5"/>
  <c r="H49" i="5" s="1"/>
  <c r="F49" i="5"/>
  <c r="AE48" i="5"/>
  <c r="AK48" i="5" s="1"/>
  <c r="AC48" i="5"/>
  <c r="AI48" i="5" s="1"/>
  <c r="AD48" i="5"/>
  <c r="AJ48" i="5" s="1"/>
  <c r="AB48" i="5"/>
  <c r="AH48" i="5" s="1"/>
  <c r="AA48" i="5"/>
  <c r="AG48" i="5" s="1"/>
  <c r="K48" i="5"/>
  <c r="L48" i="5" s="1"/>
  <c r="M48" i="5" s="1"/>
  <c r="G48" i="5"/>
  <c r="F48" i="5"/>
  <c r="AE47" i="5"/>
  <c r="AK47" i="5" s="1"/>
  <c r="R79" i="5"/>
  <c r="AB47" i="5"/>
  <c r="AH47" i="5" s="1"/>
  <c r="AA47" i="5"/>
  <c r="AG47" i="5" s="1"/>
  <c r="K47" i="5"/>
  <c r="G47" i="5"/>
  <c r="F47" i="5"/>
  <c r="Y43" i="5"/>
  <c r="X43" i="5"/>
  <c r="W43" i="5"/>
  <c r="V43" i="5"/>
  <c r="V44" i="5" s="1"/>
  <c r="U43" i="5"/>
  <c r="I43" i="5"/>
  <c r="AE42" i="5"/>
  <c r="AK42" i="5" s="1"/>
  <c r="AD42" i="5"/>
  <c r="AJ42" i="5" s="1"/>
  <c r="AC42" i="5"/>
  <c r="AI42" i="5" s="1"/>
  <c r="AB42" i="5"/>
  <c r="AH42" i="5" s="1"/>
  <c r="AA42" i="5"/>
  <c r="AG42" i="5" s="1"/>
  <c r="M42" i="5"/>
  <c r="K42" i="5"/>
  <c r="L42" i="5" s="1"/>
  <c r="G42" i="5"/>
  <c r="F42" i="5"/>
  <c r="AE41" i="5"/>
  <c r="AK41" i="5" s="1"/>
  <c r="AC41" i="5"/>
  <c r="AI41" i="5" s="1"/>
  <c r="AB41" i="5"/>
  <c r="AH41" i="5" s="1"/>
  <c r="AD41" i="5"/>
  <c r="AJ41" i="5" s="1"/>
  <c r="AA41" i="5"/>
  <c r="AG41" i="5" s="1"/>
  <c r="K41" i="5"/>
  <c r="L41" i="5" s="1"/>
  <c r="M41" i="5" s="1"/>
  <c r="G41" i="5"/>
  <c r="F41" i="5"/>
  <c r="AK40" i="5"/>
  <c r="AE40" i="5"/>
  <c r="AD40" i="5"/>
  <c r="AJ40" i="5" s="1"/>
  <c r="AC40" i="5"/>
  <c r="AI40" i="5" s="1"/>
  <c r="AB40" i="5"/>
  <c r="AH40" i="5" s="1"/>
  <c r="AA40" i="5"/>
  <c r="AG40" i="5" s="1"/>
  <c r="K40" i="5"/>
  <c r="L40" i="5" s="1"/>
  <c r="M40" i="5" s="1"/>
  <c r="G40" i="5"/>
  <c r="F40" i="5"/>
  <c r="AJ39" i="5"/>
  <c r="AE39" i="5"/>
  <c r="AK39" i="5" s="1"/>
  <c r="AC39" i="5"/>
  <c r="AI39" i="5" s="1"/>
  <c r="AB39" i="5"/>
  <c r="AH39" i="5" s="1"/>
  <c r="AA39" i="5"/>
  <c r="AG39" i="5" s="1"/>
  <c r="AD39" i="5"/>
  <c r="K39" i="5"/>
  <c r="L39" i="5" s="1"/>
  <c r="M39" i="5" s="1"/>
  <c r="G39" i="5"/>
  <c r="F39" i="5"/>
  <c r="AH38" i="5"/>
  <c r="AD38" i="5"/>
  <c r="AJ38" i="5" s="1"/>
  <c r="AC38" i="5"/>
  <c r="AI38" i="5" s="1"/>
  <c r="AB38" i="5"/>
  <c r="AA38" i="5"/>
  <c r="AG38" i="5" s="1"/>
  <c r="S43" i="5"/>
  <c r="L38" i="5"/>
  <c r="M38" i="5" s="1"/>
  <c r="K38" i="5"/>
  <c r="F38" i="5"/>
  <c r="AE37" i="5"/>
  <c r="AK37" i="5" s="1"/>
  <c r="AD37" i="5"/>
  <c r="AJ37" i="5" s="1"/>
  <c r="AC37" i="5"/>
  <c r="AI37" i="5" s="1"/>
  <c r="AB37" i="5"/>
  <c r="AH37" i="5" s="1"/>
  <c r="AA37" i="5"/>
  <c r="AG37" i="5" s="1"/>
  <c r="K37" i="5"/>
  <c r="L37" i="5" s="1"/>
  <c r="M37" i="5" s="1"/>
  <c r="G37" i="5"/>
  <c r="F37" i="5"/>
  <c r="AG36" i="5"/>
  <c r="AE36" i="5"/>
  <c r="AK36" i="5" s="1"/>
  <c r="AD36" i="5"/>
  <c r="AJ36" i="5" s="1"/>
  <c r="AC36" i="5"/>
  <c r="AI36" i="5" s="1"/>
  <c r="AB36" i="5"/>
  <c r="AH36" i="5" s="1"/>
  <c r="AA36" i="5"/>
  <c r="K36" i="5"/>
  <c r="L36" i="5" s="1"/>
  <c r="M36" i="5" s="1"/>
  <c r="G36" i="5"/>
  <c r="F36" i="5"/>
  <c r="AE35" i="5"/>
  <c r="AK35" i="5" s="1"/>
  <c r="AD35" i="5"/>
  <c r="AJ35" i="5" s="1"/>
  <c r="AC35" i="5"/>
  <c r="AI35" i="5" s="1"/>
  <c r="AB35" i="5"/>
  <c r="AH35" i="5" s="1"/>
  <c r="AA35" i="5"/>
  <c r="AG35" i="5" s="1"/>
  <c r="K35" i="5"/>
  <c r="L35" i="5" s="1"/>
  <c r="M35" i="5" s="1"/>
  <c r="G35" i="5"/>
  <c r="F35" i="5"/>
  <c r="AE34" i="5"/>
  <c r="AK34" i="5" s="1"/>
  <c r="AD34" i="5"/>
  <c r="AJ34" i="5" s="1"/>
  <c r="AA34" i="5"/>
  <c r="AG34" i="5" s="1"/>
  <c r="AC34" i="5"/>
  <c r="AI34" i="5" s="1"/>
  <c r="AB34" i="5"/>
  <c r="AH34" i="5" s="1"/>
  <c r="K34" i="5"/>
  <c r="L34" i="5" s="1"/>
  <c r="M34" i="5" s="1"/>
  <c r="G34" i="5"/>
  <c r="F34" i="5"/>
  <c r="AE33" i="5"/>
  <c r="AK33" i="5" s="1"/>
  <c r="AD33" i="5"/>
  <c r="AJ33" i="5" s="1"/>
  <c r="AC33" i="5"/>
  <c r="AI33" i="5" s="1"/>
  <c r="AB33" i="5"/>
  <c r="AH33" i="5" s="1"/>
  <c r="AA33" i="5"/>
  <c r="AG33" i="5" s="1"/>
  <c r="L33" i="5"/>
  <c r="M33" i="5" s="1"/>
  <c r="K33" i="5"/>
  <c r="G33" i="5"/>
  <c r="F33" i="5"/>
  <c r="AE32" i="5"/>
  <c r="AK32" i="5" s="1"/>
  <c r="AB32" i="5"/>
  <c r="AH32" i="5" s="1"/>
  <c r="AD32" i="5"/>
  <c r="AJ32" i="5" s="1"/>
  <c r="AC32" i="5"/>
  <c r="AI32" i="5" s="1"/>
  <c r="AA32" i="5"/>
  <c r="AG32" i="5" s="1"/>
  <c r="K32" i="5"/>
  <c r="L32" i="5" s="1"/>
  <c r="M32" i="5" s="1"/>
  <c r="G32" i="5"/>
  <c r="F32" i="5"/>
  <c r="AE31" i="5"/>
  <c r="AK31" i="5" s="1"/>
  <c r="AB31" i="5"/>
  <c r="AH31" i="5" s="1"/>
  <c r="AD31" i="5"/>
  <c r="AJ31" i="5" s="1"/>
  <c r="AC31" i="5"/>
  <c r="AI31" i="5" s="1"/>
  <c r="AA31" i="5"/>
  <c r="AG31" i="5" s="1"/>
  <c r="K31" i="5"/>
  <c r="L31" i="5" s="1"/>
  <c r="M31" i="5" s="1"/>
  <c r="G31" i="5"/>
  <c r="H31" i="5" s="1"/>
  <c r="F31" i="5"/>
  <c r="AE30" i="5"/>
  <c r="AK30" i="5" s="1"/>
  <c r="AA30" i="5"/>
  <c r="AG30" i="5" s="1"/>
  <c r="AD30" i="5"/>
  <c r="AJ30" i="5" s="1"/>
  <c r="AC30" i="5"/>
  <c r="AI30" i="5" s="1"/>
  <c r="AB30" i="5"/>
  <c r="AH30" i="5" s="1"/>
  <c r="K30" i="5"/>
  <c r="L30" i="5" s="1"/>
  <c r="M30" i="5" s="1"/>
  <c r="G30" i="5"/>
  <c r="F30" i="5"/>
  <c r="H30" i="5" s="1"/>
  <c r="AE29" i="5"/>
  <c r="AK29" i="5" s="1"/>
  <c r="AC29" i="5"/>
  <c r="AI29" i="5" s="1"/>
  <c r="AB29" i="5"/>
  <c r="AH29" i="5" s="1"/>
  <c r="AA29" i="5"/>
  <c r="AG29" i="5" s="1"/>
  <c r="AD29" i="5"/>
  <c r="AJ29" i="5" s="1"/>
  <c r="K29" i="5"/>
  <c r="L29" i="5" s="1"/>
  <c r="M29" i="5" s="1"/>
  <c r="G29" i="5"/>
  <c r="F29" i="5"/>
  <c r="H29" i="5" s="1"/>
  <c r="AE28" i="5"/>
  <c r="AK28" i="5" s="1"/>
  <c r="AC28" i="5"/>
  <c r="AI28" i="5" s="1"/>
  <c r="AB28" i="5"/>
  <c r="AH28" i="5" s="1"/>
  <c r="AA28" i="5"/>
  <c r="AG28" i="5" s="1"/>
  <c r="AD28" i="5"/>
  <c r="AJ28" i="5" s="1"/>
  <c r="K28" i="5"/>
  <c r="L28" i="5" s="1"/>
  <c r="M28" i="5" s="1"/>
  <c r="G28" i="5"/>
  <c r="F28" i="5"/>
  <c r="H28" i="5" s="1"/>
  <c r="AE27" i="5"/>
  <c r="AK27" i="5" s="1"/>
  <c r="AD27" i="5"/>
  <c r="AJ27" i="5" s="1"/>
  <c r="AC27" i="5"/>
  <c r="AI27" i="5" s="1"/>
  <c r="AB27" i="5"/>
  <c r="AH27" i="5" s="1"/>
  <c r="AA27" i="5"/>
  <c r="AG27" i="5" s="1"/>
  <c r="K27" i="5"/>
  <c r="L27" i="5" s="1"/>
  <c r="M27" i="5" s="1"/>
  <c r="G27" i="5"/>
  <c r="H27" i="5" s="1"/>
  <c r="F27" i="5"/>
  <c r="AG26" i="5"/>
  <c r="AE26" i="5"/>
  <c r="AK26" i="5" s="1"/>
  <c r="AD26" i="5"/>
  <c r="AJ26" i="5" s="1"/>
  <c r="AB26" i="5"/>
  <c r="AH26" i="5" s="1"/>
  <c r="AA26" i="5"/>
  <c r="L26" i="5"/>
  <c r="M26" i="5" s="1"/>
  <c r="K26" i="5"/>
  <c r="G26" i="5"/>
  <c r="F26" i="5"/>
  <c r="H26" i="5" s="1"/>
  <c r="AE25" i="5"/>
  <c r="AK25" i="5" s="1"/>
  <c r="AD25" i="5"/>
  <c r="AJ25" i="5" s="1"/>
  <c r="AC25" i="5"/>
  <c r="AI25" i="5" s="1"/>
  <c r="AA25" i="5"/>
  <c r="AG25" i="5" s="1"/>
  <c r="AB25" i="5"/>
  <c r="AH25" i="5" s="1"/>
  <c r="K25" i="5"/>
  <c r="L25" i="5" s="1"/>
  <c r="M25" i="5" s="1"/>
  <c r="G25" i="5"/>
  <c r="F25" i="5"/>
  <c r="H25" i="5" s="1"/>
  <c r="AG24" i="5"/>
  <c r="AE24" i="5"/>
  <c r="AK24" i="5" s="1"/>
  <c r="AD24" i="5"/>
  <c r="AJ24" i="5" s="1"/>
  <c r="AC24" i="5"/>
  <c r="AI24" i="5" s="1"/>
  <c r="AA24" i="5"/>
  <c r="L24" i="5"/>
  <c r="M24" i="5" s="1"/>
  <c r="K24" i="5"/>
  <c r="G24" i="5"/>
  <c r="F24" i="5"/>
  <c r="AJ23" i="5"/>
  <c r="AE23" i="5"/>
  <c r="AK23" i="5" s="1"/>
  <c r="AD23" i="5"/>
  <c r="AC23" i="5"/>
  <c r="AI23" i="5" s="1"/>
  <c r="AB23" i="5"/>
  <c r="AH23" i="5" s="1"/>
  <c r="AA23" i="5"/>
  <c r="AG23" i="5" s="1"/>
  <c r="K23" i="5"/>
  <c r="L23" i="5" s="1"/>
  <c r="M23" i="5" s="1"/>
  <c r="G23" i="5"/>
  <c r="F23" i="5"/>
  <c r="H23" i="5" s="1"/>
  <c r="AE22" i="5"/>
  <c r="AK22" i="5" s="1"/>
  <c r="AD22" i="5"/>
  <c r="AJ22" i="5" s="1"/>
  <c r="AC22" i="5"/>
  <c r="AI22" i="5" s="1"/>
  <c r="AB22" i="5"/>
  <c r="AH22" i="5" s="1"/>
  <c r="AA22" i="5"/>
  <c r="AG22" i="5" s="1"/>
  <c r="K22" i="5"/>
  <c r="L22" i="5" s="1"/>
  <c r="M22" i="5" s="1"/>
  <c r="G22" i="5"/>
  <c r="F22" i="5"/>
  <c r="AE21" i="5"/>
  <c r="AK21" i="5" s="1"/>
  <c r="AD21" i="5"/>
  <c r="AJ21" i="5" s="1"/>
  <c r="AC21" i="5"/>
  <c r="AI21" i="5" s="1"/>
  <c r="AB21" i="5"/>
  <c r="AH21" i="5" s="1"/>
  <c r="AA21" i="5"/>
  <c r="AG21" i="5" s="1"/>
  <c r="K21" i="5"/>
  <c r="L21" i="5" s="1"/>
  <c r="M21" i="5" s="1"/>
  <c r="G21" i="5"/>
  <c r="F21" i="5"/>
  <c r="AI20" i="5"/>
  <c r="AE20" i="5"/>
  <c r="AK20" i="5" s="1"/>
  <c r="AD20" i="5"/>
  <c r="AJ20" i="5" s="1"/>
  <c r="AC20" i="5"/>
  <c r="AB20" i="5"/>
  <c r="AH20" i="5" s="1"/>
  <c r="AA20" i="5"/>
  <c r="AG20" i="5" s="1"/>
  <c r="K20" i="5"/>
  <c r="L20" i="5" s="1"/>
  <c r="M20" i="5" s="1"/>
  <c r="G20" i="5"/>
  <c r="H20" i="5" s="1"/>
  <c r="F20" i="5"/>
  <c r="AE19" i="5"/>
  <c r="AK19" i="5" s="1"/>
  <c r="AD19" i="5"/>
  <c r="AJ19" i="5" s="1"/>
  <c r="AC19" i="5"/>
  <c r="AI19" i="5" s="1"/>
  <c r="AB19" i="5"/>
  <c r="AH19" i="5" s="1"/>
  <c r="AA19" i="5"/>
  <c r="AG19" i="5" s="1"/>
  <c r="K19" i="5"/>
  <c r="L19" i="5" s="1"/>
  <c r="M19" i="5" s="1"/>
  <c r="G19" i="5"/>
  <c r="F19" i="5"/>
  <c r="AE18" i="5"/>
  <c r="AK18" i="5" s="1"/>
  <c r="AD18" i="5"/>
  <c r="AJ18" i="5" s="1"/>
  <c r="AC18" i="5"/>
  <c r="AI18" i="5" s="1"/>
  <c r="AB18" i="5"/>
  <c r="AH18" i="5" s="1"/>
  <c r="AA18" i="5"/>
  <c r="AG18" i="5" s="1"/>
  <c r="K18" i="5"/>
  <c r="L18" i="5" s="1"/>
  <c r="M18" i="5" s="1"/>
  <c r="G18" i="5"/>
  <c r="F18" i="5"/>
  <c r="AE17" i="5"/>
  <c r="AK17" i="5" s="1"/>
  <c r="AD17" i="5"/>
  <c r="AJ17" i="5" s="1"/>
  <c r="AC17" i="5"/>
  <c r="AI17" i="5" s="1"/>
  <c r="AB17" i="5"/>
  <c r="AH17" i="5" s="1"/>
  <c r="AA17" i="5"/>
  <c r="AG17" i="5" s="1"/>
  <c r="K17" i="5"/>
  <c r="L17" i="5" s="1"/>
  <c r="M17" i="5" s="1"/>
  <c r="G17" i="5"/>
  <c r="F17" i="5"/>
  <c r="AE16" i="5"/>
  <c r="AK16" i="5" s="1"/>
  <c r="AD16" i="5"/>
  <c r="AJ16" i="5" s="1"/>
  <c r="AC16" i="5"/>
  <c r="AI16" i="5" s="1"/>
  <c r="AB16" i="5"/>
  <c r="AH16" i="5" s="1"/>
  <c r="AA16" i="5"/>
  <c r="AG16" i="5" s="1"/>
  <c r="K16" i="5"/>
  <c r="L16" i="5" s="1"/>
  <c r="M16" i="5" s="1"/>
  <c r="G16" i="5"/>
  <c r="F16" i="5"/>
  <c r="AE15" i="5"/>
  <c r="AK15" i="5" s="1"/>
  <c r="AD15" i="5"/>
  <c r="AJ15" i="5" s="1"/>
  <c r="AC15" i="5"/>
  <c r="AI15" i="5" s="1"/>
  <c r="AB15" i="5"/>
  <c r="AH15" i="5" s="1"/>
  <c r="AA15" i="5"/>
  <c r="AG15" i="5" s="1"/>
  <c r="K15" i="5"/>
  <c r="L15" i="5" s="1"/>
  <c r="M15" i="5" s="1"/>
  <c r="G15" i="5"/>
  <c r="F15" i="5"/>
  <c r="AE14" i="5"/>
  <c r="AK14" i="5" s="1"/>
  <c r="AD14" i="5"/>
  <c r="AJ14" i="5" s="1"/>
  <c r="AC14" i="5"/>
  <c r="AI14" i="5" s="1"/>
  <c r="AB14" i="5"/>
  <c r="AH14" i="5" s="1"/>
  <c r="AA14" i="5"/>
  <c r="AG14" i="5" s="1"/>
  <c r="K14" i="5"/>
  <c r="L14" i="5" s="1"/>
  <c r="M14" i="5" s="1"/>
  <c r="G14" i="5"/>
  <c r="F14" i="5"/>
  <c r="AE13" i="5"/>
  <c r="AK13" i="5" s="1"/>
  <c r="AD13" i="5"/>
  <c r="AJ13" i="5" s="1"/>
  <c r="AC13" i="5"/>
  <c r="AI13" i="5" s="1"/>
  <c r="AB13" i="5"/>
  <c r="AH13" i="5" s="1"/>
  <c r="AA13" i="5"/>
  <c r="AG13" i="5" s="1"/>
  <c r="K13" i="5"/>
  <c r="G13" i="5"/>
  <c r="F13" i="5"/>
  <c r="Y11" i="5"/>
  <c r="X11" i="5"/>
  <c r="W11" i="5"/>
  <c r="V11" i="5"/>
  <c r="U11" i="5"/>
  <c r="S11" i="5"/>
  <c r="S44" i="5" s="1"/>
  <c r="I11" i="5"/>
  <c r="I44" i="5" s="1"/>
  <c r="AE10" i="5"/>
  <c r="AK10" i="5" s="1"/>
  <c r="AD10" i="5"/>
  <c r="AJ10" i="5" s="1"/>
  <c r="AC10" i="5"/>
  <c r="AI10" i="5" s="1"/>
  <c r="AB10" i="5"/>
  <c r="AH10" i="5" s="1"/>
  <c r="AA10" i="5"/>
  <c r="AG10" i="5" s="1"/>
  <c r="K10" i="5"/>
  <c r="G10" i="5"/>
  <c r="F10" i="5"/>
  <c r="AE9" i="5"/>
  <c r="AK9" i="5" s="1"/>
  <c r="AC9" i="5"/>
  <c r="AI9" i="5" s="1"/>
  <c r="AB9" i="5"/>
  <c r="AH9" i="5" s="1"/>
  <c r="L9" i="5"/>
  <c r="M9" i="5" s="1"/>
  <c r="K9" i="5"/>
  <c r="G9" i="5"/>
  <c r="F9" i="5"/>
  <c r="M1628" i="6" l="1"/>
  <c r="M1657" i="6"/>
  <c r="N1680" i="6"/>
  <c r="K1625" i="6"/>
  <c r="L1641" i="6"/>
  <c r="M1648" i="6"/>
  <c r="K1628" i="6"/>
  <c r="AE43" i="5"/>
  <c r="AK43" i="5" s="1"/>
  <c r="R11" i="5"/>
  <c r="N1609" i="6"/>
  <c r="K1629" i="6"/>
  <c r="L1677" i="6"/>
  <c r="M1707" i="6"/>
  <c r="M1746" i="6"/>
  <c r="J1680" i="6"/>
  <c r="L1724" i="6"/>
  <c r="N1676" i="6"/>
  <c r="J1649" i="6"/>
  <c r="K1656" i="6"/>
  <c r="L1689" i="6"/>
  <c r="J1612" i="6"/>
  <c r="L1625" i="6"/>
  <c r="N1657" i="6"/>
  <c r="K1680" i="6"/>
  <c r="M1753" i="6"/>
  <c r="N1612" i="6"/>
  <c r="K1648" i="6"/>
  <c r="K1677" i="6"/>
  <c r="M1680" i="6"/>
  <c r="K1707" i="6"/>
  <c r="J1727" i="6"/>
  <c r="N1753" i="6"/>
  <c r="J1632" i="6"/>
  <c r="L1645" i="6"/>
  <c r="N1677" i="6"/>
  <c r="K1736" i="6"/>
  <c r="M1645" i="6"/>
  <c r="J1676" i="6"/>
  <c r="M1689" i="6"/>
  <c r="L1704" i="6"/>
  <c r="M1724" i="6"/>
  <c r="M1737" i="6"/>
  <c r="N1641" i="6"/>
  <c r="L1646" i="6"/>
  <c r="K1657" i="6"/>
  <c r="K1676" i="6"/>
  <c r="K1752" i="6"/>
  <c r="W52" i="5"/>
  <c r="T58" i="2"/>
  <c r="T52" i="8"/>
  <c r="Y52" i="5"/>
  <c r="U58" i="2"/>
  <c r="U52" i="8"/>
  <c r="Z52" i="8" s="1"/>
  <c r="AE52" i="8" s="1"/>
  <c r="V58" i="2"/>
  <c r="V52" i="8"/>
  <c r="AA52" i="8" s="1"/>
  <c r="AF52" i="8" s="1"/>
  <c r="W58" i="2"/>
  <c r="W52" i="8"/>
  <c r="AB52" i="8" s="1"/>
  <c r="AG52" i="8" s="1"/>
  <c r="U52" i="5"/>
  <c r="V52" i="5"/>
  <c r="AB52" i="5" s="1"/>
  <c r="AH52" i="5" s="1"/>
  <c r="N510" i="6"/>
  <c r="K1613" i="6"/>
  <c r="J1616" i="6"/>
  <c r="L1630" i="6"/>
  <c r="J1633" i="6"/>
  <c r="K1640" i="6"/>
  <c r="K1673" i="6"/>
  <c r="M1695" i="6"/>
  <c r="K1730" i="6"/>
  <c r="M1734" i="6"/>
  <c r="J1936" i="6"/>
  <c r="J1939" i="6"/>
  <c r="N2249" i="6"/>
  <c r="K2765" i="6"/>
  <c r="N2789" i="6"/>
  <c r="L2961" i="6"/>
  <c r="AC52" i="5"/>
  <c r="AI52" i="5" s="1"/>
  <c r="L1613" i="6"/>
  <c r="K1616" i="6"/>
  <c r="M1625" i="6"/>
  <c r="N1628" i="6"/>
  <c r="J1644" i="6"/>
  <c r="N1645" i="6"/>
  <c r="N1648" i="6"/>
  <c r="K1661" i="6"/>
  <c r="J1664" i="6"/>
  <c r="L1673" i="6"/>
  <c r="M1676" i="6"/>
  <c r="L1678" i="6"/>
  <c r="J1681" i="6"/>
  <c r="K1688" i="6"/>
  <c r="L1691" i="6"/>
  <c r="K1738" i="6"/>
  <c r="L1744" i="6"/>
  <c r="M1936" i="6"/>
  <c r="M2114" i="6"/>
  <c r="AD52" i="5"/>
  <c r="AJ52" i="5" s="1"/>
  <c r="K5231" i="6"/>
  <c r="L5235" i="6"/>
  <c r="L5298" i="6"/>
  <c r="J5335" i="6"/>
  <c r="L5348" i="6"/>
  <c r="L5386" i="6"/>
  <c r="J5393" i="6"/>
  <c r="M5413" i="6"/>
  <c r="K5438" i="6"/>
  <c r="J5459" i="6"/>
  <c r="K1608" i="6"/>
  <c r="M1613" i="6"/>
  <c r="M1616" i="6"/>
  <c r="N1625" i="6"/>
  <c r="K1641" i="6"/>
  <c r="K1644" i="6"/>
  <c r="L1661" i="6"/>
  <c r="K1664" i="6"/>
  <c r="M1673" i="6"/>
  <c r="K1714" i="6"/>
  <c r="K1726" i="6"/>
  <c r="J1731" i="6"/>
  <c r="J1735" i="6"/>
  <c r="M1738" i="6"/>
  <c r="M1750" i="6"/>
  <c r="N1936" i="6"/>
  <c r="K1940" i="6"/>
  <c r="N3801" i="6"/>
  <c r="N3808" i="6"/>
  <c r="L5261" i="6"/>
  <c r="M5298" i="6"/>
  <c r="K5335" i="6"/>
  <c r="N1613" i="6"/>
  <c r="N1616" i="6"/>
  <c r="M1644" i="6"/>
  <c r="M1661" i="6"/>
  <c r="M1664" i="6"/>
  <c r="N1673" i="6"/>
  <c r="K1689" i="6"/>
  <c r="L1692" i="6"/>
  <c r="N1697" i="6"/>
  <c r="N1745" i="6"/>
  <c r="M2638" i="6"/>
  <c r="Z44" i="8"/>
  <c r="AE44" i="8" s="1"/>
  <c r="N4633" i="6"/>
  <c r="M5100" i="6"/>
  <c r="N5100" i="6"/>
  <c r="L5244" i="6"/>
  <c r="L5335" i="6"/>
  <c r="L5393" i="6"/>
  <c r="J5445" i="6"/>
  <c r="J5484" i="6"/>
  <c r="K1609" i="6"/>
  <c r="K1612" i="6"/>
  <c r="L1629" i="6"/>
  <c r="K1632" i="6"/>
  <c r="M1641" i="6"/>
  <c r="N1644" i="6"/>
  <c r="J1660" i="6"/>
  <c r="N1661" i="6"/>
  <c r="N1664" i="6"/>
  <c r="L1756" i="6"/>
  <c r="J1937" i="6"/>
  <c r="M1941" i="6"/>
  <c r="AA44" i="8"/>
  <c r="AF44" i="8" s="1"/>
  <c r="M5335" i="6"/>
  <c r="M5393" i="6"/>
  <c r="K5445" i="6"/>
  <c r="M5459" i="6"/>
  <c r="K5484" i="6"/>
  <c r="L1609" i="6"/>
  <c r="M1612" i="6"/>
  <c r="L1614" i="6"/>
  <c r="J1617" i="6"/>
  <c r="K1624" i="6"/>
  <c r="M1629" i="6"/>
  <c r="M1632" i="6"/>
  <c r="K1660" i="6"/>
  <c r="K2249" i="6"/>
  <c r="L2638" i="6"/>
  <c r="AB44" i="8"/>
  <c r="AG44" i="8" s="1"/>
  <c r="L3317" i="6"/>
  <c r="N4499" i="6"/>
  <c r="K4633" i="6"/>
  <c r="M1609" i="6"/>
  <c r="J1628" i="6"/>
  <c r="N1629" i="6"/>
  <c r="N1632" i="6"/>
  <c r="K1645" i="6"/>
  <c r="J1648" i="6"/>
  <c r="L1657" i="6"/>
  <c r="M1660" i="6"/>
  <c r="L1662" i="6"/>
  <c r="J1665" i="6"/>
  <c r="K1672" i="6"/>
  <c r="M1677" i="6"/>
  <c r="N1689" i="6"/>
  <c r="M1694" i="6"/>
  <c r="K1712" i="6"/>
  <c r="M1757" i="6"/>
  <c r="K1935" i="6"/>
  <c r="AA52" i="5"/>
  <c r="AG52" i="5" s="1"/>
  <c r="N3527" i="6"/>
  <c r="K2961" i="6"/>
  <c r="K1605" i="6"/>
  <c r="J1608" i="6"/>
  <c r="K1621" i="6"/>
  <c r="J1624" i="6"/>
  <c r="K1637" i="6"/>
  <c r="J1640" i="6"/>
  <c r="K1653" i="6"/>
  <c r="J1656" i="6"/>
  <c r="K1669" i="6"/>
  <c r="J1672" i="6"/>
  <c r="K1685" i="6"/>
  <c r="J1688" i="6"/>
  <c r="K1692" i="6"/>
  <c r="J1695" i="6"/>
  <c r="M1701" i="6"/>
  <c r="M1718" i="6"/>
  <c r="M1721" i="6"/>
  <c r="M1742" i="6"/>
  <c r="M1745" i="6"/>
  <c r="L1748" i="6"/>
  <c r="M1754" i="6"/>
  <c r="L1937" i="6"/>
  <c r="J1940" i="6"/>
  <c r="N1941" i="6"/>
  <c r="M2249" i="6"/>
  <c r="K2638" i="6"/>
  <c r="N2765" i="6"/>
  <c r="K2778" i="6"/>
  <c r="N2778" i="6"/>
  <c r="N2961" i="6"/>
  <c r="M3082" i="6"/>
  <c r="N3407" i="6"/>
  <c r="N3454" i="6"/>
  <c r="N3584" i="6"/>
  <c r="N3596" i="6"/>
  <c r="N3608" i="6"/>
  <c r="N3630" i="6"/>
  <c r="N3654" i="6"/>
  <c r="K5386" i="6"/>
  <c r="M5438" i="6"/>
  <c r="L1605" i="6"/>
  <c r="L1621" i="6"/>
  <c r="L1637" i="6"/>
  <c r="L1653" i="6"/>
  <c r="L1669" i="6"/>
  <c r="L1685" i="6"/>
  <c r="L2778" i="6"/>
  <c r="N3082" i="6"/>
  <c r="L3291" i="6"/>
  <c r="N3507" i="6"/>
  <c r="N5086" i="6"/>
  <c r="M5231" i="6"/>
  <c r="J5235" i="6"/>
  <c r="J5298" i="6"/>
  <c r="K5348" i="6"/>
  <c r="K5459" i="6"/>
  <c r="J1604" i="6"/>
  <c r="M1605" i="6"/>
  <c r="M1608" i="6"/>
  <c r="K1617" i="6"/>
  <c r="J1620" i="6"/>
  <c r="M1621" i="6"/>
  <c r="M1624" i="6"/>
  <c r="K1633" i="6"/>
  <c r="J1636" i="6"/>
  <c r="M1637" i="6"/>
  <c r="M1640" i="6"/>
  <c r="K1649" i="6"/>
  <c r="J1652" i="6"/>
  <c r="M1653" i="6"/>
  <c r="M1656" i="6"/>
  <c r="K1665" i="6"/>
  <c r="J1668" i="6"/>
  <c r="M1669" i="6"/>
  <c r="M1672" i="6"/>
  <c r="K1681" i="6"/>
  <c r="J1684" i="6"/>
  <c r="M1685" i="6"/>
  <c r="M1688" i="6"/>
  <c r="J1699" i="6"/>
  <c r="K1706" i="6"/>
  <c r="K1709" i="6"/>
  <c r="M1712" i="6"/>
  <c r="K1716" i="6"/>
  <c r="J1719" i="6"/>
  <c r="M1730" i="6"/>
  <c r="L1736" i="6"/>
  <c r="K1740" i="6"/>
  <c r="J1743" i="6"/>
  <c r="M1749" i="6"/>
  <c r="L1752" i="6"/>
  <c r="K1936" i="6"/>
  <c r="N1937" i="6"/>
  <c r="L1940" i="6"/>
  <c r="J2114" i="6"/>
  <c r="N2946" i="6"/>
  <c r="M3291" i="6"/>
  <c r="N3782" i="6"/>
  <c r="N4263" i="6"/>
  <c r="N4867" i="6"/>
  <c r="K5100" i="6"/>
  <c r="J5226" i="6"/>
  <c r="J5244" i="6"/>
  <c r="K5298" i="6"/>
  <c r="M5386" i="6"/>
  <c r="L5459" i="6"/>
  <c r="K1604" i="6"/>
  <c r="N1605" i="6"/>
  <c r="N1608" i="6"/>
  <c r="L1610" i="6"/>
  <c r="L1617" i="6"/>
  <c r="K1620" i="6"/>
  <c r="N1621" i="6"/>
  <c r="N1624" i="6"/>
  <c r="L1626" i="6"/>
  <c r="L1633" i="6"/>
  <c r="K1636" i="6"/>
  <c r="N1637" i="6"/>
  <c r="N1640" i="6"/>
  <c r="L1642" i="6"/>
  <c r="L1649" i="6"/>
  <c r="K1652" i="6"/>
  <c r="N1653" i="6"/>
  <c r="N1656" i="6"/>
  <c r="L1658" i="6"/>
  <c r="L1665" i="6"/>
  <c r="K1668" i="6"/>
  <c r="N1669" i="6"/>
  <c r="N1672" i="6"/>
  <c r="L1674" i="6"/>
  <c r="L1681" i="6"/>
  <c r="K1684" i="6"/>
  <c r="N1685" i="6"/>
  <c r="N1688" i="6"/>
  <c r="L1690" i="6"/>
  <c r="K1699" i="6"/>
  <c r="M1703" i="6"/>
  <c r="M1709" i="6"/>
  <c r="L1716" i="6"/>
  <c r="K1734" i="6"/>
  <c r="L1740" i="6"/>
  <c r="K1746" i="6"/>
  <c r="N1749" i="6"/>
  <c r="K1756" i="6"/>
  <c r="M1940" i="6"/>
  <c r="K2017" i="6"/>
  <c r="K2114" i="6"/>
  <c r="L2626" i="6"/>
  <c r="V49" i="8" s="1"/>
  <c r="V54" i="2" s="1"/>
  <c r="N2638" i="6"/>
  <c r="N3771" i="6"/>
  <c r="J4633" i="6"/>
  <c r="K5226" i="6"/>
  <c r="K5244" i="6"/>
  <c r="M1604" i="6"/>
  <c r="M1617" i="6"/>
  <c r="M1620" i="6"/>
  <c r="M1633" i="6"/>
  <c r="M1636" i="6"/>
  <c r="M1649" i="6"/>
  <c r="M1652" i="6"/>
  <c r="M1665" i="6"/>
  <c r="M1668" i="6"/>
  <c r="M1681" i="6"/>
  <c r="M1684" i="6"/>
  <c r="J2249" i="6"/>
  <c r="N3716" i="6"/>
  <c r="N3794" i="6"/>
  <c r="K4624" i="6"/>
  <c r="N449" i="6"/>
  <c r="N1604" i="6"/>
  <c r="L1606" i="6"/>
  <c r="N1620" i="6"/>
  <c r="L1622" i="6"/>
  <c r="N1636" i="6"/>
  <c r="L1638" i="6"/>
  <c r="N1652" i="6"/>
  <c r="L1654" i="6"/>
  <c r="N1668" i="6"/>
  <c r="L1670" i="6"/>
  <c r="N1684" i="6"/>
  <c r="L1686" i="6"/>
  <c r="J1691" i="6"/>
  <c r="K1697" i="6"/>
  <c r="M1720" i="6"/>
  <c r="K1744" i="6"/>
  <c r="K1750" i="6"/>
  <c r="M2017" i="6"/>
  <c r="N357" i="6"/>
  <c r="N412" i="6"/>
  <c r="N1162" i="6"/>
  <c r="J1935" i="6"/>
  <c r="K1939" i="6"/>
  <c r="J1941" i="6"/>
  <c r="N2114" i="6"/>
  <c r="N2754" i="6"/>
  <c r="L2765" i="6"/>
  <c r="K3082" i="6"/>
  <c r="N3310" i="6"/>
  <c r="N3546" i="6"/>
  <c r="N3557" i="6"/>
  <c r="N4300" i="6"/>
  <c r="N1238" i="6"/>
  <c r="L1618" i="6"/>
  <c r="L1634" i="6"/>
  <c r="L1650" i="6"/>
  <c r="L1666" i="6"/>
  <c r="L1682" i="6"/>
  <c r="K1701" i="6"/>
  <c r="K1732" i="6"/>
  <c r="K1742" i="6"/>
  <c r="K1748" i="6"/>
  <c r="K1754" i="6"/>
  <c r="L2249" i="6"/>
  <c r="J2638" i="6"/>
  <c r="M2765" i="6"/>
  <c r="M2789" i="6"/>
  <c r="M2961" i="6"/>
  <c r="L3082" i="6"/>
  <c r="J3082" i="6"/>
  <c r="N3155" i="6"/>
  <c r="J3291" i="6"/>
  <c r="N5168" i="6"/>
  <c r="J2961" i="6"/>
  <c r="H110" i="5"/>
  <c r="H14" i="5"/>
  <c r="H16" i="5"/>
  <c r="H17" i="5"/>
  <c r="H189" i="5"/>
  <c r="H18" i="5"/>
  <c r="H92" i="5"/>
  <c r="H96" i="5"/>
  <c r="H97" i="5"/>
  <c r="H126" i="5"/>
  <c r="H187" i="5"/>
  <c r="H91" i="5"/>
  <c r="F58" i="7"/>
  <c r="G118" i="7"/>
  <c r="G132" i="7" s="1"/>
  <c r="F96" i="7"/>
  <c r="G46" i="7"/>
  <c r="G60" i="7" s="1"/>
  <c r="G84" i="7"/>
  <c r="G98" i="7" s="1"/>
  <c r="E130" i="7"/>
  <c r="E27" i="7"/>
  <c r="F130" i="7"/>
  <c r="G15" i="7"/>
  <c r="G29" i="7" s="1"/>
  <c r="M2626" i="6"/>
  <c r="W49" i="8" s="1"/>
  <c r="J2626" i="6"/>
  <c r="T49" i="8" s="1"/>
  <c r="K2626" i="6"/>
  <c r="U49" i="8" s="1"/>
  <c r="L1693" i="6"/>
  <c r="J1693" i="6"/>
  <c r="J1708" i="6"/>
  <c r="N1708" i="6"/>
  <c r="N1710" i="6"/>
  <c r="L1710" i="6"/>
  <c r="J1710" i="6"/>
  <c r="N1723" i="6"/>
  <c r="L1723" i="6"/>
  <c r="L1725" i="6"/>
  <c r="J1725" i="6"/>
  <c r="N1751" i="6"/>
  <c r="M1751" i="6"/>
  <c r="L1751" i="6"/>
  <c r="K1751" i="6"/>
  <c r="J1603" i="6"/>
  <c r="J1607" i="6"/>
  <c r="J1611" i="6"/>
  <c r="J1615" i="6"/>
  <c r="J1619" i="6"/>
  <c r="J1623" i="6"/>
  <c r="J1627" i="6"/>
  <c r="J1631" i="6"/>
  <c r="J1635" i="6"/>
  <c r="J1639" i="6"/>
  <c r="J1643" i="6"/>
  <c r="J1647" i="6"/>
  <c r="J1651" i="6"/>
  <c r="J1655" i="6"/>
  <c r="J1659" i="6"/>
  <c r="J1663" i="6"/>
  <c r="J1667" i="6"/>
  <c r="J1671" i="6"/>
  <c r="J1675" i="6"/>
  <c r="J1679" i="6"/>
  <c r="J1683" i="6"/>
  <c r="J1687" i="6"/>
  <c r="K1691" i="6"/>
  <c r="K1693" i="6"/>
  <c r="J1704" i="6"/>
  <c r="N1704" i="6"/>
  <c r="N1706" i="6"/>
  <c r="L1706" i="6"/>
  <c r="J1706" i="6"/>
  <c r="K1708" i="6"/>
  <c r="K1710" i="6"/>
  <c r="N1719" i="6"/>
  <c r="L1719" i="6"/>
  <c r="L1721" i="6"/>
  <c r="J1721" i="6"/>
  <c r="J1723" i="6"/>
  <c r="K1725" i="6"/>
  <c r="N1735" i="6"/>
  <c r="L1735" i="6"/>
  <c r="K1735" i="6"/>
  <c r="N1743" i="6"/>
  <c r="L1743" i="6"/>
  <c r="K1743" i="6"/>
  <c r="J1751" i="6"/>
  <c r="L2017" i="6"/>
  <c r="L2114" i="6"/>
  <c r="M2778" i="6"/>
  <c r="K3291" i="6"/>
  <c r="N4449" i="6"/>
  <c r="L4624" i="6"/>
  <c r="L5100" i="6"/>
  <c r="J5100" i="6"/>
  <c r="K1615" i="6"/>
  <c r="K1643" i="6"/>
  <c r="K1647" i="6"/>
  <c r="K1659" i="6"/>
  <c r="K1663" i="6"/>
  <c r="K1667" i="6"/>
  <c r="K1671" i="6"/>
  <c r="K1675" i="6"/>
  <c r="K1679" i="6"/>
  <c r="K1683" i="6"/>
  <c r="K1687" i="6"/>
  <c r="M1693" i="6"/>
  <c r="J1700" i="6"/>
  <c r="N1700" i="6"/>
  <c r="N1702" i="6"/>
  <c r="L1702" i="6"/>
  <c r="J1702" i="6"/>
  <c r="L1708" i="6"/>
  <c r="M1710" i="6"/>
  <c r="N1715" i="6"/>
  <c r="L1715" i="6"/>
  <c r="L1717" i="6"/>
  <c r="J1717" i="6"/>
  <c r="K1723" i="6"/>
  <c r="M1725" i="6"/>
  <c r="J1728" i="6"/>
  <c r="N1728" i="6"/>
  <c r="M1728" i="6"/>
  <c r="L1733" i="6"/>
  <c r="J1733" i="6"/>
  <c r="M4624" i="6"/>
  <c r="H1943" i="6"/>
  <c r="H5580" i="6" s="1"/>
  <c r="K1603" i="6"/>
  <c r="K1607" i="6"/>
  <c r="K1611" i="6"/>
  <c r="K1619" i="6"/>
  <c r="K1635" i="6"/>
  <c r="K1639" i="6"/>
  <c r="K1651" i="6"/>
  <c r="J1602" i="6"/>
  <c r="L1603" i="6"/>
  <c r="J1606" i="6"/>
  <c r="L1607" i="6"/>
  <c r="J1610" i="6"/>
  <c r="L1611" i="6"/>
  <c r="J1614" i="6"/>
  <c r="L1615" i="6"/>
  <c r="J1618" i="6"/>
  <c r="L1619" i="6"/>
  <c r="J1622" i="6"/>
  <c r="L1623" i="6"/>
  <c r="J1626" i="6"/>
  <c r="L1627" i="6"/>
  <c r="J1630" i="6"/>
  <c r="L1631" i="6"/>
  <c r="J1634" i="6"/>
  <c r="L1635" i="6"/>
  <c r="J1638" i="6"/>
  <c r="L1639" i="6"/>
  <c r="J1642" i="6"/>
  <c r="L1643" i="6"/>
  <c r="J1646" i="6"/>
  <c r="L1647" i="6"/>
  <c r="J1650" i="6"/>
  <c r="L1651" i="6"/>
  <c r="J1654" i="6"/>
  <c r="L1655" i="6"/>
  <c r="J1658" i="6"/>
  <c r="L1659" i="6"/>
  <c r="J1662" i="6"/>
  <c r="L1663" i="6"/>
  <c r="J1666" i="6"/>
  <c r="L1667" i="6"/>
  <c r="J1670" i="6"/>
  <c r="L1671" i="6"/>
  <c r="J1674" i="6"/>
  <c r="L1675" i="6"/>
  <c r="J1678" i="6"/>
  <c r="L1679" i="6"/>
  <c r="J1682" i="6"/>
  <c r="L1683" i="6"/>
  <c r="J1686" i="6"/>
  <c r="L1687" i="6"/>
  <c r="J1690" i="6"/>
  <c r="M1691" i="6"/>
  <c r="N1693" i="6"/>
  <c r="J1696" i="6"/>
  <c r="N1696" i="6"/>
  <c r="N1698" i="6"/>
  <c r="L1698" i="6"/>
  <c r="J1698" i="6"/>
  <c r="K1700" i="6"/>
  <c r="K1702" i="6"/>
  <c r="M1708" i="6"/>
  <c r="N1711" i="6"/>
  <c r="L1711" i="6"/>
  <c r="L1713" i="6"/>
  <c r="J1713" i="6"/>
  <c r="J1715" i="6"/>
  <c r="K1717" i="6"/>
  <c r="M1723" i="6"/>
  <c r="N1725" i="6"/>
  <c r="K1728" i="6"/>
  <c r="K1733" i="6"/>
  <c r="L1741" i="6"/>
  <c r="K1741" i="6"/>
  <c r="J1741" i="6"/>
  <c r="N1755" i="6"/>
  <c r="M1755" i="6"/>
  <c r="L1755" i="6"/>
  <c r="K1755" i="6"/>
  <c r="N2017" i="6"/>
  <c r="J3317" i="6"/>
  <c r="N3642" i="6"/>
  <c r="N4624" i="6"/>
  <c r="K1623" i="6"/>
  <c r="K1627" i="6"/>
  <c r="K1631" i="6"/>
  <c r="K1655" i="6"/>
  <c r="K1602" i="6"/>
  <c r="M1603" i="6"/>
  <c r="K1606" i="6"/>
  <c r="M1607" i="6"/>
  <c r="K1610" i="6"/>
  <c r="M1611" i="6"/>
  <c r="K1614" i="6"/>
  <c r="M1615" i="6"/>
  <c r="K1618" i="6"/>
  <c r="M1619" i="6"/>
  <c r="K1622" i="6"/>
  <c r="M1623" i="6"/>
  <c r="K1626" i="6"/>
  <c r="M1627" i="6"/>
  <c r="K1630" i="6"/>
  <c r="M1631" i="6"/>
  <c r="K1634" i="6"/>
  <c r="M1635" i="6"/>
  <c r="K1638" i="6"/>
  <c r="M1639" i="6"/>
  <c r="K1642" i="6"/>
  <c r="M1643" i="6"/>
  <c r="K1646" i="6"/>
  <c r="M1647" i="6"/>
  <c r="K1650" i="6"/>
  <c r="M1651" i="6"/>
  <c r="K1654" i="6"/>
  <c r="M1655" i="6"/>
  <c r="K1658" i="6"/>
  <c r="M1659" i="6"/>
  <c r="K1662" i="6"/>
  <c r="M1663" i="6"/>
  <c r="K1666" i="6"/>
  <c r="M1667" i="6"/>
  <c r="K1670" i="6"/>
  <c r="M1671" i="6"/>
  <c r="K1674" i="6"/>
  <c r="M1675" i="6"/>
  <c r="K1678" i="6"/>
  <c r="M1679" i="6"/>
  <c r="K1682" i="6"/>
  <c r="M1683" i="6"/>
  <c r="K1686" i="6"/>
  <c r="M1687" i="6"/>
  <c r="K1690" i="6"/>
  <c r="J1692" i="6"/>
  <c r="N1692" i="6"/>
  <c r="N1694" i="6"/>
  <c r="L1694" i="6"/>
  <c r="J1694" i="6"/>
  <c r="K1696" i="6"/>
  <c r="K1698" i="6"/>
  <c r="L1700" i="6"/>
  <c r="M1702" i="6"/>
  <c r="M1704" i="6"/>
  <c r="N1707" i="6"/>
  <c r="L1707" i="6"/>
  <c r="L1709" i="6"/>
  <c r="J1709" i="6"/>
  <c r="J1711" i="6"/>
  <c r="K1713" i="6"/>
  <c r="K1715" i="6"/>
  <c r="M1717" i="6"/>
  <c r="M1719" i="6"/>
  <c r="N1721" i="6"/>
  <c r="J1724" i="6"/>
  <c r="N1724" i="6"/>
  <c r="N1726" i="6"/>
  <c r="L1726" i="6"/>
  <c r="J1726" i="6"/>
  <c r="L1728" i="6"/>
  <c r="N1731" i="6"/>
  <c r="L1731" i="6"/>
  <c r="K1731" i="6"/>
  <c r="M1733" i="6"/>
  <c r="M1741" i="6"/>
  <c r="J1755" i="6"/>
  <c r="N1942" i="6"/>
  <c r="M1942" i="6"/>
  <c r="L1942" i="6"/>
  <c r="K1942" i="6"/>
  <c r="J1942" i="6"/>
  <c r="J2789" i="6"/>
  <c r="N2909" i="6"/>
  <c r="N3291" i="6"/>
  <c r="K3317" i="6"/>
  <c r="N3401" i="6"/>
  <c r="N3827" i="6"/>
  <c r="N3838" i="6"/>
  <c r="N4244" i="6"/>
  <c r="N5078" i="6"/>
  <c r="L5355" i="6"/>
  <c r="J5406" i="6"/>
  <c r="K2789" i="6"/>
  <c r="N3819" i="6"/>
  <c r="L5254" i="6"/>
  <c r="M5267" i="6"/>
  <c r="L1705" i="6"/>
  <c r="J1705" i="6"/>
  <c r="N1722" i="6"/>
  <c r="L1722" i="6"/>
  <c r="J1722" i="6"/>
  <c r="L1729" i="6"/>
  <c r="J1729" i="6"/>
  <c r="N1739" i="6"/>
  <c r="L1739" i="6"/>
  <c r="K1739" i="6"/>
  <c r="N1747" i="6"/>
  <c r="M1747" i="6"/>
  <c r="L1747" i="6"/>
  <c r="K1747" i="6"/>
  <c r="M1602" i="6"/>
  <c r="M1606" i="6"/>
  <c r="M1610" i="6"/>
  <c r="M1614" i="6"/>
  <c r="M1618" i="6"/>
  <c r="M1622" i="6"/>
  <c r="M1626" i="6"/>
  <c r="M1630" i="6"/>
  <c r="M1634" i="6"/>
  <c r="M1638" i="6"/>
  <c r="M1642" i="6"/>
  <c r="M1646" i="6"/>
  <c r="M1650" i="6"/>
  <c r="M1654" i="6"/>
  <c r="M1658" i="6"/>
  <c r="M1662" i="6"/>
  <c r="M1666" i="6"/>
  <c r="M1670" i="6"/>
  <c r="M1674" i="6"/>
  <c r="M1678" i="6"/>
  <c r="M1682" i="6"/>
  <c r="M1686" i="6"/>
  <c r="M1690" i="6"/>
  <c r="M1696" i="6"/>
  <c r="N1699" i="6"/>
  <c r="L1699" i="6"/>
  <c r="L1701" i="6"/>
  <c r="J1701" i="6"/>
  <c r="K1705" i="6"/>
  <c r="M1711" i="6"/>
  <c r="N1713" i="6"/>
  <c r="J1716" i="6"/>
  <c r="N1716" i="6"/>
  <c r="N1718" i="6"/>
  <c r="L1718" i="6"/>
  <c r="J1718" i="6"/>
  <c r="K1722" i="6"/>
  <c r="K1729" i="6"/>
  <c r="J1739" i="6"/>
  <c r="J1747" i="6"/>
  <c r="N1938" i="6"/>
  <c r="M1938" i="6"/>
  <c r="L1938" i="6"/>
  <c r="K1938" i="6"/>
  <c r="J1938" i="6"/>
  <c r="N2392" i="6"/>
  <c r="J2778" i="6"/>
  <c r="L2789" i="6"/>
  <c r="N2872" i="6"/>
  <c r="M3317" i="6"/>
  <c r="N3351" i="6"/>
  <c r="N4658" i="6"/>
  <c r="J5348" i="6"/>
  <c r="N1703" i="6"/>
  <c r="L1703" i="6"/>
  <c r="J1720" i="6"/>
  <c r="N1720" i="6"/>
  <c r="N1602" i="6"/>
  <c r="N1695" i="6"/>
  <c r="L1695" i="6"/>
  <c r="L1697" i="6"/>
  <c r="J1697" i="6"/>
  <c r="K1703" i="6"/>
  <c r="M1705" i="6"/>
  <c r="J1712" i="6"/>
  <c r="N1712" i="6"/>
  <c r="N1714" i="6"/>
  <c r="L1714" i="6"/>
  <c r="J1714" i="6"/>
  <c r="L1720" i="6"/>
  <c r="M1722" i="6"/>
  <c r="N1727" i="6"/>
  <c r="L1727" i="6"/>
  <c r="K1727" i="6"/>
  <c r="M1729" i="6"/>
  <c r="J1732" i="6"/>
  <c r="N1732" i="6"/>
  <c r="M1732" i="6"/>
  <c r="L1737" i="6"/>
  <c r="K1737" i="6"/>
  <c r="J1737" i="6"/>
  <c r="M1739" i="6"/>
  <c r="J2017" i="6"/>
  <c r="N3216" i="6"/>
  <c r="N3317" i="6"/>
  <c r="N3460" i="6"/>
  <c r="N3568" i="6"/>
  <c r="N3674" i="6"/>
  <c r="J4624" i="6"/>
  <c r="M1736" i="6"/>
  <c r="M1740" i="6"/>
  <c r="M1744" i="6"/>
  <c r="M1748" i="6"/>
  <c r="M1752" i="6"/>
  <c r="M1756" i="6"/>
  <c r="L1935" i="6"/>
  <c r="L1939" i="6"/>
  <c r="J1730" i="6"/>
  <c r="J1734" i="6"/>
  <c r="N1736" i="6"/>
  <c r="J1738" i="6"/>
  <c r="N1740" i="6"/>
  <c r="J1742" i="6"/>
  <c r="N1744" i="6"/>
  <c r="J1746" i="6"/>
  <c r="N1748" i="6"/>
  <c r="J1750" i="6"/>
  <c r="N1752" i="6"/>
  <c r="J1754" i="6"/>
  <c r="N1756" i="6"/>
  <c r="M1935" i="6"/>
  <c r="M1939" i="6"/>
  <c r="L1730" i="6"/>
  <c r="L1734" i="6"/>
  <c r="L1738" i="6"/>
  <c r="L1742" i="6"/>
  <c r="J1745" i="6"/>
  <c r="L1746" i="6"/>
  <c r="J1749" i="6"/>
  <c r="L1750" i="6"/>
  <c r="J1753" i="6"/>
  <c r="L1754" i="6"/>
  <c r="J1757" i="6"/>
  <c r="K1941" i="6"/>
  <c r="K1745" i="6"/>
  <c r="K1749" i="6"/>
  <c r="K1753" i="6"/>
  <c r="K1757" i="6"/>
  <c r="O11" i="5"/>
  <c r="AA11" i="5" s="1"/>
  <c r="AG11" i="5" s="1"/>
  <c r="K11" i="5"/>
  <c r="H22" i="5"/>
  <c r="H87" i="5"/>
  <c r="H111" i="5"/>
  <c r="AD11" i="5"/>
  <c r="AJ11" i="5" s="1"/>
  <c r="F79" i="5"/>
  <c r="Y44" i="5"/>
  <c r="AE44" i="5" s="1"/>
  <c r="AK44" i="5" s="1"/>
  <c r="H15" i="5"/>
  <c r="P11" i="5"/>
  <c r="AB11" i="5" s="1"/>
  <c r="AH11" i="5" s="1"/>
  <c r="R43" i="5"/>
  <c r="R44" i="5" s="1"/>
  <c r="AE38" i="5"/>
  <c r="AK38" i="5" s="1"/>
  <c r="H19" i="5"/>
  <c r="P43" i="5"/>
  <c r="P44" i="5" s="1"/>
  <c r="AB44" i="5" s="1"/>
  <c r="AH44" i="5" s="1"/>
  <c r="Q43" i="5"/>
  <c r="AC43" i="5" s="1"/>
  <c r="AI43" i="5" s="1"/>
  <c r="H9" i="5"/>
  <c r="H11" i="5" s="1"/>
  <c r="AD9" i="5"/>
  <c r="AJ9" i="5" s="1"/>
  <c r="P79" i="5"/>
  <c r="I183" i="5"/>
  <c r="I184" i="5" s="1"/>
  <c r="U44" i="5"/>
  <c r="O43" i="5"/>
  <c r="H21" i="5"/>
  <c r="H24" i="5"/>
  <c r="H112" i="5"/>
  <c r="H134" i="5"/>
  <c r="L182" i="5"/>
  <c r="M182" i="5" s="1"/>
  <c r="H88" i="5"/>
  <c r="H188" i="5"/>
  <c r="H101" i="5"/>
  <c r="H125" i="5"/>
  <c r="H115" i="5"/>
  <c r="H137" i="5"/>
  <c r="H114" i="5"/>
  <c r="H117" i="5"/>
  <c r="H124" i="5"/>
  <c r="L215" i="5"/>
  <c r="M215" i="5" s="1"/>
  <c r="L222" i="5"/>
  <c r="M222" i="5" s="1"/>
  <c r="AA43" i="5"/>
  <c r="AG43" i="5" s="1"/>
  <c r="L10" i="5"/>
  <c r="M10" i="5" s="1"/>
  <c r="F11" i="5"/>
  <c r="Q11" i="5"/>
  <c r="Q79" i="5"/>
  <c r="AC47" i="5"/>
  <c r="AI47" i="5" s="1"/>
  <c r="H50" i="5"/>
  <c r="H58" i="5"/>
  <c r="S79" i="5"/>
  <c r="F43" i="5"/>
  <c r="F44" i="5" s="1"/>
  <c r="H48" i="5"/>
  <c r="H56" i="5"/>
  <c r="AA9" i="5"/>
  <c r="AG9" i="5" s="1"/>
  <c r="H47" i="5"/>
  <c r="F183" i="5"/>
  <c r="F184" i="5" s="1"/>
  <c r="H82" i="5"/>
  <c r="AE11" i="5"/>
  <c r="AK11" i="5" s="1"/>
  <c r="H13" i="5"/>
  <c r="AC26" i="5"/>
  <c r="AI26" i="5" s="1"/>
  <c r="AD47" i="5"/>
  <c r="AJ47" i="5" s="1"/>
  <c r="H54" i="5"/>
  <c r="Q183" i="5"/>
  <c r="AC110" i="5"/>
  <c r="AI110" i="5" s="1"/>
  <c r="K43" i="5"/>
  <c r="W44" i="5"/>
  <c r="AB24" i="5"/>
  <c r="AH24" i="5" s="1"/>
  <c r="O79" i="5"/>
  <c r="L13" i="5"/>
  <c r="M13" i="5" s="1"/>
  <c r="X44" i="5"/>
  <c r="H52" i="5"/>
  <c r="H113" i="5"/>
  <c r="H121" i="5"/>
  <c r="P183" i="5"/>
  <c r="P184" i="5" s="1"/>
  <c r="L47" i="5"/>
  <c r="M47" i="5" s="1"/>
  <c r="L138" i="5"/>
  <c r="M138" i="5" s="1"/>
  <c r="Q237" i="5"/>
  <c r="AC187" i="5"/>
  <c r="AI187" i="5" s="1"/>
  <c r="O183" i="5"/>
  <c r="H86" i="5"/>
  <c r="H100" i="5"/>
  <c r="H116" i="5"/>
  <c r="K183" i="5"/>
  <c r="H130" i="5"/>
  <c r="H138" i="5"/>
  <c r="S183" i="5"/>
  <c r="P237" i="5"/>
  <c r="AB237" i="5" s="1"/>
  <c r="AH237" i="5" s="1"/>
  <c r="I237" i="5"/>
  <c r="K237" i="5"/>
  <c r="F237" i="5"/>
  <c r="R237" i="5"/>
  <c r="AD187" i="5"/>
  <c r="AJ187" i="5" s="1"/>
  <c r="S237" i="5"/>
  <c r="H237" i="5"/>
  <c r="R183" i="5"/>
  <c r="R184" i="5" s="1"/>
  <c r="L223" i="5"/>
  <c r="M223" i="5" s="1"/>
  <c r="O237" i="5"/>
  <c r="AB187" i="5"/>
  <c r="AH187" i="5" s="1"/>
  <c r="L176" i="5"/>
  <c r="M176" i="5" s="1"/>
  <c r="Q184" i="5" l="1"/>
  <c r="AD43" i="5"/>
  <c r="AJ43" i="5" s="1"/>
  <c r="AB43" i="5"/>
  <c r="AH43" i="5" s="1"/>
  <c r="AD44" i="5"/>
  <c r="AJ44" i="5" s="1"/>
  <c r="O44" i="5"/>
  <c r="AA44" i="5" s="1"/>
  <c r="AG44" i="5" s="1"/>
  <c r="L1943" i="6"/>
  <c r="L5580" i="6" s="1"/>
  <c r="K52" i="8"/>
  <c r="L52" i="8" s="1"/>
  <c r="M52" i="8" s="1"/>
  <c r="Y52" i="8"/>
  <c r="AD52" i="8" s="1"/>
  <c r="K52" i="5"/>
  <c r="L52" i="5" s="1"/>
  <c r="M52" i="5" s="1"/>
  <c r="AE52" i="5"/>
  <c r="AK52" i="5" s="1"/>
  <c r="Y79" i="5"/>
  <c r="Y184" i="5" s="1"/>
  <c r="Y238" i="5" s="1"/>
  <c r="N33" i="1" s="1"/>
  <c r="K44" i="8"/>
  <c r="L44" i="8" s="1"/>
  <c r="M44" i="8" s="1"/>
  <c r="Y44" i="8"/>
  <c r="AD44" i="8" s="1"/>
  <c r="K1943" i="6"/>
  <c r="K5580" i="6" s="1"/>
  <c r="J1943" i="6"/>
  <c r="J5580" i="6" s="1"/>
  <c r="W74" i="5"/>
  <c r="N1943" i="6"/>
  <c r="M1943" i="6"/>
  <c r="M5580" i="6" s="1"/>
  <c r="V65" i="8"/>
  <c r="AA65" i="8" s="1"/>
  <c r="AF65" i="8" s="1"/>
  <c r="AA49" i="8"/>
  <c r="AF49" i="8" s="1"/>
  <c r="V74" i="5"/>
  <c r="U54" i="2"/>
  <c r="U65" i="8"/>
  <c r="Z49" i="8"/>
  <c r="AE49" i="8" s="1"/>
  <c r="U74" i="5"/>
  <c r="T54" i="2"/>
  <c r="T65" i="8"/>
  <c r="K49" i="8"/>
  <c r="Y49" i="8"/>
  <c r="AD49" i="8" s="1"/>
  <c r="X74" i="5"/>
  <c r="W54" i="2"/>
  <c r="W65" i="8"/>
  <c r="AB49" i="8"/>
  <c r="AG49" i="8" s="1"/>
  <c r="N5580" i="6"/>
  <c r="I238" i="5"/>
  <c r="AC183" i="5"/>
  <c r="AI183" i="5" s="1"/>
  <c r="H43" i="5"/>
  <c r="H44" i="5" s="1"/>
  <c r="Q44" i="5"/>
  <c r="H183" i="5"/>
  <c r="P238" i="5"/>
  <c r="O184" i="5"/>
  <c r="AE237" i="5"/>
  <c r="AK237" i="5" s="1"/>
  <c r="O238" i="5"/>
  <c r="AE183" i="5"/>
  <c r="AK183" i="5" s="1"/>
  <c r="S184" i="5"/>
  <c r="S238" i="5" s="1"/>
  <c r="AA237" i="5"/>
  <c r="AG237" i="5" s="1"/>
  <c r="AD237" i="5"/>
  <c r="AJ237" i="5" s="1"/>
  <c r="R238" i="5"/>
  <c r="AC237" i="5"/>
  <c r="AI237" i="5" s="1"/>
  <c r="K44" i="5"/>
  <c r="L44" i="5" s="1"/>
  <c r="M44" i="5" s="1"/>
  <c r="L43" i="5"/>
  <c r="M43" i="5" s="1"/>
  <c r="H79" i="5"/>
  <c r="H184" i="5" s="1"/>
  <c r="AC11" i="5"/>
  <c r="AI11" i="5" s="1"/>
  <c r="F238" i="5"/>
  <c r="AB183" i="5"/>
  <c r="AH183" i="5" s="1"/>
  <c r="L183" i="5"/>
  <c r="M183" i="5" s="1"/>
  <c r="L11" i="5"/>
  <c r="M11" i="5" s="1"/>
  <c r="AD183" i="5"/>
  <c r="AJ183" i="5" s="1"/>
  <c r="L237" i="5"/>
  <c r="M237" i="5" s="1"/>
  <c r="AA183" i="5"/>
  <c r="AG183" i="5" s="1"/>
  <c r="Q238" i="5" l="1"/>
  <c r="AC44" i="5"/>
  <c r="AI44" i="5" s="1"/>
  <c r="AE184" i="5"/>
  <c r="AK184" i="5" s="1"/>
  <c r="AE79" i="5"/>
  <c r="AK79" i="5" s="1"/>
  <c r="V132" i="8"/>
  <c r="AA132" i="8" s="1"/>
  <c r="AF132" i="8" s="1"/>
  <c r="W79" i="5"/>
  <c r="AC74" i="5"/>
  <c r="AI74" i="5" s="1"/>
  <c r="U79" i="5"/>
  <c r="K74" i="5"/>
  <c r="AA74" i="5"/>
  <c r="AG74" i="5" s="1"/>
  <c r="W132" i="8"/>
  <c r="AB65" i="8"/>
  <c r="AG65" i="8" s="1"/>
  <c r="U132" i="8"/>
  <c r="Z65" i="8"/>
  <c r="AE65" i="8" s="1"/>
  <c r="T132" i="8"/>
  <c r="Y65" i="8"/>
  <c r="AD65" i="8" s="1"/>
  <c r="X79" i="5"/>
  <c r="AD74" i="5"/>
  <c r="AJ74" i="5" s="1"/>
  <c r="L49" i="8"/>
  <c r="M49" i="8" s="1"/>
  <c r="K65" i="8"/>
  <c r="AB74" i="5"/>
  <c r="AH74" i="5" s="1"/>
  <c r="V79" i="5"/>
  <c r="H238" i="5"/>
  <c r="AE238" i="5"/>
  <c r="AK238" i="5" s="1"/>
  <c r="V161" i="8" l="1"/>
  <c r="AA161" i="8" s="1"/>
  <c r="AF161" i="8" s="1"/>
  <c r="W184" i="5"/>
  <c r="AC79" i="5"/>
  <c r="AI79" i="5" s="1"/>
  <c r="T161" i="8"/>
  <c r="Y132" i="8"/>
  <c r="AD132" i="8" s="1"/>
  <c r="AD79" i="5"/>
  <c r="AJ79" i="5" s="1"/>
  <c r="X184" i="5"/>
  <c r="V184" i="5"/>
  <c r="AB79" i="5"/>
  <c r="AH79" i="5" s="1"/>
  <c r="L65" i="8"/>
  <c r="M65" i="8" s="1"/>
  <c r="O14" i="1"/>
  <c r="K132" i="8"/>
  <c r="U161" i="8"/>
  <c r="Z132" i="8"/>
  <c r="AE132" i="8" s="1"/>
  <c r="L74" i="5"/>
  <c r="M74" i="5" s="1"/>
  <c r="K79" i="5"/>
  <c r="W161" i="8"/>
  <c r="AB132" i="8"/>
  <c r="AG132" i="8" s="1"/>
  <c r="U184" i="5"/>
  <c r="AA79" i="5"/>
  <c r="AG79" i="5" s="1"/>
  <c r="O31" i="1" l="1"/>
  <c r="AC184" i="5"/>
  <c r="AI184" i="5" s="1"/>
  <c r="W238" i="5"/>
  <c r="O32" i="1"/>
  <c r="AB161" i="8"/>
  <c r="AG161" i="8" s="1"/>
  <c r="V238" i="5"/>
  <c r="AB184" i="5"/>
  <c r="AH184" i="5" s="1"/>
  <c r="AD184" i="5"/>
  <c r="AJ184" i="5" s="1"/>
  <c r="X238" i="5"/>
  <c r="L79" i="5"/>
  <c r="M79" i="5" s="1"/>
  <c r="N14" i="1"/>
  <c r="K184" i="5"/>
  <c r="U238" i="5"/>
  <c r="AA184" i="5"/>
  <c r="AG184" i="5" s="1"/>
  <c r="O30" i="1"/>
  <c r="Z161" i="8"/>
  <c r="AE161" i="8" s="1"/>
  <c r="L132" i="8"/>
  <c r="M132" i="8" s="1"/>
  <c r="K161" i="8"/>
  <c r="L161" i="8" s="1"/>
  <c r="M161" i="8" s="1"/>
  <c r="O29" i="1"/>
  <c r="Y161" i="8"/>
  <c r="AD161" i="8" s="1"/>
  <c r="G99" i="4"/>
  <c r="G100" i="4"/>
  <c r="G101" i="4"/>
  <c r="C119" i="4"/>
  <c r="C117" i="4"/>
  <c r="F115" i="4"/>
  <c r="E115" i="4"/>
  <c r="E117" i="4" s="1"/>
  <c r="C107" i="4"/>
  <c r="F105" i="4"/>
  <c r="E105" i="4"/>
  <c r="G104" i="4"/>
  <c r="G103" i="4"/>
  <c r="G102" i="4"/>
  <c r="G98" i="4"/>
  <c r="G95" i="4"/>
  <c r="F95" i="4"/>
  <c r="E95" i="4"/>
  <c r="D95" i="4"/>
  <c r="C95" i="4"/>
  <c r="C89" i="4"/>
  <c r="C87" i="4"/>
  <c r="F85" i="4"/>
  <c r="E85" i="4"/>
  <c r="E87" i="4" s="1"/>
  <c r="C77" i="4"/>
  <c r="F75" i="4"/>
  <c r="E75" i="4"/>
  <c r="G74" i="4"/>
  <c r="G73" i="4"/>
  <c r="G72" i="4"/>
  <c r="G71" i="4"/>
  <c r="G70" i="4"/>
  <c r="G69" i="4"/>
  <c r="G68" i="4"/>
  <c r="G65" i="4"/>
  <c r="F65" i="4"/>
  <c r="E65" i="4"/>
  <c r="D65" i="4"/>
  <c r="C65" i="4"/>
  <c r="C59" i="4"/>
  <c r="C57" i="4"/>
  <c r="F55" i="4"/>
  <c r="E55" i="4"/>
  <c r="C47" i="4"/>
  <c r="F45" i="4"/>
  <c r="G45" i="4" s="1"/>
  <c r="G59" i="4" s="1"/>
  <c r="E45" i="4"/>
  <c r="G44" i="4"/>
  <c r="G43" i="4"/>
  <c r="G42" i="4"/>
  <c r="G41" i="4"/>
  <c r="G40" i="4"/>
  <c r="G39" i="4"/>
  <c r="G38" i="4"/>
  <c r="G35" i="4"/>
  <c r="F35" i="4"/>
  <c r="E35" i="4"/>
  <c r="D35" i="4"/>
  <c r="C35" i="4"/>
  <c r="C29" i="4"/>
  <c r="C27" i="4"/>
  <c r="F25" i="4"/>
  <c r="F27" i="4" s="1"/>
  <c r="E25" i="4"/>
  <c r="C17" i="4"/>
  <c r="F15" i="4"/>
  <c r="E15" i="4"/>
  <c r="G14" i="4"/>
  <c r="G13" i="4"/>
  <c r="G12" i="4"/>
  <c r="G11" i="4"/>
  <c r="G10" i="4"/>
  <c r="G9" i="4"/>
  <c r="G8" i="4"/>
  <c r="G5" i="4"/>
  <c r="F5" i="4"/>
  <c r="E5" i="4"/>
  <c r="D5" i="4"/>
  <c r="C5" i="4"/>
  <c r="M2452" i="3"/>
  <c r="L2452" i="3"/>
  <c r="K2452" i="3"/>
  <c r="I2452" i="3"/>
  <c r="H2452" i="3"/>
  <c r="J2451" i="3"/>
  <c r="J2450" i="3"/>
  <c r="J2449" i="3"/>
  <c r="J2448" i="3"/>
  <c r="J2452" i="3" s="1"/>
  <c r="M2442" i="3"/>
  <c r="L2442" i="3"/>
  <c r="K2442" i="3"/>
  <c r="J2442" i="3"/>
  <c r="I2442" i="3"/>
  <c r="H2442" i="3"/>
  <c r="M2438" i="3"/>
  <c r="L2438" i="3"/>
  <c r="K2438" i="3"/>
  <c r="J2438" i="3"/>
  <c r="I2438" i="3"/>
  <c r="H2438" i="3"/>
  <c r="M2432" i="3"/>
  <c r="L2432" i="3"/>
  <c r="K2432" i="3"/>
  <c r="J2432" i="3"/>
  <c r="I2432" i="3"/>
  <c r="H2432" i="3"/>
  <c r="M2430" i="3"/>
  <c r="L2430" i="3"/>
  <c r="K2430" i="3"/>
  <c r="J2430" i="3"/>
  <c r="I2430" i="3"/>
  <c r="H2430" i="3"/>
  <c r="M2428" i="3"/>
  <c r="K2428" i="3"/>
  <c r="H2428" i="3"/>
  <c r="L2427" i="3"/>
  <c r="L2428" i="3" s="1"/>
  <c r="K2427" i="3"/>
  <c r="J2427" i="3"/>
  <c r="J2428" i="3" s="1"/>
  <c r="I2427" i="3"/>
  <c r="I2428" i="3" s="1"/>
  <c r="M2426" i="3"/>
  <c r="L2426" i="3"/>
  <c r="K2426" i="3"/>
  <c r="J2426" i="3"/>
  <c r="I2426" i="3"/>
  <c r="H2426" i="3"/>
  <c r="M2420" i="3"/>
  <c r="L2420" i="3"/>
  <c r="K2420" i="3"/>
  <c r="J2420" i="3"/>
  <c r="I2420" i="3"/>
  <c r="H2420" i="3"/>
  <c r="M2413" i="3"/>
  <c r="L2413" i="3"/>
  <c r="K2413" i="3"/>
  <c r="J2413" i="3"/>
  <c r="I2413" i="3"/>
  <c r="H2413" i="3"/>
  <c r="M2386" i="3"/>
  <c r="L2386" i="3"/>
  <c r="K2386" i="3"/>
  <c r="J2386" i="3"/>
  <c r="I2386" i="3"/>
  <c r="H2386" i="3"/>
  <c r="M2348" i="3"/>
  <c r="L2348" i="3"/>
  <c r="K2348" i="3"/>
  <c r="J2348" i="3"/>
  <c r="I2348" i="3"/>
  <c r="H2348" i="3"/>
  <c r="M2346" i="3"/>
  <c r="L2346" i="3"/>
  <c r="K2346" i="3"/>
  <c r="J2346" i="3"/>
  <c r="I2346" i="3"/>
  <c r="H2346" i="3"/>
  <c r="M2344" i="3"/>
  <c r="L2344" i="3"/>
  <c r="K2344" i="3"/>
  <c r="J2344" i="3"/>
  <c r="I2344" i="3"/>
  <c r="H2344" i="3"/>
  <c r="M2322" i="3"/>
  <c r="L2322" i="3"/>
  <c r="K2322" i="3"/>
  <c r="J2322" i="3"/>
  <c r="I2322" i="3"/>
  <c r="H2322" i="3"/>
  <c r="M2309" i="3"/>
  <c r="L2309" i="3"/>
  <c r="K2309" i="3"/>
  <c r="J2309" i="3"/>
  <c r="I2309" i="3"/>
  <c r="H2309" i="3"/>
  <c r="M2246" i="3"/>
  <c r="H2246" i="3"/>
  <c r="L2245" i="3"/>
  <c r="K2245" i="3"/>
  <c r="J2245" i="3"/>
  <c r="I2245" i="3"/>
  <c r="L2244" i="3"/>
  <c r="K2244" i="3"/>
  <c r="J2244" i="3"/>
  <c r="I2244" i="3"/>
  <c r="L2243" i="3"/>
  <c r="K2243" i="3"/>
  <c r="J2243" i="3"/>
  <c r="I2243" i="3"/>
  <c r="L2242" i="3"/>
  <c r="K2242" i="3"/>
  <c r="J2242" i="3"/>
  <c r="I2242" i="3"/>
  <c r="L2241" i="3"/>
  <c r="K2241" i="3"/>
  <c r="J2241" i="3"/>
  <c r="I2241" i="3"/>
  <c r="L2240" i="3"/>
  <c r="K2240" i="3"/>
  <c r="J2240" i="3"/>
  <c r="I2240" i="3"/>
  <c r="L2239" i="3"/>
  <c r="K2239" i="3"/>
  <c r="J2239" i="3"/>
  <c r="I2239" i="3"/>
  <c r="L2238" i="3"/>
  <c r="L2246" i="3" s="1"/>
  <c r="K2238" i="3"/>
  <c r="K2246" i="3" s="1"/>
  <c r="J2238" i="3"/>
  <c r="I2238" i="3"/>
  <c r="L2237" i="3"/>
  <c r="K2237" i="3"/>
  <c r="J2237" i="3"/>
  <c r="I2237" i="3"/>
  <c r="M2236" i="3"/>
  <c r="L2236" i="3"/>
  <c r="K2236" i="3"/>
  <c r="J2236" i="3"/>
  <c r="I2236" i="3"/>
  <c r="H2236" i="3"/>
  <c r="M2212" i="3"/>
  <c r="L2212" i="3"/>
  <c r="K2212" i="3"/>
  <c r="J2212" i="3"/>
  <c r="I2212" i="3"/>
  <c r="H2212" i="3"/>
  <c r="M2188" i="3"/>
  <c r="L2188" i="3"/>
  <c r="K2188" i="3"/>
  <c r="J2188" i="3"/>
  <c r="I2188" i="3"/>
  <c r="H2188" i="3"/>
  <c r="M2128" i="3"/>
  <c r="L2128" i="3"/>
  <c r="K2128" i="3"/>
  <c r="J2128" i="3"/>
  <c r="I2128" i="3"/>
  <c r="H2128" i="3"/>
  <c r="M2062" i="3"/>
  <c r="H2062" i="3"/>
  <c r="L2061" i="3"/>
  <c r="K2061" i="3"/>
  <c r="J2061" i="3"/>
  <c r="I2061" i="3"/>
  <c r="L2060" i="3"/>
  <c r="K2060" i="3"/>
  <c r="J2060" i="3"/>
  <c r="I2060" i="3"/>
  <c r="L2059" i="3"/>
  <c r="K2059" i="3"/>
  <c r="J2059" i="3"/>
  <c r="I2059" i="3"/>
  <c r="L2058" i="3"/>
  <c r="K2058" i="3"/>
  <c r="J2058" i="3"/>
  <c r="I2058" i="3"/>
  <c r="L2057" i="3"/>
  <c r="K2057" i="3"/>
  <c r="J2057" i="3"/>
  <c r="I2057" i="3"/>
  <c r="L2056" i="3"/>
  <c r="K2056" i="3"/>
  <c r="J2056" i="3"/>
  <c r="I2056" i="3"/>
  <c r="L2055" i="3"/>
  <c r="K2055" i="3"/>
  <c r="J2055" i="3"/>
  <c r="I2055" i="3"/>
  <c r="L2054" i="3"/>
  <c r="K2054" i="3"/>
  <c r="J2054" i="3"/>
  <c r="I2054" i="3"/>
  <c r="L2053" i="3"/>
  <c r="K2053" i="3"/>
  <c r="J2053" i="3"/>
  <c r="I2053" i="3"/>
  <c r="L2052" i="3"/>
  <c r="K2052" i="3"/>
  <c r="J2052" i="3"/>
  <c r="I2052" i="3"/>
  <c r="L2051" i="3"/>
  <c r="K2051" i="3"/>
  <c r="J2051" i="3"/>
  <c r="I2051" i="3"/>
  <c r="L2050" i="3"/>
  <c r="K2050" i="3"/>
  <c r="J2050" i="3"/>
  <c r="I2050" i="3"/>
  <c r="L2049" i="3"/>
  <c r="K2049" i="3"/>
  <c r="J2049" i="3"/>
  <c r="I2049" i="3"/>
  <c r="L2048" i="3"/>
  <c r="K2048" i="3"/>
  <c r="J2048" i="3"/>
  <c r="I2048" i="3"/>
  <c r="L2047" i="3"/>
  <c r="K2047" i="3"/>
  <c r="J2047" i="3"/>
  <c r="I2047" i="3"/>
  <c r="L2046" i="3"/>
  <c r="K2046" i="3"/>
  <c r="J2046" i="3"/>
  <c r="I2046" i="3"/>
  <c r="L2045" i="3"/>
  <c r="K2045" i="3"/>
  <c r="J2045" i="3"/>
  <c r="I2045" i="3"/>
  <c r="L2044" i="3"/>
  <c r="K2044" i="3"/>
  <c r="J2044" i="3"/>
  <c r="I2044" i="3"/>
  <c r="L2043" i="3"/>
  <c r="K2043" i="3"/>
  <c r="J2043" i="3"/>
  <c r="I2043" i="3"/>
  <c r="L2042" i="3"/>
  <c r="K2042" i="3"/>
  <c r="J2042" i="3"/>
  <c r="I2042" i="3"/>
  <c r="L2041" i="3"/>
  <c r="K2041" i="3"/>
  <c r="J2041" i="3"/>
  <c r="I2041" i="3"/>
  <c r="L2040" i="3"/>
  <c r="K2040" i="3"/>
  <c r="J2040" i="3"/>
  <c r="I2040" i="3"/>
  <c r="L2039" i="3"/>
  <c r="K2039" i="3"/>
  <c r="J2039" i="3"/>
  <c r="I2039" i="3"/>
  <c r="L2038" i="3"/>
  <c r="K2038" i="3"/>
  <c r="J2038" i="3"/>
  <c r="I2038" i="3"/>
  <c r="L2037" i="3"/>
  <c r="K2037" i="3"/>
  <c r="J2037" i="3"/>
  <c r="I2037" i="3"/>
  <c r="L2036" i="3"/>
  <c r="K2036" i="3"/>
  <c r="J2036" i="3"/>
  <c r="I2036" i="3"/>
  <c r="L2035" i="3"/>
  <c r="K2035" i="3"/>
  <c r="J2035" i="3"/>
  <c r="I2035" i="3"/>
  <c r="L2034" i="3"/>
  <c r="K2034" i="3"/>
  <c r="J2034" i="3"/>
  <c r="I2034" i="3"/>
  <c r="L2033" i="3"/>
  <c r="K2033" i="3"/>
  <c r="J2033" i="3"/>
  <c r="I2033" i="3"/>
  <c r="L2032" i="3"/>
  <c r="K2032" i="3"/>
  <c r="J2032" i="3"/>
  <c r="I2032" i="3"/>
  <c r="L2031" i="3"/>
  <c r="K2031" i="3"/>
  <c r="J2031" i="3"/>
  <c r="I2031" i="3"/>
  <c r="L2030" i="3"/>
  <c r="K2030" i="3"/>
  <c r="J2030" i="3"/>
  <c r="I2030" i="3"/>
  <c r="L2029" i="3"/>
  <c r="K2029" i="3"/>
  <c r="J2029" i="3"/>
  <c r="I2029" i="3"/>
  <c r="L2028" i="3"/>
  <c r="K2028" i="3"/>
  <c r="J2028" i="3"/>
  <c r="I2028" i="3"/>
  <c r="L2027" i="3"/>
  <c r="K2027" i="3"/>
  <c r="J2027" i="3"/>
  <c r="I2027" i="3"/>
  <c r="L2026" i="3"/>
  <c r="K2026" i="3"/>
  <c r="J2026" i="3"/>
  <c r="I2026" i="3"/>
  <c r="L2025" i="3"/>
  <c r="K2025" i="3"/>
  <c r="J2025" i="3"/>
  <c r="I2025" i="3"/>
  <c r="L2024" i="3"/>
  <c r="K2024" i="3"/>
  <c r="J2024" i="3"/>
  <c r="I2024" i="3"/>
  <c r="L2023" i="3"/>
  <c r="K2023" i="3"/>
  <c r="J2023" i="3"/>
  <c r="I2023" i="3"/>
  <c r="L2022" i="3"/>
  <c r="K2022" i="3"/>
  <c r="J2022" i="3"/>
  <c r="I2022" i="3"/>
  <c r="L2021" i="3"/>
  <c r="K2021" i="3"/>
  <c r="J2021" i="3"/>
  <c r="I2021" i="3"/>
  <c r="L2020" i="3"/>
  <c r="K2020" i="3"/>
  <c r="J2020" i="3"/>
  <c r="I2020" i="3"/>
  <c r="L2019" i="3"/>
  <c r="K2019" i="3"/>
  <c r="J2019" i="3"/>
  <c r="I2019" i="3"/>
  <c r="L2018" i="3"/>
  <c r="K2018" i="3"/>
  <c r="J2018" i="3"/>
  <c r="I2018" i="3"/>
  <c r="L2017" i="3"/>
  <c r="K2017" i="3"/>
  <c r="J2017" i="3"/>
  <c r="I2017" i="3"/>
  <c r="L2016" i="3"/>
  <c r="K2016" i="3"/>
  <c r="J2016" i="3"/>
  <c r="I2016" i="3"/>
  <c r="L2015" i="3"/>
  <c r="K2015" i="3"/>
  <c r="J2015" i="3"/>
  <c r="I2015" i="3"/>
  <c r="L2014" i="3"/>
  <c r="K2014" i="3"/>
  <c r="J2014" i="3"/>
  <c r="I2014" i="3"/>
  <c r="L2013" i="3"/>
  <c r="K2013" i="3"/>
  <c r="J2013" i="3"/>
  <c r="I2013" i="3"/>
  <c r="L2012" i="3"/>
  <c r="K2012" i="3"/>
  <c r="J2012" i="3"/>
  <c r="I2012" i="3"/>
  <c r="L2011" i="3"/>
  <c r="K2011" i="3"/>
  <c r="J2011" i="3"/>
  <c r="I2011" i="3"/>
  <c r="L2010" i="3"/>
  <c r="K2010" i="3"/>
  <c r="J2010" i="3"/>
  <c r="I2010" i="3"/>
  <c r="L2009" i="3"/>
  <c r="K2009" i="3"/>
  <c r="J2009" i="3"/>
  <c r="I2009" i="3"/>
  <c r="L2008" i="3"/>
  <c r="K2008" i="3"/>
  <c r="J2008" i="3"/>
  <c r="I2008" i="3"/>
  <c r="L2007" i="3"/>
  <c r="K2007" i="3"/>
  <c r="J2007" i="3"/>
  <c r="I2007" i="3"/>
  <c r="L2006" i="3"/>
  <c r="K2006" i="3"/>
  <c r="J2006" i="3"/>
  <c r="I2006" i="3"/>
  <c r="L2005" i="3"/>
  <c r="K2005" i="3"/>
  <c r="J2005" i="3"/>
  <c r="I2005" i="3"/>
  <c r="L2004" i="3"/>
  <c r="K2004" i="3"/>
  <c r="J2004" i="3"/>
  <c r="I2004" i="3"/>
  <c r="L2003" i="3"/>
  <c r="K2003" i="3"/>
  <c r="J2003" i="3"/>
  <c r="I2003" i="3"/>
  <c r="L2002" i="3"/>
  <c r="K2002" i="3"/>
  <c r="J2002" i="3"/>
  <c r="I2002" i="3"/>
  <c r="L2001" i="3"/>
  <c r="K2001" i="3"/>
  <c r="J2001" i="3"/>
  <c r="I2001" i="3"/>
  <c r="L2000" i="3"/>
  <c r="K2000" i="3"/>
  <c r="J2000" i="3"/>
  <c r="I2000" i="3"/>
  <c r="L1999" i="3"/>
  <c r="K1999" i="3"/>
  <c r="J1999" i="3"/>
  <c r="I1999" i="3"/>
  <c r="L1998" i="3"/>
  <c r="K1998" i="3"/>
  <c r="J1998" i="3"/>
  <c r="I1998" i="3"/>
  <c r="L1997" i="3"/>
  <c r="K1997" i="3"/>
  <c r="J1997" i="3"/>
  <c r="I1997" i="3"/>
  <c r="L1996" i="3"/>
  <c r="K1996" i="3"/>
  <c r="J1996" i="3"/>
  <c r="I1996" i="3"/>
  <c r="L1995" i="3"/>
  <c r="K1995" i="3"/>
  <c r="J1995" i="3"/>
  <c r="I1995" i="3"/>
  <c r="L1994" i="3"/>
  <c r="K1994" i="3"/>
  <c r="J1994" i="3"/>
  <c r="I1994" i="3"/>
  <c r="L1993" i="3"/>
  <c r="K1993" i="3"/>
  <c r="J1993" i="3"/>
  <c r="I1993" i="3"/>
  <c r="L1992" i="3"/>
  <c r="K1992" i="3"/>
  <c r="J1992" i="3"/>
  <c r="I1992" i="3"/>
  <c r="L1991" i="3"/>
  <c r="K1991" i="3"/>
  <c r="J1991" i="3"/>
  <c r="I1991" i="3"/>
  <c r="L1990" i="3"/>
  <c r="K1990" i="3"/>
  <c r="J1990" i="3"/>
  <c r="I1990" i="3"/>
  <c r="L1989" i="3"/>
  <c r="K1989" i="3"/>
  <c r="J1989" i="3"/>
  <c r="I1989" i="3"/>
  <c r="L1988" i="3"/>
  <c r="K1988" i="3"/>
  <c r="J1988" i="3"/>
  <c r="I1988" i="3"/>
  <c r="L1987" i="3"/>
  <c r="K1987" i="3"/>
  <c r="J1987" i="3"/>
  <c r="I1987" i="3"/>
  <c r="L1986" i="3"/>
  <c r="K1986" i="3"/>
  <c r="J1986" i="3"/>
  <c r="I1986" i="3"/>
  <c r="L1985" i="3"/>
  <c r="K1985" i="3"/>
  <c r="J1985" i="3"/>
  <c r="I1985" i="3"/>
  <c r="L1984" i="3"/>
  <c r="K1984" i="3"/>
  <c r="J1984" i="3"/>
  <c r="I1984" i="3"/>
  <c r="L1983" i="3"/>
  <c r="K1983" i="3"/>
  <c r="J1983" i="3"/>
  <c r="I1983" i="3"/>
  <c r="L1982" i="3"/>
  <c r="K1982" i="3"/>
  <c r="J1982" i="3"/>
  <c r="I1982" i="3"/>
  <c r="L1981" i="3"/>
  <c r="K1981" i="3"/>
  <c r="J1981" i="3"/>
  <c r="I1981" i="3"/>
  <c r="L1980" i="3"/>
  <c r="K1980" i="3"/>
  <c r="J1980" i="3"/>
  <c r="I1980" i="3"/>
  <c r="L1979" i="3"/>
  <c r="K1979" i="3"/>
  <c r="J1979" i="3"/>
  <c r="I1979" i="3"/>
  <c r="L1978" i="3"/>
  <c r="K1978" i="3"/>
  <c r="J1978" i="3"/>
  <c r="I1978" i="3"/>
  <c r="L1977" i="3"/>
  <c r="K1977" i="3"/>
  <c r="J1977" i="3"/>
  <c r="I1977" i="3"/>
  <c r="L1976" i="3"/>
  <c r="K1976" i="3"/>
  <c r="J1976" i="3"/>
  <c r="I1976" i="3"/>
  <c r="L1975" i="3"/>
  <c r="K1975" i="3"/>
  <c r="J1975" i="3"/>
  <c r="I1975" i="3"/>
  <c r="L1974" i="3"/>
  <c r="K1974" i="3"/>
  <c r="J1974" i="3"/>
  <c r="I1974" i="3"/>
  <c r="L1973" i="3"/>
  <c r="K1973" i="3"/>
  <c r="J1973" i="3"/>
  <c r="I1973" i="3"/>
  <c r="L1972" i="3"/>
  <c r="K1972" i="3"/>
  <c r="J1972" i="3"/>
  <c r="I1972" i="3"/>
  <c r="I2062" i="3" s="1"/>
  <c r="L1971" i="3"/>
  <c r="L2062" i="3" s="1"/>
  <c r="K1971" i="3"/>
  <c r="K2062" i="3" s="1"/>
  <c r="J1971" i="3"/>
  <c r="I1971" i="3"/>
  <c r="M1970" i="3"/>
  <c r="H1970" i="3"/>
  <c r="L1969" i="3"/>
  <c r="K1969" i="3"/>
  <c r="J1969" i="3"/>
  <c r="I1969" i="3"/>
  <c r="L1968" i="3"/>
  <c r="K1968" i="3"/>
  <c r="J1968" i="3"/>
  <c r="I1968" i="3"/>
  <c r="L1967" i="3"/>
  <c r="K1967" i="3"/>
  <c r="J1967" i="3"/>
  <c r="I1967" i="3"/>
  <c r="L1966" i="3"/>
  <c r="K1966" i="3"/>
  <c r="J1966" i="3"/>
  <c r="I1966" i="3"/>
  <c r="L1965" i="3"/>
  <c r="K1965" i="3"/>
  <c r="J1965" i="3"/>
  <c r="I1965" i="3"/>
  <c r="L1964" i="3"/>
  <c r="K1964" i="3"/>
  <c r="J1964" i="3"/>
  <c r="I1964" i="3"/>
  <c r="L1963" i="3"/>
  <c r="K1963" i="3"/>
  <c r="J1963" i="3"/>
  <c r="I1963" i="3"/>
  <c r="L1962" i="3"/>
  <c r="K1962" i="3"/>
  <c r="J1962" i="3"/>
  <c r="I1962" i="3"/>
  <c r="L1961" i="3"/>
  <c r="K1961" i="3"/>
  <c r="J1961" i="3"/>
  <c r="I1961" i="3"/>
  <c r="L1960" i="3"/>
  <c r="K1960" i="3"/>
  <c r="J1960" i="3"/>
  <c r="I1960" i="3"/>
  <c r="L1959" i="3"/>
  <c r="K1959" i="3"/>
  <c r="J1959" i="3"/>
  <c r="I1959" i="3"/>
  <c r="L1958" i="3"/>
  <c r="K1958" i="3"/>
  <c r="J1958" i="3"/>
  <c r="I1958" i="3"/>
  <c r="L1957" i="3"/>
  <c r="K1957" i="3"/>
  <c r="J1957" i="3"/>
  <c r="I1957" i="3"/>
  <c r="L1956" i="3"/>
  <c r="K1956" i="3"/>
  <c r="J1956" i="3"/>
  <c r="I1956" i="3"/>
  <c r="L1955" i="3"/>
  <c r="K1955" i="3"/>
  <c r="J1955" i="3"/>
  <c r="I1955" i="3"/>
  <c r="L1954" i="3"/>
  <c r="K1954" i="3"/>
  <c r="J1954" i="3"/>
  <c r="I1954" i="3"/>
  <c r="L1953" i="3"/>
  <c r="K1953" i="3"/>
  <c r="J1953" i="3"/>
  <c r="I1953" i="3"/>
  <c r="L1952" i="3"/>
  <c r="K1952" i="3"/>
  <c r="J1952" i="3"/>
  <c r="I1952" i="3"/>
  <c r="L1951" i="3"/>
  <c r="K1951" i="3"/>
  <c r="J1951" i="3"/>
  <c r="I1951" i="3"/>
  <c r="L1950" i="3"/>
  <c r="K1950" i="3"/>
  <c r="J1950" i="3"/>
  <c r="I1950" i="3"/>
  <c r="L1949" i="3"/>
  <c r="K1949" i="3"/>
  <c r="J1949" i="3"/>
  <c r="I1949" i="3"/>
  <c r="L1948" i="3"/>
  <c r="K1948" i="3"/>
  <c r="J1948" i="3"/>
  <c r="I1948" i="3"/>
  <c r="L1947" i="3"/>
  <c r="K1947" i="3"/>
  <c r="J1947" i="3"/>
  <c r="I1947" i="3"/>
  <c r="L1946" i="3"/>
  <c r="K1946" i="3"/>
  <c r="J1946" i="3"/>
  <c r="I1946" i="3"/>
  <c r="L1945" i="3"/>
  <c r="K1945" i="3"/>
  <c r="J1945" i="3"/>
  <c r="I1945" i="3"/>
  <c r="L1944" i="3"/>
  <c r="K1944" i="3"/>
  <c r="J1944" i="3"/>
  <c r="I1944" i="3"/>
  <c r="L1943" i="3"/>
  <c r="K1943" i="3"/>
  <c r="J1943" i="3"/>
  <c r="I1943" i="3"/>
  <c r="L1942" i="3"/>
  <c r="K1942" i="3"/>
  <c r="J1942" i="3"/>
  <c r="I1942" i="3"/>
  <c r="L1941" i="3"/>
  <c r="K1941" i="3"/>
  <c r="J1941" i="3"/>
  <c r="I1941" i="3"/>
  <c r="L1940" i="3"/>
  <c r="K1940" i="3"/>
  <c r="J1940" i="3"/>
  <c r="I1940" i="3"/>
  <c r="L1939" i="3"/>
  <c r="K1939" i="3"/>
  <c r="J1939" i="3"/>
  <c r="I1939" i="3"/>
  <c r="L1938" i="3"/>
  <c r="K1938" i="3"/>
  <c r="J1938" i="3"/>
  <c r="I1938" i="3"/>
  <c r="L1937" i="3"/>
  <c r="K1937" i="3"/>
  <c r="J1937" i="3"/>
  <c r="I1937" i="3"/>
  <c r="L1936" i="3"/>
  <c r="K1936" i="3"/>
  <c r="J1936" i="3"/>
  <c r="I1936" i="3"/>
  <c r="L1935" i="3"/>
  <c r="K1935" i="3"/>
  <c r="J1935" i="3"/>
  <c r="I1935" i="3"/>
  <c r="L1934" i="3"/>
  <c r="K1934" i="3"/>
  <c r="J1934" i="3"/>
  <c r="I1934" i="3"/>
  <c r="L1933" i="3"/>
  <c r="K1933" i="3"/>
  <c r="J1933" i="3"/>
  <c r="I1933" i="3"/>
  <c r="L1932" i="3"/>
  <c r="K1932" i="3"/>
  <c r="J1932" i="3"/>
  <c r="I1932" i="3"/>
  <c r="L1931" i="3"/>
  <c r="K1931" i="3"/>
  <c r="J1931" i="3"/>
  <c r="I1931" i="3"/>
  <c r="L1930" i="3"/>
  <c r="K1930" i="3"/>
  <c r="J1930" i="3"/>
  <c r="I1930" i="3"/>
  <c r="L1929" i="3"/>
  <c r="K1929" i="3"/>
  <c r="J1929" i="3"/>
  <c r="I1929" i="3"/>
  <c r="L1928" i="3"/>
  <c r="K1928" i="3"/>
  <c r="J1928" i="3"/>
  <c r="I1928" i="3"/>
  <c r="L1927" i="3"/>
  <c r="K1927" i="3"/>
  <c r="J1927" i="3"/>
  <c r="I1927" i="3"/>
  <c r="L1926" i="3"/>
  <c r="K1926" i="3"/>
  <c r="J1926" i="3"/>
  <c r="I1926" i="3"/>
  <c r="L1925" i="3"/>
  <c r="K1925" i="3"/>
  <c r="J1925" i="3"/>
  <c r="I1925" i="3"/>
  <c r="L1924" i="3"/>
  <c r="K1924" i="3"/>
  <c r="J1924" i="3"/>
  <c r="I1924" i="3"/>
  <c r="L1923" i="3"/>
  <c r="K1923" i="3"/>
  <c r="J1923" i="3"/>
  <c r="I1923" i="3"/>
  <c r="L1922" i="3"/>
  <c r="K1922" i="3"/>
  <c r="J1922" i="3"/>
  <c r="I1922" i="3"/>
  <c r="L1921" i="3"/>
  <c r="K1921" i="3"/>
  <c r="J1921" i="3"/>
  <c r="I1921" i="3"/>
  <c r="L1920" i="3"/>
  <c r="K1920" i="3"/>
  <c r="J1920" i="3"/>
  <c r="I1920" i="3"/>
  <c r="L1919" i="3"/>
  <c r="K1919" i="3"/>
  <c r="J1919" i="3"/>
  <c r="I1919" i="3"/>
  <c r="L1918" i="3"/>
  <c r="K1918" i="3"/>
  <c r="J1918" i="3"/>
  <c r="I1918" i="3"/>
  <c r="L1917" i="3"/>
  <c r="K1917" i="3"/>
  <c r="J1917" i="3"/>
  <c r="I1917" i="3"/>
  <c r="L1916" i="3"/>
  <c r="K1916" i="3"/>
  <c r="J1916" i="3"/>
  <c r="I1916" i="3"/>
  <c r="L1915" i="3"/>
  <c r="K1915" i="3"/>
  <c r="J1915" i="3"/>
  <c r="I1915" i="3"/>
  <c r="L1914" i="3"/>
  <c r="K1914" i="3"/>
  <c r="J1914" i="3"/>
  <c r="I1914" i="3"/>
  <c r="L1913" i="3"/>
  <c r="K1913" i="3"/>
  <c r="J1913" i="3"/>
  <c r="I1913" i="3"/>
  <c r="L1912" i="3"/>
  <c r="K1912" i="3"/>
  <c r="J1912" i="3"/>
  <c r="I1912" i="3"/>
  <c r="L1911" i="3"/>
  <c r="K1911" i="3"/>
  <c r="J1911" i="3"/>
  <c r="I1911" i="3"/>
  <c r="L1910" i="3"/>
  <c r="K1910" i="3"/>
  <c r="J1910" i="3"/>
  <c r="I1910" i="3"/>
  <c r="L1909" i="3"/>
  <c r="K1909" i="3"/>
  <c r="J1909" i="3"/>
  <c r="I1909" i="3"/>
  <c r="L1908" i="3"/>
  <c r="K1908" i="3"/>
  <c r="J1908" i="3"/>
  <c r="I1908" i="3"/>
  <c r="L1907" i="3"/>
  <c r="K1907" i="3"/>
  <c r="J1907" i="3"/>
  <c r="I1907" i="3"/>
  <c r="L1906" i="3"/>
  <c r="K1906" i="3"/>
  <c r="J1906" i="3"/>
  <c r="I1906" i="3"/>
  <c r="L1905" i="3"/>
  <c r="K1905" i="3"/>
  <c r="J1905" i="3"/>
  <c r="I1905" i="3"/>
  <c r="L1904" i="3"/>
  <c r="K1904" i="3"/>
  <c r="J1904" i="3"/>
  <c r="I1904" i="3"/>
  <c r="L1903" i="3"/>
  <c r="K1903" i="3"/>
  <c r="J1903" i="3"/>
  <c r="I1903" i="3"/>
  <c r="L1902" i="3"/>
  <c r="K1902" i="3"/>
  <c r="J1902" i="3"/>
  <c r="I1902" i="3"/>
  <c r="L1901" i="3"/>
  <c r="K1901" i="3"/>
  <c r="J1901" i="3"/>
  <c r="I1901" i="3"/>
  <c r="L1900" i="3"/>
  <c r="K1900" i="3"/>
  <c r="J1900" i="3"/>
  <c r="I1900" i="3"/>
  <c r="L1899" i="3"/>
  <c r="K1899" i="3"/>
  <c r="J1899" i="3"/>
  <c r="I1899" i="3"/>
  <c r="L1898" i="3"/>
  <c r="K1898" i="3"/>
  <c r="J1898" i="3"/>
  <c r="I1898" i="3"/>
  <c r="L1897" i="3"/>
  <c r="K1897" i="3"/>
  <c r="J1897" i="3"/>
  <c r="I1897" i="3"/>
  <c r="L1896" i="3"/>
  <c r="K1896" i="3"/>
  <c r="J1896" i="3"/>
  <c r="I1896" i="3"/>
  <c r="L1895" i="3"/>
  <c r="K1895" i="3"/>
  <c r="J1895" i="3"/>
  <c r="I1895" i="3"/>
  <c r="L1894" i="3"/>
  <c r="K1894" i="3"/>
  <c r="J1894" i="3"/>
  <c r="I1894" i="3"/>
  <c r="L1893" i="3"/>
  <c r="K1893" i="3"/>
  <c r="J1893" i="3"/>
  <c r="I1893" i="3"/>
  <c r="L1892" i="3"/>
  <c r="K1892" i="3"/>
  <c r="J1892" i="3"/>
  <c r="I1892" i="3"/>
  <c r="L1891" i="3"/>
  <c r="K1891" i="3"/>
  <c r="J1891" i="3"/>
  <c r="I1891" i="3"/>
  <c r="L1890" i="3"/>
  <c r="K1890" i="3"/>
  <c r="J1890" i="3"/>
  <c r="I1890" i="3"/>
  <c r="L1889" i="3"/>
  <c r="K1889" i="3"/>
  <c r="J1889" i="3"/>
  <c r="I1889" i="3"/>
  <c r="L1888" i="3"/>
  <c r="K1888" i="3"/>
  <c r="J1888" i="3"/>
  <c r="I1888" i="3"/>
  <c r="L1887" i="3"/>
  <c r="K1887" i="3"/>
  <c r="J1887" i="3"/>
  <c r="I1887" i="3"/>
  <c r="L1886" i="3"/>
  <c r="K1886" i="3"/>
  <c r="J1886" i="3"/>
  <c r="I1886" i="3"/>
  <c r="L1885" i="3"/>
  <c r="K1885" i="3"/>
  <c r="J1885" i="3"/>
  <c r="I1885" i="3"/>
  <c r="L1884" i="3"/>
  <c r="K1884" i="3"/>
  <c r="J1884" i="3"/>
  <c r="I1884" i="3"/>
  <c r="L1883" i="3"/>
  <c r="K1883" i="3"/>
  <c r="J1883" i="3"/>
  <c r="I1883" i="3"/>
  <c r="L1882" i="3"/>
  <c r="K1882" i="3"/>
  <c r="J1882" i="3"/>
  <c r="I1882" i="3"/>
  <c r="L1881" i="3"/>
  <c r="K1881" i="3"/>
  <c r="J1881" i="3"/>
  <c r="I1881" i="3"/>
  <c r="L1880" i="3"/>
  <c r="K1880" i="3"/>
  <c r="J1880" i="3"/>
  <c r="I1880" i="3"/>
  <c r="L1879" i="3"/>
  <c r="K1879" i="3"/>
  <c r="J1879" i="3"/>
  <c r="I1879" i="3"/>
  <c r="L1878" i="3"/>
  <c r="K1878" i="3"/>
  <c r="J1878" i="3"/>
  <c r="I1878" i="3"/>
  <c r="L1877" i="3"/>
  <c r="K1877" i="3"/>
  <c r="J1877" i="3"/>
  <c r="I1877" i="3"/>
  <c r="L1876" i="3"/>
  <c r="K1876" i="3"/>
  <c r="J1876" i="3"/>
  <c r="I1876" i="3"/>
  <c r="L1875" i="3"/>
  <c r="K1875" i="3"/>
  <c r="J1875" i="3"/>
  <c r="I1875" i="3"/>
  <c r="L1874" i="3"/>
  <c r="K1874" i="3"/>
  <c r="J1874" i="3"/>
  <c r="I1874" i="3"/>
  <c r="L1873" i="3"/>
  <c r="K1873" i="3"/>
  <c r="J1873" i="3"/>
  <c r="I1873" i="3"/>
  <c r="L1872" i="3"/>
  <c r="K1872" i="3"/>
  <c r="J1872" i="3"/>
  <c r="I1872" i="3"/>
  <c r="L1871" i="3"/>
  <c r="K1871" i="3"/>
  <c r="J1871" i="3"/>
  <c r="I1871" i="3"/>
  <c r="L1870" i="3"/>
  <c r="K1870" i="3"/>
  <c r="J1870" i="3"/>
  <c r="I1870" i="3"/>
  <c r="L1869" i="3"/>
  <c r="K1869" i="3"/>
  <c r="J1869" i="3"/>
  <c r="I1869" i="3"/>
  <c r="L1868" i="3"/>
  <c r="K1868" i="3"/>
  <c r="J1868" i="3"/>
  <c r="I1868" i="3"/>
  <c r="L1867" i="3"/>
  <c r="K1867" i="3"/>
  <c r="J1867" i="3"/>
  <c r="I1867" i="3"/>
  <c r="L1866" i="3"/>
  <c r="K1866" i="3"/>
  <c r="J1866" i="3"/>
  <c r="I1866" i="3"/>
  <c r="L1865" i="3"/>
  <c r="K1865" i="3"/>
  <c r="J1865" i="3"/>
  <c r="I1865" i="3"/>
  <c r="L1864" i="3"/>
  <c r="K1864" i="3"/>
  <c r="J1864" i="3"/>
  <c r="I1864" i="3"/>
  <c r="L1863" i="3"/>
  <c r="K1863" i="3"/>
  <c r="J1863" i="3"/>
  <c r="I1863" i="3"/>
  <c r="L1862" i="3"/>
  <c r="K1862" i="3"/>
  <c r="J1862" i="3"/>
  <c r="I1862" i="3"/>
  <c r="L1861" i="3"/>
  <c r="K1861" i="3"/>
  <c r="J1861" i="3"/>
  <c r="I1861" i="3"/>
  <c r="L1860" i="3"/>
  <c r="K1860" i="3"/>
  <c r="J1860" i="3"/>
  <c r="I1860" i="3"/>
  <c r="L1859" i="3"/>
  <c r="K1859" i="3"/>
  <c r="J1859" i="3"/>
  <c r="I1859" i="3"/>
  <c r="L1858" i="3"/>
  <c r="K1858" i="3"/>
  <c r="J1858" i="3"/>
  <c r="I1858" i="3"/>
  <c r="L1857" i="3"/>
  <c r="K1857" i="3"/>
  <c r="J1857" i="3"/>
  <c r="I1857" i="3"/>
  <c r="L1856" i="3"/>
  <c r="K1856" i="3"/>
  <c r="J1856" i="3"/>
  <c r="I1856" i="3"/>
  <c r="L1855" i="3"/>
  <c r="K1855" i="3"/>
  <c r="J1855" i="3"/>
  <c r="I1855" i="3"/>
  <c r="L1854" i="3"/>
  <c r="K1854" i="3"/>
  <c r="J1854" i="3"/>
  <c r="I1854" i="3"/>
  <c r="L1853" i="3"/>
  <c r="K1853" i="3"/>
  <c r="J1853" i="3"/>
  <c r="I1853" i="3"/>
  <c r="L1852" i="3"/>
  <c r="K1852" i="3"/>
  <c r="J1852" i="3"/>
  <c r="I1852" i="3"/>
  <c r="L1851" i="3"/>
  <c r="K1851" i="3"/>
  <c r="J1851" i="3"/>
  <c r="I1851" i="3"/>
  <c r="L1850" i="3"/>
  <c r="K1850" i="3"/>
  <c r="J1850" i="3"/>
  <c r="I1850" i="3"/>
  <c r="L1849" i="3"/>
  <c r="K1849" i="3"/>
  <c r="J1849" i="3"/>
  <c r="I1849" i="3"/>
  <c r="L1848" i="3"/>
  <c r="K1848" i="3"/>
  <c r="J1848" i="3"/>
  <c r="I1848" i="3"/>
  <c r="L1847" i="3"/>
  <c r="K1847" i="3"/>
  <c r="J1847" i="3"/>
  <c r="I1847" i="3"/>
  <c r="L1846" i="3"/>
  <c r="K1846" i="3"/>
  <c r="J1846" i="3"/>
  <c r="I1846" i="3"/>
  <c r="L1845" i="3"/>
  <c r="K1845" i="3"/>
  <c r="J1845" i="3"/>
  <c r="I1845" i="3"/>
  <c r="L1844" i="3"/>
  <c r="K1844" i="3"/>
  <c r="J1844" i="3"/>
  <c r="I1844" i="3"/>
  <c r="L1843" i="3"/>
  <c r="K1843" i="3"/>
  <c r="J1843" i="3"/>
  <c r="I1843" i="3"/>
  <c r="L1842" i="3"/>
  <c r="K1842" i="3"/>
  <c r="J1842" i="3"/>
  <c r="I1842" i="3"/>
  <c r="L1841" i="3"/>
  <c r="K1841" i="3"/>
  <c r="J1841" i="3"/>
  <c r="I1841" i="3"/>
  <c r="L1840" i="3"/>
  <c r="K1840" i="3"/>
  <c r="J1840" i="3"/>
  <c r="I1840" i="3"/>
  <c r="L1839" i="3"/>
  <c r="K1839" i="3"/>
  <c r="J1839" i="3"/>
  <c r="I1839" i="3"/>
  <c r="L1838" i="3"/>
  <c r="K1838" i="3"/>
  <c r="J1838" i="3"/>
  <c r="I1838" i="3"/>
  <c r="L1837" i="3"/>
  <c r="K1837" i="3"/>
  <c r="J1837" i="3"/>
  <c r="I1837" i="3"/>
  <c r="L1836" i="3"/>
  <c r="K1836" i="3"/>
  <c r="J1836" i="3"/>
  <c r="I1836" i="3"/>
  <c r="L1835" i="3"/>
  <c r="K1835" i="3"/>
  <c r="J1835" i="3"/>
  <c r="I1835" i="3"/>
  <c r="L1834" i="3"/>
  <c r="K1834" i="3"/>
  <c r="J1834" i="3"/>
  <c r="I1834" i="3"/>
  <c r="L1833" i="3"/>
  <c r="K1833" i="3"/>
  <c r="J1833" i="3"/>
  <c r="I1833" i="3"/>
  <c r="L1832" i="3"/>
  <c r="K1832" i="3"/>
  <c r="J1832" i="3"/>
  <c r="I1832" i="3"/>
  <c r="L1831" i="3"/>
  <c r="K1831" i="3"/>
  <c r="J1831" i="3"/>
  <c r="I1831" i="3"/>
  <c r="L1830" i="3"/>
  <c r="K1830" i="3"/>
  <c r="J1830" i="3"/>
  <c r="I1830" i="3"/>
  <c r="L1829" i="3"/>
  <c r="K1829" i="3"/>
  <c r="J1829" i="3"/>
  <c r="I1829" i="3"/>
  <c r="L1828" i="3"/>
  <c r="K1828" i="3"/>
  <c r="J1828" i="3"/>
  <c r="I1828" i="3"/>
  <c r="L1827" i="3"/>
  <c r="K1827" i="3"/>
  <c r="J1827" i="3"/>
  <c r="I1827" i="3"/>
  <c r="L1826" i="3"/>
  <c r="K1826" i="3"/>
  <c r="J1826" i="3"/>
  <c r="I1826" i="3"/>
  <c r="L1825" i="3"/>
  <c r="K1825" i="3"/>
  <c r="J1825" i="3"/>
  <c r="I1825" i="3"/>
  <c r="L1824" i="3"/>
  <c r="K1824" i="3"/>
  <c r="J1824" i="3"/>
  <c r="I1824" i="3"/>
  <c r="L1823" i="3"/>
  <c r="K1823" i="3"/>
  <c r="J1823" i="3"/>
  <c r="I1823" i="3"/>
  <c r="L1822" i="3"/>
  <c r="K1822" i="3"/>
  <c r="J1822" i="3"/>
  <c r="I1822" i="3"/>
  <c r="L1821" i="3"/>
  <c r="K1821" i="3"/>
  <c r="J1821" i="3"/>
  <c r="I1821" i="3"/>
  <c r="L1820" i="3"/>
  <c r="K1820" i="3"/>
  <c r="J1820" i="3"/>
  <c r="I1820" i="3"/>
  <c r="L1819" i="3"/>
  <c r="K1819" i="3"/>
  <c r="J1819" i="3"/>
  <c r="I1819" i="3"/>
  <c r="L1818" i="3"/>
  <c r="K1818" i="3"/>
  <c r="J1818" i="3"/>
  <c r="I1818" i="3"/>
  <c r="L1817" i="3"/>
  <c r="K1817" i="3"/>
  <c r="J1817" i="3"/>
  <c r="I1817" i="3"/>
  <c r="L1816" i="3"/>
  <c r="K1816" i="3"/>
  <c r="J1816" i="3"/>
  <c r="I1816" i="3"/>
  <c r="L1815" i="3"/>
  <c r="K1815" i="3"/>
  <c r="J1815" i="3"/>
  <c r="I1815" i="3"/>
  <c r="L1814" i="3"/>
  <c r="K1814" i="3"/>
  <c r="J1814" i="3"/>
  <c r="I1814" i="3"/>
  <c r="L1813" i="3"/>
  <c r="K1813" i="3"/>
  <c r="J1813" i="3"/>
  <c r="I1813" i="3"/>
  <c r="L1812" i="3"/>
  <c r="K1812" i="3"/>
  <c r="J1812" i="3"/>
  <c r="I1812" i="3"/>
  <c r="L1811" i="3"/>
  <c r="K1811" i="3"/>
  <c r="J1811" i="3"/>
  <c r="I1811" i="3"/>
  <c r="L1810" i="3"/>
  <c r="K1810" i="3"/>
  <c r="J1810" i="3"/>
  <c r="I1810" i="3"/>
  <c r="L1809" i="3"/>
  <c r="K1809" i="3"/>
  <c r="J1809" i="3"/>
  <c r="I1809" i="3"/>
  <c r="L1808" i="3"/>
  <c r="K1808" i="3"/>
  <c r="J1808" i="3"/>
  <c r="I1808" i="3"/>
  <c r="L1807" i="3"/>
  <c r="K1807" i="3"/>
  <c r="J1807" i="3"/>
  <c r="I1807" i="3"/>
  <c r="L1806" i="3"/>
  <c r="K1806" i="3"/>
  <c r="J1806" i="3"/>
  <c r="I1806" i="3"/>
  <c r="L1805" i="3"/>
  <c r="K1805" i="3"/>
  <c r="J1805" i="3"/>
  <c r="I1805" i="3"/>
  <c r="L1804" i="3"/>
  <c r="K1804" i="3"/>
  <c r="J1804" i="3"/>
  <c r="I1804" i="3"/>
  <c r="L1803" i="3"/>
  <c r="K1803" i="3"/>
  <c r="J1803" i="3"/>
  <c r="I1803" i="3"/>
  <c r="L1802" i="3"/>
  <c r="K1802" i="3"/>
  <c r="J1802" i="3"/>
  <c r="I1802" i="3"/>
  <c r="L1801" i="3"/>
  <c r="K1801" i="3"/>
  <c r="J1801" i="3"/>
  <c r="I1801" i="3"/>
  <c r="L1800" i="3"/>
  <c r="K1800" i="3"/>
  <c r="J1800" i="3"/>
  <c r="I1800" i="3"/>
  <c r="L1799" i="3"/>
  <c r="K1799" i="3"/>
  <c r="J1799" i="3"/>
  <c r="I1799" i="3"/>
  <c r="L1798" i="3"/>
  <c r="K1798" i="3"/>
  <c r="J1798" i="3"/>
  <c r="I1798" i="3"/>
  <c r="L1797" i="3"/>
  <c r="K1797" i="3"/>
  <c r="J1797" i="3"/>
  <c r="I1797" i="3"/>
  <c r="L1796" i="3"/>
  <c r="K1796" i="3"/>
  <c r="J1796" i="3"/>
  <c r="I1796" i="3"/>
  <c r="L1795" i="3"/>
  <c r="K1795" i="3"/>
  <c r="J1795" i="3"/>
  <c r="I1795" i="3"/>
  <c r="L1794" i="3"/>
  <c r="K1794" i="3"/>
  <c r="J1794" i="3"/>
  <c r="I1794" i="3"/>
  <c r="L1793" i="3"/>
  <c r="K1793" i="3"/>
  <c r="J1793" i="3"/>
  <c r="I1793" i="3"/>
  <c r="L1792" i="3"/>
  <c r="K1792" i="3"/>
  <c r="J1792" i="3"/>
  <c r="I1792" i="3"/>
  <c r="L1791" i="3"/>
  <c r="K1791" i="3"/>
  <c r="J1791" i="3"/>
  <c r="I1791" i="3"/>
  <c r="L1790" i="3"/>
  <c r="K1790" i="3"/>
  <c r="J1790" i="3"/>
  <c r="I1790" i="3"/>
  <c r="L1789" i="3"/>
  <c r="K1789" i="3"/>
  <c r="J1789" i="3"/>
  <c r="I1789" i="3"/>
  <c r="L1788" i="3"/>
  <c r="K1788" i="3"/>
  <c r="J1788" i="3"/>
  <c r="I1788" i="3"/>
  <c r="L1787" i="3"/>
  <c r="K1787" i="3"/>
  <c r="J1787" i="3"/>
  <c r="I1787" i="3"/>
  <c r="L1786" i="3"/>
  <c r="K1786" i="3"/>
  <c r="J1786" i="3"/>
  <c r="I1786" i="3"/>
  <c r="L1785" i="3"/>
  <c r="K1785" i="3"/>
  <c r="J1785" i="3"/>
  <c r="I1785" i="3"/>
  <c r="L1784" i="3"/>
  <c r="K1784" i="3"/>
  <c r="J1784" i="3"/>
  <c r="I1784" i="3"/>
  <c r="L1783" i="3"/>
  <c r="K1783" i="3"/>
  <c r="J1783" i="3"/>
  <c r="I1783" i="3"/>
  <c r="L1782" i="3"/>
  <c r="K1782" i="3"/>
  <c r="J1782" i="3"/>
  <c r="I1782" i="3"/>
  <c r="L1781" i="3"/>
  <c r="K1781" i="3"/>
  <c r="J1781" i="3"/>
  <c r="I1781" i="3"/>
  <c r="L1780" i="3"/>
  <c r="K1780" i="3"/>
  <c r="J1780" i="3"/>
  <c r="I1780" i="3"/>
  <c r="L1779" i="3"/>
  <c r="K1779" i="3"/>
  <c r="J1779" i="3"/>
  <c r="I1779" i="3"/>
  <c r="L1778" i="3"/>
  <c r="K1778" i="3"/>
  <c r="J1778" i="3"/>
  <c r="I1778" i="3"/>
  <c r="L1777" i="3"/>
  <c r="K1777" i="3"/>
  <c r="J1777" i="3"/>
  <c r="I1777" i="3"/>
  <c r="L1776" i="3"/>
  <c r="K1776" i="3"/>
  <c r="J1776" i="3"/>
  <c r="I1776" i="3"/>
  <c r="L1775" i="3"/>
  <c r="K1775" i="3"/>
  <c r="J1775" i="3"/>
  <c r="I1775" i="3"/>
  <c r="L1774" i="3"/>
  <c r="K1774" i="3"/>
  <c r="J1774" i="3"/>
  <c r="I1774" i="3"/>
  <c r="L1773" i="3"/>
  <c r="K1773" i="3"/>
  <c r="J1773" i="3"/>
  <c r="I1773" i="3"/>
  <c r="L1772" i="3"/>
  <c r="K1772" i="3"/>
  <c r="J1772" i="3"/>
  <c r="I1772" i="3"/>
  <c r="L1771" i="3"/>
  <c r="K1771" i="3"/>
  <c r="J1771" i="3"/>
  <c r="I1771" i="3"/>
  <c r="L1770" i="3"/>
  <c r="K1770" i="3"/>
  <c r="J1770" i="3"/>
  <c r="I1770" i="3"/>
  <c r="L1769" i="3"/>
  <c r="K1769" i="3"/>
  <c r="J1769" i="3"/>
  <c r="I1769" i="3"/>
  <c r="L1768" i="3"/>
  <c r="K1768" i="3"/>
  <c r="J1768" i="3"/>
  <c r="I1768" i="3"/>
  <c r="L1767" i="3"/>
  <c r="K1767" i="3"/>
  <c r="J1767" i="3"/>
  <c r="I1767" i="3"/>
  <c r="L1766" i="3"/>
  <c r="K1766" i="3"/>
  <c r="J1766" i="3"/>
  <c r="I1766" i="3"/>
  <c r="L1765" i="3"/>
  <c r="K1765" i="3"/>
  <c r="J1765" i="3"/>
  <c r="I1765" i="3"/>
  <c r="L1764" i="3"/>
  <c r="K1764" i="3"/>
  <c r="J1764" i="3"/>
  <c r="I1764" i="3"/>
  <c r="L1763" i="3"/>
  <c r="K1763" i="3"/>
  <c r="J1763" i="3"/>
  <c r="I1763" i="3"/>
  <c r="L1762" i="3"/>
  <c r="K1762" i="3"/>
  <c r="J1762" i="3"/>
  <c r="I1762" i="3"/>
  <c r="L1761" i="3"/>
  <c r="K1761" i="3"/>
  <c r="J1761" i="3"/>
  <c r="I1761" i="3"/>
  <c r="L1760" i="3"/>
  <c r="K1760" i="3"/>
  <c r="J1760" i="3"/>
  <c r="I1760" i="3"/>
  <c r="L1759" i="3"/>
  <c r="K1759" i="3"/>
  <c r="J1759" i="3"/>
  <c r="I1759" i="3"/>
  <c r="L1758" i="3"/>
  <c r="K1758" i="3"/>
  <c r="J1758" i="3"/>
  <c r="I1758" i="3"/>
  <c r="L1757" i="3"/>
  <c r="K1757" i="3"/>
  <c r="J1757" i="3"/>
  <c r="I1757" i="3"/>
  <c r="L1756" i="3"/>
  <c r="K1756" i="3"/>
  <c r="J1756" i="3"/>
  <c r="I1756" i="3"/>
  <c r="L1755" i="3"/>
  <c r="K1755" i="3"/>
  <c r="J1755" i="3"/>
  <c r="I1755" i="3"/>
  <c r="L1754" i="3"/>
  <c r="K1754" i="3"/>
  <c r="J1754" i="3"/>
  <c r="I1754" i="3"/>
  <c r="L1753" i="3"/>
  <c r="K1753" i="3"/>
  <c r="J1753" i="3"/>
  <c r="I1753" i="3"/>
  <c r="L1752" i="3"/>
  <c r="K1752" i="3"/>
  <c r="J1752" i="3"/>
  <c r="I1752" i="3"/>
  <c r="L1751" i="3"/>
  <c r="K1751" i="3"/>
  <c r="J1751" i="3"/>
  <c r="I1751" i="3"/>
  <c r="L1750" i="3"/>
  <c r="K1750" i="3"/>
  <c r="J1750" i="3"/>
  <c r="I1750" i="3"/>
  <c r="L1749" i="3"/>
  <c r="K1749" i="3"/>
  <c r="J1749" i="3"/>
  <c r="I1749" i="3"/>
  <c r="L1748" i="3"/>
  <c r="K1748" i="3"/>
  <c r="J1748" i="3"/>
  <c r="I1748" i="3"/>
  <c r="L1747" i="3"/>
  <c r="K1747" i="3"/>
  <c r="J1747" i="3"/>
  <c r="I1747" i="3"/>
  <c r="L1746" i="3"/>
  <c r="K1746" i="3"/>
  <c r="J1746" i="3"/>
  <c r="I1746" i="3"/>
  <c r="L1745" i="3"/>
  <c r="K1745" i="3"/>
  <c r="J1745" i="3"/>
  <c r="I1745" i="3"/>
  <c r="L1744" i="3"/>
  <c r="K1744" i="3"/>
  <c r="J1744" i="3"/>
  <c r="I1744" i="3"/>
  <c r="L1743" i="3"/>
  <c r="K1743" i="3"/>
  <c r="J1743" i="3"/>
  <c r="I1743" i="3"/>
  <c r="L1742" i="3"/>
  <c r="K1742" i="3"/>
  <c r="J1742" i="3"/>
  <c r="I1742" i="3"/>
  <c r="L1741" i="3"/>
  <c r="K1741" i="3"/>
  <c r="J1741" i="3"/>
  <c r="I1741" i="3"/>
  <c r="L1740" i="3"/>
  <c r="K1740" i="3"/>
  <c r="J1740" i="3"/>
  <c r="I1740" i="3"/>
  <c r="L1739" i="3"/>
  <c r="K1739" i="3"/>
  <c r="J1739" i="3"/>
  <c r="I1739" i="3"/>
  <c r="L1738" i="3"/>
  <c r="K1738" i="3"/>
  <c r="J1738" i="3"/>
  <c r="I1738" i="3"/>
  <c r="L1737" i="3"/>
  <c r="K1737" i="3"/>
  <c r="J1737" i="3"/>
  <c r="I1737" i="3"/>
  <c r="L1736" i="3"/>
  <c r="K1736" i="3"/>
  <c r="J1736" i="3"/>
  <c r="I1736" i="3"/>
  <c r="L1735" i="3"/>
  <c r="K1735" i="3"/>
  <c r="J1735" i="3"/>
  <c r="I1735" i="3"/>
  <c r="L1734" i="3"/>
  <c r="K1734" i="3"/>
  <c r="J1734" i="3"/>
  <c r="I1734" i="3"/>
  <c r="L1733" i="3"/>
  <c r="K1733" i="3"/>
  <c r="J1733" i="3"/>
  <c r="I1733" i="3"/>
  <c r="L1732" i="3"/>
  <c r="K1732" i="3"/>
  <c r="J1732" i="3"/>
  <c r="I1732" i="3"/>
  <c r="L1731" i="3"/>
  <c r="K1731" i="3"/>
  <c r="J1731" i="3"/>
  <c r="I1731" i="3"/>
  <c r="L1730" i="3"/>
  <c r="K1730" i="3"/>
  <c r="J1730" i="3"/>
  <c r="I1730" i="3"/>
  <c r="L1729" i="3"/>
  <c r="K1729" i="3"/>
  <c r="J1729" i="3"/>
  <c r="I1729" i="3"/>
  <c r="L1728" i="3"/>
  <c r="K1728" i="3"/>
  <c r="J1728" i="3"/>
  <c r="I1728" i="3"/>
  <c r="L1727" i="3"/>
  <c r="K1727" i="3"/>
  <c r="J1727" i="3"/>
  <c r="I1727" i="3"/>
  <c r="L1726" i="3"/>
  <c r="K1726" i="3"/>
  <c r="J1726" i="3"/>
  <c r="I1726" i="3"/>
  <c r="L1725" i="3"/>
  <c r="K1725" i="3"/>
  <c r="J1725" i="3"/>
  <c r="I1725" i="3"/>
  <c r="L1724" i="3"/>
  <c r="K1724" i="3"/>
  <c r="J1724" i="3"/>
  <c r="I1724" i="3"/>
  <c r="L1723" i="3"/>
  <c r="K1723" i="3"/>
  <c r="J1723" i="3"/>
  <c r="I1723" i="3"/>
  <c r="L1722" i="3"/>
  <c r="K1722" i="3"/>
  <c r="J1722" i="3"/>
  <c r="I1722" i="3"/>
  <c r="L1721" i="3"/>
  <c r="K1721" i="3"/>
  <c r="J1721" i="3"/>
  <c r="I1721" i="3"/>
  <c r="L1720" i="3"/>
  <c r="K1720" i="3"/>
  <c r="J1720" i="3"/>
  <c r="I1720" i="3"/>
  <c r="L1719" i="3"/>
  <c r="K1719" i="3"/>
  <c r="J1719" i="3"/>
  <c r="I1719" i="3"/>
  <c r="L1718" i="3"/>
  <c r="K1718" i="3"/>
  <c r="J1718" i="3"/>
  <c r="I1718" i="3"/>
  <c r="L1717" i="3"/>
  <c r="K1717" i="3"/>
  <c r="J1717" i="3"/>
  <c r="I1717" i="3"/>
  <c r="L1716" i="3"/>
  <c r="K1716" i="3"/>
  <c r="J1716" i="3"/>
  <c r="I1716" i="3"/>
  <c r="L1715" i="3"/>
  <c r="K1715" i="3"/>
  <c r="J1715" i="3"/>
  <c r="I1715" i="3"/>
  <c r="L1714" i="3"/>
  <c r="K1714" i="3"/>
  <c r="J1714" i="3"/>
  <c r="I1714" i="3"/>
  <c r="L1713" i="3"/>
  <c r="K1713" i="3"/>
  <c r="J1713" i="3"/>
  <c r="I1713" i="3"/>
  <c r="L1712" i="3"/>
  <c r="K1712" i="3"/>
  <c r="J1712" i="3"/>
  <c r="I1712" i="3"/>
  <c r="L1711" i="3"/>
  <c r="K1711" i="3"/>
  <c r="J1711" i="3"/>
  <c r="I1711" i="3"/>
  <c r="L1710" i="3"/>
  <c r="K1710" i="3"/>
  <c r="J1710" i="3"/>
  <c r="I1710" i="3"/>
  <c r="L1709" i="3"/>
  <c r="K1709" i="3"/>
  <c r="J1709" i="3"/>
  <c r="I1709" i="3"/>
  <c r="L1708" i="3"/>
  <c r="K1708" i="3"/>
  <c r="J1708" i="3"/>
  <c r="I1708" i="3"/>
  <c r="L1707" i="3"/>
  <c r="K1707" i="3"/>
  <c r="J1707" i="3"/>
  <c r="I1707" i="3"/>
  <c r="L1706" i="3"/>
  <c r="K1706" i="3"/>
  <c r="J1706" i="3"/>
  <c r="I1706" i="3"/>
  <c r="L1705" i="3"/>
  <c r="K1705" i="3"/>
  <c r="J1705" i="3"/>
  <c r="I1705" i="3"/>
  <c r="L1704" i="3"/>
  <c r="K1704" i="3"/>
  <c r="J1704" i="3"/>
  <c r="I1704" i="3"/>
  <c r="L1703" i="3"/>
  <c r="K1703" i="3"/>
  <c r="J1703" i="3"/>
  <c r="I1703" i="3"/>
  <c r="L1702" i="3"/>
  <c r="K1702" i="3"/>
  <c r="J1702" i="3"/>
  <c r="I1702" i="3"/>
  <c r="L1701" i="3"/>
  <c r="K1701" i="3"/>
  <c r="J1701" i="3"/>
  <c r="I1701" i="3"/>
  <c r="L1700" i="3"/>
  <c r="K1700" i="3"/>
  <c r="J1700" i="3"/>
  <c r="I1700" i="3"/>
  <c r="L1699" i="3"/>
  <c r="K1699" i="3"/>
  <c r="J1699" i="3"/>
  <c r="I1699" i="3"/>
  <c r="L1698" i="3"/>
  <c r="K1698" i="3"/>
  <c r="J1698" i="3"/>
  <c r="I1698" i="3"/>
  <c r="L1697" i="3"/>
  <c r="K1697" i="3"/>
  <c r="J1697" i="3"/>
  <c r="I1697" i="3"/>
  <c r="L1696" i="3"/>
  <c r="K1696" i="3"/>
  <c r="J1696" i="3"/>
  <c r="I1696" i="3"/>
  <c r="L1695" i="3"/>
  <c r="K1695" i="3"/>
  <c r="J1695" i="3"/>
  <c r="I1695" i="3"/>
  <c r="L1694" i="3"/>
  <c r="K1694" i="3"/>
  <c r="J1694" i="3"/>
  <c r="I1694" i="3"/>
  <c r="L1693" i="3"/>
  <c r="K1693" i="3"/>
  <c r="J1693" i="3"/>
  <c r="I1693" i="3"/>
  <c r="L1692" i="3"/>
  <c r="K1692" i="3"/>
  <c r="J1692" i="3"/>
  <c r="I1692" i="3"/>
  <c r="L1691" i="3"/>
  <c r="K1691" i="3"/>
  <c r="J1691" i="3"/>
  <c r="I1691" i="3"/>
  <c r="L1690" i="3"/>
  <c r="K1690" i="3"/>
  <c r="J1690" i="3"/>
  <c r="I1690" i="3"/>
  <c r="L1689" i="3"/>
  <c r="K1689" i="3"/>
  <c r="J1689" i="3"/>
  <c r="I1689" i="3"/>
  <c r="L1688" i="3"/>
  <c r="K1688" i="3"/>
  <c r="J1688" i="3"/>
  <c r="I1688" i="3"/>
  <c r="L1687" i="3"/>
  <c r="K1687" i="3"/>
  <c r="J1687" i="3"/>
  <c r="I1687" i="3"/>
  <c r="L1686" i="3"/>
  <c r="K1686" i="3"/>
  <c r="J1686" i="3"/>
  <c r="I1686" i="3"/>
  <c r="L1685" i="3"/>
  <c r="K1685" i="3"/>
  <c r="J1685" i="3"/>
  <c r="I1685" i="3"/>
  <c r="L1684" i="3"/>
  <c r="K1684" i="3"/>
  <c r="J1684" i="3"/>
  <c r="I1684" i="3"/>
  <c r="L1683" i="3"/>
  <c r="L1970" i="3" s="1"/>
  <c r="K1683" i="3"/>
  <c r="J1683" i="3"/>
  <c r="J1970" i="3" s="1"/>
  <c r="I1683" i="3"/>
  <c r="M1682" i="3"/>
  <c r="L1682" i="3"/>
  <c r="K1682" i="3"/>
  <c r="J1682" i="3"/>
  <c r="I1682" i="3"/>
  <c r="H1682" i="3"/>
  <c r="M1665" i="3"/>
  <c r="L1665" i="3"/>
  <c r="K1665" i="3"/>
  <c r="J1665" i="3"/>
  <c r="I1665" i="3"/>
  <c r="H1665" i="3"/>
  <c r="M1650" i="3"/>
  <c r="L1650" i="3"/>
  <c r="K1650" i="3"/>
  <c r="J1650" i="3"/>
  <c r="I1650" i="3"/>
  <c r="H1650" i="3"/>
  <c r="M1637" i="3"/>
  <c r="H1637" i="3"/>
  <c r="L1636" i="3"/>
  <c r="K1636" i="3"/>
  <c r="J1636" i="3"/>
  <c r="I1636" i="3"/>
  <c r="L1635" i="3"/>
  <c r="K1635" i="3"/>
  <c r="J1635" i="3"/>
  <c r="I1635" i="3"/>
  <c r="L1634" i="3"/>
  <c r="K1634" i="3"/>
  <c r="J1634" i="3"/>
  <c r="I1634" i="3"/>
  <c r="L1633" i="3"/>
  <c r="K1633" i="3"/>
  <c r="J1633" i="3"/>
  <c r="I1633" i="3"/>
  <c r="L1632" i="3"/>
  <c r="K1632" i="3"/>
  <c r="J1632" i="3"/>
  <c r="I1632" i="3"/>
  <c r="L1631" i="3"/>
  <c r="K1631" i="3"/>
  <c r="J1631" i="3"/>
  <c r="I1631" i="3"/>
  <c r="L1630" i="3"/>
  <c r="K1630" i="3"/>
  <c r="J1630" i="3"/>
  <c r="I1630" i="3"/>
  <c r="L1629" i="3"/>
  <c r="K1629" i="3"/>
  <c r="J1629" i="3"/>
  <c r="I1629" i="3"/>
  <c r="L1628" i="3"/>
  <c r="K1628" i="3"/>
  <c r="J1628" i="3"/>
  <c r="I1628" i="3"/>
  <c r="L1627" i="3"/>
  <c r="K1627" i="3"/>
  <c r="J1627" i="3"/>
  <c r="I1627" i="3"/>
  <c r="L1626" i="3"/>
  <c r="K1626" i="3"/>
  <c r="K1637" i="3" s="1"/>
  <c r="J1626" i="3"/>
  <c r="I1626" i="3"/>
  <c r="M1625" i="3"/>
  <c r="L1625" i="3"/>
  <c r="K1625" i="3"/>
  <c r="J1625" i="3"/>
  <c r="I1625" i="3"/>
  <c r="H1625" i="3"/>
  <c r="M1618" i="3"/>
  <c r="L1618" i="3"/>
  <c r="K1618" i="3"/>
  <c r="J1618" i="3"/>
  <c r="I1618" i="3"/>
  <c r="H1618" i="3"/>
  <c r="M1566" i="3"/>
  <c r="L1566" i="3"/>
  <c r="K1566" i="3"/>
  <c r="J1566" i="3"/>
  <c r="I1566" i="3"/>
  <c r="H1566" i="3"/>
  <c r="M1556" i="3"/>
  <c r="L1556" i="3"/>
  <c r="K1556" i="3"/>
  <c r="J1556" i="3"/>
  <c r="I1556" i="3"/>
  <c r="H1556" i="3"/>
  <c r="M1553" i="3"/>
  <c r="L1553" i="3"/>
  <c r="K1553" i="3"/>
  <c r="J1553" i="3"/>
  <c r="I1553" i="3"/>
  <c r="H1553" i="3"/>
  <c r="M1549" i="3"/>
  <c r="L1549" i="3"/>
  <c r="K1549" i="3"/>
  <c r="J1549" i="3"/>
  <c r="I1549" i="3"/>
  <c r="H1549" i="3"/>
  <c r="M1542" i="3"/>
  <c r="L1542" i="3"/>
  <c r="K1542" i="3"/>
  <c r="J1542" i="3"/>
  <c r="I1542" i="3"/>
  <c r="H1542" i="3"/>
  <c r="M1518" i="3"/>
  <c r="L1518" i="3"/>
  <c r="K1518" i="3"/>
  <c r="J1518" i="3"/>
  <c r="I1518" i="3"/>
  <c r="H1518" i="3"/>
  <c r="M1512" i="3"/>
  <c r="K1512" i="3"/>
  <c r="J1512" i="3"/>
  <c r="I1512" i="3"/>
  <c r="H1512" i="3"/>
  <c r="L1511" i="3"/>
  <c r="L1512" i="3" s="1"/>
  <c r="M1509" i="3"/>
  <c r="L1509" i="3"/>
  <c r="K1509" i="3"/>
  <c r="J1509" i="3"/>
  <c r="I1509" i="3"/>
  <c r="H1509" i="3"/>
  <c r="M1493" i="3"/>
  <c r="L1493" i="3"/>
  <c r="K1493" i="3"/>
  <c r="J1493" i="3"/>
  <c r="I1493" i="3"/>
  <c r="H1493" i="3"/>
  <c r="M1454" i="3"/>
  <c r="L1454" i="3"/>
  <c r="K1454" i="3"/>
  <c r="J1454" i="3"/>
  <c r="I1454" i="3"/>
  <c r="H1454" i="3"/>
  <c r="M1450" i="3"/>
  <c r="L1450" i="3"/>
  <c r="K1450" i="3"/>
  <c r="J1450" i="3"/>
  <c r="I1450" i="3"/>
  <c r="H1450" i="3"/>
  <c r="M1445" i="3"/>
  <c r="H1445" i="3"/>
  <c r="L1444" i="3"/>
  <c r="K1444" i="3"/>
  <c r="J1444" i="3"/>
  <c r="I1444" i="3"/>
  <c r="L1443" i="3"/>
  <c r="K1443" i="3"/>
  <c r="J1443" i="3"/>
  <c r="I1443" i="3"/>
  <c r="L1442" i="3"/>
  <c r="K1442" i="3"/>
  <c r="J1442" i="3"/>
  <c r="I1442" i="3"/>
  <c r="L1441" i="3"/>
  <c r="K1441" i="3"/>
  <c r="J1441" i="3"/>
  <c r="I1441" i="3"/>
  <c r="L1440" i="3"/>
  <c r="K1440" i="3"/>
  <c r="J1440" i="3"/>
  <c r="I1440" i="3"/>
  <c r="L1439" i="3"/>
  <c r="K1439" i="3"/>
  <c r="J1439" i="3"/>
  <c r="I1439" i="3"/>
  <c r="L1438" i="3"/>
  <c r="K1438" i="3"/>
  <c r="J1438" i="3"/>
  <c r="I1438" i="3"/>
  <c r="L1437" i="3"/>
  <c r="K1437" i="3"/>
  <c r="J1437" i="3"/>
  <c r="I1437" i="3"/>
  <c r="L1436" i="3"/>
  <c r="K1436" i="3"/>
  <c r="J1436" i="3"/>
  <c r="I1436" i="3"/>
  <c r="L1435" i="3"/>
  <c r="K1435" i="3"/>
  <c r="J1435" i="3"/>
  <c r="I1435" i="3"/>
  <c r="L1434" i="3"/>
  <c r="K1434" i="3"/>
  <c r="J1434" i="3"/>
  <c r="I1434" i="3"/>
  <c r="L1433" i="3"/>
  <c r="K1433" i="3"/>
  <c r="J1433" i="3"/>
  <c r="I1433" i="3"/>
  <c r="L1432" i="3"/>
  <c r="K1432" i="3"/>
  <c r="J1432" i="3"/>
  <c r="I1432" i="3"/>
  <c r="L1431" i="3"/>
  <c r="K1431" i="3"/>
  <c r="J1431" i="3"/>
  <c r="I1431" i="3"/>
  <c r="L1430" i="3"/>
  <c r="K1430" i="3"/>
  <c r="J1430" i="3"/>
  <c r="I1430" i="3"/>
  <c r="L1429" i="3"/>
  <c r="K1429" i="3"/>
  <c r="J1429" i="3"/>
  <c r="I1429" i="3"/>
  <c r="L1428" i="3"/>
  <c r="K1428" i="3"/>
  <c r="J1428" i="3"/>
  <c r="I1428" i="3"/>
  <c r="L1427" i="3"/>
  <c r="K1427" i="3"/>
  <c r="J1427" i="3"/>
  <c r="I1427" i="3"/>
  <c r="L1426" i="3"/>
  <c r="K1426" i="3"/>
  <c r="J1426" i="3"/>
  <c r="I1426" i="3"/>
  <c r="L1425" i="3"/>
  <c r="K1425" i="3"/>
  <c r="J1425" i="3"/>
  <c r="I1425" i="3"/>
  <c r="L1424" i="3"/>
  <c r="K1424" i="3"/>
  <c r="J1424" i="3"/>
  <c r="I1424" i="3"/>
  <c r="L1423" i="3"/>
  <c r="K1423" i="3"/>
  <c r="J1423" i="3"/>
  <c r="I1423" i="3"/>
  <c r="L1422" i="3"/>
  <c r="K1422" i="3"/>
  <c r="J1422" i="3"/>
  <c r="I1422" i="3"/>
  <c r="L1421" i="3"/>
  <c r="K1421" i="3"/>
  <c r="J1421" i="3"/>
  <c r="I1421" i="3"/>
  <c r="L1420" i="3"/>
  <c r="K1420" i="3"/>
  <c r="J1420" i="3"/>
  <c r="I1420" i="3"/>
  <c r="L1419" i="3"/>
  <c r="K1419" i="3"/>
  <c r="J1419" i="3"/>
  <c r="I1419" i="3"/>
  <c r="L1418" i="3"/>
  <c r="K1418" i="3"/>
  <c r="J1418" i="3"/>
  <c r="I1418" i="3"/>
  <c r="L1417" i="3"/>
  <c r="K1417" i="3"/>
  <c r="J1417" i="3"/>
  <c r="I1417" i="3"/>
  <c r="L1416" i="3"/>
  <c r="K1416" i="3"/>
  <c r="J1416" i="3"/>
  <c r="I1416" i="3"/>
  <c r="L1415" i="3"/>
  <c r="K1415" i="3"/>
  <c r="J1415" i="3"/>
  <c r="I1415" i="3"/>
  <c r="L1414" i="3"/>
  <c r="K1414" i="3"/>
  <c r="J1414" i="3"/>
  <c r="I1414" i="3"/>
  <c r="L1413" i="3"/>
  <c r="K1413" i="3"/>
  <c r="J1413" i="3"/>
  <c r="I1413" i="3"/>
  <c r="L1412" i="3"/>
  <c r="K1412" i="3"/>
  <c r="J1412" i="3"/>
  <c r="I1412" i="3"/>
  <c r="L1411" i="3"/>
  <c r="K1411" i="3"/>
  <c r="J1411" i="3"/>
  <c r="I1411" i="3"/>
  <c r="L1410" i="3"/>
  <c r="K1410" i="3"/>
  <c r="J1410" i="3"/>
  <c r="I1410" i="3"/>
  <c r="L1409" i="3"/>
  <c r="K1409" i="3"/>
  <c r="J1409" i="3"/>
  <c r="I1409" i="3"/>
  <c r="L1408" i="3"/>
  <c r="K1408" i="3"/>
  <c r="J1408" i="3"/>
  <c r="I1408" i="3"/>
  <c r="L1407" i="3"/>
  <c r="K1407" i="3"/>
  <c r="J1407" i="3"/>
  <c r="I1407" i="3"/>
  <c r="L1406" i="3"/>
  <c r="K1406" i="3"/>
  <c r="J1406" i="3"/>
  <c r="I1406" i="3"/>
  <c r="L1405" i="3"/>
  <c r="K1405" i="3"/>
  <c r="J1405" i="3"/>
  <c r="I1405" i="3"/>
  <c r="L1404" i="3"/>
  <c r="K1404" i="3"/>
  <c r="J1404" i="3"/>
  <c r="I1404" i="3"/>
  <c r="L1403" i="3"/>
  <c r="K1403" i="3"/>
  <c r="J1403" i="3"/>
  <c r="I1403" i="3"/>
  <c r="L1402" i="3"/>
  <c r="K1402" i="3"/>
  <c r="J1402" i="3"/>
  <c r="I1402" i="3"/>
  <c r="L1401" i="3"/>
  <c r="K1401" i="3"/>
  <c r="J1401" i="3"/>
  <c r="I1401" i="3"/>
  <c r="L1400" i="3"/>
  <c r="K1400" i="3"/>
  <c r="J1400" i="3"/>
  <c r="I1400" i="3"/>
  <c r="L1399" i="3"/>
  <c r="K1399" i="3"/>
  <c r="J1399" i="3"/>
  <c r="I1399" i="3"/>
  <c r="L1398" i="3"/>
  <c r="K1398" i="3"/>
  <c r="J1398" i="3"/>
  <c r="I1398" i="3"/>
  <c r="L1397" i="3"/>
  <c r="K1397" i="3"/>
  <c r="J1397" i="3"/>
  <c r="I1397" i="3"/>
  <c r="L1396" i="3"/>
  <c r="K1396" i="3"/>
  <c r="J1396" i="3"/>
  <c r="I1396" i="3"/>
  <c r="L1395" i="3"/>
  <c r="K1395" i="3"/>
  <c r="J1395" i="3"/>
  <c r="I1395" i="3"/>
  <c r="L1394" i="3"/>
  <c r="K1394" i="3"/>
  <c r="J1394" i="3"/>
  <c r="I1394" i="3"/>
  <c r="L1393" i="3"/>
  <c r="K1393" i="3"/>
  <c r="J1393" i="3"/>
  <c r="I1393" i="3"/>
  <c r="L1392" i="3"/>
  <c r="K1392" i="3"/>
  <c r="J1392" i="3"/>
  <c r="I1392" i="3"/>
  <c r="L1391" i="3"/>
  <c r="K1391" i="3"/>
  <c r="J1391" i="3"/>
  <c r="I1391" i="3"/>
  <c r="L1390" i="3"/>
  <c r="K1390" i="3"/>
  <c r="J1390" i="3"/>
  <c r="I1390" i="3"/>
  <c r="L1389" i="3"/>
  <c r="K1389" i="3"/>
  <c r="J1389" i="3"/>
  <c r="I1389" i="3"/>
  <c r="L1388" i="3"/>
  <c r="K1388" i="3"/>
  <c r="J1388" i="3"/>
  <c r="I1388" i="3"/>
  <c r="L1387" i="3"/>
  <c r="K1387" i="3"/>
  <c r="J1387" i="3"/>
  <c r="I1387" i="3"/>
  <c r="L1386" i="3"/>
  <c r="K1386" i="3"/>
  <c r="J1386" i="3"/>
  <c r="I1386" i="3"/>
  <c r="L1385" i="3"/>
  <c r="K1385" i="3"/>
  <c r="J1385" i="3"/>
  <c r="I1385" i="3"/>
  <c r="L1384" i="3"/>
  <c r="K1384" i="3"/>
  <c r="J1384" i="3"/>
  <c r="I1384" i="3"/>
  <c r="L1383" i="3"/>
  <c r="K1383" i="3"/>
  <c r="J1383" i="3"/>
  <c r="I1383" i="3"/>
  <c r="L1382" i="3"/>
  <c r="K1382" i="3"/>
  <c r="J1382" i="3"/>
  <c r="I1382" i="3"/>
  <c r="L1381" i="3"/>
  <c r="K1381" i="3"/>
  <c r="J1381" i="3"/>
  <c r="I1381" i="3"/>
  <c r="L1380" i="3"/>
  <c r="K1380" i="3"/>
  <c r="J1380" i="3"/>
  <c r="I1380" i="3"/>
  <c r="L1379" i="3"/>
  <c r="K1379" i="3"/>
  <c r="J1379" i="3"/>
  <c r="I1379" i="3"/>
  <c r="L1378" i="3"/>
  <c r="K1378" i="3"/>
  <c r="J1378" i="3"/>
  <c r="I1378" i="3"/>
  <c r="L1377" i="3"/>
  <c r="K1377" i="3"/>
  <c r="J1377" i="3"/>
  <c r="I1377" i="3"/>
  <c r="L1376" i="3"/>
  <c r="K1376" i="3"/>
  <c r="J1376" i="3"/>
  <c r="I1376" i="3"/>
  <c r="L1375" i="3"/>
  <c r="K1375" i="3"/>
  <c r="J1375" i="3"/>
  <c r="I1375" i="3"/>
  <c r="L1374" i="3"/>
  <c r="K1374" i="3"/>
  <c r="J1374" i="3"/>
  <c r="I1374" i="3"/>
  <c r="L1373" i="3"/>
  <c r="K1373" i="3"/>
  <c r="J1373" i="3"/>
  <c r="I1373" i="3"/>
  <c r="L1372" i="3"/>
  <c r="K1372" i="3"/>
  <c r="J1372" i="3"/>
  <c r="I1372" i="3"/>
  <c r="L1371" i="3"/>
  <c r="K1371" i="3"/>
  <c r="J1371" i="3"/>
  <c r="I1371" i="3"/>
  <c r="L1370" i="3"/>
  <c r="K1370" i="3"/>
  <c r="J1370" i="3"/>
  <c r="I1370" i="3"/>
  <c r="L1369" i="3"/>
  <c r="K1369" i="3"/>
  <c r="J1369" i="3"/>
  <c r="I1369" i="3"/>
  <c r="L1368" i="3"/>
  <c r="K1368" i="3"/>
  <c r="J1368" i="3"/>
  <c r="I1368" i="3"/>
  <c r="L1367" i="3"/>
  <c r="K1367" i="3"/>
  <c r="J1367" i="3"/>
  <c r="I1367" i="3"/>
  <c r="L1366" i="3"/>
  <c r="K1366" i="3"/>
  <c r="J1366" i="3"/>
  <c r="I1366" i="3"/>
  <c r="L1365" i="3"/>
  <c r="K1365" i="3"/>
  <c r="J1365" i="3"/>
  <c r="I1365" i="3"/>
  <c r="L1364" i="3"/>
  <c r="K1364" i="3"/>
  <c r="J1364" i="3"/>
  <c r="I1364" i="3"/>
  <c r="L1363" i="3"/>
  <c r="K1363" i="3"/>
  <c r="J1363" i="3"/>
  <c r="I1363" i="3"/>
  <c r="L1362" i="3"/>
  <c r="K1362" i="3"/>
  <c r="J1362" i="3"/>
  <c r="I1362" i="3"/>
  <c r="L1361" i="3"/>
  <c r="L1445" i="3" s="1"/>
  <c r="K1361" i="3"/>
  <c r="J1361" i="3"/>
  <c r="I1361" i="3"/>
  <c r="M1329" i="3"/>
  <c r="H1329" i="3"/>
  <c r="L1328" i="3"/>
  <c r="K1328" i="3"/>
  <c r="J1328" i="3"/>
  <c r="I1328" i="3"/>
  <c r="L1327" i="3"/>
  <c r="K1327" i="3"/>
  <c r="J1327" i="3"/>
  <c r="I1327" i="3"/>
  <c r="L1326" i="3"/>
  <c r="K1326" i="3"/>
  <c r="J1326" i="3"/>
  <c r="I1326" i="3"/>
  <c r="L1325" i="3"/>
  <c r="K1325" i="3"/>
  <c r="J1325" i="3"/>
  <c r="I1325" i="3"/>
  <c r="L1324" i="3"/>
  <c r="K1324" i="3"/>
  <c r="J1324" i="3"/>
  <c r="I1324" i="3"/>
  <c r="L1323" i="3"/>
  <c r="K1323" i="3"/>
  <c r="J1323" i="3"/>
  <c r="I1323" i="3"/>
  <c r="L1322" i="3"/>
  <c r="K1322" i="3"/>
  <c r="J1322" i="3"/>
  <c r="I1322" i="3"/>
  <c r="L1321" i="3"/>
  <c r="K1321" i="3"/>
  <c r="J1321" i="3"/>
  <c r="I1321" i="3"/>
  <c r="M1320" i="3"/>
  <c r="L1320" i="3"/>
  <c r="H1320" i="3"/>
  <c r="L1319" i="3"/>
  <c r="K1319" i="3"/>
  <c r="J1319" i="3"/>
  <c r="I1319" i="3"/>
  <c r="L1318" i="3"/>
  <c r="K1318" i="3"/>
  <c r="J1318" i="3"/>
  <c r="I1318" i="3"/>
  <c r="L1317" i="3"/>
  <c r="K1317" i="3"/>
  <c r="J1317" i="3"/>
  <c r="I1317" i="3"/>
  <c r="L1316" i="3"/>
  <c r="K1316" i="3"/>
  <c r="J1316" i="3"/>
  <c r="J1320" i="3" s="1"/>
  <c r="I1316" i="3"/>
  <c r="I1320" i="3" s="1"/>
  <c r="L1315" i="3"/>
  <c r="K1315" i="3"/>
  <c r="J1315" i="3"/>
  <c r="I1315" i="3"/>
  <c r="M1314" i="3"/>
  <c r="L1314" i="3"/>
  <c r="K1314" i="3"/>
  <c r="J1314" i="3"/>
  <c r="I1314" i="3"/>
  <c r="H1314" i="3"/>
  <c r="M1299" i="3"/>
  <c r="L1299" i="3"/>
  <c r="K1299" i="3"/>
  <c r="J1299" i="3"/>
  <c r="I1299" i="3"/>
  <c r="H1299" i="3"/>
  <c r="M1288" i="3"/>
  <c r="L1288" i="3"/>
  <c r="K1288" i="3"/>
  <c r="J1288" i="3"/>
  <c r="I1288" i="3"/>
  <c r="H1288" i="3"/>
  <c r="M1279" i="3"/>
  <c r="L1279" i="3"/>
  <c r="K1279" i="3"/>
  <c r="J1279" i="3"/>
  <c r="I1279" i="3"/>
  <c r="H1279" i="3"/>
  <c r="M1277" i="3"/>
  <c r="L1277" i="3"/>
  <c r="K1277" i="3"/>
  <c r="J1277" i="3"/>
  <c r="I1277" i="3"/>
  <c r="H1277" i="3"/>
  <c r="M1272" i="3"/>
  <c r="L1272" i="3"/>
  <c r="K1272" i="3"/>
  <c r="J1272" i="3"/>
  <c r="I1272" i="3"/>
  <c r="H1272" i="3"/>
  <c r="M1263" i="3"/>
  <c r="L1263" i="3"/>
  <c r="K1263" i="3"/>
  <c r="J1263" i="3"/>
  <c r="I1263" i="3"/>
  <c r="H1263" i="3"/>
  <c r="M1248" i="3"/>
  <c r="L1248" i="3"/>
  <c r="K1248" i="3"/>
  <c r="J1248" i="3"/>
  <c r="I1248" i="3"/>
  <c r="H1248" i="3"/>
  <c r="M1239" i="3"/>
  <c r="L1239" i="3"/>
  <c r="K1239" i="3"/>
  <c r="J1239" i="3"/>
  <c r="I1239" i="3"/>
  <c r="H1239" i="3"/>
  <c r="M1224" i="3"/>
  <c r="L1224" i="3"/>
  <c r="K1224" i="3"/>
  <c r="J1224" i="3"/>
  <c r="I1224" i="3"/>
  <c r="H1224" i="3"/>
  <c r="M1179" i="3"/>
  <c r="L1179" i="3"/>
  <c r="K1179" i="3"/>
  <c r="J1179" i="3"/>
  <c r="I1179" i="3"/>
  <c r="H1179" i="3"/>
  <c r="M1170" i="3"/>
  <c r="L1170" i="3"/>
  <c r="K1170" i="3"/>
  <c r="J1170" i="3"/>
  <c r="I1170" i="3"/>
  <c r="H1170" i="3"/>
  <c r="M1161" i="3"/>
  <c r="L1161" i="3"/>
  <c r="K1161" i="3"/>
  <c r="J1161" i="3"/>
  <c r="I1161" i="3"/>
  <c r="H1161" i="3"/>
  <c r="M1154" i="3"/>
  <c r="L1154" i="3"/>
  <c r="K1154" i="3"/>
  <c r="J1154" i="3"/>
  <c r="I1154" i="3"/>
  <c r="H1154" i="3"/>
  <c r="M1140" i="3"/>
  <c r="L1140" i="3"/>
  <c r="K1140" i="3"/>
  <c r="J1140" i="3"/>
  <c r="I1140" i="3"/>
  <c r="H1140" i="3"/>
  <c r="M1132" i="3"/>
  <c r="L1132" i="3"/>
  <c r="K1132" i="3"/>
  <c r="J1132" i="3"/>
  <c r="I1132" i="3"/>
  <c r="H1132" i="3"/>
  <c r="M1058" i="3"/>
  <c r="J1058" i="3"/>
  <c r="H1058" i="3"/>
  <c r="L1057" i="3"/>
  <c r="K1057" i="3"/>
  <c r="J1057" i="3"/>
  <c r="I1057" i="3"/>
  <c r="L1056" i="3"/>
  <c r="K1056" i="3"/>
  <c r="J1056" i="3"/>
  <c r="I1056" i="3"/>
  <c r="L1055" i="3"/>
  <c r="K1055" i="3"/>
  <c r="J1055" i="3"/>
  <c r="I1055" i="3"/>
  <c r="L1054" i="3"/>
  <c r="K1054" i="3"/>
  <c r="J1054" i="3"/>
  <c r="I1054" i="3"/>
  <c r="L1053" i="3"/>
  <c r="K1053" i="3"/>
  <c r="J1053" i="3"/>
  <c r="I1053" i="3"/>
  <c r="L1052" i="3"/>
  <c r="K1052" i="3"/>
  <c r="J1052" i="3"/>
  <c r="I1052" i="3"/>
  <c r="L1051" i="3"/>
  <c r="K1051" i="3"/>
  <c r="J1051" i="3"/>
  <c r="I1051" i="3"/>
  <c r="L1050" i="3"/>
  <c r="K1050" i="3"/>
  <c r="J1050" i="3"/>
  <c r="I1050" i="3"/>
  <c r="L1049" i="3"/>
  <c r="K1049" i="3"/>
  <c r="J1049" i="3"/>
  <c r="I1049" i="3"/>
  <c r="L1048" i="3"/>
  <c r="K1048" i="3"/>
  <c r="J1048" i="3"/>
  <c r="I1048" i="3"/>
  <c r="L1047" i="3"/>
  <c r="K1047" i="3"/>
  <c r="J1047" i="3"/>
  <c r="I1047" i="3"/>
  <c r="L1046" i="3"/>
  <c r="K1046" i="3"/>
  <c r="J1046" i="3"/>
  <c r="I1046" i="3"/>
  <c r="I1058" i="3" s="1"/>
  <c r="M1045" i="3"/>
  <c r="H1045" i="3"/>
  <c r="L1044" i="3"/>
  <c r="K1044" i="3"/>
  <c r="J1044" i="3"/>
  <c r="I1044" i="3"/>
  <c r="L1043" i="3"/>
  <c r="K1043" i="3"/>
  <c r="J1043" i="3"/>
  <c r="I1043" i="3"/>
  <c r="L1042" i="3"/>
  <c r="K1042" i="3"/>
  <c r="J1042" i="3"/>
  <c r="I1042" i="3"/>
  <c r="L1041" i="3"/>
  <c r="K1041" i="3"/>
  <c r="J1041" i="3"/>
  <c r="I1041" i="3"/>
  <c r="L1040" i="3"/>
  <c r="K1040" i="3"/>
  <c r="J1040" i="3"/>
  <c r="I1040" i="3"/>
  <c r="L1039" i="3"/>
  <c r="K1039" i="3"/>
  <c r="J1039" i="3"/>
  <c r="I1039" i="3"/>
  <c r="L1038" i="3"/>
  <c r="K1038" i="3"/>
  <c r="J1038" i="3"/>
  <c r="I1038" i="3"/>
  <c r="L1037" i="3"/>
  <c r="K1037" i="3"/>
  <c r="J1037" i="3"/>
  <c r="I1037" i="3"/>
  <c r="L1036" i="3"/>
  <c r="K1036" i="3"/>
  <c r="J1036" i="3"/>
  <c r="I1036" i="3"/>
  <c r="L1035" i="3"/>
  <c r="K1035" i="3"/>
  <c r="J1035" i="3"/>
  <c r="I1035" i="3"/>
  <c r="L1034" i="3"/>
  <c r="K1034" i="3"/>
  <c r="J1034" i="3"/>
  <c r="I1034" i="3"/>
  <c r="L1033" i="3"/>
  <c r="L1045" i="3" s="1"/>
  <c r="K1033" i="3"/>
  <c r="K1045" i="3" s="1"/>
  <c r="J1033" i="3"/>
  <c r="J1045" i="3" s="1"/>
  <c r="I1033" i="3"/>
  <c r="M1032" i="3"/>
  <c r="H1032" i="3"/>
  <c r="L1031" i="3"/>
  <c r="K1031" i="3"/>
  <c r="J1031" i="3"/>
  <c r="I1031" i="3"/>
  <c r="L1030" i="3"/>
  <c r="K1030" i="3"/>
  <c r="J1030" i="3"/>
  <c r="I1030" i="3"/>
  <c r="L1029" i="3"/>
  <c r="K1029" i="3"/>
  <c r="J1029" i="3"/>
  <c r="I1029" i="3"/>
  <c r="L1028" i="3"/>
  <c r="K1028" i="3"/>
  <c r="J1028" i="3"/>
  <c r="I1028" i="3"/>
  <c r="L1027" i="3"/>
  <c r="K1027" i="3"/>
  <c r="J1027" i="3"/>
  <c r="I1027" i="3"/>
  <c r="L1026" i="3"/>
  <c r="K1026" i="3"/>
  <c r="J1026" i="3"/>
  <c r="I1026" i="3"/>
  <c r="L1025" i="3"/>
  <c r="K1025" i="3"/>
  <c r="J1025" i="3"/>
  <c r="I1025" i="3"/>
  <c r="L1024" i="3"/>
  <c r="K1024" i="3"/>
  <c r="J1024" i="3"/>
  <c r="I1024" i="3"/>
  <c r="L1023" i="3"/>
  <c r="L1032" i="3" s="1"/>
  <c r="K1023" i="3"/>
  <c r="K1032" i="3" s="1"/>
  <c r="J1023" i="3"/>
  <c r="J1032" i="3" s="1"/>
  <c r="I1023" i="3"/>
  <c r="I1032" i="3" s="1"/>
  <c r="M1022" i="3"/>
  <c r="L1022" i="3"/>
  <c r="K1022" i="3"/>
  <c r="J1022" i="3"/>
  <c r="I1022" i="3"/>
  <c r="H1022" i="3"/>
  <c r="M1020" i="3"/>
  <c r="L1020" i="3"/>
  <c r="K1020" i="3"/>
  <c r="J1020" i="3"/>
  <c r="I1020" i="3"/>
  <c r="H1020" i="3"/>
  <c r="M1018" i="3"/>
  <c r="L1018" i="3"/>
  <c r="H1018" i="3"/>
  <c r="L1017" i="3"/>
  <c r="K1017" i="3"/>
  <c r="J1017" i="3"/>
  <c r="I1017" i="3"/>
  <c r="L1016" i="3"/>
  <c r="K1016" i="3"/>
  <c r="J1016" i="3"/>
  <c r="I1016" i="3"/>
  <c r="L1015" i="3"/>
  <c r="K1015" i="3"/>
  <c r="J1015" i="3"/>
  <c r="I1015" i="3"/>
  <c r="L1014" i="3"/>
  <c r="K1014" i="3"/>
  <c r="J1014" i="3"/>
  <c r="I1014" i="3"/>
  <c r="L1013" i="3"/>
  <c r="K1013" i="3"/>
  <c r="J1013" i="3"/>
  <c r="I1013" i="3"/>
  <c r="L1012" i="3"/>
  <c r="K1012" i="3"/>
  <c r="J1012" i="3"/>
  <c r="I1012" i="3"/>
  <c r="L1011" i="3"/>
  <c r="K1011" i="3"/>
  <c r="J1011" i="3"/>
  <c r="I1011" i="3"/>
  <c r="L1010" i="3"/>
  <c r="K1010" i="3"/>
  <c r="J1010" i="3"/>
  <c r="I1010" i="3"/>
  <c r="L1009" i="3"/>
  <c r="K1009" i="3"/>
  <c r="J1009" i="3"/>
  <c r="I1009" i="3"/>
  <c r="L1008" i="3"/>
  <c r="K1008" i="3"/>
  <c r="J1008" i="3"/>
  <c r="I1008" i="3"/>
  <c r="L1007" i="3"/>
  <c r="K1007" i="3"/>
  <c r="J1007" i="3"/>
  <c r="I1007" i="3"/>
  <c r="M1006" i="3"/>
  <c r="L1006" i="3"/>
  <c r="K1006" i="3"/>
  <c r="J1006" i="3"/>
  <c r="I1006" i="3"/>
  <c r="H1006" i="3"/>
  <c r="M1003" i="3"/>
  <c r="L1003" i="3"/>
  <c r="K1003" i="3"/>
  <c r="J1003" i="3"/>
  <c r="I1003" i="3"/>
  <c r="H1003" i="3"/>
  <c r="M998" i="3"/>
  <c r="L998" i="3"/>
  <c r="K998" i="3"/>
  <c r="J998" i="3"/>
  <c r="I998" i="3"/>
  <c r="H998" i="3"/>
  <c r="M912" i="3"/>
  <c r="L912" i="3"/>
  <c r="K912" i="3"/>
  <c r="J912" i="3"/>
  <c r="I912" i="3"/>
  <c r="H912" i="3"/>
  <c r="M766" i="3"/>
  <c r="L766" i="3"/>
  <c r="K766" i="3"/>
  <c r="J766" i="3"/>
  <c r="I766" i="3"/>
  <c r="H766" i="3"/>
  <c r="M761" i="3"/>
  <c r="L761" i="3"/>
  <c r="K761" i="3"/>
  <c r="J761" i="3"/>
  <c r="I761" i="3"/>
  <c r="H761" i="3"/>
  <c r="M694" i="3"/>
  <c r="L694" i="3"/>
  <c r="K694" i="3"/>
  <c r="J694" i="3"/>
  <c r="I694" i="3"/>
  <c r="H694" i="3"/>
  <c r="M692" i="3"/>
  <c r="H692" i="3"/>
  <c r="L691" i="3"/>
  <c r="K691" i="3"/>
  <c r="J691" i="3"/>
  <c r="I691" i="3"/>
  <c r="L690" i="3"/>
  <c r="K690" i="3"/>
  <c r="J690" i="3"/>
  <c r="I690" i="3"/>
  <c r="L689" i="3"/>
  <c r="K689" i="3"/>
  <c r="J689" i="3"/>
  <c r="I689" i="3"/>
  <c r="L688" i="3"/>
  <c r="K688" i="3"/>
  <c r="J688" i="3"/>
  <c r="I688" i="3"/>
  <c r="L687" i="3"/>
  <c r="K687" i="3"/>
  <c r="J687" i="3"/>
  <c r="I687" i="3"/>
  <c r="L686" i="3"/>
  <c r="L692" i="3" s="1"/>
  <c r="K686" i="3"/>
  <c r="K692" i="3" s="1"/>
  <c r="J686" i="3"/>
  <c r="J692" i="3" s="1"/>
  <c r="I686" i="3"/>
  <c r="I692" i="3" s="1"/>
  <c r="M685" i="3"/>
  <c r="H685" i="3"/>
  <c r="L684" i="3"/>
  <c r="K684" i="3"/>
  <c r="J684" i="3"/>
  <c r="I684" i="3"/>
  <c r="L683" i="3"/>
  <c r="K683" i="3"/>
  <c r="J683" i="3"/>
  <c r="I683" i="3"/>
  <c r="L682" i="3"/>
  <c r="K682" i="3"/>
  <c r="J682" i="3"/>
  <c r="I682" i="3"/>
  <c r="L681" i="3"/>
  <c r="K681" i="3"/>
  <c r="J681" i="3"/>
  <c r="I681" i="3"/>
  <c r="L680" i="3"/>
  <c r="K680" i="3"/>
  <c r="J680" i="3"/>
  <c r="I680" i="3"/>
  <c r="L679" i="3"/>
  <c r="K679" i="3"/>
  <c r="J679" i="3"/>
  <c r="I679" i="3"/>
  <c r="L678" i="3"/>
  <c r="K678" i="3"/>
  <c r="J678" i="3"/>
  <c r="I678" i="3"/>
  <c r="L677" i="3"/>
  <c r="K677" i="3"/>
  <c r="J677" i="3"/>
  <c r="I677" i="3"/>
  <c r="L676" i="3"/>
  <c r="K676" i="3"/>
  <c r="J676" i="3"/>
  <c r="I676" i="3"/>
  <c r="L675" i="3"/>
  <c r="K675" i="3"/>
  <c r="J675" i="3"/>
  <c r="I675" i="3"/>
  <c r="L674" i="3"/>
  <c r="K674" i="3"/>
  <c r="K685" i="3" s="1"/>
  <c r="J674" i="3"/>
  <c r="J685" i="3" s="1"/>
  <c r="I674" i="3"/>
  <c r="I685" i="3" s="1"/>
  <c r="M673" i="3"/>
  <c r="L673" i="3"/>
  <c r="K673" i="3"/>
  <c r="J673" i="3"/>
  <c r="I673" i="3"/>
  <c r="H673" i="3"/>
  <c r="M538" i="3"/>
  <c r="L538" i="3"/>
  <c r="K538" i="3"/>
  <c r="J538" i="3"/>
  <c r="I538" i="3"/>
  <c r="H538" i="3"/>
  <c r="M536" i="3"/>
  <c r="L536" i="3"/>
  <c r="K536" i="3"/>
  <c r="J536" i="3"/>
  <c r="I536" i="3"/>
  <c r="H536" i="3"/>
  <c r="M533" i="3"/>
  <c r="L533" i="3"/>
  <c r="K533" i="3"/>
  <c r="J533" i="3"/>
  <c r="I533" i="3"/>
  <c r="H533" i="3"/>
  <c r="M518" i="3"/>
  <c r="L518" i="3"/>
  <c r="K518" i="3"/>
  <c r="J518" i="3"/>
  <c r="I518" i="3"/>
  <c r="H518" i="3"/>
  <c r="M495" i="3"/>
  <c r="H495" i="3"/>
  <c r="L494" i="3"/>
  <c r="K494" i="3"/>
  <c r="J494" i="3"/>
  <c r="I494" i="3"/>
  <c r="L493" i="3"/>
  <c r="K493" i="3"/>
  <c r="J493" i="3"/>
  <c r="I493" i="3"/>
  <c r="L492" i="3"/>
  <c r="K492" i="3"/>
  <c r="J492" i="3"/>
  <c r="I492" i="3"/>
  <c r="L491" i="3"/>
  <c r="K491" i="3"/>
  <c r="J491" i="3"/>
  <c r="I491" i="3"/>
  <c r="L490" i="3"/>
  <c r="K490" i="3"/>
  <c r="J490" i="3"/>
  <c r="I490" i="3"/>
  <c r="L489" i="3"/>
  <c r="K489" i="3"/>
  <c r="J489" i="3"/>
  <c r="I489" i="3"/>
  <c r="L488" i="3"/>
  <c r="K488" i="3"/>
  <c r="J488" i="3"/>
  <c r="I488" i="3"/>
  <c r="L487" i="3"/>
  <c r="K487" i="3"/>
  <c r="J487" i="3"/>
  <c r="I487" i="3"/>
  <c r="L486" i="3"/>
  <c r="K486" i="3"/>
  <c r="J486" i="3"/>
  <c r="I486" i="3"/>
  <c r="L485" i="3"/>
  <c r="K485" i="3"/>
  <c r="J485" i="3"/>
  <c r="I485" i="3"/>
  <c r="L484" i="3"/>
  <c r="K484" i="3"/>
  <c r="J484" i="3"/>
  <c r="I484" i="3"/>
  <c r="L483" i="3"/>
  <c r="K483" i="3"/>
  <c r="J483" i="3"/>
  <c r="I483" i="3"/>
  <c r="L482" i="3"/>
  <c r="K482" i="3"/>
  <c r="J482" i="3"/>
  <c r="I482" i="3"/>
  <c r="L481" i="3"/>
  <c r="K481" i="3"/>
  <c r="J481" i="3"/>
  <c r="I481" i="3"/>
  <c r="L480" i="3"/>
  <c r="K480" i="3"/>
  <c r="J480" i="3"/>
  <c r="I480" i="3"/>
  <c r="L479" i="3"/>
  <c r="K479" i="3"/>
  <c r="J479" i="3"/>
  <c r="I479" i="3"/>
  <c r="L478" i="3"/>
  <c r="K478" i="3"/>
  <c r="J478" i="3"/>
  <c r="I478" i="3"/>
  <c r="L477" i="3"/>
  <c r="L495" i="3" s="1"/>
  <c r="K477" i="3"/>
  <c r="K495" i="3" s="1"/>
  <c r="J477" i="3"/>
  <c r="J495" i="3" s="1"/>
  <c r="I477" i="3"/>
  <c r="I495" i="3" s="1"/>
  <c r="M476" i="3"/>
  <c r="L476" i="3"/>
  <c r="K476" i="3"/>
  <c r="J476" i="3"/>
  <c r="I476" i="3"/>
  <c r="H476" i="3"/>
  <c r="M466" i="3"/>
  <c r="L466" i="3"/>
  <c r="K466" i="3"/>
  <c r="J466" i="3"/>
  <c r="I466" i="3"/>
  <c r="H466" i="3"/>
  <c r="M453" i="3"/>
  <c r="L453" i="3"/>
  <c r="K453" i="3"/>
  <c r="J453" i="3"/>
  <c r="H453" i="3"/>
  <c r="I452" i="3"/>
  <c r="I451" i="3"/>
  <c r="I450" i="3"/>
  <c r="I453" i="3" s="1"/>
  <c r="M442" i="3"/>
  <c r="L442" i="3"/>
  <c r="K442" i="3"/>
  <c r="J442" i="3"/>
  <c r="I442" i="3"/>
  <c r="H442" i="3"/>
  <c r="M439" i="3"/>
  <c r="L439" i="3"/>
  <c r="K439" i="3"/>
  <c r="J439" i="3"/>
  <c r="I439" i="3"/>
  <c r="H439" i="3"/>
  <c r="M431" i="3"/>
  <c r="L431" i="3"/>
  <c r="K431" i="3"/>
  <c r="J431" i="3"/>
  <c r="I431" i="3"/>
  <c r="H431" i="3"/>
  <c r="M413" i="3"/>
  <c r="L413" i="3"/>
  <c r="K413" i="3"/>
  <c r="J413" i="3"/>
  <c r="I413" i="3"/>
  <c r="H413" i="3"/>
  <c r="M396" i="3"/>
  <c r="L396" i="3"/>
  <c r="K396" i="3"/>
  <c r="J396" i="3"/>
  <c r="I396" i="3"/>
  <c r="H396" i="3"/>
  <c r="M394" i="3"/>
  <c r="L394" i="3"/>
  <c r="K394" i="3"/>
  <c r="J394" i="3"/>
  <c r="I394" i="3"/>
  <c r="H394" i="3"/>
  <c r="M367" i="3"/>
  <c r="L367" i="3"/>
  <c r="K367" i="3"/>
  <c r="J367" i="3"/>
  <c r="H367" i="3"/>
  <c r="I366" i="3"/>
  <c r="I365" i="3"/>
  <c r="I364" i="3"/>
  <c r="M354" i="3"/>
  <c r="L354" i="3"/>
  <c r="K354" i="3"/>
  <c r="J354" i="3"/>
  <c r="I354" i="3"/>
  <c r="H354" i="3"/>
  <c r="M322" i="3"/>
  <c r="L322" i="3"/>
  <c r="K322" i="3"/>
  <c r="J322" i="3"/>
  <c r="I322" i="3"/>
  <c r="H322" i="3"/>
  <c r="M267" i="3"/>
  <c r="L267" i="3"/>
  <c r="K267" i="3"/>
  <c r="J267" i="3"/>
  <c r="I267" i="3"/>
  <c r="H267" i="3"/>
  <c r="M263" i="3"/>
  <c r="L263" i="3"/>
  <c r="K263" i="3"/>
  <c r="J263" i="3"/>
  <c r="I263" i="3"/>
  <c r="H263" i="3"/>
  <c r="M87" i="3"/>
  <c r="L87" i="3"/>
  <c r="K87" i="3"/>
  <c r="J87" i="3"/>
  <c r="I87" i="3"/>
  <c r="H87" i="3"/>
  <c r="M76" i="3"/>
  <c r="L76" i="3"/>
  <c r="K76" i="3"/>
  <c r="J76" i="3"/>
  <c r="I76" i="3"/>
  <c r="H76" i="3"/>
  <c r="M59" i="3"/>
  <c r="L59" i="3"/>
  <c r="K59" i="3"/>
  <c r="J59" i="3"/>
  <c r="I59" i="3"/>
  <c r="H59" i="3"/>
  <c r="W165" i="2"/>
  <c r="V165" i="2"/>
  <c r="AA165" i="2" s="1"/>
  <c r="AF165" i="2" s="1"/>
  <c r="U165" i="2"/>
  <c r="T165" i="2"/>
  <c r="Y165" i="2" s="1"/>
  <c r="AD165" i="2" s="1"/>
  <c r="R165" i="2"/>
  <c r="Q165" i="2"/>
  <c r="P165" i="2"/>
  <c r="Z165" i="2" s="1"/>
  <c r="AE165" i="2" s="1"/>
  <c r="O165" i="2"/>
  <c r="I165" i="2"/>
  <c r="AB164" i="2"/>
  <c r="AG164" i="2" s="1"/>
  <c r="AA164" i="2"/>
  <c r="AF164" i="2" s="1"/>
  <c r="Z164" i="2"/>
  <c r="AE164" i="2" s="1"/>
  <c r="Y164" i="2"/>
  <c r="AD164" i="2" s="1"/>
  <c r="K164" i="2"/>
  <c r="L164" i="2" s="1"/>
  <c r="M164" i="2" s="1"/>
  <c r="H164" i="2"/>
  <c r="AF163" i="2"/>
  <c r="AB163" i="2"/>
  <c r="AG163" i="2" s="1"/>
  <c r="AA163" i="2"/>
  <c r="Z163" i="2"/>
  <c r="AE163" i="2" s="1"/>
  <c r="Y163" i="2"/>
  <c r="AD163" i="2" s="1"/>
  <c r="K163" i="2"/>
  <c r="L163" i="2" s="1"/>
  <c r="M163" i="2" s="1"/>
  <c r="H163" i="2"/>
  <c r="AB162" i="2"/>
  <c r="AG162" i="2" s="1"/>
  <c r="AA162" i="2"/>
  <c r="AF162" i="2" s="1"/>
  <c r="Z162" i="2"/>
  <c r="AE162" i="2" s="1"/>
  <c r="Y162" i="2"/>
  <c r="AD162" i="2" s="1"/>
  <c r="K162" i="2"/>
  <c r="L162" i="2" s="1"/>
  <c r="M162" i="2" s="1"/>
  <c r="H162" i="2"/>
  <c r="AF161" i="2"/>
  <c r="AB161" i="2"/>
  <c r="AG161" i="2" s="1"/>
  <c r="AA161" i="2"/>
  <c r="Z161" i="2"/>
  <c r="AE161" i="2" s="1"/>
  <c r="Y161" i="2"/>
  <c r="AD161" i="2" s="1"/>
  <c r="K161" i="2"/>
  <c r="L161" i="2" s="1"/>
  <c r="M161" i="2" s="1"/>
  <c r="H161" i="2"/>
  <c r="AB160" i="2"/>
  <c r="AG160" i="2" s="1"/>
  <c r="AA160" i="2"/>
  <c r="AF160" i="2" s="1"/>
  <c r="Z160" i="2"/>
  <c r="AE160" i="2" s="1"/>
  <c r="Y160" i="2"/>
  <c r="AD160" i="2" s="1"/>
  <c r="K160" i="2"/>
  <c r="L160" i="2" s="1"/>
  <c r="M160" i="2" s="1"/>
  <c r="H160" i="2"/>
  <c r="AF159" i="2"/>
  <c r="AB159" i="2"/>
  <c r="AG159" i="2" s="1"/>
  <c r="AA159" i="2"/>
  <c r="Z159" i="2"/>
  <c r="AE159" i="2" s="1"/>
  <c r="Y159" i="2"/>
  <c r="AD159" i="2" s="1"/>
  <c r="K159" i="2"/>
  <c r="L159" i="2" s="1"/>
  <c r="M159" i="2" s="1"/>
  <c r="H159" i="2"/>
  <c r="AB158" i="2"/>
  <c r="AG158" i="2" s="1"/>
  <c r="AA158" i="2"/>
  <c r="AF158" i="2" s="1"/>
  <c r="Z158" i="2"/>
  <c r="AE158" i="2" s="1"/>
  <c r="Y158" i="2"/>
  <c r="AD158" i="2" s="1"/>
  <c r="K158" i="2"/>
  <c r="L158" i="2" s="1"/>
  <c r="M158" i="2" s="1"/>
  <c r="H158" i="2"/>
  <c r="AB157" i="2"/>
  <c r="AG157" i="2" s="1"/>
  <c r="AA157" i="2"/>
  <c r="AF157" i="2" s="1"/>
  <c r="Z157" i="2"/>
  <c r="AE157" i="2" s="1"/>
  <c r="Y157" i="2"/>
  <c r="AD157" i="2" s="1"/>
  <c r="K157" i="2"/>
  <c r="L157" i="2" s="1"/>
  <c r="M157" i="2" s="1"/>
  <c r="H157" i="2"/>
  <c r="AB156" i="2"/>
  <c r="AG156" i="2" s="1"/>
  <c r="AA156" i="2"/>
  <c r="AF156" i="2" s="1"/>
  <c r="Z156" i="2"/>
  <c r="AE156" i="2" s="1"/>
  <c r="Y156" i="2"/>
  <c r="AD156" i="2" s="1"/>
  <c r="K156" i="2"/>
  <c r="L156" i="2" s="1"/>
  <c r="M156" i="2" s="1"/>
  <c r="H156" i="2"/>
  <c r="AB155" i="2"/>
  <c r="AG155" i="2" s="1"/>
  <c r="AA155" i="2"/>
  <c r="AF155" i="2" s="1"/>
  <c r="Z155" i="2"/>
  <c r="AE155" i="2" s="1"/>
  <c r="Y155" i="2"/>
  <c r="AD155" i="2" s="1"/>
  <c r="K155" i="2"/>
  <c r="L155" i="2" s="1"/>
  <c r="M155" i="2" s="1"/>
  <c r="H155" i="2"/>
  <c r="AB154" i="2"/>
  <c r="AG154" i="2" s="1"/>
  <c r="AA154" i="2"/>
  <c r="AF154" i="2" s="1"/>
  <c r="Z154" i="2"/>
  <c r="AE154" i="2" s="1"/>
  <c r="Y154" i="2"/>
  <c r="AD154" i="2" s="1"/>
  <c r="K154" i="2"/>
  <c r="L154" i="2" s="1"/>
  <c r="M154" i="2" s="1"/>
  <c r="AB153" i="2"/>
  <c r="AG153" i="2" s="1"/>
  <c r="AA153" i="2"/>
  <c r="AF153" i="2" s="1"/>
  <c r="Z153" i="2"/>
  <c r="AE153" i="2" s="1"/>
  <c r="Y153" i="2"/>
  <c r="AD153" i="2" s="1"/>
  <c r="K153" i="2"/>
  <c r="L153" i="2" s="1"/>
  <c r="M153" i="2" s="1"/>
  <c r="H153" i="2"/>
  <c r="AB151" i="2"/>
  <c r="AG151" i="2" s="1"/>
  <c r="AA151" i="2"/>
  <c r="AF151" i="2" s="1"/>
  <c r="Z151" i="2"/>
  <c r="AE151" i="2" s="1"/>
  <c r="Y151" i="2"/>
  <c r="AD151" i="2" s="1"/>
  <c r="K151" i="2"/>
  <c r="L151" i="2" s="1"/>
  <c r="M151" i="2" s="1"/>
  <c r="H151" i="2"/>
  <c r="AB149" i="2"/>
  <c r="AG149" i="2" s="1"/>
  <c r="AA149" i="2"/>
  <c r="AF149" i="2" s="1"/>
  <c r="Z149" i="2"/>
  <c r="AE149" i="2" s="1"/>
  <c r="Y149" i="2"/>
  <c r="AD149" i="2" s="1"/>
  <c r="K149" i="2"/>
  <c r="L149" i="2" s="1"/>
  <c r="M149" i="2" s="1"/>
  <c r="F149" i="2"/>
  <c r="E149" i="2"/>
  <c r="AB148" i="2"/>
  <c r="AG148" i="2" s="1"/>
  <c r="AA148" i="2"/>
  <c r="AF148" i="2" s="1"/>
  <c r="Z148" i="2"/>
  <c r="AE148" i="2" s="1"/>
  <c r="Y148" i="2"/>
  <c r="AD148" i="2" s="1"/>
  <c r="K148" i="2"/>
  <c r="L148" i="2" s="1"/>
  <c r="M148" i="2" s="1"/>
  <c r="AB147" i="2"/>
  <c r="AG147" i="2" s="1"/>
  <c r="AA147" i="2"/>
  <c r="AF147" i="2" s="1"/>
  <c r="Z147" i="2"/>
  <c r="AE147" i="2" s="1"/>
  <c r="Y147" i="2"/>
  <c r="AD147" i="2" s="1"/>
  <c r="K147" i="2"/>
  <c r="L147" i="2" s="1"/>
  <c r="M147" i="2" s="1"/>
  <c r="G147" i="2"/>
  <c r="F147" i="2"/>
  <c r="AB146" i="2"/>
  <c r="AG146" i="2" s="1"/>
  <c r="AA146" i="2"/>
  <c r="AF146" i="2" s="1"/>
  <c r="Z146" i="2"/>
  <c r="AE146" i="2" s="1"/>
  <c r="Y146" i="2"/>
  <c r="AD146" i="2" s="1"/>
  <c r="K146" i="2"/>
  <c r="L146" i="2" s="1"/>
  <c r="M146" i="2" s="1"/>
  <c r="G146" i="2"/>
  <c r="F146" i="2"/>
  <c r="H146" i="2" s="1"/>
  <c r="AB145" i="2"/>
  <c r="AG145" i="2" s="1"/>
  <c r="AA145" i="2"/>
  <c r="AF145" i="2" s="1"/>
  <c r="Z145" i="2"/>
  <c r="AE145" i="2" s="1"/>
  <c r="Y145" i="2"/>
  <c r="AD145" i="2" s="1"/>
  <c r="L145" i="2"/>
  <c r="M145" i="2" s="1"/>
  <c r="K145" i="2"/>
  <c r="G145" i="2"/>
  <c r="H145" i="2" s="1"/>
  <c r="F145" i="2"/>
  <c r="AG144" i="2"/>
  <c r="AB144" i="2"/>
  <c r="AA144" i="2"/>
  <c r="AF144" i="2" s="1"/>
  <c r="Z144" i="2"/>
  <c r="AE144" i="2" s="1"/>
  <c r="Y144" i="2"/>
  <c r="AD144" i="2" s="1"/>
  <c r="K144" i="2"/>
  <c r="L144" i="2" s="1"/>
  <c r="M144" i="2" s="1"/>
  <c r="H144" i="2"/>
  <c r="G144" i="2"/>
  <c r="F144" i="2"/>
  <c r="AB143" i="2"/>
  <c r="AG143" i="2" s="1"/>
  <c r="AA143" i="2"/>
  <c r="AF143" i="2" s="1"/>
  <c r="Z143" i="2"/>
  <c r="AE143" i="2" s="1"/>
  <c r="Y143" i="2"/>
  <c r="AD143" i="2" s="1"/>
  <c r="L143" i="2"/>
  <c r="M143" i="2" s="1"/>
  <c r="K143" i="2"/>
  <c r="G143" i="2"/>
  <c r="F143" i="2"/>
  <c r="H143" i="2" s="1"/>
  <c r="AE142" i="2"/>
  <c r="AB142" i="2"/>
  <c r="AG142" i="2" s="1"/>
  <c r="AA142" i="2"/>
  <c r="AF142" i="2" s="1"/>
  <c r="Z142" i="2"/>
  <c r="Y142" i="2"/>
  <c r="AD142" i="2" s="1"/>
  <c r="L142" i="2"/>
  <c r="M142" i="2" s="1"/>
  <c r="K142" i="2"/>
  <c r="G142" i="2"/>
  <c r="F142" i="2"/>
  <c r="AF141" i="2"/>
  <c r="AD141" i="2"/>
  <c r="AB141" i="2"/>
  <c r="AG141" i="2" s="1"/>
  <c r="AA141" i="2"/>
  <c r="Z141" i="2"/>
  <c r="AE141" i="2" s="1"/>
  <c r="Y141" i="2"/>
  <c r="L141" i="2"/>
  <c r="M141" i="2" s="1"/>
  <c r="K141" i="2"/>
  <c r="G141" i="2"/>
  <c r="H141" i="2" s="1"/>
  <c r="F141" i="2"/>
  <c r="AB140" i="2"/>
  <c r="AG140" i="2" s="1"/>
  <c r="AA140" i="2"/>
  <c r="AF140" i="2" s="1"/>
  <c r="Z140" i="2"/>
  <c r="AE140" i="2" s="1"/>
  <c r="Y140" i="2"/>
  <c r="AD140" i="2" s="1"/>
  <c r="L140" i="2"/>
  <c r="M140" i="2" s="1"/>
  <c r="K140" i="2"/>
  <c r="G140" i="2"/>
  <c r="F140" i="2"/>
  <c r="AE139" i="2"/>
  <c r="AD139" i="2"/>
  <c r="AB139" i="2"/>
  <c r="AG139" i="2" s="1"/>
  <c r="AA139" i="2"/>
  <c r="AF139" i="2" s="1"/>
  <c r="Z139" i="2"/>
  <c r="Y139" i="2"/>
  <c r="L139" i="2"/>
  <c r="M139" i="2" s="1"/>
  <c r="K139" i="2"/>
  <c r="G139" i="2"/>
  <c r="F139" i="2"/>
  <c r="AF138" i="2"/>
  <c r="AE138" i="2"/>
  <c r="AB138" i="2"/>
  <c r="AG138" i="2" s="1"/>
  <c r="AA138" i="2"/>
  <c r="Z138" i="2"/>
  <c r="Y138" i="2"/>
  <c r="AD138" i="2" s="1"/>
  <c r="L138" i="2"/>
  <c r="M138" i="2" s="1"/>
  <c r="K138" i="2"/>
  <c r="G138" i="2"/>
  <c r="F138" i="2"/>
  <c r="AB137" i="2"/>
  <c r="AG137" i="2" s="1"/>
  <c r="AA137" i="2"/>
  <c r="AF137" i="2" s="1"/>
  <c r="Z137" i="2"/>
  <c r="AE137" i="2" s="1"/>
  <c r="Y137" i="2"/>
  <c r="AD137" i="2" s="1"/>
  <c r="L137" i="2"/>
  <c r="M137" i="2" s="1"/>
  <c r="K137" i="2"/>
  <c r="H137" i="2"/>
  <c r="G137" i="2"/>
  <c r="F137" i="2"/>
  <c r="AD136" i="2"/>
  <c r="AB136" i="2"/>
  <c r="AG136" i="2" s="1"/>
  <c r="AA136" i="2"/>
  <c r="AF136" i="2" s="1"/>
  <c r="Z136" i="2"/>
  <c r="AE136" i="2" s="1"/>
  <c r="Y136" i="2"/>
  <c r="K136" i="2"/>
  <c r="L136" i="2" s="1"/>
  <c r="M136" i="2" s="1"/>
  <c r="G136" i="2"/>
  <c r="F136" i="2"/>
  <c r="H136" i="2" s="1"/>
  <c r="AE135" i="2"/>
  <c r="AB135" i="2"/>
  <c r="AG135" i="2" s="1"/>
  <c r="AA135" i="2"/>
  <c r="AF135" i="2" s="1"/>
  <c r="Z135" i="2"/>
  <c r="Y135" i="2"/>
  <c r="AD135" i="2" s="1"/>
  <c r="K135" i="2"/>
  <c r="L135" i="2" s="1"/>
  <c r="M135" i="2" s="1"/>
  <c r="G135" i="2"/>
  <c r="F135" i="2"/>
  <c r="AE134" i="2"/>
  <c r="AB134" i="2"/>
  <c r="AG134" i="2" s="1"/>
  <c r="AA134" i="2"/>
  <c r="AF134" i="2" s="1"/>
  <c r="Z134" i="2"/>
  <c r="Y134" i="2"/>
  <c r="AD134" i="2" s="1"/>
  <c r="L134" i="2"/>
  <c r="M134" i="2" s="1"/>
  <c r="K134" i="2"/>
  <c r="G134" i="2"/>
  <c r="F134" i="2"/>
  <c r="AB133" i="2"/>
  <c r="AG133" i="2" s="1"/>
  <c r="AA133" i="2"/>
  <c r="AF133" i="2" s="1"/>
  <c r="Z133" i="2"/>
  <c r="AE133" i="2" s="1"/>
  <c r="Y133" i="2"/>
  <c r="AD133" i="2" s="1"/>
  <c r="L133" i="2"/>
  <c r="M133" i="2" s="1"/>
  <c r="K133" i="2"/>
  <c r="H133" i="2"/>
  <c r="G133" i="2"/>
  <c r="F133" i="2"/>
  <c r="AB132" i="2"/>
  <c r="AG132" i="2" s="1"/>
  <c r="AA132" i="2"/>
  <c r="AF132" i="2" s="1"/>
  <c r="Z132" i="2"/>
  <c r="AE132" i="2" s="1"/>
  <c r="Y132" i="2"/>
  <c r="AD132" i="2" s="1"/>
  <c r="L132" i="2"/>
  <c r="M132" i="2" s="1"/>
  <c r="K132" i="2"/>
  <c r="G132" i="2"/>
  <c r="F132" i="2"/>
  <c r="AG131" i="2"/>
  <c r="AE131" i="2"/>
  <c r="AB131" i="2"/>
  <c r="AA131" i="2"/>
  <c r="AF131" i="2" s="1"/>
  <c r="Z131" i="2"/>
  <c r="Y131" i="2"/>
  <c r="AD131" i="2" s="1"/>
  <c r="L131" i="2"/>
  <c r="M131" i="2" s="1"/>
  <c r="K131" i="2"/>
  <c r="G131" i="2"/>
  <c r="H131" i="2" s="1"/>
  <c r="F131" i="2"/>
  <c r="AF130" i="2"/>
  <c r="AB130" i="2"/>
  <c r="AG130" i="2" s="1"/>
  <c r="AA130" i="2"/>
  <c r="Z130" i="2"/>
  <c r="AE130" i="2" s="1"/>
  <c r="Y130" i="2"/>
  <c r="AD130" i="2" s="1"/>
  <c r="L130" i="2"/>
  <c r="M130" i="2" s="1"/>
  <c r="K130" i="2"/>
  <c r="G130" i="2"/>
  <c r="F130" i="2"/>
  <c r="AB129" i="2"/>
  <c r="AG129" i="2" s="1"/>
  <c r="AA129" i="2"/>
  <c r="AF129" i="2" s="1"/>
  <c r="Z129" i="2"/>
  <c r="AE129" i="2" s="1"/>
  <c r="Y129" i="2"/>
  <c r="AD129" i="2" s="1"/>
  <c r="L129" i="2"/>
  <c r="M129" i="2" s="1"/>
  <c r="K129" i="2"/>
  <c r="G129" i="2"/>
  <c r="F129" i="2"/>
  <c r="H129" i="2" s="1"/>
  <c r="W125" i="2"/>
  <c r="AB125" i="2" s="1"/>
  <c r="AG125" i="2" s="1"/>
  <c r="V125" i="2"/>
  <c r="U125" i="2"/>
  <c r="Z125" i="2" s="1"/>
  <c r="AE125" i="2" s="1"/>
  <c r="T125" i="2"/>
  <c r="Y125" i="2" s="1"/>
  <c r="AD125" i="2" s="1"/>
  <c r="R125" i="2"/>
  <c r="Q125" i="2"/>
  <c r="P125" i="2"/>
  <c r="O125" i="2"/>
  <c r="I125" i="2"/>
  <c r="AE124" i="2"/>
  <c r="AB124" i="2"/>
  <c r="AG124" i="2" s="1"/>
  <c r="AA124" i="2"/>
  <c r="AF124" i="2" s="1"/>
  <c r="Z124" i="2"/>
  <c r="Y124" i="2"/>
  <c r="AD124" i="2" s="1"/>
  <c r="L124" i="2"/>
  <c r="M124" i="2" s="1"/>
  <c r="K124" i="2"/>
  <c r="G124" i="2"/>
  <c r="H124" i="2" s="1"/>
  <c r="F124" i="2"/>
  <c r="AF123" i="2"/>
  <c r="AB123" i="2"/>
  <c r="AG123" i="2" s="1"/>
  <c r="AA123" i="2"/>
  <c r="Z123" i="2"/>
  <c r="AE123" i="2" s="1"/>
  <c r="Y123" i="2"/>
  <c r="AD123" i="2" s="1"/>
  <c r="L123" i="2"/>
  <c r="M123" i="2" s="1"/>
  <c r="K123" i="2"/>
  <c r="G123" i="2"/>
  <c r="F123" i="2"/>
  <c r="H123" i="2" s="1"/>
  <c r="AB122" i="2"/>
  <c r="AG122" i="2" s="1"/>
  <c r="AA122" i="2"/>
  <c r="AF122" i="2" s="1"/>
  <c r="Z122" i="2"/>
  <c r="AE122" i="2" s="1"/>
  <c r="Y122" i="2"/>
  <c r="AD122" i="2" s="1"/>
  <c r="L122" i="2"/>
  <c r="M122" i="2" s="1"/>
  <c r="K122" i="2"/>
  <c r="G122" i="2"/>
  <c r="F122" i="2"/>
  <c r="H122" i="2" s="1"/>
  <c r="AF121" i="2"/>
  <c r="AE121" i="2"/>
  <c r="AD121" i="2"/>
  <c r="AB121" i="2"/>
  <c r="AG121" i="2" s="1"/>
  <c r="AA121" i="2"/>
  <c r="Z121" i="2"/>
  <c r="Y121" i="2"/>
  <c r="K121" i="2"/>
  <c r="L121" i="2" s="1"/>
  <c r="M121" i="2" s="1"/>
  <c r="G121" i="2"/>
  <c r="F121" i="2"/>
  <c r="H121" i="2" s="1"/>
  <c r="AE120" i="2"/>
  <c r="AB120" i="2"/>
  <c r="AG120" i="2" s="1"/>
  <c r="AA120" i="2"/>
  <c r="AF120" i="2" s="1"/>
  <c r="Z120" i="2"/>
  <c r="Y120" i="2"/>
  <c r="AD120" i="2" s="1"/>
  <c r="K120" i="2"/>
  <c r="L120" i="2" s="1"/>
  <c r="M120" i="2" s="1"/>
  <c r="G120" i="2"/>
  <c r="F120" i="2"/>
  <c r="H120" i="2" s="1"/>
  <c r="AB119" i="2"/>
  <c r="AG119" i="2" s="1"/>
  <c r="AA119" i="2"/>
  <c r="AF119" i="2" s="1"/>
  <c r="Z119" i="2"/>
  <c r="AE119" i="2" s="1"/>
  <c r="Y119" i="2"/>
  <c r="AD119" i="2" s="1"/>
  <c r="K119" i="2"/>
  <c r="L119" i="2" s="1"/>
  <c r="M119" i="2" s="1"/>
  <c r="G119" i="2"/>
  <c r="F119" i="2"/>
  <c r="AB118" i="2"/>
  <c r="AG118" i="2" s="1"/>
  <c r="AA118" i="2"/>
  <c r="AF118" i="2" s="1"/>
  <c r="Z118" i="2"/>
  <c r="AE118" i="2" s="1"/>
  <c r="Y118" i="2"/>
  <c r="AD118" i="2" s="1"/>
  <c r="K118" i="2"/>
  <c r="L118" i="2" s="1"/>
  <c r="M118" i="2" s="1"/>
  <c r="G118" i="2"/>
  <c r="F118" i="2"/>
  <c r="AG117" i="2"/>
  <c r="AF117" i="2"/>
  <c r="AE117" i="2"/>
  <c r="AD117" i="2"/>
  <c r="AB117" i="2"/>
  <c r="AA117" i="2"/>
  <c r="Z117" i="2"/>
  <c r="Y117" i="2"/>
  <c r="L117" i="2"/>
  <c r="M117" i="2" s="1"/>
  <c r="K117" i="2"/>
  <c r="G117" i="2"/>
  <c r="H117" i="2" s="1"/>
  <c r="F117" i="2"/>
  <c r="AB116" i="2"/>
  <c r="AG116" i="2" s="1"/>
  <c r="AA116" i="2"/>
  <c r="AF116" i="2" s="1"/>
  <c r="Z116" i="2"/>
  <c r="AE116" i="2" s="1"/>
  <c r="Y116" i="2"/>
  <c r="AD116" i="2" s="1"/>
  <c r="K116" i="2"/>
  <c r="L116" i="2" s="1"/>
  <c r="M116" i="2" s="1"/>
  <c r="G116" i="2"/>
  <c r="F116" i="2"/>
  <c r="AB115" i="2"/>
  <c r="AG115" i="2" s="1"/>
  <c r="AA115" i="2"/>
  <c r="AF115" i="2" s="1"/>
  <c r="Z115" i="2"/>
  <c r="AE115" i="2" s="1"/>
  <c r="Y115" i="2"/>
  <c r="AD115" i="2" s="1"/>
  <c r="K115" i="2"/>
  <c r="L115" i="2" s="1"/>
  <c r="M115" i="2" s="1"/>
  <c r="G115" i="2"/>
  <c r="F115" i="2"/>
  <c r="H115" i="2" s="1"/>
  <c r="AE114" i="2"/>
  <c r="AB114" i="2"/>
  <c r="AG114" i="2" s="1"/>
  <c r="AA114" i="2"/>
  <c r="AF114" i="2" s="1"/>
  <c r="Z114" i="2"/>
  <c r="Y114" i="2"/>
  <c r="AD114" i="2" s="1"/>
  <c r="K114" i="2"/>
  <c r="L114" i="2" s="1"/>
  <c r="M114" i="2" s="1"/>
  <c r="G114" i="2"/>
  <c r="F114" i="2"/>
  <c r="H114" i="2" s="1"/>
  <c r="AG113" i="2"/>
  <c r="AE113" i="2"/>
  <c r="AB113" i="2"/>
  <c r="AA113" i="2"/>
  <c r="AF113" i="2" s="1"/>
  <c r="Z113" i="2"/>
  <c r="Y113" i="2"/>
  <c r="AD113" i="2" s="1"/>
  <c r="K113" i="2"/>
  <c r="L113" i="2" s="1"/>
  <c r="M113" i="2" s="1"/>
  <c r="H113" i="2"/>
  <c r="G113" i="2"/>
  <c r="F113" i="2"/>
  <c r="AB112" i="2"/>
  <c r="AG112" i="2" s="1"/>
  <c r="AA112" i="2"/>
  <c r="AF112" i="2" s="1"/>
  <c r="Z112" i="2"/>
  <c r="AE112" i="2" s="1"/>
  <c r="Y112" i="2"/>
  <c r="AD112" i="2" s="1"/>
  <c r="L112" i="2"/>
  <c r="M112" i="2" s="1"/>
  <c r="K112" i="2"/>
  <c r="G112" i="2"/>
  <c r="F112" i="2"/>
  <c r="H112" i="2" s="1"/>
  <c r="AF111" i="2"/>
  <c r="AB111" i="2"/>
  <c r="AG111" i="2" s="1"/>
  <c r="AA111" i="2"/>
  <c r="Z111" i="2"/>
  <c r="AE111" i="2" s="1"/>
  <c r="Y111" i="2"/>
  <c r="AD111" i="2" s="1"/>
  <c r="K111" i="2"/>
  <c r="L111" i="2" s="1"/>
  <c r="M111" i="2" s="1"/>
  <c r="G111" i="2"/>
  <c r="F111" i="2"/>
  <c r="H111" i="2" s="1"/>
  <c r="AG109" i="2"/>
  <c r="AF109" i="2"/>
  <c r="AB109" i="2"/>
  <c r="AA109" i="2"/>
  <c r="Z109" i="2"/>
  <c r="AE109" i="2" s="1"/>
  <c r="Y109" i="2"/>
  <c r="AD109" i="2" s="1"/>
  <c r="K109" i="2"/>
  <c r="L109" i="2" s="1"/>
  <c r="M109" i="2" s="1"/>
  <c r="G109" i="2"/>
  <c r="F109" i="2"/>
  <c r="AD108" i="2"/>
  <c r="AB108" i="2"/>
  <c r="AG108" i="2" s="1"/>
  <c r="AA108" i="2"/>
  <c r="AF108" i="2" s="1"/>
  <c r="Z108" i="2"/>
  <c r="AE108" i="2" s="1"/>
  <c r="Y108" i="2"/>
  <c r="K108" i="2"/>
  <c r="L108" i="2" s="1"/>
  <c r="M108" i="2" s="1"/>
  <c r="G108" i="2"/>
  <c r="F108" i="2"/>
  <c r="AF107" i="2"/>
  <c r="AB107" i="2"/>
  <c r="AG107" i="2" s="1"/>
  <c r="AA107" i="2"/>
  <c r="Z107" i="2"/>
  <c r="AE107" i="2" s="1"/>
  <c r="Y107" i="2"/>
  <c r="AD107" i="2" s="1"/>
  <c r="K107" i="2"/>
  <c r="L107" i="2" s="1"/>
  <c r="M107" i="2" s="1"/>
  <c r="H107" i="2"/>
  <c r="G107" i="2"/>
  <c r="F107" i="2"/>
  <c r="AD106" i="2"/>
  <c r="AB106" i="2"/>
  <c r="AG106" i="2" s="1"/>
  <c r="AA106" i="2"/>
  <c r="AF106" i="2" s="1"/>
  <c r="Z106" i="2"/>
  <c r="AE106" i="2" s="1"/>
  <c r="Y106" i="2"/>
  <c r="K106" i="2"/>
  <c r="L106" i="2" s="1"/>
  <c r="M106" i="2" s="1"/>
  <c r="G106" i="2"/>
  <c r="F106" i="2"/>
  <c r="AG105" i="2"/>
  <c r="AE105" i="2"/>
  <c r="AB105" i="2"/>
  <c r="AA105" i="2"/>
  <c r="AF105" i="2" s="1"/>
  <c r="Z105" i="2"/>
  <c r="Y105" i="2"/>
  <c r="AD105" i="2" s="1"/>
  <c r="L105" i="2"/>
  <c r="M105" i="2" s="1"/>
  <c r="K105" i="2"/>
  <c r="G105" i="2"/>
  <c r="F105" i="2"/>
  <c r="AB104" i="2"/>
  <c r="AG104" i="2" s="1"/>
  <c r="AA104" i="2"/>
  <c r="AF104" i="2" s="1"/>
  <c r="Z104" i="2"/>
  <c r="AE104" i="2" s="1"/>
  <c r="Y104" i="2"/>
  <c r="AD104" i="2" s="1"/>
  <c r="K104" i="2"/>
  <c r="L104" i="2" s="1"/>
  <c r="M104" i="2" s="1"/>
  <c r="G104" i="2"/>
  <c r="F104" i="2"/>
  <c r="AE103" i="2"/>
  <c r="AD103" i="2"/>
  <c r="AB103" i="2"/>
  <c r="AG103" i="2" s="1"/>
  <c r="AA103" i="2"/>
  <c r="AF103" i="2" s="1"/>
  <c r="Z103" i="2"/>
  <c r="Y103" i="2"/>
  <c r="L103" i="2"/>
  <c r="M103" i="2" s="1"/>
  <c r="K103" i="2"/>
  <c r="G103" i="2"/>
  <c r="H103" i="2" s="1"/>
  <c r="F103" i="2"/>
  <c r="AG102" i="2"/>
  <c r="AB102" i="2"/>
  <c r="AA102" i="2"/>
  <c r="AF102" i="2" s="1"/>
  <c r="Z102" i="2"/>
  <c r="AE102" i="2" s="1"/>
  <c r="Y102" i="2"/>
  <c r="AD102" i="2" s="1"/>
  <c r="L102" i="2"/>
  <c r="M102" i="2" s="1"/>
  <c r="K102" i="2"/>
  <c r="G102" i="2"/>
  <c r="H102" i="2" s="1"/>
  <c r="F102" i="2"/>
  <c r="AB101" i="2"/>
  <c r="AG101" i="2" s="1"/>
  <c r="AA101" i="2"/>
  <c r="AF101" i="2" s="1"/>
  <c r="Z101" i="2"/>
  <c r="AE101" i="2" s="1"/>
  <c r="Y101" i="2"/>
  <c r="AD101" i="2" s="1"/>
  <c r="L101" i="2"/>
  <c r="M101" i="2" s="1"/>
  <c r="K101" i="2"/>
  <c r="G101" i="2"/>
  <c r="F101" i="2"/>
  <c r="AF100" i="2"/>
  <c r="AE100" i="2"/>
  <c r="AB100" i="2"/>
  <c r="AG100" i="2" s="1"/>
  <c r="AA100" i="2"/>
  <c r="Z100" i="2"/>
  <c r="Y100" i="2"/>
  <c r="AD100" i="2" s="1"/>
  <c r="K100" i="2"/>
  <c r="L100" i="2" s="1"/>
  <c r="M100" i="2" s="1"/>
  <c r="H100" i="2"/>
  <c r="G100" i="2"/>
  <c r="F100" i="2"/>
  <c r="AB99" i="2"/>
  <c r="AG99" i="2" s="1"/>
  <c r="AA99" i="2"/>
  <c r="AF99" i="2" s="1"/>
  <c r="Z99" i="2"/>
  <c r="AE99" i="2" s="1"/>
  <c r="Y99" i="2"/>
  <c r="AD99" i="2" s="1"/>
  <c r="K99" i="2"/>
  <c r="L99" i="2" s="1"/>
  <c r="M99" i="2" s="1"/>
  <c r="G99" i="2"/>
  <c r="H99" i="2" s="1"/>
  <c r="F99" i="2"/>
  <c r="AB98" i="2"/>
  <c r="AG98" i="2" s="1"/>
  <c r="AA98" i="2"/>
  <c r="AF98" i="2" s="1"/>
  <c r="Z98" i="2"/>
  <c r="AE98" i="2" s="1"/>
  <c r="Y98" i="2"/>
  <c r="AD98" i="2" s="1"/>
  <c r="L98" i="2"/>
  <c r="M98" i="2" s="1"/>
  <c r="K98" i="2"/>
  <c r="G98" i="2"/>
  <c r="F98" i="2"/>
  <c r="AE97" i="2"/>
  <c r="AB97" i="2"/>
  <c r="AG97" i="2" s="1"/>
  <c r="AA97" i="2"/>
  <c r="AF97" i="2" s="1"/>
  <c r="Z97" i="2"/>
  <c r="Y97" i="2"/>
  <c r="AD97" i="2" s="1"/>
  <c r="K97" i="2"/>
  <c r="L97" i="2" s="1"/>
  <c r="M97" i="2" s="1"/>
  <c r="G97" i="2"/>
  <c r="F97" i="2"/>
  <c r="AG96" i="2"/>
  <c r="AE96" i="2"/>
  <c r="AB96" i="2"/>
  <c r="AA96" i="2"/>
  <c r="AF96" i="2" s="1"/>
  <c r="Z96" i="2"/>
  <c r="Y96" i="2"/>
  <c r="AD96" i="2" s="1"/>
  <c r="K96" i="2"/>
  <c r="L96" i="2" s="1"/>
  <c r="M96" i="2" s="1"/>
  <c r="G96" i="2"/>
  <c r="H96" i="2" s="1"/>
  <c r="F96" i="2"/>
  <c r="AB94" i="2"/>
  <c r="AG94" i="2" s="1"/>
  <c r="AA94" i="2"/>
  <c r="AF94" i="2" s="1"/>
  <c r="Z94" i="2"/>
  <c r="AE94" i="2" s="1"/>
  <c r="Y94" i="2"/>
  <c r="AD94" i="2" s="1"/>
  <c r="L94" i="2"/>
  <c r="M94" i="2" s="1"/>
  <c r="K94" i="2"/>
  <c r="E94" i="2"/>
  <c r="AB93" i="2"/>
  <c r="AG93" i="2" s="1"/>
  <c r="AA93" i="2"/>
  <c r="AF93" i="2" s="1"/>
  <c r="Z93" i="2"/>
  <c r="AE93" i="2" s="1"/>
  <c r="Y93" i="2"/>
  <c r="AD93" i="2" s="1"/>
  <c r="K93" i="2"/>
  <c r="L93" i="2" s="1"/>
  <c r="M93" i="2" s="1"/>
  <c r="E93" i="2"/>
  <c r="AB92" i="2"/>
  <c r="AG92" i="2" s="1"/>
  <c r="AA92" i="2"/>
  <c r="AF92" i="2" s="1"/>
  <c r="Z92" i="2"/>
  <c r="AE92" i="2" s="1"/>
  <c r="Y92" i="2"/>
  <c r="AD92" i="2" s="1"/>
  <c r="L92" i="2"/>
  <c r="M92" i="2" s="1"/>
  <c r="K92" i="2"/>
  <c r="E92" i="2"/>
  <c r="AB91" i="2"/>
  <c r="AG91" i="2" s="1"/>
  <c r="AA91" i="2"/>
  <c r="AF91" i="2" s="1"/>
  <c r="Z91" i="2"/>
  <c r="AE91" i="2" s="1"/>
  <c r="Y91" i="2"/>
  <c r="AD91" i="2" s="1"/>
  <c r="K91" i="2"/>
  <c r="L91" i="2" s="1"/>
  <c r="M91" i="2" s="1"/>
  <c r="E91" i="2"/>
  <c r="AD90" i="2"/>
  <c r="AB90" i="2"/>
  <c r="AG90" i="2" s="1"/>
  <c r="AA90" i="2"/>
  <c r="AF90" i="2" s="1"/>
  <c r="Z90" i="2"/>
  <c r="AE90" i="2" s="1"/>
  <c r="Y90" i="2"/>
  <c r="L90" i="2"/>
  <c r="M90" i="2" s="1"/>
  <c r="K90" i="2"/>
  <c r="E90" i="2"/>
  <c r="AG89" i="2"/>
  <c r="AB89" i="2"/>
  <c r="AA89" i="2"/>
  <c r="AF89" i="2" s="1"/>
  <c r="Z89" i="2"/>
  <c r="AE89" i="2" s="1"/>
  <c r="Y89" i="2"/>
  <c r="AD89" i="2" s="1"/>
  <c r="K89" i="2"/>
  <c r="L89" i="2" s="1"/>
  <c r="M89" i="2" s="1"/>
  <c r="E89" i="2"/>
  <c r="AF88" i="2"/>
  <c r="AB88" i="2"/>
  <c r="AG88" i="2" s="1"/>
  <c r="AA88" i="2"/>
  <c r="Z88" i="2"/>
  <c r="AE88" i="2" s="1"/>
  <c r="Y88" i="2"/>
  <c r="AD88" i="2" s="1"/>
  <c r="K88" i="2"/>
  <c r="L88" i="2" s="1"/>
  <c r="M88" i="2" s="1"/>
  <c r="E88" i="2"/>
  <c r="AB87" i="2"/>
  <c r="AG87" i="2" s="1"/>
  <c r="AA87" i="2"/>
  <c r="AF87" i="2" s="1"/>
  <c r="Z87" i="2"/>
  <c r="AE87" i="2" s="1"/>
  <c r="Y87" i="2"/>
  <c r="AD87" i="2" s="1"/>
  <c r="L87" i="2"/>
  <c r="M87" i="2" s="1"/>
  <c r="K87" i="2"/>
  <c r="E87" i="2"/>
  <c r="AB86" i="2"/>
  <c r="AG86" i="2" s="1"/>
  <c r="AA86" i="2"/>
  <c r="AF86" i="2" s="1"/>
  <c r="Z86" i="2"/>
  <c r="AE86" i="2" s="1"/>
  <c r="Y86" i="2"/>
  <c r="AD86" i="2" s="1"/>
  <c r="K86" i="2"/>
  <c r="L86" i="2" s="1"/>
  <c r="M86" i="2" s="1"/>
  <c r="G86" i="2"/>
  <c r="F86" i="2"/>
  <c r="AD85" i="2"/>
  <c r="AB85" i="2"/>
  <c r="AG85" i="2" s="1"/>
  <c r="AA85" i="2"/>
  <c r="AF85" i="2" s="1"/>
  <c r="Z85" i="2"/>
  <c r="AE85" i="2" s="1"/>
  <c r="Y85" i="2"/>
  <c r="K85" i="2"/>
  <c r="L85" i="2" s="1"/>
  <c r="M85" i="2" s="1"/>
  <c r="G85" i="2"/>
  <c r="F85" i="2"/>
  <c r="AG84" i="2"/>
  <c r="AB84" i="2"/>
  <c r="AA84" i="2"/>
  <c r="AF84" i="2" s="1"/>
  <c r="Z84" i="2"/>
  <c r="AE84" i="2" s="1"/>
  <c r="Y84" i="2"/>
  <c r="AD84" i="2" s="1"/>
  <c r="L84" i="2"/>
  <c r="M84" i="2" s="1"/>
  <c r="K84" i="2"/>
  <c r="G84" i="2"/>
  <c r="F84" i="2"/>
  <c r="AB83" i="2"/>
  <c r="AG83" i="2" s="1"/>
  <c r="AA83" i="2"/>
  <c r="AF83" i="2" s="1"/>
  <c r="Z83" i="2"/>
  <c r="AE83" i="2" s="1"/>
  <c r="Y83" i="2"/>
  <c r="AD83" i="2" s="1"/>
  <c r="L83" i="2"/>
  <c r="M83" i="2" s="1"/>
  <c r="K83" i="2"/>
  <c r="G83" i="2"/>
  <c r="F83" i="2"/>
  <c r="H83" i="2" s="1"/>
  <c r="AE82" i="2"/>
  <c r="AD82" i="2"/>
  <c r="AB82" i="2"/>
  <c r="AG82" i="2" s="1"/>
  <c r="AA82" i="2"/>
  <c r="AF82" i="2" s="1"/>
  <c r="Z82" i="2"/>
  <c r="Y82" i="2"/>
  <c r="L82" i="2"/>
  <c r="M82" i="2" s="1"/>
  <c r="K82" i="2"/>
  <c r="G82" i="2"/>
  <c r="F82" i="2"/>
  <c r="H82" i="2" s="1"/>
  <c r="AG81" i="2"/>
  <c r="AB81" i="2"/>
  <c r="AA81" i="2"/>
  <c r="AF81" i="2" s="1"/>
  <c r="Z81" i="2"/>
  <c r="AE81" i="2" s="1"/>
  <c r="Y81" i="2"/>
  <c r="AD81" i="2" s="1"/>
  <c r="L81" i="2"/>
  <c r="M81" i="2" s="1"/>
  <c r="K81" i="2"/>
  <c r="G81" i="2"/>
  <c r="H81" i="2" s="1"/>
  <c r="F81" i="2"/>
  <c r="AB80" i="2"/>
  <c r="AG80" i="2" s="1"/>
  <c r="AA80" i="2"/>
  <c r="AF80" i="2" s="1"/>
  <c r="Z80" i="2"/>
  <c r="AE80" i="2" s="1"/>
  <c r="Y80" i="2"/>
  <c r="AD80" i="2" s="1"/>
  <c r="M80" i="2"/>
  <c r="K80" i="2"/>
  <c r="L80" i="2" s="1"/>
  <c r="H80" i="2"/>
  <c r="G80" i="2"/>
  <c r="F80" i="2"/>
  <c r="AG79" i="2"/>
  <c r="AD79" i="2"/>
  <c r="AB79" i="2"/>
  <c r="AA79" i="2"/>
  <c r="AF79" i="2" s="1"/>
  <c r="Z79" i="2"/>
  <c r="AE79" i="2" s="1"/>
  <c r="Y79" i="2"/>
  <c r="K79" i="2"/>
  <c r="L79" i="2" s="1"/>
  <c r="M79" i="2" s="1"/>
  <c r="G79" i="2"/>
  <c r="F79" i="2"/>
  <c r="AB78" i="2"/>
  <c r="AG78" i="2" s="1"/>
  <c r="AA78" i="2"/>
  <c r="AF78" i="2" s="1"/>
  <c r="Z78" i="2"/>
  <c r="AE78" i="2" s="1"/>
  <c r="Y78" i="2"/>
  <c r="AD78" i="2" s="1"/>
  <c r="L78" i="2"/>
  <c r="M78" i="2" s="1"/>
  <c r="K78" i="2"/>
  <c r="G78" i="2"/>
  <c r="H78" i="2" s="1"/>
  <c r="F78" i="2"/>
  <c r="AB77" i="2"/>
  <c r="AG77" i="2" s="1"/>
  <c r="AA77" i="2"/>
  <c r="AF77" i="2" s="1"/>
  <c r="Z77" i="2"/>
  <c r="AE77" i="2" s="1"/>
  <c r="Y77" i="2"/>
  <c r="AD77" i="2" s="1"/>
  <c r="K77" i="2"/>
  <c r="L77" i="2" s="1"/>
  <c r="M77" i="2" s="1"/>
  <c r="G77" i="2"/>
  <c r="F77" i="2"/>
  <c r="AD76" i="2"/>
  <c r="AB76" i="2"/>
  <c r="AG76" i="2" s="1"/>
  <c r="AA76" i="2"/>
  <c r="AF76" i="2" s="1"/>
  <c r="Z76" i="2"/>
  <c r="AE76" i="2" s="1"/>
  <c r="Y76" i="2"/>
  <c r="K76" i="2"/>
  <c r="L76" i="2" s="1"/>
  <c r="M76" i="2" s="1"/>
  <c r="G76" i="2"/>
  <c r="F76" i="2"/>
  <c r="H76" i="2" s="1"/>
  <c r="AF75" i="2"/>
  <c r="AB75" i="2"/>
  <c r="AG75" i="2" s="1"/>
  <c r="AA75" i="2"/>
  <c r="Z75" i="2"/>
  <c r="AE75" i="2" s="1"/>
  <c r="Y75" i="2"/>
  <c r="AD75" i="2" s="1"/>
  <c r="K75" i="2"/>
  <c r="L75" i="2" s="1"/>
  <c r="M75" i="2" s="1"/>
  <c r="G75" i="2"/>
  <c r="F75" i="2"/>
  <c r="AB74" i="2"/>
  <c r="AG74" i="2" s="1"/>
  <c r="AA74" i="2"/>
  <c r="AF74" i="2" s="1"/>
  <c r="Z74" i="2"/>
  <c r="AE74" i="2" s="1"/>
  <c r="Y74" i="2"/>
  <c r="AD74" i="2" s="1"/>
  <c r="L74" i="2"/>
  <c r="M74" i="2" s="1"/>
  <c r="K74" i="2"/>
  <c r="G74" i="2"/>
  <c r="F74" i="2"/>
  <c r="AF72" i="2"/>
  <c r="AB72" i="2"/>
  <c r="AG72" i="2" s="1"/>
  <c r="AA72" i="2"/>
  <c r="Z72" i="2"/>
  <c r="AE72" i="2" s="1"/>
  <c r="Y72" i="2"/>
  <c r="AD72" i="2" s="1"/>
  <c r="L72" i="2"/>
  <c r="M72" i="2" s="1"/>
  <c r="K72" i="2"/>
  <c r="G72" i="2"/>
  <c r="F72" i="2"/>
  <c r="AG71" i="2"/>
  <c r="AF71" i="2"/>
  <c r="AB71" i="2"/>
  <c r="AA71" i="2"/>
  <c r="Z71" i="2"/>
  <c r="AE71" i="2" s="1"/>
  <c r="Y71" i="2"/>
  <c r="AD71" i="2" s="1"/>
  <c r="K71" i="2"/>
  <c r="L71" i="2" s="1"/>
  <c r="M71" i="2" s="1"/>
  <c r="G71" i="2"/>
  <c r="H71" i="2" s="1"/>
  <c r="F71" i="2"/>
  <c r="AD70" i="2"/>
  <c r="AB70" i="2"/>
  <c r="AG70" i="2" s="1"/>
  <c r="AA70" i="2"/>
  <c r="AF70" i="2" s="1"/>
  <c r="Z70" i="2"/>
  <c r="AE70" i="2" s="1"/>
  <c r="Y70" i="2"/>
  <c r="M70" i="2"/>
  <c r="K70" i="2"/>
  <c r="L70" i="2" s="1"/>
  <c r="G70" i="2"/>
  <c r="F70" i="2"/>
  <c r="H70" i="2" s="1"/>
  <c r="AF69" i="2"/>
  <c r="AB69" i="2"/>
  <c r="AG69" i="2" s="1"/>
  <c r="AA69" i="2"/>
  <c r="Z69" i="2"/>
  <c r="AE69" i="2" s="1"/>
  <c r="Y69" i="2"/>
  <c r="AD69" i="2" s="1"/>
  <c r="K69" i="2"/>
  <c r="L69" i="2" s="1"/>
  <c r="M69" i="2" s="1"/>
  <c r="G69" i="2"/>
  <c r="F69" i="2"/>
  <c r="AG68" i="2"/>
  <c r="AF68" i="2"/>
  <c r="AB68" i="2"/>
  <c r="AA68" i="2"/>
  <c r="Z68" i="2"/>
  <c r="AE68" i="2" s="1"/>
  <c r="Y68" i="2"/>
  <c r="AD68" i="2" s="1"/>
  <c r="L68" i="2"/>
  <c r="M68" i="2" s="1"/>
  <c r="K68" i="2"/>
  <c r="G68" i="2"/>
  <c r="H68" i="2" s="1"/>
  <c r="F68" i="2"/>
  <c r="AF67" i="2"/>
  <c r="AB67" i="2"/>
  <c r="AG67" i="2" s="1"/>
  <c r="AA67" i="2"/>
  <c r="Z67" i="2"/>
  <c r="AE67" i="2" s="1"/>
  <c r="Y67" i="2"/>
  <c r="AD67" i="2" s="1"/>
  <c r="K67" i="2"/>
  <c r="L67" i="2" s="1"/>
  <c r="M67" i="2" s="1"/>
  <c r="G67" i="2"/>
  <c r="F67" i="2"/>
  <c r="AB66" i="2"/>
  <c r="AG66" i="2" s="1"/>
  <c r="AA66" i="2"/>
  <c r="AF66" i="2" s="1"/>
  <c r="Z66" i="2"/>
  <c r="AE66" i="2" s="1"/>
  <c r="Y66" i="2"/>
  <c r="AD66" i="2" s="1"/>
  <c r="L66" i="2"/>
  <c r="M66" i="2" s="1"/>
  <c r="K66" i="2"/>
  <c r="G66" i="2"/>
  <c r="H66" i="2" s="1"/>
  <c r="F66" i="2"/>
  <c r="AF65" i="2"/>
  <c r="AE65" i="2"/>
  <c r="AB65" i="2"/>
  <c r="AG65" i="2" s="1"/>
  <c r="AA65" i="2"/>
  <c r="Z65" i="2"/>
  <c r="Y65" i="2"/>
  <c r="AD65" i="2" s="1"/>
  <c r="K65" i="2"/>
  <c r="L65" i="2" s="1"/>
  <c r="M65" i="2" s="1"/>
  <c r="G65" i="2"/>
  <c r="H65" i="2" s="1"/>
  <c r="F65" i="2"/>
  <c r="AB64" i="2"/>
  <c r="AG64" i="2" s="1"/>
  <c r="AA64" i="2"/>
  <c r="AF64" i="2" s="1"/>
  <c r="Z64" i="2"/>
  <c r="AE64" i="2" s="1"/>
  <c r="Y64" i="2"/>
  <c r="AD64" i="2" s="1"/>
  <c r="L64" i="2"/>
  <c r="M64" i="2" s="1"/>
  <c r="K64" i="2"/>
  <c r="G64" i="2"/>
  <c r="F64" i="2"/>
  <c r="W61" i="2"/>
  <c r="V61" i="2"/>
  <c r="V126" i="2" s="1"/>
  <c r="AA126" i="2" s="1"/>
  <c r="AF126" i="2" s="1"/>
  <c r="U61" i="2"/>
  <c r="U126" i="2" s="1"/>
  <c r="T61" i="2"/>
  <c r="Y61" i="2" s="1"/>
  <c r="AD61" i="2" s="1"/>
  <c r="R61" i="2"/>
  <c r="Q61" i="2"/>
  <c r="Q126" i="2" s="1"/>
  <c r="P61" i="2"/>
  <c r="P126" i="2" s="1"/>
  <c r="O61" i="2"/>
  <c r="I61" i="2"/>
  <c r="AD60" i="2"/>
  <c r="AB60" i="2"/>
  <c r="AG60" i="2" s="1"/>
  <c r="AA60" i="2"/>
  <c r="AF60" i="2" s="1"/>
  <c r="Z60" i="2"/>
  <c r="AE60" i="2" s="1"/>
  <c r="Y60" i="2"/>
  <c r="L60" i="2"/>
  <c r="M60" i="2" s="1"/>
  <c r="K60" i="2"/>
  <c r="AE59" i="2"/>
  <c r="AB59" i="2"/>
  <c r="AG59" i="2" s="1"/>
  <c r="AA59" i="2"/>
  <c r="AF59" i="2" s="1"/>
  <c r="Z59" i="2"/>
  <c r="Y59" i="2"/>
  <c r="AD59" i="2" s="1"/>
  <c r="K59" i="2"/>
  <c r="L59" i="2" s="1"/>
  <c r="M59" i="2" s="1"/>
  <c r="H59" i="2"/>
  <c r="AB58" i="2"/>
  <c r="AG58" i="2" s="1"/>
  <c r="AA58" i="2"/>
  <c r="AF58" i="2" s="1"/>
  <c r="Z58" i="2"/>
  <c r="AE58" i="2" s="1"/>
  <c r="Y58" i="2"/>
  <c r="AD58" i="2" s="1"/>
  <c r="K58" i="2"/>
  <c r="L58" i="2" s="1"/>
  <c r="M58" i="2" s="1"/>
  <c r="H58" i="2"/>
  <c r="AG57" i="2"/>
  <c r="AB57" i="2"/>
  <c r="AA57" i="2"/>
  <c r="AF57" i="2" s="1"/>
  <c r="Z57" i="2"/>
  <c r="AE57" i="2" s="1"/>
  <c r="Y57" i="2"/>
  <c r="AD57" i="2" s="1"/>
  <c r="K57" i="2"/>
  <c r="L57" i="2" s="1"/>
  <c r="M57" i="2" s="1"/>
  <c r="AG56" i="2"/>
  <c r="AE56" i="2"/>
  <c r="AB56" i="2"/>
  <c r="AA56" i="2"/>
  <c r="AF56" i="2" s="1"/>
  <c r="Z56" i="2"/>
  <c r="Y56" i="2"/>
  <c r="AD56" i="2" s="1"/>
  <c r="K56" i="2"/>
  <c r="L56" i="2" s="1"/>
  <c r="M56" i="2" s="1"/>
  <c r="H56" i="2"/>
  <c r="AF55" i="2"/>
  <c r="AB55" i="2"/>
  <c r="AG55" i="2" s="1"/>
  <c r="AA55" i="2"/>
  <c r="Z55" i="2"/>
  <c r="AE55" i="2" s="1"/>
  <c r="Y55" i="2"/>
  <c r="AD55" i="2" s="1"/>
  <c r="K55" i="2"/>
  <c r="L55" i="2" s="1"/>
  <c r="M55" i="2" s="1"/>
  <c r="H55" i="2"/>
  <c r="AB54" i="2"/>
  <c r="AG54" i="2" s="1"/>
  <c r="AA54" i="2"/>
  <c r="AF54" i="2" s="1"/>
  <c r="Z54" i="2"/>
  <c r="AE54" i="2" s="1"/>
  <c r="Y54" i="2"/>
  <c r="AD54" i="2" s="1"/>
  <c r="K54" i="2"/>
  <c r="L54" i="2" s="1"/>
  <c r="M54" i="2" s="1"/>
  <c r="H54" i="2"/>
  <c r="AF53" i="2"/>
  <c r="AB53" i="2"/>
  <c r="AG53" i="2" s="1"/>
  <c r="AA53" i="2"/>
  <c r="Z53" i="2"/>
  <c r="AE53" i="2" s="1"/>
  <c r="Y53" i="2"/>
  <c r="AD53" i="2" s="1"/>
  <c r="K53" i="2"/>
  <c r="L53" i="2" s="1"/>
  <c r="M53" i="2" s="1"/>
  <c r="F53" i="2"/>
  <c r="E53" i="2"/>
  <c r="AF52" i="2"/>
  <c r="AB52" i="2"/>
  <c r="AG52" i="2" s="1"/>
  <c r="AA52" i="2"/>
  <c r="Z52" i="2"/>
  <c r="AE52" i="2" s="1"/>
  <c r="Y52" i="2"/>
  <c r="AD52" i="2" s="1"/>
  <c r="K52" i="2"/>
  <c r="L52" i="2" s="1"/>
  <c r="M52" i="2" s="1"/>
  <c r="AF51" i="2"/>
  <c r="AD51" i="2"/>
  <c r="AB51" i="2"/>
  <c r="AG51" i="2" s="1"/>
  <c r="AA51" i="2"/>
  <c r="Z51" i="2"/>
  <c r="AE51" i="2" s="1"/>
  <c r="Y51" i="2"/>
  <c r="K51" i="2"/>
  <c r="L51" i="2" s="1"/>
  <c r="M51" i="2" s="1"/>
  <c r="G51" i="2"/>
  <c r="H51" i="2" s="1"/>
  <c r="F51" i="2"/>
  <c r="AD50" i="2"/>
  <c r="AB50" i="2"/>
  <c r="AG50" i="2" s="1"/>
  <c r="AA50" i="2"/>
  <c r="AF50" i="2" s="1"/>
  <c r="Z50" i="2"/>
  <c r="AE50" i="2" s="1"/>
  <c r="Y50" i="2"/>
  <c r="M50" i="2"/>
  <c r="L50" i="2"/>
  <c r="K50" i="2"/>
  <c r="G50" i="2"/>
  <c r="F50" i="2"/>
  <c r="AE49" i="2"/>
  <c r="AB49" i="2"/>
  <c r="AG49" i="2" s="1"/>
  <c r="AA49" i="2"/>
  <c r="AF49" i="2" s="1"/>
  <c r="Z49" i="2"/>
  <c r="Y49" i="2"/>
  <c r="AD49" i="2" s="1"/>
  <c r="K49" i="2"/>
  <c r="L49" i="2" s="1"/>
  <c r="M49" i="2" s="1"/>
  <c r="G49" i="2"/>
  <c r="H49" i="2" s="1"/>
  <c r="F49" i="2"/>
  <c r="AB48" i="2"/>
  <c r="AG48" i="2" s="1"/>
  <c r="AA48" i="2"/>
  <c r="AF48" i="2" s="1"/>
  <c r="Z48" i="2"/>
  <c r="AE48" i="2" s="1"/>
  <c r="Y48" i="2"/>
  <c r="AD48" i="2" s="1"/>
  <c r="K48" i="2"/>
  <c r="L48" i="2" s="1"/>
  <c r="M48" i="2" s="1"/>
  <c r="G48" i="2"/>
  <c r="F48" i="2"/>
  <c r="AB47" i="2"/>
  <c r="AG47" i="2" s="1"/>
  <c r="AA47" i="2"/>
  <c r="AF47" i="2" s="1"/>
  <c r="Z47" i="2"/>
  <c r="AE47" i="2" s="1"/>
  <c r="Y47" i="2"/>
  <c r="AD47" i="2" s="1"/>
  <c r="L47" i="2"/>
  <c r="M47" i="2" s="1"/>
  <c r="K47" i="2"/>
  <c r="H47" i="2"/>
  <c r="G47" i="2"/>
  <c r="AB46" i="2"/>
  <c r="AG46" i="2" s="1"/>
  <c r="AA46" i="2"/>
  <c r="AF46" i="2" s="1"/>
  <c r="Z46" i="2"/>
  <c r="AE46" i="2" s="1"/>
  <c r="Y46" i="2"/>
  <c r="AD46" i="2" s="1"/>
  <c r="K46" i="2"/>
  <c r="L46" i="2" s="1"/>
  <c r="M46" i="2" s="1"/>
  <c r="G46" i="2"/>
  <c r="H46" i="2" s="1"/>
  <c r="F46" i="2"/>
  <c r="AB45" i="2"/>
  <c r="AG45" i="2" s="1"/>
  <c r="AA45" i="2"/>
  <c r="AF45" i="2" s="1"/>
  <c r="Z45" i="2"/>
  <c r="AE45" i="2" s="1"/>
  <c r="Y45" i="2"/>
  <c r="AD45" i="2" s="1"/>
  <c r="M45" i="2"/>
  <c r="K45" i="2"/>
  <c r="L45" i="2" s="1"/>
  <c r="G45" i="2"/>
  <c r="H45" i="2" s="1"/>
  <c r="F45" i="2"/>
  <c r="AG44" i="2"/>
  <c r="AB44" i="2"/>
  <c r="AA44" i="2"/>
  <c r="AF44" i="2" s="1"/>
  <c r="Z44" i="2"/>
  <c r="AE44" i="2" s="1"/>
  <c r="Y44" i="2"/>
  <c r="AD44" i="2" s="1"/>
  <c r="K44" i="2"/>
  <c r="L44" i="2" s="1"/>
  <c r="M44" i="2" s="1"/>
  <c r="G44" i="2"/>
  <c r="F44" i="2"/>
  <c r="AG43" i="2"/>
  <c r="AB43" i="2"/>
  <c r="AA43" i="2"/>
  <c r="AF43" i="2" s="1"/>
  <c r="Z43" i="2"/>
  <c r="AE43" i="2" s="1"/>
  <c r="Y43" i="2"/>
  <c r="AD43" i="2" s="1"/>
  <c r="K43" i="2"/>
  <c r="G43" i="2"/>
  <c r="H43" i="2" s="1"/>
  <c r="W39" i="2"/>
  <c r="V39" i="2"/>
  <c r="AA39" i="2" s="1"/>
  <c r="AF39" i="2" s="1"/>
  <c r="U39" i="2"/>
  <c r="T39" i="2"/>
  <c r="R39" i="2"/>
  <c r="AB39" i="2" s="1"/>
  <c r="AG39" i="2" s="1"/>
  <c r="Q39" i="2"/>
  <c r="P39" i="2"/>
  <c r="O39" i="2"/>
  <c r="I39" i="2"/>
  <c r="AF38" i="2"/>
  <c r="AB38" i="2"/>
  <c r="AG38" i="2" s="1"/>
  <c r="AA38" i="2"/>
  <c r="Z38" i="2"/>
  <c r="AE38" i="2" s="1"/>
  <c r="Y38" i="2"/>
  <c r="AD38" i="2" s="1"/>
  <c r="L38" i="2"/>
  <c r="M38" i="2" s="1"/>
  <c r="K38" i="2"/>
  <c r="AD37" i="2"/>
  <c r="AB37" i="2"/>
  <c r="AG37" i="2" s="1"/>
  <c r="AA37" i="2"/>
  <c r="AF37" i="2" s="1"/>
  <c r="Z37" i="2"/>
  <c r="AE37" i="2" s="1"/>
  <c r="Y37" i="2"/>
  <c r="M37" i="2"/>
  <c r="K37" i="2"/>
  <c r="L37" i="2" s="1"/>
  <c r="G37" i="2"/>
  <c r="F37" i="2"/>
  <c r="AD36" i="2"/>
  <c r="AB36" i="2"/>
  <c r="AG36" i="2" s="1"/>
  <c r="AA36" i="2"/>
  <c r="AF36" i="2" s="1"/>
  <c r="Z36" i="2"/>
  <c r="AE36" i="2" s="1"/>
  <c r="Y36" i="2"/>
  <c r="K36" i="2"/>
  <c r="L36" i="2" s="1"/>
  <c r="M36" i="2" s="1"/>
  <c r="G36" i="2"/>
  <c r="F36" i="2"/>
  <c r="AG35" i="2"/>
  <c r="AB35" i="2"/>
  <c r="AA35" i="2"/>
  <c r="AF35" i="2" s="1"/>
  <c r="Z35" i="2"/>
  <c r="AE35" i="2" s="1"/>
  <c r="Y35" i="2"/>
  <c r="AD35" i="2" s="1"/>
  <c r="K35" i="2"/>
  <c r="L35" i="2" s="1"/>
  <c r="M35" i="2" s="1"/>
  <c r="G35" i="2"/>
  <c r="F35" i="2"/>
  <c r="AB34" i="2"/>
  <c r="AG34" i="2" s="1"/>
  <c r="AA34" i="2"/>
  <c r="AF34" i="2" s="1"/>
  <c r="Z34" i="2"/>
  <c r="AE34" i="2" s="1"/>
  <c r="Y34" i="2"/>
  <c r="AD34" i="2" s="1"/>
  <c r="K34" i="2"/>
  <c r="L34" i="2" s="1"/>
  <c r="M34" i="2" s="1"/>
  <c r="G34" i="2"/>
  <c r="F34" i="2"/>
  <c r="AF33" i="2"/>
  <c r="AB33" i="2"/>
  <c r="AG33" i="2" s="1"/>
  <c r="AA33" i="2"/>
  <c r="Z33" i="2"/>
  <c r="AE33" i="2" s="1"/>
  <c r="Y33" i="2"/>
  <c r="AD33" i="2" s="1"/>
  <c r="K33" i="2"/>
  <c r="L33" i="2" s="1"/>
  <c r="M33" i="2" s="1"/>
  <c r="G33" i="2"/>
  <c r="F33" i="2"/>
  <c r="H33" i="2" s="1"/>
  <c r="AB32" i="2"/>
  <c r="AG32" i="2" s="1"/>
  <c r="AA32" i="2"/>
  <c r="AF32" i="2" s="1"/>
  <c r="Z32" i="2"/>
  <c r="AE32" i="2" s="1"/>
  <c r="Y32" i="2"/>
  <c r="AD32" i="2" s="1"/>
  <c r="K32" i="2"/>
  <c r="L32" i="2" s="1"/>
  <c r="M32" i="2" s="1"/>
  <c r="G32" i="2"/>
  <c r="F32" i="2"/>
  <c r="AB31" i="2"/>
  <c r="AG31" i="2" s="1"/>
  <c r="AA31" i="2"/>
  <c r="AF31" i="2" s="1"/>
  <c r="Z31" i="2"/>
  <c r="AE31" i="2" s="1"/>
  <c r="Y31" i="2"/>
  <c r="AD31" i="2" s="1"/>
  <c r="K31" i="2"/>
  <c r="L31" i="2" s="1"/>
  <c r="M31" i="2" s="1"/>
  <c r="G31" i="2"/>
  <c r="F31" i="2"/>
  <c r="AF30" i="2"/>
  <c r="AB30" i="2"/>
  <c r="AG30" i="2" s="1"/>
  <c r="AA30" i="2"/>
  <c r="Z30" i="2"/>
  <c r="AE30" i="2" s="1"/>
  <c r="Y30" i="2"/>
  <c r="AD30" i="2" s="1"/>
  <c r="K30" i="2"/>
  <c r="L30" i="2" s="1"/>
  <c r="M30" i="2" s="1"/>
  <c r="G30" i="2"/>
  <c r="H30" i="2" s="1"/>
  <c r="F30" i="2"/>
  <c r="AB29" i="2"/>
  <c r="AG29" i="2" s="1"/>
  <c r="AA29" i="2"/>
  <c r="AF29" i="2" s="1"/>
  <c r="Z29" i="2"/>
  <c r="AE29" i="2" s="1"/>
  <c r="Y29" i="2"/>
  <c r="AD29" i="2" s="1"/>
  <c r="M29" i="2"/>
  <c r="K29" i="2"/>
  <c r="L29" i="2" s="1"/>
  <c r="G29" i="2"/>
  <c r="F29" i="2"/>
  <c r="AB28" i="2"/>
  <c r="AG28" i="2" s="1"/>
  <c r="AA28" i="2"/>
  <c r="AF28" i="2" s="1"/>
  <c r="Z28" i="2"/>
  <c r="AE28" i="2" s="1"/>
  <c r="Y28" i="2"/>
  <c r="AD28" i="2" s="1"/>
  <c r="K28" i="2"/>
  <c r="L28" i="2" s="1"/>
  <c r="M28" i="2" s="1"/>
  <c r="G28" i="2"/>
  <c r="F28" i="2"/>
  <c r="AB27" i="2"/>
  <c r="AG27" i="2" s="1"/>
  <c r="AA27" i="2"/>
  <c r="AF27" i="2" s="1"/>
  <c r="Z27" i="2"/>
  <c r="AE27" i="2" s="1"/>
  <c r="Y27" i="2"/>
  <c r="AD27" i="2" s="1"/>
  <c r="K27" i="2"/>
  <c r="L27" i="2" s="1"/>
  <c r="M27" i="2" s="1"/>
  <c r="G27" i="2"/>
  <c r="F27" i="2"/>
  <c r="AG26" i="2"/>
  <c r="AF26" i="2"/>
  <c r="AB26" i="2"/>
  <c r="AA26" i="2"/>
  <c r="Z26" i="2"/>
  <c r="AE26" i="2" s="1"/>
  <c r="Y26" i="2"/>
  <c r="AD26" i="2" s="1"/>
  <c r="K26" i="2"/>
  <c r="L26" i="2" s="1"/>
  <c r="M26" i="2" s="1"/>
  <c r="G26" i="2"/>
  <c r="H26" i="2" s="1"/>
  <c r="F26" i="2"/>
  <c r="AD25" i="2"/>
  <c r="AB25" i="2"/>
  <c r="AG25" i="2" s="1"/>
  <c r="AA25" i="2"/>
  <c r="AF25" i="2" s="1"/>
  <c r="Z25" i="2"/>
  <c r="AE25" i="2" s="1"/>
  <c r="Y25" i="2"/>
  <c r="M25" i="2"/>
  <c r="K25" i="2"/>
  <c r="L25" i="2" s="1"/>
  <c r="G25" i="2"/>
  <c r="F25" i="2"/>
  <c r="AD24" i="2"/>
  <c r="AB24" i="2"/>
  <c r="AG24" i="2" s="1"/>
  <c r="AA24" i="2"/>
  <c r="AF24" i="2" s="1"/>
  <c r="Z24" i="2"/>
  <c r="AE24" i="2" s="1"/>
  <c r="Y24" i="2"/>
  <c r="M24" i="2"/>
  <c r="K24" i="2"/>
  <c r="L24" i="2" s="1"/>
  <c r="G24" i="2"/>
  <c r="F24" i="2"/>
  <c r="AB23" i="2"/>
  <c r="AG23" i="2" s="1"/>
  <c r="AA23" i="2"/>
  <c r="AF23" i="2" s="1"/>
  <c r="Z23" i="2"/>
  <c r="AE23" i="2" s="1"/>
  <c r="Y23" i="2"/>
  <c r="AD23" i="2" s="1"/>
  <c r="K23" i="2"/>
  <c r="L23" i="2" s="1"/>
  <c r="M23" i="2" s="1"/>
  <c r="G23" i="2"/>
  <c r="F23" i="2"/>
  <c r="AE22" i="2"/>
  <c r="AB22" i="2"/>
  <c r="AG22" i="2" s="1"/>
  <c r="AA22" i="2"/>
  <c r="AF22" i="2" s="1"/>
  <c r="Z22" i="2"/>
  <c r="Y22" i="2"/>
  <c r="AD22" i="2" s="1"/>
  <c r="K22" i="2"/>
  <c r="L22" i="2" s="1"/>
  <c r="M22" i="2" s="1"/>
  <c r="G22" i="2"/>
  <c r="H22" i="2" s="1"/>
  <c r="F22" i="2"/>
  <c r="AG21" i="2"/>
  <c r="AD21" i="2"/>
  <c r="AB21" i="2"/>
  <c r="AA21" i="2"/>
  <c r="AF21" i="2" s="1"/>
  <c r="Z21" i="2"/>
  <c r="AE21" i="2" s="1"/>
  <c r="Y21" i="2"/>
  <c r="M21" i="2"/>
  <c r="K21" i="2"/>
  <c r="L21" i="2" s="1"/>
  <c r="G21" i="2"/>
  <c r="F21" i="2"/>
  <c r="H21" i="2" s="1"/>
  <c r="AB20" i="2"/>
  <c r="AG20" i="2" s="1"/>
  <c r="AA20" i="2"/>
  <c r="AF20" i="2" s="1"/>
  <c r="Z20" i="2"/>
  <c r="AE20" i="2" s="1"/>
  <c r="Y20" i="2"/>
  <c r="AD20" i="2" s="1"/>
  <c r="K20" i="2"/>
  <c r="L20" i="2" s="1"/>
  <c r="M20" i="2" s="1"/>
  <c r="G20" i="2"/>
  <c r="F20" i="2"/>
  <c r="H20" i="2" s="1"/>
  <c r="AB19" i="2"/>
  <c r="AG19" i="2" s="1"/>
  <c r="AA19" i="2"/>
  <c r="AF19" i="2" s="1"/>
  <c r="Z19" i="2"/>
  <c r="AE19" i="2" s="1"/>
  <c r="Y19" i="2"/>
  <c r="AD19" i="2" s="1"/>
  <c r="K19" i="2"/>
  <c r="L19" i="2" s="1"/>
  <c r="M19" i="2" s="1"/>
  <c r="G19" i="2"/>
  <c r="F19" i="2"/>
  <c r="AF18" i="2"/>
  <c r="AB18" i="2"/>
  <c r="AG18" i="2" s="1"/>
  <c r="AA18" i="2"/>
  <c r="Z18" i="2"/>
  <c r="AE18" i="2" s="1"/>
  <c r="Y18" i="2"/>
  <c r="AD18" i="2" s="1"/>
  <c r="K18" i="2"/>
  <c r="L18" i="2" s="1"/>
  <c r="M18" i="2" s="1"/>
  <c r="G18" i="2"/>
  <c r="H18" i="2" s="1"/>
  <c r="F18" i="2"/>
  <c r="AE17" i="2"/>
  <c r="AB17" i="2"/>
  <c r="AG17" i="2" s="1"/>
  <c r="AA17" i="2"/>
  <c r="AF17" i="2" s="1"/>
  <c r="Z17" i="2"/>
  <c r="Y17" i="2"/>
  <c r="AD17" i="2" s="1"/>
  <c r="K17" i="2"/>
  <c r="L17" i="2" s="1"/>
  <c r="M17" i="2" s="1"/>
  <c r="G17" i="2"/>
  <c r="F17" i="2"/>
  <c r="AB16" i="2"/>
  <c r="AG16" i="2" s="1"/>
  <c r="AA16" i="2"/>
  <c r="AF16" i="2" s="1"/>
  <c r="Z16" i="2"/>
  <c r="AE16" i="2" s="1"/>
  <c r="Y16" i="2"/>
  <c r="AD16" i="2" s="1"/>
  <c r="K16" i="2"/>
  <c r="L16" i="2" s="1"/>
  <c r="M16" i="2" s="1"/>
  <c r="G16" i="2"/>
  <c r="F16" i="2"/>
  <c r="AE15" i="2"/>
  <c r="AB15" i="2"/>
  <c r="AG15" i="2" s="1"/>
  <c r="AA15" i="2"/>
  <c r="AF15" i="2" s="1"/>
  <c r="Z15" i="2"/>
  <c r="Y15" i="2"/>
  <c r="AD15" i="2" s="1"/>
  <c r="K15" i="2"/>
  <c r="L15" i="2" s="1"/>
  <c r="M15" i="2" s="1"/>
  <c r="G15" i="2"/>
  <c r="F15" i="2"/>
  <c r="AB14" i="2"/>
  <c r="AG14" i="2" s="1"/>
  <c r="AA14" i="2"/>
  <c r="AF14" i="2" s="1"/>
  <c r="Z14" i="2"/>
  <c r="AE14" i="2" s="1"/>
  <c r="Y14" i="2"/>
  <c r="AD14" i="2" s="1"/>
  <c r="L14" i="2"/>
  <c r="M14" i="2" s="1"/>
  <c r="K14" i="2"/>
  <c r="G14" i="2"/>
  <c r="F14" i="2"/>
  <c r="AG13" i="2"/>
  <c r="AF13" i="2"/>
  <c r="AB13" i="2"/>
  <c r="AA13" i="2"/>
  <c r="Z13" i="2"/>
  <c r="AE13" i="2" s="1"/>
  <c r="Y13" i="2"/>
  <c r="AD13" i="2" s="1"/>
  <c r="K13" i="2"/>
  <c r="L13" i="2" s="1"/>
  <c r="M13" i="2" s="1"/>
  <c r="G13" i="2"/>
  <c r="F13" i="2"/>
  <c r="AE12" i="2"/>
  <c r="AB12" i="2"/>
  <c r="AG12" i="2" s="1"/>
  <c r="AA12" i="2"/>
  <c r="AF12" i="2" s="1"/>
  <c r="Z12" i="2"/>
  <c r="Y12" i="2"/>
  <c r="AD12" i="2" s="1"/>
  <c r="K12" i="2"/>
  <c r="L12" i="2" s="1"/>
  <c r="M12" i="2" s="1"/>
  <c r="H12" i="2"/>
  <c r="G12" i="2"/>
  <c r="F12" i="2"/>
  <c r="W10" i="2"/>
  <c r="W40" i="2" s="1"/>
  <c r="V10" i="2"/>
  <c r="U10" i="2"/>
  <c r="Z10" i="2" s="1"/>
  <c r="AE10" i="2" s="1"/>
  <c r="T10" i="2"/>
  <c r="Y10" i="2" s="1"/>
  <c r="AD10" i="2" s="1"/>
  <c r="R10" i="2"/>
  <c r="Q10" i="2"/>
  <c r="Q40" i="2" s="1"/>
  <c r="P10" i="2"/>
  <c r="P40" i="2" s="1"/>
  <c r="O10" i="2"/>
  <c r="O40" i="2" s="1"/>
  <c r="K10" i="2"/>
  <c r="I10" i="2"/>
  <c r="I40" i="2" s="1"/>
  <c r="F10" i="2"/>
  <c r="AB9" i="2"/>
  <c r="AG9" i="2" s="1"/>
  <c r="AA9" i="2"/>
  <c r="AF9" i="2" s="1"/>
  <c r="Z9" i="2"/>
  <c r="AE9" i="2" s="1"/>
  <c r="Y9" i="2"/>
  <c r="AD9" i="2" s="1"/>
  <c r="L9" i="2"/>
  <c r="M9" i="2" s="1"/>
  <c r="K9" i="2"/>
  <c r="G9" i="2"/>
  <c r="H9" i="2" s="1"/>
  <c r="H10" i="2" s="1"/>
  <c r="L685" i="3" l="1"/>
  <c r="L2453" i="3" s="1"/>
  <c r="K1058" i="3"/>
  <c r="H2453" i="3"/>
  <c r="I1018" i="3"/>
  <c r="L1058" i="3"/>
  <c r="I2246" i="3"/>
  <c r="J1018" i="3"/>
  <c r="I1445" i="3"/>
  <c r="L1637" i="3"/>
  <c r="K1970" i="3"/>
  <c r="J2246" i="3"/>
  <c r="I367" i="3"/>
  <c r="K1018" i="3"/>
  <c r="I1045" i="3"/>
  <c r="I2453" i="3" s="1"/>
  <c r="K1320" i="3"/>
  <c r="J1445" i="3"/>
  <c r="I1637" i="3"/>
  <c r="J2062" i="3"/>
  <c r="K1445" i="3"/>
  <c r="J1637" i="3"/>
  <c r="I1970" i="3"/>
  <c r="M2453" i="3"/>
  <c r="N31" i="1"/>
  <c r="AC238" i="5"/>
  <c r="AI238" i="5" s="1"/>
  <c r="N32" i="1"/>
  <c r="AD238" i="5"/>
  <c r="AJ238" i="5" s="1"/>
  <c r="N30" i="1"/>
  <c r="AB238" i="5"/>
  <c r="AH238" i="5" s="1"/>
  <c r="N29" i="1"/>
  <c r="AA238" i="5"/>
  <c r="AG238" i="5" s="1"/>
  <c r="L184" i="5"/>
  <c r="M184" i="5" s="1"/>
  <c r="K238" i="5"/>
  <c r="L238" i="5" s="1"/>
  <c r="M238" i="5" s="1"/>
  <c r="AB61" i="2"/>
  <c r="AG61" i="2" s="1"/>
  <c r="I1329" i="3"/>
  <c r="J1329" i="3"/>
  <c r="K1329" i="3"/>
  <c r="L1329" i="3"/>
  <c r="J2453" i="3"/>
  <c r="H140" i="2"/>
  <c r="H19" i="2"/>
  <c r="H25" i="2"/>
  <c r="H29" i="2"/>
  <c r="H14" i="2"/>
  <c r="H15" i="2"/>
  <c r="H104" i="2"/>
  <c r="H134" i="2"/>
  <c r="H108" i="2"/>
  <c r="H138" i="2"/>
  <c r="H147" i="2"/>
  <c r="H36" i="2"/>
  <c r="H86" i="2"/>
  <c r="H97" i="2"/>
  <c r="H98" i="2"/>
  <c r="H116" i="2"/>
  <c r="H135" i="2"/>
  <c r="H16" i="2"/>
  <c r="H17" i="2"/>
  <c r="Z39" i="2"/>
  <c r="AE39" i="2" s="1"/>
  <c r="H50" i="2"/>
  <c r="H101" i="2"/>
  <c r="H139" i="2"/>
  <c r="H142" i="2"/>
  <c r="R40" i="2"/>
  <c r="H37" i="2"/>
  <c r="H67" i="2"/>
  <c r="H75" i="2"/>
  <c r="H118" i="2"/>
  <c r="H132" i="2"/>
  <c r="AB165" i="2"/>
  <c r="AG165" i="2" s="1"/>
  <c r="Y39" i="2"/>
  <c r="AD39" i="2" s="1"/>
  <c r="H84" i="2"/>
  <c r="H105" i="2"/>
  <c r="F40" i="2"/>
  <c r="F39" i="2"/>
  <c r="H109" i="2"/>
  <c r="AA125" i="2"/>
  <c r="AF125" i="2" s="1"/>
  <c r="V40" i="2"/>
  <c r="AA40" i="2" s="1"/>
  <c r="AF40" i="2" s="1"/>
  <c r="H34" i="2"/>
  <c r="H79" i="2"/>
  <c r="H85" i="2"/>
  <c r="H106" i="2"/>
  <c r="H119" i="2"/>
  <c r="R126" i="2"/>
  <c r="H130" i="2"/>
  <c r="H165" i="2" s="1"/>
  <c r="G75" i="4"/>
  <c r="G89" i="4" s="1"/>
  <c r="F87" i="4"/>
  <c r="E57" i="4"/>
  <c r="E27" i="4"/>
  <c r="G105" i="4"/>
  <c r="G119" i="4" s="1"/>
  <c r="F117" i="4"/>
  <c r="G15" i="4"/>
  <c r="G29" i="4" s="1"/>
  <c r="F57" i="4"/>
  <c r="K2453" i="3"/>
  <c r="AA10" i="2"/>
  <c r="AF10" i="2" s="1"/>
  <c r="I126" i="2"/>
  <c r="I166" i="2" s="1"/>
  <c r="AB40" i="2"/>
  <c r="AG40" i="2" s="1"/>
  <c r="H27" i="2"/>
  <c r="H32" i="2"/>
  <c r="U40" i="2"/>
  <c r="Z40" i="2" s="1"/>
  <c r="AE40" i="2" s="1"/>
  <c r="T40" i="2"/>
  <c r="Y40" i="2" s="1"/>
  <c r="AD40" i="2" s="1"/>
  <c r="H13" i="2"/>
  <c r="H35" i="2"/>
  <c r="H48" i="2"/>
  <c r="Z61" i="2"/>
  <c r="AE61" i="2" s="1"/>
  <c r="H77" i="2"/>
  <c r="L10" i="2"/>
  <c r="M10" i="2" s="1"/>
  <c r="H23" i="2"/>
  <c r="H28" i="2"/>
  <c r="H69" i="2"/>
  <c r="F125" i="2"/>
  <c r="H64" i="2"/>
  <c r="AB10" i="2"/>
  <c r="AG10" i="2" s="1"/>
  <c r="K39" i="2"/>
  <c r="L39" i="2" s="1"/>
  <c r="M39" i="2" s="1"/>
  <c r="H24" i="2"/>
  <c r="H72" i="2"/>
  <c r="H31" i="2"/>
  <c r="L43" i="2"/>
  <c r="M43" i="2" s="1"/>
  <c r="K61" i="2"/>
  <c r="H44" i="2"/>
  <c r="F61" i="2"/>
  <c r="H74" i="2"/>
  <c r="AA61" i="2"/>
  <c r="AF61" i="2" s="1"/>
  <c r="F165" i="2"/>
  <c r="K125" i="2"/>
  <c r="Z126" i="2"/>
  <c r="AE126" i="2" s="1"/>
  <c r="T126" i="2"/>
  <c r="K165" i="2"/>
  <c r="O126" i="2"/>
  <c r="O166" i="2" s="1"/>
  <c r="Q166" i="2"/>
  <c r="R166" i="2"/>
  <c r="W126" i="2"/>
  <c r="AB126" i="2" s="1"/>
  <c r="AG126" i="2" s="1"/>
  <c r="P166" i="2"/>
  <c r="L61" i="2" l="1"/>
  <c r="M61" i="2" s="1"/>
  <c r="M14" i="1"/>
  <c r="H39" i="2"/>
  <c r="H40" i="2" s="1"/>
  <c r="H61" i="2"/>
  <c r="V166" i="2"/>
  <c r="M31" i="1" s="1"/>
  <c r="L165" i="2"/>
  <c r="M165" i="2" s="1"/>
  <c r="K40" i="2"/>
  <c r="L40" i="2" s="1"/>
  <c r="M40" i="2" s="1"/>
  <c r="H125" i="2"/>
  <c r="H126" i="2" s="1"/>
  <c r="H166" i="2" s="1"/>
  <c r="T166" i="2"/>
  <c r="M29" i="1" s="1"/>
  <c r="Y126" i="2"/>
  <c r="AD126" i="2" s="1"/>
  <c r="W166" i="2"/>
  <c r="M32" i="1" s="1"/>
  <c r="F126" i="2"/>
  <c r="F166" i="2" s="1"/>
  <c r="K126" i="2"/>
  <c r="L126" i="2" s="1"/>
  <c r="M126" i="2" s="1"/>
  <c r="L125" i="2"/>
  <c r="M125" i="2" s="1"/>
  <c r="U166" i="2"/>
  <c r="M30" i="1" s="1"/>
  <c r="AA166" i="2" l="1"/>
  <c r="AF166" i="2" s="1"/>
  <c r="K166" i="2"/>
  <c r="L166" i="2" s="1"/>
  <c r="M166" i="2" s="1"/>
  <c r="Y166" i="2"/>
  <c r="AD166" i="2" s="1"/>
  <c r="Z166" i="2"/>
  <c r="AE166" i="2" s="1"/>
  <c r="AB166" i="2"/>
  <c r="AG166" i="2" s="1"/>
  <c r="C33" i="1" l="1"/>
  <c r="G34" i="1"/>
  <c r="E72" i="1"/>
  <c r="F34" i="1"/>
  <c r="C21" i="1"/>
  <c r="G62" i="1"/>
  <c r="O62" i="1" s="1"/>
  <c r="C20" i="1"/>
  <c r="G22" i="1"/>
  <c r="E22" i="1"/>
  <c r="C16" i="1"/>
  <c r="F17" i="1"/>
  <c r="C14" i="1"/>
  <c r="C15" i="1"/>
  <c r="C11" i="1"/>
  <c r="G12" i="1"/>
  <c r="F12" i="1"/>
  <c r="G75" i="1"/>
  <c r="O75" i="1" s="1"/>
  <c r="E75" i="1"/>
  <c r="M75" i="1" s="1"/>
  <c r="M34" i="1"/>
  <c r="F74" i="1"/>
  <c r="N74" i="1" s="1"/>
  <c r="K32" i="1"/>
  <c r="E74" i="1"/>
  <c r="G73" i="1"/>
  <c r="O73" i="1" s="1"/>
  <c r="F73" i="1"/>
  <c r="N73" i="1" s="1"/>
  <c r="K31" i="1"/>
  <c r="F72" i="1"/>
  <c r="N72" i="1" s="1"/>
  <c r="K30" i="1"/>
  <c r="G71" i="1"/>
  <c r="K29" i="1"/>
  <c r="F63" i="1"/>
  <c r="N63" i="1" s="1"/>
  <c r="E63" i="1"/>
  <c r="F62" i="1"/>
  <c r="N62" i="1" s="1"/>
  <c r="E62" i="1"/>
  <c r="K16" i="1"/>
  <c r="K15" i="1"/>
  <c r="G56" i="1"/>
  <c r="F56" i="1"/>
  <c r="K14" i="1"/>
  <c r="E53" i="1"/>
  <c r="K11" i="1"/>
  <c r="G52" i="1"/>
  <c r="F52" i="1"/>
  <c r="E52" i="1"/>
  <c r="K10" i="1"/>
  <c r="E34" i="1" l="1"/>
  <c r="G72" i="1"/>
  <c r="O72" i="1" s="1"/>
  <c r="E73" i="1"/>
  <c r="C73" i="1" s="1"/>
  <c r="G74" i="1"/>
  <c r="O74" i="1" s="1"/>
  <c r="F75" i="1"/>
  <c r="N75" i="1" s="1"/>
  <c r="F71" i="1"/>
  <c r="N71" i="1" s="1"/>
  <c r="C19" i="1"/>
  <c r="E61" i="1"/>
  <c r="E64" i="1" s="1"/>
  <c r="G63" i="1"/>
  <c r="O63" i="1" s="1"/>
  <c r="F22" i="1"/>
  <c r="C22" i="1" s="1"/>
  <c r="F61" i="1"/>
  <c r="F64" i="1" s="1"/>
  <c r="N64" i="1" s="1"/>
  <c r="G61" i="1"/>
  <c r="F57" i="1"/>
  <c r="N57" i="1" s="1"/>
  <c r="E56" i="1"/>
  <c r="C56" i="1" s="1"/>
  <c r="K56" i="1" s="1"/>
  <c r="G57" i="1"/>
  <c r="O57" i="1" s="1"/>
  <c r="G17" i="1"/>
  <c r="G23" i="1" s="1"/>
  <c r="E58" i="1"/>
  <c r="M58" i="1" s="1"/>
  <c r="F58" i="1"/>
  <c r="N58" i="1" s="1"/>
  <c r="G58" i="1"/>
  <c r="O58" i="1" s="1"/>
  <c r="E57" i="1"/>
  <c r="G53" i="1"/>
  <c r="O53" i="1" s="1"/>
  <c r="C10" i="1"/>
  <c r="F53" i="1"/>
  <c r="N53" i="1" s="1"/>
  <c r="N52" i="1"/>
  <c r="M72" i="1"/>
  <c r="M53" i="1"/>
  <c r="N56" i="1"/>
  <c r="C62" i="1"/>
  <c r="K62" i="1" s="1"/>
  <c r="M62" i="1"/>
  <c r="E54" i="1"/>
  <c r="C52" i="1"/>
  <c r="M52" i="1"/>
  <c r="O56" i="1"/>
  <c r="O52" i="1"/>
  <c r="M74" i="1"/>
  <c r="N61" i="1"/>
  <c r="M63" i="1"/>
  <c r="O71" i="1"/>
  <c r="E17" i="1"/>
  <c r="C17" i="1" s="1"/>
  <c r="K21" i="1"/>
  <c r="C29" i="1"/>
  <c r="C30" i="1"/>
  <c r="C31" i="1"/>
  <c r="C32" i="1"/>
  <c r="K20" i="1"/>
  <c r="M22" i="1"/>
  <c r="E71" i="1"/>
  <c r="K19" i="1"/>
  <c r="N22" i="1"/>
  <c r="K33" i="1"/>
  <c r="K34" i="1" s="1"/>
  <c r="N34" i="1"/>
  <c r="O22" i="1"/>
  <c r="O34" i="1"/>
  <c r="M17" i="1"/>
  <c r="M12" i="1"/>
  <c r="N17" i="1"/>
  <c r="E12" i="1"/>
  <c r="N12" i="1"/>
  <c r="O12" i="1"/>
  <c r="O17" i="1"/>
  <c r="G59" i="1" l="1"/>
  <c r="O59" i="1" s="1"/>
  <c r="M73" i="1"/>
  <c r="C74" i="1"/>
  <c r="K74" i="1" s="1"/>
  <c r="C75" i="1"/>
  <c r="K75" i="1" s="1"/>
  <c r="G64" i="1"/>
  <c r="O64" i="1" s="1"/>
  <c r="N23" i="1"/>
  <c r="K17" i="1"/>
  <c r="C72" i="1"/>
  <c r="K72" i="1" s="1"/>
  <c r="G76" i="1"/>
  <c r="O76" i="1" s="1"/>
  <c r="F76" i="1"/>
  <c r="N76" i="1" s="1"/>
  <c r="O61" i="1"/>
  <c r="F23" i="1"/>
  <c r="M61" i="1"/>
  <c r="C61" i="1"/>
  <c r="K61" i="1" s="1"/>
  <c r="C63" i="1"/>
  <c r="K63" i="1" s="1"/>
  <c r="E59" i="1"/>
  <c r="E65" i="1" s="1"/>
  <c r="M56" i="1"/>
  <c r="F59" i="1"/>
  <c r="N59" i="1" s="1"/>
  <c r="M57" i="1"/>
  <c r="C57" i="1"/>
  <c r="K57" i="1" s="1"/>
  <c r="C58" i="1"/>
  <c r="K58" i="1" s="1"/>
  <c r="G54" i="1"/>
  <c r="C53" i="1"/>
  <c r="K53" i="1" s="1"/>
  <c r="K52" i="1"/>
  <c r="F54" i="1"/>
  <c r="C34" i="1"/>
  <c r="K73" i="1"/>
  <c r="M71" i="1"/>
  <c r="E76" i="1"/>
  <c r="M76" i="1" s="1"/>
  <c r="C71" i="1"/>
  <c r="C12" i="1"/>
  <c r="E23" i="1"/>
  <c r="K12" i="1"/>
  <c r="M23" i="1"/>
  <c r="K22" i="1"/>
  <c r="M54" i="1"/>
  <c r="O23" i="1"/>
  <c r="M64" i="1"/>
  <c r="C64" i="1" l="1"/>
  <c r="K64" i="1" s="1"/>
  <c r="F65" i="1"/>
  <c r="N65" i="1" s="1"/>
  <c r="C54" i="1"/>
  <c r="K54" i="1" s="1"/>
  <c r="K23" i="1"/>
  <c r="N54" i="1"/>
  <c r="C23" i="1"/>
  <c r="C24" i="1" s="1"/>
  <c r="C25" i="1" s="1"/>
  <c r="M59" i="1"/>
  <c r="C59" i="1"/>
  <c r="K59" i="1" s="1"/>
  <c r="O54" i="1"/>
  <c r="G65" i="1"/>
  <c r="O65" i="1" s="1"/>
  <c r="M65" i="1"/>
  <c r="K71" i="1"/>
  <c r="C76" i="1"/>
  <c r="K76" i="1" s="1"/>
  <c r="K24" i="1" l="1"/>
  <c r="K25" i="1" s="1"/>
  <c r="C65" i="1"/>
  <c r="C66" i="1" s="1"/>
  <c r="K65" i="1" l="1"/>
  <c r="C67" i="1"/>
  <c r="K67" i="1" s="1"/>
  <c r="K66" i="1"/>
</calcChain>
</file>

<file path=xl/sharedStrings.xml><?xml version="1.0" encoding="utf-8"?>
<sst xmlns="http://schemas.openxmlformats.org/spreadsheetml/2006/main" count="52814" uniqueCount="11450">
  <si>
    <t xml:space="preserve">Period: </t>
  </si>
  <si>
    <t>Project</t>
  </si>
  <si>
    <t>DP III Consolidated budget - Latest approved budget</t>
  </si>
  <si>
    <t>TOTAL (EUR)</t>
  </si>
  <si>
    <t>RWA</t>
  </si>
  <si>
    <t>TAN</t>
  </si>
  <si>
    <t>UGA</t>
  </si>
  <si>
    <t>Investment costs</t>
  </si>
  <si>
    <t>Immovable property</t>
  </si>
  <si>
    <t>Movable property</t>
  </si>
  <si>
    <t>Total investment costs</t>
  </si>
  <si>
    <t>Working costs</t>
  </si>
  <si>
    <t>General working costs</t>
  </si>
  <si>
    <t>Activity costs</t>
  </si>
  <si>
    <t>of which crisis modifier</t>
  </si>
  <si>
    <t>Total working costs</t>
  </si>
  <si>
    <t>Personnel costs</t>
  </si>
  <si>
    <t>Local staff</t>
  </si>
  <si>
    <t>Expat staff</t>
  </si>
  <si>
    <t>HQ staff BRC-FL</t>
  </si>
  <si>
    <t>Total personnel costs</t>
  </si>
  <si>
    <t>Total operating costs</t>
  </si>
  <si>
    <t>Administration costs (5,5%)</t>
  </si>
  <si>
    <t>Total Budget</t>
  </si>
  <si>
    <t>Allocation to results</t>
  </si>
  <si>
    <t>Result 1</t>
  </si>
  <si>
    <t>Result 2</t>
  </si>
  <si>
    <t>Result 3</t>
  </si>
  <si>
    <t>Result 4</t>
  </si>
  <si>
    <t>Result 5</t>
  </si>
  <si>
    <t>DP III Consolidated budget - Actuals</t>
  </si>
  <si>
    <t>DP III Consolidated budget - variance</t>
  </si>
  <si>
    <t>DP III Consolidated budget - variance %</t>
  </si>
  <si>
    <t>July 2019 - January 2022</t>
  </si>
  <si>
    <t>Rwanda</t>
  </si>
  <si>
    <t>RW</t>
  </si>
  <si>
    <t>Results (EUR) - latest approved budget modification</t>
  </si>
  <si>
    <t>Results (EUR) - Actuals</t>
  </si>
  <si>
    <t>Results (EUR) - variance</t>
  </si>
  <si>
    <t>Results (EUR) - variance %</t>
  </si>
  <si>
    <t xml:space="preserve">Original Budget </t>
  </si>
  <si>
    <t>Latest approved budget modification</t>
  </si>
  <si>
    <t>Actuals</t>
  </si>
  <si>
    <t>Variance</t>
  </si>
  <si>
    <t xml:space="preserve">Variance (%) </t>
  </si>
  <si>
    <t>Unit type</t>
  </si>
  <si>
    <t>Number</t>
  </si>
  <si>
    <t>Unit Price</t>
  </si>
  <si>
    <t>Total LC</t>
  </si>
  <si>
    <t>Ex rate</t>
  </si>
  <si>
    <t>RES 1</t>
  </si>
  <si>
    <t>RES 2</t>
  </si>
  <si>
    <t>Res 3</t>
  </si>
  <si>
    <t>Res 4</t>
  </si>
  <si>
    <t>Budget Code</t>
  </si>
  <si>
    <t>Budget line</t>
  </si>
  <si>
    <t>EUR</t>
  </si>
  <si>
    <t xml:space="preserve">Investment costs </t>
  </si>
  <si>
    <t xml:space="preserve"> Finalization construction  Ngororero office </t>
  </si>
  <si>
    <t>lumpsum</t>
  </si>
  <si>
    <t>Moveable property</t>
  </si>
  <si>
    <t>CBHFA toolkits and training manuals</t>
  </si>
  <si>
    <t>Visibility items for CBHFA volunteers</t>
  </si>
  <si>
    <t>Community sensitization materials (IEC) on CBHFA</t>
  </si>
  <si>
    <t>Awareness campaigns using billboards</t>
  </si>
  <si>
    <t>piece</t>
  </si>
  <si>
    <t>Mobile cinema equipment</t>
  </si>
  <si>
    <t>set</t>
  </si>
  <si>
    <t>FA kits for trained community members</t>
  </si>
  <si>
    <t>Hygiene materials for trained community members</t>
  </si>
  <si>
    <t>Household drinking water storage and treatment materials</t>
  </si>
  <si>
    <t>ECV IEC materials and toolkits</t>
  </si>
  <si>
    <t>kit</t>
  </si>
  <si>
    <t>CBS toolkits</t>
  </si>
  <si>
    <t>Preposition tents and equipment for holding posts</t>
  </si>
  <si>
    <t>Personal protection equipment for volunteers</t>
  </si>
  <si>
    <t>CBS EW branch system</t>
  </si>
  <si>
    <t>Volunteer materials (15 hoe, 15 spade, 15 machette, 15 pickaxe, 5 wheelbarrow)</t>
  </si>
  <si>
    <t>Volunteer clothes (150 dossard, 30 jacket, 30 raincoat, 30 poloshirt)</t>
  </si>
  <si>
    <t>First Aid kits for Red Cross teams</t>
  </si>
  <si>
    <t>Pre-position relief items (mat, jerry can, soap, kitchen set, mosquito net, tarp, bucket, kitenge, blanket)</t>
  </si>
  <si>
    <t>DRR booklets for schools</t>
  </si>
  <si>
    <t>Bicycles for LDRT members (5 per sector)</t>
  </si>
  <si>
    <t>Signposts for evacuation routes</t>
  </si>
  <si>
    <t>Mobile phones for EW teams and CBS teams</t>
  </si>
  <si>
    <t>Smart phones for data collection (baseline, needs assessment)</t>
  </si>
  <si>
    <t>Visibility items for the members of the EW teams</t>
  </si>
  <si>
    <t>Develop IEC materials for DRR, EW and FBF</t>
  </si>
  <si>
    <t>EW river gages</t>
  </si>
  <si>
    <t>EW set for branches (per cell)</t>
  </si>
  <si>
    <t>Water truck</t>
  </si>
  <si>
    <t>Subtotal moveable property</t>
  </si>
  <si>
    <t xml:space="preserve">Total investment costs </t>
  </si>
  <si>
    <t>office rent, office equipment and utilities</t>
  </si>
  <si>
    <t xml:space="preserve">Fuel, mileage and transportation costs </t>
  </si>
  <si>
    <t xml:space="preserve">Monitoring </t>
  </si>
  <si>
    <t xml:space="preserve">Bank charges </t>
  </si>
  <si>
    <t>Communication and internet</t>
  </si>
  <si>
    <t>Internal audit and evaluation</t>
  </si>
  <si>
    <t>Baseline study</t>
  </si>
  <si>
    <t>Quarterly review meetings</t>
  </si>
  <si>
    <t>Contribution to statutory and national office running costs</t>
  </si>
  <si>
    <t>General working costs related to COVID-19 activities</t>
  </si>
  <si>
    <t>EMS Service costs</t>
  </si>
  <si>
    <t>Expert delegate Epidemic prepardness and response (33% on Rwanda)</t>
  </si>
  <si>
    <t>Programme Delegate - DLG cost</t>
  </si>
  <si>
    <t xml:space="preserve"> Organise Great Lakes regional disaster response trainings and field simulation exercises (field school) with URCS, RRC, TRCS, BuRC</t>
  </si>
  <si>
    <t>Mission costs HQ</t>
  </si>
  <si>
    <t>Project external Evaluation and audit</t>
  </si>
  <si>
    <t xml:space="preserve">Visibility </t>
  </si>
  <si>
    <t>Consultancy and external training</t>
  </si>
  <si>
    <t>Subtotal general working costs</t>
  </si>
  <si>
    <t>Result 1: Improved ability of targeted communities to adopt positive health and hygiene practices.</t>
  </si>
  <si>
    <t>Conduct Trainer of trainers for CBHFA facilitators</t>
  </si>
  <si>
    <t>session</t>
  </si>
  <si>
    <t>Conduct training of volunteers and community health workers on core CBHFA modules</t>
  </si>
  <si>
    <t>Conduct CEA training for volunteers (mobile cinema, radio show)</t>
  </si>
  <si>
    <t>Organize a yearly refresher for CBHFA volunteers</t>
  </si>
  <si>
    <t>Border sensitization sessions using language adapted means (20 wall painting)</t>
  </si>
  <si>
    <t>Development of sector risk maps for specific health risks</t>
  </si>
  <si>
    <t>item</t>
  </si>
  <si>
    <t>Setting up and facilitating hygiene clubs in the targeted communities</t>
  </si>
  <si>
    <t>Organising interactive awareness raising sessions on CBHFA using 24 mobile cinema shows and 8 radio shows</t>
  </si>
  <si>
    <t>Trained volunteers conduct house to house visits (incentives)</t>
  </si>
  <si>
    <t xml:space="preserve">Result 2: Improved ability of RRC to prevent, detect and respond to disease outbreaks at the community level in Ruvabu district </t>
  </si>
  <si>
    <t xml:space="preserve"> </t>
  </si>
  <si>
    <t>Conduct ToT for RRC staff and volunteers on CBS</t>
  </si>
  <si>
    <t>Conduct ToT for RRC staff and volunteers on ECV</t>
  </si>
  <si>
    <t>Conduct training for RRC volunteers (95) and community health workers (71) on CBS</t>
  </si>
  <si>
    <t>Conduct training on PSS for the teams involved in the response to disease outbreaks</t>
  </si>
  <si>
    <t>Regular dissemination of MoH approved CBS and ECV procedures among trained volunteers and staff</t>
  </si>
  <si>
    <t>meeting</t>
  </si>
  <si>
    <t>Establish a technical response working group on infectious diseases within the RRC at HQ level</t>
  </si>
  <si>
    <t>Integrate the CBS and ECV guidelines in the Health and DM SOPs of RRC</t>
  </si>
  <si>
    <t>Conduct a specialized NDRT health training to improve the link between the health and DM activities</t>
  </si>
  <si>
    <t>Conduct an advanced KOBO collect training to at HQ level</t>
  </si>
  <si>
    <t>Set up the CBS early warning system at cell level</t>
  </si>
  <si>
    <t>cell</t>
  </si>
  <si>
    <t>Organize a simulation exercise per branch in cooperation with the MoH and other stakeholders at district level</t>
  </si>
  <si>
    <t>Activate ECV trained teams during a disaster (just in time training)</t>
  </si>
  <si>
    <t>Organize a lessons learned workshop in cooperation with the MoH and other stakeholders on the ECV operation</t>
  </si>
  <si>
    <t>Training of NDRT volunteers and staff on COVID-19</t>
  </si>
  <si>
    <t>Risk Communication, tracking and management of rumors related to COVID-19 (production of radio shows, procurement of radio show material, radio dissemination,  TV shows, social media adverts, short videos, songs, and conducting radio show)</t>
  </si>
  <si>
    <t>Development of  IEC  tools/materials COVID-19</t>
  </si>
  <si>
    <t>Dissemination of COVID-19 IEC materials and messages (via radio,FABL app, …)</t>
  </si>
  <si>
    <t>Procurement and distribution of protective equipment COVID-19</t>
  </si>
  <si>
    <t>Procurement and distribution of WASH facilities for COVID-19</t>
  </si>
  <si>
    <t>Volunteer protection/insurances COVID-19</t>
  </si>
  <si>
    <t>Crisis modifier for health emergencies - COVID 19 (relief items, food assistance or MPCT for  the most vulnerable families affected by COVID-19 outbreak)</t>
  </si>
  <si>
    <t>Result 3: Improved resilience of communities living in high risk areas and strengthened institutional capacity of the local Red Cross and other local stakeholders to respond to disaster</t>
  </si>
  <si>
    <t>Train community risk management committees at sector level</t>
  </si>
  <si>
    <t>Organize regular meetings of the community risk management committees together with the RRC volunteers</t>
  </si>
  <si>
    <t>Organize information sessions for all stakeholders regarding the set-up of the risk management committees</t>
  </si>
  <si>
    <t>Organize an annual DRR awareness event on the international day for natural disaster risk reduction (13/10)</t>
  </si>
  <si>
    <t>event</t>
  </si>
  <si>
    <t>Organize DRR sensitization sessions in schools using DRR booklets</t>
  </si>
  <si>
    <t>Organizing interactive awareness raising sessions on DRR in targeted villages using 348 mobile cinema and 12 radio shows</t>
  </si>
  <si>
    <t>Organizing awareness campaigns on DRR topics in targeted villages using wall paintings</t>
  </si>
  <si>
    <t>Conduct a VCA training on BDRT and NDRT level</t>
  </si>
  <si>
    <t>Draft a risk map and contingency plan per sector where none is yet available</t>
  </si>
  <si>
    <t>sector</t>
  </si>
  <si>
    <t>Draft a risk map and contingency plan per district where none is yet available</t>
  </si>
  <si>
    <t>district</t>
  </si>
  <si>
    <t>Organize volunteer meetings at sector level</t>
  </si>
  <si>
    <t>Support DRR related community activities</t>
  </si>
  <si>
    <t>Conduct a BDRT training in each branch</t>
  </si>
  <si>
    <t>Conduct a cash training for selected volunteers within the BDRT teams</t>
  </si>
  <si>
    <t>Result 4: Improved early warning (EW) systems at community level leading to a more targeted and effective response prior to the hydro-meteorological disaster or thereafter.</t>
  </si>
  <si>
    <t>Organize a training at branch level regarding early warning, early action</t>
  </si>
  <si>
    <t>Identify and validate the most adequate early-warning systems per community</t>
  </si>
  <si>
    <t>Set up the early warning protocols with the different stakeholders</t>
  </si>
  <si>
    <t>Sign an agreement with several mobile communication companies for country wide coverage of the early warning messages</t>
  </si>
  <si>
    <t>Organize a pilot case in a specific district and test-run the service during a simulation and/or real-time interventions</t>
  </si>
  <si>
    <t>Organize a lessons-learned workshop on the results of the pilot case</t>
  </si>
  <si>
    <t>Risk analysis workshops are organized</t>
  </si>
  <si>
    <t>Treshholds for early actions in floods are developed (workshops, consultancy)</t>
  </si>
  <si>
    <t>Standard operationg procedures for early actions are developed and tested with at risk-communities</t>
  </si>
  <si>
    <t>Advocacy of FbF approved EAP's to relevant authorities and community members</t>
  </si>
  <si>
    <t>Develop and implement M&amp;E tools to evaluate the activation of the EAPs</t>
  </si>
  <si>
    <t>Organize training on the EAPs for BDRT and NDRT members active in the relevant districts</t>
  </si>
  <si>
    <t>FbF coordination meetings</t>
  </si>
  <si>
    <t>Cash grant (crisis modifier)</t>
  </si>
  <si>
    <t>households</t>
  </si>
  <si>
    <t>Subtotal activity costs</t>
  </si>
  <si>
    <t>Total Working costs</t>
  </si>
  <si>
    <t>local staff</t>
  </si>
  <si>
    <t>Branch coordinators, 2,5 persons, 24 months</t>
  </si>
  <si>
    <t>Head of disaster management service, 1 person, 12 months</t>
  </si>
  <si>
    <t>Head of health service, 1 person, 12 months</t>
  </si>
  <si>
    <t>(Deputy) head of First Aid service, 1 person, 12 months</t>
  </si>
  <si>
    <t>WATSAN coordinator, 1 person, 6 months</t>
  </si>
  <si>
    <t>PSS coordinator, 1 person, 3 months</t>
  </si>
  <si>
    <t>Head of HR, 1 person, 3 months</t>
  </si>
  <si>
    <t>Head of communication, 1 person, 4 months</t>
  </si>
  <si>
    <t>Head of accountants, 1 person, 8 months</t>
  </si>
  <si>
    <t>Head of logistics, 1 person, 3 months</t>
  </si>
  <si>
    <t>Procurement officer, 1 person, 3 months</t>
  </si>
  <si>
    <t>Head of DAT department, 1 person, 4 months</t>
  </si>
  <si>
    <t>Head of DAF department, 1 person, 4 months</t>
  </si>
  <si>
    <t>Head of OD department, 1 person, 4 months</t>
  </si>
  <si>
    <t>Head of PMER department, 1 person, 8 months</t>
  </si>
  <si>
    <t>Internal auditor, 1 person, 3 months</t>
  </si>
  <si>
    <t>IT manager, 1 person, 3 months</t>
  </si>
  <si>
    <t>Project manager, 1 person, 24 months</t>
  </si>
  <si>
    <t>Project coordinator, 1 person, 24 months</t>
  </si>
  <si>
    <t xml:space="preserve">Additional local personnel costs for COVID-19 support </t>
  </si>
  <si>
    <t>Staff-lumpsum</t>
  </si>
  <si>
    <t>EMS Salaries</t>
  </si>
  <si>
    <t>Programme Delegate - Salary cost</t>
  </si>
  <si>
    <t>staff</t>
  </si>
  <si>
    <t>HQ staff</t>
  </si>
  <si>
    <t>CEBAP data-analysts for FbF (50% on Uganda, 50% on Rwanda)</t>
  </si>
  <si>
    <t>staffcost/hour</t>
  </si>
  <si>
    <t>COVID-19 support (50% on Uganda, 50% on Rwanda)</t>
  </si>
  <si>
    <t>Responsible HA (11,25%)</t>
  </si>
  <si>
    <t>Month</t>
  </si>
  <si>
    <t>DR officer (15%)</t>
  </si>
  <si>
    <t>FP DRR (15%)</t>
  </si>
  <si>
    <t>FP WASH (7,50%)</t>
  </si>
  <si>
    <t>FP FA (7,50%)</t>
  </si>
  <si>
    <t>FA Expert (3,75%)</t>
  </si>
  <si>
    <t>JPA - data collection, processing … (5,25%)</t>
  </si>
  <si>
    <t>Procurement &amp; logistics officer (14%)</t>
  </si>
  <si>
    <t>Manager IS (4%)</t>
  </si>
  <si>
    <t>Donor relations (4%)</t>
  </si>
  <si>
    <t>Budget name</t>
  </si>
  <si>
    <t>Date of proof</t>
  </si>
  <si>
    <t>No. of proof</t>
  </si>
  <si>
    <t>Description of expenses</t>
  </si>
  <si>
    <t>Supplier</t>
  </si>
  <si>
    <t>Amount in local currency</t>
  </si>
  <si>
    <t>Currency</t>
  </si>
  <si>
    <t>Amount in EUR</t>
  </si>
  <si>
    <t>DPIII/0169</t>
  </si>
  <si>
    <t>PAYMENT OF PLUMBING MATERIALSFOR THE REHABILITATION OF NGORORERO BRANCH OFFICE</t>
  </si>
  <si>
    <t>FRESHNESS HARD</t>
  </si>
  <si>
    <t>RWF</t>
  </si>
  <si>
    <t>DPIII/0184</t>
  </si>
  <si>
    <t>PERDIEM OF DRIVER FOR TRANSP OF CONSTRCT MATERIALS OF NGORORERO OFFICE AND REHABILITATION OF WATER SOURCE AT NGORORERO</t>
  </si>
  <si>
    <t>SADDIK SURAITH</t>
  </si>
  <si>
    <t>DPIII/0190A</t>
  </si>
  <si>
    <t>PAYMENT OF CONSTRUCTION MATERIALS FOR REH OF NGORORERO BRANCH OFFICE(FLOOR TILES)</t>
  </si>
  <si>
    <t>CARMEL MAOUNTAIN COMPANY</t>
  </si>
  <si>
    <t>DPIII/0190B</t>
  </si>
  <si>
    <t>PAYMENT OF CONSTRUCTION MATERIALS FOR REH OF NGORORERO BRANCH OFFICE(BATHROOM WALL TILES</t>
  </si>
  <si>
    <t>DPIII/0190C</t>
  </si>
  <si>
    <t>PAYMENT OF CONSTRUCTION MATERIALS FOR REH OF NGORORERO BRANCH OFFICE(BATHROOMOM FLOOR TILES</t>
  </si>
  <si>
    <t>DPIII/0190D</t>
  </si>
  <si>
    <t>PAYMENT OF CONSTRUCTION MATERIALS FOR REH OF NGORORERO BRANCH OFFICE(SPACER</t>
  </si>
  <si>
    <t>DPIII/0190E</t>
  </si>
  <si>
    <t>PAYMENT OF CONSTRUCTION MATERIALS FOR REH OF NGORORERO BRANCH OFFICE(WHITE CEMENT FOR WALL TILES</t>
  </si>
  <si>
    <t>DPIII/0192</t>
  </si>
  <si>
    <t>PAYMENT OF CONSTRUCTION MATERIALS FOR REH OF NGORORERO BRANCH OFFICE(ENDUIT,BAGUET SOFT WHITE,SILK VINYL SOFT WHITE,WEATHER GUARD WHITE, FAST DRY WHITE,VERNI,WHITIING,COLE A BOIS, THINNER, PRTROL……)</t>
  </si>
  <si>
    <t>DPIII/0196</t>
  </si>
  <si>
    <t>PAYMENT OF CONSTRUCTION MATERIALS FOR REH OF NGORORERO BRANCH OFFICE</t>
  </si>
  <si>
    <t>UWIZEYIMANA DOMONOQUE XAVIER</t>
  </si>
  <si>
    <t>DPIII/0201</t>
  </si>
  <si>
    <t>PYMT OF FIRST INSTALMENT FOR  THE CONSTRUCTION ACTIVITIES OF THE REHABIL OF NGORORERO BRANCH OFFICE</t>
  </si>
  <si>
    <t>TWAGIRAYEZU BOSCO</t>
  </si>
  <si>
    <t>DPIII/0203</t>
  </si>
  <si>
    <t>PAYMENT OF CONSTR MATERIALS FOR REH OF NGORORERO BRANCH OFFICE(CEILLING MATERIALS)</t>
  </si>
  <si>
    <t>DPIII/0204</t>
  </si>
  <si>
    <t>PAYMENT OF 180 CEMENTS BAGS OF 50KG  FOR  FOR REH OF NGORORERO BRANCH OFFICE</t>
  </si>
  <si>
    <t>DPIII/0206</t>
  </si>
  <si>
    <t>PAYMENT OF CONSTR MATERIALS FOR REH OF NGORORERO BRANCH OFFICE(ELECTRICAL MATERIALS)</t>
  </si>
  <si>
    <t>DPIII/0227</t>
  </si>
  <si>
    <t>FUNDS FOR SUPPORTING NGORORERO BRANCH TO PURCHASE THE LOCAL MATERIALS FOR CONSTRUCTION OF BRANCH OFFICE</t>
  </si>
  <si>
    <t>CRR/NGORORERO DISTRICT</t>
  </si>
  <si>
    <t>DPIII/0230</t>
  </si>
  <si>
    <t>PYMT OF SECOND INSTALMENT FOR THE  ACTIVITIES OF REHABILITATION OF NGORORERO BRANCH OFFICE</t>
  </si>
  <si>
    <t>DPIII/0231</t>
  </si>
  <si>
    <t>PAYMENT OF CONSTR MATERIALS FOR REH OF NGORORERO BRANCH OFFICE</t>
  </si>
  <si>
    <t>UWAMAHORO YVONNE</t>
  </si>
  <si>
    <t>DPIII/0232</t>
  </si>
  <si>
    <t>PAYMENT OF PERDIEM OF THE SUPERVISOR FOR THE REHABILITATION OF NGORORERO BRANCH OFFICE</t>
  </si>
  <si>
    <t>NTAKIRUTIMANA SAMUEL</t>
  </si>
  <si>
    <t>DPIII/0233</t>
  </si>
  <si>
    <t>PAYMENT THE FABRICATION&amp;CLOSING 8 WOODEN DOORS FOR REH OF NGORORERO BARANCH OFFICE</t>
  </si>
  <si>
    <t>DPIII/0234</t>
  </si>
  <si>
    <t>PAYMENT OF PERDIEM OF THE STORE KEEPER IN CHARGE OF RECEPTION AND DISTRIBUTION OF THEMATERIALS FOR THE REH OF NGORORERO BRANCH OFFICE</t>
  </si>
  <si>
    <t>NIYIGENA BENITHA</t>
  </si>
  <si>
    <t>DPIII/0235</t>
  </si>
  <si>
    <t>PAYMENT OF WITH HOLDING TAX PERDIEM OF THE STORE KEEPER IN CHARGE OF RECEPTION AND DISTRIBUTION OF THE MATERIALS FOR THE REH OF NGORORERO BRANCH OFFICE</t>
  </si>
  <si>
    <t>DPIII/0237</t>
  </si>
  <si>
    <t>PAYMENT OF WITH HOLDING TAX PERDIEM OF THE SUPERVISOR FOR THE REH OF NGORORERO BRANCH OFFICE</t>
  </si>
  <si>
    <t>RWANDA REVENUE AUTHORITY</t>
  </si>
  <si>
    <t>DPIII/0253</t>
  </si>
  <si>
    <t>PAYMENT OF OFFLOADING OF CONSTRUCTION MATERIALS FOR THE REHABILITATION OF NGORORERO BRANCH OFFICE</t>
  </si>
  <si>
    <t>VOL ONTAIRES</t>
  </si>
  <si>
    <t>DPIII/0254</t>
  </si>
  <si>
    <t xml:space="preserve">PAYMENT THE TAX ON THE PERDIEM OF THE SUPERVISOR FOR THE REHABILITATION OF NGORORERO BRANCH OFFICE </t>
  </si>
  <si>
    <t>DPIII/255</t>
  </si>
  <si>
    <t>PAYMENT THE LAST INSTALMENT FOR THE CONSTRUCTION ACTIVITIES OF THE REHABILITATION OF NGORORERO BRANCH OFFICE RELATING TO THE PHASE THREE OF THE PLANNED ACTIVITIES AS STIPULATED IN ATTACHED CONTRACT</t>
  </si>
  <si>
    <t>DPIII/0256</t>
  </si>
  <si>
    <t>PAYMENT OF CONSTRUCTION MATERIALS FOR THE REHABILITATION OF NGORORERO BRANCH OFFICE</t>
  </si>
  <si>
    <t>UWIZEYIMANA DOMINIQUE XAVIER</t>
  </si>
  <si>
    <t>DPIII/0263</t>
  </si>
  <si>
    <t>PAYMENT PERDIEMOF THE STORE KEEPER IN CHARGE OF RECEPTION OF MATERIALS FOR REHABILITATION OF NGORORERO BRANCH OFFICE</t>
  </si>
  <si>
    <t>DPIII/0266</t>
  </si>
  <si>
    <t>PAYMENT OF CONSTRUCTION MATERIALS FOR REHABILITATION OF NGORORERO BRANCH OFFICE(CIMENTS, LANGUETTES,COVER WALL, DOOR WOOD)</t>
  </si>
  <si>
    <t>DPIII/0267</t>
  </si>
  <si>
    <t>PAYMENT PERDIEM OF THE SUPERVISOR FOR THE REHABILITATION OF NGORORERO BRANCH OFFICE</t>
  </si>
  <si>
    <t>DPIII/0455</t>
  </si>
  <si>
    <t>PAYMENT OF CEMENTS FOR THE CONSTRUCTION OF FENCE OF NGORORERO</t>
  </si>
  <si>
    <t>CARMEL MOUNTAIN COMPANY LTD</t>
  </si>
  <si>
    <t>DPIII/0464</t>
  </si>
  <si>
    <t>PERDIEM OF THE DRIVER FOR TRANSPORTATION OF CONSTRUCTION MATERIALS AT NGORORERO</t>
  </si>
  <si>
    <t>SURAITH SADDIK</t>
  </si>
  <si>
    <t>DPIII/0483</t>
  </si>
  <si>
    <t>PAYMENT OF ROOFING FOR THE REHABILITATION OF NFORORERO BRANCH OFFICE</t>
  </si>
  <si>
    <t>DPIII/0484</t>
  </si>
  <si>
    <t>PAYMENT OF PAINTING MATERIALS FOR THE REHABILITATION OF NGORORERO BRANCH OFFICE</t>
  </si>
  <si>
    <t>DPIII/0506</t>
  </si>
  <si>
    <t>PAYMENT OF PAVER FOR THE FENCE AND REHABILITATION OF NGORORERO BRANCH OFFICE</t>
  </si>
  <si>
    <t>NYIRIBAKWE STRATON</t>
  </si>
  <si>
    <t>DPIII/0513</t>
  </si>
  <si>
    <t>PERDIEM OF DRIVER FOR TRANSPORTATION OF CONSTRUCTION MATERIALS AT NGORORERO DISTRICT</t>
  </si>
  <si>
    <t>DPIII/0514</t>
  </si>
  <si>
    <t xml:space="preserve">PERDIEM OF THE PRESIDENT OF RRC TENDER COMMITTEE  AND MEMBER OF RRC TENDER COMMITTEE DURING THE FIELD VISIT </t>
  </si>
  <si>
    <t>NTAKIRUTIMANA EMMANUEL</t>
  </si>
  <si>
    <t>DPIII/0516</t>
  </si>
  <si>
    <t>PAYMENT OF METTALIC TUBES FOR THE REHABILITATION OF NGORORERO BRANCH OFFICE</t>
  </si>
  <si>
    <t>INTEGRATED INFRASTRUCTURES CO LTD</t>
  </si>
  <si>
    <t>DPIII/0517</t>
  </si>
  <si>
    <t>PAYMENT OF 3 PLASTIC TANKS OF 5000 L FOR THE REHABILITATION OF NGORORERO BRABCH OFFICE</t>
  </si>
  <si>
    <t>FRESHNESS HARDWARE LTD</t>
  </si>
  <si>
    <t>DPIII/0518</t>
  </si>
  <si>
    <t>PAYMENT OF STEEL BARS FOR THE REHABILITATION OF NGORORERO BRANCH DISTRICT</t>
  </si>
  <si>
    <t>DPIII/0529</t>
  </si>
  <si>
    <t>PERDIEM FOR STAFFS DURING MONITORING OF CONSTRUCTION FOR THE FENCE AT NGORORERO BRANCH OFFICE</t>
  </si>
  <si>
    <t>KARANGWA EUGENE</t>
  </si>
  <si>
    <t>DPIII/0536</t>
  </si>
  <si>
    <t>PAYMENT FOR THE CONSTRUCTION MATERIALS FOR THE FENCE OF NGORORERO BRANCH OFFICE</t>
  </si>
  <si>
    <t>DPIII/0537</t>
  </si>
  <si>
    <t>PAYMENT OF THE CONSTRUCTION MATERILS FOR THE FENCE OF NGORORERO BRANCH OFFICE</t>
  </si>
  <si>
    <t>DPIII/0538</t>
  </si>
  <si>
    <t xml:space="preserve">PAYMENT OF THE CONSTRUCTION MATERIALS FOR THE FENCE OF NGORORERO BRANCH OFFICE </t>
  </si>
  <si>
    <t>UWAMAHORO MARIE LOUISE</t>
  </si>
  <si>
    <t>DPIII/0539</t>
  </si>
  <si>
    <t>DPIII/0543</t>
  </si>
  <si>
    <t>PAYMENT OF THE LAND FOR EXTENSION OF THE PLOT OF NGORORERO BRANCH OFFICE</t>
  </si>
  <si>
    <t>MAKUZA ANASTASE</t>
  </si>
  <si>
    <t>DPIII/0582</t>
  </si>
  <si>
    <t>PAYMENT OF LATERITE FOR FINISHING THE CONSTRUCTION WORKS OF THE FENCE FOR NGORORERO BRANCH OFFICE</t>
  </si>
  <si>
    <t>DPIII/0004</t>
  </si>
  <si>
    <t>PYMT OF CONSTR MATERIALS FOR FINISHING OF THE FENCE FOR NGORORERO BRANCH OFFICE</t>
  </si>
  <si>
    <t>DPIIII/0005</t>
  </si>
  <si>
    <t>PYMT OF THE 75000 BURNT BRICKS FOR THE CONSTRUCTION OF THE FENCE OF NGORORERO BRANCH OFFICE</t>
  </si>
  <si>
    <t>DPIII/0006</t>
  </si>
  <si>
    <t>PYMT OF TRUCK FOR TRANSPORTATION OF CONSTRUCTION MATERIALS</t>
  </si>
  <si>
    <t>KARENGERA JEAN PAUL</t>
  </si>
  <si>
    <t>DPIII/0011</t>
  </si>
  <si>
    <t>PAYMENT THE PERDIEM OF STORE KEEPER IN CHARGE OF RECEPTION AND DISTRIBUTION OF THE MATERIALS FOR THE FENCE OF NGORORERO</t>
  </si>
  <si>
    <t>DPIII/0012</t>
  </si>
  <si>
    <t>PAYMENT TAX ON PERDIEM OF THE STOREKEEPER IN CHARGE OF RECEPTION AND DISTRIBUTION OF THE MATERIALS FOR THE FENCE OF NGORORERO</t>
  </si>
  <si>
    <t>DPIII/0013</t>
  </si>
  <si>
    <t>PAYMENT OF THE COMPACTING MACHINE FOR THE CONSTRUCTION OF THE FENCE OF NGORORERO BRANCH</t>
  </si>
  <si>
    <t>DPIII/0014</t>
  </si>
  <si>
    <t>PAYMENT OF THE CONSTRUCTION MATERIALS FOR THE FENCE OF NGORORERO BRANCH OFFICE</t>
  </si>
  <si>
    <t>SCOPE LTD</t>
  </si>
  <si>
    <t>DPIII/0015</t>
  </si>
  <si>
    <t>PAYMENT OF THE TRANSFER OF PROPERTY FOR THE PURCHASE PLOT FOR NGORORERO BRANCH OFFICE</t>
  </si>
  <si>
    <t>NGORORERO DISTRICT COMMITTEE</t>
  </si>
  <si>
    <t>DPIII/0016</t>
  </si>
  <si>
    <t>PAYMENT OF OFFLOADING OF CONSTRUCTION MATERIALS FOR THE FENCE OF NGORORERO BRANCH OFFICE</t>
  </si>
  <si>
    <t>DPIII/0030</t>
  </si>
  <si>
    <t>PYMT THE EXECUTION FOR CONSTRUCTION OF THE FENCE OF NGORORO BRANCH</t>
  </si>
  <si>
    <t>DPIII/0034</t>
  </si>
  <si>
    <t>PAYMENT OF VEHICLE LEASING USED DURING NEGOCIATION OF PURCHASING OF PLOT FOR EXTENSION OF NGORORERO BRANCH OFFICE</t>
  </si>
  <si>
    <t>LEASING</t>
  </si>
  <si>
    <t>DPIII/0039</t>
  </si>
  <si>
    <t>PAYMENT OF THE WELDING OF THE FENCE OF NGORORORERO BRANCH OFFICE</t>
  </si>
  <si>
    <t xml:space="preserve">Totaal  Finalization construction  Ngororero office </t>
  </si>
  <si>
    <t>DPIII/0036</t>
  </si>
  <si>
    <t>PAYMENT OF SALAY FOR 01/2022/ SOLANGE</t>
  </si>
  <si>
    <t>UMUTONI SOLANGE DENISE</t>
  </si>
  <si>
    <t>DPIII/0037</t>
  </si>
  <si>
    <t>REIMB RET SAL 01/2022/SOLANGE</t>
  </si>
  <si>
    <t>DPIII/0270</t>
  </si>
  <si>
    <t>PAYMENT OF SALARY FOR JULY 2021/SOLANGE DENYSE</t>
  </si>
  <si>
    <t>SOLANGE DENYSE UMUTONI</t>
  </si>
  <si>
    <t>DPIII/0271</t>
  </si>
  <si>
    <t>REMB RET SALARY FOR JULY 2021/SOLANGE DENYSE</t>
  </si>
  <si>
    <t>SOLANGE DENYSE</t>
  </si>
  <si>
    <t>DPIII/0307</t>
  </si>
  <si>
    <t>PAYMENT OF SALARY FOR AUGUST 2021/SOLANGE DENYSE</t>
  </si>
  <si>
    <t>DPIII/0308</t>
  </si>
  <si>
    <t>REMB RET SALARY FOR AUGUST 2021/SOLANGE DENYSE</t>
  </si>
  <si>
    <t>DPIII/0363</t>
  </si>
  <si>
    <t>DPIII/0364</t>
  </si>
  <si>
    <t>DPIII/0379</t>
  </si>
  <si>
    <t>PAYMENT OF SALARY FOR OCTOBER 2021/SOLANGE DENYSE</t>
  </si>
  <si>
    <t>DPIII/0399</t>
  </si>
  <si>
    <t>REMB RET SALARY FOR OCTOBER 2021/SOLANGE DENYSE</t>
  </si>
  <si>
    <t>DPIII/0448</t>
  </si>
  <si>
    <t>PAYMENT OF  SALARY FOR NOVEMBER 2021/SOLANGE DENYSE</t>
  </si>
  <si>
    <t>DPIII/0449</t>
  </si>
  <si>
    <t>REMB RETEN  SALARY FOR NOVEMBER 2021/SOLANGE DENYSE</t>
  </si>
  <si>
    <t>DPIII/0507</t>
  </si>
  <si>
    <t>PAYMENT OF  SALARY FOR DECEMBER 2021/SOLANGE DENYSE</t>
  </si>
  <si>
    <t>UMUTONI DENYSE SOLANGE</t>
  </si>
  <si>
    <t>DPIII/0508</t>
  </si>
  <si>
    <t>PYMT BONUS  FOR DECEMBER 2021/SOLANGE DENYSE</t>
  </si>
  <si>
    <t>DPIII/0509</t>
  </si>
  <si>
    <t>REIMB RET SAL  DECEMBER 2021/SOLANGE DENYSE</t>
  </si>
  <si>
    <t>DPIII/0510</t>
  </si>
  <si>
    <t>REIMB RET BONUS DECEMBER 2021/SOLANGE DENYSE</t>
  </si>
  <si>
    <t>Totaal (Deputy) head of First Aid service, 1 person, 12 months</t>
  </si>
  <si>
    <t>DPIII/0078</t>
  </si>
  <si>
    <t>PYMT SAL 04/2021 CONSOLEE</t>
  </si>
  <si>
    <t>CONSOLEE UWAMALIYA</t>
  </si>
  <si>
    <t>DPIII/0079</t>
  </si>
  <si>
    <t>REMB RET S/SAL 04/2021/CONSOLEE</t>
  </si>
  <si>
    <t>DPIII/0149</t>
  </si>
  <si>
    <t>PYMT SAL 05/2021 CONSOLEE</t>
  </si>
  <si>
    <t>DPIII/0150</t>
  </si>
  <si>
    <t>REMB RET S/SAL 05/2021/CONSOLEE</t>
  </si>
  <si>
    <t>DPIII/0217</t>
  </si>
  <si>
    <t>PYMT SAL 06/2021 CONSOLEE</t>
  </si>
  <si>
    <t>DPIII/0218</t>
  </si>
  <si>
    <t>PYMT BONUS 06/2021 CONSOLEE</t>
  </si>
  <si>
    <t>DPIII/0219</t>
  </si>
  <si>
    <t>REIM RET BONUS 06/2021 CONSOLEE</t>
  </si>
  <si>
    <t>DPIII/0220</t>
  </si>
  <si>
    <t>REIM RET SAL 06/2021 CONSOLEE</t>
  </si>
  <si>
    <t>PAYMENT OF SALARY FOR JULY 2021/CONSOLEE</t>
  </si>
  <si>
    <t>CONSOLEE UWMALIYA</t>
  </si>
  <si>
    <t>REMB RET  SALARY FOR JULY 2021/CONSOLEE</t>
  </si>
  <si>
    <t xml:space="preserve">Totaal Additional local personnel costs for COVID-19 support </t>
  </si>
  <si>
    <t>DPIII/0158</t>
  </si>
  <si>
    <t>BANK CHARGES</t>
  </si>
  <si>
    <t>I&amp;M BANK</t>
  </si>
  <si>
    <t>DPIII/0182</t>
  </si>
  <si>
    <t>BANK ERROR</t>
  </si>
  <si>
    <t>DPIII/0197</t>
  </si>
  <si>
    <t>REGUL TRANSFER BY BANK ERROR</t>
  </si>
  <si>
    <t>RRC DOC</t>
  </si>
  <si>
    <t>I&amp;MBANK</t>
  </si>
  <si>
    <t>DPIII/0223</t>
  </si>
  <si>
    <t>LEGER FEES</t>
  </si>
  <si>
    <t>DPIII/0246</t>
  </si>
  <si>
    <t>LEDGER FEES</t>
  </si>
  <si>
    <t>DPIII/0297</t>
  </si>
  <si>
    <t xml:space="preserve"> BANK CHARGES</t>
  </si>
  <si>
    <t>DPIII/0360</t>
  </si>
  <si>
    <t>BANK CHARES</t>
  </si>
  <si>
    <t>DPIII/0435</t>
  </si>
  <si>
    <t>TRANSFER A REGURALISER</t>
  </si>
  <si>
    <t>DPIII/0437</t>
  </si>
  <si>
    <t>LEGDER FEES</t>
  </si>
  <si>
    <t>DPIII/0465</t>
  </si>
  <si>
    <t>REMB TRANSFERT AU COMPTE CORE COST</t>
  </si>
  <si>
    <t>DP3/0006</t>
  </si>
  <si>
    <t>TRANSFER CHARGES</t>
  </si>
  <si>
    <t>DP3/0007</t>
  </si>
  <si>
    <t>DP3/0008</t>
  </si>
  <si>
    <t>DP3/0011</t>
  </si>
  <si>
    <t>CHEQUE BOOK CHARGES</t>
  </si>
  <si>
    <t>DP3/0051</t>
  </si>
  <si>
    <t>LEDGER FEE</t>
  </si>
  <si>
    <t>DPIII/0229</t>
  </si>
  <si>
    <t>B ANK CHARGES</t>
  </si>
  <si>
    <t>DPIII/0330</t>
  </si>
  <si>
    <t>LEDGE FEES</t>
  </si>
  <si>
    <t xml:space="preserve">Totaal Bank charges </t>
  </si>
  <si>
    <t>PAYMENT OF BICYCLES FOR LDRT MEMBERS</t>
  </si>
  <si>
    <t>MARUTI INTERNATIONAL LTD</t>
  </si>
  <si>
    <t>DPIII/0400</t>
  </si>
  <si>
    <t>PYMT OF  32 BICYCLES</t>
  </si>
  <si>
    <t>MARUTI</t>
  </si>
  <si>
    <t>DPIII/0273</t>
  </si>
  <si>
    <t>PAYMENT OF LEASING INVOICE No6422</t>
  </si>
  <si>
    <t>CRR/LEAS</t>
  </si>
  <si>
    <t>Totaal Bicycles for LDRT members (5 per sector)</t>
  </si>
  <si>
    <t>DPIII/0241</t>
  </si>
  <si>
    <t>PYMT SAL  03/2020  FLAVIEN</t>
  </si>
  <si>
    <t>Flavien Nshimi(RRC)</t>
  </si>
  <si>
    <t>DPIII/0242</t>
  </si>
  <si>
    <t>REMB RET SAL 03/2020/FLAVIEN</t>
  </si>
  <si>
    <t>DPIII/0249</t>
  </si>
  <si>
    <t>PYMT SAL  04/2020  FLAVIEN</t>
  </si>
  <si>
    <t>DPIII/0250</t>
  </si>
  <si>
    <t>REMB RETENUS SAL 04/2020/FLAVIEN</t>
  </si>
  <si>
    <t>REMB RET S/SAL 05/2020/FLAVIEN</t>
  </si>
  <si>
    <t>DPIII/0272</t>
  </si>
  <si>
    <t>PYMT SAL  05/2020  FLAVIEN</t>
  </si>
  <si>
    <t>DPIII/0280</t>
  </si>
  <si>
    <t>PYMT SAL  06/2020  FLAVIEN</t>
  </si>
  <si>
    <t>DPIII/0281</t>
  </si>
  <si>
    <t>REMB RETENUS S/SAL 06/2020 FLAVIEN</t>
  </si>
  <si>
    <t>DPIII/0282</t>
  </si>
  <si>
    <t>REMB RETENUS S/BONUS 06/2020FLAVIEN</t>
  </si>
  <si>
    <t>DPIII/0286</t>
  </si>
  <si>
    <t>PYMT BONUS 06/2020  FLAVIEN</t>
  </si>
  <si>
    <t>DPIII/0309</t>
  </si>
  <si>
    <t>PYMT SAL 07/2020/FLAVIEN</t>
  </si>
  <si>
    <t>DPIII/0310</t>
  </si>
  <si>
    <t>REMB RETEN SAL 07/2020/FLAVIEN</t>
  </si>
  <si>
    <t>DPIII/0338</t>
  </si>
  <si>
    <t>PYMT SAL 08/2020/FLAVIEN</t>
  </si>
  <si>
    <t>DPIII/0387</t>
  </si>
  <si>
    <t>REMB RET SAL 09/2020/FLAVIEN</t>
  </si>
  <si>
    <t>DPIII/0388</t>
  </si>
  <si>
    <t>PYMT SAL 09/2020/FLAVIEN</t>
  </si>
  <si>
    <t>DPIII/0426</t>
  </si>
  <si>
    <t>REMB RET SAL 10/2020/FLAVIEN</t>
  </si>
  <si>
    <t>DPIII/0427</t>
  </si>
  <si>
    <t>PYMT SAL 10/2020/FLAVIEN</t>
  </si>
  <si>
    <t>DPIII/0500</t>
  </si>
  <si>
    <t>PYMT SAL 11/2020/FLAVIEN</t>
  </si>
  <si>
    <t>DPIII/0501</t>
  </si>
  <si>
    <t>REMB RETE S/SAL 11/2020 FLAVIEN</t>
  </si>
  <si>
    <t>DPIII/0526</t>
  </si>
  <si>
    <t>REMB RET S/SAL 12/2020/FLAVIEN</t>
  </si>
  <si>
    <t>DPIII/0527</t>
  </si>
  <si>
    <t>PYMT SAL 12/2020/FLAVIEN</t>
  </si>
  <si>
    <t>DPIII/0528</t>
  </si>
  <si>
    <t>PYMT BONUS 12/2020/FLAVIEN</t>
  </si>
  <si>
    <t>RMB RET S/BONUS 12/2020/FLAVIEN</t>
  </si>
  <si>
    <t>DPIII/0009</t>
  </si>
  <si>
    <t>PYMT SAL 01/2021/FLAVIEN</t>
  </si>
  <si>
    <t>FLAVIEN NSHIMIYIMANA</t>
  </si>
  <si>
    <t>DPIII/0010</t>
  </si>
  <si>
    <t>REMB RET SAL 01/2021 FLAVIEN</t>
  </si>
  <si>
    <t>PAYMENT OF SALAY FOR 01/2022/ FLAVIEN</t>
  </si>
  <si>
    <t>NSHIMYIMANA FLAVIEN</t>
  </si>
  <si>
    <t>REIMB RET SAL 01/2022/FLEVIEN</t>
  </si>
  <si>
    <t>DPIII/0041</t>
  </si>
  <si>
    <t>PYMT SAL 02/2021  FLAVIEN</t>
  </si>
  <si>
    <t>DPIII/0042</t>
  </si>
  <si>
    <t>REMB RET S/SAL 02/2021/FLAVIEN</t>
  </si>
  <si>
    <t>DPIII/0060</t>
  </si>
  <si>
    <t>REMB RET S/SAL 03/2021/FLAVIEN</t>
  </si>
  <si>
    <t>DPIII/0061</t>
  </si>
  <si>
    <t>PYMT SAL 03/2021  FLAVIEN</t>
  </si>
  <si>
    <t>PYMT SAL 04/2021  FLAVIEN</t>
  </si>
  <si>
    <t>REMB RET S/SAL 04/2021/FLAVIEN</t>
  </si>
  <si>
    <t>PYMT SAL 05/2021  FLAVIEN</t>
  </si>
  <si>
    <t>REMB RET S/SAL 05/2021/FLAVIEN</t>
  </si>
  <si>
    <t>PYMT SAL 06/2021  FLAVIEN</t>
  </si>
  <si>
    <t>PYMT BONUS 06/2021  FLAVIEN</t>
  </si>
  <si>
    <t>REIMB RET BONUS 06/2021  FLAVIEN</t>
  </si>
  <si>
    <t>REIMB RET SAL 06/2021  FLAVIEN</t>
  </si>
  <si>
    <t>PAYMENT OF SALARY FOR JULY 2021/FLAVIEN</t>
  </si>
  <si>
    <t>REMB RET  SALARY FOR JULY 2021/FLAVIEN</t>
  </si>
  <si>
    <t>PAYMENT OF SALARY FOR AUGUST 2021/FLAVIEN</t>
  </si>
  <si>
    <t>REMB RET  SALARY FOR AUGUST 2021/FLAVIEN</t>
  </si>
  <si>
    <t>PAYMENT OF SALARY FOR OCTOBER 2021/FLAVIEN</t>
  </si>
  <si>
    <t>NSHIMYIAMAN FLAVIEN</t>
  </si>
  <si>
    <t>REMB RET SALARY FOR OCTOBER 2021/FLAVIEN</t>
  </si>
  <si>
    <t>PAYMENTOF SALARY FOR NOVEMBER 2021/FLAVIEN</t>
  </si>
  <si>
    <t>REMB RETEN SALARY FOR NOVEMBER 2021/FLAVIEN</t>
  </si>
  <si>
    <t>PAYMENTOF SALARY FOR DECEMBER  2021/FLAVIEN</t>
  </si>
  <si>
    <t>NSHIMIYIMANA FLAVIEN</t>
  </si>
  <si>
    <t>PYMT BONUS  FOR DECEMBER 2021/FLAVIEN</t>
  </si>
  <si>
    <t>REIMB RET SAL  DECEMBER  2021/FLAVIEN</t>
  </si>
  <si>
    <t>REIMB RET BONUS DECEMBER  2021/FLAVIEN</t>
  </si>
  <si>
    <t>Totaal Branch coordinators, 2,5 persons, 24 months</t>
  </si>
  <si>
    <t>DPIII/0295</t>
  </si>
  <si>
    <t>PYMT OF BEANS TO SUPPORT PEOPLE DURING COVID-</t>
  </si>
  <si>
    <t>UBWIRU</t>
  </si>
  <si>
    <t>DPIII/0351</t>
  </si>
  <si>
    <t>PYMT OF BEANS TO SUPPORT VULNERABLE</t>
  </si>
  <si>
    <t>DPIII/0269</t>
  </si>
  <si>
    <t>PYMT OF MAIZE FLOUR, RICE AND SUGAR DURING COVID-</t>
  </si>
  <si>
    <t>MAGASIN UMUCYO</t>
  </si>
  <si>
    <t>DPIII/0293</t>
  </si>
  <si>
    <t>PYMT OF OIL TO SUPPORT PEOPLE DURING COVID-</t>
  </si>
  <si>
    <t>p</t>
  </si>
  <si>
    <t>DPIII/0353</t>
  </si>
  <si>
    <t>PYMT FOR COOKING OIL</t>
  </si>
  <si>
    <t>DPIII/0354</t>
  </si>
  <si>
    <t>PYMT FOR RICE, SUGAR,MAIZE FLOUR</t>
  </si>
  <si>
    <t>DPIII/0298</t>
  </si>
  <si>
    <t>SUPPORTING 235 FAMILIES AFFECTED BY DISASTERS</t>
  </si>
  <si>
    <t>DPIII/0299</t>
  </si>
  <si>
    <t>SUPPORTING 85 FAMILIES AFFECTED BY DISASTERS</t>
  </si>
  <si>
    <t>DPIII/0300</t>
  </si>
  <si>
    <t>SUPPORTING 8 FAMILIES AFFECTED BY DISASTER</t>
  </si>
  <si>
    <t>DPIII/0301</t>
  </si>
  <si>
    <t>SUPPORTING 5 FAMILIES AFFECTED BY DISASTER</t>
  </si>
  <si>
    <t>DPIII/0303</t>
  </si>
  <si>
    <t>SUPPORTING 22 FAMILIES AFFECTED BY DISASTER</t>
  </si>
  <si>
    <t>DPIII/0304</t>
  </si>
  <si>
    <t>SUPPORTING 7 FAMILIES AFFECTED BY DISASTER</t>
  </si>
  <si>
    <t>DPIII/0305</t>
  </si>
  <si>
    <t>SUPPORTING 31 FAMILIES AFFECTED BY DISASTER</t>
  </si>
  <si>
    <t>DPIII/0306</t>
  </si>
  <si>
    <t>SUPPORTING 3 FAMILIES AFFECTED BY DISASTER</t>
  </si>
  <si>
    <t>SUPPORTING 235 FAMILIES AFFECTED BY DISASTER</t>
  </si>
  <si>
    <t>DPIII/0315</t>
  </si>
  <si>
    <t>PERDIEMS OF IT &amp;DIGITAL MEDIA OFFICER/FOLLOW UP CT</t>
  </si>
  <si>
    <t>DPIII/0318</t>
  </si>
  <si>
    <t>TRANSP&amp;COMMUN FOR VOLUNTEERS/CASH DISBURSEMENT</t>
  </si>
  <si>
    <t>DPIII/0319</t>
  </si>
  <si>
    <t>TRANSP FOR 10 VOLUNT/CASH DISBURSEMENT</t>
  </si>
  <si>
    <t>DPIII/0329</t>
  </si>
  <si>
    <t>RETOUR SUPPORT 235 FAMILIES AFFECTED BY DISASTER</t>
  </si>
  <si>
    <t>DPIII/0358</t>
  </si>
  <si>
    <t>CONTR HEALT INSURANCE RUHANGO</t>
  </si>
  <si>
    <t>RSSB</t>
  </si>
  <si>
    <t>DPIII/0362</t>
  </si>
  <si>
    <t>CONTR HEALT INSURANCE  RULINDO</t>
  </si>
  <si>
    <t>CONTR HEALT INSURANCE RULINDO</t>
  </si>
  <si>
    <t>DPIII/0141</t>
  </si>
  <si>
    <t>CASH TRANSFER FOR 500 FAMILIES AFFECTED DUE TO COVID-19 LOCKDOWN AND HOME BASED CARE IN BWISHYURA SECTOR, GITESI AND RUBENGERA SECTORS OF KARONGI DISTRICT IN WESTERN PROVINCE</t>
  </si>
  <si>
    <t>LIST OF BENEFICIARIES MOBILE MONEY</t>
  </si>
  <si>
    <t>DPIII/0143</t>
  </si>
  <si>
    <t>PERDIEM OF RRC V/PRESIDENT, MEMBER OF RRC BOARD IN WESTERN PROVINCE, DIGITAL MEDIA OFFICER, DIFFIRENT JOURNALISTS AND DRIVER  DURING THE CASH TRANSFER ASSISTANCE TO THE VULNERABLE PEOPLE WHO ARE IN LOCKDOWN AT KARONGI DISTRICT</t>
  </si>
  <si>
    <t>UWAMUNGU THIERRY</t>
  </si>
  <si>
    <t>DPIII/0153</t>
  </si>
  <si>
    <t>CASH TRANSFER FOR SUPPORTING 117 VULNERABLE FAMILIESAFFECTED DUE TO DISASTERS CAUSED BY LANDSLIDE IN NYAMASHEKE DISTRICT</t>
  </si>
  <si>
    <t>ALLOWANCE FEES FOR JOURNALISTS FOR ONE DAY OF COVERING RED CROSS CASH TRANSFERS</t>
  </si>
  <si>
    <t>RUSANGANWA EVODE</t>
  </si>
  <si>
    <t>DPIII/03111</t>
  </si>
  <si>
    <t>PAYMENT FOR COVERAGE TO FLASHRADIO&amp;TV THE NEWS COVERAGE OF CASH DISTRIBUTION TO THE PEOPLE AFFECTED  BY DISASTERS AT NYAMASHEKE DISTRICT</t>
  </si>
  <si>
    <t>FLASH RADIO&amp;TV</t>
  </si>
  <si>
    <t>17/082021</t>
  </si>
  <si>
    <t>DPIII/0374</t>
  </si>
  <si>
    <t>PAYMENT OF PERDIEM FOR RRC VOLUNTEERS WHO PARTICIPATED IN FOOD DISTRIBUTION AT GASABO AND NYARUGENGE DISTRICTS</t>
  </si>
  <si>
    <t>GASABO DISTRICT COMMITTEE</t>
  </si>
  <si>
    <t>Totaal Cash grant (crisis modifier)</t>
  </si>
  <si>
    <t>PAYMENT OF PHAST TOOLS</t>
  </si>
  <si>
    <t>CREATIVA LTD</t>
  </si>
  <si>
    <t>DPIII/0486</t>
  </si>
  <si>
    <t>PAYMENT OF THE CLEARANCE SERVICES FOR THE SUPPLY OF FA MANNEQUINS</t>
  </si>
  <si>
    <t>NET RIGHT SERVICE LTD</t>
  </si>
  <si>
    <t>DPIII/0487</t>
  </si>
  <si>
    <t>PAYMENT OF 15 CUTTING DISCS AND 10 BOX OF WELDING ROD FOR THE REHABILITATION OF NGORORERO BRANCH OFFICE</t>
  </si>
  <si>
    <t>DPIII/0532</t>
  </si>
  <si>
    <t>PAYMENT OF CBHFA TOLLKITS AND MANUAL (3 SET OF TOOLKITS&amp;3 PCES OF MANUALS)</t>
  </si>
  <si>
    <t>AANK2100585</t>
  </si>
  <si>
    <t>HERFURTH LOGISTICS MECHELEN - KIGALI</t>
  </si>
  <si>
    <t>Herfurth Logistics nv</t>
  </si>
  <si>
    <t>DIV210676</t>
  </si>
  <si>
    <t>Correctie KP INTLAF202100025 - Laerdal 2021/BEL01671</t>
  </si>
  <si>
    <t>Laerdal</t>
  </si>
  <si>
    <t>CRWF 49</t>
  </si>
  <si>
    <t>Illustrator development FA manual (RWMP1)</t>
  </si>
  <si>
    <t>Albert Ngarambe</t>
  </si>
  <si>
    <t>Totaal CBHFA toolkits and training manuals</t>
  </si>
  <si>
    <t>DPIII/0357</t>
  </si>
  <si>
    <t>PYMT OF MODEMS</t>
  </si>
  <si>
    <t>SMART BROADBAND LTD</t>
  </si>
  <si>
    <t>DPIII/0456</t>
  </si>
  <si>
    <t>PYMT USB TO LAN ADAPTER</t>
  </si>
  <si>
    <t>CHAMPION</t>
  </si>
  <si>
    <t>DPIII/0462</t>
  </si>
  <si>
    <t>COMMUNICATION FEES&amp;INTERNET FEES</t>
  </si>
  <si>
    <t>MTN RCELL</t>
  </si>
  <si>
    <t>DPIII/0244</t>
  </si>
  <si>
    <t>COMMUNICATION FEES DURING ACTIVITIES AGAINST COVID</t>
  </si>
  <si>
    <t>DPIII/0265</t>
  </si>
  <si>
    <t>COMMUNICATION CUG JANUARY TO APRIL 2020</t>
  </si>
  <si>
    <t>CRR DOC</t>
  </si>
  <si>
    <t>DPIII/0351a</t>
  </si>
  <si>
    <t>COMMUNICATION FEES</t>
  </si>
  <si>
    <t>RRC DOC(MTN)</t>
  </si>
  <si>
    <t>DPIII/0541</t>
  </si>
  <si>
    <t>PYMT OF CUG FOR MAY-DECEMBER 2020</t>
  </si>
  <si>
    <t>COMMUNICATION FEES FOR JANUARY 2021</t>
  </si>
  <si>
    <t>PAYMENT OF COMMUNICATION  FEES FOR JANUARY 2022</t>
  </si>
  <si>
    <t>MTN RWANDACELL</t>
  </si>
  <si>
    <t>DPIII/0026</t>
  </si>
  <si>
    <t>PYMT OF TP LINK ROUTER FOR DPIII PROJECT ACTIVITIES</t>
  </si>
  <si>
    <t>ALL IN ONE</t>
  </si>
  <si>
    <t>DPIII/0052</t>
  </si>
  <si>
    <t>PYMT OF COMMUN&amp;INTERNET FEES</t>
  </si>
  <si>
    <t>DPIII/0057</t>
  </si>
  <si>
    <t>COMMUNICATION FEES MARCH 2021</t>
  </si>
  <si>
    <t>DPIII/0082</t>
  </si>
  <si>
    <t>PAYMENT OF COMMUNICATION FEES FOR APRIL 2021</t>
  </si>
  <si>
    <t>DPIII/0105</t>
  </si>
  <si>
    <t>PAYMENT OF COMMUNICATION (CUG) jAN-DEC 2019</t>
  </si>
  <si>
    <t>DPIII/0137</t>
  </si>
  <si>
    <t>CONTRIBUTION TO RRC INTERNET CONNECTION</t>
  </si>
  <si>
    <t>DPIII/0142</t>
  </si>
  <si>
    <t>COMMUN ICATION  AND INTERNET FEES FOR HQ STAFF, COORDINATORS AND FIELD TECHNICIAN OFFICERS OF RUBAVU, RUTSIRO AND NGORORERO DISTRICTS FOR MAY 2021</t>
  </si>
  <si>
    <t>DPIII/0221</t>
  </si>
  <si>
    <t>PAYMENT OF COMMUNICATION FEES FOR JUNE 2021</t>
  </si>
  <si>
    <t>DPIII/0228</t>
  </si>
  <si>
    <t>PAYMENT OF USER GROUP COMMUNICATION JANUARY-JUNE 2021</t>
  </si>
  <si>
    <t>DPIII/0251</t>
  </si>
  <si>
    <t>PAYMENT OF COMMUNICATION FEES FOR JULY 2021</t>
  </si>
  <si>
    <t>PAYMENT OF COMMUNICATION FEES FOR AUGUST 2021</t>
  </si>
  <si>
    <t>DPIII/0347</t>
  </si>
  <si>
    <t>PAYMENT OF COMMUNICATION FEES FOR SEPTEMBER 2021</t>
  </si>
  <si>
    <t>DPIII/0378</t>
  </si>
  <si>
    <t>PAYMENT OF COMMUNICATION FEES FOR OCTOBER 2021</t>
  </si>
  <si>
    <t>DPIII/0443</t>
  </si>
  <si>
    <t xml:space="preserve">PAYMENT OF COMMUNICATION FEES FOR NOVEMBER </t>
  </si>
  <si>
    <t>DPIII/0490</t>
  </si>
  <si>
    <t>REIMBURSEMENT OF COMMUNICATION FEES USER GROUP FROM JULY-DECEMBER 2021</t>
  </si>
  <si>
    <t>DPIII/0511</t>
  </si>
  <si>
    <t>PAYMENT OF COMMUNICATION FEES FOR DECEMBER 2021</t>
  </si>
  <si>
    <t>Totaal Communication and internet</t>
  </si>
  <si>
    <t>DPIII/0111</t>
  </si>
  <si>
    <t>PYMT FOR 475 PCS OF LEAFLET</t>
  </si>
  <si>
    <t>Totaal Community sensitization materials (IEC) on CBHFA</t>
  </si>
  <si>
    <t>DPIII/0346</t>
  </si>
  <si>
    <t>PYMT OF SERVICES DURING BDRT TARINING</t>
  </si>
  <si>
    <t>RIS LTD</t>
  </si>
  <si>
    <t>DPIII/0333</t>
  </si>
  <si>
    <t>TRANSP FEES FOR VOLUNTEERS BDRT TRAINING</t>
  </si>
  <si>
    <t>DPIII/0334</t>
  </si>
  <si>
    <t>PERDIEM FOR 2 TRAINERS BDRT TRAINING</t>
  </si>
  <si>
    <t>DPIII/0335</t>
  </si>
  <si>
    <t>WH TAX PERDIEM FOR TRAINERS BDRT TRAINING</t>
  </si>
  <si>
    <t>DPIII/0086</t>
  </si>
  <si>
    <t>TRANSP PARTIC IN EWS TRAINING</t>
  </si>
  <si>
    <t>Jacqueline Gasamagera(RRC)</t>
  </si>
  <si>
    <t>DPIII/0090</t>
  </si>
  <si>
    <t>PARKING FEES AT KIGALI INTER AIRPORT</t>
  </si>
  <si>
    <t>LEOPOLD(RRC)</t>
  </si>
  <si>
    <t>DPIII/0108</t>
  </si>
  <si>
    <t>PYMT WH TAXE S/PERDIEM OF 2 TRAINERS</t>
  </si>
  <si>
    <t>RRC/WTH</t>
  </si>
  <si>
    <t>DPIII/0109</t>
  </si>
  <si>
    <t>TRANSPORT FEES FOR THE 30 VOLUNTEER S FROM RUBAVU AND NGORORERO DISTRICTS DURING BDRT TRINING AT RRC HQ FROM 05/05/2021 TO 11/05/2021</t>
  </si>
  <si>
    <t>DPIII/0113</t>
  </si>
  <si>
    <t>PERDIEMS FOR 2 TRAINERS ON BDRT</t>
  </si>
  <si>
    <t>DPIII/0114</t>
  </si>
  <si>
    <t>TRANSP PARTIC IN BDRT TRAINING</t>
  </si>
  <si>
    <t>DPIII/0126</t>
  </si>
  <si>
    <t>PYMT OF TRAINING MATERIALS</t>
  </si>
  <si>
    <t>DPIII/0133</t>
  </si>
  <si>
    <t>PERDIEM FOR 3 FACILITATORS DURING BDRT TRAINING FOR VOLUNTEERS AT HQ FROM 07/05/2021 TO 11/05/2021</t>
  </si>
  <si>
    <t>DPIII/0134</t>
  </si>
  <si>
    <t>PYMT OF SERVICES OFFER BY RIS BRDT TRAINING</t>
  </si>
  <si>
    <t>WITHOLDING TAX ON PERDIEM FOR 3 FACILITATORS  DURING BDRT TRINING FOR VOLUNTEERS AT HQ FROM 07/05/2021 TO 11/05/2021</t>
  </si>
  <si>
    <t>DPIII/0135</t>
  </si>
  <si>
    <t>TRANSPORT AND PERDIEM STAFF DURING BDRT TRAININGat hq from 06/05/2021 to 11/05/2021</t>
  </si>
  <si>
    <t>DPIII/0139</t>
  </si>
  <si>
    <t>PAYMENT OF TRAINING MATERIALS USED DURING BDRT TRAINING  AT HQ</t>
  </si>
  <si>
    <t>Totaal Conduct a BDRT training in each branch</t>
  </si>
  <si>
    <t>DPIII/0106</t>
  </si>
  <si>
    <t>TRANSP PARTICP DURING VCA TRAINING</t>
  </si>
  <si>
    <t>DPIII/0132</t>
  </si>
  <si>
    <t>TRANSP FEES FOR A DRIVER</t>
  </si>
  <si>
    <t>DPIII/0140</t>
  </si>
  <si>
    <t>PAYMENT OF STATIONERIES</t>
  </si>
  <si>
    <t>PYMT OF SERVICES OFFERED DURING VCA TRAINING</t>
  </si>
  <si>
    <t>DPIII/0154</t>
  </si>
  <si>
    <t>PYMT OF HEALTH CARE</t>
  </si>
  <si>
    <t>DPIII/0165</t>
  </si>
  <si>
    <t>REFUND BALANCE ON VCA TRAINING</t>
  </si>
  <si>
    <t>PYMT FOR MATERIALS FOR EVCA ASSESSMENT</t>
  </si>
  <si>
    <t>DPIII/0167</t>
  </si>
  <si>
    <t>COMMUNICATION FEES DURING DATA COMPILATION</t>
  </si>
  <si>
    <t>Evode Rusanganwa J Pie(RRC)</t>
  </si>
  <si>
    <t>DPIII/0168</t>
  </si>
  <si>
    <t>PERDIEMS FOR 3 DRIVERS DURING EVCA ASSESSMENT</t>
  </si>
  <si>
    <t>PERDIEM OF PDIII MANAGER DURING EVCA A</t>
  </si>
  <si>
    <t>DPIII/0170</t>
  </si>
  <si>
    <t>PERDIEM OF DIGITAL MEDIA OFFICER DURING EVCA ASSES</t>
  </si>
  <si>
    <t>THIERRY(RRC)</t>
  </si>
  <si>
    <t>DPIII/0171</t>
  </si>
  <si>
    <t>PERDIEM OF HEAD OF EMERGENCY PREPAR</t>
  </si>
  <si>
    <t>Eugene Karangwa(RRC)</t>
  </si>
  <si>
    <t>DPIII/0172</t>
  </si>
  <si>
    <t>PERD VOL DURING EVCA ASSESSMENT</t>
  </si>
  <si>
    <t>DPIII/0174</t>
  </si>
  <si>
    <t>PERDIEM OF IT MANAGER DURING EVCA ASSESSMENT</t>
  </si>
  <si>
    <t>Yves Ruti(RRC)</t>
  </si>
  <si>
    <t>DPIII/0175</t>
  </si>
  <si>
    <t>TRANSP &amp;REST PARTIC EVCA ASSESSMENT</t>
  </si>
  <si>
    <t>DPIII/0176</t>
  </si>
  <si>
    <t>PERDIEM FEES OF 15 VOLUNTEERS DURING EVCA ASSESSMENT</t>
  </si>
  <si>
    <t>DPIII/0181</t>
  </si>
  <si>
    <t>PYMT WH TAX FOR PERDIEM OF 15 VOLUNTEERS</t>
  </si>
  <si>
    <t>Totaal Conduct a VCA training on BDRT and NDRT level</t>
  </si>
  <si>
    <t>PYMT OF SERVICES PROVIDED DURING KOBO TRAINING</t>
  </si>
  <si>
    <t>DPIII/0396</t>
  </si>
  <si>
    <t>SERVICES DURING KOBO TRAINING</t>
  </si>
  <si>
    <t>DPIII/0205</t>
  </si>
  <si>
    <t>TRANSP FEES FOR VOLONTEERS AND FP</t>
  </si>
  <si>
    <t>DPIII/0356</t>
  </si>
  <si>
    <t>PERD ET TRANSP KOBO TRAIN</t>
  </si>
  <si>
    <t>EXPENSES FOR KOBO TRAINING</t>
  </si>
  <si>
    <t>DPIII/0071</t>
  </si>
  <si>
    <t>FUNDS RELATED FOR KOBO TRAINING</t>
  </si>
  <si>
    <t>DPIII/0151</t>
  </si>
  <si>
    <t>Totaal Conduct an advanced KOBO collect training to at HQ level</t>
  </si>
  <si>
    <t>DPIII/0121</t>
  </si>
  <si>
    <t>TRANSP PARTIC OF 21 VOL IN CEA TRAINING</t>
  </si>
  <si>
    <t>PYMT OF SERVICES DURING CEA TRAINING</t>
  </si>
  <si>
    <t>Totaal Conduct CEA training for volunteers (mobile cinema, radio show)</t>
  </si>
  <si>
    <t>DPIII/0258</t>
  </si>
  <si>
    <t>PYMT OF SERVICES PROVIDED DURING CBHFA TRAINING</t>
  </si>
  <si>
    <t>PAYMENT OF TRAINIG MATERIALS</t>
  </si>
  <si>
    <t>DPIII/0252</t>
  </si>
  <si>
    <t>PAYMENT OF LEASING INVOICE No 6375</t>
  </si>
  <si>
    <t>PARKING FEES TO AIRPORT</t>
  </si>
  <si>
    <t>PERDIEM FEES FOR TRAINERS AND FOCAL POINTS</t>
  </si>
  <si>
    <t>PYMT FOR TOFFEE PAQUET FOR CBHFA TRAINING</t>
  </si>
  <si>
    <t>PYMT OF LOADING OF NFI DURING CBHFA TRAINING</t>
  </si>
  <si>
    <t>AANK2000222</t>
  </si>
  <si>
    <t>DLG3$TICKET NGARUIYA NAIROBI _ KIGALI</t>
  </si>
  <si>
    <t>KEY TRAVEL</t>
  </si>
  <si>
    <t>ONKOSTEN200014</t>
  </si>
  <si>
    <t>ONK VISA De Lepeleire S Hotel Villa portofino 2020-03-05 Accommodation 1 person 6 nights, facilitato</t>
  </si>
  <si>
    <t xml:space="preserve">Hotel Villa portofino </t>
  </si>
  <si>
    <t>CUSD1</t>
  </si>
  <si>
    <t>Per diem facilitator eCBHFA training, 5 days, 1 person, exch rate 947</t>
  </si>
  <si>
    <t>Naomi Ngaruiya</t>
  </si>
  <si>
    <t>USD</t>
  </si>
  <si>
    <t>Totaal Conduct Trainer of trainers for CBHFA facilitators</t>
  </si>
  <si>
    <t>PYMT OF SERVICES DURING CBHEPP/CBHFA TARINING</t>
  </si>
  <si>
    <t>PYMT WH TAX ON PERDIEM FOR TWO TRAINERS CBHFA</t>
  </si>
  <si>
    <t>DPIII/0331</t>
  </si>
  <si>
    <t>PERDIEM FOR 2 TRINERS CBHEPP&amp;CBHFA TRAINING</t>
  </si>
  <si>
    <t>DPIII/0332</t>
  </si>
  <si>
    <t>TRANSPORT FEES FOR VOLUNT CBHEPP&amp;CBHFA</t>
  </si>
  <si>
    <t>DPIII/0050</t>
  </si>
  <si>
    <t>PYMT WHT PERDIEM OF 2 MASTER TRAINERS IN CBEHPP/CBHFA DURING TRINING OF HYGIENE CLUBS IN RUBAVU, RUTSIRO</t>
  </si>
  <si>
    <t>DPIII/0107</t>
  </si>
  <si>
    <t>TRANSP.FOR 54 VOL.&amp;HEALT WORKERS FROM RUBAVU,NGORORERO, RUTSIRO DURING CORE CBHFA TRINING AT RRC HQ FROM 01/05/2021 TO 05/05/2021</t>
  </si>
  <si>
    <t xml:space="preserve">PERDIEM FEES FOR 4 FACILITATORS DURING THE CORE CBHFA TRAINING FOR VOLUNTEERS AND HEALTH WORKERS AT HQ FROM 01/05/2021 TO 05/05/2021 </t>
  </si>
  <si>
    <t xml:space="preserve">WITHOLDING TAX ON PERDIEM FEES FOR 4 FACILITATORS  DURING THE CORE CBHFA TRAINING FOR VOLUNTEERS AND HEALTH WORKERS AT HQ FROM 01/05/2021 TO 05/05/2021 </t>
  </si>
  <si>
    <t>DPIII/0122</t>
  </si>
  <si>
    <t>TRANSPORT AND PERDIEM STAFF DURING CBHFA TRAINING FOR VOLUNTEERS AND HEALTH WORKERS AT HQ</t>
  </si>
  <si>
    <t xml:space="preserve">Flavien Nshimiyimana </t>
  </si>
  <si>
    <t>DPIII/0124</t>
  </si>
  <si>
    <t>PAYMENT OF DRR TRAINING MATERIALS  FOR SCHOOL TEACHERS</t>
  </si>
  <si>
    <t>DPIII/0131</t>
  </si>
  <si>
    <t>PAYMENT OF SERVICE OFFERED DURING CBHFA TRAINING FOR VOLUNTEERS AND HEALTH WORKERS FROM 01-05/05/2021 AT HQ</t>
  </si>
  <si>
    <t>DPIII/0138</t>
  </si>
  <si>
    <t>PAYMENT OF  MATERIALS USED DURING CBHFA TRAINING FOR VOLUNTEERS AND HWEALTH WORKERS AT HQ</t>
  </si>
  <si>
    <t>Totaal Conduct training of volunteers and community health workers on core CBHFA modules</t>
  </si>
  <si>
    <t>DP3/0027</t>
  </si>
  <si>
    <t>TAX ON PERDIEM FEES PSS TRAINING</t>
  </si>
  <si>
    <t>DP3/0028</t>
  </si>
  <si>
    <t>TRANSP PARTIC PSS TRINING</t>
  </si>
  <si>
    <t>Jacqueline Gasamagera (RRC)</t>
  </si>
  <si>
    <t>DPIII/0065</t>
  </si>
  <si>
    <t>EXPENSES FOR PSS TRAINGING</t>
  </si>
  <si>
    <t>DPIII/0067</t>
  </si>
  <si>
    <t>PYMT FOR TRAINGING MATERIALS</t>
  </si>
  <si>
    <t>DPIII/0215</t>
  </si>
  <si>
    <t>PYMT OF SERVICES PROVIDED DURING EBOLA TRAINING</t>
  </si>
  <si>
    <t>DPIII/0160</t>
  </si>
  <si>
    <t>TRANSP FOR 40 VOLUNTEERS EBOLA DURING EBOLA TRAIN</t>
  </si>
  <si>
    <t>DPIII/0163</t>
  </si>
  <si>
    <t>PAYMENT WH TAX /PERDIEM FOR VOLUNTEERS</t>
  </si>
  <si>
    <t>DPIII/0164</t>
  </si>
  <si>
    <t>PERDIEMS OF 2 TRAINERS /EBOLA TRAINING</t>
  </si>
  <si>
    <t>DPIII/0173</t>
  </si>
  <si>
    <t>PERDIEM FOR RUTSIRO FOCAL POINT DUR EBOLA TRAINING</t>
  </si>
  <si>
    <t>ETIENNE(RRC)</t>
  </si>
  <si>
    <t>Totaal Conduct training on PSS for the teams involved in the response to disease outbreaks</t>
  </si>
  <si>
    <t>AANK2100524</t>
  </si>
  <si>
    <t>KEY TRAVEL E. NTAKIRUTIMANA &amp; A.NYINAWUMUNTU KIGALI - DSS</t>
  </si>
  <si>
    <t>AANK2100533</t>
  </si>
  <si>
    <t>DLG3$TICKET A. NYINAWUMUNTU KIGALI - LOME</t>
  </si>
  <si>
    <t>AANK2100534</t>
  </si>
  <si>
    <t>DLG3$TICKET E. NTAKIRUTIMANA KIGALI - LOME</t>
  </si>
  <si>
    <t>DLG3$TICKET A. NYINAWUMUNTU KIGALI - LOME AANK2100533</t>
  </si>
  <si>
    <t>DLG3$TICKET E. NTAKIRUTIMANA KIGALI - LOME AANK2100534</t>
  </si>
  <si>
    <t>KEY TRAVEL E. NTAKIRUTIMANA &amp; A.NYINAWUMUNTU KIGALI - DSS AANK2100524</t>
  </si>
  <si>
    <t>AANK2100653</t>
  </si>
  <si>
    <t>PAYMENT CRB PECT TRAINING</t>
  </si>
  <si>
    <t>CRB SERVICE INTERNATIONAL ASBL</t>
  </si>
  <si>
    <t xml:space="preserve"> AANK2100653</t>
  </si>
  <si>
    <t>PAYMENT CRB PECT TRAINING AANK2100653</t>
  </si>
  <si>
    <t>Croix-Rouge de la Belgique - Communauté Francophone</t>
  </si>
  <si>
    <t>CRWF73</t>
  </si>
  <si>
    <t>Covid PCR test pre travel PECT training Emmanuel</t>
  </si>
  <si>
    <t>Rwanda biomedical center</t>
  </si>
  <si>
    <t>CRWF74</t>
  </si>
  <si>
    <t>Insurance travel PECT training Emmanuel</t>
  </si>
  <si>
    <t>Sanlam AG PLC</t>
  </si>
  <si>
    <t>CRWF75</t>
  </si>
  <si>
    <t>Per diem Pect training Emmanuel Ntakirutimana</t>
  </si>
  <si>
    <t>Emmanuel Ntakirutimana</t>
  </si>
  <si>
    <t>CRWF76</t>
  </si>
  <si>
    <t>Covid PCR test pre travel PECT training Anitha</t>
  </si>
  <si>
    <t>CRWF77</t>
  </si>
  <si>
    <t>Insurance travel PECT training Anitha</t>
  </si>
  <si>
    <t>CRWF78</t>
  </si>
  <si>
    <t>Yellow fever vaccin PECT training Anitha</t>
  </si>
  <si>
    <t>RBC</t>
  </si>
  <si>
    <t>CRWF79</t>
  </si>
  <si>
    <t>Per diem Pect training Anitha</t>
  </si>
  <si>
    <t>Anitha Nyinawumuntu</t>
  </si>
  <si>
    <t>CRWF83</t>
  </si>
  <si>
    <t>Taxi from hotel after PECT training</t>
  </si>
  <si>
    <t>Bliss Tour Company</t>
  </si>
  <si>
    <t>CRWF84</t>
  </si>
  <si>
    <t>Covid PCR test upon arrivall PECT training Anitha</t>
  </si>
  <si>
    <t>CRWF85</t>
  </si>
  <si>
    <t>Covid PCR test upon arrival PECT training Emmanuel</t>
  </si>
  <si>
    <t>Totaal Consultancy and external training</t>
  </si>
  <si>
    <t>DPIII/0523</t>
  </si>
  <si>
    <t>PYMT SERVICES DURING DP3 COORD MEETING</t>
  </si>
  <si>
    <t>DPIII/0521</t>
  </si>
  <si>
    <t>PYMT OF RENTING HALL DURING DP3 MEETING</t>
  </si>
  <si>
    <t>RENTING HALL DURING COORDIN MEETING</t>
  </si>
  <si>
    <t>DP3/0025</t>
  </si>
  <si>
    <t>CABLE FOR PROJECTOR</t>
  </si>
  <si>
    <t>CHAMPIONS</t>
  </si>
  <si>
    <t>DP3/0039</t>
  </si>
  <si>
    <t>PERDIEM FEES /PARTNERS MEETING</t>
  </si>
  <si>
    <t>RWEMA(RRC)</t>
  </si>
  <si>
    <t>DPIII/0096</t>
  </si>
  <si>
    <t>CONTRIBUTION FOR UPDATING NAVISION SOFTWARE AT RWNDA RED CROSS</t>
  </si>
  <si>
    <t>VEGA SOFTWARE</t>
  </si>
  <si>
    <t>DPIII/0115</t>
  </si>
  <si>
    <t>PYMT OF AFFLOADING OF 250 BOX OF SOAP</t>
  </si>
  <si>
    <t>DPIII/0128</t>
  </si>
  <si>
    <t>PERDIEMS FEES FOR VOLUNTEERS</t>
  </si>
  <si>
    <t>ZAWADI(RRC)</t>
  </si>
  <si>
    <t>DPIII/0210</t>
  </si>
  <si>
    <t>PAYMENT OF CARDRIGDE OF PRINTER  FOR THE HEAD OF PROCUREMENT SERVICE</t>
  </si>
  <si>
    <t>DPIII/0211</t>
  </si>
  <si>
    <t>PAYMENT OF TEA BREAK DURING A TENDER MEETING</t>
  </si>
  <si>
    <t>DPIII/0264</t>
  </si>
  <si>
    <t>PAYMENT OF MEETING HALL DURING TENDER MEETING ON 3RD JUNE 2021</t>
  </si>
  <si>
    <t>DPIII/0383</t>
  </si>
  <si>
    <t xml:space="preserve">PAYMENT THE SERVICE OFFERED BY RIS LTD DURING THE DEPARTMENTAL MEETING </t>
  </si>
  <si>
    <t>DPIII/0384</t>
  </si>
  <si>
    <t xml:space="preserve">PAYMENT OF THE MEETING ROOM DURING THE TENDER COMMITTEE MEETING </t>
  </si>
  <si>
    <t>DPIII/0385</t>
  </si>
  <si>
    <t>PAYENT OF THE SERVICE PROVIDED BY RIS LTD DURING THE COMPILATION REPORTS MEETING</t>
  </si>
  <si>
    <t>DPIII/0408</t>
  </si>
  <si>
    <t>PAYMENT OF TEA BREAK DURING TENDER MEETING</t>
  </si>
  <si>
    <t>DPIII/0410</t>
  </si>
  <si>
    <t>PAYMENT OF SERVICE OFFERED DURING THE TENDER COMMITTEE MEETING</t>
  </si>
  <si>
    <t>DPIII/0463</t>
  </si>
  <si>
    <t>PAYMENT OF THE CONFIGURATION ON THE PRINTER FOR ADMINISTRATIVE ASSISTANT OF DPIII PROJECT ACTIVITIES</t>
  </si>
  <si>
    <t>EXACT HIGH TECHNOLOGY LTD</t>
  </si>
  <si>
    <t>DPIII/0494</t>
  </si>
  <si>
    <t>PAYMENT OF THE MEETING ROOM AND TEA BREAK DURING THE TENDER COMMITTEE MEETING</t>
  </si>
  <si>
    <t>DPIII/0586</t>
  </si>
  <si>
    <t>PERDIEM FOR RRC STAFF DURING THE EVALUATION OF 6 HANDWASHING STATION</t>
  </si>
  <si>
    <t>TUMWEBAZE FRED</t>
  </si>
  <si>
    <t>DPIII80261</t>
  </si>
  <si>
    <t xml:space="preserve">PAYMENT OF TEA BREAK DURING TENDER MEETING </t>
  </si>
  <si>
    <t>Totaal Contribution to statutory and national office running costs</t>
  </si>
  <si>
    <t>DPIII/0268</t>
  </si>
  <si>
    <t>PAYMENT OF BEANS FOR VULNERABLE DURING COVID-19</t>
  </si>
  <si>
    <t>UBWIRU COMPANY LTD</t>
  </si>
  <si>
    <t>PAYMENT OF OIL TO SUPPORT VUL PEOPLE DURING COVID-</t>
  </si>
  <si>
    <t>ERI RWANDA LTD</t>
  </si>
  <si>
    <t>DPIII/0152</t>
  </si>
  <si>
    <t>CASH TRANSFER FOR SUPPORTING 157 VULNERABLE FAMILIESTHAT ARE IN LOCKDOWN DUE TO COVID-19 PREVENTION MEASURES IN GICUMBI DISTRICCT, RWAMIKO SECTOR</t>
  </si>
  <si>
    <t>DPIII/0294</t>
  </si>
  <si>
    <t>PAYMENT OF INYANGE MIK PACKAGE OF 500 ML TO SUPPORT VULNERABLE PEOPLE DURIING COVID-19 LOCKDOWWN AT KIGALI CITY</t>
  </si>
  <si>
    <t>ECOFODI LTD</t>
  </si>
  <si>
    <t>DPIII/0296</t>
  </si>
  <si>
    <t>PAYMENT OF JIBU HEALTH PORRIDGE TO SUPPORT VULNERABLE PEOPLE DURING COVID 19 LOCKDOWN AT KIGALI CITY</t>
  </si>
  <si>
    <t>JIBU MUHIMA CORPORATE STORE</t>
  </si>
  <si>
    <t>PAYMENT OF BEANS TO SUPPORT VULNERABLE PEOPLE DURING COVID 19 LOCKDOWN AT Kigali city</t>
  </si>
  <si>
    <t>PAYMENT OF COOKING OIL TO SUPPORT VULNERABLE PEOPLE DURING COVID 19 LOCKDOWN AT KIGALI CITY</t>
  </si>
  <si>
    <t>MUCYESHA SUPPLU LTD</t>
  </si>
  <si>
    <t>PAYMENT OF MAIZE FLOUR FORFIED IN PACKAGE OF 15KGS SUPPORT VULNERABLE PEOPLE DURING COVID 19 LOCKDOWN AT KIGALI CITY</t>
  </si>
  <si>
    <t>MINIMEX LTD</t>
  </si>
  <si>
    <t>DPIII/0321</t>
  </si>
  <si>
    <t>PAYMENT OF RICE TO SUPPORT PEOPLE DURING COVID LOCDOWN AT KIGALI CITY</t>
  </si>
  <si>
    <t>DPIII/0322</t>
  </si>
  <si>
    <t>PAYMENT OF SUGAR TO SUPPORT VULNERABLE PEOPLE DURING COVID 19 LOCKDOWN</t>
  </si>
  <si>
    <t>DPIII/0403</t>
  </si>
  <si>
    <t>PAYMENT OF LEASING INVOICE No 244 USED DURING FOOD DISTRIBUTION</t>
  </si>
  <si>
    <t>DPIII/0480</t>
  </si>
  <si>
    <t>PAYMENT TO DEVELOPPING AND PUBLISHING AN ARTICLE COVERING THE EVENT FOR CASH DISTRIBUTION</t>
  </si>
  <si>
    <t>IGIHE LTD</t>
  </si>
  <si>
    <t>DPIII/0491</t>
  </si>
  <si>
    <t>PAYMENT OF THE ARTICLES COVERING THE CASH DISTRIBUTION AT KARONGI DISTRICT</t>
  </si>
  <si>
    <t>LE CANAPE LTD</t>
  </si>
  <si>
    <t>Totaal Crisis modifier for health emergencies - COVID 19 (relief items, food assistance or MPCT for  the most vulnerable families affected by COVID-19 outbreak)</t>
  </si>
  <si>
    <t>DPIII/0198</t>
  </si>
  <si>
    <t>PYMT OF LEAFLETS WITH DRR MESSAGE(DESIGN AND PRINTING,A4 RECTO VERSO, GROSSY 150 GR, FULL COLOR)</t>
  </si>
  <si>
    <t>DPIII/0533</t>
  </si>
  <si>
    <t>PAYMENT OF 1250 LEAFLETS CONTAINING DRR&amp;EARLY WARNING MESSAGES</t>
  </si>
  <si>
    <t>CEATIVA LTD</t>
  </si>
  <si>
    <t>Totaal Develop IEC materials for DRR, EW and FBF</t>
  </si>
  <si>
    <t>DPIII/0413</t>
  </si>
  <si>
    <t>PYMT STICKERS WITH COVID-19 MESSAGE</t>
  </si>
  <si>
    <t>Totaal Development of  IEC  tools/materials COVID-19</t>
  </si>
  <si>
    <t>PERDIEM FEES DURING COMMUNITY MOBILIZATION ON COVID-19 PANDEMIC IN GASABO DISTRICT FOR A PERIOD OF 14 DAYS</t>
  </si>
  <si>
    <t>JEAN NOEL</t>
  </si>
  <si>
    <t>FAUSTIN</t>
  </si>
  <si>
    <t>KAYIJAMAHE EMMANUEL</t>
  </si>
  <si>
    <t>CYUSA</t>
  </si>
  <si>
    <t>FUEL FEES DURING COMMUNITY MOBILIZATION ON COVID-19 PANDEMIC IN GASABO DISTRICT FOR A PERIOD OF 14 DAYS</t>
  </si>
  <si>
    <t>SOCIETE PETROLIERE</t>
  </si>
  <si>
    <t>PERDIEM FEES DURING COMMUNITY MOBILIZATION ON COVID-19 PANDEMIC IN NYARUGENGE DISTRICT FOR A PERIOD OF 14 DAYS</t>
  </si>
  <si>
    <t>BLAISE</t>
  </si>
  <si>
    <t>MOUSSA YAHYA</t>
  </si>
  <si>
    <t>FUEL DURING COMMUNITY MOBILIZATION ON COVID-19 PANDEMIC IN NYARUGENGE DISTRICT FOR A PERIOD OF 14 DAYS</t>
  </si>
  <si>
    <t>PERDIEM DISTRICT COORD DURING COMMUNITY MOBILIZATION ON COVID-19 PANDEMIC IN KICUKIRO DISTRICT FOR A PERIOD OF 14 DAYS</t>
  </si>
  <si>
    <t>RRC DOC/MARGRET</t>
  </si>
  <si>
    <t>COMMUNICATION DURING COMMUNITY MOBILIZATION ON COVID-19 PANDEMIC IN KICUKIRO DISTRICT FOR A PERIOD OF 14 DAYS</t>
  </si>
  <si>
    <t>PERDIEM FOR VOLUNTEERS DURING COMMUNITY MOBILIZATION ON COVID-19 PANDEMIC IN KICUKIRO DISTRICT FOR A PERIOD OF 14 DAYS</t>
  </si>
  <si>
    <t>RRC VOLUNTEERS</t>
  </si>
  <si>
    <t>PERDIEM DRIVER DURING COMMUNITY MOBILIZATION ON COVID-19 PANDEMIC IN KICUKIRO DISTRICT FOR A PERIOD OF 14 DAYS</t>
  </si>
  <si>
    <t>DUSABE EMMANUEL</t>
  </si>
  <si>
    <t>FUEL DURING COMMUNITY MOBILIZATION ON COVID-19 PANDEMIC IN KICUKIRO DISTRICT FOR A PERIOD OF 14 DAYS</t>
  </si>
  <si>
    <t>IKWIM PETROL GATE</t>
  </si>
  <si>
    <t>SOURCE OIL</t>
  </si>
  <si>
    <t>ENERGY SOLUTION LTD</t>
  </si>
  <si>
    <t>MEREZ PETROLEUM</t>
  </si>
  <si>
    <t>PERDIEM FOR DRIVER DURING MOBILIZATION ON COVID-19 IN GICUMBI&amp;MUSANZE</t>
  </si>
  <si>
    <t>DPIII/0017</t>
  </si>
  <si>
    <t>PERDIEM FOR DRIVER DURING TRANSPORTATION OF HYGIENE MATERIALS FOR COMMUNITY MOBILIZATIO ON COVID-19 IN MUSANZE,RUBAVU, NGORORERO DISTRICTS</t>
  </si>
  <si>
    <t>DPIII/0018</t>
  </si>
  <si>
    <t>PERDIEM FOR DRIVER RELATED TO TRANSPORTATION OF HYGIENE MATERIALS AND MATERIALS FOR COMMUNITY  MOBILIZATION ON COVID-19 AT GICUMBI, BURERA DISTRICTS</t>
  </si>
  <si>
    <t>DPIII/0021</t>
  </si>
  <si>
    <t xml:space="preserve">PERDIEM VOL DURING COMMUNITY MOBILIZATION ON COVID-19 PENDEMIC IN RULINDO DISTRICT FOR A PEROD OF 14 DAYS </t>
  </si>
  <si>
    <t>RULINDO DISTRICT COMMITTEE</t>
  </si>
  <si>
    <t xml:space="preserve">PERDIEM DISTRICT FOCAL POINT  DURING COMMUNITY MOBILIZATION ON COVID-19 PENDEMIC IN RULINDO DISTRICT FOR A PEROD OF 14 DAYS </t>
  </si>
  <si>
    <t>TWAGIRAYEZU EMMANUEL</t>
  </si>
  <si>
    <t xml:space="preserve">COMMUNICATION FEES  DURING COMMUNITY MOBILIZATION ON COVID-19 PENDEMIC IN RULINDO DISTRICT FOR A PEROD OF 14 DAYS </t>
  </si>
  <si>
    <t xml:space="preserve">FUEL  DURING COMMUNITY MOBILIZATION ON COVID-19 PENDEMIC IN RULINDO DISTRICT FOR A PEROD OF 14 DAYS </t>
  </si>
  <si>
    <t>SINA GERARD PETROLEUM</t>
  </si>
  <si>
    <t>DPIII/0022</t>
  </si>
  <si>
    <t xml:space="preserve">PERDIEM VOL DURING COMMUNITY MOBILIZATION ON COVID-19 PENDEMIC IN GICUMBI DISTRICT FOR A PEROD OF 7 DAYS </t>
  </si>
  <si>
    <t>GICUMBI DISTRICT COMMITTEE</t>
  </si>
  <si>
    <t xml:space="preserve">COMMUNICATION DURING COMMUNITY MOBILIZATION ON COVID-19 PENDEMIC IN GICUMBI DISTRICT FOR A PEROD OF 7 DAYS </t>
  </si>
  <si>
    <t xml:space="preserve">FUEL DURING COMMUNITY MOBILIZATION ON COVID-19 PENDEMIC IN GICUMBI DISTRICT FOR A PEROD OF 7 DAYS </t>
  </si>
  <si>
    <t>AVENUE DES POIDS LOURDS</t>
  </si>
  <si>
    <t>DPIII/0023</t>
  </si>
  <si>
    <t>PAYMENT OF REFRESHMENT DURING COMMUNITY MOBILIZATION ON COVID 19 THROUGH MOBILE RADIO</t>
  </si>
  <si>
    <t>LIST OFVOLUNTEERS</t>
  </si>
  <si>
    <t>MAINTENANCE OF GENERATOR  DURING COMMUNITY MOBILIZATION ON COVID 19 THROUGH MOBILE RADIO</t>
  </si>
  <si>
    <t>PERDIEM FEES DURING COMMUNITY MOBILIZATION ON COVID 19 THROUGH MOBILE RADIO</t>
  </si>
  <si>
    <t>COMMUNICATION FEES DURING COMMUNITY MOBILIZATION ON COVID 19 THROUGH MOBILE RADIO</t>
  </si>
  <si>
    <t>Niragire Business LTD</t>
  </si>
  <si>
    <t>DPIII/0024</t>
  </si>
  <si>
    <t>PERDIEM VOL DURING COMMUNITY MOBIILIZATION ON COVID-19 PENDEMIC IN MUSANZE DISTRICT FOR 7 DAYS</t>
  </si>
  <si>
    <t>MUSANZE DISTRICT COMMITTEE</t>
  </si>
  <si>
    <t>PERDIEM DISTRICT COORD DURING COMMUNITY MOBIILIZATION ON COVID-19 PENDEMIC IN MUSANZE DISTRICT FOR 7 DAYS</t>
  </si>
  <si>
    <t>MUKABALISA FELICITE</t>
  </si>
  <si>
    <t>FUEL  DURING COMMUNITY MOBIILIZATION ON COVID-19 PENDEMIC IN MUSANZE DISTRICT FOR 7 DAYS</t>
  </si>
  <si>
    <t>COMMUNICATION  DURING COMMUNITY MOBIILIZATION ON COVID-19 PENDEMIC IN MUSANZE DISTRICT FOR 7 DAYS</t>
  </si>
  <si>
    <t>CENTRE KIRAMBO</t>
  </si>
  <si>
    <t>DPIII/0025</t>
  </si>
  <si>
    <t>FUEL  DURING COMMUNITY MOBILIZATION ON COVID-19 PANDEMIC IN BURERA DISTRICT FOR 14 DAYS</t>
  </si>
  <si>
    <t>TRANSP VOL DURING COMMUNITY MOBILIZATION ON COVID-19 PANDEMIC IN BURERA DISTRICT FOR 14 DAYS</t>
  </si>
  <si>
    <t>BURERA DISTRICT COMMITTEE</t>
  </si>
  <si>
    <t>TRANSP DISTRICT CCOR DURING COMMUNITY MOBILIZATION ON COVID-19 PANDEMIC IN BURERA DISTRICT FOR 14 DAYS</t>
  </si>
  <si>
    <t>COMMUNICATION DURING COMMUNITY MOBILIZATION ON COVID-19 PANDEMIC IN BURERA DISTRICT FOR 14 DAYS</t>
  </si>
  <si>
    <t>PURCHASE BATTERIES DURING COMMUNITY MOBILIZATION ON COVID-19 PANDEMIC IN BURERA DISTRICT FOR 14 DAYS</t>
  </si>
  <si>
    <t>MISSION ALLOWANCES FOR HQ STAFF TO TRAVEL TO RUBAVU DISTRICT FOR MONITORING THE DP3 ACTIVITIES REGARDING COVID-19 PREVENTION MOBILIZATION SESSIONS AND HYGIENE MATERIALS DISTRIBUTION</t>
  </si>
  <si>
    <t>EMMANUEL SINTAKURA</t>
  </si>
  <si>
    <t>DPIII/0035</t>
  </si>
  <si>
    <t>DPIII/0038</t>
  </si>
  <si>
    <t>MISSION FEES FOR THE DRIVER DURING TRANSPORTATION THE NFIS TO RUBAVU DISTRICT</t>
  </si>
  <si>
    <t>DPIII/0046</t>
  </si>
  <si>
    <t>PYMT OF OFFLOADING OF NFIs IN THE BRANCH COMMITTEES</t>
  </si>
  <si>
    <t>PYMT LEASING INVOICE No 6853 MOBILIZATION AGAINST COVID-19 IN KICUKIRO DISTRICT</t>
  </si>
  <si>
    <t>DPIII/0054</t>
  </si>
  <si>
    <t>PYMT LEASING INVOICE No 6864 MOBILIZATION AGAINST COVID-19 IN GASABO DISTRICT</t>
  </si>
  <si>
    <t>DPIII/0212</t>
  </si>
  <si>
    <t>REFRESHMENT OF VOLUNTEERS DURING COMMUNITY MOBILIZATION ON COVID-19 PENDEMIC IN RUBAVU DISTRICT FOR A PERIOD OF 14 DAYS</t>
  </si>
  <si>
    <t>LIST OF RWANDA RED CROSS VOLUNTEERS</t>
  </si>
  <si>
    <t>REFRESHMENT OF FOCAL POINT DURING COMMUNITY MOBILIZATION ON COVID-19 PENDEMIC IN RUBAVU DISTRICT FOR A PERIOD OF 14 DAYS</t>
  </si>
  <si>
    <t>REFRESHMENT OFDRIVER  DURING COMMUNITY MOBILIZATION ON COVID-19 PENDEMIC IN RUBAVU DISTRICT FOR A PERIOD OF 14 DAYS</t>
  </si>
  <si>
    <t>COMMUNICATION FEES   DURING COMMUNITY MOBILIZATION ON COVID-19 PENDEMIC IN RUBAVU DISTRICT FOR A PERIOD OF 14 DAYS</t>
  </si>
  <si>
    <t>NIRAGIRE BUSINESS</t>
  </si>
  <si>
    <t>FUEL  DURING COMMUNITY MOBILIZATION ON COVID-19 PENDEMIC IN RUBAVU DISTRICT FOR A PERIOD OF 14 DAYS</t>
  </si>
  <si>
    <t>DPIII/0213</t>
  </si>
  <si>
    <t>PERDIEM FEES DURING COMMUNITY MOBILIZATION ON COVID-19 PENDEMIC IN NYARUGENGE DISTRICT FOR A PERIOD OF 14 DAYS</t>
  </si>
  <si>
    <t>HABIMANA JOSEPH</t>
  </si>
  <si>
    <t>PERDIEM  VOL  DURING COMMUNITY MOBILIZATION ON COVID-19 PENDEMIC IN NYARUGENGE DISTRICT FOR A PERIOD OF 14 DAYS</t>
  </si>
  <si>
    <t>LIST OF RRC VOLONTEERS</t>
  </si>
  <si>
    <t>FUEL DURING COMMUNITY MOBILIZATION ON COVID-19 PENDEMIC IN NYARUGENGE DISTRICT FOR A PERIOD OF 14 DAYS</t>
  </si>
  <si>
    <t>KOBIL</t>
  </si>
  <si>
    <t>LA RUBIBI INVESTMENT LTD</t>
  </si>
  <si>
    <t>FUEL  DURING COMMUNITY MOBILIZATION ON COVID-19 PENDEMIC IN NYARUGENGE DISTRICT FOR A PERIOD OF 14 DAYS</t>
  </si>
  <si>
    <t>SP</t>
  </si>
  <si>
    <t>P&amp;A DISTRIBUTORS</t>
  </si>
  <si>
    <t>DPIII/0214</t>
  </si>
  <si>
    <t>PERDIEM FEES COMMUNITY MOBILIZATION ON COVID-19 PENDEMIC  IN GASABO DISTRICT FOR A PERIOD OF 14 DAYS</t>
  </si>
  <si>
    <t>MOUSSA YAHYA BUHURU</t>
  </si>
  <si>
    <t>FUEL DURING COMMUNITY MOBILIZATION ON COVID-19 PENDEMIC  IN GASABO DISTRICT FOR A PERIOD OF 14 DAYS</t>
  </si>
  <si>
    <t>RUBIS</t>
  </si>
  <si>
    <t>PERDIEM DURING  COMMUNITY MOBILIZATION ON COVID-19 PENDEMIC IN KICUKIRO DISTRICT FOR A PERIOD OF 14 DAYS</t>
  </si>
  <si>
    <t>GASORE OCTAVE</t>
  </si>
  <si>
    <t>MUGABIRWA MARGRET</t>
  </si>
  <si>
    <t>PERDIEM  VOL DURING  COMMUNITY MOBILIZATION ON COVID-19 PENDEMIC IN KICUKIRO DISTRICT FOR A PERIOD OF 14 DAYS</t>
  </si>
  <si>
    <t>LIST RRC VOLONTEERS</t>
  </si>
  <si>
    <t>FUEL  DURING  COMMUNITY MOBILIZATION ON COVID-19 PENDEMIC IN KICUKIRO DISTRICT FOR A PERIOD OF 14 DAYS</t>
  </si>
  <si>
    <t>GADY&amp;JO LIGHT LTD</t>
  </si>
  <si>
    <t>ENGEN RWANDA</t>
  </si>
  <si>
    <t>DPIII/0392</t>
  </si>
  <si>
    <t>PAYMENT OF VEHICLES LEASING USED DURING COMMUNITY MOBILIZATION ON COVID 19 IN DIFFERENT DISTRICTS</t>
  </si>
  <si>
    <t>Totaal Dissemination of COVID-19 IEC materials and messages (via radio,FABL app, …)</t>
  </si>
  <si>
    <t>DIV190508</t>
  </si>
  <si>
    <t>DOORREKENING LOONKOST Q3/2019 DONOR RELATIONS</t>
  </si>
  <si>
    <t>Griet De Coster</t>
  </si>
  <si>
    <t>DIV190678</t>
  </si>
  <si>
    <t>DOORREKENING LOONKOST Q4/2019 DONOR RELATIONS</t>
  </si>
  <si>
    <t>DIV200039</t>
  </si>
  <si>
    <t>DOORREKENING LOONKOST Q1/2020 DONOR RELATIONS</t>
  </si>
  <si>
    <t>DIV200155</t>
  </si>
  <si>
    <t>DOORREKENING LOONKOST Q2/2020 DONOR RELATIONS</t>
  </si>
  <si>
    <t>DIV200358</t>
  </si>
  <si>
    <t>DOORREKENING LOONKOST Q3/2020 DONOR RELATIONS</t>
  </si>
  <si>
    <t>Elien Danckaerts</t>
  </si>
  <si>
    <t>DIV200489</t>
  </si>
  <si>
    <t>Loonkost Q4 2020 DPIII Donor Relations</t>
  </si>
  <si>
    <t>DIV210080</t>
  </si>
  <si>
    <t>Doorrekening loonkost DPIII Rwanda Donor Relations</t>
  </si>
  <si>
    <t>DIV210286</t>
  </si>
  <si>
    <t>DPIII Rwanda Donor Relations</t>
  </si>
  <si>
    <t>DIV210538</t>
  </si>
  <si>
    <t>DPIII Loonkost Q3 - Donor Relations Rwanda</t>
  </si>
  <si>
    <t>DIV210823</t>
  </si>
  <si>
    <t>DPIII Loonkost Q4 - Donor Relations Rwanda</t>
  </si>
  <si>
    <t>DIV211361</t>
  </si>
  <si>
    <t>DPIII Loonkostrecuperatie 2021 - Donor Relations Rwanda</t>
  </si>
  <si>
    <t>Totaal Donor relations (4%)</t>
  </si>
  <si>
    <t>DOORREKENING LOONKOST Q1/2020 DR OFFICER</t>
  </si>
  <si>
    <t>Trui Van Ackere</t>
  </si>
  <si>
    <t>DOORREKENING LOONKOST Q2/2020 DR OFFICER</t>
  </si>
  <si>
    <t>DOORREKENING LOONKOST Q3/2020 DR OFFICER</t>
  </si>
  <si>
    <t>Sofie De Jaeger</t>
  </si>
  <si>
    <t>Loonkost Q4 2020 DPIII DR Officer</t>
  </si>
  <si>
    <t>DIV210550</t>
  </si>
  <si>
    <t>DPIII Loonkost Q3 - DR Officer Rwanda</t>
  </si>
  <si>
    <t>Valentyna Parsaieva</t>
  </si>
  <si>
    <t>DIV210835</t>
  </si>
  <si>
    <t>DPIII Loonkost Q4 - DR Officer Rwanda</t>
  </si>
  <si>
    <t>Totaal DR officer (15%)</t>
  </si>
  <si>
    <t>DPIII/0478</t>
  </si>
  <si>
    <t>LAUNCH DURING PRESENT FINDINGS ,DATA COMPILATION</t>
  </si>
  <si>
    <t>NGORORERO DISTRICT</t>
  </si>
  <si>
    <t>Totaal Draft a risk map and contingency plan per district where none is yet available</t>
  </si>
  <si>
    <t>DPIII/0359</t>
  </si>
  <si>
    <t>PYMT LEASING INVOICE</t>
  </si>
  <si>
    <t>DPIII/0236</t>
  </si>
  <si>
    <t>PYMT OF STATIONNARIES INVOICE</t>
  </si>
  <si>
    <t>DPIII/0327</t>
  </si>
  <si>
    <t>PYMT OF SERVICES PROVIDED DURING MEETIN RISK MAPS</t>
  </si>
  <si>
    <t>DPIII/0522</t>
  </si>
  <si>
    <t>PYMT FOR TRAINING MATERIALS</t>
  </si>
  <si>
    <t>DPIII/0525</t>
  </si>
  <si>
    <t>PYMT OF SERVICES OFFERED DURING ORIENT TRAINING</t>
  </si>
  <si>
    <t>PYMT OF LESING INVOICE NO 6276</t>
  </si>
  <si>
    <t>PYMT OF LEASING INVOICE</t>
  </si>
  <si>
    <t>RRC DOC(LEASING)</t>
  </si>
  <si>
    <t>PAYMENT OF LEASING INVOICE</t>
  </si>
  <si>
    <t>DPIII/0247</t>
  </si>
  <si>
    <t>PAYMENT FOR EVCA DATA COMPILATION</t>
  </si>
  <si>
    <t>SEGILINKA</t>
  </si>
  <si>
    <t>PYMT FOR EVCA DATA COMPILATION,VALIDATION,ANALYSIS</t>
  </si>
  <si>
    <t>DPIII/0316</t>
  </si>
  <si>
    <t>PYMT FOR PERDIEM &amp;TRANSP PRES RUBAVU DISTR</t>
  </si>
  <si>
    <t>DPIII/0461</t>
  </si>
  <si>
    <t>TRANSP FEES FOR 21 VOL DURING TRINON RISK MAP</t>
  </si>
  <si>
    <t>RRC DOC(MTN MOMO)</t>
  </si>
  <si>
    <t>PERD &amp;TRANSP FEES FOR 3 MINEM REPRESENT</t>
  </si>
  <si>
    <t>TRANSP FEES FOR COORD AND FIELD TECHNICIAN</t>
  </si>
  <si>
    <t>DPIII/0467</t>
  </si>
  <si>
    <t>PERDIEM FEES DURING RISK MAPS ASSESSMENT</t>
  </si>
  <si>
    <t>RRC DOC(RUTI YVES)</t>
  </si>
  <si>
    <t>RRC DOC(EUGENE)</t>
  </si>
  <si>
    <t>DPIII/0470</t>
  </si>
  <si>
    <t>COMMUN &amp;INTERNET DURING RISK MAPS</t>
  </si>
  <si>
    <t>DPIII/0471</t>
  </si>
  <si>
    <t>TRANSP FEES DURING RISK ASSESSMENT</t>
  </si>
  <si>
    <t>DPIII/0474</t>
  </si>
  <si>
    <t>PERD OF EXPERT FROM RWANDA WATER RESSOURCE</t>
  </si>
  <si>
    <t>MTN MOMO</t>
  </si>
  <si>
    <t>DPIII/0475</t>
  </si>
  <si>
    <t>PERDEIM FESS DURING RISK MAP</t>
  </si>
  <si>
    <t>DPIII/0476</t>
  </si>
  <si>
    <t>PERDIEM OF DATA COLLECTOR DURING RISK MAP</t>
  </si>
  <si>
    <t>DPIII/0477</t>
  </si>
  <si>
    <t>TRANSP FEES DURING DATA COMPILATION</t>
  </si>
  <si>
    <t>DPIII/0479</t>
  </si>
  <si>
    <t>PURCHASE OF DRINKING WATER DURING RISK ASSESSMENT</t>
  </si>
  <si>
    <t>MEETING DURING DATA VALIDATION</t>
  </si>
  <si>
    <t>RUBAVU DISTRICT(RRC)</t>
  </si>
  <si>
    <t>DPIII/0482</t>
  </si>
  <si>
    <t>LANCH DURING MEETING ON DATA VALIDATION</t>
  </si>
  <si>
    <t>RUTSIRO DISTRICT(RRC)</t>
  </si>
  <si>
    <t>DPIII/0485</t>
  </si>
  <si>
    <t>LUNCH DURING A MEETING ON DATA VALIDATION</t>
  </si>
  <si>
    <t>PURCHASE OF WATER DURING RISK ASSESSMENT</t>
  </si>
  <si>
    <t>PERDIEM FEES OF DISTRICT MINEMA,POLICE, RDF</t>
  </si>
  <si>
    <t>DPIII/0488</t>
  </si>
  <si>
    <t>LANCH DURING PRESENT OF FINDINGS,DATA, COMPILATION</t>
  </si>
  <si>
    <t>DPIII/0489</t>
  </si>
  <si>
    <t>TRANSP FEES, REFRESHMENT DURING RISK ASSESSMENT</t>
  </si>
  <si>
    <t>PERDIEM OF DATA COLLECTOR</t>
  </si>
  <si>
    <t>TRANSP FEES, REFRESH DURING RISK ASSESSMENT</t>
  </si>
  <si>
    <t>DPIII/0495</t>
  </si>
  <si>
    <t>TRANSPORT FEES,REFRESHMENT DURING RISK ASSESSMENT</t>
  </si>
  <si>
    <t>DPIII/0497</t>
  </si>
  <si>
    <t>PERDIEM MINEMA, POLICE, RDF DURING RISK ASSESSMENT</t>
  </si>
  <si>
    <t>PYMT 1ST INSTALLMENT TO CONSULTANT</t>
  </si>
  <si>
    <t>NSEGIYUMVA  JB</t>
  </si>
  <si>
    <t>DPIII/0019</t>
  </si>
  <si>
    <t>PERDIEM FOR DRIVER DURING CONDUCTING RISK MAPS AND CONTINGENCY PLANS IN RUBAVU, RUTSIRO, NGORORERO DISTRICTS</t>
  </si>
  <si>
    <t>PYMT OF 2ND INSTALLMENT TO THE CONSULTANT WHO PROVIDED THE CONSULTANCY WORK TO RRC DURING RISK MAPS ASSESSMENT AND CONTINGENCY PLANS IN RUBAVU, RUTSIRO &amp; NGORORERO DISTRICTS</t>
  </si>
  <si>
    <t>NSENGIYUMVA JEAN BAPTISTE</t>
  </si>
  <si>
    <t>PAYMENT FOR EDITING AND PRINTING OF 24 FINALIZED RISK MAPS</t>
  </si>
  <si>
    <t>DPIII/0051</t>
  </si>
  <si>
    <t xml:space="preserve">PYMT WHT PERDIEM OF VOLUNTEERS AND DISTRICT EMPLOYEES WHO WERE INVOLVED IN RISK MAPS AND CONTIGENCY PLANS ASSESSMENT IN RUBAVU, RUTSIRO AND NGORORERO </t>
  </si>
  <si>
    <t>DPIII/0348</t>
  </si>
  <si>
    <t>PERDIEM OF HEAD OF DISASTER PREPAREDNESS, MITIDATION AND DRR SERVICE DURING PRESENTATION OF RISK MAPS AND CONTIGENCY OLANS AT RUBAVU, RUTSIRO AND NGORORERO</t>
  </si>
  <si>
    <t>DPIII/0350</t>
  </si>
  <si>
    <t>PERDIEM OF HEAD OF COMMUNICATION SERVICE DURING PRESENTATION OF RISK MAPS AND CONTI</t>
  </si>
  <si>
    <t>NIYITEGEKA PLACIDE</t>
  </si>
  <si>
    <t>LUNCH FOR PARTICIPANTS DURING PRESENTATION OD RISK MAPS AND CONTINGENCY PLANS AT RUBAVU DISTRICTS</t>
  </si>
  <si>
    <t>PEACE CORNER</t>
  </si>
  <si>
    <t>BREAKFAST FOR PARTICIPANTS DURING PRESENTATION OD RISK MAPS AND CONTINGENCY PLANS AT RUBAVU DISTRICTS</t>
  </si>
  <si>
    <t>TRANSPORT FEES FOR 3 RRC SECTOR COMMITTEE MEMBERS AND 3 REPRESENTATIVE FROM SECTOR DURING PRESENTATION OF RISK MAPS AND CONTIGENCY PLANS AT NGORORERO DISTRICT</t>
  </si>
  <si>
    <t>NGORORERO DISTRI CT COMMITTEE</t>
  </si>
  <si>
    <t>DPIII/0355</t>
  </si>
  <si>
    <t>TRANSPORT FEES FOR 3 RRC SECTOR COMMITTEE MEMBERS AND 3 REPRESENTATIVE FROM SECTOR DURING PRESENTATION OF RISK MAPS AND CONTIGENCY PLANS AT RUBAVU DISTRICT</t>
  </si>
  <si>
    <t>RUBAVU DISTRICT COMMITTEE</t>
  </si>
  <si>
    <t>TRANSPORT FEES FOR 3 RRC SECTOR COMMITTEE MEMBERS AND 3 REPRESENTATIVE FROM SECTOR DURING PRESENTATION OF RISK MAPS AND CONTIGENCY PLANS AT RUTSIRO DISTRICT</t>
  </si>
  <si>
    <t>RUTSIRO DISTRICT COMMITTEE</t>
  </si>
  <si>
    <t>REFRESHMENT FOR PARTICIPANTS DURING PRESENTATION OD RISK MAPS AND CONTINGENCY PLANS AT RUTSIRO DISTRICTS</t>
  </si>
  <si>
    <t>REFRESHMENT FOR PARTICIPANTS DURING PRESENTATION OD RISK MAPS AND CONTINGENCY PLANS AT NGORORERO DISTRICTS</t>
  </si>
  <si>
    <t>IMAGE &amp;TECHNOLOGY TRANSFERVLTD</t>
  </si>
  <si>
    <t>PERDIEM OF DRIVER WHO WILL DRIVE THE CAR FOR THE BELGIAN DELEGATE DURING HER FIELD VISIT AT RUBAVU, RUTSIRO AND NGORORERO</t>
  </si>
  <si>
    <t>MOUSA YAHYA BUHURU</t>
  </si>
  <si>
    <t>DPIII/0375</t>
  </si>
  <si>
    <t>PAYMENT FOR A VOLUNTEER WHO DITED TYPED AND TRANSLATED FROM KINYARWANDA INTO ENGLISH THE LAST FINDINGS AND CONTIGENCY PLANS FROM RUTSIRO, NGORORERO AND RUBAVU DISTRICTS</t>
  </si>
  <si>
    <t>SEGIRINKA VEDASTE</t>
  </si>
  <si>
    <t>DPIII/0386</t>
  </si>
  <si>
    <t>PAYMENT OF THE FLIP CHARTS USED DURING PRESENTATION OF RISK MAPS AND CONTIGENCY PLANS FINDINGS AT RUBAVU, RUTSIRO&amp;NGORORERO DISTRICTS</t>
  </si>
  <si>
    <t>DPIII/0549</t>
  </si>
  <si>
    <t>PAYMENT OF THE THE 3RD INSTALMENT TO THE CONSULTANT DURING RISK MAPS ASSESSMENT&amp; CONT</t>
  </si>
  <si>
    <t>DPIII/0550</t>
  </si>
  <si>
    <t>PAYMENT TAX FOR THE CONSULTANT DURING RISK MAPS ASSESSMENT &amp;CONTIGENCY PLANS</t>
  </si>
  <si>
    <t>Totaal Draft a risk map and contingency plan per sector where none is yet available</t>
  </si>
  <si>
    <t>DPIII/0368</t>
  </si>
  <si>
    <t>PYMT TRANSLATION OF DRR BOOKLETS</t>
  </si>
  <si>
    <t>DP3/0016</t>
  </si>
  <si>
    <t>ANNOUNCEMENT FORM TO BUY DRR BOOKLETS &amp; BICYCLES</t>
  </si>
  <si>
    <t>IMVAHO</t>
  </si>
  <si>
    <t>PAYMENT OF DRR BOOKLETS FOR SCHOOLS</t>
  </si>
  <si>
    <t>DPIII/0195</t>
  </si>
  <si>
    <t>PAYMENT OF DRR BOOKLETS FOR SCHOOLS(DESIGN AND PRINTING SIZE A5, GROSSY PAPER 130GR AND COVER OF 250 GR, FULL COLORPRINTING, STAPLING BINDING</t>
  </si>
  <si>
    <t>Totaal DRR booklets for schools</t>
  </si>
  <si>
    <t>DPIII*0281</t>
  </si>
  <si>
    <t>PERDIEM OF NURSES WORKING FOR EMS COVID-19 FOR THE PERIODE OF 28THJUNE TO 27TH JULY 2021</t>
  </si>
  <si>
    <t>NKUNZWENIMANA EGIDE</t>
  </si>
  <si>
    <t>PAYMENT OF SALAY FOR 01/2022/ SADDIK</t>
  </si>
  <si>
    <t>PAYMENT OF SALAY FOR 01/2022/ NTWALI</t>
  </si>
  <si>
    <t>NTWALI NOEL</t>
  </si>
  <si>
    <t>PAYMENT OF SALAY FOR 01/2022/ MOUSSA</t>
  </si>
  <si>
    <t>PAYMENT OF SALAY FOR 01/2022/ INNOCENT</t>
  </si>
  <si>
    <t>NSHIMIYIMANA INNOCENT</t>
  </si>
  <si>
    <t>PAYMENT OF SALAY FOR 01/2022/ JOSEPH</t>
  </si>
  <si>
    <t>PAYMENT OF SALAY FOR 01/2022/ RWIBASIRA</t>
  </si>
  <si>
    <t>RWIBASIRA BERNARD</t>
  </si>
  <si>
    <t>REIMB RET SAL 01/2022/SADDIK</t>
  </si>
  <si>
    <t>REIMB RET SAL 01/2022/NTWALI</t>
  </si>
  <si>
    <t>REIMB RET SAL 01/2022/MOUSSA</t>
  </si>
  <si>
    <t>REIMB RET SAL 01/2022/INNOCENT</t>
  </si>
  <si>
    <t>REIMB RET SAL 01/2022/JOSEPH</t>
  </si>
  <si>
    <t>REIMB RET SAL 01/2022/RWIBASIRA</t>
  </si>
  <si>
    <t>TAX ON MEDICAL INSTITUTIONS TRAINERS SALARY CONTRIBUTION FOR EMS PROJECT FROM 12TH JULY TO 30 JULY 2021</t>
  </si>
  <si>
    <t>PYMT OF MEDICAL INTITUTIONS TRAINERS SALARY CONTRIBUTION FOR EMS PROJECT 12TH JULY TO 30 JULY 2021</t>
  </si>
  <si>
    <t>LISTE BENEFICIAIRES</t>
  </si>
  <si>
    <t>PAYMENT OF MEDICAL INSTITUTIONS TRAINERS SALARY CONTRIBUTION FOR EMS PROJECTS FROM 2ND AUGUST TO 25TH AUGUST 2021</t>
  </si>
  <si>
    <t>DPIII/0259</t>
  </si>
  <si>
    <t>TAX ON MEDICAL INSTITUTIONS TRAINERS SALARY CONTRIBUTION FOR EMS PROJECT FROM  2NDAUGUST TO 25TH AUGUST</t>
  </si>
  <si>
    <t>PAYMENT OF SALARY FOR JULY 2021/SADDIK</t>
  </si>
  <si>
    <t>PAYMENT OF SALARY FOR JULY 2021/NTWALI</t>
  </si>
  <si>
    <t>PAYMENT OF SALARY FOR JULY 2021/MOUSSA</t>
  </si>
  <si>
    <t>PAYMENT OF SALARY FOR JULY 2021/INNOCENT</t>
  </si>
  <si>
    <t>INNOCENT NSHIMIYIMANA</t>
  </si>
  <si>
    <t>PAYMENT OF SALARY FOR JULY 2021/JOSEPH</t>
  </si>
  <si>
    <t>JOSEPH HABIMANA</t>
  </si>
  <si>
    <t>PAYMENT OF SALARY FOR JULY 2021/BERNARD</t>
  </si>
  <si>
    <t>BERNARD RWIBASIRA</t>
  </si>
  <si>
    <t>REMB RET SALARY FOR JULY 2021/SADDIK</t>
  </si>
  <si>
    <t>REMB RET  SALARY FOR JULY 2021/NTWALI</t>
  </si>
  <si>
    <t>REMB RET SALARY FOR JULY 2021/MOUSSA</t>
  </si>
  <si>
    <t>REMB RET  SALARY FOR JULY 2021/INNOCENT</t>
  </si>
  <si>
    <t>REMB RET SALARY FOR JULY 2021/JOSEPH</t>
  </si>
  <si>
    <t>REMB RET SALARY FOR JULY 2021/BERNARD</t>
  </si>
  <si>
    <t>DPIII/0278</t>
  </si>
  <si>
    <t>NIKUZE SARAH</t>
  </si>
  <si>
    <t>DPIII/0279</t>
  </si>
  <si>
    <t>TUYISHIME MARIE</t>
  </si>
  <si>
    <t>UMUTONI MARIE</t>
  </si>
  <si>
    <t>NTWARABAKIGA MAMY</t>
  </si>
  <si>
    <t>DPIII/0283</t>
  </si>
  <si>
    <t>PERDIEM OF NURSES WORKING FOR EMS COVID-19  RESPONSE FOR THE PERIODE OF 28THJUNE TO 27TH JULY 2021</t>
  </si>
  <si>
    <t>MARIE MADELEINE</t>
  </si>
  <si>
    <t>DPIII/0285</t>
  </si>
  <si>
    <t>TAX ON PERDIEM OF NURSES WORKING FOR EMS COVID-19  RESPONSE FOR THE PERIODE OF 28THJUNE TO 27TH JULY 2021</t>
  </si>
  <si>
    <t>TAX ON PERDIEM OF VOLUNTEER/NURSE REPLACING THE ONE ABSENT DUE TO TO THE LOSS OT RELATIVE</t>
  </si>
  <si>
    <t>DPIII/0291</t>
  </si>
  <si>
    <t>PERDIEM OF VOLUNTEER/NURSE REPLACING THE ONE WHO WAS NOT ABLE TO ATTEND DUE TO THE LOSS OF RELATIVE</t>
  </si>
  <si>
    <t>TUYISHIME PACIFIQUE</t>
  </si>
  <si>
    <t>PAYMENT OF SALARY FOR AUGUST 2021/SADDIK</t>
  </si>
  <si>
    <t>PAYMENT OF SALARY FOR AUGUST 2021/NTWALI</t>
  </si>
  <si>
    <t>PAYMENT OF SALARY FOR AUGUST 2021/MOUSSA</t>
  </si>
  <si>
    <t>MOUSSA YAHAYA BUHURU</t>
  </si>
  <si>
    <t>PAYMENT OF SALARY FOR AUGUST 2021/INNOCENT</t>
  </si>
  <si>
    <t>PAYMENT OF SALARY FOR AUGUST 2021/JOSEPH</t>
  </si>
  <si>
    <t>PAYMENT OF SALARY FOR AUGUST 2021/BERNARD</t>
  </si>
  <si>
    <t>REMB RET SALARY FOR AUGUST 2021/SADDIK</t>
  </si>
  <si>
    <t>REMB RET  SALARY FOR AUGUST 2021/NTWALI</t>
  </si>
  <si>
    <t>REMB RET SALARY FOR AUGUST 2021/MOUSSA</t>
  </si>
  <si>
    <t>REMB RET  SALARY FOR AUGUST 2021/INNOCENT</t>
  </si>
  <si>
    <t>REMB RET SALARY FOR AUGUST 2021/JOSEPH</t>
  </si>
  <si>
    <t>REMB RET SALARY FOR AUGUST 2021/BERNARD</t>
  </si>
  <si>
    <t>RRC/BERNARD RWIBASIRA</t>
  </si>
  <si>
    <t>CONTRIBUTION TO SALARIES FOR MEDICAL INSTITUTIONS FOR EMS PROJECT  July</t>
  </si>
  <si>
    <t>UNIVERSITY OF RWANDA</t>
  </si>
  <si>
    <t>DPIII/0317</t>
  </si>
  <si>
    <t>CONTRIBUTION TO SALARIES FOR MEDICAL INSTITUTIONS FOR EMS PROJECT August</t>
  </si>
  <si>
    <t>PERDIEM OF NURSES WORKINF FOR EMS COVID 19 RESPONSE FOR THE PERDIOD OF AUGUST 2021</t>
  </si>
  <si>
    <t>NKUNZWENIMANAEGIDE</t>
  </si>
  <si>
    <t>PERDIEM OF NURSES WORKINF FOR EMS COVID 19 RESPONSE FOR THE PERDIOD OF AUGUST 2022</t>
  </si>
  <si>
    <t>PERDIEM OF NURSES WORKINF FOR EMS COVID 19 RESPONSE FOR THE PERDIOD OF AUGUST 2023</t>
  </si>
  <si>
    <t>MAKAMUTESI M MADELEINE</t>
  </si>
  <si>
    <t>PERDIEM OF NURSES WORKINF FOR EMS COVID 19 RESPONSE FOR THE PERDIOD OF AUGUST 2024</t>
  </si>
  <si>
    <t>DPIII/0336</t>
  </si>
  <si>
    <t>PERDIEM OF NURSES WORKINF FOR EMS COVID 19 RESPONSE FOR THE PERDIOD OF AUGUST 2025</t>
  </si>
  <si>
    <t>NKUZE SARAH</t>
  </si>
  <si>
    <t>DPIII/0337</t>
  </si>
  <si>
    <t>RWANDA REVENUS AUTHORITY</t>
  </si>
  <si>
    <t>PAYMENT OF SALARY FOR OCTOBER 2021/SADDIK</t>
  </si>
  <si>
    <t>PAYMENT OF SALARY FOR OCTOBER 2021/NTWALI</t>
  </si>
  <si>
    <t>NTRWALI NOEL</t>
  </si>
  <si>
    <t>PAYMENT OF SALARY FOR OCTOBER 2021/MOUSSA</t>
  </si>
  <si>
    <t>PAYMENT OF SALARY FOR OCTOBER 2021/INNOCENT</t>
  </si>
  <si>
    <t>NSHIMIYIMANA NNOCENT</t>
  </si>
  <si>
    <t>PAYMENT OF SALARY FOR OCTOBER 2021/JOSEPH</t>
  </si>
  <si>
    <t>PAYMENT OF SALARY FOR OCTOBER 2021/BERNARD</t>
  </si>
  <si>
    <t>REMB RET SALARY FOR OCTOBER 2021/SADDIK</t>
  </si>
  <si>
    <t>REMB RET SALARY FOR OCTOBER 2021/NTWALI</t>
  </si>
  <si>
    <t>REMB RET SALARY FOR OCTOBER 2021/MOUSSA</t>
  </si>
  <si>
    <t>REMB RET SALARY FOR OCTOBER 2021/INNOCENT</t>
  </si>
  <si>
    <t>REMB RET SALARY FOR OCTOBER 2021/JOSEPH</t>
  </si>
  <si>
    <t>REMB RET SALARY FOR OCTOBER 2021/BERNARD</t>
  </si>
  <si>
    <t>DPIII/0416</t>
  </si>
  <si>
    <t>PERDIEM OF NURSES WORKINF FOR EMS COVID 19 RESPONSE FOR THE PERDIOD OF OCTOBER 2021</t>
  </si>
  <si>
    <t>DPIII/0418</t>
  </si>
  <si>
    <t>PERDIEM OF NURSES WORKINF FOR EMS COVID 19 RESPONSE FOR THE PERDIOD OF OCTOB 2021</t>
  </si>
  <si>
    <t>DPIII/0419</t>
  </si>
  <si>
    <t>MUKAMUTESI MARIE MADELEINE</t>
  </si>
  <si>
    <t>DPIII/0433</t>
  </si>
  <si>
    <t>PERDIEM OF NURSES WORKINF FOR EMS COVID 19 RESPONSE FOR THE PERDIOD OF SEPTEMBER  2021</t>
  </si>
  <si>
    <t>LIST OF NURSES</t>
  </si>
  <si>
    <t>DPIII/0434</t>
  </si>
  <si>
    <t>TAX ON PERDIEM OF NURSES WORKINF FOR EMS COVID 19 RESPONSE FOR THE PERDIOD OF SEPTEMBER  2021</t>
  </si>
  <si>
    <t>RRA</t>
  </si>
  <si>
    <t>PAYMENTOF SALARY FOR NOVEMBER 2021/SADDIK</t>
  </si>
  <si>
    <t>PAYMENT OF SALARY FOR NOVEMBER 2021/NTWALI</t>
  </si>
  <si>
    <t>PAYMENT OF SALARY FOR NOVEMBER 2021/MOUSSA</t>
  </si>
  <si>
    <t>PAYMENT OF  SALARY FOR NOVEMBER 2021/INNOCENT</t>
  </si>
  <si>
    <t>PAYMENT OF  SALARY FOR NOVEMBER 2021/JOSEPH</t>
  </si>
  <si>
    <t>PAYEMENT OF  SALARY FOR NOVEMBER 2021/BERNARD</t>
  </si>
  <si>
    <t>REMB RETEN SALARY FOR NOVEMBER 2021/SADDIK</t>
  </si>
  <si>
    <t>REMB RETEN SALARY FOR NOVEMBER 2021/NTWALI</t>
  </si>
  <si>
    <t>REMB RETEN  SALARY FOR NOVEMBER 2021/MOUSSA</t>
  </si>
  <si>
    <t>REMB RETEN SALARY FOR NOVEMBER 2021/INNOCENT</t>
  </si>
  <si>
    <t>REMB RETEN  SALARY FOR NOVEMBER 2021/JOSEPH</t>
  </si>
  <si>
    <t>REMB RETEN  SALARY FOR NOVEMBER 2021/BERNARD</t>
  </si>
  <si>
    <t>DPIII/0466</t>
  </si>
  <si>
    <t>PERDIEM OF THE NURSES WHO TOOK OVER FOR COVID 19 RESPONSE DURING THE ABSENCE OF THE APPOINTED NURSES</t>
  </si>
  <si>
    <t>NGENDAHIMANA VIATEUR</t>
  </si>
  <si>
    <t>PERDIEM OF A NURSE BASED AT RBC FOR COVID 19 RESPONSE FOR NOVEMBER 2021</t>
  </si>
  <si>
    <t>DPIII/0502</t>
  </si>
  <si>
    <t>DPIII/0505</t>
  </si>
  <si>
    <t>PERDIEM OF 3 BACK UP NURSES DURING THE SICKLEAVE OF NURSES IN COVID 19 RESPONSE AT COMMAND POST FOR 5 DAYS</t>
  </si>
  <si>
    <t>NAHAYO CHARLOTTE</t>
  </si>
  <si>
    <t>MUKANDAYISENGA FRANCINE</t>
  </si>
  <si>
    <t>PAYMENTOF SALARY FOR DECEMBER 2021/SADDIK</t>
  </si>
  <si>
    <t>PAYMENT OF SALARY FOR DECEMBER 2021/NTWALI</t>
  </si>
  <si>
    <t>PAYMENT OF SALARY FOR DECEMBER  2021/MOUSSA</t>
  </si>
  <si>
    <t>PAYMENT OF  SALARY FOR DECEMBER  2021/INNOCENT</t>
  </si>
  <si>
    <t>NSHIMIYIMANA DENYS INNOCENT</t>
  </si>
  <si>
    <t>PAYMENT OF  SALARY FOR DECEMBER  2021/JOSEPH</t>
  </si>
  <si>
    <t>PAYEMENT OF  SALARY FOR DECEMBER  2021/BERNARD</t>
  </si>
  <si>
    <t>PYMT BONUS  FOR DECEMBER  2021/SADDIK</t>
  </si>
  <si>
    <t>PYMT BONUS  FOR DECEMBER  2021/NTWALI</t>
  </si>
  <si>
    <t>PYMT BONUS  FOR DECEMBER 2021/MOUSSA</t>
  </si>
  <si>
    <t>PYMT BONUS  FOR DECEMBER 2021/INNOCENT</t>
  </si>
  <si>
    <t>PYMT BONUS  FOR DECEMBER 2021/JOSEPH</t>
  </si>
  <si>
    <t>PYMT BONUS  FOR DECEMBER 2021/BERNARD</t>
  </si>
  <si>
    <t>REIMB RET SAL  DECEMBER 2021/SADDIK</t>
  </si>
  <si>
    <t>REIMB RET SAL  DECEMBER 2021/NTWALI</t>
  </si>
  <si>
    <t>REIMB RET SAL  DECEMBER  2021/MOUSSA</t>
  </si>
  <si>
    <t>REIMB RET SAL  DECEMBER 2021/INNOCENT</t>
  </si>
  <si>
    <t>REIMB RET SAL  DECEMBER 2021/JOSEPH</t>
  </si>
  <si>
    <t>REIMB RET SAL  DECEMBER 2021/BERNARD</t>
  </si>
  <si>
    <t>REIMB RET BONUS DECEMBER 2021/SADDIK</t>
  </si>
  <si>
    <t>REIMB RET BONUS DECEMBER 2021/NTWALI</t>
  </si>
  <si>
    <t>REIMB RET BONUS DECEMBER  2021/MOUSSA</t>
  </si>
  <si>
    <t>REIMB RET BONUS DECEMBER 2021/INNOCENT</t>
  </si>
  <si>
    <t>REIMB RET BONUS  DECEMBER 2021/JOSEPH</t>
  </si>
  <si>
    <t>REIMB RET BONUS  DECEMBER 2021/BERNARD</t>
  </si>
  <si>
    <t>DPIII/0524</t>
  </si>
  <si>
    <t>PAYMENT OF TAXES ON PERDIEM OF 3 NURSES</t>
  </si>
  <si>
    <t>DPIII/0535</t>
  </si>
  <si>
    <t>PAYMENT OF TAX ON THE PERDIEM OF A NURSE</t>
  </si>
  <si>
    <t>DPIII/0557</t>
  </si>
  <si>
    <t>PERDIEM OF NURSE FOR SUPPORTING IN COVID-19 RESPONSE BASED AT RBC FOR DEC 2021</t>
  </si>
  <si>
    <t>NSHUTI JEAN PAUL</t>
  </si>
  <si>
    <t>DPIII/0558</t>
  </si>
  <si>
    <t>PERDIEM OF NURSE FOR SUPPORTING IN COVID-19 RESPONSE BASED AT RBC IN DECEMBER 2021</t>
  </si>
  <si>
    <t>DPIII/0559</t>
  </si>
  <si>
    <t>PERDIEM OF NURSE FOR SUPPORTING IN COVID-19 RESPONSE BASED AT RBC IN DECEMBER 2022</t>
  </si>
  <si>
    <t>DPIII/0560</t>
  </si>
  <si>
    <t>PERDIEM OF NURSE FOR SUPPORTING IN COVID-19 RESPONSE BASED AT RBC IN DECEMBER 2023</t>
  </si>
  <si>
    <t>DPIII/0563</t>
  </si>
  <si>
    <t>PAYMENT TAX ON PERDIM OF A NURSE FOR SUPPORTING IN COVID-19 RESPONSE BASED AT RBC IN DECEMBER 2021</t>
  </si>
  <si>
    <t>DPIII/0564</t>
  </si>
  <si>
    <t>DPIII/0569</t>
  </si>
  <si>
    <t>PAYMENT OF TAXES ON PERDIEMM OF A NURSE</t>
  </si>
  <si>
    <t>DPIII/0570</t>
  </si>
  <si>
    <t>DPIII/0589</t>
  </si>
  <si>
    <t>REMBOURSEMENT AU PROJET EMS SALAIRES JANVIER 2021</t>
  </si>
  <si>
    <t>STAFF PROJET EMS</t>
  </si>
  <si>
    <t>DPIII/0590</t>
  </si>
  <si>
    <t>REMBOURSEMENT AU PROJET EMS SALAIRES FEVRIER 2021</t>
  </si>
  <si>
    <t>DPIII/0591</t>
  </si>
  <si>
    <t>REMBOURSEMENT AU PROJET EMS SALAIRES MARS 2021</t>
  </si>
  <si>
    <t>DPIII/0601</t>
  </si>
  <si>
    <t>REMBOURSEMENT COMPLEMENT SUR LES PERDIIEMS DES NURSES POUR SEPTEMBRE 2021</t>
  </si>
  <si>
    <t>NURSES EMC COVID</t>
  </si>
  <si>
    <t>Totaal EMS Salaries</t>
  </si>
  <si>
    <t>DPIII/0222</t>
  </si>
  <si>
    <t xml:space="preserve">PYMT OF COMMUNICATION FEES FOR MEDICAL STAFF </t>
  </si>
  <si>
    <t>SOLANGE UMUTONI</t>
  </si>
  <si>
    <t>FUNDS TO PURCHASE FUEL FOR AMBULANCES</t>
  </si>
  <si>
    <t>MEREZ  PETROLEUM</t>
  </si>
  <si>
    <t>DPIII/0243</t>
  </si>
  <si>
    <t>REIMBURSEMENT OF FEES USED TO PURCHASE FACE SHIELDS USED DURING AMBULANCE SERVICE IN THE CONTEX OF COVID</t>
  </si>
  <si>
    <t>REIMBURSEMENT OF FEES USED TO PURCHASE OXYGEN MASKS USED DURING AMBULANCE SERVICE IN THE CONTEXT OF COVID</t>
  </si>
  <si>
    <t>DPIII/0245</t>
  </si>
  <si>
    <t>REIMBURSEMENT OF FEES USED TO PURCHASE FACE SHIELDS USED DURING AMBULANCE SERVICE IN THE CONTEXT OF COVID</t>
  </si>
  <si>
    <t>DPIII/0248</t>
  </si>
  <si>
    <t xml:space="preserve">COMMUNICATION FEES FOR MEDICAL STAFF FOR AMBULANCE SERVICE </t>
  </si>
  <si>
    <t>RRC/NGENDAHIMANA VIATEUR</t>
  </si>
  <si>
    <t>FUNDS FOR RECHARGING OXYGEN CONTAINERS THAT USED DURING EVACUATION OF PATIENTS WITH COVID-19</t>
  </si>
  <si>
    <t>DEPOT PHARMACEUTIQUE ET MATERIEL MEDICAL KALISIMBI LTD</t>
  </si>
  <si>
    <t>MEDIASOL</t>
  </si>
  <si>
    <t>DOVE FREIGHT AGENCY LTD</t>
  </si>
  <si>
    <t>APPLE SOLUTIONS LTD</t>
  </si>
  <si>
    <t>DPIII/0313</t>
  </si>
  <si>
    <t>REIMBUSEMENT OF FEES FOR REPAIRING TYRE OF AMBULANCE AND LOCK FOR THE STORE OF EQUIPMENT EMS COVID 19 REPONSE</t>
  </si>
  <si>
    <t>STATION RUBIS NYAMIRAMBO</t>
  </si>
  <si>
    <t>VITA HARDWARE LTD</t>
  </si>
  <si>
    <t>DPIII/0314</t>
  </si>
  <si>
    <t>PURCHASE OF FUEL FOR EMS COVID 19 REPONSE</t>
  </si>
  <si>
    <t>PAYMENT OF LEASING DURING DIFFERENT ACTIVITIES FOR EMS COVID 19 RESPONSE</t>
  </si>
  <si>
    <t>PAYMENT OF PERSONAL PROTECTIVE EQUIPMENTTYPE N95 MASKS AND OXYGEN MASKS FOR EMS COVID 19 RESPONSE</t>
  </si>
  <si>
    <t>DEPOT PHARMACEUTIQUE LE MEDICAL</t>
  </si>
  <si>
    <t>DPIII/0328</t>
  </si>
  <si>
    <t>FEES FOR INTERNET BUNDLES PURCHASING TO BE USED FOR COMMUNICATION AND REPORTING ON FIELD ACTIVITIES DURING AMBULANCE SERVICE IN CONTEXT OF COVID-19 FOR SEPTEMBER 2021</t>
  </si>
  <si>
    <t>REIMBURSEMENT OF FEES USED FOR REPAIR AND MAINTENANCE OF OXYGEN CYLINDER</t>
  </si>
  <si>
    <t>DEPOT PHARMACEUTIQUE KALISIMBI</t>
  </si>
  <si>
    <t>DPIII/0352</t>
  </si>
  <si>
    <t>PAYMENT FEES FOR AMBULANCE MAINTENANCE AND REPAIR OPERATING FOR COVID 19 RESPONSE</t>
  </si>
  <si>
    <t>RMADE GARAGE LTD</t>
  </si>
  <si>
    <t>DPIII/0361</t>
  </si>
  <si>
    <t>PAYMENT OF FEES FOR BADGES USED BY STAFF OPERATING IN THE CONTEXT OF COVID 19 IN KIGALI CITY</t>
  </si>
  <si>
    <t>DPIII/0382</t>
  </si>
  <si>
    <t>PAYMENT OF FEES FOR EMERGENCY MEDICAL CONSUMABLES FOR AMBULANCES OPERATED IN COVID 19 EMS</t>
  </si>
  <si>
    <t>RENE PHARMACY LTD</t>
  </si>
  <si>
    <t>PAYMENT OF LEASING INVOICE FOR DPIII ACTIVITIES</t>
  </si>
  <si>
    <t>DPIII/0492</t>
  </si>
  <si>
    <t>PAYMENT OF VEHICLE MAINTENANCE RAB 881H</t>
  </si>
  <si>
    <t>DPIII/0519</t>
  </si>
  <si>
    <t xml:space="preserve">PURCHASE OF EQUIPMENT FOR THE TRAINING CENTER EMC&amp;FA </t>
  </si>
  <si>
    <t>MUKESHIMANA JEANNE</t>
  </si>
  <si>
    <t>UMUTONI SOLANGE DENYSE</t>
  </si>
  <si>
    <t>PAYMENT INVOICE FOR AMBULANCE EQUIPMENT</t>
  </si>
  <si>
    <t>SURFOL RWANDA INDUSTRIES LTD</t>
  </si>
  <si>
    <t xml:space="preserve">PAYMENT OF FURNITURE INVOICE FOR PURCHASE OF EQUIPMENT </t>
  </si>
  <si>
    <t>FINE FURNITURE LTD</t>
  </si>
  <si>
    <t>DPIII/0547</t>
  </si>
  <si>
    <t>PAYMENT INVOICE FOR MAINTENANCE OF VEHICLE RAC 923M</t>
  </si>
  <si>
    <t>G.N.U. SOLUTIONS LTD</t>
  </si>
  <si>
    <t>DPIII/0548</t>
  </si>
  <si>
    <t>PAYMENT INVOICE FOR MAINTENANCE OF VEHICLES RAB 881H</t>
  </si>
  <si>
    <t>DPIII/0562</t>
  </si>
  <si>
    <t>PAYMENT OF MAINTENANCE FOR THE AMBULANCE</t>
  </si>
  <si>
    <t>DPIII/0572</t>
  </si>
  <si>
    <t>PAYMENT FOR AMBULANCE MEDICAL EQUIPMENT</t>
  </si>
  <si>
    <t>CROWN HEALTH CARE LTD</t>
  </si>
  <si>
    <t>DPIII/0573</t>
  </si>
  <si>
    <t>DEPOT PHARMACEUTIQUE FIDELIS LTD</t>
  </si>
  <si>
    <t>DPIII/0574</t>
  </si>
  <si>
    <t>DPIII/0575</t>
  </si>
  <si>
    <t>SANA MEDICAL STORES</t>
  </si>
  <si>
    <t>DPIII/0576</t>
  </si>
  <si>
    <t>DPIII/0577</t>
  </si>
  <si>
    <t>PAYMENT FOR VEHICLE MAINTENANCE RAD 743R</t>
  </si>
  <si>
    <t>G N U SOLUTIONS LTD</t>
  </si>
  <si>
    <t>DPIII/0578</t>
  </si>
  <si>
    <t>PAYMENT FOR AMBULANCE EQUIPMENT</t>
  </si>
  <si>
    <t>DPIII/0579</t>
  </si>
  <si>
    <t>DPIII/0580</t>
  </si>
  <si>
    <t>PAYMENT FOR SOLUTION HYDRO AOCOOLIQUE HAND SANITEZ</t>
  </si>
  <si>
    <t>KIPHARMA</t>
  </si>
  <si>
    <t>DPIII/0581</t>
  </si>
  <si>
    <t>PAYMENT FOR FACE MASKS KAREMAX&amp;MEDICAL FACE MASK</t>
  </si>
  <si>
    <t>DPIII/0592</t>
  </si>
  <si>
    <t>REMBOUSEMENT AU PROJET EMS ACHAT CARBURANT POUR AMBULANCES</t>
  </si>
  <si>
    <t>DPIII/0593</t>
  </si>
  <si>
    <t>REMBOURSEMENT AU PROJET EMS FRAIS D'ASSURANCE DES AMBULANCES</t>
  </si>
  <si>
    <t>SONAARWA</t>
  </si>
  <si>
    <t>DPIII/0595</t>
  </si>
  <si>
    <t>FRAIS DE DECLARATION POUR CONTROLE TECHNIQUE DES AMBULANCES</t>
  </si>
  <si>
    <t>IREMBO</t>
  </si>
  <si>
    <t>REMBOUSEMENT AU PROJET EMS FRAIS D'INTERNET DU STAFF MEDICAL</t>
  </si>
  <si>
    <t>MANGO TELECOM</t>
  </si>
  <si>
    <t>DPIII/0596</t>
  </si>
  <si>
    <t>REPARATION PNEU POUR AMBULANCE</t>
  </si>
  <si>
    <t>NSABIMANA</t>
  </si>
  <si>
    <t>PYMT OF CAR WASHING FEES  FOR JANUARY, FEBRUARY, MARCH</t>
  </si>
  <si>
    <t>TURIGENGA VICTOR</t>
  </si>
  <si>
    <t>ITANGISHAKA BOSCO</t>
  </si>
  <si>
    <t>DPIII/0597</t>
  </si>
  <si>
    <t>REMBOURSEMENT AU PROJET EMS FRAIS DE TAXE S/PERDIEM DU VOLONTAIRE ANESTHESISTE</t>
  </si>
  <si>
    <t>REMBOURSEMENT AU PROJET EMS FRAIS PERDIEM DU VOLONTAIRE ANESTHESISTE</t>
  </si>
  <si>
    <t>NYIRAMAHORO ODETTE</t>
  </si>
  <si>
    <t>DPIII/0598</t>
  </si>
  <si>
    <t>REMBOUSEMENT AU PROJET EMS FRAIS DE LEASING</t>
  </si>
  <si>
    <t>DPIII/0599</t>
  </si>
  <si>
    <t>REMBOURSEMENT AU PROJET EMS FRAIS DE MISSIONS STAFF SERVICE MEDICAL</t>
  </si>
  <si>
    <t>DPIII/0600</t>
  </si>
  <si>
    <t>REMBOURSEMENT AU PROJET EMS FRAIS DE PHOTOCOPIES ET SCANS DES DOCUMENTS</t>
  </si>
  <si>
    <t>BETTER ENGINNEERING SERVICES</t>
  </si>
  <si>
    <t>DPIII/551</t>
  </si>
  <si>
    <t>PAYMENT INVOICE FOR MAINTENANCE OF VEHICLE RAC 246U</t>
  </si>
  <si>
    <t>Totaal EMS Service costs</t>
  </si>
  <si>
    <t>PYMT SERVICE OFFERED DURING PLANIF MEETING</t>
  </si>
  <si>
    <t>PERDIEMS &amp;TRANSP FEES FOR COORD, FOCAL POINTS</t>
  </si>
  <si>
    <t>DPIII/0145</t>
  </si>
  <si>
    <t>TRANSP&amp;PERDIEM DURING DPIII MEETING</t>
  </si>
  <si>
    <t>PYMT OF SERVICES OFFERED DURING DPIII MEETING</t>
  </si>
  <si>
    <t>Totaal Establish a technical response working group on infectious diseases within the RRC at HQ level</t>
  </si>
  <si>
    <t>DPIII/0290</t>
  </si>
  <si>
    <t>PAYMENT TO THE IMVAHO NSHYA TO ADVERTISE THE TENDER FOR PURCHASE OF MEGAPHONES AND PORTABLE RADIOS FOR EARLY WARNING</t>
  </si>
  <si>
    <t>RPPC IMVAHO NSHYA</t>
  </si>
  <si>
    <t>DPIII/0453</t>
  </si>
  <si>
    <t>PAYMENT OF 523 PORTABLES RADIOS TO USE AS EARLY WARNING TOOLS</t>
  </si>
  <si>
    <t>FREEDOM MOBILE STORE LTD</t>
  </si>
  <si>
    <t>Totaal EW set for branches (per cell)</t>
  </si>
  <si>
    <t>DOORREKENING LOONKOST Q3/2019 FA EXPERT</t>
  </si>
  <si>
    <t>Eerste Hulp</t>
  </si>
  <si>
    <t>DOORREKENING LOONKOST Q4/2019 FA EXPERT</t>
  </si>
  <si>
    <t>DOORREKENING LOONKOST Q1/2020 FA EXPERT</t>
  </si>
  <si>
    <t>DOORREKENING LOONKOST Q2/2020 FA EXPERT</t>
  </si>
  <si>
    <t>DOORREKENING LOONKOST Q3/2020 FA EXPERT</t>
  </si>
  <si>
    <t>Loonkost Q4 2020 DPIII FA expert</t>
  </si>
  <si>
    <t>Doorrekening loonkost DPIII Rwanda FA expert</t>
  </si>
  <si>
    <t>DPIII Rwanda FA expert</t>
  </si>
  <si>
    <t>DIV210526</t>
  </si>
  <si>
    <t>DPIII Loonkost Q3 - FA Expert Rwanda</t>
  </si>
  <si>
    <t>DIV210811</t>
  </si>
  <si>
    <t>DPIII Loonkost Q4 - FA Expert Rwanda</t>
  </si>
  <si>
    <t>DIV211349</t>
  </si>
  <si>
    <t>DPIII Loonkostrecuperatie 2021 - FA Expert Rwanda</t>
  </si>
  <si>
    <t>Totaal FA Expert (3,75%)</t>
  </si>
  <si>
    <t>DPIII/0056</t>
  </si>
  <si>
    <t>PAYMENT OF FA KIT</t>
  </si>
  <si>
    <t>Totaal FA kits for trained community members</t>
  </si>
  <si>
    <t>Totaal First Aid kits for Red Cross teams</t>
  </si>
  <si>
    <t>DOORREKENING LOONKOST Q1/2020 DRR EXPERT</t>
  </si>
  <si>
    <t>DOORREKENING LOONKOST Q2/2020 DRR EXPERT</t>
  </si>
  <si>
    <t>DOORREKENING LOONKOST Q3/2020 DRR EXPERT</t>
  </si>
  <si>
    <t>DIV200847</t>
  </si>
  <si>
    <t>Loonkosten N. Bergs november</t>
  </si>
  <si>
    <t>Nathalie Bergs</t>
  </si>
  <si>
    <t>DIV200848</t>
  </si>
  <si>
    <t>Loonkosten N. Bergs december</t>
  </si>
  <si>
    <t>DIV210544</t>
  </si>
  <si>
    <t>DPIII Loonkost Q3 - DRR Expert Rwanda</t>
  </si>
  <si>
    <t>Sidsel Petersen</t>
  </si>
  <si>
    <t>DIV210829</t>
  </si>
  <si>
    <t>DPIII Loonkost Q4 - DRR Expert Rwanda</t>
  </si>
  <si>
    <t>DIV211367</t>
  </si>
  <si>
    <t>DPIII Loonkostrecuperatie 2021 - DRR Expert Rwanda</t>
  </si>
  <si>
    <t>DIV211373</t>
  </si>
  <si>
    <t>DPIII Loonkostrecuperatie 2021 - FP Distributions/Disaster Response Rwanda</t>
  </si>
  <si>
    <t>Totaal FP DRR (15%)</t>
  </si>
  <si>
    <t>DOORREKENING LOONKOST Q3/2019 FOCAL POINT FA</t>
  </si>
  <si>
    <t>Elke Weyenbergh</t>
  </si>
  <si>
    <t>DOORREKENING LOONKOST Q4/2019 FOCAL POINT FA</t>
  </si>
  <si>
    <t>DOORREKENING LOONKOST Q1/2020 FOCAL POINT FA</t>
  </si>
  <si>
    <t>DOORREKENING LOONKOST Q2/2020 FOCAL POINT FA</t>
  </si>
  <si>
    <t>DOORREKENING LOONKOST Q3/2020 FOCAL POINT FA</t>
  </si>
  <si>
    <t>Loonkost Q4 2020 DPIII Focal Point FA</t>
  </si>
  <si>
    <t>Doorrekening loonkost DPIII Rwanda Focal Point FA</t>
  </si>
  <si>
    <t>DPIII Rwanda Focal Point FA</t>
  </si>
  <si>
    <t>DIV210514</t>
  </si>
  <si>
    <t>DPIII Loonkost Q3 - Focal Point FA Rwanda</t>
  </si>
  <si>
    <t>DIV210799</t>
  </si>
  <si>
    <t>DPIII Loonkost Q4 - Focal Point FA Rwanda</t>
  </si>
  <si>
    <t>DIV211337</t>
  </si>
  <si>
    <t>DPIII Loonkostrecuperatie 2021 - Focal Point FA Rwanda</t>
  </si>
  <si>
    <t>DIV211385</t>
  </si>
  <si>
    <t>DPIII Loonkostrecuperatie 2021 - HSIO FA Rwanda</t>
  </si>
  <si>
    <t>Dries Goeminne/ Ann-Sophie Roose</t>
  </si>
  <si>
    <t>Totaal FP FA (7,50%)</t>
  </si>
  <si>
    <t>DOORREKENING LOONKOST Q3/2019 FOCAL POINT WASH</t>
  </si>
  <si>
    <t>Charlotte Schelstraete</t>
  </si>
  <si>
    <t>DOORREKENING LOONKOST Q4/2019 FOCAL POINT WASH</t>
  </si>
  <si>
    <t>DOORREKENING LOONKOST Q1/2020 FOCAL POINT WASH</t>
  </si>
  <si>
    <t>DOORREKENING LOONKOST Q2/2020 FOCAL POINT WASH</t>
  </si>
  <si>
    <t>DOORREKENING LOONKOST Q3/2020 FOCAL POINT WASH</t>
  </si>
  <si>
    <t>Loonkost Q4 2020 DPIII Focal Point WASH</t>
  </si>
  <si>
    <t>Doorrekening loonkost DPIII Rwanda Focal Point WASH</t>
  </si>
  <si>
    <t>DPIII Rwanda Focal Point WASH</t>
  </si>
  <si>
    <t>DIV210520</t>
  </si>
  <si>
    <t>DPIII Loonkost Q3 - Focal Point Wash Rwanda</t>
  </si>
  <si>
    <t>DIV210805</t>
  </si>
  <si>
    <t>DPIII Loonkost Q4 - Focal Point Wash Rwanda</t>
  </si>
  <si>
    <t>DIV211343</t>
  </si>
  <si>
    <t>DPIII Loonkostrecuperatie 2021 - Focal Point Wash Rwanda</t>
  </si>
  <si>
    <t>DIV211391</t>
  </si>
  <si>
    <t>DPIII Loonkostrecuperatie 2021 - HSIO WASH Rwanda</t>
  </si>
  <si>
    <t>Totaal FP WASH (7,50%)</t>
  </si>
  <si>
    <t>DPIII/0161</t>
  </si>
  <si>
    <t>PYMT OF LEASING INVOICE No6106</t>
  </si>
  <si>
    <t>DPIII/0162</t>
  </si>
  <si>
    <t>PYMT OF LEASING INVOICE No6109</t>
  </si>
  <si>
    <t>PYMT OF LEASING INVOICE NO 6275</t>
  </si>
  <si>
    <t>PAYMENT OF LEASING INVOICE NO6299</t>
  </si>
  <si>
    <t>PAYMENT OF LEASING INVOICE No 6344</t>
  </si>
  <si>
    <t>PAYMENT OF LEASING INVOICE No 6358</t>
  </si>
  <si>
    <t>PAYMENT OF LEASING INVOICE No6409</t>
  </si>
  <si>
    <t>DP3/0015</t>
  </si>
  <si>
    <t>FUEL FOR FOLLOW UP OF ACTIVITIES</t>
  </si>
  <si>
    <t>MEREZ</t>
  </si>
  <si>
    <t>DP3/0018</t>
  </si>
  <si>
    <t>PYMT OF LEASING INVOICE N 125</t>
  </si>
  <si>
    <t>DP3/0029</t>
  </si>
  <si>
    <t>PYMT OF LEASING INVOICE No 166</t>
  </si>
  <si>
    <t>DPIII/0007</t>
  </si>
  <si>
    <t>PYMT OF VEHICLES LEASING USED TO DEPOSIT  DPIII DOC TO THE BANK</t>
  </si>
  <si>
    <t>DPIII/0008</t>
  </si>
  <si>
    <t xml:space="preserve">PAYMENT THE TRUCK FOR THE TRANSPORTATION OF DIFFERENT MATERIALS </t>
  </si>
  <si>
    <t>KARENGE JEAN PAUL</t>
  </si>
  <si>
    <t>DPIII/0033</t>
  </si>
  <si>
    <t>PAYMENT OF VEHICLE LEASING USED DURING DPIII ACTIVITIES</t>
  </si>
  <si>
    <t>leasing</t>
  </si>
  <si>
    <t>DPIII/0049</t>
  </si>
  <si>
    <t>PYMT OF LEASING INVOICE NO6601 USED DURING DPIII ACTIVITIES</t>
  </si>
  <si>
    <t>DPIII/0053</t>
  </si>
  <si>
    <t>PYMT LEASING INVOICE No 6851 USED FOR SIGNING DOCUMENT AT MTN AND BANK DEPOSIT FOR DPIII PROJECT</t>
  </si>
  <si>
    <t>DPIII/0059</t>
  </si>
  <si>
    <t>PYMT OF LEASING INVOICE No187</t>
  </si>
  <si>
    <t>DPIII/0063</t>
  </si>
  <si>
    <t>PYMT OF VEHICLES LEASING USED DURING DISTRIBUTION OF NFLS TO RUTSIRO DISTRICT</t>
  </si>
  <si>
    <t>DPIII/0064</t>
  </si>
  <si>
    <t>PYMT OF VEHICLES LEASING USED DURING COMMUNITY MOBILIZATION AGAINST COVID-19 PANDEMIC AT GICUMBI AND MUSANZE DISTRICTS</t>
  </si>
  <si>
    <t>PYMT OF VEHICLES LEASING USED DURING DPIII PROJECT ACTIVITIES</t>
  </si>
  <si>
    <t>PYMT OF LEASING USED DURING DPIII PROJECT ACTIVITIES</t>
  </si>
  <si>
    <t>DPIII/0069</t>
  </si>
  <si>
    <t>PAYMENT FOR LEASING INVOICE No201</t>
  </si>
  <si>
    <t>DPIII/0070</t>
  </si>
  <si>
    <t>PAYMENT FOR LEASING INVOICE No198</t>
  </si>
  <si>
    <t>DPIII/0076</t>
  </si>
  <si>
    <t>PYMT FOR LEASING INVOICE No200</t>
  </si>
  <si>
    <t>DPIII/0081</t>
  </si>
  <si>
    <t>PYMT FOR LEASING INVOICE No199</t>
  </si>
  <si>
    <t>DPIII/0088</t>
  </si>
  <si>
    <t>PAYMENT OF VEHICLE LEASING INVOICE NO 6931 AND 6932 USED DURING DPIII ACTIVITIES</t>
  </si>
  <si>
    <t>DPIII/0095</t>
  </si>
  <si>
    <t>PERDIEM FOR DRIVER DURING DPIII TRAINING</t>
  </si>
  <si>
    <t>DPIII/0103</t>
  </si>
  <si>
    <t>PYMT OF LEASING INVOICE No223</t>
  </si>
  <si>
    <t>DPIII/0104</t>
  </si>
  <si>
    <t>PYMT OF LEASING INVOICE No238</t>
  </si>
  <si>
    <t>DPIII/0123</t>
  </si>
  <si>
    <t>PYMT OF LEASING INVOICE No241</t>
  </si>
  <si>
    <t>PYMT OF LEASING INVOICE No240</t>
  </si>
  <si>
    <t>DPIII/0125</t>
  </si>
  <si>
    <t>PYMT OF LEASING INVOICE No249</t>
  </si>
  <si>
    <t>PAYMENT OF LEASING INVOICE DURING GOING TO RUMA FOR TO PICK THE SIGNED AUDIT REPORT OF DP3 PROJECT</t>
  </si>
  <si>
    <t>PAYMENT OF LEASING INVOICE TO TRAVEL TO THE BANK TO DEPOSE THE TRANSFERT AND GOING TO RUMA FOR SUBMITTING THE AUDIT ATTACHMENT FOR DP3</t>
  </si>
  <si>
    <t>PAYMENT OF LEASING INVOICE USED FOR JOINT PLANNING, REPORTING AND MONITORING OF DPIII PROJECT ACTIVITIES</t>
  </si>
  <si>
    <t>PAYMENT OF CAR LEASING USED DURING FOLLOW UP OF RHABILITATION OF OFFICE</t>
  </si>
  <si>
    <t>PAYMENT OF LEASING  INVOICE No 258</t>
  </si>
  <si>
    <t>DPIII/0179</t>
  </si>
  <si>
    <t>PAYMENT OF LEASING INVOICE USED DURING DPIII PROJECT ACTIVITIES COLLECT OF PROFORMAS</t>
  </si>
  <si>
    <t>PAYMENT OF LEASING INVOICE USED DURING DPIII PROJECT ACTIVITIES  BANKING TRANSACTIONS</t>
  </si>
  <si>
    <t>PAYMENT OF LEASING INVOICE USED DURING DPIII PROJECT ACTIVITIES AT RUTSIRO DISTRICT COMMITTEE</t>
  </si>
  <si>
    <t>DPIII/0216</t>
  </si>
  <si>
    <t>PAYMENT OF VIHICLES LEASING USED DURING DPIII PROJECT ACTIVITIES FOLLOW UP OF CASH TRANSFER  IN KARONGI</t>
  </si>
  <si>
    <t>DPIII/0225</t>
  </si>
  <si>
    <t>PAYMENT OF LEASIN INVOICE USED DURING DP3 ACTIVITIES</t>
  </si>
  <si>
    <t>PAYMENT OF VIHICLE LEASING USED DURING TRANSPORTATION OF CONSTRUCTION MATERIALS FOR REHABILITATION OF NGORORERO WATE SOURCE</t>
  </si>
  <si>
    <t>PAYMENT OF HIRED TRUCKS FOR TRANSPORTATION OF 900 IRON SHEETS AND 750 KG OF CIMENT</t>
  </si>
  <si>
    <t>DPIII/0340</t>
  </si>
  <si>
    <t>PAYMENTOF VEHICLES LEASING USED DURING MONITORING OF DPIII PROJECT ACTIVITIES</t>
  </si>
  <si>
    <t>DPIII/0365</t>
  </si>
  <si>
    <t>PERDIEM FOR ADRIVER FOR THE TRNASPORT OF CONSTR MATERIALS FOR REHABILITATION OF WATER SOURCES FROM HQ TO NGORORERO</t>
  </si>
  <si>
    <t>NSABIMANA LEOPOLD</t>
  </si>
  <si>
    <t>DPIII/0373</t>
  </si>
  <si>
    <t>PERDIEM OF THE DRIVER FOR TRANSPORTATION OF IRON SHEETS FOR THE HOUSES OF VULNERABLE PEOPLE MOVED FROM THE HIGH RISK ZONES</t>
  </si>
  <si>
    <t xml:space="preserve">PAYMENT OF LEASING USED DURING THE FIELD VISIT FOR MONITORING OF DPIII PROJECT ACTIVITIES </t>
  </si>
  <si>
    <t>DPIII/0389</t>
  </si>
  <si>
    <t>PAYMENT OF LEASING USED DURING THE DPIII PROJECT ACTIVITIES</t>
  </si>
  <si>
    <t>DPIII/0404</t>
  </si>
  <si>
    <t>PAYMENT INVOICE No 257 USED DURING TRANSPORTATION OF IRON SHEETS</t>
  </si>
  <si>
    <t>DPIII/0407</t>
  </si>
  <si>
    <t>PAYEMENT OF LEASING INVOICE No 246 USED DURING DPIII PROJECT ACTIVITIES</t>
  </si>
  <si>
    <t>DPIII/0411</t>
  </si>
  <si>
    <t>PAYMENT OF LEASING INVOICE No259 USED DURING FIELD VISIT</t>
  </si>
  <si>
    <t>PAYMENT OF LEASING DURING FIELD MONITORING VISIT</t>
  </si>
  <si>
    <t>DPIII/0458</t>
  </si>
  <si>
    <t>PAYMENT OF LEASING USED DURING DPIII ACTIVITES</t>
  </si>
  <si>
    <t>DPIII/0459</t>
  </si>
  <si>
    <t>PAYMENT OF LEASING USED DURING FIELD VISIT</t>
  </si>
  <si>
    <t>DPIII/0493</t>
  </si>
  <si>
    <t>PAYMENT OF VEHICLES LEASING USED DURING FIELD EVALUATION MISSION</t>
  </si>
  <si>
    <t>DPIII/0345</t>
  </si>
  <si>
    <t>PAYMENT OF LEASING INVOICE NO 032</t>
  </si>
  <si>
    <t>PAYMENT OF VEHICLE LEASING</t>
  </si>
  <si>
    <t>17/06/2020, 29/06/2020</t>
  </si>
  <si>
    <t>PAYMENT OF LEASING INVOICE NO 6479</t>
  </si>
  <si>
    <t>DPIII/0302</t>
  </si>
  <si>
    <t>PYMT LEASING INVOICE No 008</t>
  </si>
  <si>
    <t>DPIII/0414</t>
  </si>
  <si>
    <t>PYMT OF HECICLE LEASING</t>
  </si>
  <si>
    <t>RRC /LEASING</t>
  </si>
  <si>
    <t>PYMT OF LEASING INVOICE No018,019,020,021,022</t>
  </si>
  <si>
    <t>DPIII/0366</t>
  </si>
  <si>
    <t>PERDIEM OF DPIII PROJECT MANAGER</t>
  </si>
  <si>
    <t xml:space="preserve">Totaal Fuel, mileage and transportation costs </t>
  </si>
  <si>
    <t>DPIII/0442</t>
  </si>
  <si>
    <t>PYMT OF ANTIVRUS FOR COMPUTERS</t>
  </si>
  <si>
    <t>DPIII/0454</t>
  </si>
  <si>
    <t>PYMT INVOICE FOR STATIONARIES</t>
  </si>
  <si>
    <t>DPIII/0393</t>
  </si>
  <si>
    <t>PUBLICATION IGIHE</t>
  </si>
  <si>
    <t>IGIHE</t>
  </si>
  <si>
    <t>PUBLICATION IMVAHO</t>
  </si>
  <si>
    <t>TVI</t>
  </si>
  <si>
    <t>FUEL FOR DPIII ACTIVIES</t>
  </si>
  <si>
    <t>MEREZ LTD</t>
  </si>
  <si>
    <t>Jean Pierre Rwema(RRC)</t>
  </si>
  <si>
    <t>Totaal General working costs related to COVID-19 activities</t>
  </si>
  <si>
    <t>DPIII/0177</t>
  </si>
  <si>
    <t>PYMT SAL 01/2020 CONSOLEE</t>
  </si>
  <si>
    <t>DPIII/0178</t>
  </si>
  <si>
    <t>REMB RET SAL 01/2020/CONSOLEE</t>
  </si>
  <si>
    <t>REMB RETENUS S/SAL 02/2020 CONSOLEE</t>
  </si>
  <si>
    <t>PYMT SAL  03/2020 CONSOLEE</t>
  </si>
  <si>
    <t>REMB RET SAL 03/2020/CONSOLEE</t>
  </si>
  <si>
    <t>PYMT SAL  04/2020 CONSOLEE</t>
  </si>
  <si>
    <t>REMB RETENUS SAL 04/2020/CONSOLEE</t>
  </si>
  <si>
    <t>REMB.RET./SAL.11/19-CONSOLEE</t>
  </si>
  <si>
    <t>Consolee Uwamaliya(RRC)</t>
  </si>
  <si>
    <t>PYMT SAL 11/ 2019 CONSOLEE</t>
  </si>
  <si>
    <t>DPIII/0129</t>
  </si>
  <si>
    <t>PYMT BONUS 12/2019/CONSOLEE</t>
  </si>
  <si>
    <t>DPIII/0130</t>
  </si>
  <si>
    <t>PYMT REIMB SAL 12/2019-CONSOLEE</t>
  </si>
  <si>
    <t>PYMT SAL 12/ 2019 CONSOLEE</t>
  </si>
  <si>
    <t>Totaal Head of accountants, 1 person, 8 months</t>
  </si>
  <si>
    <t>PYMT SAL  01/2020  UWAMUNGU</t>
  </si>
  <si>
    <t>Uwamungu Thierry(RRC)</t>
  </si>
  <si>
    <t>REMB RET SAL 01/2020/UWAMUNGU</t>
  </si>
  <si>
    <t>PYMT SAL  02/2020  UWAMUNGU</t>
  </si>
  <si>
    <t>REMB RETENUS S/SAL 02/2020 UWAMUNGU</t>
  </si>
  <si>
    <t>PYMT SAL  03/2020  UWAMUNGU</t>
  </si>
  <si>
    <t>REMB RET SAL 03/2020/UWAMUNGU</t>
  </si>
  <si>
    <t>Totaal Head of communication, 1 person, 4 months</t>
  </si>
  <si>
    <t>PYMT SAL  01/2020  MARTHE</t>
  </si>
  <si>
    <t>Uwumuremyi Marthe(RRC)</t>
  </si>
  <si>
    <t>REMB RET SAL 01/2020/MARTHE</t>
  </si>
  <si>
    <t>PYMT SAL  02/2020  MARTHE</t>
  </si>
  <si>
    <t>REMB RETENUS S/SAL 02/2020 MARTHE</t>
  </si>
  <si>
    <t>PYMT SAL  03/2020  MARTHE</t>
  </si>
  <si>
    <t>REMB RET SAL 03/2020/MARTHE</t>
  </si>
  <si>
    <t>PYMT SAL  04/2020  MARTHE</t>
  </si>
  <si>
    <t>REMB RETENUS SAL 04/2020/MARTHE</t>
  </si>
  <si>
    <t>Totaal Head of DAF department, 1 person, 4 months</t>
  </si>
  <si>
    <t>PYMT SAL  01/2020  NDIMBATI</t>
  </si>
  <si>
    <t>Ndimbati Pierre Claver(RRC)</t>
  </si>
  <si>
    <t>REMB RET SAL 01/2020/NDIMBATI</t>
  </si>
  <si>
    <t>REMB RETENUS S/SAL 02/2020 NDIMBATI</t>
  </si>
  <si>
    <t>PYMT SAL  03/2020  NDIMBATI</t>
  </si>
  <si>
    <t>REMB RET SAL 03/2020/NDIMBATI</t>
  </si>
  <si>
    <t>PYMT SAL  04/2020  NDIMBATI</t>
  </si>
  <si>
    <t>REMB RETENUS SAL 04/2020/NDIMBATI</t>
  </si>
  <si>
    <t>Totaal Head of DAT department, 1 person, 4 months</t>
  </si>
  <si>
    <t>PYMT SAL  01/2020 EUGENE</t>
  </si>
  <si>
    <t>REMB RET SAL 01/2020/EUGENE</t>
  </si>
  <si>
    <t>PYMT SAL  02/2020 EUGENE</t>
  </si>
  <si>
    <t>REMB RETENUS S/SAL 02/2020 EUGENE</t>
  </si>
  <si>
    <t>PYMT SAL  03/2020 EUGENE</t>
  </si>
  <si>
    <t>REMB RET SAL 03/2020/EUGENE</t>
  </si>
  <si>
    <t>PYMT SAL  04/2020 EUGENE</t>
  </si>
  <si>
    <t>REMB RETENUS SAL 04/2020/EUGENE</t>
  </si>
  <si>
    <t>REMB RET S/SAL 05/2020/EUGENE</t>
  </si>
  <si>
    <t>PYMT SAL  05/2020 EUGENE</t>
  </si>
  <si>
    <t>PYMT SAL  06/2020 EUGENE</t>
  </si>
  <si>
    <t>REMB RETENUS S/SAL 06/2020 EUGENE</t>
  </si>
  <si>
    <t>REMB RETENUS S/BONUS 06/2020 EUGENE</t>
  </si>
  <si>
    <t>PYMT BONUS  06/2020 EUGENE</t>
  </si>
  <si>
    <t>DPIII/0287</t>
  </si>
  <si>
    <t>COMPL RETENUS S/BONUS 06/2020/EUGENE</t>
  </si>
  <si>
    <t>PYMT SAL 07/2020/KARANGWA</t>
  </si>
  <si>
    <t>REMB RETEN SAL 07/2020/KARANGWA</t>
  </si>
  <si>
    <t>PYMT SAL 08/2020/KARANGWA</t>
  </si>
  <si>
    <t>REMB RET SAL 09/2020/KARANGWA</t>
  </si>
  <si>
    <t>PYMT SAL 09/2020/KARANGWA</t>
  </si>
  <si>
    <t>REMB RET SAL 10/2020/EUGENE</t>
  </si>
  <si>
    <t>REMB RET SAL 10/2020/FLORENCE</t>
  </si>
  <si>
    <t>Florence Umulisa(RRC)</t>
  </si>
  <si>
    <t>PYMT SAL 10/2020/EUGENE</t>
  </si>
  <si>
    <t>PYMT SAL 10/2020/FLORENCE</t>
  </si>
  <si>
    <t>REMB RET S/SAL 03/2021/EUGENE</t>
  </si>
  <si>
    <t>EUGENE KARANGWA</t>
  </si>
  <si>
    <t>PYMT SAL 03/2021 EUGENE</t>
  </si>
  <si>
    <t>PYMT SAL 04/2021 EUGENE</t>
  </si>
  <si>
    <t>REMB RET S/SAL 04/2021/EUGENE</t>
  </si>
  <si>
    <t>DPIII/0087</t>
  </si>
  <si>
    <t>REMB.RET./SAL.11/19-EUGENE</t>
  </si>
  <si>
    <t>PYMT SAL  11/ 2019 EUGENE</t>
  </si>
  <si>
    <t>PYMT BONUS 12/2019/EUGENE</t>
  </si>
  <si>
    <t>PYMT REIMB SAL 12/2019-EUGENE</t>
  </si>
  <si>
    <t>PYMT SAL  12/ 2019 EUGENE</t>
  </si>
  <si>
    <t>PYMT SAL 05/2021 EUGENE</t>
  </si>
  <si>
    <t>REMB RET S/SAL 05/2021/EUGENE</t>
  </si>
  <si>
    <t>PYMT SAL 06/2021 EUGENE</t>
  </si>
  <si>
    <t>PYMT BONUS 06/2021 EUGENE</t>
  </si>
  <si>
    <t>REIMB RET BONUS 06/2021 EUGENE</t>
  </si>
  <si>
    <t>REIMB RET SAL 06/2021 EUGENE</t>
  </si>
  <si>
    <t>PAYMENT OF SALARY FOR JULY 2021/KARANGWA</t>
  </si>
  <si>
    <t>REMB RET SALARY FOR JULY 2021/KARANGWA</t>
  </si>
  <si>
    <t>PAYMENT OF SALARY FOR AUGUST 2021/KARANGWA</t>
  </si>
  <si>
    <t>KARANGWA EVODE</t>
  </si>
  <si>
    <t>REMB RET SALARY FOR AUGUST 2021/KARANGWA</t>
  </si>
  <si>
    <t>/KARANGWA EUGENE</t>
  </si>
  <si>
    <t>Totaal Head of disaster management service, 1 person, 12 months</t>
  </si>
  <si>
    <t>PYMT SAL 01/2020 ESTHER</t>
  </si>
  <si>
    <t>REMB RET SAL 01/2020/ESTHER</t>
  </si>
  <si>
    <t>PYMT SAL 02/2020 ESTHER</t>
  </si>
  <si>
    <t>REMB RETENUS S/SAL 02/2020 ESTHER</t>
  </si>
  <si>
    <t>PYMT SAL  03/2020 ESTHER</t>
  </si>
  <si>
    <t>REMB RET SAL 03/2020/ESTHER</t>
  </si>
  <si>
    <t>PYMT SAL  04/2020 ESTHER</t>
  </si>
  <si>
    <t>REMB RETENUS SAL 04/2020/ESTHER</t>
  </si>
  <si>
    <t>DP3/0041</t>
  </si>
  <si>
    <t>PMT SAL 10/19 ESTHER</t>
  </si>
  <si>
    <t>Esther Mukamurenzi</t>
  </si>
  <si>
    <t>DP3/0042</t>
  </si>
  <si>
    <t>REMB.RET./SAL.10/19-ESTHER</t>
  </si>
  <si>
    <t>REMB.RET./SAL.11/19-ESTHER</t>
  </si>
  <si>
    <t>Esther Mukamurenzi(RRC)</t>
  </si>
  <si>
    <t>PYMT SAL  11/ 2019 ESTHER</t>
  </si>
  <si>
    <t>PYMT REIMB SAL 12/2019-ESTHER</t>
  </si>
  <si>
    <t>PYMT SAL  12/ 2019 ESTHER</t>
  </si>
  <si>
    <t>Totaal Head of HR, 1 person, 3 months</t>
  </si>
  <si>
    <t>PYMT SAL  01/2020 RWEMA JP</t>
  </si>
  <si>
    <t>REMB RET SAL 01/2020/RWEMA JP</t>
  </si>
  <si>
    <t>REMB RETENUS S/SAL 02/2020 RWEMA</t>
  </si>
  <si>
    <t>PYMT SAL   03/2020 RWEMA JP</t>
  </si>
  <si>
    <t>REMB RET SAL 03/2020/RWEMA JP</t>
  </si>
  <si>
    <t>PYMT SAL   04/2020 RWEMA JP</t>
  </si>
  <si>
    <t>REMB RETENUS SAL 04/2020/RWEMA</t>
  </si>
  <si>
    <t>Totaal Head of logistics, 1 person, 3 months</t>
  </si>
  <si>
    <t>PYMT SAL  01/2020 MUJIJI</t>
  </si>
  <si>
    <t>Mujiji Noel(RRC)</t>
  </si>
  <si>
    <t>REMB RET SAL 01/2020/MUJIJI</t>
  </si>
  <si>
    <t>PYMT SAL  02/2020 MUJIJI</t>
  </si>
  <si>
    <t>REMB RETENUS S/SAL 02/2020 MUJIJI</t>
  </si>
  <si>
    <t>PYMT SAL 03/2020 MUJIJI</t>
  </si>
  <si>
    <t>REMB RET SAL 03/2020/MUJIJI</t>
  </si>
  <si>
    <t>PYMT SAL 04/2020 MUJIJI</t>
  </si>
  <si>
    <t>REMB RETENUS SAL 04/2020/MUJIJI</t>
  </si>
  <si>
    <t>PMT SAL 10/19/ MUJIJI</t>
  </si>
  <si>
    <t>Mujiji Noel</t>
  </si>
  <si>
    <t>REMB.RET./SAL.10/19-MUJIJI</t>
  </si>
  <si>
    <t>REMB.RET./SAL.11/19-MUJIJI</t>
  </si>
  <si>
    <t>PYMT SAL  11/ 2019 MUJIJI</t>
  </si>
  <si>
    <t>PYMT REIMB SAL 12/2019-MUJIJI</t>
  </si>
  <si>
    <t>PYMT SAL  12/ 2019 MUJIJI</t>
  </si>
  <si>
    <t>Totaal Head of OD department, 1 person, 4 months</t>
  </si>
  <si>
    <t>PYMT SAL  01/2020  NTAKIRUTIMANA</t>
  </si>
  <si>
    <t>Ntakirutimana Emmanuel(RRC)</t>
  </si>
  <si>
    <t>REMB RET SAL 01/2020/NTAKIRUTIMANA</t>
  </si>
  <si>
    <t>REMB RETENUS S/SAL 02/2020 NTAKIRUTIMANA</t>
  </si>
  <si>
    <t>PYMT SAL  03/2020  NTAKIRUTIMANA</t>
  </si>
  <si>
    <t>REMB RET SAL 03/2020/NTAKIRUTIMANA</t>
  </si>
  <si>
    <t>PYMT SAL  04/2020  NTAKIRUTIMANA</t>
  </si>
  <si>
    <t>REMB RETENUS SAL 04/2020/NTAKIRUTIMANA</t>
  </si>
  <si>
    <t>Totaal Head of PMER department, 1 person, 8 months</t>
  </si>
  <si>
    <t>DP3/0023</t>
  </si>
  <si>
    <t>PYMT FOR 30 BOX OF TEMBO SOAPS</t>
  </si>
  <si>
    <t>SULFO</t>
  </si>
  <si>
    <t>DP3/0024</t>
  </si>
  <si>
    <t>PYMT OF MATERIALS FOR TRINED COMMUNITY</t>
  </si>
  <si>
    <t>RWACOM</t>
  </si>
  <si>
    <t>DPIII/0074</t>
  </si>
  <si>
    <t>PAYMENT FOR PUBLICATION</t>
  </si>
  <si>
    <t>PYMT OF 30 BOX TEMBO FOR COMMUNITY MEMBERS</t>
  </si>
  <si>
    <t>SULFO RWANDA</t>
  </si>
  <si>
    <t>Totaal Hygiene materials for trained community members</t>
  </si>
  <si>
    <t>PAYMENT OF VEHICLE LEASING USED DURING TRANSPORTATION OF CONSTRUCTION MATERIALS AT NGORORERO BRANCH OFFICE</t>
  </si>
  <si>
    <t>Totaal Identify and validate the most adequate early-warning systems per community</t>
  </si>
  <si>
    <t>DPIII/0276</t>
  </si>
  <si>
    <t>PYMT OF DP3 AUDIT INVOICE  (2rd Phase)</t>
  </si>
  <si>
    <t>BDO EA LTD</t>
  </si>
  <si>
    <t>DPIII/0275</t>
  </si>
  <si>
    <t>PYMT OF DP3 AUDIT INVOICE  (1st Phase)</t>
  </si>
  <si>
    <t>DPIII/0066</t>
  </si>
  <si>
    <t>PYMT OF 50% ON INVOICE FOR EXTERNAL AUDIT FOR DP3 PROJECT</t>
  </si>
  <si>
    <t>ITAU AUDITORS LTD</t>
  </si>
  <si>
    <t>DPIII/0077</t>
  </si>
  <si>
    <t xml:space="preserve">PAYMENT INVOICE FOR EXTERNAL AUDIT SERVICES FINAL INSTALLMENT </t>
  </si>
  <si>
    <t>ITAU AUDITORS  LTD</t>
  </si>
  <si>
    <t>DPIII/0080</t>
  </si>
  <si>
    <t>PAYMENT FOR PROVIDING EXTERNAL AUDIT SERVICES OF DP3 PROJECT FINANCIAL STATEMENT FOR THE YEAR 2020</t>
  </si>
  <si>
    <t>RUMA CPA</t>
  </si>
  <si>
    <t>PERDIEM FEES DURING THE FINAL EXTERNAL EVALUATION OF DPIII PROJECTS</t>
  </si>
  <si>
    <t>DPIII/0085A</t>
  </si>
  <si>
    <t>PAYMENT OF VEHICLES LEASING USED DURING EXTERNAL EVALUATION</t>
  </si>
  <si>
    <t>DPIII/0085B</t>
  </si>
  <si>
    <t>PAYMENT OF FINAL AUDIT INVOICE FOR DPIII PROJECT</t>
  </si>
  <si>
    <t>Totaal Internal audit and evaluation</t>
  </si>
  <si>
    <t>PYMT SAL  01/2020  MULISA G</t>
  </si>
  <si>
    <t>Mulisa Germain(RRC)</t>
  </si>
  <si>
    <t>REMB RET SAL 01/2020/MULISA G</t>
  </si>
  <si>
    <t>REMB RETENUS S/SAL 02/2020 MULISA</t>
  </si>
  <si>
    <t>PYMT SAL  03/2020  MULISA G</t>
  </si>
  <si>
    <t>REMB RET SAL 03/2020/MULISA G</t>
  </si>
  <si>
    <t>PYMT SAL  04/2020  MULISA G</t>
  </si>
  <si>
    <t>REMB RETENUS SAL 04/2020/MULISA</t>
  </si>
  <si>
    <t>REMB RET S/SAL 05/2020/MULISA</t>
  </si>
  <si>
    <t>PYMT SAL  05/2020  MULISA G</t>
  </si>
  <si>
    <t>Totaal Internal auditor, 1 person, 3 months</t>
  </si>
  <si>
    <t>PYMT SAL  01/2020 YVES</t>
  </si>
  <si>
    <t>REMB RET SAL 01/2020/YVES</t>
  </si>
  <si>
    <t>PYMT SAL  02/2020 YVES</t>
  </si>
  <si>
    <t>REMB RETENUS S/SAL 02/2020 YVES</t>
  </si>
  <si>
    <t>PYMT SAL  03/2020 YVES</t>
  </si>
  <si>
    <t>REMB RET SAL 03/2020/YVES</t>
  </si>
  <si>
    <t>DP3/0004</t>
  </si>
  <si>
    <t>REMB.RET./SAL.09/19-YVES</t>
  </si>
  <si>
    <t>Yves Ruti</t>
  </si>
  <si>
    <t>DP3/0005</t>
  </si>
  <si>
    <t>PYMT SAL 09/19 YVES</t>
  </si>
  <si>
    <t xml:space="preserve">Yves Ruti </t>
  </si>
  <si>
    <t>PYMT SAL 10/19 YVES</t>
  </si>
  <si>
    <t>REMB.RET./SAL.10/19-YVES</t>
  </si>
  <si>
    <t>REMB.RET./SAL.11/19-YVES</t>
  </si>
  <si>
    <t>PYMT SAL  11/2019 2019 YVES</t>
  </si>
  <si>
    <t>PYMT REIMB SAL 12/2019-YVES</t>
  </si>
  <si>
    <t>PYMT SAL  12/2019 2019 YVES</t>
  </si>
  <si>
    <t>Totaal IT manager, 1 person, 3 months</t>
  </si>
  <si>
    <t>DOORREKENING LOONKOST Q3/2019 JPA</t>
  </si>
  <si>
    <t>Louise O'Connor</t>
  </si>
  <si>
    <t>DOORREKENING LOONKOST Q4/2019 JPA</t>
  </si>
  <si>
    <t>DOORREKENING LOONKOST Q1/2020 JPA</t>
  </si>
  <si>
    <t>Hajar</t>
  </si>
  <si>
    <t>DOORREKENING LOONKOST Q2/2020JPA</t>
  </si>
  <si>
    <t>DOORREKENING LOONKOST Q3/2020 JPA</t>
  </si>
  <si>
    <t>RKV - A&amp;F</t>
  </si>
  <si>
    <t>Totaal JPA - data collection, processing … (5,25%)</t>
  </si>
  <si>
    <t>DOORREKENING LOONKOST Q3/2019 MANAGER IS</t>
  </si>
  <si>
    <t>Tiene Lievens</t>
  </si>
  <si>
    <t>DOORREKENING LOONKOST Q4/2019 MANAGER IS</t>
  </si>
  <si>
    <t>DOORREKENING LOONKOST Q1/2020 MANAGER IS</t>
  </si>
  <si>
    <t>DOORREKENING LOONKOST Q2/2020 MANAGER IS</t>
  </si>
  <si>
    <t>DOORREKENING LOONKOST Q3/2020 MANAGER IS</t>
  </si>
  <si>
    <t>Loonkost Q4 2020 DPIII Manager IS</t>
  </si>
  <si>
    <t>DIV210562</t>
  </si>
  <si>
    <t>DPIII Loonkost Q3 - HSIO Rwanda</t>
  </si>
  <si>
    <t>DIV210847</t>
  </si>
  <si>
    <t>DPIII Loonkost Q4 - HSIO Rwanda</t>
  </si>
  <si>
    <t>Totaal Manager IS (4%)</t>
  </si>
  <si>
    <t>DPII/0406</t>
  </si>
  <si>
    <t>PAYMENT OF LEASING INVOICE No213 USED TO PURCHASE THE AMBULANCE EQUIPMENT</t>
  </si>
  <si>
    <t>DPIII/0003</t>
  </si>
  <si>
    <t>PYMT OF DOCUMENTARY FILM ON RRC ACTIVITIES RESPONDING TO COVID-19</t>
  </si>
  <si>
    <t>PROFWSSIONAL VIDEO PRODUCTION</t>
  </si>
  <si>
    <t>DPIII/0055</t>
  </si>
  <si>
    <t>PYMT LEASING INVOICE No 6852 TRANSPORT OF DIFFERENT NFIS AT NGORORERO, RUBAVU AND DURING MOBILIZATION AGAINST COVID-19 IN NYARUGENGE DISTRICT</t>
  </si>
  <si>
    <t>PAYMENT OF CAR LEASING USED DURING COMMUNITY MOBILIZATION ON COVID-19 IN GASABO DISTRICT</t>
  </si>
  <si>
    <t>PAYMENT OF CAR LEASING USED DURING COMMUNITY MOBILIZATION ON COVID-19 IN GASABO ,NYARUGENGE AND KICUKIRO DISTRICTS COMMITTEES</t>
  </si>
  <si>
    <t>PAYMENT OF CAR LEASING USED DURING COMMUNITY MOBILIZATION ON COVID-19 IN NYARUGENGE DISTRICT</t>
  </si>
  <si>
    <t>DPIII/0144</t>
  </si>
  <si>
    <t>PURCHASE OF FUEL FOR THE PROJECT ACTIVITIES</t>
  </si>
  <si>
    <t>DPIII/0226</t>
  </si>
  <si>
    <t xml:space="preserve">PAYMENT OF VIHICLES LEASING USED DURING CASH DISTRIBUTION </t>
  </si>
  <si>
    <t>/LEASING</t>
  </si>
  <si>
    <t>DPIII/0257</t>
  </si>
  <si>
    <t>PURCHASE OF FUEL FOR DPIII PROJECT</t>
  </si>
  <si>
    <t>DPIII/0394</t>
  </si>
  <si>
    <t xml:space="preserve">PURCHASE OF FUEL TO USE DURING COMMUNITY MOBILIZATION AGAINST COVID 19 PANDEMIC </t>
  </si>
  <si>
    <t>DPIII/0402</t>
  </si>
  <si>
    <t>PAYMENT OF LEASING INVOICE  No 7090 FOR EMS ACTIVITIES</t>
  </si>
  <si>
    <t>PAYMENT OF LEASING INVOICE  No 235FOR EMS ACTIVITIES</t>
  </si>
  <si>
    <t>PAYMENT OF LEASING INVOICE  No 252FOR EMS ACTIVITIES</t>
  </si>
  <si>
    <t>DPIII/0405</t>
  </si>
  <si>
    <t>PAYMENT INVOICE FOR MODEM( ROUTER)</t>
  </si>
  <si>
    <t>MANGO 4G</t>
  </si>
  <si>
    <t>DPIII/0412</t>
  </si>
  <si>
    <t>PAYEMENT OF RENT OF ROOM DURING RECRUTEMENT OF NURSES</t>
  </si>
  <si>
    <t>DPIII/0417</t>
  </si>
  <si>
    <t>COMMINICATION FEES FOR  NURSES</t>
  </si>
  <si>
    <t>DPIII/0429</t>
  </si>
  <si>
    <t>PERDIEMS DURING THE ANNUAL PARTER'S MEETING 2021</t>
  </si>
  <si>
    <t>UWIMANA ODETH</t>
  </si>
  <si>
    <t>DPIII/0469</t>
  </si>
  <si>
    <t>PAYMENT OF RAPID TEST OF COVID 19 FOR PARTICIPANT IN CBHFA TRAINING</t>
  </si>
  <si>
    <t>ASSOCIATION DES DIABETIQUES</t>
  </si>
  <si>
    <t>DPIII/0481</t>
  </si>
  <si>
    <t>PAYMENT OF RAPID TEST OF COVID 19 DURING 2021 ANNUAL PARTENERS MEETING</t>
  </si>
  <si>
    <t>PAYMENT OF THE BOAT INSURANCE FOR RUBAVU BRANCH COMMITTEE</t>
  </si>
  <si>
    <t>MUA</t>
  </si>
  <si>
    <t>DPIII/0594</t>
  </si>
  <si>
    <t>REMBOUSEMENTS AU PROJET EMS FRAIS D'ACHAT MATERIELS D;HYGIENE ET PROTECTION PERSONNELLE/BANK CHARGES</t>
  </si>
  <si>
    <t>BANK OF KIGALI</t>
  </si>
  <si>
    <t>REMBOUSEMENTS AU PROJET EMS FRAIS D'ACHAT MATERIELS D;HYGIENE ET PROTECTION PERSONNELLE/ECRITOIRE</t>
  </si>
  <si>
    <t>KENLO TECHNOLOGY LTD</t>
  </si>
  <si>
    <t>REMBOUSEMENTS AU PROJET EMS FRAIS D'ACHAT MATERIELS D;HYGIENE ET PROTECTION PERSONNELLE/ECTITOIRE</t>
  </si>
  <si>
    <t>REMBOUSEMENTS AU PROJET EMS FRAIS D'ACHAT MATERIELS D;HYGIENE ET PROTECTION PERSONNELLE/SANIZER</t>
  </si>
  <si>
    <t>PHARMACIE UMUBIRIZI</t>
  </si>
  <si>
    <t>REMBOUSEMENTS AU PROJET EMS FRAIS D'ACHAT MATERIELS D;HYGIENE ET PROTECTION PERSONNELLE/SAVON LIQUIDE, SUNLIGHT SOAP</t>
  </si>
  <si>
    <t>DEVOTA SHOP LTD</t>
  </si>
  <si>
    <t>REMBOUSEMENTS AU PROJET EMS FRAIS D'ACHAT MATERIELS D;HYGIENE ET PROTECTION PERSONNELLE/SUNLIGHT SOAP</t>
  </si>
  <si>
    <t>REMBOUSEMENTS AU PROJET EMS FRAIS D'ACHAT MATERIELS D;HYGIENE ET PROTECTION PERSONNELLE/ OMO</t>
  </si>
  <si>
    <t>MISAGO APHRODICE</t>
  </si>
  <si>
    <t>REMBOUSEMENTS AU PROJET EMS FRAIS D'ACHAT MATERIELS D;HYGIENE ET PROTECTION PERSONNELLE/HAND SNATIZER&amp;FACE MASK</t>
  </si>
  <si>
    <t>EMMA SANITAS PHARMACY</t>
  </si>
  <si>
    <t>REMBOUSEMENTS AU PROJET EMS FRAIS D'ACHAT MATERIELS D;HYGIENE ET PROTECTION PERSONNELLEMASKS&amp;GANTS</t>
  </si>
  <si>
    <t>REMBOUSEMENTS AU PROJET EMS FRAIS D'ACHAT MATERIELS D;HYGIENE ET PROTECTION PERSONNELLE/HANDSANITIZER&amp;FACE MASK</t>
  </si>
  <si>
    <t>PAHRMACIE LA PREFERENCE LTD</t>
  </si>
  <si>
    <t>ONKOSTEN190078</t>
  </si>
  <si>
    <t>ONK VERG E. DANCKAERTS - VERVOER ZAVENTEM - NMBS</t>
  </si>
  <si>
    <t>ELIEN DANCKAERTS</t>
  </si>
  <si>
    <t>ONKOSTEN190087</t>
  </si>
  <si>
    <t>ONK VERG E. DANCKAERTS NMBS VERGADERING DGD</t>
  </si>
  <si>
    <t>ONK VERG E. DANCKAERTS CBS PLATFORM VOORSTELLING CROIX ROUGE</t>
  </si>
  <si>
    <t>ONKOSTEN210749</t>
  </si>
  <si>
    <t>ONK Van Aert D taxi 2021-11-18 Taxi luchthaven - field trip Rwanda</t>
  </si>
  <si>
    <t>VAN AERT DIDIER</t>
  </si>
  <si>
    <t>ONKOSTEN210752</t>
  </si>
  <si>
    <t>ONK Van Aert D Vertrek/Terugkeer  2021-11-11 Field trip Rwanda</t>
  </si>
  <si>
    <t>ONKOSTEN210753</t>
  </si>
  <si>
    <t>ONK Van Aert D Dagvergoeding 2021-11-12 Field trip Rwanda</t>
  </si>
  <si>
    <t>ONKOSTEN210754</t>
  </si>
  <si>
    <t>ONK Van Aert D Dagvergoeding 2021-11-13 Field trip Rwanda</t>
  </si>
  <si>
    <t>ONKOSTEN210755</t>
  </si>
  <si>
    <t>ONK Van Aert D Dagvergoeding 2021-11-14 Field trip Rwanda</t>
  </si>
  <si>
    <t>ONKOSTEN210756</t>
  </si>
  <si>
    <t>ONK Van Aert D Dagvergoeding 2021-11-16 Field trip Rwanda</t>
  </si>
  <si>
    <t>ONKOSTEN210757</t>
  </si>
  <si>
    <t>ONK Van Aert D Dagvergoeding 2021-11-15 Field trip Rwanda</t>
  </si>
  <si>
    <t>ONKOSTEN210758</t>
  </si>
  <si>
    <t>ONK Van Aert D Dagvergoeding 2021-11-17 Field trip Rwanda</t>
  </si>
  <si>
    <t>ONKOSTEN210759</t>
  </si>
  <si>
    <t>ONK Van Aert D Vertrek/Terugkeer  2021-11-19 Field trip Rwanda</t>
  </si>
  <si>
    <t>ONKOSTEN210760</t>
  </si>
  <si>
    <t>ONK Van Aert D Dagvergoeding 2021-11-18 Field trip Rwanda</t>
  </si>
  <si>
    <t>AANK1900680</t>
  </si>
  <si>
    <t>DLG3$TICKET E. DANCKAERTS BRUSSEL - KIGALI</t>
  </si>
  <si>
    <t>AANK2100630</t>
  </si>
  <si>
    <t>DLG3$TICKET D. VAN AERT BRUSSEL - KIGALI</t>
  </si>
  <si>
    <t>ONK VERG E. DANCKAERTS - GENEESMIDDELEN VACCINATIES RWANDA</t>
  </si>
  <si>
    <t>ONK VERG E. DANCKAERTS - TOERISTENVISUM RWANDA</t>
  </si>
  <si>
    <t>ONK VERG E. DANCKAERTS - PER DIEM RWANDA</t>
  </si>
  <si>
    <t>ONK VERG E. DANCKAERTS PER DIEM RWANDA KICK OFF DPIII</t>
  </si>
  <si>
    <t>ONKOSTEN200328</t>
  </si>
  <si>
    <t>ONK Bergs N Dagvergoeding  +30d 2020-11-25 missie naar Rwanda</t>
  </si>
  <si>
    <t>Bergs Nathalie</t>
  </si>
  <si>
    <t>ONKOSTEN200330</t>
  </si>
  <si>
    <t>ONK Bergs N Dagvergoeding  +30d 2020-11-23 missie naar Rwanda</t>
  </si>
  <si>
    <t>ONKOSTEN200331</t>
  </si>
  <si>
    <t>ONK Bergs N Dagvergoeding  +30d 2020-11-24 missie naar Rwanda</t>
  </si>
  <si>
    <t>ONKOSTEN200332</t>
  </si>
  <si>
    <t>ONK Bergs N Dagvergoeding  +30d 2020-11-21 missie naar Rwanda</t>
  </si>
  <si>
    <t>ONKOSTEN200333</t>
  </si>
  <si>
    <t>ONK Bergs N Dagvergoeding  +30d 2020-11-18 missie naar Rwanda</t>
  </si>
  <si>
    <t>ONKOSTEN200334</t>
  </si>
  <si>
    <t>ONK Bergs N Dagvergoeding  +30d 2020-11-20 missie naar Rwanda</t>
  </si>
  <si>
    <t>ONKOSTEN200335</t>
  </si>
  <si>
    <t>ONK Bergs N Dagvergoeding  +30d 2020-11-09 missie naar Rwanda</t>
  </si>
  <si>
    <t>ONKOSTEN200337</t>
  </si>
  <si>
    <t>ONK Bergs N Dagvergoeding  +30d 2020-11-17 missie naar Rwanda</t>
  </si>
  <si>
    <t>ONKOSTEN200338</t>
  </si>
  <si>
    <t>ONK Bergs N Dagvergoeding  +30d 2020-11-11 missie naar Rwanda</t>
  </si>
  <si>
    <t>ONKOSTEN200339</t>
  </si>
  <si>
    <t>ONK Bergs N Dagvergoeding  +30d 2020-11-19 missie naar Rwanda</t>
  </si>
  <si>
    <t>ONKOSTEN200340</t>
  </si>
  <si>
    <t>ONK Bergs N Dagvergoeding  +30d 2020-12-17 missie naar Rwanda</t>
  </si>
  <si>
    <t>ONKOSTEN200341</t>
  </si>
  <si>
    <t>ONK Bergs N Dagvergoeding  +30d 2020-12-18 missie naar Rwanda</t>
  </si>
  <si>
    <t>ONKOSTEN200342</t>
  </si>
  <si>
    <t>ONK Bergs N Dagvergoeding  +30d 2020-12-15 missie naar Rwanda</t>
  </si>
  <si>
    <t>ONKOSTEN200343</t>
  </si>
  <si>
    <t>ONK Bergs N Vertrek/Terugkeer  2020-12-20 missie naar Rwanda</t>
  </si>
  <si>
    <t>ONKOSTEN200344</t>
  </si>
  <si>
    <t>ONK Bergs N Dagvergoeding  +30d 2020-12-19 missie naar Rwanda</t>
  </si>
  <si>
    <t>ONKOSTEN200345</t>
  </si>
  <si>
    <t>ONK Bergs N Dagvergoeding  +30d 2020-12-16 missie naar Rwanda</t>
  </si>
  <si>
    <t>ONKOSTEN200346</t>
  </si>
  <si>
    <t>ONK Bergs N Dagvergoeding  +30d 2020-12-13 missie naar Rwanda</t>
  </si>
  <si>
    <t>ONKOSTEN200347</t>
  </si>
  <si>
    <t>ONK Bergs N Dagvergoeding  +30d 2020-12-12 missie naar Rwanda</t>
  </si>
  <si>
    <t>ONKOSTEN200348</t>
  </si>
  <si>
    <t>ONK Bergs N Dagvergoeding  +30d 2020-12-11 missie naar Rwanda</t>
  </si>
  <si>
    <t>ONKOSTEN200349</t>
  </si>
  <si>
    <t>ONK Bergs N Dagvergoeding  +30d 2020-12-10 missie naar Rwanda</t>
  </si>
  <si>
    <t>ONKOSTEN200350</t>
  </si>
  <si>
    <t>ONK Bergs N Dagvergoeding  +30d 2020-12-14 missie naar Rwanda</t>
  </si>
  <si>
    <t>ONKOSTEN200351</t>
  </si>
  <si>
    <t>ONK Bergs N Dagvergoeding  +30d 2020-12-09 missie naar Rwanda</t>
  </si>
  <si>
    <t>ONKOSTEN200352</t>
  </si>
  <si>
    <t>ONK Bergs N Dagvergoeding  +30d 2020-12-07 missie naar Rwanda</t>
  </si>
  <si>
    <t>ONKOSTEN200353</t>
  </si>
  <si>
    <t>ONK Bergs N Dagvergoeding  +30d 2020-12-08 missie naar Rwanda</t>
  </si>
  <si>
    <t>ONKOSTEN200354</t>
  </si>
  <si>
    <t>ONK Bergs N Dagvergoeding  +30d 2020-12-06 missie naar Rwanda</t>
  </si>
  <si>
    <t>ONKOSTEN200355</t>
  </si>
  <si>
    <t>ONK Bergs N Dagvergoeding  +30d 2020-12-04 missie naar Rwanda</t>
  </si>
  <si>
    <t>ONKOSTEN200356</t>
  </si>
  <si>
    <t>ONK Bergs N Dagvergoeding  +30d 2020-12-05 missie naar Rwanda</t>
  </si>
  <si>
    <t>ONKOSTEN200357</t>
  </si>
  <si>
    <t>ONK Bergs N Dagvergoeding  +30d 2020-12-02 missie naar Rwanda</t>
  </si>
  <si>
    <t>ONKOSTEN200358</t>
  </si>
  <si>
    <t>ONK Bergs N Dagvergoeding  +30d 2020-12-03 missie naar Rwanda</t>
  </si>
  <si>
    <t>ONKOSTEN200359</t>
  </si>
  <si>
    <t>ONK Bergs N Dagvergoeding  +30d 2020-11-16 missie naar Rwanda</t>
  </si>
  <si>
    <t>ONKOSTEN200360</t>
  </si>
  <si>
    <t>ONK Bergs N Dagvergoeding  +30d 2020-11-02 missie naar Rwanda</t>
  </si>
  <si>
    <t>ONKOSTEN200361</t>
  </si>
  <si>
    <t>ONK Bergs N Dagvergoeding  +30d 2020-11-13 missie naar Rwanda</t>
  </si>
  <si>
    <t>ONKOSTEN200362</t>
  </si>
  <si>
    <t>ONK Bergs N Dagvergoeding  +30d 2020-11-15 missie naar Rwanda</t>
  </si>
  <si>
    <t>ONKOSTEN200363</t>
  </si>
  <si>
    <t>ONK Bergs N Dagvergoeding  +30d 2020-11-10 missie naar Rwanda</t>
  </si>
  <si>
    <t>ONKOSTEN200364</t>
  </si>
  <si>
    <t>ONK Bergs N Dagvergoeding  +30d 2020-11-14 missie naar Rwanda</t>
  </si>
  <si>
    <t>ONKOSTEN200365</t>
  </si>
  <si>
    <t>ONK Bergs N Dagvergoeding  +30d 2020-11-06 missie naar Rwanda</t>
  </si>
  <si>
    <t>ONKOSTEN200366</t>
  </si>
  <si>
    <t>ONK Bergs N Dagvergoeding  +30d 2020-11-07 missie naar Rwanda</t>
  </si>
  <si>
    <t>ONKOSTEN200367</t>
  </si>
  <si>
    <t>ONK Bergs N Dagvergoeding  +30d 2020-11-04 missie naar Rwanda</t>
  </si>
  <si>
    <t>ONKOSTEN200368</t>
  </si>
  <si>
    <t>ONK Bergs N Dagvergoeding  +30d 2020-10-26 missie naar Rwanda</t>
  </si>
  <si>
    <t>ONKOSTEN200369</t>
  </si>
  <si>
    <t>ONK Bergs N Dagvergoeding  +30d 2020-11-01 missie naar Rwanda</t>
  </si>
  <si>
    <t>ONKOSTEN200370</t>
  </si>
  <si>
    <t>ONK Bergs N Dagvergoeding  +30d 2020-11-05 missie naar Rwanda</t>
  </si>
  <si>
    <t>ONKOSTEN200371</t>
  </si>
  <si>
    <t>ONK Bergs N Dagvergoeding  +30d 2020-11-08 missie naar Rwanda</t>
  </si>
  <si>
    <t>ONKOSTEN200372</t>
  </si>
  <si>
    <t>ONK Bergs N Dagvergoeding  +30d 2020-10-25 missie naar Rwanda</t>
  </si>
  <si>
    <t>ONKOSTEN200373</t>
  </si>
  <si>
    <t>ONK Bergs N Dagvergoeding  +30d 2020-11-12 missie naar Rwanda</t>
  </si>
  <si>
    <t>ONKOSTEN200374</t>
  </si>
  <si>
    <t>ONK Bergs N Dagvergoeding  +30d 2020-11-03 missie naar Rwanda</t>
  </si>
  <si>
    <t>ONKOSTEN200375</t>
  </si>
  <si>
    <t>ONK Bergs N Dagvergoeding  +30d 2020-10-31 missie naar Rwanda</t>
  </si>
  <si>
    <t>ONKOSTEN200376</t>
  </si>
  <si>
    <t>ONK Bergs N Dagvergoeding  +30d 2020-12-01 missie naar Rwanda</t>
  </si>
  <si>
    <t>ONKOSTEN200377</t>
  </si>
  <si>
    <t>ONK Bergs N Dagvergoeding  +30d 2020-11-30 missie naar Rwanda</t>
  </si>
  <si>
    <t>ONKOSTEN200378</t>
  </si>
  <si>
    <t>ONK Bergs N Dagvergoeding  +30d 2020-11-26 missie naar Rwanda</t>
  </si>
  <si>
    <t>ONKOSTEN200379</t>
  </si>
  <si>
    <t>ONK Bergs N Dagvergoeding  +30d 2020-11-28 missie naar Rwanda</t>
  </si>
  <si>
    <t>ONKOSTEN200380</t>
  </si>
  <si>
    <t>ONK Bergs N Dagvergoeding  +30d 2020-11-27 missie naar Rwanda</t>
  </si>
  <si>
    <t>ONKOSTEN200381</t>
  </si>
  <si>
    <t>ONK Bergs N Dagvergoeding  +30d 2020-11-29 missie naar Rwanda</t>
  </si>
  <si>
    <t>ONKOSTEN200382</t>
  </si>
  <si>
    <t>ONK Bergs N Dagvergoeding  +30d 2020-11-22 missie naar Rwanda</t>
  </si>
  <si>
    <t>ONKOSTEN200383</t>
  </si>
  <si>
    <t>ONK Bergs N Vertrek/Terugkeer  2020-10-24 missie naar Rwanda</t>
  </si>
  <si>
    <t>ONKOSTEN210015</t>
  </si>
  <si>
    <t>ONK Bergs N Dagvergoeding  +30d 2020-10-30 missie naar Rwanda</t>
  </si>
  <si>
    <t>ONKOSTEN210016</t>
  </si>
  <si>
    <t>ONK Bergs N Dagvergoeding  +30d 2020-10-28 missie naar Rwanda</t>
  </si>
  <si>
    <t>ONKOSTEN210017</t>
  </si>
  <si>
    <t>ONK Bergs N Dagvergoeding  +30d 2020-10-29 missie naar Rwanda</t>
  </si>
  <si>
    <t>ONKOSTEN210018</t>
  </si>
  <si>
    <t>ONK Bergs N Dagvergoeding  +30d 2020-10-27 missie naar Rwanda</t>
  </si>
  <si>
    <t>ONKOSTEN210719</t>
  </si>
  <si>
    <t>ONK Van Aert D APOTHEEK NIEUWMOER bvba 2021-10-29 Field visit Rwanda</t>
  </si>
  <si>
    <t>ONKOSTEN210750</t>
  </si>
  <si>
    <t>ONK Van Aert D Rwanda Biomedical Center 2021-11-17 Covid test before travel - field trip Rwanda</t>
  </si>
  <si>
    <t>ONKOSTEN210751</t>
  </si>
  <si>
    <t>ONK Van Aert D Rwanda Biomedical centre 2021-11-11 Covid test upo. Arrival field trip Rwanda</t>
  </si>
  <si>
    <t>ONKOSTEN210855</t>
  </si>
  <si>
    <t>ONK Van Aert D Algemeen Ziekenhuis Klina V.Z.W. 2021-11-09 PCR test prior to mission in Rwanda</t>
  </si>
  <si>
    <t>ONKOSTEN210873</t>
  </si>
  <si>
    <t>ONK Van Aert D 5 Swiss Hotel 2021-11-18 Hotel field trip Rwanda - gecorrigeerd voor €10 cash back ($</t>
  </si>
  <si>
    <t>DIV200226</t>
  </si>
  <si>
    <t>Afgelaste missie T. Van Ackere</t>
  </si>
  <si>
    <t>T. Van Ackere</t>
  </si>
  <si>
    <t>Totaal Mission costs HQ</t>
  </si>
  <si>
    <t>DPIII/0148</t>
  </si>
  <si>
    <t>PAYMENT OF PROJECTOR FOR MOBILE CINEMA</t>
  </si>
  <si>
    <t>IHAHA TECHNOLOGIES</t>
  </si>
  <si>
    <t>PAYMENT OF MOBILE CINEMA EQUIPMENTS FOR RUBAVU AND RUTSIRO DISTRICT</t>
  </si>
  <si>
    <t>BIRORI ELECTRONICS</t>
  </si>
  <si>
    <t>DPIII/0342</t>
  </si>
  <si>
    <t>PAYMNET OF THE MATERIALS FOR MOBILE CINEMA (SONO PORTABLE, SPEAKER YAMAHA, RALLONGE 50M, MULTIPRISE, CABLE JACK)</t>
  </si>
  <si>
    <t>ALLIANCE SOUNDS LTD</t>
  </si>
  <si>
    <t>DPIII/0431</t>
  </si>
  <si>
    <t>PAYMENT OF MOBILE CINEMA EQUIPMENTS</t>
  </si>
  <si>
    <t>MILLAN LTD</t>
  </si>
  <si>
    <t>Totaal Mobile cinema equipment</t>
  </si>
  <si>
    <t>DPIII/0185</t>
  </si>
  <si>
    <t>PAYMENT OF 87 TECHNO T662</t>
  </si>
  <si>
    <t>BARAKAGWIRA COMPANY LTD</t>
  </si>
  <si>
    <t>PAYMENT OF MOBILE PHONES FOR EARLY WARNING TEAMS FOR RUBAVU, RUTSIRO AND NGORORERO DISTRICTS</t>
  </si>
  <si>
    <t>SOL BUSINESS GROUP</t>
  </si>
  <si>
    <t>PYMT OF MOBILE PHONE FOR EARLY WARNING TEAM AT RUBAVU, RUTSIRO&amp;NGORORERO</t>
  </si>
  <si>
    <t>SUL BUSINESS GROUP LTD</t>
  </si>
  <si>
    <t>Totaal Mobile phones for EW teams and CBS teams</t>
  </si>
  <si>
    <t>DPIII/0444</t>
  </si>
  <si>
    <t>PYMT INVOICE SERVICE OFFERED FOR PROJECT MEETING</t>
  </si>
  <si>
    <t>PERDIEM FEES FOR FOLLOW UP OF ACTIVITIES</t>
  </si>
  <si>
    <t>EMMANUEL(RRC)</t>
  </si>
  <si>
    <t>DPIII/0198A</t>
  </si>
  <si>
    <t>BALANCE ON PERDIEM FEES</t>
  </si>
  <si>
    <t>DPIII/0326</t>
  </si>
  <si>
    <t>PERD DRIVER FOR TRANSPORT OF FOOD</t>
  </si>
  <si>
    <t>TRANSP&amp;PERD FOR 2 COORDIN FOR FIELD TECHNICIAN OFF</t>
  </si>
  <si>
    <t>DPIII/0367</t>
  </si>
  <si>
    <t>PERDIEM OF DRIVER TRANSP ITEMS</t>
  </si>
  <si>
    <t>DPIII/0391</t>
  </si>
  <si>
    <t>MISSION FEES</t>
  </si>
  <si>
    <t>DPIII/0425</t>
  </si>
  <si>
    <t>TAX ON PERDIEM FOR VOLUNTEERS/COMPILATION AND VALI</t>
  </si>
  <si>
    <t>DPIII/0504</t>
  </si>
  <si>
    <t>PERDIEM FEES DURING MONITORING</t>
  </si>
  <si>
    <t>DPIII/0512</t>
  </si>
  <si>
    <t>PERDIEM FEES FOR MONITORING ACTIVITES DP3</t>
  </si>
  <si>
    <t>RRC DOC(EMMANUEL)</t>
  </si>
  <si>
    <t>DPIII/0032</t>
  </si>
  <si>
    <t>PAYMENT OF VEHICLE LEASING USED DURING FIELD MONITORING VISIT</t>
  </si>
  <si>
    <t>MISSION FEES FOR DRIVER DURING TRANSPORTATION OF THE RRC STAFF TO MUHANGA DISTRICT</t>
  </si>
  <si>
    <t>LEOPOLD NSABIMANA</t>
  </si>
  <si>
    <t>PAYMENT OF VEHICLE LEASING USED DURING FIELD MONITORING VISIT FOR CONSTRUCTION OF THE FENCE</t>
  </si>
  <si>
    <t>MISSION FEES FOR THE DRIVER DURING TRANSPORTATION THE DPIII PROJECT ACCOUTANT TO MUHANGA DISTRICT DURING 5 DAYS(PREPATION OF AUDIT DOCUMENTS)</t>
  </si>
  <si>
    <t>DPIII/0048</t>
  </si>
  <si>
    <t>PERDIEM OF FILED TECHNICIAN OFFICER DURING REPORT TRANSMISSION AND JUSTIFUCATION OF FINANCIAL DOCUEMENTS TO THE HEADQUATER</t>
  </si>
  <si>
    <t>PAYMENT OF VEHICLE LEASING USED DURING EVALUATION OF 6 HAND WASHING FACILITIES</t>
  </si>
  <si>
    <t>MISSION ALLOWANCES FOR HQ STAFF TO TRAVEL TO RUBAVU DISTRICT FOR MONITORING THE DISTRICT PERFORMANCE CONTRACTS IMPLEMENTATION</t>
  </si>
  <si>
    <t>MAZIMPAKA EMMANUEL</t>
  </si>
  <si>
    <t>PERDIEMS FEES DURING JOINT PLANNING,MONITORING,REPORTING OF DPIII PROJECT ACTIVITIES AND MEETING WITH LOCAL AUTHORITIES AT RUBAVU DISTRICT</t>
  </si>
  <si>
    <t>EVODE RUSANGANWA</t>
  </si>
  <si>
    <t>PERDIEM AND TRANSPORT FEES OF RUTSIRO AND KARONGI  SND RUTSIRO FIELD TECHNICIAN OFFICER DURING JOINT PLANNING, MONITORING,REPORTING OF DPIII PROJECT ACTIVITIES AND MEETING WITH LOCAL AUTHORITIES AT RUBAVU DISTRICT</t>
  </si>
  <si>
    <t>ISSAC HABARUGIRA</t>
  </si>
  <si>
    <t>DPIII/0068</t>
  </si>
  <si>
    <t xml:space="preserve">PERDIEM AND TRANSPORT FEES OF NGORORERO  AND NYABIHU AND NGORORERO FIELD TECHNICIAN OFFICER DURING JOINT PLANNING, MONITORING,REPORTING OF DPIII PROJECT ACTIVITIES AND MEETING WITH LOCAL AUTHORITIES </t>
  </si>
  <si>
    <t>ESRON RIBAKARE</t>
  </si>
  <si>
    <t>PERDIEM STAFF DURING FIELD VISIT ASSESSMENT OF REHABILITATION NEEDS AT NGORORERO AND RUBAVU DISTRICTS</t>
  </si>
  <si>
    <t>DPIII/0091</t>
  </si>
  <si>
    <t>PERDIEM FEES OF VICE PRESIDENT OF RRC , HEAD OF OD AND DRIVER DURING FIELD VISIT AT RUTSIRO  DISTRICT</t>
  </si>
  <si>
    <t>MUJIJI NOEL</t>
  </si>
  <si>
    <t>PERDIEM OF DPIII PROJECT MANAGER FOLLOW UP ACTIVIT</t>
  </si>
  <si>
    <t>TRANSPORT AND PERDIEM STAFF DURING THE MEETING</t>
  </si>
  <si>
    <t>HABIMANA JMV</t>
  </si>
  <si>
    <t>DPIII/0116</t>
  </si>
  <si>
    <t>MISSION FEES FOR FOLLOW UP OF ACTIVITIES</t>
  </si>
  <si>
    <t xml:space="preserve">TRANSPORT AND PERDIEM FOR STAFF DURING THE MEETING RELATED TO SPEED UP THE REHABILITATION OF NGORORERO OFFICE AT HQ </t>
  </si>
  <si>
    <t>PERDIEM DURING VERIFICATION OF LIST BENEFI AND CASH TRANSFER ASSISTANCE TO THE VULNERABLE PEOPLE WHO ARE IN LOCKDOWN IN KARONGI DISTRICT</t>
  </si>
  <si>
    <t xml:space="preserve"> EVODE RUSANGANWA</t>
  </si>
  <si>
    <t>DPIII/0156</t>
  </si>
  <si>
    <t>PERDIEM DURING VERIFICATION OF LIST BENEFI AND CASH TRANSFER ASSISTANCE TO THE VULNERABLE PEOPLE WHO HAVE BEEN AFFECTED BY DISASTER IN NYAMASHEKE DISTRICT</t>
  </si>
  <si>
    <t>DPIII/0159</t>
  </si>
  <si>
    <t xml:space="preserve">MISSION DURING CASH SUPPORT TO VULNERABLE PEOLPLE OF RWAMIKO SECTOR/GICUMBI DISTRICT WHICH ARE IN TOTAL LOCK DOWN DUE TO COVID-19 </t>
  </si>
  <si>
    <t>LEONIDAS NSHIMYIMANA</t>
  </si>
  <si>
    <t>DPIII/0180</t>
  </si>
  <si>
    <t>PERDIEM OF DRIVER FOR TRANSP OF CONSTRCT MATERIALS OF THE CONSTRUCTION OF  NGORORERO OFFICE AND REHABILITATION OF WATER SOURCE AT NGORORERO</t>
  </si>
  <si>
    <t>PERDIEM FEES DURING FIELS VISITFOR INFORMING THE AUTHORITIES THE CURRENT ACTIVITIES OF RRC CONSTRUCTION OF 300 LATRINES</t>
  </si>
  <si>
    <t>PERDIEM OF DPIII PROJECT MANAGER AND DRIVER FOR FOLLOW UP OF DPIII PROJECT ACTIVITIES AT RUBAVU, RUTSIRO AND NGORORERO</t>
  </si>
  <si>
    <t>RUSANGANWA J PIE EVODE</t>
  </si>
  <si>
    <t>DPIII/0343</t>
  </si>
  <si>
    <t>MISSION FEES FOR HEAD OF COMMUNICATION DEPARTEMENT, HEAD OF COMMUNICATION SERVICE,2 DRIVERS, COMMITTEE MEMBERS DURING MEDIA COVERAGE OF DP3 ACTIVITIES</t>
  </si>
  <si>
    <t>DPIII/0344</t>
  </si>
  <si>
    <t>PERDIEM/TRANSPORT FEES FOR JOURNALISTS DURING MEDIA COVERAGE OF DP3 ACTIVITIES</t>
  </si>
  <si>
    <t>DPIII/0349</t>
  </si>
  <si>
    <t xml:space="preserve">PERDIEM OF DPIII PROJECT MANAGER AND DRIVER DURING PRESENTATION OF RISK MAPA AND CONTINGENCY PLANS </t>
  </si>
  <si>
    <t>RUSANGANWA JP EVODE</t>
  </si>
  <si>
    <t xml:space="preserve">PERDIEM OF DPIII PROJECT MANAGER AND DRIVER FOR FOLLOW UP OF DPIII PROJECT ACTIVITIES </t>
  </si>
  <si>
    <t>RUSANGANWA  JEAN PIE EVODE</t>
  </si>
  <si>
    <t>DPIII/0446</t>
  </si>
  <si>
    <t xml:space="preserve">PERDIEM OF THE MEMBER OF RRC BOARD AND STAFFS DURING THE EVALUATION OF PROJECT </t>
  </si>
  <si>
    <t>RUSANGANWA J P EVODE</t>
  </si>
  <si>
    <t>DPIII/0503</t>
  </si>
  <si>
    <t>PERDIEM FEES FOR DPIII PROJECT MANAGER AND DRIVER DURING THE FOLLOW UP OF ACTIVITIES</t>
  </si>
  <si>
    <t xml:space="preserve">Totaal Monitoring </t>
  </si>
  <si>
    <t>PAYMENT OF ANTIVIRUS FOR COMPUTER</t>
  </si>
  <si>
    <t>DP3/0022</t>
  </si>
  <si>
    <t>PYMT OF OFFICE MATERIALS</t>
  </si>
  <si>
    <t>INTERGRATED</t>
  </si>
  <si>
    <t>DP3/0033</t>
  </si>
  <si>
    <t>PYMT FOR  ORTHOPEDIC CHAIR</t>
  </si>
  <si>
    <t>FINE FURNITURE</t>
  </si>
  <si>
    <t>DP3/0034</t>
  </si>
  <si>
    <t>PYMT FOR OFFICE DESK &amp;HALF GLASS CUPBOARD</t>
  </si>
  <si>
    <t>DPIII/0288</t>
  </si>
  <si>
    <t>PAYMENT OF OFFICE FOURNITURES</t>
  </si>
  <si>
    <t>PYMT OF OFFICE STATIONNARIES</t>
  </si>
  <si>
    <t>PAYMENT OF STATIONNARIES MATERIALS FOR DPIII ACTIVITIES</t>
  </si>
  <si>
    <t>PAPETERIE VERY CLEAR LTD</t>
  </si>
  <si>
    <t>PYMT OF CARTRIDGE FOR PRINTER</t>
  </si>
  <si>
    <t>DPIII/0062</t>
  </si>
  <si>
    <t>PAYMENT FOR STATIONERIES MATERIALS ( 3 CARTRIDGES)</t>
  </si>
  <si>
    <t>DPIII/0102</t>
  </si>
  <si>
    <t>PYMT OF HP LASERJET 130A</t>
  </si>
  <si>
    <t>CHAMPIONS TECHNOLOGIES LTD</t>
  </si>
  <si>
    <t>DPIII/0199</t>
  </si>
  <si>
    <t>PAYMENT OF STATIONARIES MATERIALS</t>
  </si>
  <si>
    <t>DPIII/0420</t>
  </si>
  <si>
    <t>PAYMENT TO ADVETISE THE TENDER FOR THE PURCHASE OF CHAIRS AND TABLES</t>
  </si>
  <si>
    <t>DPIII/0553</t>
  </si>
  <si>
    <t>PAYMENT OF OFFICE MAINTENANCE FOR NGORORERO BRANCH OFFICE</t>
  </si>
  <si>
    <t>Totaal office rent, office equipment and utilities</t>
  </si>
  <si>
    <t>DPIII/0127</t>
  </si>
  <si>
    <t>PYMT OF RIS SERVICES DURING EWS TRAINING</t>
  </si>
  <si>
    <t>Per diem trainer training EWS (Budgetcode RWAC37)</t>
  </si>
  <si>
    <t>Tapiwa Chadoka</t>
  </si>
  <si>
    <t>Totaal Organize a training at branch level regarding early warning, early action</t>
  </si>
  <si>
    <t>DPIII/0441</t>
  </si>
  <si>
    <t>TRANSPORT FEES FOR 10 VOLUNTEERS WHO WILL PARTICIPATE IN CBHFA REFRESHER TRAINING</t>
  </si>
  <si>
    <t>GASAMAGERA JACQUELINE</t>
  </si>
  <si>
    <t>DPIII/0445</t>
  </si>
  <si>
    <t>PAYMENT TAX ON PERDIEM FOR TWO TRAINERS WHO WILL CONDUCT CBHFA REFRESHER TRAINING</t>
  </si>
  <si>
    <t>PAYMENT OF MATERIALS USED DURING THE CBHFA REFRESHER TRINING</t>
  </si>
  <si>
    <t>PAYMENT OF SERVICE OFFERED BY RIS DURING THE CBHFA REFRESHER TRAINING</t>
  </si>
  <si>
    <t>Totaal Organize a yearly refresher for CBHFA volunteers</t>
  </si>
  <si>
    <t>PYMT OF FACE MASKS DURING WORLD DISASTER RED DAY</t>
  </si>
  <si>
    <t>UPHALAB</t>
  </si>
  <si>
    <t>DPIII/0432</t>
  </si>
  <si>
    <t>PYMT OF HAND SANITAZERS</t>
  </si>
  <si>
    <t>DPIII/0430</t>
  </si>
  <si>
    <t>PYMT OF PUBLIC FOR COVERING THE EVENT WORLD DISAST</t>
  </si>
  <si>
    <t>TV1</t>
  </si>
  <si>
    <t>DPIII/0428</t>
  </si>
  <si>
    <t>DEVELOPING &amp; PUBLISHING AN ARTICLE DISASTER RISK</t>
  </si>
  <si>
    <t>DPIII/0406</t>
  </si>
  <si>
    <t>REHABIL OF 15 ZEBRA CROSSING AT RUBAVU DISTRICT</t>
  </si>
  <si>
    <t>FUNDS FOR PAYMENT BANNERS</t>
  </si>
  <si>
    <t>PYMT NEWS ARTICLES&amp;SOCIAL MEDIA SHARING</t>
  </si>
  <si>
    <t>KIGALI TODAY LTD</t>
  </si>
  <si>
    <t>VOLUNTEERS REFRESHMENT</t>
  </si>
  <si>
    <t>PURCHASE OF 2000 SEEDS OF TREES</t>
  </si>
  <si>
    <t>RECEPTION GUESTS DURING ANNUAL DRR DAY</t>
  </si>
  <si>
    <t>DPIII/0409</t>
  </si>
  <si>
    <t>MISSION FEES MEDIA COVERAGE</t>
  </si>
  <si>
    <t>PLACIDE(RRC)</t>
  </si>
  <si>
    <t>MISSION FEES DURING ANNUAL WORLD DISASTER</t>
  </si>
  <si>
    <t>DPIII/0377</t>
  </si>
  <si>
    <t>PAYMENT OF TRNASPORT FEES FOR 120 VOLUNTEERS WHO WILL BE PRESENT IN ANNUAL INTERNATIONAL DRR DAY ACTIVITIES</t>
  </si>
  <si>
    <t>FUNDS USED DURING DRR DAY AT NGORORERO DISTRICTFOR PERDIEM STAFFS AND TRANSPORT FOR JOURNALIST</t>
  </si>
  <si>
    <t>PAYMENT OF PAINTING MATERIALS USED FOR REHABILITATION OF ZEBRA CROSSING DURING DRR DAY</t>
  </si>
  <si>
    <t>ABN HARWARE LTD</t>
  </si>
  <si>
    <t>PAYMENT OF THE RECEPTION FOR PARTICIPANTS DURING DRR DAY AT NGORORERO</t>
  </si>
  <si>
    <t>IMAGE AND TECHNOLOGY TRANSFER LTD</t>
  </si>
  <si>
    <t>DPIII/0439</t>
  </si>
  <si>
    <t>PAYMENT OF THE BANNERS USED DURING DRR AT NGORORERO DISTRICT</t>
  </si>
  <si>
    <t>DPIII/0447</t>
  </si>
  <si>
    <t>PAYMENT OF THE TREES PLANTED DURING ANNUAL DRR DAY</t>
  </si>
  <si>
    <t>DPIII/0457</t>
  </si>
  <si>
    <t>PAYMENT OF VEHICLES LEASING USED DURING ANNUAL DRR DAY</t>
  </si>
  <si>
    <t>PAYMENT OF THE EVENT COVERAGE DURING ANNUAL DRR DAY Ngororero</t>
  </si>
  <si>
    <t>JOURNAL GASABO LTD</t>
  </si>
  <si>
    <t>PAYMENT FOR THE EVENT COVERAGE DURING ANNUAL DRR</t>
  </si>
  <si>
    <t>TV1  RWANDA LTD</t>
  </si>
  <si>
    <t>Totaal Organize an annual DRR awareness event on the international day for natural disaster risk reduction (13/10)</t>
  </si>
  <si>
    <t>DPIII/0040</t>
  </si>
  <si>
    <t>PAYMENT PERDIEM OF SCHOOL TEACHERS WHO DID DRR SENSITIZATION IN SCHOOLS</t>
  </si>
  <si>
    <t>PAYMENT THE PERDIEM OF SCHOOL TEACHERS WHO DID DRR SENSITIZATION IN SCHOOLS AT NGORORERO</t>
  </si>
  <si>
    <t>DPIII/0075</t>
  </si>
  <si>
    <t>TRANSP FEES FOR 84 SCHOOL TEACHER DURING DRR TRAINING</t>
  </si>
  <si>
    <t>PERDIEM FEES FOR FACILITATORS DURING DRR TRAINING</t>
  </si>
  <si>
    <t>PAYMENT OF SERVICES PROVIDED DURING DRR TRAINING FOR SCHOOL TEACHERS AT HQ</t>
  </si>
  <si>
    <t>DPIII/0089</t>
  </si>
  <si>
    <t>WITHOLDING TAX ON PERDIEM OF FACILITATORS DURING DRR TRAINING FOR SCHOOL TEACHERS</t>
  </si>
  <si>
    <t>Totaal Organize DRR sensitization sessions in schools using DRR booklets</t>
  </si>
  <si>
    <t>REFRESH FOR VOLUNTEERS/PLANIFIC MEETING</t>
  </si>
  <si>
    <t>RUTSIRO DISTRICT(RRC</t>
  </si>
  <si>
    <t>TRANSP FEES FOR VOLUNTEERS/PLANIFICATION MEETING</t>
  </si>
  <si>
    <t>RUBAVU DISTRICT(RRC</t>
  </si>
  <si>
    <t>DPIII/0083</t>
  </si>
  <si>
    <t>TRANSP FEES FOR VOLUNTEERS/PLANIFIC MEETING</t>
  </si>
  <si>
    <t>NGORORERO DISTRICT (RRC)</t>
  </si>
  <si>
    <t>Totaal Organize volunteer meetings at sector level</t>
  </si>
  <si>
    <t>PAYMENT OF TRANSPORTATION AND FIXING THE EARLY WARNING PANELS IN DIFFERENT AREAS</t>
  </si>
  <si>
    <t>PAYMENT OF 20 PANELS WITH EARLY WARNING MESSAGE AND 80 DIFFERENT FLAGS</t>
  </si>
  <si>
    <t>Totaal Organizing awareness campaigns on DRR topics in targeted villages using wall paintings</t>
  </si>
  <si>
    <t>DPIII/0274</t>
  </si>
  <si>
    <t>PAYMENT OF LATEX STERILE SURGICAL GLOVES</t>
  </si>
  <si>
    <t>PYMT OF HAND SANITIZER FIXATION SUPPORT</t>
  </si>
  <si>
    <t>SIBORUREMA PASCAL</t>
  </si>
  <si>
    <t>DPIII/0005</t>
  </si>
  <si>
    <t>PYMT OF PERSONAL PROTECTIVE EQUIPMENTS FOR EMS</t>
  </si>
  <si>
    <t>AFRICA MEDICAL SUPPLIER LTD</t>
  </si>
  <si>
    <t>PAYMENT OF 24 RAINCOATS FOR VOLUNTEERS</t>
  </si>
  <si>
    <t>PAYMENT OF PERSONAL PROTECTIVE EQUIPMENTS FOR VOLUNTEERS</t>
  </si>
  <si>
    <t>KAYMIG SUPPLY LTD</t>
  </si>
  <si>
    <t>PAYMENT OF PLASTIC BOOT SANDACK FOR PERSONAL PROTECTIVE EQUIPMENTS FOR VOLUNTEERS</t>
  </si>
  <si>
    <t>PAYMENT OF PLASTIC GLOVES FOR PERSONAL PROTECTIVE EQUIPMENTS FOR VOLUNTEERS</t>
  </si>
  <si>
    <t>PAYMENT OF FEES FOR PURCHASING PERSONAL PROTECTIVE EQUIPMENT TYPE FACE SHIELDS TO BE USED FOR EMS COVID 19 RESPONSE</t>
  </si>
  <si>
    <t>DPIII/0320</t>
  </si>
  <si>
    <t>PAYMENT OF PERSONAL PROTECTIVE EQUIPMENT TYPE COVERALLS GOWNS FOR EMS COVID 19 RESPONSE</t>
  </si>
  <si>
    <t>Totaal Personal protection equipment for volunteers</t>
  </si>
  <si>
    <t>PYMT OF LOIN CLOTHS (KITENGE)</t>
  </si>
  <si>
    <t>UTEXRWA SA</t>
  </si>
  <si>
    <t>PYMT OF 2517 IRON SHEETS</t>
  </si>
  <si>
    <t>ALL CITY  RWANDA</t>
  </si>
  <si>
    <t>DPIII/0166</t>
  </si>
  <si>
    <t>PUBLICATION OF TENDER FOR 3600 TARPS FOR DPIII PROJ</t>
  </si>
  <si>
    <t>DPIII/0339</t>
  </si>
  <si>
    <t>PYMT TO IMVAHO TO ADVERTISE OF IRON SHEETS FOR RRC</t>
  </si>
  <si>
    <t>RPPC</t>
  </si>
  <si>
    <t>PAYMENT FOR 4400 MOSIQUITO NETS FOR PRE-POSITION RELIEF ITEMS</t>
  </si>
  <si>
    <t>LTC YAMEI RWANDA LTD</t>
  </si>
  <si>
    <t>PAYMENT OF 1385 MOSQUITO NETS FOR PRE-POSITION RELIEF ITEMS</t>
  </si>
  <si>
    <t>PAYMENT OF 656  BUCKETS FOR PRE-POSITION RELIEF ITEMS</t>
  </si>
  <si>
    <t>QUINCAILLERIE.PYRAMIDE</t>
  </si>
  <si>
    <t>PAYMENT OF IRON SHEETS FOR PRE-POSITION RELIEF ITEMS</t>
  </si>
  <si>
    <t>ALL CITY RWANDA</t>
  </si>
  <si>
    <t>DPIII/0200</t>
  </si>
  <si>
    <t>PAYMENT OF 88  SLEEPING MATS  SINGLE SIZE WITH STRIPS OF MANY COLORS FOR THE PRE POSITION  RELIEF ITEMS</t>
  </si>
  <si>
    <t>DPIII/0020</t>
  </si>
  <si>
    <t>PAYMENT OF LOADING AND OFFLOADING NFIs IN WAREHOUSE</t>
  </si>
  <si>
    <t>PYMT OF THE OFFLOADING OF DIFFERENT MATERIALS AT RUTSIRO</t>
  </si>
  <si>
    <t>DPIII/0045</t>
  </si>
  <si>
    <t>PYMT OF OFFLOADING OF NFIs IN WAREHOUSE</t>
  </si>
  <si>
    <t>DPIII/0047</t>
  </si>
  <si>
    <t>PAYMENT OF OFFOADING OF MATERIALS FOR DPIII PROJECT</t>
  </si>
  <si>
    <t>RRC Volunteers</t>
  </si>
  <si>
    <t>PYMT OF 250 BOX OF SOAP TEMBO</t>
  </si>
  <si>
    <t xml:space="preserve">PAYMENT OF LOADING AND OFFLOADING  OF CONSTRUCTION MATERIALS AND FNLS FOR DPIII PROJECT </t>
  </si>
  <si>
    <t>DPIII/0193</t>
  </si>
  <si>
    <t>PAYMENT OF BLANKETS FOR THE PRE-POSITION RELIEF ITEMS</t>
  </si>
  <si>
    <t>QUINCAILLERIE PYRAMIDE</t>
  </si>
  <si>
    <t>PAYMENT OF OFFLOADING OF MATERIALS FOR DPIII PROJECT AT RRC WAREHOUSE</t>
  </si>
  <si>
    <t>NDEGEYA ZAWADI</t>
  </si>
  <si>
    <t>DPIII/0262</t>
  </si>
  <si>
    <t>PAYMENT OF SOAPS FOR PRE-POSITION RELIEF ITEMS</t>
  </si>
  <si>
    <t>QUICK STEP SUPPLY AND BUSINESS LTD</t>
  </si>
  <si>
    <t>PAYMENT FOR LOADING&amp;UNLOADING ITEMS FOR SUPPORTING VULNERABLE PEOPLE IN LOCKDOWN</t>
  </si>
  <si>
    <t>PAYMENT OF LOADING OF CONSTRUCTION MATERIALS FOR 300 LATRINES FOR NGORORERO, RUBAVU AND RUTSIRO DISTRICTS</t>
  </si>
  <si>
    <t>DPIII/0390</t>
  </si>
  <si>
    <t>PAYMENT THE OLLOADING OF CONSTRUCTION MATERIALS FOR 100 LATRINES AT RUTSIRO DISTRICT</t>
  </si>
  <si>
    <t>PAYMENT OF OFFLOADING OF 170 CEMENTS FOR CONSTRUCTION OF THE FENCE OF NGORORERO BRANCH</t>
  </si>
  <si>
    <t>DPIII/0496</t>
  </si>
  <si>
    <t>PAYMENT OF OFFLOADING AND LOADING OF 170 CEMENTS AND OTHER MATERIALS FOR CONSTRUCTION OF THE FENCE OF NGORORERO BRANCH COMMITTEE</t>
  </si>
  <si>
    <t>DPIII/0530</t>
  </si>
  <si>
    <t>PAYMENT OF LOADING OF 417 IRON SHEETS FOR THE REHABILITATION OF THE HOUSES AT RUBAVU AND BENEFICIARIES OF 11 HOUSES AT RUTSIRO</t>
  </si>
  <si>
    <t>DPIII/0571</t>
  </si>
  <si>
    <t>PAYMENT OF LOADING OF DIFFERENT MATERIALS  IN THE WAREHOUSE</t>
  </si>
  <si>
    <t>PAYMENT OF 3600 BLANKETS</t>
  </si>
  <si>
    <t>DPIII/0255</t>
  </si>
  <si>
    <t>PAYMENT OF LEASING INVOICE No 6345</t>
  </si>
  <si>
    <t>OFFLOADINGS OF 3600 BLANKETS FOR PRE-POSITION RELI</t>
  </si>
  <si>
    <t>PYMT OF 3600 BUCKETS</t>
  </si>
  <si>
    <t>PAYMENT OF 3600 JERRYCANS</t>
  </si>
  <si>
    <t>DPIII/0187</t>
  </si>
  <si>
    <t>PAYMENT OF 3600 COOKING POTS FOR KITCHEN SET</t>
  </si>
  <si>
    <t>BUF BUSINESS COMPANY LTD</t>
  </si>
  <si>
    <t>DPIII/0191</t>
  </si>
  <si>
    <t>PAYMENT OF 5400 LADLES FOR KITCHEN SETS</t>
  </si>
  <si>
    <t>PYMT OF 45 IRON SHEETS FOR PRE-POSITION ITEMS</t>
  </si>
  <si>
    <t>SAFINTRA RWANDA LTD</t>
  </si>
  <si>
    <t>DPIII/0189</t>
  </si>
  <si>
    <t>PAYMENT OF 9000 FORKS FOR KITCHEN SET</t>
  </si>
  <si>
    <t>PAYMENTS OF PLASTICS PLATES</t>
  </si>
  <si>
    <t>Q.PYRAMIDE</t>
  </si>
  <si>
    <t>DPIII/0188</t>
  </si>
  <si>
    <t>PAYMENT OF 9000 PLASTICS CUPS</t>
  </si>
  <si>
    <t>DPIII/0190</t>
  </si>
  <si>
    <t>PAYMENT OF 9000 SPOONS FOR KITCHEN SET</t>
  </si>
  <si>
    <t>PYMT OFFLOADING OF 4500 IRON SHEETS</t>
  </si>
  <si>
    <t>PERDIEMS FEES FOR VISITING RRC BRANCHES</t>
  </si>
  <si>
    <t>PYMT OFFLOADING OF 100 BICYCLES FOR LDRT MEMBRERS</t>
  </si>
  <si>
    <t>DPIII/0341</t>
  </si>
  <si>
    <t>PERD OF DRIVER FOR TRANSPORTING ITEMS</t>
  </si>
  <si>
    <t>PYMT OF LOADING OF DIFFERENTS NFIS</t>
  </si>
  <si>
    <t>PYMT FOR LOADING OF NFIs</t>
  </si>
  <si>
    <t>DPIII/0395</t>
  </si>
  <si>
    <t>OFFLOAGIND NFIs</t>
  </si>
  <si>
    <t>PYMT OF OFFLOADING OF IRON SHEETS IN WAREHOUSE</t>
  </si>
  <si>
    <t>PAYMENT OF OFFLOADING OF 1350 CARTONS OF SOAPS</t>
  </si>
  <si>
    <t>DPIII/0186</t>
  </si>
  <si>
    <t>PAYMENT OF 3600 MATS</t>
  </si>
  <si>
    <t>Totaal Pre-position relief items (mat, jerry can, soap, kitchen set, mosquito net, tarp, bucket, kitenge, blanket)</t>
  </si>
  <si>
    <t>PAYMENT OF 16 PAIR BED SHEETS</t>
  </si>
  <si>
    <t>CROWN HEALTH CARE</t>
  </si>
  <si>
    <t>DPIII/0101</t>
  </si>
  <si>
    <t>PAYMENT FOR 8 GALAXY MATTRESS</t>
  </si>
  <si>
    <t>VIVA PRODUCT LTD</t>
  </si>
  <si>
    <t>PYMT OF HOLDING POST MATERIALS</t>
  </si>
  <si>
    <t>JOSELYNE(RRC)</t>
  </si>
  <si>
    <t>PYMT OF MATERIALS FOR HOLDING POSTS</t>
  </si>
  <si>
    <t>HABARUREMA DEUS</t>
  </si>
  <si>
    <t>DPIII/0146</t>
  </si>
  <si>
    <t>PAYMENT OF 2 TENTS</t>
  </si>
  <si>
    <t>ATEPAR</t>
  </si>
  <si>
    <t>DPIII/0155</t>
  </si>
  <si>
    <t>PYMT OF HOLDING POSTS MATERIALS</t>
  </si>
  <si>
    <t>YANKURIJE MARTHE</t>
  </si>
  <si>
    <t>Totaal Preposition tents and equipment for holding posts</t>
  </si>
  <si>
    <t>DOORREKENING LOONKOST Q3/2019 PROCUREMENT OFFICER</t>
  </si>
  <si>
    <t>Herman Peeters</t>
  </si>
  <si>
    <t>DOORREKENING LOONKOST Q4/2019 PROCUREMENT OFFICER</t>
  </si>
  <si>
    <t>DOORREKENING LOONKOST Q1/2020 PROCUREMENT OFFICER</t>
  </si>
  <si>
    <t>DOORREKENING LOONKOST Q2/2020 PROCUREMENT OFFICER</t>
  </si>
  <si>
    <t>DOORREKENING LOONKOST Q3/2020 PROCUREMENT OFFICER</t>
  </si>
  <si>
    <t>Loonkost Q4 2020 DPIII Procurement Officer</t>
  </si>
  <si>
    <t>Doorrekening loonkost DPIII Rwanda Procurement Officer</t>
  </si>
  <si>
    <t>DPIII Rwanda Procurement Officer</t>
  </si>
  <si>
    <t>DIV210532</t>
  </si>
  <si>
    <t>DPIII Loonkost Q3 - Procurement Officer Rwanda</t>
  </si>
  <si>
    <t>DIV210817</t>
  </si>
  <si>
    <t>DPIII Loonkost Q4 - Procurement Officer Rwanda</t>
  </si>
  <si>
    <t>DIV211355</t>
  </si>
  <si>
    <t>DPIII Loonkostrecuperatie 2021 - Procurement Officer Rwanda</t>
  </si>
  <si>
    <t>Totaal Procurement &amp; logistics officer (14%)</t>
  </si>
  <si>
    <t>PYMT FOR CLOTH FACE MASKS</t>
  </si>
  <si>
    <t>CREATIVA</t>
  </si>
  <si>
    <t>PAYMENT OF PROTECTIVE EQUIPMENT</t>
  </si>
  <si>
    <t>DPIII/0261</t>
  </si>
  <si>
    <t>PAYMENT OF FACE MASKS FOR PERSONAL PROTECTION</t>
  </si>
  <si>
    <t>DEPOT PHARMACEUTIQUE UBUMWE</t>
  </si>
  <si>
    <t>PYMT FORHEALT  PROTECTIVE MASKS</t>
  </si>
  <si>
    <t>SANA`</t>
  </si>
  <si>
    <t>DPIII/0515</t>
  </si>
  <si>
    <t>PAYMENT FOR PERSONAL PROTECT EQUIPMENT</t>
  </si>
  <si>
    <t>PAYMENT FOR MEDICAL EQUIPMENT</t>
  </si>
  <si>
    <t>KIPHARMA LTD</t>
  </si>
  <si>
    <t>DEPOT PH FIDELIS</t>
  </si>
  <si>
    <t>DPIII/0240</t>
  </si>
  <si>
    <t>PAYMENT OF 33 HAND SANITIZERS</t>
  </si>
  <si>
    <t>SALAMA PHARMACY LTD</t>
  </si>
  <si>
    <t>PAYMENT FOR HAND SANITIZERS</t>
  </si>
  <si>
    <t>PERDIEM FOR DRIVER/TRANSP HYGIENE  MATERIALS AND MATERIALS FOR COMMUNITY MOBILIZATION ON COVID-19 AT NYARUGENGE, GASABO AND KICUKIRO</t>
  </si>
  <si>
    <t>Totaal Procurement and distribution of protective equipment COVID-19</t>
  </si>
  <si>
    <t>PYMT FOR TIP TAP</t>
  </si>
  <si>
    <t>GOLDEN WAYS OF SUCCES</t>
  </si>
  <si>
    <t>PAYMENT OF TIP TAP PROTECTION EQUIPMENTS</t>
  </si>
  <si>
    <t>BAYIGAMBA THEODATE</t>
  </si>
  <si>
    <t>PYMT OF 3169 HAND WASH LIQUID SOAP</t>
  </si>
  <si>
    <t>KRISHNA RWANDA LTD</t>
  </si>
  <si>
    <t>DPIII/0499</t>
  </si>
  <si>
    <t>PAYMENT OF 1500 LAUNDRY SOAP WHITE COLOR</t>
  </si>
  <si>
    <t>PUBLICATION IN IMVAHO NSHYA</t>
  </si>
  <si>
    <t>PYMT FOR HAND SANITIZERS</t>
  </si>
  <si>
    <t>SULFO LTD</t>
  </si>
  <si>
    <t>PAYMENT OF THE 2ND INSTALMENT TO THE CONSTRUCTION OF 6 HANDWASHING FACILITIES</t>
  </si>
  <si>
    <t>UNIVERS MBC COMPANY LTD</t>
  </si>
  <si>
    <t>PYMT OF 3 INSTALMENT TO THE CONSTRUCTION OF 6 HANDWASHING FACILITIES</t>
  </si>
  <si>
    <t>PAYMENT TO IMVAHO NSHYA TO ADVERTISE THE TENDER OF CONSTRUCTION OF WASHING FACILITIES FOR RWANDA RED CROSS (BAR SOAPS AND HAND SANITAZIRS)</t>
  </si>
  <si>
    <t>IMVAHO NSHYA</t>
  </si>
  <si>
    <t>PAYMENT OF HAND SANITIZER FOR WASH FACILITIES</t>
  </si>
  <si>
    <t>CARMEL MOUNTAIN COMPANY</t>
  </si>
  <si>
    <t>PAYMENT OF LEASING USED DURING FIELD VISIT OF RRC SHELTER COORDINATOR FOR FOLLOW UP OF HANDWASHING STATUS</t>
  </si>
  <si>
    <t>DPIII/0545</t>
  </si>
  <si>
    <t>PAYMENT OF 11 000 PIECES OF BLUE LAUNDRY BAR SOAPS</t>
  </si>
  <si>
    <t>SULFO RWANDA INDUSTRIES LTD</t>
  </si>
  <si>
    <t>DPIII/0546</t>
  </si>
  <si>
    <t>PAYMENT OF THE 1ST INSTALMENT TO THE CONSTRUCTION OF 6 HANDWASHING FACILITIES</t>
  </si>
  <si>
    <t>DPIII/421</t>
  </si>
  <si>
    <t>PAYMENT OF CONSTRUCTION OF 3 HANDWASHING FACILITIES</t>
  </si>
  <si>
    <t>TRUE GENERAL TRADING LTD</t>
  </si>
  <si>
    <t>Totaal Procurement and distribution of WASH facilities for COVID-19</t>
  </si>
  <si>
    <t>PYMT SAL  01/2020  UZAYISENGA J</t>
  </si>
  <si>
    <t>Uzayisenga Jocelyne(RRC)</t>
  </si>
  <si>
    <t>REMB RET SAL 01/2020/UZAYISENGA J</t>
  </si>
  <si>
    <t>REMB RET S/SAL 03/2021/ZAWADI</t>
  </si>
  <si>
    <t>ZAWADI NDEGEYA</t>
  </si>
  <si>
    <t>PYMT SAL 03/2021 ZAWADI</t>
  </si>
  <si>
    <t>PYMT SAL 04/2021 ZAWADI</t>
  </si>
  <si>
    <t>REMB RET S/SAL 04/2021/ZAWADI</t>
  </si>
  <si>
    <t>PYMT SAL 05/2021 ZAWADI</t>
  </si>
  <si>
    <t>REMB RET S/SAL 05/2021/ZAWADI</t>
  </si>
  <si>
    <t>PYMT SAL 06/2021 ZAWADI</t>
  </si>
  <si>
    <t>PYMT BONUS 06/2021 ZAWADI</t>
  </si>
  <si>
    <t>REIMB RE BONUS 06/2021 ZAWADI</t>
  </si>
  <si>
    <t>REIMB RE SAL 06/2021 ZAWADI</t>
  </si>
  <si>
    <t>PAYMENT OF SALARY FOR JULY 2021/ZAWADI</t>
  </si>
  <si>
    <t>REMB RET SALARY FOR JULY 2021/ZAWADI</t>
  </si>
  <si>
    <t>PAYMENT OF SALARY FOR AUGUST 2021/ZAWADI</t>
  </si>
  <si>
    <t>REMB RET SALARY FOR AUGUST 2021/ZAWADI</t>
  </si>
  <si>
    <t>Totaal Procurement officer, 1 person, 3 months</t>
  </si>
  <si>
    <t>DIV211170</t>
  </si>
  <si>
    <t>Reimbursement Office materials (insurance)</t>
  </si>
  <si>
    <t>Mbonabaryi Wellars</t>
  </si>
  <si>
    <t>KBC143821000080</t>
  </si>
  <si>
    <t>Bankkosten betaling AANK2100055</t>
  </si>
  <si>
    <t>CROIX-ROUGE RWANDAISE</t>
  </si>
  <si>
    <t>DIV200013</t>
  </si>
  <si>
    <t>HUUR MAART-APRIL-MEI 2020 S. DE LEPELEIRE</t>
  </si>
  <si>
    <t>HONORINE NIYINDORERA</t>
  </si>
  <si>
    <t>DIV200084</t>
  </si>
  <si>
    <t>HUUR S. DE LEPELEIRE JUNI-JULI-AUGUSTUS 2020</t>
  </si>
  <si>
    <t>DIV200223</t>
  </si>
  <si>
    <t>RENT NIYINDORERA Honorine SEPT OKT NOV</t>
  </si>
  <si>
    <t>DIV210015</t>
  </si>
  <si>
    <t>Huur S. De Lepeleire 03-04-05/2021</t>
  </si>
  <si>
    <t>DIV200413</t>
  </si>
  <si>
    <t>HUUR 01+02/2020 SIGRID DE LEPELEIRE HUIS KIGALI RWANDA</t>
  </si>
  <si>
    <t>DIV190651</t>
  </si>
  <si>
    <t>HUUR 12/2019 SIGRID DE LEPELEIRE HUIS KIGALI RWANDA</t>
  </si>
  <si>
    <t>DIV211002</t>
  </si>
  <si>
    <t>RENT S. DE LEPELEIRE KIGALI 12/2021 DIV210471</t>
  </si>
  <si>
    <t>AANK2200025</t>
  </si>
  <si>
    <t>VOORZIENING AANK2200025 DLG5$ RENT OFFICE JULY-DEC 2021</t>
  </si>
  <si>
    <t>KBC828920000009</t>
  </si>
  <si>
    <t>BK DLG4$RENT VEHICLE</t>
  </si>
  <si>
    <t>Toyota Gibraltar Stockholdings Ltd</t>
  </si>
  <si>
    <t>BK DLG4$ RENT VEHICLE</t>
  </si>
  <si>
    <t>AANK1901150</t>
  </si>
  <si>
    <t>DLG4$RENT VEHICLE</t>
  </si>
  <si>
    <t>AANK2000198</t>
  </si>
  <si>
    <t>AANK2000199</t>
  </si>
  <si>
    <t>KBC828921000023</t>
  </si>
  <si>
    <t xml:space="preserve">BETALING210726-5                                     
</t>
  </si>
  <si>
    <t>AANK2100616</t>
  </si>
  <si>
    <t>KBC828920000001</t>
  </si>
  <si>
    <t>DIV211214</t>
  </si>
  <si>
    <t>Exchange rate difference</t>
  </si>
  <si>
    <t>DIV211215</t>
  </si>
  <si>
    <t>DIV211223</t>
  </si>
  <si>
    <t>KBC828922000013</t>
  </si>
  <si>
    <t xml:space="preserve">BETALING220580-5                                     
</t>
  </si>
  <si>
    <t>BETALING220579-5 CROIX-ROUGE RWANDAISE</t>
  </si>
  <si>
    <t>DIV200506</t>
  </si>
  <si>
    <t>VOORZIENING 6841 CROIX-ROUGE RWANDAISE</t>
  </si>
  <si>
    <t>ONKOSTEN200176</t>
  </si>
  <si>
    <t>ONK VISA De Lepeleire S Ikwim Petrolgate 2020-10-13 Fuel delegation car (DLG4)</t>
  </si>
  <si>
    <t>Ikwim Petrolgate</t>
  </si>
  <si>
    <t>ONKOSTEN200292</t>
  </si>
  <si>
    <t>ONK VISA De Lepeleire S Ikwim Petrolgate 2020-11-13 Fuel delegate car (DLG4)</t>
  </si>
  <si>
    <t>ONKOSTEN200385</t>
  </si>
  <si>
    <t>ONK VISA De Lepeleire S Societe Petroliere Ltd (S.P.) 2020-12-22 Fuel delegate car (DLG 4)</t>
  </si>
  <si>
    <t>Societe Petroliere</t>
  </si>
  <si>
    <t>ONKOSTEN210055</t>
  </si>
  <si>
    <t>ONK VISA De Lepeleire S Noco Station 2021-02-02 Fuel car delegate (DLG4)</t>
  </si>
  <si>
    <t>Noco Station</t>
  </si>
  <si>
    <t>ONKOSTEN210116</t>
  </si>
  <si>
    <t>ONK VISA De Lepeleire S Ikwim Petrolgate 2021-03-09 Fuel delegate car</t>
  </si>
  <si>
    <t>ONKOSTEN210152</t>
  </si>
  <si>
    <t>ONK VISA De Lepeleire S Ikwim Petrolgate 2021-04-03 Fuel delegate car</t>
  </si>
  <si>
    <t>ONKOSTEN200015</t>
  </si>
  <si>
    <t>ONK VISA De Lepeleire S Directpay-Liquid Te 2020-03-03 Payment internet March</t>
  </si>
  <si>
    <t>Directpay-Liquid</t>
  </si>
  <si>
    <t>ONKOSTEN200138</t>
  </si>
  <si>
    <t>ONK VISA De Lepeleire S Liquid Home 2020-09-21 Home Internet September/October (DLG2)</t>
  </si>
  <si>
    <t xml:space="preserve">Liquid Home </t>
  </si>
  <si>
    <t>ONKOSTEN200171</t>
  </si>
  <si>
    <t>ONK VISA De Lepeleire S Truconnect 2020-10-05 Internet office (DLG 2)</t>
  </si>
  <si>
    <t>Truconnect</t>
  </si>
  <si>
    <t>ONKOSTEN200188</t>
  </si>
  <si>
    <t>ONK VISA Bergs N Mtn Centre Rubangura 2020-10-27 SIM kaart, belminuten, 4G internet</t>
  </si>
  <si>
    <t>Mtn Centre Rubangura</t>
  </si>
  <si>
    <t>ONKOSTEN200226</t>
  </si>
  <si>
    <t>ONK VISA De Lepeleire S Liquid Telecommunications Rwanda  Ltd 2020-10-22 Internet home November 2020</t>
  </si>
  <si>
    <t>Liquid Telecom</t>
  </si>
  <si>
    <t>ONKOSTEN200227</t>
  </si>
  <si>
    <t>ONK VISA De Lepeleire S Truconnect 2020-11-04 Internet office November (DLG2)</t>
  </si>
  <si>
    <t>ONKOSTEN200240</t>
  </si>
  <si>
    <t>ONK VISA De Lepeleire S Truconnect 2020-12-04 Internet office (DLG2)</t>
  </si>
  <si>
    <t>ONKOSTEN200242</t>
  </si>
  <si>
    <t>ONK VISA De Lepeleire S Liquid Telecommunications Rwanda Ltd 2020-11-30 Internet home (Budget code D</t>
  </si>
  <si>
    <t>ONKOSTEN210054</t>
  </si>
  <si>
    <t>ONK VISA De Lepeleire S Liquid Telecom 2021-01-26 Home internet February (DLG2)</t>
  </si>
  <si>
    <t xml:space="preserve">Liquid Telecom </t>
  </si>
  <si>
    <t>ONKOSTEN210059</t>
  </si>
  <si>
    <t>ONK VISA De Lepeleire S Liquid Telecom 2021-01-01 Internet home January (DLG 2)</t>
  </si>
  <si>
    <t>ONKOSTEN210051</t>
  </si>
  <si>
    <t>ONK VISA De Lepeleire S Truconnect 2021-01-05 Internet office January (DLG2)</t>
  </si>
  <si>
    <t>DIV200544</t>
  </si>
  <si>
    <t>XPD039011641-ONK VISA De Lepeleire S Liquid Home 2020-09-21 Home Internet</t>
  </si>
  <si>
    <t>Liquid Home</t>
  </si>
  <si>
    <t>ONKOSTEN210113</t>
  </si>
  <si>
    <t>ONK VISA De Lepeleire S Liquid Telecom 2021-03-01 Internet home March</t>
  </si>
  <si>
    <t>ONKOSTEN210126</t>
  </si>
  <si>
    <t>ONK VISA De Lepeleire S Television South West 2021-02-17 Internet office February</t>
  </si>
  <si>
    <t xml:space="preserve">Television South West </t>
  </si>
  <si>
    <t>ONKOSTEN210162</t>
  </si>
  <si>
    <t>ONK VISA De Lepeleire S Truconnect 2021-03-25 Internet office</t>
  </si>
  <si>
    <t>ONKOSTEN210165</t>
  </si>
  <si>
    <t>ONK VISA De Lepeleire S Liquid Telecommunications Rwandaltd 2021-03-30 Internet home April</t>
  </si>
  <si>
    <t>ONKOSTEN210228</t>
  </si>
  <si>
    <t>ONK VISA De Lepeleire S Truconnect Rra 2021-04-23 Internet office</t>
  </si>
  <si>
    <t>ONKOSTEN210234</t>
  </si>
  <si>
    <t>ONK VISA De Lepeleire S Liquid 2021-04-23 Internet home</t>
  </si>
  <si>
    <t>ONKOSTEN210682</t>
  </si>
  <si>
    <t>ONK VISA De Lepeleire S Truconnect Ltd 2021-11-23 Internet office November</t>
  </si>
  <si>
    <t>ONKOSTEN210789</t>
  </si>
  <si>
    <t>ONK VISA De Lepeleire S Liquid Intelligent Technologies 2021-11-30 Internet home</t>
  </si>
  <si>
    <t>Liquid Intelligent Technologie</t>
  </si>
  <si>
    <t>ONKOSTEN220023</t>
  </si>
  <si>
    <t>ONK VISA De Lepeleire S Liquid Intelligent Technologies 2022-01-01 Internet home January 2022</t>
  </si>
  <si>
    <t>ONKOSTEN220027</t>
  </si>
  <si>
    <t>ONK VISA De Lepeleire S Kopa Telecom 2022-01-10 Internet office January</t>
  </si>
  <si>
    <t>Kopa Telecom</t>
  </si>
  <si>
    <t>ONKOSTEN220042</t>
  </si>
  <si>
    <t>ONK VISA De Lepeleire S Liquid Telecom 2022-01-31 Internet home February</t>
  </si>
  <si>
    <t>AANK1901257</t>
  </si>
  <si>
    <t>AFREK VISA S. DE LEPELEIRE 24/08-23/09/2019</t>
  </si>
  <si>
    <t>BCC Corporate</t>
  </si>
  <si>
    <t>AANK1901135</t>
  </si>
  <si>
    <t>DHL PRESTATIES 25/11/2019</t>
  </si>
  <si>
    <t>DHL INTERNATIONAL NV</t>
  </si>
  <si>
    <t>AANK2000664</t>
  </si>
  <si>
    <t>DHL POSTKOSTEN 10/2020</t>
  </si>
  <si>
    <t>ONKOSTEN200293</t>
  </si>
  <si>
    <t>ONK VISA De Lepeleire S Dhl Express Rwanda 2020-11-16 Sending documents to Belgium (invoices) DHL</t>
  </si>
  <si>
    <t>Dhl Express Rwanda</t>
  </si>
  <si>
    <t>ONKOSTEN200105</t>
  </si>
  <si>
    <t>ONK VISA De Lepeleire S Mbonabaryi Wellars via WorldRemit 2020-07-10 Payment guard 1 June/July</t>
  </si>
  <si>
    <t>Mbonabaryi Wellars via WorldRemit</t>
  </si>
  <si>
    <t>ONKOSTEN200108</t>
  </si>
  <si>
    <t>ONK VISA De Lepeleire S Hakizimana Venuste via  WorldRemit 2020-07-10 Payment guard 2 June/July</t>
  </si>
  <si>
    <t>ONKOSTEN200115</t>
  </si>
  <si>
    <t>ONK VISA De Lepeleire S Customer's Copy 2020-09-01 Payment guard 2 August/September (DGL6)</t>
  </si>
  <si>
    <t>Customer's Copy</t>
  </si>
  <si>
    <t>ONKOSTEN200116</t>
  </si>
  <si>
    <t>ONK VISA De Lepeleire S Customer's Copy 2020-09-01 Payment guard 1 August/September</t>
  </si>
  <si>
    <t>INTLAF201900038</t>
  </si>
  <si>
    <t>INTL-001453 - ISO TRANSLATION</t>
  </si>
  <si>
    <t>ISO TRANSLATION &amp; PUBLISHING</t>
  </si>
  <si>
    <t>DIV190484</t>
  </si>
  <si>
    <t>Vertaling Pello is voor een andere kostenplaats</t>
  </si>
  <si>
    <t>ONKOSTEN200117</t>
  </si>
  <si>
    <t>ONK VISA De Lepeleire S NMBS 2020-09-04 Train ticket Antwerp - Mechelen (dlg4)</t>
  </si>
  <si>
    <t>NMBS</t>
  </si>
  <si>
    <t>ONKOSTEN200119</t>
  </si>
  <si>
    <t>ONK VISA De Lepeleire S nmbs 2020-09-14 Train Antwerp-Mechelen home-work (dlg4)</t>
  </si>
  <si>
    <t>ONKOSTEN200124</t>
  </si>
  <si>
    <t>ONK VISA De Lepeleire S nmbs 2020-09-16 Train Antwerp-Mechelen home-work (dlg4)</t>
  </si>
  <si>
    <t>ONKOSTEN190077</t>
  </si>
  <si>
    <t>ONKOSTEN 08+09/2019 WW-VERKEER S. DE LEPELEIRE</t>
  </si>
  <si>
    <t>DE LEPELEIRE SIGRID</t>
  </si>
  <si>
    <t>AANK1900798</t>
  </si>
  <si>
    <t>DLG3$TICKET DE LEPELEIRE BRUSSEL - KIGALI</t>
  </si>
  <si>
    <t>AANK1900657</t>
  </si>
  <si>
    <t>DLG3$TICKET S. DE LEPELEIRE BRUSSEL - KIGALI</t>
  </si>
  <si>
    <t>AANK1901083</t>
  </si>
  <si>
    <t>DLG3$TICKET S. LEPELEIRE KIGALI - PUDONG</t>
  </si>
  <si>
    <t>AANK2000039</t>
  </si>
  <si>
    <t>DLG3$TICKET S. DE LEPELEIRE KIGALI - BRUSSEL</t>
  </si>
  <si>
    <t>AANK2000482</t>
  </si>
  <si>
    <t>AANK2000633</t>
  </si>
  <si>
    <t>DLG3$TICKET N. BERGS BRUSSEL - KIGALI</t>
  </si>
  <si>
    <t>AANK2000787</t>
  </si>
  <si>
    <t>AANK2100554</t>
  </si>
  <si>
    <t>AANK2100555</t>
  </si>
  <si>
    <t>AANK2100558</t>
  </si>
  <si>
    <t>DLG3$TICKET C. SCHAMPS F. UMULISA S. LEPELAIRE KIGALI - DES</t>
  </si>
  <si>
    <t>AANK2100564</t>
  </si>
  <si>
    <t>DLG3$TICKET D. GOEMINNE BUJUMBURA - BRUSSEL CN</t>
  </si>
  <si>
    <t>ONKOSTEN 08+09/2019 RIJBEWIJS RWANDA + VACCINATIES MALARIA+RABIES</t>
  </si>
  <si>
    <t>ONKOSTEN190125</t>
  </si>
  <si>
    <t>ONK VERG S. DE LEPELEIRE KOSTEN EXTRA BAGAGE</t>
  </si>
  <si>
    <t>ONKOSTEN200007</t>
  </si>
  <si>
    <t>ONK De Lepeleire S KLM 2020-03-20 Flight ticket repatriation to Belgium</t>
  </si>
  <si>
    <t>DIV200527</t>
  </si>
  <si>
    <t>VOORZIENING 8014975 KEY TRAVEL CN</t>
  </si>
  <si>
    <t>ONKOSTEN200194</t>
  </si>
  <si>
    <t>ONK Bergs N Airbnb 2020-11-04 5 days rent at Airbnb</t>
  </si>
  <si>
    <t>ONKOSTEN200189</t>
  </si>
  <si>
    <t>ONK Bergs N Rwanda Biomedical Center 2020-10-25 COVID test at arirval in Rwanda</t>
  </si>
  <si>
    <t>ONKOSTEN200229</t>
  </si>
  <si>
    <t>ONK Bergs N Goed Apotheek Geel 2020-10-23 Deel malariapillen (24 pieces)</t>
  </si>
  <si>
    <t>ONKOSTEN200282</t>
  </si>
  <si>
    <t>ONK Bergs N Heilig Hartziekenhuis Mol 2020-10-31 Verplichte COVID test voor vertrek naar Rwanda</t>
  </si>
  <si>
    <t>ONKOSTEN210031</t>
  </si>
  <si>
    <t>ONK Bergs N Language World 2020-10-25 vertaling strafregister (nl naar en), voorbereiding vertrek</t>
  </si>
  <si>
    <t>ONKOSTEN200118</t>
  </si>
  <si>
    <t>ONK VISA De Lepeleire S Servicesntinfacture 59888 Soins Polycliniques P. G N. 2020-09-15 Covid-19 te</t>
  </si>
  <si>
    <t>Servicesntinfac</t>
  </si>
  <si>
    <t>ONKOSTEN200136</t>
  </si>
  <si>
    <t>ONK VISA De Lepeleire S Rwanda 2020-09-19 Covid test upon arrival</t>
  </si>
  <si>
    <t>Rwanda Biomedical Center (Rbc)</t>
  </si>
  <si>
    <t>ONKOSTEN200137</t>
  </si>
  <si>
    <t>ONK VISA De Lepeleire S Nesthouse 2020-09-20 Hotel room for quarantaine 2 nights, 1 person</t>
  </si>
  <si>
    <t>Nesthouse</t>
  </si>
  <si>
    <t>ONKOSTEN200192</t>
  </si>
  <si>
    <t>ONK VISA Bergs N Airbnb 2020-10-23 Eerste deel boeking Airbnb</t>
  </si>
  <si>
    <t>Airbnb</t>
  </si>
  <si>
    <t>ONKOSTEN200190</t>
  </si>
  <si>
    <t>ONK VISA Bergs N Airbnb 2020-10-30 tweede deel boeking Airbnb</t>
  </si>
  <si>
    <t>ONKOSTEN200187</t>
  </si>
  <si>
    <t>ONK VISA Bergs N NESTHOUSE 2020-10-25 1 nacht in quarantaine hotel bij aankomst in Rwanda</t>
  </si>
  <si>
    <t>ONKOSTEN200223</t>
  </si>
  <si>
    <t>ONK VISA Bergs N Irembo 2020-11-09 Aanvraag werk visum Rwanda (toeristenvisum was maar voor 1 m</t>
  </si>
  <si>
    <t>Irembo</t>
  </si>
  <si>
    <t>ONKOSTEN200237</t>
  </si>
  <si>
    <t>ONK VISA Bergs N Airbnb 2020-10-30 derde deel boeking Airbnb</t>
  </si>
  <si>
    <t>ONKOSTEN200288</t>
  </si>
  <si>
    <t>ONK VISA Bergs N Airbnb 2020-12-05 deel betaling Airbnb</t>
  </si>
  <si>
    <t>ONKOSTEN200290</t>
  </si>
  <si>
    <t>ONK VISA Bergs N Irembo 2020-12-09 verplichte COVID test voor vertrek uit Rwanda</t>
  </si>
  <si>
    <t>ONKOSTEN200289</t>
  </si>
  <si>
    <t>ONK VISA Bergs N Mtn 2020-12-09 internet en belminuten</t>
  </si>
  <si>
    <t>Mtn Centre Remera</t>
  </si>
  <si>
    <t>ONKOSTEN200302</t>
  </si>
  <si>
    <t>ONK VISA De Lepeleire S Kive Peace View Hotel Ltd 2020-11-19 Accomodation, 1 night, 2 persons field</t>
  </si>
  <si>
    <t>Kive Peace View Hotel</t>
  </si>
  <si>
    <t>ONKOSTEN200297</t>
  </si>
  <si>
    <t>ONK VISA De Lepeleire S Bethanyinvestment 2020-11-18 Field visit 1 night, 2 persons</t>
  </si>
  <si>
    <t>Bethanyinvestment</t>
  </si>
  <si>
    <t>ONKOSTEN200329</t>
  </si>
  <si>
    <t>ONK VISA Bergs N Mtn Centre Remera 2020-12-17 Opladen 4G telefoon (zeer vaak gebruikt als internetbr</t>
  </si>
  <si>
    <t>ONKOSTEN210576</t>
  </si>
  <si>
    <t>ONK VISA Bergs N Air Tanzania 2021-09-23 return airticket Dar es Salaam-Kigoma. Betaald met RKV kaar</t>
  </si>
  <si>
    <t>Air Tanzania</t>
  </si>
  <si>
    <t>ONKOSTEN210623</t>
  </si>
  <si>
    <t>ONK VISA De Lepeleire S Hotel Villa Portofino Kigal 2021-10-29 1 night,2 persons,quarantaine hotel u</t>
  </si>
  <si>
    <t>ONKOSTEN210654</t>
  </si>
  <si>
    <t>ONK VISA De Lepeleire S Hotel 2021-11-12 Partnership meeting, 1 person 1 night</t>
  </si>
  <si>
    <t>Hill view hotel</t>
  </si>
  <si>
    <t>ONKOSTEN210867</t>
  </si>
  <si>
    <t>ONK VISA De Lepeleire S Rwanda Biomedical Center (Rbc) 2021-12-05 Covid Pcr test</t>
  </si>
  <si>
    <t>ONKOSTEN220142</t>
  </si>
  <si>
    <t>ONK VISA De Lepeleire S Rwanda Biomedical Center 2022-01-08 Covid pcr test after positive rapid test</t>
  </si>
  <si>
    <t>AANK1901201</t>
  </si>
  <si>
    <t>AFREK VISA S. DE LEPELEIRE 24/10-23/11/2019</t>
  </si>
  <si>
    <t>AANK1901227</t>
  </si>
  <si>
    <t>DLG8$VERBLIJFKOST HOTEL</t>
  </si>
  <si>
    <t>DIV211103</t>
  </si>
  <si>
    <t>ONK VISA De Lepeleire S Hotel Villa Portofino Kigal 2021-10-29 1 night,2 persons,quarantaine hotel u ONKOSTEN210623</t>
  </si>
  <si>
    <t>ONKOSTEN210029</t>
  </si>
  <si>
    <t>ONK De Lepeleire S Soins Polycliniques 2020-09-15 Consultation for Covidtest pre-travel (Expat &amp; Co</t>
  </si>
  <si>
    <t>Soins Polycliniques</t>
  </si>
  <si>
    <t>ONKOSTEN210833</t>
  </si>
  <si>
    <t>ONK De Lepeleire S AZ Maria Middelares 2021-10-22 Covid PCR test before travelling after IOP week</t>
  </si>
  <si>
    <t>AZ Maria Middelares</t>
  </si>
  <si>
    <t>ONKOSTEN220007</t>
  </si>
  <si>
    <t>ONK De Lepeleire S Bv Centrum Voor Medische Analyse 2021-10-12 PCR test bij aankomst in België voor</t>
  </si>
  <si>
    <t>Bv Centrum Voor Medische Analyse</t>
  </si>
  <si>
    <t>AANK2000190</t>
  </si>
  <si>
    <t>AFREK VISA S. DE LEPELEIRE 24/12-23/01/2020</t>
  </si>
  <si>
    <t>KBC Bank NV</t>
  </si>
  <si>
    <t>DIV200107</t>
  </si>
  <si>
    <t>S. DE LEPELEIRE CASH AFHALING I &amp; M 23/03/2020</t>
  </si>
  <si>
    <t>BRWF6</t>
  </si>
  <si>
    <t>Payment hotel 20 nights - Participants DP3 workshop</t>
  </si>
  <si>
    <t>Portofino hotel</t>
  </si>
  <si>
    <t>CRWF16</t>
  </si>
  <si>
    <t>accomodation rent before signed contract</t>
  </si>
  <si>
    <t>Niyindorera Honorine</t>
  </si>
  <si>
    <t>CRWF26</t>
  </si>
  <si>
    <t>CRWF39</t>
  </si>
  <si>
    <t>sending house contract for signing</t>
  </si>
  <si>
    <t>DHL</t>
  </si>
  <si>
    <t>CRWF40</t>
  </si>
  <si>
    <t>CRWF3</t>
  </si>
  <si>
    <t>Accomodation field visit Rubavu, 1 person 2 nights</t>
  </si>
  <si>
    <t>Centre d accueil Saint Francois Xavier</t>
  </si>
  <si>
    <t>CRWF5</t>
  </si>
  <si>
    <t>Accomodation field visit DGD Kibuye, 1 person 1 night</t>
  </si>
  <si>
    <t>Bethany investement group</t>
  </si>
  <si>
    <t>CRWF9</t>
  </si>
  <si>
    <t>accomodation while looking for a house, 1 person 30 nights</t>
  </si>
  <si>
    <t>Nesthouse LTD</t>
  </si>
  <si>
    <t>CRWF15</t>
  </si>
  <si>
    <t>accomodation partnership meeting Rutsiro, 3 persons, 1 night</t>
  </si>
  <si>
    <t>Dian Fossey hotel</t>
  </si>
  <si>
    <t>CRWF22</t>
  </si>
  <si>
    <t>accomodation field visit Rutsiro, 1 person, 1 night</t>
  </si>
  <si>
    <t>CRWF4</t>
  </si>
  <si>
    <t>accomodation while looking for a house, 1 person  9 nights</t>
  </si>
  <si>
    <t>Salama Village</t>
  </si>
  <si>
    <t>CRWF43</t>
  </si>
  <si>
    <t>Guard 1 November</t>
  </si>
  <si>
    <t>Hakizimana Venuste</t>
  </si>
  <si>
    <t>CRWF44</t>
  </si>
  <si>
    <t>Guard 2 November</t>
  </si>
  <si>
    <t>keys office</t>
  </si>
  <si>
    <t>Key express</t>
  </si>
  <si>
    <t>CRWF6</t>
  </si>
  <si>
    <t>Water office</t>
  </si>
  <si>
    <t>Jibu Franchise Kimihurura</t>
  </si>
  <si>
    <t>CRWF8</t>
  </si>
  <si>
    <t>Equipments for office</t>
  </si>
  <si>
    <t>Kigali city new T2000 supermarket</t>
  </si>
  <si>
    <t>CRWF13</t>
  </si>
  <si>
    <t>bussiness cards delegates</t>
  </si>
  <si>
    <t>Shaloom design group</t>
  </si>
  <si>
    <t>CRWF23</t>
  </si>
  <si>
    <t>CRWF24</t>
  </si>
  <si>
    <t>water office</t>
  </si>
  <si>
    <t>Boutique Ubumwe</t>
  </si>
  <si>
    <t>CRWF38</t>
  </si>
  <si>
    <t>Jibig LTD</t>
  </si>
  <si>
    <t>CRWF47</t>
  </si>
  <si>
    <t>Water reservoir</t>
  </si>
  <si>
    <t>Bernhard Kleinhaentz</t>
  </si>
  <si>
    <t>CRWF36</t>
  </si>
  <si>
    <t>Fuel &amp; leasing - RAB179W - 517 km</t>
  </si>
  <si>
    <t>RRCS</t>
  </si>
  <si>
    <t>CRWF12</t>
  </si>
  <si>
    <t>MTN Recharge October 1</t>
  </si>
  <si>
    <t>MTN</t>
  </si>
  <si>
    <t>CRWF14</t>
  </si>
  <si>
    <t>Internet november</t>
  </si>
  <si>
    <t>CRWF17</t>
  </si>
  <si>
    <t>MTN Recharge October 2</t>
  </si>
  <si>
    <t>CRWF18</t>
  </si>
  <si>
    <t>MTN Recharge October 3</t>
  </si>
  <si>
    <t>CRWF19</t>
  </si>
  <si>
    <t>MTN Recharge October 4</t>
  </si>
  <si>
    <t>CRWF20</t>
  </si>
  <si>
    <t>MTN Recharge October 5</t>
  </si>
  <si>
    <t>CRWF21</t>
  </si>
  <si>
    <t>MTN Recharge October 6</t>
  </si>
  <si>
    <t>CRWF28</t>
  </si>
  <si>
    <t>Internet december</t>
  </si>
  <si>
    <t>20/11/2019</t>
  </si>
  <si>
    <t>CRWF31</t>
  </si>
  <si>
    <t>MTN Recharge November 1</t>
  </si>
  <si>
    <t>CRWF32</t>
  </si>
  <si>
    <t>MTN Recharge November 2</t>
  </si>
  <si>
    <t>CRWF33</t>
  </si>
  <si>
    <t>MTN Recharge November 3</t>
  </si>
  <si>
    <t>CRWF34</t>
  </si>
  <si>
    <t>MTN Recharge November 4</t>
  </si>
  <si>
    <t>CRWF35</t>
  </si>
  <si>
    <t>MTN Recharge November 5</t>
  </si>
  <si>
    <t>CRWF42</t>
  </si>
  <si>
    <t>MTN recharge December</t>
  </si>
  <si>
    <t>28/12/2019</t>
  </si>
  <si>
    <t>CRWF49</t>
  </si>
  <si>
    <t>MTN Recharge December 2</t>
  </si>
  <si>
    <t>CRWF2</t>
  </si>
  <si>
    <t>MTN simcard + balance</t>
  </si>
  <si>
    <t>CRWF10</t>
  </si>
  <si>
    <t>electricity October 1</t>
  </si>
  <si>
    <t>EUCL - FDI</t>
  </si>
  <si>
    <t>CRWF11</t>
  </si>
  <si>
    <t>electricity October 2</t>
  </si>
  <si>
    <t>CRWF27</t>
  </si>
  <si>
    <t>electricity November 1</t>
  </si>
  <si>
    <t>CRWF41</t>
  </si>
  <si>
    <t>water November</t>
  </si>
  <si>
    <t>WASAC</t>
  </si>
  <si>
    <t>CRWF1</t>
  </si>
  <si>
    <t>Guard 1  December</t>
  </si>
  <si>
    <t>Guard 2 December</t>
  </si>
  <si>
    <t>electricity December 1</t>
  </si>
  <si>
    <t>MTN Recharge January 1</t>
  </si>
  <si>
    <t>MTN Recharge January 2</t>
  </si>
  <si>
    <t>CRWF7</t>
  </si>
  <si>
    <t>water December</t>
  </si>
  <si>
    <t>Electricity January 1</t>
  </si>
  <si>
    <t>Electricity January 2</t>
  </si>
  <si>
    <t>water January</t>
  </si>
  <si>
    <t>Guard 1 January</t>
  </si>
  <si>
    <t>MTN Recharge February 1</t>
  </si>
  <si>
    <t>MTN Recharge February 2</t>
  </si>
  <si>
    <t>Office equipments</t>
  </si>
  <si>
    <t>Simba supermarket</t>
  </si>
  <si>
    <t>Internet office</t>
  </si>
  <si>
    <t>Airtel</t>
  </si>
  <si>
    <t>Guard 2 January</t>
  </si>
  <si>
    <t>electricity February 1</t>
  </si>
  <si>
    <t>Taxi airport Kigali after training blood</t>
  </si>
  <si>
    <t>Volkswagen mobility solutions Rwanda</t>
  </si>
  <si>
    <t>truconnect</t>
  </si>
  <si>
    <t>Jibu</t>
  </si>
  <si>
    <t>MTN Recharge March 1</t>
  </si>
  <si>
    <t>MTN Recharge March 2</t>
  </si>
  <si>
    <t>Guard 1  February</t>
  </si>
  <si>
    <t>CRWF29</t>
  </si>
  <si>
    <t>Guard 2 Februaru</t>
  </si>
  <si>
    <t>electricity March 1</t>
  </si>
  <si>
    <t>MTN Recharge March 3</t>
  </si>
  <si>
    <t>water March</t>
  </si>
  <si>
    <t>water March-April-May</t>
  </si>
  <si>
    <t>Guard 1 March-April-May</t>
  </si>
  <si>
    <t>CRWF37</t>
  </si>
  <si>
    <t>Guard 2 March-April-May</t>
  </si>
  <si>
    <t>Electricity March-April-May</t>
  </si>
  <si>
    <t>MTN Recharge March 4</t>
  </si>
  <si>
    <t>Taxi airport Kigali repatriation</t>
  </si>
  <si>
    <t>Makiriro Jack</t>
  </si>
  <si>
    <t>MTN Recharge March 5</t>
  </si>
  <si>
    <t>MTN Recharge for  Claire</t>
  </si>
  <si>
    <t>CRWF46</t>
  </si>
  <si>
    <t>MTN recharge September</t>
  </si>
  <si>
    <t>Taxi to office</t>
  </si>
  <si>
    <t>Taxi service Kigali</t>
  </si>
  <si>
    <t>CRWF51</t>
  </si>
  <si>
    <t>Fuel delegate care</t>
  </si>
  <si>
    <t>Hashi Energy LTD</t>
  </si>
  <si>
    <t>CRWF52</t>
  </si>
  <si>
    <t>water for office</t>
  </si>
  <si>
    <t>Corner Supermarket Ltd</t>
  </si>
  <si>
    <t>CRWF53</t>
  </si>
  <si>
    <t>MTN recharge October 1</t>
  </si>
  <si>
    <t>CRWF54</t>
  </si>
  <si>
    <t>Water home</t>
  </si>
  <si>
    <t>CRWF55</t>
  </si>
  <si>
    <t>Electricity October</t>
  </si>
  <si>
    <t>CRWF56</t>
  </si>
  <si>
    <t>RIS</t>
  </si>
  <si>
    <t>CRWF57</t>
  </si>
  <si>
    <t>Guard 1 October</t>
  </si>
  <si>
    <t>CRWF58</t>
  </si>
  <si>
    <t>Guard 2 October</t>
  </si>
  <si>
    <t>CRWF59</t>
  </si>
  <si>
    <t>CRWF60</t>
  </si>
  <si>
    <t>Hand sanitizer for office</t>
  </si>
  <si>
    <t>Pharmacie Hamphar</t>
  </si>
  <si>
    <t>CRWF61</t>
  </si>
  <si>
    <t>Jibu Kigali Kacyiru</t>
  </si>
  <si>
    <t>CRWF62</t>
  </si>
  <si>
    <t>CRWF63</t>
  </si>
  <si>
    <t>CRWF66</t>
  </si>
  <si>
    <t>Paper for office</t>
  </si>
  <si>
    <t>CRWF67</t>
  </si>
  <si>
    <t>Electricity November 1</t>
  </si>
  <si>
    <t>CRWF68</t>
  </si>
  <si>
    <t>Security street December</t>
  </si>
  <si>
    <t>CRWF69</t>
  </si>
  <si>
    <t>CRWF70</t>
  </si>
  <si>
    <t>CRWF72</t>
  </si>
  <si>
    <t>Electricity December 1</t>
  </si>
  <si>
    <t>Fill air tyres delegate car</t>
  </si>
  <si>
    <t>Source Oil LTD</t>
  </si>
  <si>
    <t>Guard 1 December + 13 month</t>
  </si>
  <si>
    <t>Guard 2 December + 13th month</t>
  </si>
  <si>
    <t>MTN recharge December 1</t>
  </si>
  <si>
    <t>30/9/2020</t>
  </si>
  <si>
    <t>BEUR1</t>
  </si>
  <si>
    <t>Ledger fee September</t>
  </si>
  <si>
    <t>Bank account</t>
  </si>
  <si>
    <t>31/12/2020</t>
  </si>
  <si>
    <t>BEUR2</t>
  </si>
  <si>
    <t>Ledger fee December 1</t>
  </si>
  <si>
    <t>BEUR3</t>
  </si>
  <si>
    <t>Ledger fee December 2</t>
  </si>
  <si>
    <t>BRWF1</t>
  </si>
  <si>
    <t>17/11/2020</t>
  </si>
  <si>
    <t>BRWF2</t>
  </si>
  <si>
    <t>First aid kits cars delegates</t>
  </si>
  <si>
    <t>RRC/EMC&amp;FA - training center</t>
  </si>
  <si>
    <t>BRWF3</t>
  </si>
  <si>
    <t>Bank charge for FA kits</t>
  </si>
  <si>
    <t>16/11/2020</t>
  </si>
  <si>
    <t>Ledger fee November</t>
  </si>
  <si>
    <t>BRWF7</t>
  </si>
  <si>
    <t>Cheque book issue charge</t>
  </si>
  <si>
    <t>30/11/2020</t>
  </si>
  <si>
    <t>BRWF9</t>
  </si>
  <si>
    <t>BRWF10</t>
  </si>
  <si>
    <t>Office screens + equipments</t>
  </si>
  <si>
    <t>Champions Technologies LTD</t>
  </si>
  <si>
    <t>BRWF11</t>
  </si>
  <si>
    <t>Ledger fee December</t>
  </si>
  <si>
    <t>CRWF 1</t>
  </si>
  <si>
    <t xml:space="preserve">Water January </t>
  </si>
  <si>
    <t>CRWF 2</t>
  </si>
  <si>
    <t>CRWF 3</t>
  </si>
  <si>
    <t>CRWF 4</t>
  </si>
  <si>
    <t>Appointment controle delegate car</t>
  </si>
  <si>
    <t>CRWF 5</t>
  </si>
  <si>
    <t xml:space="preserve">Airtime Recharge January </t>
  </si>
  <si>
    <t>CRWF 6</t>
  </si>
  <si>
    <t>Sending documents to Belgium (invoices) DHL</t>
  </si>
  <si>
    <t>DHL express Rwanda LTD</t>
  </si>
  <si>
    <t>CRWF 7</t>
  </si>
  <si>
    <t>Gas for house</t>
  </si>
  <si>
    <t>Le paon</t>
  </si>
  <si>
    <t>CRWF 8</t>
  </si>
  <si>
    <t>Electricity January 3</t>
  </si>
  <si>
    <t>CRWF 11</t>
  </si>
  <si>
    <t>Guard 1 salary January</t>
  </si>
  <si>
    <t>CRWF 12</t>
  </si>
  <si>
    <t>Guard 2 salary January</t>
  </si>
  <si>
    <t>CRWF 13</t>
  </si>
  <si>
    <t>Securty  street January</t>
  </si>
  <si>
    <t>CRWF 14</t>
  </si>
  <si>
    <t>Electricity February</t>
  </si>
  <si>
    <t>CRWF 15</t>
  </si>
  <si>
    <t>Yes Shop LTD</t>
  </si>
  <si>
    <t>CRWF 16</t>
  </si>
  <si>
    <t>security street February</t>
  </si>
  <si>
    <t>Umurerwa Subine</t>
  </si>
  <si>
    <t>CRWF 17</t>
  </si>
  <si>
    <t>Gima Facemasks</t>
  </si>
  <si>
    <t>Vine pharmacy</t>
  </si>
  <si>
    <t>CRWF 18</t>
  </si>
  <si>
    <t>Guard 1 salary February</t>
  </si>
  <si>
    <t>CRWF 19</t>
  </si>
  <si>
    <t>Guard 2 salary February</t>
  </si>
  <si>
    <t>CRWF 20</t>
  </si>
  <si>
    <t>CRWF 21</t>
  </si>
  <si>
    <t>Electricity March 1</t>
  </si>
  <si>
    <t>CRWF 22</t>
  </si>
  <si>
    <t>Water February_March</t>
  </si>
  <si>
    <t>CRWF 23</t>
  </si>
  <si>
    <t xml:space="preserve">Airtime Recharge March </t>
  </si>
  <si>
    <t>CRWF 24</t>
  </si>
  <si>
    <t>Electricity March 2</t>
  </si>
  <si>
    <t>CRWF25</t>
  </si>
  <si>
    <t>Office materials</t>
  </si>
  <si>
    <t>T2000 supermarkt</t>
  </si>
  <si>
    <t>Guard 1 salary March</t>
  </si>
  <si>
    <t>Guard 2 salary March</t>
  </si>
  <si>
    <t>Security street</t>
  </si>
  <si>
    <t>Repubulika y'u Rwanda</t>
  </si>
  <si>
    <t>CRWF30</t>
  </si>
  <si>
    <t>Electricity April</t>
  </si>
  <si>
    <t>CRWF90</t>
  </si>
  <si>
    <t>Guard salary 1 October</t>
  </si>
  <si>
    <t>CRWF91</t>
  </si>
  <si>
    <t>Guard salary 2 October</t>
  </si>
  <si>
    <t>CRWF92</t>
  </si>
  <si>
    <t>Rapid test Covid after high risk contact</t>
  </si>
  <si>
    <t>Policlinique de l'etoile</t>
  </si>
  <si>
    <t>CRWF93</t>
  </si>
  <si>
    <t>Rapid test Covid for partnership meeting</t>
  </si>
  <si>
    <t>Kibuye Referral hospital</t>
  </si>
  <si>
    <t>CRWF94</t>
  </si>
  <si>
    <t>CRWF95</t>
  </si>
  <si>
    <t>Rapid test Covid for representatoin embassy event</t>
  </si>
  <si>
    <t>Gasabo medical clinic</t>
  </si>
  <si>
    <t>CRWF96</t>
  </si>
  <si>
    <t>Guard salary 1 November</t>
  </si>
  <si>
    <t>CRWF97</t>
  </si>
  <si>
    <t>Rapid test Covid after positive contact during work</t>
  </si>
  <si>
    <t>CRWF98</t>
  </si>
  <si>
    <t>CRWF99</t>
  </si>
  <si>
    <t>Airtime recharge December</t>
  </si>
  <si>
    <t>CRWF100</t>
  </si>
  <si>
    <t>Guard salary 1 December</t>
  </si>
  <si>
    <t>Ledger fee January</t>
  </si>
  <si>
    <t>Vehicle maintenance and repair services</t>
  </si>
  <si>
    <t>Rmade Garage</t>
  </si>
  <si>
    <t>Bank Charge for payment vehicle maintenance</t>
  </si>
  <si>
    <t>BRWF4</t>
  </si>
  <si>
    <t>Ledger fee February</t>
  </si>
  <si>
    <t>BRWF8</t>
  </si>
  <si>
    <t>ledger fee march</t>
  </si>
  <si>
    <t>BRWF12</t>
  </si>
  <si>
    <t>Ledger Fee April</t>
  </si>
  <si>
    <t>BRWF24</t>
  </si>
  <si>
    <t>Renewal tires delegation car</t>
  </si>
  <si>
    <t>Societe rwandase des pneumatiques bandag LTD</t>
  </si>
  <si>
    <t>BRWF27</t>
  </si>
  <si>
    <t>Office equipment: screen, beamer, extension cables,..</t>
  </si>
  <si>
    <t>Mahaveer Technology LTD</t>
  </si>
  <si>
    <t>BRWF29</t>
  </si>
  <si>
    <t>Unpaid cheque</t>
  </si>
  <si>
    <t>BRWF30</t>
  </si>
  <si>
    <t>Vat Component</t>
  </si>
  <si>
    <t>BRWF32</t>
  </si>
  <si>
    <t>Pieces embryiage delegate car</t>
  </si>
  <si>
    <t>G.N.U Solutions LTD</t>
  </si>
  <si>
    <t>BRWF34</t>
  </si>
  <si>
    <t>BRWF36</t>
  </si>
  <si>
    <t>Totaal Programme Delegate - DLG cost</t>
  </si>
  <si>
    <t>PERS PEG19011</t>
  </si>
  <si>
    <t>Beheerskosten 08/2019 De Lepeleire Sigrid</t>
  </si>
  <si>
    <t>De Lepeleire Sigrid</t>
  </si>
  <si>
    <t>PERS PEG19012</t>
  </si>
  <si>
    <t>Beheerskosten 09/2019 De Lepeleire Sigrid</t>
  </si>
  <si>
    <t>PERS PEG19013</t>
  </si>
  <si>
    <t>Beheerskosten 10/2019 De Lepeleire Sigrid</t>
  </si>
  <si>
    <t>PERS PEG19014</t>
  </si>
  <si>
    <t>Beheerskosten 11/2019 De Lepeleire Sigrid</t>
  </si>
  <si>
    <t>PERS PEG19015</t>
  </si>
  <si>
    <t>Beheerskosten 12/2019 De Lepeleire Sigrid</t>
  </si>
  <si>
    <t>PERS PEG20001</t>
  </si>
  <si>
    <t>LOON S. DE LEPELEIRE 01/2020</t>
  </si>
  <si>
    <t>PERS PEG20002</t>
  </si>
  <si>
    <t>LOON S. DE LEPELEIRE 02/2020</t>
  </si>
  <si>
    <t>PERS PEG20003</t>
  </si>
  <si>
    <t>LOON S. DE LEPELEIRE 03/2020</t>
  </si>
  <si>
    <t>PERS PEG20004</t>
  </si>
  <si>
    <t>LOON S. DE LEPELEIRE 04/2020</t>
  </si>
  <si>
    <t>PERS PEG20005</t>
  </si>
  <si>
    <t>LOON S. DE LEPELEIRE 05/2020</t>
  </si>
  <si>
    <t>PERS PEG20006</t>
  </si>
  <si>
    <t>LOON S. DE LEPELEIRE 06/2020</t>
  </si>
  <si>
    <t>PERS PEG20007</t>
  </si>
  <si>
    <t>LOON S. DE LEPELEIRE 07/2020</t>
  </si>
  <si>
    <t>PERS PEG20008</t>
  </si>
  <si>
    <t>Bezoldiging  De Lepeleire Sigrid 08/2020</t>
  </si>
  <si>
    <t>Bezoldiging  Sidsel Petersen 08/2020</t>
  </si>
  <si>
    <t>PERS PEG20009</t>
  </si>
  <si>
    <t>Bezoldiging  De Lepeleire Sigrid 09/2020</t>
  </si>
  <si>
    <t>PERS PEG20010</t>
  </si>
  <si>
    <t>Bezoldiging  De Lepeleire Sigrid 10/2020</t>
  </si>
  <si>
    <t>DIV200385</t>
  </si>
  <si>
    <t>Bezoldiging De Lepeleire Sigrid 11/2020</t>
  </si>
  <si>
    <t>PERS PEG20012</t>
  </si>
  <si>
    <t>Beheerskosten De Lepeleire Sigrid 12/2020</t>
  </si>
  <si>
    <t>PERS PEG21001</t>
  </si>
  <si>
    <t>Beheerskosten 01/2021 De Lepeleire Sigrid</t>
  </si>
  <si>
    <t>PERS PEG21003</t>
  </si>
  <si>
    <t>Beheerskosten 02/2021 De Lepeleire Sigrid</t>
  </si>
  <si>
    <t>PERS PEG21005</t>
  </si>
  <si>
    <t>Beheerskosten 03/2021 De Lepeleire Sigrid</t>
  </si>
  <si>
    <t>PERS PEG21013</t>
  </si>
  <si>
    <t>Beheerskosten 04/2021 De Lepeleire Sigrid</t>
  </si>
  <si>
    <t>PERS PEG21034</t>
  </si>
  <si>
    <t>Beheerskosten 12/2021 De Lepeleire Sigrid</t>
  </si>
  <si>
    <t>DIV210976</t>
  </si>
  <si>
    <t>RECLASS Beheerskosten 11/2021 De Lepeleire Sigrid</t>
  </si>
  <si>
    <t>AANK2000611</t>
  </si>
  <si>
    <t>EXPAT &amp; CO 24715 - 11/2020 - S.DE LEPELIERE</t>
  </si>
  <si>
    <t>EXPAT &amp; CO BVBA</t>
  </si>
  <si>
    <t>AANK2100121</t>
  </si>
  <si>
    <t>S.De Lepeleire 04/2021 - expat &amp; co ft26433</t>
  </si>
  <si>
    <t>AANK1901015</t>
  </si>
  <si>
    <t>EXPAT &amp; CO MOBILITY INSURANCES 10/2019 S. DE LEPELEIRE</t>
  </si>
  <si>
    <t>AANK1901210</t>
  </si>
  <si>
    <t>EXPAT &amp; CO DIVERSE VERZEK 11/2019 S. DE LEPELEIRE</t>
  </si>
  <si>
    <t>AANK2000125</t>
  </si>
  <si>
    <t>EXPAT &amp; CO PERIODE 01/2020 S. DE LEPELEIRE</t>
  </si>
  <si>
    <t>AANK2000139</t>
  </si>
  <si>
    <t>EXPAT &amp; CO PERIODE 02/2020 S. DE LEPELEIRE</t>
  </si>
  <si>
    <t>AANK2000140</t>
  </si>
  <si>
    <t>EXPAT &amp; CO PERIODE 03/2020 S. DE LEPELEIRE</t>
  </si>
  <si>
    <t>AANK2000141</t>
  </si>
  <si>
    <t>EXPAT &amp; CO PERIODE 12/2019 S. DE LEPELEIRE</t>
  </si>
  <si>
    <t>AANK2000255</t>
  </si>
  <si>
    <t>EXPAT &amp; CO 22527 PERIODE 04/2020 S. DE LEPELEIRE</t>
  </si>
  <si>
    <t>AANK2000286</t>
  </si>
  <si>
    <t>EXPAT &amp; CO 22815 PERIODE 05/2020 S. DE LEPELEIRE</t>
  </si>
  <si>
    <t>AANK2000318</t>
  </si>
  <si>
    <t>EXPAT &amp; CO PERIODE 06/2020 S. DE LEPELEIRE</t>
  </si>
  <si>
    <t>AANK2000376</t>
  </si>
  <si>
    <t>EXPAT &amp; CO 23278 PERIODE 07/2020 S. DE LEPELEIRE</t>
  </si>
  <si>
    <t>AANK2000396</t>
  </si>
  <si>
    <t>EXPAT&amp;CO 23583 PERIODE 08/2020 S. DE LEPELEIRE</t>
  </si>
  <si>
    <t>AANK2000614</t>
  </si>
  <si>
    <t>EXPAT &amp; CO 24823 - 12/2020 - S. DE LEPELEIRE</t>
  </si>
  <si>
    <t>AANK2000624</t>
  </si>
  <si>
    <t>EXPAT &amp; CO 24715 - 10/2020 - S. DE LEPELEIRE</t>
  </si>
  <si>
    <t>AANK2000665</t>
  </si>
  <si>
    <t>EXPAT &amp; CO 23887 09/2020 S. DE LEPELEIRE</t>
  </si>
  <si>
    <t>DIV190492</t>
  </si>
  <si>
    <t>FACTUUR EXPAT &amp; CO 08/2019 - S. DE LEPELEIRE</t>
  </si>
  <si>
    <t>FACTUUR EXPAT &amp; CO 09/2019 - S. DE LEPELEIRE</t>
  </si>
  <si>
    <t>EXPAT &amp; CO PERIODE 02/2020 C. SCHAMPS</t>
  </si>
  <si>
    <t>EXPAT &amp; CO PERIODE 01/2020 C. SCHAMPS</t>
  </si>
  <si>
    <t>DIV210012</t>
  </si>
  <si>
    <t>EXPACT&amp;CO - S.De Lepeleire 03/2021</t>
  </si>
  <si>
    <t>DIV210013</t>
  </si>
  <si>
    <t>4900202000 - 6133710000 - S.De Lepeleire 01/2021</t>
  </si>
  <si>
    <t>DIV210014</t>
  </si>
  <si>
    <t>4900202000 - 6133710000 - S.De Lepeleire 02/2021</t>
  </si>
  <si>
    <t>DIV200594</t>
  </si>
  <si>
    <t>AANK2000588 - EXPAT&amp;CO 24567 PERIODE 11/2020 S. DE LEPELEIRE</t>
  </si>
  <si>
    <t>RECLASS EXPAT &amp; CO - S.DE LEPELEIRE 11/2021</t>
  </si>
  <si>
    <t>Bezoldiging 08/2019 De Lepeleire Sigrid</t>
  </si>
  <si>
    <t>Bezoldiging 09/2019 De Lepeleire Sigrid</t>
  </si>
  <si>
    <t>Bezoldiging 10/2019 De Lepeleire Sigrid</t>
  </si>
  <si>
    <t>Bezoldiging 11/2019 De Lepeleire Sigrid</t>
  </si>
  <si>
    <t>Bezoldiging 12/2019 De Lepeleire Sigrid</t>
  </si>
  <si>
    <t>DIV200080</t>
  </si>
  <si>
    <t>LOON S. DE LEPELEIRE 03/2020 EXTRA</t>
  </si>
  <si>
    <t>LOON C. SCHAMPS 02/2020</t>
  </si>
  <si>
    <t>C. SCHAMPS</t>
  </si>
  <si>
    <t>Bezoldiging De Lepeleire Sigrid 08/2020</t>
  </si>
  <si>
    <t>Bezoldiging De Lepeleire Sigrid 09/2020</t>
  </si>
  <si>
    <t>Bezoldiging De Lepeleire Sigrid 10/2020</t>
  </si>
  <si>
    <t>Bezoldiging De Lepeleire Sigrid 12/2020</t>
  </si>
  <si>
    <t>Bezolding 01/2021 De Lepeleire Sigrid</t>
  </si>
  <si>
    <t>PERS PEG21002</t>
  </si>
  <si>
    <t>Bezolding 02/2021 De Lepeleire Sigrid</t>
  </si>
  <si>
    <t>PERS PEG21004</t>
  </si>
  <si>
    <t>Bezolding 03/2021 De Lepeleire Sigrid</t>
  </si>
  <si>
    <t>PERS PEG21012</t>
  </si>
  <si>
    <t>Bezolding 04/2021 De Lepeleire Sigrid</t>
  </si>
  <si>
    <t>PERS PEG21014</t>
  </si>
  <si>
    <t>Correctie bedrijfsvoorheffing_De Lepeleire Sigrid_01/2021</t>
  </si>
  <si>
    <t>PERS PEG21018</t>
  </si>
  <si>
    <t>Correctie bedrijfsvoorheffing_De Lepeleire Sigrid_02/2021</t>
  </si>
  <si>
    <t>PERS PEG21019</t>
  </si>
  <si>
    <t>Correctie bedrijfsvoorheffing_De Lepeleire Sigrid_03/2021</t>
  </si>
  <si>
    <t>PERS PEG21020</t>
  </si>
  <si>
    <t>Correctie bedrijfsvoorheffing_De Lepeleire Sigrid_04/2021</t>
  </si>
  <si>
    <t>PERS PEG21022</t>
  </si>
  <si>
    <t>Correctie bedrijfsvoorheffing_De Lepeleire Sigrid_06/2021</t>
  </si>
  <si>
    <t>DIV210726</t>
  </si>
  <si>
    <t>Overboeking PERS PEG21031- 11/2021 De Lepeleire Sigrid</t>
  </si>
  <si>
    <t>PERS PEG21035</t>
  </si>
  <si>
    <t>Correctie bezoldiging 2021 De Lepeleire Sigrid</t>
  </si>
  <si>
    <t>PERS PEG21036</t>
  </si>
  <si>
    <t>Bezoldiging 01/2022 De Lepeleire Sigrid</t>
  </si>
  <si>
    <t>OSZ 01/2020 - C. SCHAMPS</t>
  </si>
  <si>
    <t>DIV200845</t>
  </si>
  <si>
    <t>Toewijzing groepsverzekering AG Insurance aan projecten - 2019</t>
  </si>
  <si>
    <t>AG Insurance</t>
  </si>
  <si>
    <t>DIV200846</t>
  </si>
  <si>
    <t>Toewijzing groepsverzekering AG Insurance aan projecten - 2020</t>
  </si>
  <si>
    <t>DIV210337</t>
  </si>
  <si>
    <t>4590310000 - 6220200000 - S.De Lepeleire 01/2021</t>
  </si>
  <si>
    <t>DIV210338</t>
  </si>
  <si>
    <t>4590310000 - 6220200000 - S.De Lepeleire 02/2021</t>
  </si>
  <si>
    <t>DIV210339</t>
  </si>
  <si>
    <t>4590310000 - 6220200000 - S.De Lepeleire 03/2021</t>
  </si>
  <si>
    <t>DIV210340</t>
  </si>
  <si>
    <t>4590310000 - 6220200000 - S.De Lepeleire 04/2021</t>
  </si>
  <si>
    <t>DIV210343</t>
  </si>
  <si>
    <t>AG insurance delegees  02/2021 - correctie</t>
  </si>
  <si>
    <t>DIV210748</t>
  </si>
  <si>
    <t>4590310000 - 6220200000 - De Lepeleire Sigrid - 12/2021</t>
  </si>
  <si>
    <t>DIV210977</t>
  </si>
  <si>
    <t>RECLASS EXPAT &amp; CO - DE LEPELEIRE SIGRID - 11/2021</t>
  </si>
  <si>
    <t>Totaal Programme Delegate - Salary cost</t>
  </si>
  <si>
    <t>PYMT SAL 01/2020 JACQUELINE</t>
  </si>
  <si>
    <t>REMB RET SAL 01/2020/JACQUELINE</t>
  </si>
  <si>
    <t>PYMT SAL 02/2020 JACQUELINE</t>
  </si>
  <si>
    <t>REMB RETENUS S/SAL 02/2020 JACQUELINE</t>
  </si>
  <si>
    <t>PYMT SAL  03/2020 JACQUELINE</t>
  </si>
  <si>
    <t>REMB RET SAL 03/2020/JACQUELINE</t>
  </si>
  <si>
    <t>PYMT SAL  04/2020 JACQUELINE</t>
  </si>
  <si>
    <t>REMB RETENUS SAL 04/2020/JACQUELINE</t>
  </si>
  <si>
    <t>REMB RET S/SAL 05/2020/JACKY</t>
  </si>
  <si>
    <t>PYMT SAL  05/2020 JACQUELINE</t>
  </si>
  <si>
    <t>PYMT SAL  06/2020 JACQUELINE</t>
  </si>
  <si>
    <t>REMB RETENUS S/SAL 06/2020 JACQUELINE</t>
  </si>
  <si>
    <t>REMB RETENUS S/BONUS 06/2020 JACQUELINE</t>
  </si>
  <si>
    <t>PYMT BONUS 06/2020 JACQUELINE</t>
  </si>
  <si>
    <t>COMPL RETENUS S/BONUS 06/2020/JACQUELINE</t>
  </si>
  <si>
    <t>PYMT SAL 07/2020/JACKY</t>
  </si>
  <si>
    <t>REMB RETEN SAL 07/2020/JACKY</t>
  </si>
  <si>
    <t>PYMT SAL 08/2020/JACKY</t>
  </si>
  <si>
    <t>REMB RET SAL 09/2020/JACKY</t>
  </si>
  <si>
    <t>PYMT SAL 09/2020/JACKY</t>
  </si>
  <si>
    <t>REMB RET SAL 10/2020/JACKY</t>
  </si>
  <si>
    <t>PYMT SAL 10/2020/JACKY</t>
  </si>
  <si>
    <t>PYMT SAL 11/2020/JACKY</t>
  </si>
  <si>
    <t>REMB RETE S/SAL 11/2020 JAKY</t>
  </si>
  <si>
    <t>REMB RET S/SAL 12/2020/JACKY</t>
  </si>
  <si>
    <t>PYMT SAL 12/2020/JACKY</t>
  </si>
  <si>
    <t>PYMT BONUS 12/2020/JACKY</t>
  </si>
  <si>
    <t>RMB RET S/BONUS 12/2020/JACKY</t>
  </si>
  <si>
    <t>REMB.RET./SAL.09/19-JACQUELINE</t>
  </si>
  <si>
    <t>Jacqueline Gasamagera</t>
  </si>
  <si>
    <t>DP3/0026</t>
  </si>
  <si>
    <t>PMT SAL 10/19 JACQUELINE</t>
  </si>
  <si>
    <t>REMB.RET./SAL.10/19-JACQUELINE</t>
  </si>
  <si>
    <t>PAYMENT OF SALAY FOR 01/2022/ EVODE</t>
  </si>
  <si>
    <t>REIMB RET SAL 01/2022/EVODE</t>
  </si>
  <si>
    <t>REMB RET S/SAL 03/2021/JACKY</t>
  </si>
  <si>
    <t>JACKY GASAMAGERA</t>
  </si>
  <si>
    <t>PYMT SAL 03/2021 JACKY</t>
  </si>
  <si>
    <t>PYMT SAL 04/2021 JACKY</t>
  </si>
  <si>
    <t>REMB RET S/SAL 04/2021/JACKY</t>
  </si>
  <si>
    <t>REMB.RET./SAL.11/19-JACQUELINE</t>
  </si>
  <si>
    <t>PYMT SAL  11/ 2019 JACQUELINE</t>
  </si>
  <si>
    <t>PYMT  BONUS 12/2019/JACQUELINE</t>
  </si>
  <si>
    <t>PYMT REIMB SAL 12/2019-JACQUELINE</t>
  </si>
  <si>
    <t>PYMT SAL  12/ 2019 JACQUELINE</t>
  </si>
  <si>
    <t>PYMT SAL 05/2021 JACKY</t>
  </si>
  <si>
    <t>REMB RET S/SAL 05/2021/JACKY</t>
  </si>
  <si>
    <t>PYMT SAL 06/2021 JACKY</t>
  </si>
  <si>
    <t>PYMT BONUS 06/2021 JACKY</t>
  </si>
  <si>
    <t>REIMB RET BONUS 06/2021 JACKY</t>
  </si>
  <si>
    <t>/JACKY GASAMAGERA</t>
  </si>
  <si>
    <t>REIMB RET SAL 06/2021 JACKY</t>
  </si>
  <si>
    <t>PAYMENT OF SALARY FOR JULY 2021/JACKY</t>
  </si>
  <si>
    <t>REMB RET SALARY FOR JULY 2021/EVODE</t>
  </si>
  <si>
    <t>REMB RET  SALARY FOR JULY 2021/JACKY</t>
  </si>
  <si>
    <t>PAYMENT OF SALARY FOR AUGUST 2021/JACKY</t>
  </si>
  <si>
    <t>REMB RET  SALARY FOR AUGUST 2021/JACKY</t>
  </si>
  <si>
    <t>PAYMENT OF SALARY FOR OCTOBER 2021/JACKY</t>
  </si>
  <si>
    <t>REMB RET SALARY FOR OCTOBER 2021/JACKY</t>
  </si>
  <si>
    <t>PAYMENT OF  SALARY FOR NOVEMBER 2021/JACKY</t>
  </si>
  <si>
    <t>REMB RETEN  SALARY FOR NOVEMBER 2021/JACKY</t>
  </si>
  <si>
    <t>PAYMENT OF  SALARY FOR DECEMBER  2021/JACKY</t>
  </si>
  <si>
    <t>PYMT BONUS  FOR DECEMBER 2021/JACKY</t>
  </si>
  <si>
    <t>REIMB RET SAL  DECEMBER 2021/JACKY</t>
  </si>
  <si>
    <t>REIMB RET BONUS DECEMBER 2021/JACKY</t>
  </si>
  <si>
    <t>Totaal Project coordinator, 1 person, 24 months</t>
  </si>
  <si>
    <t>PYMT SAL 01/2020 EVODE</t>
  </si>
  <si>
    <t>REMB RET SAL 01/2020/EVODE</t>
  </si>
  <si>
    <t>PYMT SAL 02/2020 EVODE</t>
  </si>
  <si>
    <t>REMB RETENUS S/SAL 02/2020 EVODE</t>
  </si>
  <si>
    <t>PYMT SAL  03/2020 EVODE</t>
  </si>
  <si>
    <t>REMB RET SAL 03/2020/EVODE</t>
  </si>
  <si>
    <t>PYMT SAL  04/2020 EVODE</t>
  </si>
  <si>
    <t>REMB RETENUS SAL 04/2020/EVODE</t>
  </si>
  <si>
    <t>REMB RET S/SAL 05/2020/EVODE</t>
  </si>
  <si>
    <t>PYMT SAL  05/2020 EVODE</t>
  </si>
  <si>
    <t>PYMT SAL  06/2020 EVODE</t>
  </si>
  <si>
    <t>REMB RETENUS S/SAL 06/2020 EVODE</t>
  </si>
  <si>
    <t>REMB RETENUS S/BONUS 06/2020 EVODE</t>
  </si>
  <si>
    <t>PYMT BONUS  06/2020 EVODE</t>
  </si>
  <si>
    <t>COMPL RETENUS S/BONUS 06/2020/EVODE</t>
  </si>
  <si>
    <t>PYMT SAL 07/2020/EVODE</t>
  </si>
  <si>
    <t>REMB RETEN SAL 07/2020/EVODE</t>
  </si>
  <si>
    <t>PYMT SAL 08/2020/EVODE</t>
  </si>
  <si>
    <t>REMB.RET./SAL.09/19-EVODE</t>
  </si>
  <si>
    <t>Evode Rusanganwa J Pie</t>
  </si>
  <si>
    <t>PMT SAL 09/19 EVODE</t>
  </si>
  <si>
    <t>PMT SAL 09/19 JACQUELINE</t>
  </si>
  <si>
    <t>PMT SAL 10/19 EVODE</t>
  </si>
  <si>
    <t xml:space="preserve">Evode Rusanganwa J Pie </t>
  </si>
  <si>
    <t>REMB.RET./SAL.10/19-EVODE</t>
  </si>
  <si>
    <t>PYMT SAL 01/2021/EVODE</t>
  </si>
  <si>
    <t>REMB RET SAL 01/2021 EVODE</t>
  </si>
  <si>
    <t>PAYMENT OF SALAY FOR 01/2022/ JAKY</t>
  </si>
  <si>
    <t>REIMB RET SAL 01/2022/JACKY</t>
  </si>
  <si>
    <t>PYMT SAL  02/2021  EVODE</t>
  </si>
  <si>
    <t>REMB RET S/SAL 02/2021/EVODE</t>
  </si>
  <si>
    <t>REMB RET S/SAL 03/2021/EVODE</t>
  </si>
  <si>
    <t>PYMT SAL  03/2021  EVODE</t>
  </si>
  <si>
    <t>PYMT SAL  04/2021  EVODE</t>
  </si>
  <si>
    <t>REMB RET S/SAL 04/2021/EVODE</t>
  </si>
  <si>
    <t>REMB.RET./SAL.11/19-EVODE</t>
  </si>
  <si>
    <t>PYMT SAL  11/ 2019 EVODE</t>
  </si>
  <si>
    <t>PYMT BONUS 12/2019/EVODE</t>
  </si>
  <si>
    <t>PYMT REIMB SAL 12/2019-EVODE</t>
  </si>
  <si>
    <t>PYMT SAL  12/ 2019 EVODE</t>
  </si>
  <si>
    <t>PYMT SAL 05/2021  EVODE</t>
  </si>
  <si>
    <t>REMB RET S/SAL 05/2021/EVODE</t>
  </si>
  <si>
    <t>PYMT SAL 06/2021  EVODE</t>
  </si>
  <si>
    <t>PYMT BONUS 06/2021  EVODE</t>
  </si>
  <si>
    <t>REIMB RET  BONUS 06/2021  EVODE</t>
  </si>
  <si>
    <t>REIMB RET  SAL  06/2021  EVODE</t>
  </si>
  <si>
    <t>PAYMENT OF SALARY FOR JULY 2021/EVODE</t>
  </si>
  <si>
    <t>PAYMENT OF SALARY FOR AUGUST 2021/EVODE</t>
  </si>
  <si>
    <t>REMB RET SALARY FOR AUGUST 2021/EVODE</t>
  </si>
  <si>
    <t>PAYMENT OF SALARY FOR OCTOBER 2021/EVODE</t>
  </si>
  <si>
    <t>REMB RET SALARY FOR OCTOBER 2021/EVODE</t>
  </si>
  <si>
    <t>PAYMENT OF SALARY FOR NOVEMBER 2021/EVODE</t>
  </si>
  <si>
    <t>REMB RETEN  SALARY FOR NOVEMBER 2021/EVODE</t>
  </si>
  <si>
    <t>PAYMENT OF SALARY FOR DECEMBER  2021/EVODE</t>
  </si>
  <si>
    <t>PYMT BONUS  FOR DECEMBER 2021/EVODE</t>
  </si>
  <si>
    <t>REIMB RET SAL  DECEMBER  2021/EVODE</t>
  </si>
  <si>
    <t>REIMB RET BONUS DECEMBER  2021/EVODE</t>
  </si>
  <si>
    <t>DPIII/0583</t>
  </si>
  <si>
    <t>REIMB RET COMPLEMENT RET SAL JULY-SEPT/EVODE</t>
  </si>
  <si>
    <t>Totaal Project manager, 1 person, 24 months</t>
  </si>
  <si>
    <t>PYMT SAL  01/2020  UMUTONIWASE J</t>
  </si>
  <si>
    <t>Umutoniwase Umutoniwase Josiane(RRC)</t>
  </si>
  <si>
    <t>REMB RET SAL 01/2020/UMUTONIWASE J</t>
  </si>
  <si>
    <t>REMB RET S/SAL 05/2020/JOSIANE</t>
  </si>
  <si>
    <t>Umutoniwase Josiane(RRC)</t>
  </si>
  <si>
    <t>PYMT SAL  05/2020  JOSIANE</t>
  </si>
  <si>
    <t>PYMT SAL  06/2020  JOSIANE</t>
  </si>
  <si>
    <t>REMB RETENUS S/SAL 06/2020 JOSIANE</t>
  </si>
  <si>
    <t>REMB RETENUS S/BONUS 06/2020 JOSIANE</t>
  </si>
  <si>
    <t>PYMT BONUS  06/2020  JOSIANE</t>
  </si>
  <si>
    <t>COMPL RETENUS S/BONUS 06/2020/JOSIANE</t>
  </si>
  <si>
    <t>PYMT SAL 07/2020/JOSIANE</t>
  </si>
  <si>
    <t>REMB RETEN SAL 07/2020/JOSIANE</t>
  </si>
  <si>
    <t>PYMT SAL 08/2020/JOSIANE</t>
  </si>
  <si>
    <t>REMB RET SAL 09/2020/EVODE</t>
  </si>
  <si>
    <t>PYMT SAL 09/2020/EVODE</t>
  </si>
  <si>
    <t>REMB RET SAL 10/2020/EVODE</t>
  </si>
  <si>
    <t>PYMT SAL 10/2020/EVODE</t>
  </si>
  <si>
    <t>PYMT SAL 11/2020/EVODE</t>
  </si>
  <si>
    <t>REMB RETE S/SAL 11/2020 EVODE</t>
  </si>
  <si>
    <t>REMB RET S/SAL 12/2020/EVODE</t>
  </si>
  <si>
    <t>PYMT SAL 12/2020/EVODE</t>
  </si>
  <si>
    <t>PYMT BONUS 12/2020/EVODE</t>
  </si>
  <si>
    <t>RMB RET S/BONUS 12/2020/EVODE</t>
  </si>
  <si>
    <t>Totaal PSS coordinator, 1 person, 3 months</t>
  </si>
  <si>
    <t>DP3/0002</t>
  </si>
  <si>
    <t>CONFERENCE ROOM LAUNCH PROJET</t>
  </si>
  <si>
    <t>REST  LAUNCH PROJET</t>
  </si>
  <si>
    <t>DP3/0003</t>
  </si>
  <si>
    <t>OFFICE MATERIALS LAUNCH PROJECT</t>
  </si>
  <si>
    <t>DP3/0013</t>
  </si>
  <si>
    <t>TRANSP PARTIC LAUNCHING DPIII</t>
  </si>
  <si>
    <t>Evode Rusanganwa J Pie (RRC)</t>
  </si>
  <si>
    <t>REST PARTIC LAUNCHING DPIII</t>
  </si>
  <si>
    <t>DP3/0014</t>
  </si>
  <si>
    <t>PERDIEM/LAUNCHING DPIII AT DISTRICT</t>
  </si>
  <si>
    <t>DP3/0017</t>
  </si>
  <si>
    <t>PYMT OF LEASING INVOICE N 126,151</t>
  </si>
  <si>
    <t>DP3/0040</t>
  </si>
  <si>
    <t>TRANSP PARTIC DPIII MEETING</t>
  </si>
  <si>
    <t>DPIII/0058</t>
  </si>
  <si>
    <t>PYMT OF LEASING INVOICE No188</t>
  </si>
  <si>
    <t>EXPENSES FOR LAUNCHING DPIII PROJECT</t>
  </si>
  <si>
    <t>PYMT INVOICE FOR DPIII MEETING</t>
  </si>
  <si>
    <t>REIMBUSEMENT OF THE MONEY USED DURING DPIII QUARTERY MEETING AT RUBAVU DISTRICT</t>
  </si>
  <si>
    <t>REST PARTIC IN PROJECT LAUNCHING</t>
  </si>
  <si>
    <t>TRANSPORT FEES FOR QUARTERLY REVIEW MEETING</t>
  </si>
  <si>
    <t>MEMBRES COMITES</t>
  </si>
  <si>
    <t>FUEL  DURING  QUARTERLY REVIEW MEETING</t>
  </si>
  <si>
    <t>DPIII/0423</t>
  </si>
  <si>
    <t>TRANSP&amp;PERDIEM DURING THE COORDINATION MEETING AT HQ</t>
  </si>
  <si>
    <t>DPIII/0424</t>
  </si>
  <si>
    <t>PERDIEM OF HEAD OF DISASTER DURING THE ANNUAL PARTENER MEETING</t>
  </si>
  <si>
    <t>DPIII/0531</t>
  </si>
  <si>
    <t>PAYMENT OF 20 PHOTOS PRINTED AS ABS MATERIALS DURING ANNUAL PARTNER/S MEETING 2021 AT RUBAVU</t>
  </si>
  <si>
    <t>DPIII/0544</t>
  </si>
  <si>
    <t>PAYMENT OF 3 BANNERS IN SHEETING DURING THE ANNUAL PARTENER'S MEETING</t>
  </si>
  <si>
    <t>DPIII-534</t>
  </si>
  <si>
    <t>PAYMENT OF 50 COPIES OF ANNUAL REPORT USED DURING THE ANNUAL PARTER'S MEETING 2021 AT RUBAVU DISTRICT</t>
  </si>
  <si>
    <t>Totaal Quarterly review meetings</t>
  </si>
  <si>
    <t>DOORREKENING LOONKOST Q1/2020 RESPONSIBLE INTERNATIONAL PROJECTS</t>
  </si>
  <si>
    <t>DOORREKENING LOONKOST Q2/2020 RESPONSIBLE INTERNATIONAL PROJECTS</t>
  </si>
  <si>
    <t>DOORREKENING LOONKOST Q3/2020 RESPONSIBLE INTERNATIONAL PROJECTS</t>
  </si>
  <si>
    <t>Loonkost Q4 2020 DPIII Responsible International projects</t>
  </si>
  <si>
    <t>Doorrekening loonkost DPIII Rwanda Responsible International projects</t>
  </si>
  <si>
    <t>DPIII Rwanda Responsible International projects</t>
  </si>
  <si>
    <t>DIV210556</t>
  </si>
  <si>
    <t>DPIII Loonkost Q3 - Responsible INTL projects Rwanda</t>
  </si>
  <si>
    <t>DIV210841</t>
  </si>
  <si>
    <t>DPIII Loonkost Q4 - Responsible INTL projects Rwanda</t>
  </si>
  <si>
    <t>DIV211379</t>
  </si>
  <si>
    <t>DPIII Loonkostrecuperatie 2021 - Head of International programs Rwanda</t>
  </si>
  <si>
    <t>Totaal Responsible HA (11,25%)</t>
  </si>
  <si>
    <t>DPIII/0542</t>
  </si>
  <si>
    <t>PYMTOF MOBIL RADIO KITS</t>
  </si>
  <si>
    <t>LITA LTD</t>
  </si>
  <si>
    <t>PYMT OF DIGITAL CAMERA &amp;ACCESSORIES</t>
  </si>
  <si>
    <t>SEMBA ELECTRONIC</t>
  </si>
  <si>
    <t>PYMT OF 2 EXTERNAL HARD DISKS</t>
  </si>
  <si>
    <t>SERVICE OFFERED DURING CASCADE TRAINING FOR COVID</t>
  </si>
  <si>
    <t>PYMT SERVICES OFFERED DURING CASCADE TRAIN FOR COV</t>
  </si>
  <si>
    <t>DPIII/0451</t>
  </si>
  <si>
    <t>MATERIALS FOR CASCADE TRAIN ON COVID 19</t>
  </si>
  <si>
    <t>DPIII/0540</t>
  </si>
  <si>
    <t>PYMT OF MATERIALS FOR RISK MAP</t>
  </si>
  <si>
    <t>FEES FOR MOBIL ACTIVITIES AGAINST COVID-19</t>
  </si>
  <si>
    <t>BALANCE FEES FOR MOBIL ACTIVITIES AGAINST COVID-19</t>
  </si>
  <si>
    <t>TRANSP FOR 5 JOURNALISTS TO COVER MEDIA /COVID-19</t>
  </si>
  <si>
    <t>DPIII/0364A</t>
  </si>
  <si>
    <t>MISSION FEES FOLLOW UP ACTIVITIES</t>
  </si>
  <si>
    <t>BALANCE ON PERDIEM</t>
  </si>
  <si>
    <t>PYMT OF PUBLICATION IN IMVAHO NSHYA</t>
  </si>
  <si>
    <t>RPPC(IMVAHO NSHYA)</t>
  </si>
  <si>
    <t>TRANSP FEES FOR 105 VOLUNTEERS/CASCADE TRAINING</t>
  </si>
  <si>
    <t>VOLUNTEERS(RRC)</t>
  </si>
  <si>
    <t>DPIII/0415</t>
  </si>
  <si>
    <t>TRANSP FEES FOR 104 VOLUNT DURING CASCADE TRAINING</t>
  </si>
  <si>
    <t>TRANSP FEES FOR 90 VOLUNT DURING CASCADE TRAINING</t>
  </si>
  <si>
    <t>TRANSP FEES FOR 97 VOLUNTEERS DURING CASCADE TRAIN</t>
  </si>
  <si>
    <t>TRANSP FEES FOR 90 VOLUNT FROM RUHANGO</t>
  </si>
  <si>
    <t>PYMT FEES OF EDITING &amp; PUBLICATION OF SONG ON COVI</t>
  </si>
  <si>
    <t>UWINEZA M CLAIRE</t>
  </si>
  <si>
    <t>TAX ON PERDIEM FOR 32 FACILITATORS</t>
  </si>
  <si>
    <t>DPIII/0421</t>
  </si>
  <si>
    <t>PERD FEES FOR 32 FACILITATORS DURING FRAIN ON COVI</t>
  </si>
  <si>
    <t>PYMT EDITING &amp;PUBLICATION OF SONG ON COVID</t>
  </si>
  <si>
    <t>DPIII/0440</t>
  </si>
  <si>
    <t>TRANSP 90 VOL FROM RUHANGO</t>
  </si>
  <si>
    <t>DPIII/0027</t>
  </si>
  <si>
    <t>PYMT OF VEHICLE LEASING USED DURING COMMUNITY MOBILIZATION AGAINST COVID-19, RUTSIRO DISTRICT</t>
  </si>
  <si>
    <t>PYMT OF VEHICLE LEASING USED DURING COMMUNITY MOBILIZATION AGAINST COVID-19, RUSIZI DISTRICT</t>
  </si>
  <si>
    <t>PYMT OF VEHICLE LEASING USED DURING COMMUNITY MOBILIZATION AGAINST COVID-19, NGOGORERO DISTRICT</t>
  </si>
  <si>
    <t>PYMT OF VEHICLE LEASING USED DURING COMMUNITY MOBILIZATION AGAINST COVID-19, NYABIHU DISTRICT</t>
  </si>
  <si>
    <t>PYMT OF VEHICLE LEASING USED DURING COMMUNITY MOBILIZATION AGAINST COVID-19, KARONGI DISTRICT</t>
  </si>
  <si>
    <t>PYMT OF VEHICLE LEASING USED DURING COMMUNITY MOBILIZATION AGAINST COVID-19, NYAMASHEKE DISTRICT</t>
  </si>
  <si>
    <t>PYMT OF 150 MEGAPHONES WHICH WILL BE USED IN COMMUNITY MOBILIZATION AGAINST COVID-19 PANDEMIC</t>
  </si>
  <si>
    <t>KRISHNA</t>
  </si>
  <si>
    <t>PAYMENT OF VEHICLE LEASING USED DURING COMMUNITY MOBILIZATION AGAINST COVID, GASABO DISTRICT</t>
  </si>
  <si>
    <t>PAYMENT OF VEHICLE LEASING USED DURING COMMUNITY MOBILIZATION AGAINST COVID;  KICUKIRO DISTRICT</t>
  </si>
  <si>
    <t>PAYMENT OF VEHICLE LEASING USED DURING COMMUNITY MOBILIZATION AGAINST COVID, NYANGARERE DISTRICT</t>
  </si>
  <si>
    <t xml:space="preserve">MISSION FEES  FOR RRC STAFF AND DRIVER DURING COVID-19 RESPONSE IN GICUMBI </t>
  </si>
  <si>
    <t>NSHIMYIMANA LEONIDAS</t>
  </si>
  <si>
    <t>PAYMENT OF 3 MOTORCYCLES YAMAHA AG 100</t>
  </si>
  <si>
    <t>SPEAR MOTORS SOUD LTD</t>
  </si>
  <si>
    <t>DPIII/0292</t>
  </si>
  <si>
    <t>PAYMENT OF VEHICLE LEASING USED DURING COMMUNITY MOBILIZATION AGAINST COVID-19 PANDEMIC IN NYARUGENEGE DISTRICT</t>
  </si>
  <si>
    <t>PAYMENT OF VEHICLE LEASING USED DURING COMMUNITY MOBILIZATION AGAINST COVID-19 PANDEMIC IN GASABO DISTRICT</t>
  </si>
  <si>
    <t>PAYMENT OF LEASING INVOICE USED DURING COMMUNITY MOBILIZATION AGAINST COVID 19 PANDEMIC</t>
  </si>
  <si>
    <t>DPIII/0324</t>
  </si>
  <si>
    <t>PAYMENT OF INSURANCE OF 3 MOTORCYCLES WHUICH WILL BE USED DURING COVID-19 MOBILIZATION IN NGORORERO, RUBAVU AND RUTSIRO</t>
  </si>
  <si>
    <t>SONARWA GI LTD</t>
  </si>
  <si>
    <t>PAYMENT OF 130 MEGAPHONES TO USE DURING COMMUNITY SENSITIZATION AGAINST COVID-19</t>
  </si>
  <si>
    <t>DPIII/0460</t>
  </si>
  <si>
    <t>PAYMENT OF THE ARTICLE COVERING RRC ACTIVITES Rubavu</t>
  </si>
  <si>
    <t>PAYMENT OF THE ARTICLES COVERING RWANDA RED CROSS ACTIVITIES</t>
  </si>
  <si>
    <t>DPIII/0473</t>
  </si>
  <si>
    <t>FUNDS FOR CONDUCTI COMMUNITY MOBILISATION ON COVID 19 PANDEMIC IN NYAMASHEKE</t>
  </si>
  <si>
    <t>NYAMASHEKE DISTRICT COMMITTEE</t>
  </si>
  <si>
    <t>FUNDS FOR CONDUCTI COMMUNITY MOBILISATION ON COVID 19 PANDEMIC IN RUBAVU</t>
  </si>
  <si>
    <t>RUBAVU  DISTRICT COMMITTEE</t>
  </si>
  <si>
    <t>FUNDS FOR CONDUCTI COMMUNITY MOBILISATION ON COVID 19 PANDEMIC IN RUSIZI</t>
  </si>
  <si>
    <t>RUSIZI DISTRICT COMMITTEE</t>
  </si>
  <si>
    <t>FUNDS FOR CONDUCTI COMMUNITY MOBILISATION ON COVID 19 PANDEMIC IN NGORORERO</t>
  </si>
  <si>
    <t>FUNDS FOR CONDUCTI COMMUNITY MOBILISATION ON COVID 19 PANDEMIC IN RUTSIRO</t>
  </si>
  <si>
    <t>FUNDS FOR CONDUCTI COMMUNITY MOBILISATION ON COVID 19 PANDEMIC IN KARONGI</t>
  </si>
  <si>
    <t>KARONGI DISTRICT COMMITTEE</t>
  </si>
  <si>
    <t>DPIII/0498</t>
  </si>
  <si>
    <t>PAYMENT OF ARTICLES COVERING RWANDA RED CROSS ACTIVITIES</t>
  </si>
  <si>
    <t>TAARIFA</t>
  </si>
  <si>
    <t>FUND FOR CONDUCT COMMUNITY MOBILIZATION ON COVID 19 PANDEMIC IN KICUKIRO</t>
  </si>
  <si>
    <t>KICUKIRO DISTRICT COMMITTEE</t>
  </si>
  <si>
    <t>FUND FOR CONDUCT COMMUNITY MOBILIZATION ON COVID 19 PANDEMIC IN GASABO DISTRICT COMMITTEE</t>
  </si>
  <si>
    <t>FUND FOR CONDUCT COMMUNITY MOBILIZATION ON COVID 19 PANDEMIC IN NYARUGENGE DISTRICT COMMITTEE</t>
  </si>
  <si>
    <t>NYARUGENGE  DISTRICT COMMITTEE</t>
  </si>
  <si>
    <t>DPIII/0554</t>
  </si>
  <si>
    <t>FUND FOR CONDUCT COMMUNITY MOBILISATION ON COVID-19 PANDEMIC IN NYABIHU</t>
  </si>
  <si>
    <t>NYABIHU DISTRICT COMMITTEE</t>
  </si>
  <si>
    <t>FUNDS FOR 16 SESSIONS OF MOBILE CINEMA</t>
  </si>
  <si>
    <t>DPIII/0084</t>
  </si>
  <si>
    <t>DPIII/0085</t>
  </si>
  <si>
    <t>DP3/0035</t>
  </si>
  <si>
    <t>TRANSP TRANSP PARTIC EBOLA TRAINING</t>
  </si>
  <si>
    <t>JOSIANE(RRC)</t>
  </si>
  <si>
    <t>Totaal Risk Communication, tracking and management of rumors related to COVID-19 (production of radio shows, procurement of radio show material, radio dissemination,  TV shows, social media adverts, short videos, songs, and conducting radio show)</t>
  </si>
  <si>
    <t>DPIII/0028</t>
  </si>
  <si>
    <t>PAYMENT OF VEHICLE LEASING USED DURING COLLECTING INFORMATION ON EARLY WARNING</t>
  </si>
  <si>
    <t>DPIII/0031</t>
  </si>
  <si>
    <t>PAYMENT OF TAX FOR CONSULTANT FOR THE EARLY WARNING TRAINING AND SUPERVISION DURING COLLECTING OF EARLY</t>
  </si>
  <si>
    <t>PYMT TAX ON INVOICE FOR CONSULTANT FOR THE EARLY WARNING TRAINING AND SUPERVISION DURING COLLECTING OF EARLY WARNING INFORMATION</t>
  </si>
  <si>
    <t>PYMT THE CONSULTANT FOR THE EARLY WARNING TRAINING AND SUPERVISION OF COLLECTING OF EARLY WARNING INFORMATION</t>
  </si>
  <si>
    <t>TRANSPORT FEES AND REFRESHMENT FOR 12 VOLUNTEERS WHO WILL ATTEND THE MEETING FOR CREATION OF EARLY WARNING TEAMS AT RUBAVU DISTRICT</t>
  </si>
  <si>
    <t>TRANSP FEES AND REFRESHMENT FOR 13 VOLONTEERS WHO WILL ATTEND THE MEETING FOR CREATION OF EARLY WARNING TEAMS AT NGORORERO DISTRICT</t>
  </si>
  <si>
    <t>TRANSP FEES AND REFRESHMENT FOR 13 VOLONTEERS WHO WILL ATTEND THE MEETING FOR CREATION OF EARLY WARNING TEAMS AT RUTSIRO DISTRICT</t>
  </si>
  <si>
    <t>DPIII/0555</t>
  </si>
  <si>
    <t>PERDIEM FOR STAFFS DURING COLLECTING OF EARLY WARNING INFORMATION AND DOCUEMENTATION IN 28 COMMUNITY RISK MANAGEMENT COMMITTEES</t>
  </si>
  <si>
    <t>DPIII/0565</t>
  </si>
  <si>
    <t>FUND FOR COLLECTING OF EARLY WARNING INFORMATION AND DOCUMENTATION IN COMMUNITY RISK MANAGEMENT</t>
  </si>
  <si>
    <t>DPIII/0566</t>
  </si>
  <si>
    <t>FUND FOR CONDUCTING AN OREINTATION TRAINING ON EARLY WARNING INFORMATION</t>
  </si>
  <si>
    <t>DPIII/0567</t>
  </si>
  <si>
    <t>FUNDS FOR COLLECTING OF EARLY WARNIING INFORMATION AND DOCUMENTATION</t>
  </si>
  <si>
    <t>DPIII/0568</t>
  </si>
  <si>
    <t>FUNDS FOR COLLECTING OF EARLY WARNING INFORMATION AND DOCUMENTATION IN 9 COMMUNITY RISK MANAGEMENT</t>
  </si>
  <si>
    <t>Totaal Set up the early warning protocols with the different stakeholders</t>
  </si>
  <si>
    <t xml:space="preserve">PAYMENT OF THE COMMUNICATION FEES FOR 6 VOL DURING THE EVALUATION OF HYGIENE CLUBS </t>
  </si>
  <si>
    <t xml:space="preserve">PAYMENT OF THE PERDIEM FOR 6 VOL DURING THE EVALUATION OF HYGIENE CLUBS </t>
  </si>
  <si>
    <t>PYMT OF TRANSP FEES FOR 6 VOLUNTEERS DURING THE EVALUATION OF HYGIENE CLUBS</t>
  </si>
  <si>
    <t>PYMT OF TRANSPORT FOR 6 VOL DURING EVALUATION OF HYGIENE CLUBS</t>
  </si>
  <si>
    <t>PERDIEM FOR 12 VOLBDRT DURING CONDUCT AN EVALUATION OF HYGIENE CLUBS AT RUTSIRO</t>
  </si>
  <si>
    <t>PERDIEM FOR ONE DISTRICT COMMITTEE REPRESENTATIVE DURING THE EVALUATION OF HYGIENE CLUBS AT NGORORERO DISTRICT</t>
  </si>
  <si>
    <t>PERDIEM FOR 12 VOL BDRT DURING THE EVALUATION OF HYGIENE CLUBS AT NGORORERO</t>
  </si>
  <si>
    <t>DPIII/0029</t>
  </si>
  <si>
    <t>PERDIEM FOR ONE DISTRICT COMMITTEE REPRESENTATIVE FOR 4 DAYS DURING THE EVALUATION OF HYGIENE CLUBS AT RUTSIRO</t>
  </si>
  <si>
    <t>PERDIEM FOR ONE DISTRICT COMMITTEE REPRESENTATIVE FOR 4 DAYS DURING EVALUATION OF HYGIENE CLUBS AT RUBAVU</t>
  </si>
  <si>
    <t>DPIII/0043</t>
  </si>
  <si>
    <t>PERDIEM FOR 12 VOL BDRT DURING THE EVALUATION OF HYGIENE CLUBS AT RUBAVU</t>
  </si>
  <si>
    <t xml:space="preserve">PYMT OF TRANSP FEES &amp;ACCOMODATION FOR 5 NIGHTS FOR 6 VOL DURING EVALUATION OF HYGIENE CLUBS </t>
  </si>
  <si>
    <t>DPIII/0073</t>
  </si>
  <si>
    <t>PYMT OF TAX ON PERDIEM OV 6 VOL DURING THE EVALUATION OF HYGIENE CLUB</t>
  </si>
  <si>
    <t>DPIII/0323</t>
  </si>
  <si>
    <t xml:space="preserve">PAYMENT OF 600 SMALL JERRYCANS OF 5 LITRES FOR TIP-TAP OF 300 CONSTRUCTED LATRINES IN NGORORERO, RUBAVU AND RUTSIRO </t>
  </si>
  <si>
    <t>DPIII/0472</t>
  </si>
  <si>
    <t>PAYMENT FOR PERDIEM OF VOL WHO DID SUPERVISION OF HYGIENE CLUBS</t>
  </si>
  <si>
    <t>PAYMENT FOR PERDIEM OF VOL WHO DID SUPERVISION OF HYGIENE CLUBS IN NGORORERO</t>
  </si>
  <si>
    <t>DPIII/0552</t>
  </si>
  <si>
    <t>PAYMENT PERDIEM OF VOLUNTEERS FOR SUPERVISION OF HYGIENE CLUBS</t>
  </si>
  <si>
    <t>FACILIT 6 HYGIENE CLUBS RUTSIRO</t>
  </si>
  <si>
    <t>DPIII/0376</t>
  </si>
  <si>
    <t>FACILIT 6 HYGIENE CLUBS NGORORERO</t>
  </si>
  <si>
    <t>FACILIT 12 HYGIENE CLUBS RUBAVU</t>
  </si>
  <si>
    <t>PERDIEM&amp;TRANSP FOR 2 MASTER TRAINERS</t>
  </si>
  <si>
    <t>PERD OF DRIVER FOR TRANS OF 2 TRAINERS</t>
  </si>
  <si>
    <t>RRC DOC(LEOPOLD)</t>
  </si>
  <si>
    <t>Totaal Setting up and facilitating hygiene clubs in the targeted communities</t>
  </si>
  <si>
    <t>PAYMENT OF 15 SIGNPOSTS FOR EVACUATION ROUTERS</t>
  </si>
  <si>
    <t>Totaal Signposts for evacuation routes</t>
  </si>
  <si>
    <t>DPIII/0194</t>
  </si>
  <si>
    <t>PYMT OF 20 SMART PHONE</t>
  </si>
  <si>
    <t>Totaal Smart phones for data collection (baseline, needs assessment)</t>
  </si>
  <si>
    <t>DP3/0043</t>
  </si>
  <si>
    <t>PAYMENT OF SACHETS TUBING</t>
  </si>
  <si>
    <t>COVINAGRI</t>
  </si>
  <si>
    <t>DPIII/0072</t>
  </si>
  <si>
    <t>FUNDS FOR CONSTRUCTION OF 188 LATRINES</t>
  </si>
  <si>
    <t>DPIII/0094</t>
  </si>
  <si>
    <t>FUNDS FOR CONSTRUCTION OF 18 LATRINES</t>
  </si>
  <si>
    <t>PAYMENT OF SERVICE OFFERED DURING BDRT TRAINING FOR VOLUNTEERS FROM 06-11/05/2021 AT HQ</t>
  </si>
  <si>
    <t>PAYMENT OF TECHNICAL SUPERVISOR DURING THE EXECUTION WORKS OF THE REHABILITATION OF WATER SYSTEMS AND WATER SOURCES IN NGORORERO</t>
  </si>
  <si>
    <t>DPIII/0147</t>
  </si>
  <si>
    <t>PYMT WH TAX  OF TECHNICAL SUPERVISOR DURING THE EXECUTION WORKS OF THE REHABILITATION OF WATER SYSTEMS AND WATER SOURCES IN NGORORERO</t>
  </si>
  <si>
    <t>PAYMENT FOR THE SUPPLY OF CONSTRUCTION MATERIALS IN THE FRAMEWORK OF THE REHABILITATION OF WATER SURCES IN NGORORERO DISTRICT</t>
  </si>
  <si>
    <t>DOMINIQUE XAVIER</t>
  </si>
  <si>
    <t>PAYMENT OF PLUMBING MATERIALS FOR THE REHABILITATION OF NGORORERO WATER SOURCE</t>
  </si>
  <si>
    <t>UWAMAHORO M.LOUISE</t>
  </si>
  <si>
    <t>PAYMENT OF HYDROFUGE FOR THE REHABILITATION OF NGORORERO WATER SOURCE</t>
  </si>
  <si>
    <t>PAYMENT FOR THE SUPPLY OF CONSTRUCTION MATERIALS IN THE FRAMEWORK OF THE REHABILITATION OF WATER SOURCES IN NGORORERO DISTRICT</t>
  </si>
  <si>
    <t>PERDIEM OF DRIVER DURING TRANSPORTATION OF CONSTR MATERIALS FOR REH WATER SOURCES</t>
  </si>
  <si>
    <t>PYMT OF CONSTR MATERIALS FOR REH OF NGORORERO WATER SOURCES (CEMENTS, SACHETS NOIRS)</t>
  </si>
  <si>
    <t>DPIII/0207</t>
  </si>
  <si>
    <t>PAYMENT OF DAY LABORED DURING THE REHABILITATION OF WATER SOURCE IN NGORORERO DISTRICT</t>
  </si>
  <si>
    <t>DPIII/0208</t>
  </si>
  <si>
    <t>PYMT WH TAX ON PAYMENT OF DAY LABORERS DURING REH OF WATER SOURCES</t>
  </si>
  <si>
    <t>WITH HOLDING TAX ON PAYMENT TO THE DAY LABOURERS WORKED DURING THE REH OF WATER SOURCES IN NGORORERO DISTRICT</t>
  </si>
  <si>
    <t>DPIII/0238</t>
  </si>
  <si>
    <t>PAYMENT TO THE DAY LABOURES WORKED DURING THE REH OF WATER SOURCES IN  NGORORERO</t>
  </si>
  <si>
    <t xml:space="preserve">PAYMENT FOR A TECHNICIAN DURING EXECUTION WORKS OF THE REHABILITATION OF WATER SOURCES IN NGORORERO DISTRICT </t>
  </si>
  <si>
    <t>HAKADI JOSEPH</t>
  </si>
  <si>
    <t>PAYMENT OF TAX FOR THE PAYMENT TO HAKADI JOSEPH</t>
  </si>
  <si>
    <t>PAYMENT OF THE 1ST PHASE OF THE MATERIALS AND MANPOWER FOR THE CONSTRUCTION OF 100 LATRINES IN RUTSIRO DISTRICT</t>
  </si>
  <si>
    <t>PAYMENT OF THE 1ST PHASE OF THE MATERIALS AND MANPOWER FOR THE CONSTRUCTION OF 100 LATRINES IN RUBAVU DISTRICT</t>
  </si>
  <si>
    <t>DPIII/0289</t>
  </si>
  <si>
    <t>PAYMENT OF NAILS FOR CONSTR OF 300 LATRINES IN NGORORERO, RUTSIRO,RUBAVU</t>
  </si>
  <si>
    <t>DPIII/0401</t>
  </si>
  <si>
    <t xml:space="preserve">PAYMENT OF CIMENTS FOR THE CONSTRUCTION OF 300 LATRINES </t>
  </si>
  <si>
    <t>DPIII/0422</t>
  </si>
  <si>
    <t>PAYMENT OF IRON SHEETS FOR THE CONSTRUCTION OF 300 LATRINES</t>
  </si>
  <si>
    <t>DPIII/0436</t>
  </si>
  <si>
    <t>PAYMENT OF THE 2ND PHASE OF THE MATERIALS ANS MANPOWER FOR THE CONSTRUCTION OF 100 LATRINES</t>
  </si>
  <si>
    <t>DPIII/0438</t>
  </si>
  <si>
    <t>DPIII/209</t>
  </si>
  <si>
    <t>PAYMENT VEHICLES LEASING USED DURING TRANSP OF MATERIALS FOR REHABILITATION FOR NGORORERO WATER SOURCE</t>
  </si>
  <si>
    <t>DPIII/0371</t>
  </si>
  <si>
    <t>SUPPORT OF DRR ACTIVITIES</t>
  </si>
  <si>
    <t>SUPPORT DRR ACTIVITIES NGORORERO</t>
  </si>
  <si>
    <t>SUPPORT DRR ACTIVITIES RUBAVU</t>
  </si>
  <si>
    <t>Totaal Support DRR related community activities</t>
  </si>
  <si>
    <t>TRANSP FEES FOR THE MEMBERS OF CUMMUNITY DURING DM TRAINING</t>
  </si>
  <si>
    <t>TRANSP FEESFOR THE MEMBERS OF COMMUNITY RISKS MANAGEMENT COMMITTEES DURING DM TAINING ON DRR, EARLY WARNING &amp;EARLY ACTION AT RRC/HQ FROM 25/04/2021 TO 27/04/2021</t>
  </si>
  <si>
    <t>TRANSP FEESFOR THE MEMBERS OF COMMUNITY RISKS MANAGEMENT COMMITTEES DURING DM TAINING ON DRR, EARLY WARNING &amp;EARLY ACTION AT RRC/HQ FROM 27/04/2021 TO 29/04/2021</t>
  </si>
  <si>
    <t>DPIII/0093</t>
  </si>
  <si>
    <t>TRANSP FEES FOR 12 MEMBERS OF COMMUNITY RISK MANAGEMENT COMMUNITTEES  DURING DM TRAINING ,EARLY ACTION FROM RUBAVU DISTRICT AT RRC HQ FROM 27/04/2021 TO 29/04/2021</t>
  </si>
  <si>
    <t>TRANSP FEES FOR 78 MEMBERS  OF COMMUNITY RISK MANAGEMENT COMMITTEES DURING DM TRAINING ON DRR, EARLY WARNING&amp;EARLY ACTION FROM RUBAVU DISTRICT AT RRC HQ FROM 27/04/2021 TO 29/04/2021</t>
  </si>
  <si>
    <t>DPIII/0097</t>
  </si>
  <si>
    <t>PERDIEM FEES FOR FACILITATORS DURING DURING THE TRAINING OF COMMUNITY RISK MANAGEMENT COMMITTES AT HQ</t>
  </si>
  <si>
    <t>DPIII/0098</t>
  </si>
  <si>
    <t>PERDIEM FEES FOR FACILITATORS DURING THE TRAINING OF THE  COMMIUNITY  RISK MANAGEMENT COMMITTEES AT HQ</t>
  </si>
  <si>
    <t>DPIII/0099</t>
  </si>
  <si>
    <t>WITHOLDING TAX ON PERDIEM OF FACILITATORS DURING THE TRAINING OF COMMUNITY RISK MANAGEMENT COMMITTEES AT HQ</t>
  </si>
  <si>
    <t>DPIII/0100</t>
  </si>
  <si>
    <t>PERDIEM FEES FOR FACILITATORS DURING THE TRAINING OF COMMUNITY RISK MANAGEMENT COMMITTEES AT HQ</t>
  </si>
  <si>
    <t>TRANSPORT AND PERDIEM STAFF DURING DRR TRAINING DURING DRR TRINING FOR SCHOOL TEACHERS AND TRAINING OF COMMUNITY RISK MANAGEMENT COMMITTEES AT HQ</t>
  </si>
  <si>
    <t>PERDIEM FOR 6 FACILITATORS DURING TRAINING OF COMMUNITY RISK MANAGEMENT COMMITTES AT HQ FROM 28/04/2021 TO 29/04/2021</t>
  </si>
  <si>
    <t>DPIII/0112</t>
  </si>
  <si>
    <t>WITHOLDING TAX ON PERDIEM FOR 6 FACILIT. TRAINING OF COMMUNITY RISK MANAGEMENT COMMITTEES AT HQ FROM 28/04/2021 TO 29/04/2021</t>
  </si>
  <si>
    <t>PAYMENT OF SERVICES  OFFERED BY RIS LTD DURING  THE TRAINING  FOR THE COMMUNITY RISK MANAGEMENT COMMITTEES FROM 25-27/04/2021 AT HQ</t>
  </si>
  <si>
    <t>DPIII/0117</t>
  </si>
  <si>
    <t>PAYMENT OF SERVICES DURING TRAINING FOR THE COMMUNITY RISK MANAGEMENT COMMITTEES FROM 21-23/04/2021 AT HQ 21ST-23TH/04/2021</t>
  </si>
  <si>
    <t>DPIII/0118</t>
  </si>
  <si>
    <t>PERDIEM FOR 7 FACILITATORS  DURING THETRAINING OF THE COMMUNITY RISK MANAGEMENT COMMITTEES AT HQ FROM 30/04/2021 TO 01/05/2021</t>
  </si>
  <si>
    <t>DPIII/0119</t>
  </si>
  <si>
    <t>WITHOLDING TAX ON PERDIEM OF 7 FACILICATORS DURING THE TRAINING OF COMMUNITY RISK MANAGEMENT COMMITTEES AT HQ FROM 30/04/2021 TO 01/05/2021</t>
  </si>
  <si>
    <t>DPIII/0120</t>
  </si>
  <si>
    <t>PAYMENT OF SERVICE OFFERED BY RIS LTD  DURING THE TRAINING  FOR THE COMMUNITY RISK MANAGEMENT COMMITTEES FROM 23-25/04/2021 AT HQOF CRMC</t>
  </si>
  <si>
    <t>PAYMENT OF SERVICE DURING TRAINING FOR COMMUNITY RISK MANAGEMENT COMMITTEES FROM 19-21/04/2021 AT HQ</t>
  </si>
  <si>
    <t>PAYMENT OF SERVICE DURING TRAINING FOR COMMUNITY RISK MANAGEMENT COMMITTEES FROM 27-29/04/2021 AT HQ</t>
  </si>
  <si>
    <t>DPIII/0136</t>
  </si>
  <si>
    <t>PERDIEM FEES FOR 3 NDRT VOLUNTEERSDURING SESSION FOR COMPILATION OF COMMUNITY RISK MANAGEMENT COMMITTEES TRAINING REPORTS AND ANALYSIS OF THEIR PLAN OF ACTION</t>
  </si>
  <si>
    <t>WITHOLDING TAX ON PERDIEM FOR 3 NDRT VOLUNTEERS DURING THE SESSION FOR COMPILATION COMMUNITY RISK MANAGEMENT COMMITTEES TRAINING REPORTS AND ANALYSIS OF THEIR PLAN OF ACTION</t>
  </si>
  <si>
    <t>PAYMENT THE MATERIALS USED DURING THE TRAINING FOR COMMUNITY RISK MANAGEMENT COMMITTEES AT HQ</t>
  </si>
  <si>
    <t>PAYEMENT OF SERVICE OFFERED BY RIS DURING THE COMPILATION OF THE TRINING REPORT AND ANALYSIS OF THE POA FOR THE PARTICIPANTS</t>
  </si>
  <si>
    <t>Totaal Train community risk management committees at sector level</t>
  </si>
  <si>
    <t>FUNDS FOR HOUSE TO HOUSE VISIT BY VOLUNTEERS</t>
  </si>
  <si>
    <t>DPIII/0369</t>
  </si>
  <si>
    <t>PYMT FOR HOUSE TO HOUSE VISIT</t>
  </si>
  <si>
    <t>Totaal Trained volunteers conduct house to house visits (incentives)</t>
  </si>
  <si>
    <t>PYMT OF SERVICE PROVIDED DURING PSS TRAINING</t>
  </si>
  <si>
    <t>PYMT WH TAX PERDIEM FACILITATORS</t>
  </si>
  <si>
    <t>TRANSPORT FEES FOR 10 NDRT TEAM MEMBERS</t>
  </si>
  <si>
    <t>DPIII/0325</t>
  </si>
  <si>
    <t>PERDIEM AND TRANSP FOR FACILITATORS</t>
  </si>
  <si>
    <t>Totaal Training of NDRT volunteers and staff on COVID-19</t>
  </si>
  <si>
    <t>ONKOSTEN210473</t>
  </si>
  <si>
    <t>ONK VISA De Lepeleire S Kivu Peace View Hotel 2021-09-24 Hotel 1 person,2 nights,field trip (visibil</t>
  </si>
  <si>
    <t>Kivu Peace View Hotel</t>
  </si>
  <si>
    <t xml:space="preserve">Totaal Visibility </t>
  </si>
  <si>
    <t>DPIII/0110</t>
  </si>
  <si>
    <t>PYMT FOR 95T-SHIRTS,95 CAPS,16T-SHIRT POLO</t>
  </si>
  <si>
    <t>Totaal Visibility items for CBHFA volunteers</t>
  </si>
  <si>
    <t>PAYMENT OF VISIBILITY ITEMS</t>
  </si>
  <si>
    <t>Totaal Visibility items for the members of the EW teams</t>
  </si>
  <si>
    <t>PYMT FOR 95 RAIN COATS, 30 T-SHIRTS, 30 HALF JACKE</t>
  </si>
  <si>
    <t>PAYMENT OF 941 DOSSARD WITH RRC LOGO</t>
  </si>
  <si>
    <t>PAYMENT OF VOL CLOTHERS 120 RAIN COATS AND 129 POLO T-SHIRTS</t>
  </si>
  <si>
    <t>PYMT FO VOLUNTEERS CLOTHERS</t>
  </si>
  <si>
    <t>DPIII/0452</t>
  </si>
  <si>
    <t>PYMT FOR 600 DOSSARDS WITH RRC LOGO</t>
  </si>
  <si>
    <t>Totaal Volunteer clothes (150 dossard, 30 jacket, 30 raincoat, 30 poloshirt)</t>
  </si>
  <si>
    <t>PAYMENT OF 60 HOES WITH HANDLES</t>
  </si>
  <si>
    <t>PAYMENT OF 30 MACHETTE,27 PICAXE, 60 SPADES</t>
  </si>
  <si>
    <t>PYMT FOR 8 WHEELBARROWS</t>
  </si>
  <si>
    <t>Totaal Volunteer materials (15 hoe, 15 spade, 15 machette, 15 pickaxe, 5 wheelbarrow)</t>
  </si>
  <si>
    <t>PAYMENT OF THE CLEARANCE SERVICES FOR THE WATER TRUCK</t>
  </si>
  <si>
    <t>NET RIGHT SERVICES LTD</t>
  </si>
  <si>
    <t>PYMT OF TAX REGISTRATION OF THE WATER TRUCK</t>
  </si>
  <si>
    <t>MAGERWA</t>
  </si>
  <si>
    <t>AANK2100222</t>
  </si>
  <si>
    <t>IFRC MERCEDES AROCS WATER TRUCK</t>
  </si>
  <si>
    <t>INTERNATIONAL FEDERATION</t>
  </si>
  <si>
    <t>CHF</t>
  </si>
  <si>
    <t>AANK2200203</t>
  </si>
  <si>
    <t>IFRC MERCEDES AROCS WATER TRUCK CN</t>
  </si>
  <si>
    <t>KBC828921000014</t>
  </si>
  <si>
    <t>12/05/21 - INT FED 315 IFRC MERCEDES AROCS WATER TRUCK</t>
  </si>
  <si>
    <t>Totaal Water truck</t>
  </si>
  <si>
    <t>Eindtotaal</t>
  </si>
  <si>
    <t>2019-02-REG-DGD</t>
  </si>
  <si>
    <t>Jaar</t>
  </si>
  <si>
    <t>Land</t>
  </si>
  <si>
    <t>Periode</t>
  </si>
  <si>
    <t>2019 - 2021</t>
  </si>
  <si>
    <t>Cash requests</t>
  </si>
  <si>
    <t>Cash request 1</t>
  </si>
  <si>
    <t>Cash request 2</t>
  </si>
  <si>
    <t>Cash request 3</t>
  </si>
  <si>
    <t>Cash request Q2</t>
  </si>
  <si>
    <t>Cash request Q3</t>
  </si>
  <si>
    <t>Cash request Q4 tranche 1</t>
  </si>
  <si>
    <t>Cash request Q4 tranche 2</t>
  </si>
  <si>
    <t>DP3</t>
  </si>
  <si>
    <t>Cash request Q1</t>
  </si>
  <si>
    <t>Period: July 2019 - July 2021</t>
  </si>
  <si>
    <t>Tanzania</t>
  </si>
  <si>
    <t>TZS</t>
  </si>
  <si>
    <t>Final budget revision</t>
  </si>
  <si>
    <t>Res 5</t>
  </si>
  <si>
    <t>Construction of Mbeya TRCS office</t>
  </si>
  <si>
    <t>ND: Rehabilitation of office structures (Kibondo and Nduta within RFL offices - partitioning)</t>
  </si>
  <si>
    <t>Subtotal immoveable property</t>
  </si>
  <si>
    <t>Procurement of CBHFA toolkits and training manuals</t>
  </si>
  <si>
    <t>Procurement of visibility items for volunteers trained as CBHFA</t>
  </si>
  <si>
    <t>Procurement of community sensitization materials (IEC) on CBHFA</t>
  </si>
  <si>
    <t>Awareness campaigns on CBHFA topics using billboards and wall painting</t>
  </si>
  <si>
    <t>Mobile cinema equipment for Mbeya &amp; Kigoma region</t>
  </si>
  <si>
    <t>hygiene materials for trained community members</t>
  </si>
  <si>
    <t>safe household water storage and treatment materials</t>
  </si>
  <si>
    <t>Procurement of FA training material for Kigoma region (manikins, head section etc)</t>
  </si>
  <si>
    <t xml:space="preserve">Procure and distribute ECV IEC materials and toolkits. </t>
  </si>
  <si>
    <t>Procure and distribute CBS toolkits.</t>
  </si>
  <si>
    <t>Procure personal protection equipment for 100 volunteers (50 per region)</t>
  </si>
  <si>
    <t>Procure FA kits for Red Cross Action teams/disaster response team at village/ward/district level</t>
  </si>
  <si>
    <t>Procure DRR booklets for schools</t>
  </si>
  <si>
    <t>Mobile phones for EW teams</t>
  </si>
  <si>
    <t>Smart phones for data collection for Mbeya and Kigoma region (2x10)</t>
  </si>
  <si>
    <t>Procure and distribute visibility items for the members of the early warning teams.</t>
  </si>
  <si>
    <t>Laptop for Mbeya and HQ (project manager, accountant)</t>
  </si>
  <si>
    <t>Landcruiser local branch</t>
  </si>
  <si>
    <t>ND: Procurement of office furnitures and for one Health Posts</t>
  </si>
  <si>
    <t>ND: Procurement of Office Laptops for Office use (TL/HC;Finance;HIS;Admin;CO I/C)</t>
  </si>
  <si>
    <t>ND: Procurement of tablets for health data reporting</t>
  </si>
  <si>
    <t>ND: Office equipment (printer, copy machine, projector)</t>
  </si>
  <si>
    <t xml:space="preserve">ND: Shelves for storage of patient medical books </t>
  </si>
  <si>
    <t>ND: Shelves for storage of drugs and medical supplies</t>
  </si>
  <si>
    <t>ND: Fire extinguisher</t>
  </si>
  <si>
    <t xml:space="preserve">ND: Refrigerator for pharmacy </t>
  </si>
  <si>
    <t>ND: Freezer for pharmacy</t>
  </si>
  <si>
    <t>ND: Vaccine carrier boxes</t>
  </si>
  <si>
    <t>ND: Ice packs</t>
  </si>
  <si>
    <t>Fuel, mileage and transportation costs for HQ and 1 region</t>
  </si>
  <si>
    <t>annual</t>
  </si>
  <si>
    <t>Monitoring for HQ and 1 region</t>
  </si>
  <si>
    <t>trip</t>
  </si>
  <si>
    <t>Bank charges for HQ and 1 region</t>
  </si>
  <si>
    <t>month</t>
  </si>
  <si>
    <t>Communication and internet  (air time and internet - Mbeya + HQ)</t>
  </si>
  <si>
    <t>Monthly communication credit for volunteers</t>
  </si>
  <si>
    <t>Internal audit, annual external fin audit  and evaluation</t>
  </si>
  <si>
    <t>Stationary HQ</t>
  </si>
  <si>
    <t>Stationary Mbeya</t>
  </si>
  <si>
    <t>Quarterly review meetings (Mbeya branch coordinators, Mbeya regional coordinator, 4 HQ people: DP, cash, accountant, DM Dir)</t>
  </si>
  <si>
    <t>quarterly</t>
  </si>
  <si>
    <t>Contribution to electricity/security/water/webhosting/World RC Day/… (core)</t>
  </si>
  <si>
    <t xml:space="preserve">Participation to regional DM capacity strengthening activities (exchanges, EA DM meeting,…) </t>
  </si>
  <si>
    <t>ND: General working cost for Nduta refugee camps(stationery, internet, utility cost, communication and bank charges</t>
  </si>
  <si>
    <t xml:space="preserve">ND: Admin - Security Costs </t>
  </si>
  <si>
    <t xml:space="preserve">ND: Admin- Navision Licence cost -Annual Microsoft Enhancement Plan &amp; Microsoft Dynamics NAV Technical Support </t>
  </si>
  <si>
    <t>ND: Admin - Office Database hosting costs</t>
  </si>
  <si>
    <t>ND: Admin - HQ staff/management -Monitoring and Supervision</t>
  </si>
  <si>
    <t>ND: Admin - Bank charges HQ</t>
  </si>
  <si>
    <t>Months</t>
  </si>
  <si>
    <t>ND: Renting of Staff Living Compound at Kibondo town (to accommodate 35staff) from mid February 2021</t>
  </si>
  <si>
    <t>ND: Maintenace of Staff Living Compound nearby Nduta Camp (former MHA rest house, to accommodate 10staff)</t>
  </si>
  <si>
    <t>ND: Repair and maintenance of the Health Posts</t>
  </si>
  <si>
    <t>ND: Visibility items (sign boards)</t>
  </si>
  <si>
    <t>ND: Field team - Monitoring and Supervision</t>
  </si>
  <si>
    <t>ND: Mileage for vehicle for monitoring purpose</t>
  </si>
  <si>
    <t>kilometer</t>
  </si>
  <si>
    <t>ND: Stationaries for Kibondo office and Health Posts</t>
  </si>
  <si>
    <t xml:space="preserve">ND: Rent of place for pharmacy </t>
  </si>
  <si>
    <t>General working costs related to COVID-19 activities (monitoring, coordination, communication and logistics)</t>
  </si>
  <si>
    <t>Expert delegate Epidemic prepardness and response (33% on Tanzania)</t>
  </si>
  <si>
    <t>Country-Rep (programme delegate + regional expert delegate DP) - DLG cost</t>
  </si>
  <si>
    <t>mission</t>
  </si>
  <si>
    <t>Result 1: Improved ability of targeted communities in Kyela (Mbeya) and Uvinza (Kigoma) to adopt positive health and hygiene practices.</t>
  </si>
  <si>
    <t>Conduct Trainer of trainers for CBHFA facilitators (3 from Mbeya, 10 NDRT, 4 staff)</t>
  </si>
  <si>
    <t>Conduct training of volunteers and Community Health Workers on core CBHFA modules (2 wards in Kyela)(2 trainings, 20 volunteers from 2 wards)</t>
  </si>
  <si>
    <t>Conduct Community Engagement training for volunteers (2 x 50 volunteers, 25 per ward)</t>
  </si>
  <si>
    <t xml:space="preserve">Organize CEA Support at communty </t>
  </si>
  <si>
    <t>Development of village risk maps for specific health risks</t>
  </si>
  <si>
    <t>Organising interactive awareness raising sessions on CBHFA using mobile cinema shows and radio shows</t>
  </si>
  <si>
    <t>Facilitation for 100 volunteers for house to house visits, community work, distributions</t>
  </si>
  <si>
    <t xml:space="preserve">Result 2: Improved ability of HNS to prevent, detect and respond to disease outbreaks at the community level in Kyela district (Mbeya) </t>
  </si>
  <si>
    <t>Conduct ToT for TRCS staff and volunteers on CBS and ECV (20 participants)</t>
  </si>
  <si>
    <t>Conduct training for TRCS volunteers on CBS and ECV (2 x 50 volunteers per region, 25 in each ward)</t>
  </si>
  <si>
    <t>Conduct  training on PSS for the teams involved in the response to disease outbreaks.</t>
  </si>
  <si>
    <t>Regular (quarterly) dissemination of MoH approved CBS and ECV procedures among trained volunteers and staff (regional level)</t>
  </si>
  <si>
    <t xml:space="preserve">Organise and conduct local /stakeholders project progress, visibility,… </t>
  </si>
  <si>
    <t>Conduct an KOBO collect training at regional level (1 in Mbeya)</t>
  </si>
  <si>
    <t>Set up the CBS early warning system at village/ward level</t>
  </si>
  <si>
    <t>Activate ECV trained teams during a disaster</t>
  </si>
  <si>
    <t>Organize a lessons learned workshop in cooperation with the MoH and other stakeholders on the ECV operation.</t>
  </si>
  <si>
    <t>Crisis modifier for health emergencies</t>
  </si>
  <si>
    <t xml:space="preserve">*NEW*  COVID-19 induction training to TRCS staff and volunteers </t>
  </si>
  <si>
    <t>*NEW* Training of community based volunteers in 10 high risk regions covering COVID-19  RCCE sensitization and distribution and dissemination of IEC materials to the communities</t>
  </si>
  <si>
    <t xml:space="preserve">*NEW* Risk communication  and  community engagement activities  COVID-19 in urban settings </t>
  </si>
  <si>
    <t>*NEW* Risk communication  and  community engagement activities COVID-19 in rural settings</t>
  </si>
  <si>
    <t>*NEW* Procurement of  personal protective equipment COVID-19</t>
  </si>
  <si>
    <t>*NEW* Procurement of public awareness raising equipment COVID-19</t>
  </si>
  <si>
    <t>*NEW* Crisis modifier for health emergencies - COVID 19 (relief items, food assistance or MPCT for  the most vulnerable families affected by COVID-19 outbreak)</t>
  </si>
  <si>
    <t>Result 3: Improved resilience of communities living in high risk areas in the Kyele district (Mbeya region) and strengthened institutional capacity of the TRCS and other local stakeholders to respond to disaster</t>
  </si>
  <si>
    <t>Train community risk management committees at village level (4 wards)</t>
  </si>
  <si>
    <t>Organize regular meetings of the community risk management committees together with the TRCS volunteers.</t>
  </si>
  <si>
    <t>Organize DRR sensitization sessions in schools (using DRR booklets.)(schools in 4 wards)</t>
  </si>
  <si>
    <t>Organizing interactive awareness raising sessions on DRR in targeted villages using mobile cinema and radio shows.</t>
  </si>
  <si>
    <t>Conduct a VCA TOT training on BDRT and NDRT level.</t>
  </si>
  <si>
    <t>Perform a risk map per village where no risk map is yet available.</t>
  </si>
  <si>
    <t>Perform a risk map per ward where no risk map is yet available.</t>
  </si>
  <si>
    <t>Perform a risk map per district where no risk map is yet available.</t>
  </si>
  <si>
    <t>Draft or update the contingency plan at village level.</t>
  </si>
  <si>
    <t>Draft or update the contingency plan at ward level.</t>
  </si>
  <si>
    <t>Draft or update the contingency plan at district level.</t>
  </si>
  <si>
    <t>Identify and signpost safe evacuation routes.</t>
  </si>
  <si>
    <t>Organize volunteer meetings at village level.</t>
  </si>
  <si>
    <t>Conduct a BDRT training in each branch.</t>
  </si>
  <si>
    <t xml:space="preserve">Train volunteers in FA (40 volunteers, 1 training in Mbeya, 1 training in Kigoma). </t>
  </si>
  <si>
    <t>Conduct a cash training for selected volunteers within the RDRT teams for Mbeya and Kigoma region.</t>
  </si>
  <si>
    <t>Organize a training at branch level regarding early warning, early action.</t>
  </si>
  <si>
    <t>Identify and validate the most adequate early-warning systems per community. (community meeting)</t>
  </si>
  <si>
    <t xml:space="preserve">Set up early warning teams at community level. </t>
  </si>
  <si>
    <t>Communication of early warning messages</t>
  </si>
  <si>
    <t>Set up the early warning protocols with the different stakeholders.</t>
  </si>
  <si>
    <t>Organize a pilot case in a specific district and test-run the service during a simulation and/or real-time interventions.</t>
  </si>
  <si>
    <t>Organize a lessons-learned workshop on the results of the pilot case.</t>
  </si>
  <si>
    <t>Documentation of the pilot case (video or magazine or…)</t>
  </si>
  <si>
    <t>Crisis modifier</t>
  </si>
  <si>
    <t>Result 5: To improve health status of the refugee and host communities through provision of quality primary health care, reproductive health care support, nutrition and first aid services.</t>
  </si>
  <si>
    <t xml:space="preserve">ND: Cleaning Hygiene Supplies Hospital,Health Posts &amp; L/C   </t>
  </si>
  <si>
    <t xml:space="preserve">ND: Printing and publication costs hospital HIS OPD book  </t>
  </si>
  <si>
    <t>Lumpsum</t>
  </si>
  <si>
    <t xml:space="preserve">ND: Printing cost of Delivery Note books  </t>
  </si>
  <si>
    <t xml:space="preserve">ND: Printing cost of Goods received note (GRN) books  </t>
  </si>
  <si>
    <t xml:space="preserve">ND: Printing cost of Local Purchasing Order(LPO) books  </t>
  </si>
  <si>
    <t xml:space="preserve">ND: Printing cost of Requisition books  </t>
  </si>
  <si>
    <t xml:space="preserve">ND: Printing of Laboratory request forms  </t>
  </si>
  <si>
    <t xml:space="preserve">ND: Printing of Prescription books  </t>
  </si>
  <si>
    <t xml:space="preserve">ND: Repatriation travel cost(DSA)  </t>
  </si>
  <si>
    <t>trips</t>
  </si>
  <si>
    <t>ND: Blood: Training of CHWs on blood donor recruitment, donor care and post donation counselling</t>
  </si>
  <si>
    <t>training</t>
  </si>
  <si>
    <t>ND: Blood donor campaign and collection</t>
  </si>
  <si>
    <t>NB: Blood- Donor experience - for retention (badges, glucose replacements etc)</t>
  </si>
  <si>
    <t>ND: PLWHA economic activities</t>
  </si>
  <si>
    <t>ND: Complementary /Special diet for the people with medical conditions - Nduta 4 Health posts</t>
  </si>
  <si>
    <t>ND: Incentive worker - 50 Health Information Team members</t>
  </si>
  <si>
    <t xml:space="preserve">ND: Incentive worker - 1 Electrical supervisor </t>
  </si>
  <si>
    <t xml:space="preserve">ND: Incentive worker - 1 Water Technician </t>
  </si>
  <si>
    <t xml:space="preserve">ND: Incentive worker - 4 HIV/VTC Counselor </t>
  </si>
  <si>
    <t xml:space="preserve">ND: Incentive worker - 8 Registration Clerks </t>
  </si>
  <si>
    <t xml:space="preserve">ND: Incentive worker - 20 Security Guards </t>
  </si>
  <si>
    <t xml:space="preserve">ND: Incentive worker - 16 Cleaners </t>
  </si>
  <si>
    <t xml:space="preserve">ND: Incentive worker - 4 Nurse Assistants  </t>
  </si>
  <si>
    <t xml:space="preserve">ND: Incentive worker - 4 Laboratory Assistant </t>
  </si>
  <si>
    <t xml:space="preserve">ND: Incentive worker - 8 Clinical Officers </t>
  </si>
  <si>
    <t>ND: World Aids Day</t>
  </si>
  <si>
    <t xml:space="preserve">ND: Referral cost - Medical Lunch Coupon during referral including care takers  </t>
  </si>
  <si>
    <t>units</t>
  </si>
  <si>
    <t xml:space="preserve">ND: Referral cost - Medical Referral cost  </t>
  </si>
  <si>
    <t>ND: Uniforms for health staff</t>
  </si>
  <si>
    <t>meter</t>
  </si>
  <si>
    <t>ND: First Aid materials/equipments</t>
  </si>
  <si>
    <t>ND: First Aid- Train 100 health promoters and community members(5 sessions=20 participants x 5 =100)</t>
  </si>
  <si>
    <t>ND: Crisis modifier</t>
  </si>
  <si>
    <t>ND: Mileage System - Vehicle pick-up for collecting waste product from 4 HPs to Main Hospital</t>
  </si>
  <si>
    <t>ND: SGBV Mainstreaming and PSEA training for both national staff and incentive workers</t>
  </si>
  <si>
    <t xml:space="preserve">ND: Training for Integrity and Compliance issues for newly recruited national staff </t>
  </si>
  <si>
    <t>ND: Patient cards</t>
  </si>
  <si>
    <t>ND: Patient medical record books</t>
  </si>
  <si>
    <t>ND: Printing of prenatal and postnatal cards</t>
  </si>
  <si>
    <t>ND: Laboratory equipment (glucometer, fetoscopes, blood pressure machines, weighing scales, …)</t>
  </si>
  <si>
    <t>ND: Training to clinicians and nurses on drug management and rational prescription</t>
  </si>
  <si>
    <t>ND: Training to clinicians and nurses on malaria management protocols</t>
  </si>
  <si>
    <t>ND: Drugs and medical consumables</t>
  </si>
  <si>
    <t>ND: Complaints mechanism</t>
  </si>
  <si>
    <t>Field Coordinator Mbeya (100%)</t>
  </si>
  <si>
    <t>Driver Mbeya and HQ (100%)</t>
  </si>
  <si>
    <t xml:space="preserve">Regional Coordinator Mbeya (100%) </t>
  </si>
  <si>
    <t>Accountant Mbeya (100%)</t>
  </si>
  <si>
    <t>DP Manager HQ (100%) from Sept 2019 onwards</t>
  </si>
  <si>
    <t>Accountant HQ (100%)</t>
  </si>
  <si>
    <t xml:space="preserve">PMER support HQ (30%) </t>
  </si>
  <si>
    <t>IT support HQ (30%)</t>
  </si>
  <si>
    <t>Communication officer HQ (30%)</t>
  </si>
  <si>
    <t>Director of Health Services and Care</t>
  </si>
  <si>
    <t>months</t>
  </si>
  <si>
    <t xml:space="preserve">Accountant </t>
  </si>
  <si>
    <t xml:space="preserve">ND: 2 Clinical Officer incharge </t>
  </si>
  <si>
    <t xml:space="preserve">ND: 1 Field Finance Coordinator </t>
  </si>
  <si>
    <t>ND: 1 Administrative Coordinator</t>
  </si>
  <si>
    <t>ND: 1 Medical Doctor</t>
  </si>
  <si>
    <t>ND: 1 Assistant Medical Doctor</t>
  </si>
  <si>
    <t xml:space="preserve">ND: 1 HIS Officer </t>
  </si>
  <si>
    <t xml:space="preserve">ND: 1 Health Promotion/TBA Supervisor </t>
  </si>
  <si>
    <t xml:space="preserve">ND: 1 Office Attendant </t>
  </si>
  <si>
    <t xml:space="preserve">ND: 2 Patron/Matron </t>
  </si>
  <si>
    <t>ND: 8 Registration clerks</t>
  </si>
  <si>
    <t xml:space="preserve">ND: 4 Drivers </t>
  </si>
  <si>
    <t xml:space="preserve">ND: 1 Security shift Leader </t>
  </si>
  <si>
    <t xml:space="preserve">ND: 1 VCT Counsellor </t>
  </si>
  <si>
    <t>ND: 4 Assistant Pharmacetical Technician</t>
  </si>
  <si>
    <t xml:space="preserve">ND: 4 Assistant Nursing Officers </t>
  </si>
  <si>
    <t xml:space="preserve">ND: 4 MCH Aiders </t>
  </si>
  <si>
    <t xml:space="preserve">ND: 2 Laboratory Technicians  </t>
  </si>
  <si>
    <t xml:space="preserve">ND: 4 Nurse Assistants </t>
  </si>
  <si>
    <t xml:space="preserve">ND: 4 Security Guards </t>
  </si>
  <si>
    <t xml:space="preserve">ND: 17 Clinical Officers </t>
  </si>
  <si>
    <t xml:space="preserve">ND: 16 Nurse Midwife </t>
  </si>
  <si>
    <t>ND: 1 Pharmacetical Technician</t>
  </si>
  <si>
    <t>ND: 4 Psychiatric Nurse</t>
  </si>
  <si>
    <t xml:space="preserve">ND: 4 Laboratory Assistants  </t>
  </si>
  <si>
    <t>ND: Nutritionist</t>
  </si>
  <si>
    <t>Country-Rep (programme delegate + regional expert delegate DP) - Salary cost</t>
  </si>
  <si>
    <t>Budgetline (incl. subdivision)</t>
  </si>
  <si>
    <t>NMBM/000144</t>
  </si>
  <si>
    <t>Volunteer allowance COVID 19 Arusha</t>
  </si>
  <si>
    <t>Volunteers ,Arusha</t>
  </si>
  <si>
    <t>NMBM/000143</t>
  </si>
  <si>
    <t>Volunteer allowance COVID 19 Geita</t>
  </si>
  <si>
    <t>Volunteers ,Geita</t>
  </si>
  <si>
    <t>NMBM/000145</t>
  </si>
  <si>
    <t>Volunteer allowance COVID19 Dodoma</t>
  </si>
  <si>
    <t>Volunteers ,Dodoma</t>
  </si>
  <si>
    <t>NMBM/000146</t>
  </si>
  <si>
    <t>Volunteer allowance COVID19 Mbeya</t>
  </si>
  <si>
    <t>Volunteers,Mbeya</t>
  </si>
  <si>
    <t>NMBM/000147</t>
  </si>
  <si>
    <t>Volunteer allowance COVID19 Songwe</t>
  </si>
  <si>
    <t>Volunteers ,Songwe</t>
  </si>
  <si>
    <t>NMBM/000148</t>
  </si>
  <si>
    <t>Volunteer allowance COVID19 Iringa</t>
  </si>
  <si>
    <t>Volunteers ,Iringa</t>
  </si>
  <si>
    <t xml:space="preserve">Totaal *NEW*  COVID-19 induction training to TRCS staff and volunteers </t>
  </si>
  <si>
    <t xml:space="preserve">*NEW* Additional local personnel costs for COVID-19 support </t>
  </si>
  <si>
    <t>NMBM/000296</t>
  </si>
  <si>
    <t>Staff Salaries January 2021</t>
  </si>
  <si>
    <t>Faiza  Manyayi</t>
  </si>
  <si>
    <t>Housing Allowance  January 2021</t>
  </si>
  <si>
    <t>NMBM/000297</t>
  </si>
  <si>
    <t>NSSF Employer's Contribution for January 2021</t>
  </si>
  <si>
    <t xml:space="preserve"> National Social Security Fund</t>
  </si>
  <si>
    <t>Leave Passage &amp; Pay January 2021</t>
  </si>
  <si>
    <t>NMBM/000302</t>
  </si>
  <si>
    <t xml:space="preserve"> Staff Medical  January  2021</t>
  </si>
  <si>
    <t>National Health Insurance Fund</t>
  </si>
  <si>
    <t>NMBM/000300</t>
  </si>
  <si>
    <t>Workman's Compensation Fund Jan 2021</t>
  </si>
  <si>
    <t>Workman's Compensation Fund</t>
  </si>
  <si>
    <t>NMBM/000323</t>
  </si>
  <si>
    <t>Staff Salaries February 2021</t>
  </si>
  <si>
    <t>Housing Allowance  February 2021</t>
  </si>
  <si>
    <t>NSSF Employer's Contribution for February  2021</t>
  </si>
  <si>
    <t>Leave Passage &amp; Pay February  2021</t>
  </si>
  <si>
    <t>NMBM/000326</t>
  </si>
  <si>
    <t xml:space="preserve"> Staff Medical  February  2021</t>
  </si>
  <si>
    <t>NMBM/000324</t>
  </si>
  <si>
    <t>Workman's Compensation Fund February 2021</t>
  </si>
  <si>
    <t>NMBM/000339</t>
  </si>
  <si>
    <t>Staff Salaries March 2021</t>
  </si>
  <si>
    <t>Housing Allowance  March 2021</t>
  </si>
  <si>
    <t>NMBM/000340</t>
  </si>
  <si>
    <t>NSSF Employer's Contribution for March  2021</t>
  </si>
  <si>
    <t>Leave Passage &amp; Pay March  2021</t>
  </si>
  <si>
    <t>NMBM/000342</t>
  </si>
  <si>
    <t xml:space="preserve"> Staff Medical  March  2021</t>
  </si>
  <si>
    <t>NMBM/000345</t>
  </si>
  <si>
    <t>Workman's Compensation Fund March 2021</t>
  </si>
  <si>
    <t>NMBM/000362</t>
  </si>
  <si>
    <t>Staff Salaries April 2021</t>
  </si>
  <si>
    <t>Housing Allowance  April 2021</t>
  </si>
  <si>
    <t>NMBM/000367</t>
  </si>
  <si>
    <t>NSSF Employer's Contribution for April  2021</t>
  </si>
  <si>
    <t>Leave Passage &amp; Pay April2021</t>
  </si>
  <si>
    <t>NMBM/000366</t>
  </si>
  <si>
    <t xml:space="preserve"> Staff Medical  April 2021</t>
  </si>
  <si>
    <t>NMBM/000369</t>
  </si>
  <si>
    <t>Workman's Compensation Fund April  2021</t>
  </si>
  <si>
    <t>NMBM/000375</t>
  </si>
  <si>
    <t>Staff Salaries May 2021</t>
  </si>
  <si>
    <t>Housing Allowance  May 2021</t>
  </si>
  <si>
    <t>NMBM/000376</t>
  </si>
  <si>
    <t>NSSF Employer's Contribution for May  2021</t>
  </si>
  <si>
    <t>Leave Passage &amp; Pay May2021</t>
  </si>
  <si>
    <t>NMBM/000377</t>
  </si>
  <si>
    <t xml:space="preserve"> Staff Medical  May 2021</t>
  </si>
  <si>
    <t>NMBM/000381</t>
  </si>
  <si>
    <t>Workman's Compensation Fund May  2021</t>
  </si>
  <si>
    <t>NMBM/000390</t>
  </si>
  <si>
    <t>Staff Salaries June 2021</t>
  </si>
  <si>
    <t>Housing Allowance  June 2021</t>
  </si>
  <si>
    <t>NMBM/000393</t>
  </si>
  <si>
    <t>NSSF Employer's Contribution for June  2021</t>
  </si>
  <si>
    <t>Leave Passage &amp; Pay June2021</t>
  </si>
  <si>
    <t>NMBM/000394</t>
  </si>
  <si>
    <t xml:space="preserve"> Staff Medical  June 2021</t>
  </si>
  <si>
    <t>NMBM/000392</t>
  </si>
  <si>
    <t>Workman's Compensation Fund June  2021</t>
  </si>
  <si>
    <t>NMBM/000401</t>
  </si>
  <si>
    <t>Staff Salaries July 2021</t>
  </si>
  <si>
    <t>Housing Allowance  July 2021</t>
  </si>
  <si>
    <t>NMBM/000404</t>
  </si>
  <si>
    <t>NSSF Employer's Contribution for July  2021</t>
  </si>
  <si>
    <t>Leave Passage &amp; Pay July2021</t>
  </si>
  <si>
    <t xml:space="preserve"> Staff Medical  July 2021</t>
  </si>
  <si>
    <t>NMBM/000402</t>
  </si>
  <si>
    <t>Workman's Compensation Fund July  2021</t>
  </si>
  <si>
    <t xml:space="preserve">Totaal *NEW* Additional local personnel costs for COVID-19 support </t>
  </si>
  <si>
    <t>NMBM/000419</t>
  </si>
  <si>
    <t>Allowances for 5 staff from Regional Medical Officers office in Dar Es Salaam</t>
  </si>
  <si>
    <t>5 staff from RMO's office</t>
  </si>
  <si>
    <t>NMBM/000418</t>
  </si>
  <si>
    <t>Communication allowances for coordinators of the RCCE activities in TRCS Dar Es Salaam Branch</t>
  </si>
  <si>
    <t>Zuwena Abdalla and Grace Mawalla</t>
  </si>
  <si>
    <t>NMBM/000422</t>
  </si>
  <si>
    <t>Allowance Risk Communication and Community Engagement orientation</t>
  </si>
  <si>
    <t>Volunteers</t>
  </si>
  <si>
    <t>NMBM/000429</t>
  </si>
  <si>
    <t>Conference package Risk Communication and Community Engagement orientation</t>
  </si>
  <si>
    <t xml:space="preserve">Tanzania Red Cross Society </t>
  </si>
  <si>
    <t>NMBM/000432</t>
  </si>
  <si>
    <t>Allowances for participating in Risk Communication and Community Engagement orientation</t>
  </si>
  <si>
    <t>2 staff and 1 volunteer</t>
  </si>
  <si>
    <t>NMBM/000433</t>
  </si>
  <si>
    <t>Allowances for participating in Risk Communication and Community Engagement orientation-Driver</t>
  </si>
  <si>
    <t>Ally Addy</t>
  </si>
  <si>
    <t>NMBM/000434</t>
  </si>
  <si>
    <t>NMBM/000437</t>
  </si>
  <si>
    <t>Volunteer allowances during Risk Communication and Community Engagement</t>
  </si>
  <si>
    <t>TRCS staff , volunteers in Dar Es Salaam &amp; Government officers</t>
  </si>
  <si>
    <t>NMBM/000435</t>
  </si>
  <si>
    <t>Allowance Risk Communication and Community Engagement activities at schools</t>
  </si>
  <si>
    <t>NMBM/000417</t>
  </si>
  <si>
    <t>Fuel for Risk Communication and Community Engagement activities Dar es salaam</t>
  </si>
  <si>
    <t xml:space="preserve"> Various Supplies</t>
  </si>
  <si>
    <t>NMBM/000444</t>
  </si>
  <si>
    <t>Supply of liquid soap for RCCE activities</t>
  </si>
  <si>
    <t>Nebula Health care ltd</t>
  </si>
  <si>
    <t>NMBM/000452</t>
  </si>
  <si>
    <t>Printing of IEC materilas for Risk Communication and Community Engagement activities in Dar Es Salaam</t>
  </si>
  <si>
    <t>Interpress of Tanzania Limited</t>
  </si>
  <si>
    <t>NMBM/000453</t>
  </si>
  <si>
    <t>Catridge HP laser Jet 1320(49A) for use in the TRCS dar es salaam branch. The printer cartridge was used on RCCE activities</t>
  </si>
  <si>
    <t>Zion General Supplies Limited</t>
  </si>
  <si>
    <t>NMBM/000477</t>
  </si>
  <si>
    <t>Hand washing tanks</t>
  </si>
  <si>
    <t>Holloway Logistics Limited</t>
  </si>
  <si>
    <t>NMBM/000509</t>
  </si>
  <si>
    <t>Personal Protective Equipment(Hand sanitizer Liquidi 250ml and Medical Mask)</t>
  </si>
  <si>
    <t>Nebula Health Care Ltd</t>
  </si>
  <si>
    <t>Totaal *NEW* Crisis modifier for health emergencies - COVID 19 (relief items, food assistance or MPCT for  the most vulnerable families affected by COVID-19 outbreak)</t>
  </si>
  <si>
    <t>NMBM/000139</t>
  </si>
  <si>
    <t>Sanitizers for COVID19 volunteers</t>
  </si>
  <si>
    <t>Forlab Biosciences ltd</t>
  </si>
  <si>
    <t>Totaal *NEW* Procurement of  personal protective equipment COVID-19</t>
  </si>
  <si>
    <t>NMBM/000154</t>
  </si>
  <si>
    <t>Megaphone for COVID 19 awareness</t>
  </si>
  <si>
    <t>Opensanit Company Limited</t>
  </si>
  <si>
    <t>NMBM/000187</t>
  </si>
  <si>
    <t>volunteer allowance through PA and Mobile vans</t>
  </si>
  <si>
    <t>Volunteer Mbeya</t>
  </si>
  <si>
    <t>Totaal *NEW* Procurement of public awareness raising equipment COVID-19</t>
  </si>
  <si>
    <t>NMBM/000130</t>
  </si>
  <si>
    <t>Volunteer allowances COVID 19 Magufuli Hostel</t>
  </si>
  <si>
    <t>NMB Bank</t>
  </si>
  <si>
    <t>NMBM/000140</t>
  </si>
  <si>
    <t>Mobile vans &amp;PA for COVID19 compaign</t>
  </si>
  <si>
    <t>Artwink Production Media</t>
  </si>
  <si>
    <t xml:space="preserve">Totaal *NEW* Risk communication  and  community engagement activities  COVID-19 in urban settings </t>
  </si>
  <si>
    <t>NMBM/000155</t>
  </si>
  <si>
    <t>Volunteer allowance PA Dar es salaam</t>
  </si>
  <si>
    <t>Volunteers Dar es salaam</t>
  </si>
  <si>
    <t>22/05,2020</t>
  </si>
  <si>
    <t>NMBM/000157</t>
  </si>
  <si>
    <t>Volunteer allowance PA Songwe Region</t>
  </si>
  <si>
    <t>Volunteer Songwe Region</t>
  </si>
  <si>
    <t>NMBM/000158</t>
  </si>
  <si>
    <t>Volunteer allowance PA Dodoma Region</t>
  </si>
  <si>
    <t>Volunteer Dodoma Region</t>
  </si>
  <si>
    <t>NMBM/000159</t>
  </si>
  <si>
    <t>Volunteer allowance PA Geita Region</t>
  </si>
  <si>
    <t>Volunteer Geita Region</t>
  </si>
  <si>
    <t>NMBM/000162</t>
  </si>
  <si>
    <t>Volunteer allowance PA Mbeya Region</t>
  </si>
  <si>
    <t>NMBM/000160</t>
  </si>
  <si>
    <t>Volunteer allowance PA Iringa Region</t>
  </si>
  <si>
    <t>Volunteer Iringa</t>
  </si>
  <si>
    <t>NMBM/000161</t>
  </si>
  <si>
    <t>Transportation of IEC  materials costs</t>
  </si>
  <si>
    <t>Upendo Travellers,ABD Bus and Falcon</t>
  </si>
  <si>
    <t>NMBM/000171</t>
  </si>
  <si>
    <t>Volunteer allowance mobile vans and PA</t>
  </si>
  <si>
    <t>Volunteer Arusha</t>
  </si>
  <si>
    <t>NMBM/000172</t>
  </si>
  <si>
    <t>Volunteer Dar es salaam</t>
  </si>
  <si>
    <t>NMBM/000173</t>
  </si>
  <si>
    <t xml:space="preserve">Volunteer allowance distribution of IEC materials and  awareness through Megaphone </t>
  </si>
  <si>
    <t>NMBM/000175</t>
  </si>
  <si>
    <t>NMBM/000176</t>
  </si>
  <si>
    <t>Volunteer allowance Mbeya</t>
  </si>
  <si>
    <t>IRF/DPIII/00026</t>
  </si>
  <si>
    <t>Stationaries-Dar es salaam</t>
  </si>
  <si>
    <t>Sheetal and Jamhuri Stationaries</t>
  </si>
  <si>
    <t>Fuel-Dar es salaam</t>
  </si>
  <si>
    <t>Various suppliers</t>
  </si>
  <si>
    <t>IRF/DPIII/00027</t>
  </si>
  <si>
    <t>Perdiem for COVID 19 supervision Iringa</t>
  </si>
  <si>
    <t>Aida Kaduma and Salum Mpajike</t>
  </si>
  <si>
    <t>Conference and withdraw charges-Iringa</t>
  </si>
  <si>
    <t>Various Suppliers</t>
  </si>
  <si>
    <t>Motor Vehicle fuel -Iringa</t>
  </si>
  <si>
    <t>Stationaries-Iringa</t>
  </si>
  <si>
    <t>Sky Stationary</t>
  </si>
  <si>
    <t>Junes Stationaries</t>
  </si>
  <si>
    <t>IRF/DPIII/00028</t>
  </si>
  <si>
    <t>Stationaries-Dodoma</t>
  </si>
  <si>
    <t>Motor Vehicle fuel -Dodoma</t>
  </si>
  <si>
    <t>Perdiem for supervision -Dodoma</t>
  </si>
  <si>
    <t>Erick Msemwa</t>
  </si>
  <si>
    <t>IRF/DPIII/00029</t>
  </si>
  <si>
    <t>Perdiem for supervision -Arusha</t>
  </si>
  <si>
    <t>Several payees</t>
  </si>
  <si>
    <t>Motor Vehicle fuel-Arusha</t>
  </si>
  <si>
    <t>IRF/DPIII/00030</t>
  </si>
  <si>
    <t>Perdiem for supervision -Mbeya</t>
  </si>
  <si>
    <t>Janeth Silyimbo and Elineema Ally</t>
  </si>
  <si>
    <t>Conference costs-Mbeya</t>
  </si>
  <si>
    <t>Eliah Hezron</t>
  </si>
  <si>
    <t>Printing and stationaries -Mbeya</t>
  </si>
  <si>
    <t>Mnyika stationary &amp; Grace Erick</t>
  </si>
  <si>
    <t>Motor Vehicle fuel- Mbeya</t>
  </si>
  <si>
    <t>IRF/DPIII/00031</t>
  </si>
  <si>
    <t>Motor Vehicle fuel- Geita</t>
  </si>
  <si>
    <t>Stationaries -Geita</t>
  </si>
  <si>
    <t>Julius Mwembei</t>
  </si>
  <si>
    <t>Perdiem for supervision -Geita</t>
  </si>
  <si>
    <t>Joshua Kilenyi</t>
  </si>
  <si>
    <t>HSN Enterprises</t>
  </si>
  <si>
    <t>Motor Vehicle fuel -Geita</t>
  </si>
  <si>
    <t>Henry Rupia</t>
  </si>
  <si>
    <t>IRF/DPIII/00032</t>
  </si>
  <si>
    <t>Perdiem for supervision -Songwe</t>
  </si>
  <si>
    <t>Musa Siame&amp; Philp Mbwile</t>
  </si>
  <si>
    <t>Communication /airtime -Songwe</t>
  </si>
  <si>
    <t>Joseph Kayombo</t>
  </si>
  <si>
    <t>Printing and stationaries -Songwe</t>
  </si>
  <si>
    <t>Motor Vehicle fuel-Songwe</t>
  </si>
  <si>
    <t>Stationaries-Songwe</t>
  </si>
  <si>
    <t>NMBM/000170</t>
  </si>
  <si>
    <t>Volunteer allowance through PA and Mobile vans</t>
  </si>
  <si>
    <t>Volunteer Geita</t>
  </si>
  <si>
    <t>Volunteer Songwe</t>
  </si>
  <si>
    <t>NMBM/000177</t>
  </si>
  <si>
    <t>PA and Mobile vans COVID19 awareness</t>
  </si>
  <si>
    <t>ArtWink Media Productions</t>
  </si>
  <si>
    <t>NMBM/000188</t>
  </si>
  <si>
    <t>Withholding tax on Mobile vans and PA</t>
  </si>
  <si>
    <t>Commissioner for Domestic Revenue</t>
  </si>
  <si>
    <t>Totaal *NEW* Risk communication  and  community engagement activities COVID-19 in rural settings</t>
  </si>
  <si>
    <t>NMBM/000141</t>
  </si>
  <si>
    <t>Withholding tax on mobile vans &amp;PA</t>
  </si>
  <si>
    <t xml:space="preserve">Commissioner for Domestic </t>
  </si>
  <si>
    <t>NMBM/000150</t>
  </si>
  <si>
    <t>Perdiem for COVID 19 supervision Arusha</t>
  </si>
  <si>
    <t>John Busungu</t>
  </si>
  <si>
    <t>NMBM/000151</t>
  </si>
  <si>
    <t>Refund for Airticket DAR/AR Busungu Trip</t>
  </si>
  <si>
    <t>Lucrecia Rubandwa</t>
  </si>
  <si>
    <t>NMBM/000153</t>
  </si>
  <si>
    <t>Refund to IFRC volunteer allowance Magufuli</t>
  </si>
  <si>
    <t xml:space="preserve">TRCS </t>
  </si>
  <si>
    <t>Totaal *NEW* Training of community based volunteers in 10 high risk regions covering COVID-19  RCCE sensitization and distribution and dissemination of IEC materials to the communities</t>
  </si>
  <si>
    <t>NMBM/000124</t>
  </si>
  <si>
    <t>Staff Salaries March  2020</t>
  </si>
  <si>
    <t>David Uronu</t>
  </si>
  <si>
    <t>Housing Allowance March 2020</t>
  </si>
  <si>
    <t>NMBM/000126</t>
  </si>
  <si>
    <t>NSSF Employer's Contribution for March 2020</t>
  </si>
  <si>
    <t>National Social Security Fund</t>
  </si>
  <si>
    <t>Leave Passage &amp; Pay March  2020</t>
  </si>
  <si>
    <t>NMBM/000128</t>
  </si>
  <si>
    <t xml:space="preserve"> Staff Medical   March  2020</t>
  </si>
  <si>
    <t>National Haelth Insurance Fund</t>
  </si>
  <si>
    <t>NMBM/000127</t>
  </si>
  <si>
    <t>Workman's Compensation Fund March  2020</t>
  </si>
  <si>
    <t>Staff Salaries April 2020</t>
  </si>
  <si>
    <t>Housing Allowance April 2020</t>
  </si>
  <si>
    <t>NMBM/000135</t>
  </si>
  <si>
    <t>NSSF Employer's Contribution for April 2020</t>
  </si>
  <si>
    <t>Leave Passage &amp; Pay April  2020</t>
  </si>
  <si>
    <t>NMBM/000136</t>
  </si>
  <si>
    <t xml:space="preserve"> Staff Medical   April  2020</t>
  </si>
  <si>
    <t>NMBM/000134</t>
  </si>
  <si>
    <t>Workman's Compensation Fund April 2020</t>
  </si>
  <si>
    <t>NMBM/000165</t>
  </si>
  <si>
    <t>Staff Salaries May 2020</t>
  </si>
  <si>
    <t>NMBM/000167</t>
  </si>
  <si>
    <t>Housing Allowance May  2020</t>
  </si>
  <si>
    <t>Leave Passage &amp; Pay May  2020</t>
  </si>
  <si>
    <t xml:space="preserve"> Staff Medical    May 2020</t>
  </si>
  <si>
    <t>NMBM/000168</t>
  </si>
  <si>
    <t>Workman's Compensation Fund May  2020</t>
  </si>
  <si>
    <t>Staff Salaries June  2020</t>
  </si>
  <si>
    <t>Housing Allowance June 2020</t>
  </si>
  <si>
    <t>NMBM/000178</t>
  </si>
  <si>
    <t>NSSF Employer's Contribution for June 2020</t>
  </si>
  <si>
    <t>Leave Passage &amp; Pay June  2020</t>
  </si>
  <si>
    <t>NMBM/000185</t>
  </si>
  <si>
    <t xml:space="preserve"> Staff Medical  June  2020</t>
  </si>
  <si>
    <t>NMBM/000180</t>
  </si>
  <si>
    <t>Workman's Compensation Fund June  2020</t>
  </si>
  <si>
    <t>NMBM/000203</t>
  </si>
  <si>
    <t>Staff Salaries July  2020</t>
  </si>
  <si>
    <t>Housing Allowance July 2020</t>
  </si>
  <si>
    <t>NMBM/000206</t>
  </si>
  <si>
    <t>NSSF Employer's Contribution for July 2020</t>
  </si>
  <si>
    <t>Leave Passage &amp; Pay July  2020</t>
  </si>
  <si>
    <t>NMBM/000207</t>
  </si>
  <si>
    <t xml:space="preserve"> Staff Medical  July  2020</t>
  </si>
  <si>
    <t>NMBM/000204</t>
  </si>
  <si>
    <t>Workman's Compensation Fund July  2020</t>
  </si>
  <si>
    <t>NMBM/000215</t>
  </si>
  <si>
    <t>Staff Salaries August  2020</t>
  </si>
  <si>
    <t>Housing Allowance August 2020</t>
  </si>
  <si>
    <t>NMBM/000223</t>
  </si>
  <si>
    <t>NSSF Employer's Contribution for August 2020</t>
  </si>
  <si>
    <t>Leave Passage &amp; Pay August  2020</t>
  </si>
  <si>
    <t>NMBM/000220</t>
  </si>
  <si>
    <t xml:space="preserve"> Staff Medical  August  2020</t>
  </si>
  <si>
    <t>NMBM/000219</t>
  </si>
  <si>
    <t>Workman's Compensation Fund August  2020</t>
  </si>
  <si>
    <t>NMBM/000236</t>
  </si>
  <si>
    <t>Staff Salaries September  2020</t>
  </si>
  <si>
    <t>Housing Allowance September 2020</t>
  </si>
  <si>
    <t>NMBM/000238</t>
  </si>
  <si>
    <t>NSSF Employer's Contribution for September 2020</t>
  </si>
  <si>
    <t>Leave Passage &amp; Pay September  2020</t>
  </si>
  <si>
    <t>NMBM/000240</t>
  </si>
  <si>
    <t xml:space="preserve"> Staff Medical  September   2020</t>
  </si>
  <si>
    <t>NMBM/000237</t>
  </si>
  <si>
    <t>Workman's Compensation Fund September  2020</t>
  </si>
  <si>
    <t>NMBM/000246</t>
  </si>
  <si>
    <t>Staff Salaries October  2020</t>
  </si>
  <si>
    <t>Housing Allowance October 2020</t>
  </si>
  <si>
    <t>NMBM/000250</t>
  </si>
  <si>
    <t>NSSF Employer's Contribution for October 2020</t>
  </si>
  <si>
    <t>Leave Passage &amp; Pay October 2020</t>
  </si>
  <si>
    <t>NMBM/000248</t>
  </si>
  <si>
    <t xml:space="preserve"> Staff Medical  October  2020</t>
  </si>
  <si>
    <t>NMBM/000247</t>
  </si>
  <si>
    <t>Workman's Compensation Fund October 2020</t>
  </si>
  <si>
    <t>NMBM/000256</t>
  </si>
  <si>
    <t>Staff Salaries November 2020</t>
  </si>
  <si>
    <t>Housing Allowance November2020</t>
  </si>
  <si>
    <t>NMBM/000259</t>
  </si>
  <si>
    <t>NSSF Employer's Contribution for November2020</t>
  </si>
  <si>
    <t>Leave Passage &amp; Pay November2020</t>
  </si>
  <si>
    <t>NMBM/000260</t>
  </si>
  <si>
    <t xml:space="preserve"> Staff Medical  November 2020</t>
  </si>
  <si>
    <t>NMBM/000257</t>
  </si>
  <si>
    <t>Workman's Compensation Fund November2020</t>
  </si>
  <si>
    <t>NMBM/000285</t>
  </si>
  <si>
    <t>Staff Salaries December 2020</t>
  </si>
  <si>
    <t>Housing Allowance December2020</t>
  </si>
  <si>
    <t>NMBM/000286</t>
  </si>
  <si>
    <t>NSSF Employer's Contribution for December2020</t>
  </si>
  <si>
    <t>Leave Passage &amp; Pay December2020</t>
  </si>
  <si>
    <t>NMBM/000290</t>
  </si>
  <si>
    <t xml:space="preserve"> Staff Medical  December 2020</t>
  </si>
  <si>
    <t>NMBM/000291</t>
  </si>
  <si>
    <t>Workman's Compensation Fund December2020</t>
  </si>
  <si>
    <t>Totaal Accountant HQ (100%)</t>
  </si>
  <si>
    <t>Accountant -Mbeya 100%</t>
  </si>
  <si>
    <t>NMBM/000075</t>
  </si>
  <si>
    <t>Staff Salaries January 2020</t>
  </si>
  <si>
    <t>Enock Norbet Malihela</t>
  </si>
  <si>
    <t>Housing Allowance January 2020</t>
  </si>
  <si>
    <t>NMBM/000078</t>
  </si>
  <si>
    <t>NSSF Employer's Contribution for January 2020</t>
  </si>
  <si>
    <t>Leave Passage &amp; Pay January 2020</t>
  </si>
  <si>
    <t>NMBM/000079</t>
  </si>
  <si>
    <t xml:space="preserve"> Staff Medical January  2020</t>
  </si>
  <si>
    <t>National Health Insurance</t>
  </si>
  <si>
    <t>NMBM/000076</t>
  </si>
  <si>
    <t>Workman's Compensation Fund January 2020</t>
  </si>
  <si>
    <t>NMBM/000101</t>
  </si>
  <si>
    <t>Staff Salaries February  2020</t>
  </si>
  <si>
    <t>Housing Allowance February 2020</t>
  </si>
  <si>
    <t>NMBM/000103</t>
  </si>
  <si>
    <t>NSSF Employer's Contribution for February  2020</t>
  </si>
  <si>
    <t>Leave Passage &amp; Pay February  2020</t>
  </si>
  <si>
    <t>NMBM/000102</t>
  </si>
  <si>
    <t xml:space="preserve"> Staff Medical December  February  2020</t>
  </si>
  <si>
    <t>NMBM/000104</t>
  </si>
  <si>
    <t>Workman's Compensation Fund February  2020</t>
  </si>
  <si>
    <t xml:space="preserve"> Staff Medical    April  2020</t>
  </si>
  <si>
    <t>NSSF Employer's Contribution for May 2020</t>
  </si>
  <si>
    <t xml:space="preserve"> Staff Medical   May 2020</t>
  </si>
  <si>
    <t>Totaal Accountant -Mbeya 100%</t>
  </si>
  <si>
    <t>Admin - Bank charges HQ</t>
  </si>
  <si>
    <t>JV/TRCS/002210</t>
  </si>
  <si>
    <t>NMB</t>
  </si>
  <si>
    <t>JV/TRCS/001420</t>
  </si>
  <si>
    <t>JV/TRCS/001999</t>
  </si>
  <si>
    <t>JV/TRCS/002015</t>
  </si>
  <si>
    <t>JV/TRCS/002048</t>
  </si>
  <si>
    <t>Bank charges  July 2021 (HQ)</t>
  </si>
  <si>
    <t>JV/TRCS/00261</t>
  </si>
  <si>
    <t>Bank charges  August 20211 HQ</t>
  </si>
  <si>
    <t>JV/TRCS/002093</t>
  </si>
  <si>
    <t>Bank charge September 2021 HQ</t>
  </si>
  <si>
    <t>JV/TRCS/002209</t>
  </si>
  <si>
    <t>Bank charges  October 2021 (HQ)</t>
  </si>
  <si>
    <t>JV/TRCS/002230</t>
  </si>
  <si>
    <t>Bank charges  November  2021 (HQ)</t>
  </si>
  <si>
    <t>IRF/NDUTA/00257</t>
  </si>
  <si>
    <t>Bank chages December Nduta</t>
  </si>
  <si>
    <t>NMB bank</t>
  </si>
  <si>
    <t>JV/TRCS/002329</t>
  </si>
  <si>
    <t>Bank charges  December  2021 (HQ)</t>
  </si>
  <si>
    <t>IRF/NDUTA/00249</t>
  </si>
  <si>
    <t>Bank charges Jan 202 Nduta</t>
  </si>
  <si>
    <t>JV/TRCS/OO2397</t>
  </si>
  <si>
    <t>Bank charges  Jan  2022 (HQ)</t>
  </si>
  <si>
    <t>Totaal Admin - Bank charges HQ</t>
  </si>
  <si>
    <t>Admin - HQ staff/management -Monitoring and Supervision</t>
  </si>
  <si>
    <t>NMBM/000317</t>
  </si>
  <si>
    <t xml:space="preserve">Perdiem, field supervision </t>
  </si>
  <si>
    <t>Julius Kejo</t>
  </si>
  <si>
    <t>NMBM/000319</t>
  </si>
  <si>
    <t>Air ticket for Julius Kejo and Seki Kasuga during field supervision</t>
  </si>
  <si>
    <t>TRCS/001354</t>
  </si>
  <si>
    <t>Perdiem,Nduta mission handover with Medicine  San Frontieres(MSF)</t>
  </si>
  <si>
    <t>Hilary Ngude</t>
  </si>
  <si>
    <t>Air ticket Dsm/Kgm/Dsm-Handing over Nduta Health Post.</t>
  </si>
  <si>
    <t>TRCS/001355</t>
  </si>
  <si>
    <t>Doris Nsari</t>
  </si>
  <si>
    <t>Air ticket</t>
  </si>
  <si>
    <t>TRCS/001356</t>
  </si>
  <si>
    <t>Vivaoliva Shoo</t>
  </si>
  <si>
    <t>TRCS/001357</t>
  </si>
  <si>
    <t>Living Sikitu</t>
  </si>
  <si>
    <t>TRCS/001358</t>
  </si>
  <si>
    <t>Perdiem , staff orientation Nduta refugee camp</t>
  </si>
  <si>
    <t>TRCS/001359</t>
  </si>
  <si>
    <t>TRCS/001360</t>
  </si>
  <si>
    <t>John  Busungu</t>
  </si>
  <si>
    <t>TRCS/001361</t>
  </si>
  <si>
    <t>TRCS/001362</t>
  </si>
  <si>
    <t>Deogratius Kalimba</t>
  </si>
  <si>
    <t>TRCS/001363</t>
  </si>
  <si>
    <t>Perdiem, field supervision  Journalist</t>
  </si>
  <si>
    <t>Seki Kasuga</t>
  </si>
  <si>
    <t>IRF/NDUTA/00001</t>
  </si>
  <si>
    <t>Perdiem of Juma to Kigoma for 3 night  but at different trips</t>
  </si>
  <si>
    <t>Juma Bogoyo</t>
  </si>
  <si>
    <t>IRF/NDUTA/00002</t>
  </si>
  <si>
    <t>Perdiem  for Nyamizi for  attending  two days meeting to discuss nutrition issue at Nduta Camp</t>
  </si>
  <si>
    <t>Nyamizi Katunge</t>
  </si>
  <si>
    <t>IRF/NDUTA/00003</t>
  </si>
  <si>
    <t>Perdiem to team leader to accompany Nathalie to Nyarugusu during orientation week</t>
  </si>
  <si>
    <t>Athuman Mohamed Juma</t>
  </si>
  <si>
    <t>JV/TRCS/001958</t>
  </si>
  <si>
    <t>Perdiem orientation and supervision Nduta Camp</t>
  </si>
  <si>
    <t>JV/TRCS/001959</t>
  </si>
  <si>
    <t>JV/TRCS/001960</t>
  </si>
  <si>
    <t xml:space="preserve">  Air ticket for Busungu and Ngude supervision Nduta Camp</t>
  </si>
  <si>
    <t>IRF/NDUTA/00013</t>
  </si>
  <si>
    <t>Perdiem to driver Juma who sent Financial documents to DHL Kigoma</t>
  </si>
  <si>
    <t xml:space="preserve">Courier charge DHL </t>
  </si>
  <si>
    <t>DHL Tanzania</t>
  </si>
  <si>
    <t>IRF/NDUTA/00021</t>
  </si>
  <si>
    <t>Perdiem,Pre-qualification Makere</t>
  </si>
  <si>
    <t>Lilian.M.Mlagwa</t>
  </si>
  <si>
    <t>IRF/NDUTA/00022</t>
  </si>
  <si>
    <t>Perdiem , driver Pre-Qualification Ceremony</t>
  </si>
  <si>
    <t>Perdiem Juma Mbogoyo</t>
  </si>
  <si>
    <t>Perdiem- Shift/Transfer of Medicine to Ngaraganza Warehouse</t>
  </si>
  <si>
    <t>IRF/NDUTA/00023</t>
  </si>
  <si>
    <t>Perdiem pharmatheical technician to warehouse Ngaranganza</t>
  </si>
  <si>
    <t>Immaculatha.M.Madyane</t>
  </si>
  <si>
    <t>NMBP/00036/37</t>
  </si>
  <si>
    <t>Budgeting and planning for 2021</t>
  </si>
  <si>
    <t>IRF/NDUTA/00033</t>
  </si>
  <si>
    <t>IRF/NDUTA/00034</t>
  </si>
  <si>
    <t>Perdiem   team leader  to warehouse Ngaranganza</t>
  </si>
  <si>
    <t>IRF/NDUTA/00035</t>
  </si>
  <si>
    <t>Perdiem   driver  to warehouse Ngaranganza</t>
  </si>
  <si>
    <t>Boniventure John</t>
  </si>
  <si>
    <t>NMBP/00072</t>
  </si>
  <si>
    <t xml:space="preserve">Monitoring and interview </t>
  </si>
  <si>
    <t>NMBP/00074</t>
  </si>
  <si>
    <t xml:space="preserve">Airticket DAR/KGM </t>
  </si>
  <si>
    <t>Fromark Company ltd</t>
  </si>
  <si>
    <t>NMBP/00095</t>
  </si>
  <si>
    <t>Perdiem Supervision/Project Proposal for DHS-Kigoma</t>
  </si>
  <si>
    <t>IRF/NDUTA/00184</t>
  </si>
  <si>
    <t>Perdiem in Kigoma-Pick up for DHS.</t>
  </si>
  <si>
    <t>Bonaventure John Malaki</t>
  </si>
  <si>
    <t>IRF/NDUTA/00185</t>
  </si>
  <si>
    <t>Perdiem driving to Mwanza-Pick up for DSG.</t>
  </si>
  <si>
    <t>Stick Mater</t>
  </si>
  <si>
    <t>NMBP/00105</t>
  </si>
  <si>
    <t>Cost of Flight  return ticket in favor of Communication officer</t>
  </si>
  <si>
    <t>NMBP/00107</t>
  </si>
  <si>
    <t>Airticket Dsm/Kigoma/Dsm-Official Mission with BRC/RKV Team in favor of Hilary Ngude-DHS</t>
  </si>
  <si>
    <t>Rahma Masudi</t>
  </si>
  <si>
    <t>NMBP/00106</t>
  </si>
  <si>
    <t>Airticket Dsm/Kigoma/Dsm-Official Mission with BRC/RKV Team in favor of John Busungu-DSG</t>
  </si>
  <si>
    <t>NMBP/00115</t>
  </si>
  <si>
    <t>Perdiem Allowance to Kigoma-Official Mission with BRC/RKV Team</t>
  </si>
  <si>
    <t>Hillary Ngude</t>
  </si>
  <si>
    <t>NMBP/00116</t>
  </si>
  <si>
    <t>NMBP/00118</t>
  </si>
  <si>
    <t>Refund of airticket Dsm/Kigoma/Dsm-Official Mission with BRC/RKV Team</t>
  </si>
  <si>
    <t>Robi Wambura</t>
  </si>
  <si>
    <t>NMBP/00119</t>
  </si>
  <si>
    <t>IRF/NDUTA/00219</t>
  </si>
  <si>
    <t>Per diem of driver from Mwanza to Kigoma to pick BRC deligate to Mwanza airport</t>
  </si>
  <si>
    <t>Mwita Wambura</t>
  </si>
  <si>
    <t>Ferry Charges at Kamanga Ferry in  Mwanza during  coming/return trips,picking the  BRC delegate to Mwanza Airport.</t>
  </si>
  <si>
    <t>IRF/NDUTA/00241</t>
  </si>
  <si>
    <t>Per diem to pick producer for documentary at Nduta MWZ</t>
  </si>
  <si>
    <t xml:space="preserve">Amani Kaseza </t>
  </si>
  <si>
    <t>NMBP/00121</t>
  </si>
  <si>
    <t>Airticket Kigoma/Mwanza-Documentary Production</t>
  </si>
  <si>
    <t>MARIA MASOME</t>
  </si>
  <si>
    <t>IRF/NDUTA/00256</t>
  </si>
  <si>
    <t>Airticket Dsm/Kigoma/Dsm-Official Mission Monitoring/Supervision</t>
  </si>
  <si>
    <t>Fromark Company Limited</t>
  </si>
  <si>
    <t>Totaal Admin - HQ staff/management -Monitoring and Supervision</t>
  </si>
  <si>
    <t>Admin cum Logistic cordinator</t>
  </si>
  <si>
    <t>NMBP/00001</t>
  </si>
  <si>
    <t>Basic salary  February 2021</t>
  </si>
  <si>
    <t>Lilian Magesa Mlangwa</t>
  </si>
  <si>
    <t>NMBP/00002</t>
  </si>
  <si>
    <t>NSSF Employer's Contribution for February2021</t>
  </si>
  <si>
    <t>NMBP/00004</t>
  </si>
  <si>
    <t>NMBP/00013</t>
  </si>
  <si>
    <t>Basic salary  March 2021</t>
  </si>
  <si>
    <t>NMBP/00015</t>
  </si>
  <si>
    <t>NSSF Employer's Contribution for March2021</t>
  </si>
  <si>
    <t>NMBP/00017</t>
  </si>
  <si>
    <t>NMBP/00020</t>
  </si>
  <si>
    <t>Basic salary  April 2021</t>
  </si>
  <si>
    <t>NMBP/00022</t>
  </si>
  <si>
    <t>NSSF Employer's Contribution for April2021</t>
  </si>
  <si>
    <t>NMBP/00024</t>
  </si>
  <si>
    <t>Workman's Compensation Fund April 2021</t>
  </si>
  <si>
    <t>NMBP/00028</t>
  </si>
  <si>
    <t>Basic salary  May  2021</t>
  </si>
  <si>
    <t>NMBP/00031</t>
  </si>
  <si>
    <t>NSSF Employer's Contribution for May 2021</t>
  </si>
  <si>
    <t>NMBP/00032</t>
  </si>
  <si>
    <t>Workman's Compensation Fund May 2021</t>
  </si>
  <si>
    <t>NMBP/00038</t>
  </si>
  <si>
    <t>Basic salary  June 2021</t>
  </si>
  <si>
    <t>NMBP/00040</t>
  </si>
  <si>
    <t>NSSF Employer's Contribution for June2021</t>
  </si>
  <si>
    <t>NMBP/00041</t>
  </si>
  <si>
    <t>Workman's Compensation Fund June 2021</t>
  </si>
  <si>
    <t>NMBP/00046</t>
  </si>
  <si>
    <t>Basic salary  July2021</t>
  </si>
  <si>
    <t>NMBP/00049</t>
  </si>
  <si>
    <t>NSSF Employer's Contribution for July2021</t>
  </si>
  <si>
    <t>NMBP/00047</t>
  </si>
  <si>
    <t>Workman's Compensation Fund July2021</t>
  </si>
  <si>
    <t>NMBP/00055</t>
  </si>
  <si>
    <t>Basic salary  August 2021</t>
  </si>
  <si>
    <t>Immaculata Madyana</t>
  </si>
  <si>
    <t>NMBP/00057</t>
  </si>
  <si>
    <t>NSSF Employer's Contribution for August 2021</t>
  </si>
  <si>
    <t>NMBP/00058</t>
  </si>
  <si>
    <t>Workman's Compensation Fund August 2021</t>
  </si>
  <si>
    <t>NMBP/00061</t>
  </si>
  <si>
    <t>Basic salary  September  2021</t>
  </si>
  <si>
    <t>NMBP/00062</t>
  </si>
  <si>
    <t>NSSF  September  2021</t>
  </si>
  <si>
    <t>NMBP/00063</t>
  </si>
  <si>
    <t>WCF  September  2021</t>
  </si>
  <si>
    <t>NMBP/00075</t>
  </si>
  <si>
    <t>Basic salary  October  2021</t>
  </si>
  <si>
    <t>NMBP/00076</t>
  </si>
  <si>
    <t>NSSF  October  2021</t>
  </si>
  <si>
    <t>NMBP/00077</t>
  </si>
  <si>
    <t>WCF  October  2021</t>
  </si>
  <si>
    <t>NMBP/00084</t>
  </si>
  <si>
    <t>Basic salary  November  2021</t>
  </si>
  <si>
    <t>NMBP/00086</t>
  </si>
  <si>
    <t>NSSF  November   2021</t>
  </si>
  <si>
    <t>NMBP/00089</t>
  </si>
  <si>
    <t>WCF  Novembeer  2021</t>
  </si>
  <si>
    <t>NMBP/00098</t>
  </si>
  <si>
    <t>Basic salary  December  2021</t>
  </si>
  <si>
    <t>NMBP/00109</t>
  </si>
  <si>
    <t>NSSF  December   2021</t>
  </si>
  <si>
    <t>NMBP/00108</t>
  </si>
  <si>
    <t>WCF  December  2021</t>
  </si>
  <si>
    <t>NMBP/00126</t>
  </si>
  <si>
    <t>Basic salary  January2022.</t>
  </si>
  <si>
    <t>NMBP/00127</t>
  </si>
  <si>
    <t>NSSF January 2022.</t>
  </si>
  <si>
    <t>NMBP/00129</t>
  </si>
  <si>
    <t>WCF January 2022.</t>
  </si>
  <si>
    <t>Totaal Admin cum Logistic cordinator</t>
  </si>
  <si>
    <t>Assistant pharmatheceutical technician</t>
  </si>
  <si>
    <t>Victor Kwangu Francis</t>
  </si>
  <si>
    <t>Lucy John Bee</t>
  </si>
  <si>
    <t>NSSF Employer's Contribution for September  2021</t>
  </si>
  <si>
    <t>Workman's Compensation Fund September  2021</t>
  </si>
  <si>
    <t>NSSF Employer's Contribution for October  2021</t>
  </si>
  <si>
    <t>Workman's Compensation Fund October  2021</t>
  </si>
  <si>
    <t>Joyce Denis Moyp</t>
  </si>
  <si>
    <t>Richard Minja Beda</t>
  </si>
  <si>
    <t>Basic salary  November   2021</t>
  </si>
  <si>
    <t>NSSF Employer's Contribution for November  2021</t>
  </si>
  <si>
    <t>Workman's Compensation Fund November   2021</t>
  </si>
  <si>
    <t>Basic salary  December   2021</t>
  </si>
  <si>
    <t>NSSF Employer's Contribution for December  2021</t>
  </si>
  <si>
    <t>Workman's Compensation Fund December   2021</t>
  </si>
  <si>
    <t>Totaal Assistant pharmatheceutical technician</t>
  </si>
  <si>
    <t>TRCS/000657</t>
  </si>
  <si>
    <t>Bank charges HQ Junuary 2020</t>
  </si>
  <si>
    <t>Bank charges HQ February  2020</t>
  </si>
  <si>
    <t>Bank charges HQ March 2020</t>
  </si>
  <si>
    <t>TRCS/000740</t>
  </si>
  <si>
    <t>Bank charge HQ April 2020</t>
  </si>
  <si>
    <t>TRCS/000816</t>
  </si>
  <si>
    <t>Bank charge HQ May 2020</t>
  </si>
  <si>
    <t>TRCS/000839</t>
  </si>
  <si>
    <t>Bank charge HQ June 2020</t>
  </si>
  <si>
    <t>TRCS/000884</t>
  </si>
  <si>
    <t>Bank Charge July 2020</t>
  </si>
  <si>
    <t>TRCS/000866</t>
  </si>
  <si>
    <t>bank Charge August  2020</t>
  </si>
  <si>
    <t>TRCS/000908</t>
  </si>
  <si>
    <t>bank Charge September  2020</t>
  </si>
  <si>
    <t>TRCS/000956</t>
  </si>
  <si>
    <t>Bank charge July 2020- Mbeya</t>
  </si>
  <si>
    <t>TRCS/000955</t>
  </si>
  <si>
    <t>Bank charges August 2020 -Mbeya</t>
  </si>
  <si>
    <t>TRCS/001283</t>
  </si>
  <si>
    <t>Bank charges September  2020 -Mbeya</t>
  </si>
  <si>
    <t>TRCS/000959</t>
  </si>
  <si>
    <t>Bank Charge October 2020</t>
  </si>
  <si>
    <t>TRCS/001133</t>
  </si>
  <si>
    <t>Bank Charge November  2020</t>
  </si>
  <si>
    <t>TRCS/001225</t>
  </si>
  <si>
    <t>Bank charge December 2020</t>
  </si>
  <si>
    <t>TRCS/001284</t>
  </si>
  <si>
    <t>Bank charges October  2020 -Mbeya</t>
  </si>
  <si>
    <t>31/11/2020</t>
  </si>
  <si>
    <t>TRCS/000985</t>
  </si>
  <si>
    <t>Bank charges November 2020 -Mbeya</t>
  </si>
  <si>
    <t>TRCS/000986</t>
  </si>
  <si>
    <t>Bank charges December  2020 -Mbeya</t>
  </si>
  <si>
    <t>bank charges for HQ and 1 region</t>
  </si>
  <si>
    <t>JV/TRCS/001262</t>
  </si>
  <si>
    <t>bank charges January 2021</t>
  </si>
  <si>
    <t>IRF/DPIII/00053</t>
  </si>
  <si>
    <t>bank charges January 2021 Mbeya</t>
  </si>
  <si>
    <t>JV/TRCS/001286</t>
  </si>
  <si>
    <t>bank charges February 2021</t>
  </si>
  <si>
    <t>IRF/DPIII/00054</t>
  </si>
  <si>
    <t>bank charges February 2021 Mbeya</t>
  </si>
  <si>
    <t>JV/TRCS/001362</t>
  </si>
  <si>
    <t>bank charges March 2021</t>
  </si>
  <si>
    <t>bank charges March 2021 Mbeya</t>
  </si>
  <si>
    <t>JV/TRCS/002198</t>
  </si>
  <si>
    <t>bank charges April 2021</t>
  </si>
  <si>
    <t>IRF/DPIII/00073</t>
  </si>
  <si>
    <t>bank charges April 2021 Mbeya</t>
  </si>
  <si>
    <t>JV/TRCS/001989</t>
  </si>
  <si>
    <t>bank charges May2021</t>
  </si>
  <si>
    <t>IRF/DPIII/00074</t>
  </si>
  <si>
    <t>bank charges May2021 Mbeya</t>
  </si>
  <si>
    <t>JV/TRCS/002206</t>
  </si>
  <si>
    <t>bank charges June 2021</t>
  </si>
  <si>
    <t>IRF/DPIII/00075</t>
  </si>
  <si>
    <t>bank charges June 2021 Mbeya</t>
  </si>
  <si>
    <t>JV/TRCS/002057</t>
  </si>
  <si>
    <t>bank charges July 2021</t>
  </si>
  <si>
    <t>JV/TRCS/002208</t>
  </si>
  <si>
    <t>IRF/DPIII/00076</t>
  </si>
  <si>
    <t>bank charges July 2021 Mbeya</t>
  </si>
  <si>
    <t>JV/TRCS/002245</t>
  </si>
  <si>
    <t>bank charges August 2021</t>
  </si>
  <si>
    <t>IRF/DPIII/00077</t>
  </si>
  <si>
    <t>bank charges August 2021 Mbeya</t>
  </si>
  <si>
    <t>JV/TRCS/002082</t>
  </si>
  <si>
    <t>bank charges September 2021</t>
  </si>
  <si>
    <t>IRF/DPIII/00078</t>
  </si>
  <si>
    <t>bank charges September 2021 Mbeya</t>
  </si>
  <si>
    <t>JV/TRCS/002185</t>
  </si>
  <si>
    <t>bank charges October 2021</t>
  </si>
  <si>
    <t>IRF/DPIII/00081</t>
  </si>
  <si>
    <t>bank charges October 2021 Mbeya</t>
  </si>
  <si>
    <t>JV/TRCS/002343</t>
  </si>
  <si>
    <t>bank charges November 2021</t>
  </si>
  <si>
    <t>IRF/DPIII/00088</t>
  </si>
  <si>
    <t>bank charges November 2021 Mbeya</t>
  </si>
  <si>
    <t>IRF/DPIII/00089</t>
  </si>
  <si>
    <t>bank charges December 2021 Mbeya</t>
  </si>
  <si>
    <t>JV/TRCS/002345</t>
  </si>
  <si>
    <t>bank charges December 2021</t>
  </si>
  <si>
    <t>JV/TRCS/002418</t>
  </si>
  <si>
    <t>Bank Charges for January2022</t>
  </si>
  <si>
    <t>Totaal Bank charges for HQ and 1 region</t>
  </si>
  <si>
    <t>Clinical Officer</t>
  </si>
  <si>
    <t>Said Kashidi Maliki</t>
  </si>
  <si>
    <t>Adiath A Shuza</t>
  </si>
  <si>
    <t>Benedetha Makinda</t>
  </si>
  <si>
    <t>Emanuel Zephania</t>
  </si>
  <si>
    <t>Nahason Nelson</t>
  </si>
  <si>
    <t>Safari Batholomeo Mwija</t>
  </si>
  <si>
    <t>Lucy Pascal Thomas</t>
  </si>
  <si>
    <t>Theresia Vicent</t>
  </si>
  <si>
    <t>John Daud Koman</t>
  </si>
  <si>
    <t>Daima Japhet Majura</t>
  </si>
  <si>
    <t>Martin Fikiri Gabriely</t>
  </si>
  <si>
    <t>Yusuf A Msuya</t>
  </si>
  <si>
    <t>Mwanahawa  Chitanda</t>
  </si>
  <si>
    <t>Daud Laizer</t>
  </si>
  <si>
    <t>Mwamvita Malongo</t>
  </si>
  <si>
    <t>Mukhtari Kasongo</t>
  </si>
  <si>
    <t>Jeremia Charles Chemsei</t>
  </si>
  <si>
    <t>Khadija Hamza</t>
  </si>
  <si>
    <t>Jeremia Charles</t>
  </si>
  <si>
    <t>Hilali Ntahoka Mbonye</t>
  </si>
  <si>
    <t>Rosemary  Mkambe</t>
  </si>
  <si>
    <t>WCF December  2021</t>
  </si>
  <si>
    <t>WCF  Decembeer  2021</t>
  </si>
  <si>
    <t>Totaal Clinical Officer</t>
  </si>
  <si>
    <t>Clinical Officer incharge</t>
  </si>
  <si>
    <t>Benjamin Adina</t>
  </si>
  <si>
    <t>Peter Tuselya</t>
  </si>
  <si>
    <t>Benjamini Adina</t>
  </si>
  <si>
    <t>Totaal Clinical Officer incharge</t>
  </si>
  <si>
    <t>NMBM/00068</t>
  </si>
  <si>
    <t>Staff airtime January 2020</t>
  </si>
  <si>
    <t>TRCS Staff</t>
  </si>
  <si>
    <t>NMBM/00083</t>
  </si>
  <si>
    <t>Staff airtime February 2020</t>
  </si>
  <si>
    <t>NMBM/000107</t>
  </si>
  <si>
    <t>Staff airtime March 2020</t>
  </si>
  <si>
    <t>NMBM/000113</t>
  </si>
  <si>
    <t>Wireless dual band 4G lte Router</t>
  </si>
  <si>
    <t>Laptop city Limited</t>
  </si>
  <si>
    <t>NMBM/000121</t>
  </si>
  <si>
    <t>Staff airtime April  2020</t>
  </si>
  <si>
    <t>NMBM/000122</t>
  </si>
  <si>
    <t>Staff airtime May  2020</t>
  </si>
  <si>
    <t>Staff airtime June  2020</t>
  </si>
  <si>
    <t>NMBM/000174</t>
  </si>
  <si>
    <t>Staff airtime July 2020</t>
  </si>
  <si>
    <t>TRCS staff</t>
  </si>
  <si>
    <t>NMBM/000213</t>
  </si>
  <si>
    <t>Staff airtime August 2020</t>
  </si>
  <si>
    <t>NMBM/000226</t>
  </si>
  <si>
    <t>Staff airtime September 2020</t>
  </si>
  <si>
    <t>NMBM/000242</t>
  </si>
  <si>
    <t>Staff airtime October 2020</t>
  </si>
  <si>
    <t>NMBM/000253</t>
  </si>
  <si>
    <t>Staff airtime November  2020</t>
  </si>
  <si>
    <t>NMBM/000274</t>
  </si>
  <si>
    <t>Staff airtime December  2020</t>
  </si>
  <si>
    <t>NMBM/000294</t>
  </si>
  <si>
    <t>Airtime and Internet January 2021</t>
  </si>
  <si>
    <t>NMBM/000310</t>
  </si>
  <si>
    <t>Airtime and Internet February 2021</t>
  </si>
  <si>
    <t>NMBM/000329</t>
  </si>
  <si>
    <t>Airtime and Internet March 2021</t>
  </si>
  <si>
    <t>NMBM/000309</t>
  </si>
  <si>
    <t>Airtime and internet April 2021</t>
  </si>
  <si>
    <t>NMBM/000382</t>
  </si>
  <si>
    <t>Airtime and internet May 2021</t>
  </si>
  <si>
    <t>NMBM/000389</t>
  </si>
  <si>
    <t>Airtime and internet June 2021</t>
  </si>
  <si>
    <t>NMBM/000351</t>
  </si>
  <si>
    <t>Airtiime and internet July  2021</t>
  </si>
  <si>
    <t>NMBM/000457</t>
  </si>
  <si>
    <t>Airtime and internet October 2021</t>
  </si>
  <si>
    <t>NMBM/000493</t>
  </si>
  <si>
    <t>Internet fee for December 2021</t>
  </si>
  <si>
    <t>Raha Telecom</t>
  </si>
  <si>
    <t>NMBM/000494</t>
  </si>
  <si>
    <t>NMBM/000480</t>
  </si>
  <si>
    <t>Airtime and internet December 2021</t>
  </si>
  <si>
    <t>Totaal Communication and internet  (air time and internet - Mbeya + HQ)</t>
  </si>
  <si>
    <t>IFRF/DPIIII/00060</t>
  </si>
  <si>
    <t>Transport refund during dissemination of early warning protocal</t>
  </si>
  <si>
    <t>Fuel</t>
  </si>
  <si>
    <t>Nassor Service station co Ltd</t>
  </si>
  <si>
    <t>Refreshment</t>
  </si>
  <si>
    <t>New steak inn Restraurant</t>
  </si>
  <si>
    <t>Stationary</t>
  </si>
  <si>
    <t>Two star general supplies</t>
  </si>
  <si>
    <t>Postage</t>
  </si>
  <si>
    <t>Tanzania Posts Corporation</t>
  </si>
  <si>
    <t>Totaal Communication of early warning messages</t>
  </si>
  <si>
    <t>Mashaka James</t>
  </si>
  <si>
    <t>Totaal Communication officer HQ (30%)</t>
  </si>
  <si>
    <t>Conduct a Branch Disaster Response Training training</t>
  </si>
  <si>
    <t>NMBM/000420</t>
  </si>
  <si>
    <t>Allowances for 20 staff and volunteers attending Branch Disaster Response Training training in Kyela from 23rd to 28th August 2021</t>
  </si>
  <si>
    <t>20 volunteers</t>
  </si>
  <si>
    <t>NMBM/000421</t>
  </si>
  <si>
    <t>Allowance for 20 staff and volunteers during Branch Disaster Response Training</t>
  </si>
  <si>
    <t>IFRF/DPIII/00069</t>
  </si>
  <si>
    <t>Fuel used during RCCE activities in Dar Es Salaam</t>
  </si>
  <si>
    <t>Nassor service station co Ltd</t>
  </si>
  <si>
    <t>NMBM/000413</t>
  </si>
  <si>
    <t>Perdiem while facilitating Branch Disaster Response Training training Kyela</t>
  </si>
  <si>
    <t>NMBM/000415</t>
  </si>
  <si>
    <t>Jonston Weston Weston</t>
  </si>
  <si>
    <t>NMBM/000416</t>
  </si>
  <si>
    <t>Assorted stationery items for Branch Disaster Response Training training in Kyela</t>
  </si>
  <si>
    <t>Mnyika Stationary</t>
  </si>
  <si>
    <t>Fuel Kyela /Mbeya</t>
  </si>
  <si>
    <t>Nassor service station</t>
  </si>
  <si>
    <t>NMBM/000431</t>
  </si>
  <si>
    <t>Allowance and Transport Branch Disaster Response Training in Kyela</t>
  </si>
  <si>
    <t>NMBM/000438</t>
  </si>
  <si>
    <t>Air ticket Jonston and Vivaoliva DAR/Mbeya</t>
  </si>
  <si>
    <t>21/09/201</t>
  </si>
  <si>
    <t>NMBM/000443</t>
  </si>
  <si>
    <t>Conference package for Branch Disaster Response Training training Kyela</t>
  </si>
  <si>
    <t>KingSolomon Hotel</t>
  </si>
  <si>
    <t>NMBM/000492</t>
  </si>
  <si>
    <t>Supply of HP Toner 35A and Tonner for HP laserjet 2035</t>
  </si>
  <si>
    <t>Dilo's Investment ltd</t>
  </si>
  <si>
    <t>NMBM/000503</t>
  </si>
  <si>
    <t>Mantainance of Nashutec Copier Machine Ltd</t>
  </si>
  <si>
    <t>Hub Network Limited</t>
  </si>
  <si>
    <t>NMBM/000504</t>
  </si>
  <si>
    <t>Supply of 4 pieces of tonner 410A black, yellow, cyan and magenta</t>
  </si>
  <si>
    <t>Akala Microsolution ltd</t>
  </si>
  <si>
    <t>Totaal Conduct a Branch Disaster Response Training training</t>
  </si>
  <si>
    <t>IRF/DPIII/00037</t>
  </si>
  <si>
    <t>Perdiem VCA TOT training Morogoro</t>
  </si>
  <si>
    <t>Devotha Bihume</t>
  </si>
  <si>
    <t>IRF/DPIII/00038</t>
  </si>
  <si>
    <t>Anna Lukele</t>
  </si>
  <si>
    <t>IRF/DPIII/00039</t>
  </si>
  <si>
    <t>IRF/DPIII/00033</t>
  </si>
  <si>
    <t>IRF/DPIII/00041</t>
  </si>
  <si>
    <t>IRF/DPIII/00036</t>
  </si>
  <si>
    <t>IRF/DPIII/00034</t>
  </si>
  <si>
    <t>Janeth Burton Slyimbo</t>
  </si>
  <si>
    <t>IRF/DPIII/00040</t>
  </si>
  <si>
    <t>Jonston Weston</t>
  </si>
  <si>
    <t>IRF/DPIII/00035</t>
  </si>
  <si>
    <t>Naomi Mbesere</t>
  </si>
  <si>
    <t>IRF/DPIII/00042</t>
  </si>
  <si>
    <t>Participants</t>
  </si>
  <si>
    <t xml:space="preserve"> Volunteer allowances VCA TOT training Morogoro</t>
  </si>
  <si>
    <t>Totaal Conduct a VCA TOT training on BDRT and NDRT level.</t>
  </si>
  <si>
    <t>IRF/DPIII/00021</t>
  </si>
  <si>
    <t>Perdiem allowances CBHFA training Mbeya</t>
  </si>
  <si>
    <t>Transport refund to participants</t>
  </si>
  <si>
    <t>Battery replacement</t>
  </si>
  <si>
    <t>Ezekiel General traders</t>
  </si>
  <si>
    <t>Tanzania posts corporation</t>
  </si>
  <si>
    <t>Stationery cost</t>
  </si>
  <si>
    <t>Shammah Development company</t>
  </si>
  <si>
    <t>NMBM/00061</t>
  </si>
  <si>
    <t>Felician Mutahingirwa</t>
  </si>
  <si>
    <t>NMBM/00060</t>
  </si>
  <si>
    <t>Deogratius Polycalp</t>
  </si>
  <si>
    <t>NMBM/00062</t>
  </si>
  <si>
    <t>Magreth D. Lugaka</t>
  </si>
  <si>
    <t>NMBM/00063</t>
  </si>
  <si>
    <t>Joston Weston</t>
  </si>
  <si>
    <t>IRF/DPIII/00022</t>
  </si>
  <si>
    <t>Tax hire CBHFA training Mbeya</t>
  </si>
  <si>
    <t>Holiday Markers</t>
  </si>
  <si>
    <t>Facilitator allowances CBHFA training Mbeya</t>
  </si>
  <si>
    <t>Denis  Mwesige</t>
  </si>
  <si>
    <t>Facilitator accommodation  CBHFA training Mbeya</t>
  </si>
  <si>
    <t>GR City Hotel</t>
  </si>
  <si>
    <t>Conference package CBHFA training Mbeya</t>
  </si>
  <si>
    <t>NMBM/00073</t>
  </si>
  <si>
    <t>Hotel accommodation for facilitator CBHFA training</t>
  </si>
  <si>
    <t>NMBM/00074</t>
  </si>
  <si>
    <t>Mileage bill for transport cost CBHFA training</t>
  </si>
  <si>
    <t xml:space="preserve">TRCS Motor Vehicle </t>
  </si>
  <si>
    <t>NMBM/00082</t>
  </si>
  <si>
    <t>NMBM/000109</t>
  </si>
  <si>
    <t>Aiticket for facilitator CBHFA training Mbeya/DAR</t>
  </si>
  <si>
    <t>Cross World Travel Agent ltd</t>
  </si>
  <si>
    <t>05/03,2020</t>
  </si>
  <si>
    <t>NMBM/000110</t>
  </si>
  <si>
    <t>Air ticket facilitator DAR/ENTEBE</t>
  </si>
  <si>
    <t>Totaal Conduct Trainer of trainers for CBHFA facilitators (3 from Mbeya, 10 NDRT, 4 staff)</t>
  </si>
  <si>
    <t>IRF/DPIII/00050</t>
  </si>
  <si>
    <t xml:space="preserve">Volunteer allowance </t>
  </si>
  <si>
    <t>Manyanyas  &amp;Nassor</t>
  </si>
  <si>
    <t>Stationaries</t>
  </si>
  <si>
    <t>Jairo Kyando</t>
  </si>
  <si>
    <t>Rungwe Express</t>
  </si>
  <si>
    <t>NMBM/000281</t>
  </si>
  <si>
    <t>Purchase of land for office building at Mbeya</t>
  </si>
  <si>
    <t>Rehema Shilindilo</t>
  </si>
  <si>
    <t>NMBM/000282</t>
  </si>
  <si>
    <t>Purchase of land for office building at Jackson Mwangonela</t>
  </si>
  <si>
    <t>Jackson Mwangonela</t>
  </si>
  <si>
    <t>NMBM/000283</t>
  </si>
  <si>
    <t xml:space="preserve">Purchase of land for office building </t>
  </si>
  <si>
    <t>Rozina Mwaipopo</t>
  </si>
  <si>
    <t>NMBM/000284</t>
  </si>
  <si>
    <t>Contribution to LGA 10%</t>
  </si>
  <si>
    <t>Ruzuku Account</t>
  </si>
  <si>
    <t>NMBM/000371</t>
  </si>
  <si>
    <t>Design and preparation of Bill of Quantities for TRCS office construction in Mbeya</t>
  </si>
  <si>
    <t xml:space="preserve">Popular Architects </t>
  </si>
  <si>
    <t>NMBM/000458</t>
  </si>
  <si>
    <t>First payment - TRCS  office construction in  Mbeya</t>
  </si>
  <si>
    <t xml:space="preserve">Gogam Construction </t>
  </si>
  <si>
    <t>NMBM/0004559</t>
  </si>
  <si>
    <t>Withholding tax for first payment - TRCS office construction</t>
  </si>
  <si>
    <t>NMBM/000546</t>
  </si>
  <si>
    <t>Payment for construction  of office block at Igawilo in Mbeya regional</t>
  </si>
  <si>
    <t>Gogam construction</t>
  </si>
  <si>
    <t>NMBM/000547</t>
  </si>
  <si>
    <t>Withholding tax on construction of office in Igawilo Mbeya</t>
  </si>
  <si>
    <t>Commisioner for Domestic revenue</t>
  </si>
  <si>
    <t>Totaal Construction of Mbeya TRCS office</t>
  </si>
  <si>
    <t>NMBM/00098</t>
  </si>
  <si>
    <t>Office rent Kyela office</t>
  </si>
  <si>
    <t>Tanzania Fisheries Researh Institute</t>
  </si>
  <si>
    <t>NMBM/00099</t>
  </si>
  <si>
    <t xml:space="preserve"> Withholding tax -Office rent Kyela office</t>
  </si>
  <si>
    <t>NMBM/00065</t>
  </si>
  <si>
    <t>Internet service charge</t>
  </si>
  <si>
    <t>Tanzania Telecommunication Services</t>
  </si>
  <si>
    <t>NMBM/00066</t>
  </si>
  <si>
    <t xml:space="preserve">Mileage Bill </t>
  </si>
  <si>
    <t>Tanzania Red Cross Society</t>
  </si>
  <si>
    <t>NMBM/00067</t>
  </si>
  <si>
    <t>Air ticket-Nicodemus Nkiami</t>
  </si>
  <si>
    <t>JMD Travel Services</t>
  </si>
  <si>
    <t>NMBM/00092</t>
  </si>
  <si>
    <t>Airticket to Support TRCS presdent trip</t>
  </si>
  <si>
    <t>NMBM/00093</t>
  </si>
  <si>
    <t>TANESCO ltd</t>
  </si>
  <si>
    <t>NMBM/000095</t>
  </si>
  <si>
    <t>Mileage cost for HQ</t>
  </si>
  <si>
    <t>NMBM/00070</t>
  </si>
  <si>
    <t>Office rent Mbeya office</t>
  </si>
  <si>
    <t>Airport Village lodge ltd</t>
  </si>
  <si>
    <t>NMBM/000100</t>
  </si>
  <si>
    <t>IRF/DPIII/00025</t>
  </si>
  <si>
    <t>Refund of fuel -National Executive Committee (NEC) meeting</t>
  </si>
  <si>
    <t>Various</t>
  </si>
  <si>
    <t>Air ticket for President of TRCS</t>
  </si>
  <si>
    <t>Air Tanzania /Auric Air</t>
  </si>
  <si>
    <t>Perdiem allowances -NEC Members</t>
  </si>
  <si>
    <t>NEC Members</t>
  </si>
  <si>
    <t>Transport allowances -NEC member Dar es salaam</t>
  </si>
  <si>
    <t>Perdiem allowances -NEC Members on transit</t>
  </si>
  <si>
    <t xml:space="preserve">Perdiem allowances </t>
  </si>
  <si>
    <t>Transport allowance -NEC members</t>
  </si>
  <si>
    <t>Air ticket for NEC members</t>
  </si>
  <si>
    <t>NMBM/00052</t>
  </si>
  <si>
    <t>Office furnitures Mbeya Kyela office</t>
  </si>
  <si>
    <t>New Jerifashion</t>
  </si>
  <si>
    <t>NMBM/000214</t>
  </si>
  <si>
    <t>Electricity bill July 2020</t>
  </si>
  <si>
    <t>Tanzania Red Cross(TANASCO)</t>
  </si>
  <si>
    <t>IIRF/DPIII/00046</t>
  </si>
  <si>
    <t>Security expenses March &amp; April 2020 Kisutu building</t>
  </si>
  <si>
    <t>Solar Security Service</t>
  </si>
  <si>
    <t>Internet charges and NAVISION costs</t>
  </si>
  <si>
    <t xml:space="preserve">Tanzania Telecommunications corporation </t>
  </si>
  <si>
    <t>Maintanance Director Disaster Management office</t>
  </si>
  <si>
    <t>Furniture Centre (DSM)</t>
  </si>
  <si>
    <t xml:space="preserve">Maintanance Governance office </t>
  </si>
  <si>
    <t>Telephone charges July 2020</t>
  </si>
  <si>
    <t>Tanzania Telecommunication Corporation</t>
  </si>
  <si>
    <t>Maintanance DSG's office</t>
  </si>
  <si>
    <t>Amistar Service and General supply</t>
  </si>
  <si>
    <t>Security charges TRCS HQ  June 2020</t>
  </si>
  <si>
    <t>Kiwango Security Guards</t>
  </si>
  <si>
    <t>Security charges TRCS HQ  July 2020</t>
  </si>
  <si>
    <t>Security charges TRCS HQ  August 2020</t>
  </si>
  <si>
    <t>Security  Charge TRCS HQ  September 2020</t>
  </si>
  <si>
    <t>Security  Charges Warehouse Dodoma(June &amp;July 2020)</t>
  </si>
  <si>
    <t>Yange Security Guards</t>
  </si>
  <si>
    <t>NMBM/000263</t>
  </si>
  <si>
    <t>Electricity bill October 2020 (Cost sharing)</t>
  </si>
  <si>
    <t>NMBM/000321</t>
  </si>
  <si>
    <t>Tanzania Fisheries Research institute</t>
  </si>
  <si>
    <t>NMBM/000506</t>
  </si>
  <si>
    <t>Hygiene Services at TRCS Headquarters</t>
  </si>
  <si>
    <t>Rentokil Initial</t>
  </si>
  <si>
    <t>NMBM/000505</t>
  </si>
  <si>
    <t>NMBM/000497</t>
  </si>
  <si>
    <t>NMBM/000496</t>
  </si>
  <si>
    <t>NMBM/000495</t>
  </si>
  <si>
    <t>NMBM/000500</t>
  </si>
  <si>
    <t>Parota Pest Control</t>
  </si>
  <si>
    <t>NMBM/000499</t>
  </si>
  <si>
    <t>Jas Inter Trade</t>
  </si>
  <si>
    <t>NMBM/000508</t>
  </si>
  <si>
    <t>Gabbage Collection Fee November 2021</t>
  </si>
  <si>
    <t>Gin Investment Ltd</t>
  </si>
  <si>
    <t>NMBM/000507</t>
  </si>
  <si>
    <t>Gabbage Collection Fee October 2021</t>
  </si>
  <si>
    <t>NMBM/000514</t>
  </si>
  <si>
    <t>September 2021 Electricity Bill</t>
  </si>
  <si>
    <t>Tanzania Electricity Supply Company</t>
  </si>
  <si>
    <t>NMBM/000502</t>
  </si>
  <si>
    <t>November 2021 Security Fee</t>
  </si>
  <si>
    <t>Kiwango Security Guards (T) Ltd</t>
  </si>
  <si>
    <t>NMBM/000501</t>
  </si>
  <si>
    <t>July 2021 Security Fee</t>
  </si>
  <si>
    <t>NMBM/000498</t>
  </si>
  <si>
    <t>Security Services</t>
  </si>
  <si>
    <t>Yange Security Guards Co. Ltd</t>
  </si>
  <si>
    <t>NMBM/000518</t>
  </si>
  <si>
    <t>Security Services for August 2021</t>
  </si>
  <si>
    <t>NMBM/000519</t>
  </si>
  <si>
    <t>Witholding Tax for August 2021 Security Services</t>
  </si>
  <si>
    <t>Tanzania Revenue Authority</t>
  </si>
  <si>
    <t>NMBM/000517</t>
  </si>
  <si>
    <t>Witholding Tax for September-November 2021 Security Services</t>
  </si>
  <si>
    <t>NMBM/000516</t>
  </si>
  <si>
    <t>Witholding Tax for November 2021 Security Services</t>
  </si>
  <si>
    <t>NMBM/000515</t>
  </si>
  <si>
    <t>Witholding Tax for July 2021 Security Services</t>
  </si>
  <si>
    <t>Totaal Contribution to electricity/security/water/webhosting/World RC Day/… (core)</t>
  </si>
  <si>
    <t>AANK2000263</t>
  </si>
  <si>
    <t>Rental office</t>
  </si>
  <si>
    <t>TANZANIA RED CROSS SOCIETY</t>
  </si>
  <si>
    <t>AANK2000464</t>
  </si>
  <si>
    <t>RENT OFFICE JULY - SEPT</t>
  </si>
  <si>
    <t>AANK2000655</t>
  </si>
  <si>
    <t>RENT OFFICE OKT - DEC</t>
  </si>
  <si>
    <t>AANK2000195</t>
  </si>
  <si>
    <t>Rent PM Q2.2020</t>
  </si>
  <si>
    <t>BASIL A SAPRAPASEN</t>
  </si>
  <si>
    <t xml:space="preserve"> AANK2000389</t>
  </si>
  <si>
    <t>DLG5$ OFFICE 01/07-30/09/20 - AANK2000389</t>
  </si>
  <si>
    <t xml:space="preserve"> AANK2000195</t>
  </si>
  <si>
    <t>BK DLG5$OFFICE 001/04-30/06/2020 - AANK2000195</t>
  </si>
  <si>
    <t>WK DLG5$OFFICE 001/04-30/06/2020 - AANK2000195</t>
  </si>
  <si>
    <t>DIV200230</t>
  </si>
  <si>
    <t>DLG9$HUUR GEBOUW 01/01/2020-30/03/2020</t>
  </si>
  <si>
    <t>DIV200233</t>
  </si>
  <si>
    <t>WK DLG9$HUUR GEBOUW 01/01/2020 - 30/03/2020</t>
  </si>
  <si>
    <t>BK DLG9$HUUR GEBOUW 01/01/2020 - 30/03/2020</t>
  </si>
  <si>
    <t>DIV200327</t>
  </si>
  <si>
    <t>AANK2000615 met andere project</t>
  </si>
  <si>
    <t>DIV200663</t>
  </si>
  <si>
    <t>INTL-014580-KBC828920000027-TANZANIA RED CROSS SOCIETY (1414)</t>
  </si>
  <si>
    <t>INTL-014919-KBC828920000028-AANK2000464-RENT OFFICE JULY - SEPT</t>
  </si>
  <si>
    <t>KBC828920000018</t>
  </si>
  <si>
    <t>TANZANIA RED CROSS SOCIETY 1399</t>
  </si>
  <si>
    <t>BK TANZANIA RED CROSS SOCIETY 1399</t>
  </si>
  <si>
    <t>KBC828920000027</t>
  </si>
  <si>
    <t>KBC828920000028</t>
  </si>
  <si>
    <t>TANZANIA RED CROSS</t>
  </si>
  <si>
    <t>AANK2000333</t>
  </si>
  <si>
    <t>ONDERHOUD AUTO</t>
  </si>
  <si>
    <t>BCC CORPORATE NV</t>
  </si>
  <si>
    <t>AANK2100033</t>
  </si>
  <si>
    <t>DHL POSTKOSTEN</t>
  </si>
  <si>
    <t>DLG5$ POSTKOSTEN</t>
  </si>
  <si>
    <t>ONKOSTEN200141</t>
  </si>
  <si>
    <t>ONK Chepkemboi Kibet L DHL 2020-09-15 payment made for sending documents from Kenya to Belgium via</t>
  </si>
  <si>
    <t>Chepkemboi Kibet Leila</t>
  </si>
  <si>
    <t>AANK1901161</t>
  </si>
  <si>
    <t>AFREK VISA L. KIBET 24/10-23/11/2019</t>
  </si>
  <si>
    <t>AANK1901225</t>
  </si>
  <si>
    <t>DLG4$TRAVEL FEES</t>
  </si>
  <si>
    <t>AANK1900719</t>
  </si>
  <si>
    <t>DLG3$TICKET A. VANDERHEYDEN DAR ES SALAAM KIGALI</t>
  </si>
  <si>
    <t>AANK1900720</t>
  </si>
  <si>
    <t>DLG3$TICKET KIBET + TIBILIKIRWA DAR ES SALAAM - KIGALI</t>
  </si>
  <si>
    <t>AANK1900785</t>
  </si>
  <si>
    <t>DLG3$ TICKET J. SILYIMBO DAR ES SALAAM - KIGALI</t>
  </si>
  <si>
    <t>AANK1900954</t>
  </si>
  <si>
    <t>DLG0$ VERPLAATSING</t>
  </si>
  <si>
    <t>AANK1900969</t>
  </si>
  <si>
    <t>DLG3$ LOCAL FLIGHT</t>
  </si>
  <si>
    <t>AANK1901017</t>
  </si>
  <si>
    <t>DLG3$ TICKET CHADOKA HARARE - DAR ES SALAAM</t>
  </si>
  <si>
    <t>AANK1901066</t>
  </si>
  <si>
    <t>DLG3$ TICKET T. CHADOKA DAR ES SALAAM - KIGALI</t>
  </si>
  <si>
    <t>AANK1901067</t>
  </si>
  <si>
    <t>DLG3$ TICKET L. KIBET DAR ES SALAAM - KIGALI</t>
  </si>
  <si>
    <t>AANK1901080</t>
  </si>
  <si>
    <t>DLG3$TICKET L. KIBET DAR ES SALAAM - KIGALI</t>
  </si>
  <si>
    <t>AANK1901099</t>
  </si>
  <si>
    <t>DLG3$TICKET P. KEITANY LILONGWE - NAIROBI</t>
  </si>
  <si>
    <t>AANK1901100</t>
  </si>
  <si>
    <t>DLG3$TICKET L. KIBET DAR ES SALAAM - NAIROBI</t>
  </si>
  <si>
    <t>AANK1901116</t>
  </si>
  <si>
    <t>DLG3$ TICKET L. KIBET DAR ES SALAAM - KIGALI CN</t>
  </si>
  <si>
    <t>DLG3$TICKET VERPLAATSING</t>
  </si>
  <si>
    <t>AANK1901235</t>
  </si>
  <si>
    <t>AFREK VISA A. VANDERHEYDEN 24/11-23/12/2019</t>
  </si>
  <si>
    <t>AANK2000030</t>
  </si>
  <si>
    <t>AANK2000186</t>
  </si>
  <si>
    <t>AFREK VISA L. KIBET 24/12-23/01/2020</t>
  </si>
  <si>
    <t>AANK2000235</t>
  </si>
  <si>
    <t>DLG3$TICKET DAR ES SALAAM - KIGOMA</t>
  </si>
  <si>
    <t>AANK2000740</t>
  </si>
  <si>
    <t>DLG3$TICKET KIBET DAR ES SALAAM - KILIMANJARO</t>
  </si>
  <si>
    <t>AANK2100078</t>
  </si>
  <si>
    <t>DLG3$TICKET N. BERGS BRUSSEL - DAR ES SALAAM</t>
  </si>
  <si>
    <t>AANK2100136</t>
  </si>
  <si>
    <t>AANK2100171</t>
  </si>
  <si>
    <t>DLG3$TICKET N. BERGS BRUSSEL - DAR ES SALAAM CN</t>
  </si>
  <si>
    <t>AANK2100512</t>
  </si>
  <si>
    <t>DLG3$TICKET N. BERGS ANTWERPEN - DAR ES SALAAM</t>
  </si>
  <si>
    <t>AANK2100557</t>
  </si>
  <si>
    <t>DLG3$TICKET N. BERGS DAR ES SALAAM - AMSTERDAM</t>
  </si>
  <si>
    <t>AANK2100566</t>
  </si>
  <si>
    <t>DLG3$TICKET N. BERGS AMSTERDAM - DAR ES SALAAM</t>
  </si>
  <si>
    <t>AANK2100709</t>
  </si>
  <si>
    <t>AANK2100710</t>
  </si>
  <si>
    <t>AANK2100749</t>
  </si>
  <si>
    <t>DLG3$TICKET N. BERGS AMSTERDAM - DAR ES SALAAM CN</t>
  </si>
  <si>
    <t>AANK2200038</t>
  </si>
  <si>
    <t>DLG3$TICKET N. BERGS DAR ES SALAAM - ANTWERP</t>
  </si>
  <si>
    <t>DLG3$TICKET L. KIBET NARIOBI - DAR ES SALAAM</t>
  </si>
  <si>
    <t>DIV200237</t>
  </si>
  <si>
    <t>Verplaatsingen buitenland L. Kibet 2019 (Sep -&gt; Dec) van DPII naar DPIII</t>
  </si>
  <si>
    <t>DIV200706</t>
  </si>
  <si>
    <t>Correctie DLG reg L. Kibet-INTL-014015-ONKOSTEN200153-V. Bet * L. Kibet</t>
  </si>
  <si>
    <t>DIV210156</t>
  </si>
  <si>
    <t>KBC828921000009 - Terugbetaling omboeking vliegtuigticket Nathalie Bergs</t>
  </si>
  <si>
    <t>KBC143822000007</t>
  </si>
  <si>
    <t xml:space="preserve">terugbetaling wijziging vlucht januari 2022 Dar-Ams N
athalie Bergs                                        
</t>
  </si>
  <si>
    <t>ONKOSTEN210115</t>
  </si>
  <si>
    <t>ONK VISA Chepkemboi Kibet L E-COM AIR TANZANIA TZS 2021-02-17 Cost for flight taken from Dar Es Sala</t>
  </si>
  <si>
    <t>ONKOSTEN210176</t>
  </si>
  <si>
    <t>ONK Bergs N Vertrek/Terugkeer  2021-03-17 Eerste missie naar Tanzania voor Nduta project</t>
  </si>
  <si>
    <t>ONKOSTEN210177</t>
  </si>
  <si>
    <t>ONK Bergs N Dagvergoeding 2021-03-18 Eerste missie naar Tanzania voor Nduta project</t>
  </si>
  <si>
    <t>ONKOSTEN210178</t>
  </si>
  <si>
    <t>ONK Bergs N Dagvergoeding 2021-03-21 Eerste missie naar Tanzania voor Nduta project</t>
  </si>
  <si>
    <t>ONKOSTEN210179</t>
  </si>
  <si>
    <t>ONK Bergs N Dagvergoeding 2021-03-22 Eerste missie naar Tanzania voor Nduta project</t>
  </si>
  <si>
    <t>ONKOSTEN210180</t>
  </si>
  <si>
    <t>ONK Bergs N Dagvergoeding 2021-03-25 Eerste missie naar Tanzania voor Nduta project</t>
  </si>
  <si>
    <t>ONKOSTEN210181</t>
  </si>
  <si>
    <t>ONK Bergs N Dagvergoeding 2021-03-23 Eerste missie naar Tanzania voor Nduta project</t>
  </si>
  <si>
    <t>ONKOSTEN210182</t>
  </si>
  <si>
    <t>ONK Bergs N Dagvergoeding 2021-03-24 Eerste missie naar Tanzania voor Nduta project</t>
  </si>
  <si>
    <t>ONKOSTEN210183</t>
  </si>
  <si>
    <t>ONK Bergs N Dagvergoeding 2021-03-19 Eerste missie naar Tanzania voor Nduta project</t>
  </si>
  <si>
    <t>ONKOSTEN210184</t>
  </si>
  <si>
    <t>ONK Bergs N Dagvergoeding 2021-03-31 Eerste missie naar Tanzania voor Nduta project</t>
  </si>
  <si>
    <t>ONKOSTEN210185</t>
  </si>
  <si>
    <t>ONK Bergs N Dagvergoeding 2021-03-20 Eerste missie naar Tanzania voor Nduta project</t>
  </si>
  <si>
    <t>ONKOSTEN210186</t>
  </si>
  <si>
    <t>ONK Bergs N Dagvergoeding 2021-03-27 Eerste missie naar Tanzania voor Nduta project</t>
  </si>
  <si>
    <t>ONKOSTEN210187</t>
  </si>
  <si>
    <t>ONK Bergs N Dagvergoeding 2021-03-26 Eerste missie naar Tanzania voor Nduta project</t>
  </si>
  <si>
    <t>ONKOSTEN210188</t>
  </si>
  <si>
    <t>ONK Bergs N Dagvergoeding 2021-04-06 Eerste missie naar Tanzania voor Nduta project</t>
  </si>
  <si>
    <t>ONKOSTEN210189</t>
  </si>
  <si>
    <t>ONK Bergs N Dagvergoeding 2021-03-28 Eerste missie naar Tanzania voor Nduta project</t>
  </si>
  <si>
    <t>ONKOSTEN210190</t>
  </si>
  <si>
    <t>ONK Bergs N Dagvergoeding 2021-04-05 Eerste missie naar Tanzania voor Nduta project</t>
  </si>
  <si>
    <t>ONKOSTEN210191</t>
  </si>
  <si>
    <t>ONK Bergs N Dagvergoeding 2021-04-04 Eerste missie naar Tanzania voor Nduta project</t>
  </si>
  <si>
    <t>ONKOSTEN210192</t>
  </si>
  <si>
    <t>ONK Bergs N Dagvergoeding 2021-04-07 Eerste missie naar Tanzania voor Nduta project</t>
  </si>
  <si>
    <t>ONKOSTEN210193</t>
  </si>
  <si>
    <t>ONK Bergs N Dagvergoeding 2021-03-29 Eerste missie naar Tanzania voor Nduta project</t>
  </si>
  <si>
    <t>ONKOSTEN210194</t>
  </si>
  <si>
    <t>ONK Bergs N Dagvergoeding 2021-04-01 Eerste missie naar Tanzania voor Nduta project</t>
  </si>
  <si>
    <t>ONKOSTEN210195</t>
  </si>
  <si>
    <t>ONK Bergs N Vertrek/Terugkeer  2021-04-08 Eerste missie naar Tanzania voor Nduta project</t>
  </si>
  <si>
    <t>ONKOSTEN210196</t>
  </si>
  <si>
    <t>ONK Bergs N Dagvergoeding 2021-04-02 Eerste missie naar Tanzania voor Nduta project</t>
  </si>
  <si>
    <t>ONKOSTEN210197</t>
  </si>
  <si>
    <t>ONK Bergs N Dagvergoeding 2021-04-03 Eerste missie naar Tanzania voor Nduta project</t>
  </si>
  <si>
    <t>ONKOSTEN210198</t>
  </si>
  <si>
    <t>ONK Bergs N Dagvergoeding 2021-03-30 Eerste missie naar Tanzania voor Nduta project</t>
  </si>
  <si>
    <t>ONKOSTEN210393</t>
  </si>
  <si>
    <t>ONK Bergs N Dagvergoeding 2021-07-30 missie Tanzania Nduta</t>
  </si>
  <si>
    <t>ONKOSTEN210394</t>
  </si>
  <si>
    <t>ONK Bergs N Dagvergoeding 2021-08-01 missie Tanzania Nduta</t>
  </si>
  <si>
    <t>ONKOSTEN210396</t>
  </si>
  <si>
    <t>ONK Bergs N Dagvergoeding 2021-07-31 missie Tanzania Nduta</t>
  </si>
  <si>
    <t>ONKOSTEN210397</t>
  </si>
  <si>
    <t>ONK Bergs N Dagvergoeding 2021-07-21 missie Tanzania Nduta</t>
  </si>
  <si>
    <t>ONKOSTEN210398</t>
  </si>
  <si>
    <t>ONK Bergs N Vertrek/Terugkeer  2021-08-05 missie Tanzania Nduta</t>
  </si>
  <si>
    <t>ONKOSTEN210399</t>
  </si>
  <si>
    <t>ONK Bergs N Dagvergoeding 2021-07-25 missie Tanzania Nduta</t>
  </si>
  <si>
    <t>ONKOSTEN210408</t>
  </si>
  <si>
    <t>ONK Bergs N Dagvergoeding 2021-07-19 missie Tanzania Nduta</t>
  </si>
  <si>
    <t>ONKOSTEN210409</t>
  </si>
  <si>
    <t>ONK Bergs N Vertrek/Terugkeer  2021-07-18 missie Tanzania Nduta</t>
  </si>
  <si>
    <t>ONKOSTEN210411</t>
  </si>
  <si>
    <t>ONK Bergs N Dagvergoeding 2021-07-28 missie Tanzania Nduta</t>
  </si>
  <si>
    <t>ONKOSTEN210412</t>
  </si>
  <si>
    <t>ONK Bergs N Dagvergoeding 2021-08-04 missie Tanzania Nduta</t>
  </si>
  <si>
    <t>ONKOSTEN210413</t>
  </si>
  <si>
    <t>ONK Bergs N Dagvergoeding 2021-07-27 missie Tanzania Nduta</t>
  </si>
  <si>
    <t>ONKOSTEN210414</t>
  </si>
  <si>
    <t>ONK Bergs N Dagvergoeding 2021-07-26 missie Tanzania Nduta</t>
  </si>
  <si>
    <t>ONKOSTEN210419</t>
  </si>
  <si>
    <t>ONK Bergs N Dagvergoeding 2021-07-20 missie Tanzania Nduta</t>
  </si>
  <si>
    <t>ONKOSTEN210420</t>
  </si>
  <si>
    <t>ONK Bergs N Dagvergoeding 2021-08-02 missie Tanzania Nduta</t>
  </si>
  <si>
    <t>ONKOSTEN210421</t>
  </si>
  <si>
    <t>ONK Bergs N Dagvergoeding 2021-07-22 missie Tanzania Nduta</t>
  </si>
  <si>
    <t>ONKOSTEN210428</t>
  </si>
  <si>
    <t>ONK Bergs N Dagvergoeding 2021-07-23 missie Tanzania Nduta</t>
  </si>
  <si>
    <t>ONKOSTEN210432</t>
  </si>
  <si>
    <t>ONK Bergs N Dagvergoeding 2021-07-29 missie Tanzania Nduta</t>
  </si>
  <si>
    <t>ONKOSTEN210433</t>
  </si>
  <si>
    <t>ONK Bergs N Dagvergoeding 2021-07-24 missie Tanzania Nduta</t>
  </si>
  <si>
    <t>ONKOSTEN210434</t>
  </si>
  <si>
    <t>ONK Bergs N Dagvergoeding 2021-08-03 missie Tanzania Nduta</t>
  </si>
  <si>
    <t>ONKOSTEN210688</t>
  </si>
  <si>
    <t>ONK Bergs N Dagvergoeding 2021-10-01 Missie Tanzania-Nduta</t>
  </si>
  <si>
    <t>ONKOSTEN210689</t>
  </si>
  <si>
    <t>ONK Bergs N Dagvergoeding 2021-09-30 Missie Tanzania-Nduta</t>
  </si>
  <si>
    <t>ONKOSTEN210690</t>
  </si>
  <si>
    <t>ONK Bergs N Vertrek/Terugkeer  2021-09-20 Missie Tanzania-Nduta</t>
  </si>
  <si>
    <t>ONKOSTEN210691</t>
  </si>
  <si>
    <t>ONK Bergs N Dagvergoeding 2021-09-21 Missie Tanzania-Nduta</t>
  </si>
  <si>
    <t>ONKOSTEN210692</t>
  </si>
  <si>
    <t>ONK Bergs N Dagvergoeding 2021-09-22 Missie Tanzania-Nduta</t>
  </si>
  <si>
    <t>ONKOSTEN210693</t>
  </si>
  <si>
    <t>ONK Bergs N Dagvergoeding 2021-09-25 Missie Tanzania-Nduta</t>
  </si>
  <si>
    <t>ONKOSTEN210694</t>
  </si>
  <si>
    <t>ONK Bergs N Dagvergoeding 2021-09-23 Missie Tanzania-Nduta</t>
  </si>
  <si>
    <t>ONKOSTEN210695</t>
  </si>
  <si>
    <t>ONK Bergs N Dagvergoeding 2021-09-24 Missie Tanzania-Nduta</t>
  </si>
  <si>
    <t>ONKOSTEN210696</t>
  </si>
  <si>
    <t>ONK Bergs N Dagvergoeding 2021-09-26 Missie Tanzania-Nduta</t>
  </si>
  <si>
    <t>ONKOSTEN210697</t>
  </si>
  <si>
    <t>ONK Bergs N Dagvergoeding 2021-09-28 Missie Tanzania-Nduta</t>
  </si>
  <si>
    <t>ONKOSTEN210698</t>
  </si>
  <si>
    <t>ONK Bergs N Dagvergoeding 2021-09-27 Missie Tanzania-Nduta</t>
  </si>
  <si>
    <t>ONKOSTEN210700</t>
  </si>
  <si>
    <t>ONK Bergs N Dagvergoeding 2021-09-29 Missie Tanzania-Nduta</t>
  </si>
  <si>
    <t>ONKOSTEN210701</t>
  </si>
  <si>
    <t>ONK Bergs N Dagvergoeding 2021-10-02 Missie Tanzania-Nduta</t>
  </si>
  <si>
    <t>ONKOSTEN210702</t>
  </si>
  <si>
    <t>ONK Bergs N Dagvergoeding 2021-10-05 Missie Tanzania-Nduta</t>
  </si>
  <si>
    <t>ONKOSTEN210703</t>
  </si>
  <si>
    <t>ONK Bergs N Dagvergoeding 2021-10-03 Missie Tanzania-Nduta</t>
  </si>
  <si>
    <t>ONKOSTEN210704</t>
  </si>
  <si>
    <t>ONK Bergs N Dagvergoeding 2021-10-04 Missie Tanzania-Nduta</t>
  </si>
  <si>
    <t>ONKOSTEN210705</t>
  </si>
  <si>
    <t>ONK Bergs N Dagvergoeding 2021-10-07 Missie Tanzania-Nduta</t>
  </si>
  <si>
    <t>ONKOSTEN210706</t>
  </si>
  <si>
    <t>ONK Bergs N Dagvergoeding 2021-10-06 Missie Tanzania-Nduta</t>
  </si>
  <si>
    <t>ONKOSTEN210708</t>
  </si>
  <si>
    <t>ONK Bergs N Vertrek/Terugkeer  2021-10-08 Missie Tanzania-Nduta</t>
  </si>
  <si>
    <t>ONKOSTEN220005</t>
  </si>
  <si>
    <t>ONK VISA Chepkemboi Kibet L AIR TANZANIA COMPANY L 2021-12-28 Nathalie Bergs; flight cost while in T</t>
  </si>
  <si>
    <t>AIR TANZANIA COMPANY</t>
  </si>
  <si>
    <t>ONKOSTEN220011</t>
  </si>
  <si>
    <t>ONK VISA Chepkemboi Kibet L AIR TANZANIA COMPANY L 2021-12-28 Financial documents (tickets, boarding</t>
  </si>
  <si>
    <t>ONKOSTEN220022</t>
  </si>
  <si>
    <t>ONK VISA Chepkemboi Kibet L AIR TANZANIA COMPANY L 2022-01-07 A summary of the cost incurred by Leil</t>
  </si>
  <si>
    <t>ONKOSTEN220144</t>
  </si>
  <si>
    <t>ONK Bergs N Dagvergoeding 2022-01-22 missie Tanzania januari 2022, gewerkt op zaterdag (financial</t>
  </si>
  <si>
    <t>ONKOSTEN220145</t>
  </si>
  <si>
    <t>ONK Bergs N Dagvergoeding 2022-01-20 missie Tanzania januari 2022</t>
  </si>
  <si>
    <t>ONKOSTEN220148</t>
  </si>
  <si>
    <t>ONK Bergs N Dagvergoeding 2022-01-24 missie Tanzania januari 2022</t>
  </si>
  <si>
    <t>ONKOSTEN220149</t>
  </si>
  <si>
    <t>ONK Bergs N Dagvergoeding 2022-01-23 missie Tanzania januari 2022</t>
  </si>
  <si>
    <t>ONKOSTEN220150</t>
  </si>
  <si>
    <t>ONK Bergs N Dagvergoeding 2022-01-21 missie Tanzania januari 2022</t>
  </si>
  <si>
    <t>ONKOSTEN220151</t>
  </si>
  <si>
    <t>ONK Bergs N Dagvergoeding 2022-01-26 missie Tanzania januari 2022</t>
  </si>
  <si>
    <t>ONKOSTEN220152</t>
  </si>
  <si>
    <t>ONK Bergs N Dagvergoeding 2022-01-25 missie Tanzania januari 2022</t>
  </si>
  <si>
    <t>ONKOSTEN220157</t>
  </si>
  <si>
    <t>ONK Bergs N Dagvergoeding 2022-01-05 missie Tanzania januari 2022</t>
  </si>
  <si>
    <t>ONKOSTEN220158</t>
  </si>
  <si>
    <t>ONK Bergs N Dagvergoeding 2022-01-07 missie Tanzania januari 2022</t>
  </si>
  <si>
    <t>ONKOSTEN220159</t>
  </si>
  <si>
    <t>ONK Bergs N Vertrek/Terugkeer  2022-01-04 missie Tanzania januari 2022</t>
  </si>
  <si>
    <t>ONKOSTEN220160</t>
  </si>
  <si>
    <t>ONK Bergs N Dagvergoeding 2022-01-06 missie Tanzania januari 2022</t>
  </si>
  <si>
    <t>ONKOSTEN220161</t>
  </si>
  <si>
    <t>ONK Bergs N Dagvergoeding 2022-01-08 missie Tanzania januari 2022, travel naar de field, WASH pro</t>
  </si>
  <si>
    <t>ONKOSTEN220162</t>
  </si>
  <si>
    <t>ONK Bergs N Dagvergoeding 2022-01-09 missie Tanzania januari 2022, in de field, bloed collection</t>
  </si>
  <si>
    <t>ONKOSTEN220163</t>
  </si>
  <si>
    <t>ONK Bergs N Dagvergoeding 2022-01-12 missie Tanzania januari 2022</t>
  </si>
  <si>
    <t>ONKOSTEN220164</t>
  </si>
  <si>
    <t>ONK Bergs N Dagvergoeding 2022-01-17 missie Tanzania januari 2022</t>
  </si>
  <si>
    <t>ONKOSTEN220165</t>
  </si>
  <si>
    <t>ONK Bergs N Dagvergoeding 2022-01-16 missie Tanzania januari 2022</t>
  </si>
  <si>
    <t>ONKOSTEN220166</t>
  </si>
  <si>
    <t>ONK Bergs N Dagvergoeding 2022-01-13 missie Tanzania januari 2022</t>
  </si>
  <si>
    <t>ONKOSTEN220167</t>
  </si>
  <si>
    <t>ONK Bergs N Dagvergoeding 2022-01-14 missie Tanzania januari 2022</t>
  </si>
  <si>
    <t>ONKOSTEN220168</t>
  </si>
  <si>
    <t>ONK Bergs N Dagvergoeding 2022-01-19 missie Tanzania januari 2022</t>
  </si>
  <si>
    <t>ONKOSTEN220169</t>
  </si>
  <si>
    <t>ONK Bergs N Dagvergoeding 2022-01-11 missie Tanzania januari 2022</t>
  </si>
  <si>
    <t>ONKOSTEN220170</t>
  </si>
  <si>
    <t>ONK Bergs N Dagvergoeding 2022-01-10 missie Tanzania januari 2022</t>
  </si>
  <si>
    <t>ONKOSTEN220171</t>
  </si>
  <si>
    <t>ONK Bergs N Dagvergoeding 2022-01-15 missie Tanzania januari 2022</t>
  </si>
  <si>
    <t>ONKOSTEN220172</t>
  </si>
  <si>
    <t>ONK Bergs N Dagvergoeding 2022-01-18 missie Tanzania januari 2022</t>
  </si>
  <si>
    <t>ONKOSTEN220173</t>
  </si>
  <si>
    <t>ONK Bergs N Dagvergoeding 2022-01-27 missie Tanzania januari 2022</t>
  </si>
  <si>
    <t>ONKOSTEN220174</t>
  </si>
  <si>
    <t>ONK Bergs N Vertrek/Terugkeer  2022-01-28 missie Tanzania januari 2022</t>
  </si>
  <si>
    <t>DLG8$ ACCOMODATIE</t>
  </si>
  <si>
    <t>DLG7$ VERBLIJFKOST</t>
  </si>
  <si>
    <t>DLG7$VERBLIJFKOST HOTEL</t>
  </si>
  <si>
    <t>KBC942621004</t>
  </si>
  <si>
    <t>ONKOSTEN210095-ONK Chepkemboi Kibet L The Nairobi West Hospital Ltd 2021-01</t>
  </si>
  <si>
    <t>The Nairobi West Hospital</t>
  </si>
  <si>
    <t>KBC942621006</t>
  </si>
  <si>
    <t>ONKOSTEN210096-ONK Chepkemboi Kibet L The Nairobi West Hospital Ltd 2021-01-02 COVID-19 test fee paid to Nairobi We</t>
  </si>
  <si>
    <t>KBC942621007</t>
  </si>
  <si>
    <t>ONKOSTEN210097-ONK Chepkemboi Kibet L The Nairobi West Hospital 2021-01-02 COVID-19 test fee paid at Nairobi West H</t>
  </si>
  <si>
    <t>ONKOSTEN210095</t>
  </si>
  <si>
    <t>ONK Chepkemboi Kibet L The Nairobi West Hospital Ltd 2021-01-02 COVID-19 fee paid to Nairobi West Ho</t>
  </si>
  <si>
    <t>ONKOSTEN210096</t>
  </si>
  <si>
    <t>ONK Chepkemboi Kibet L The Nairobi West Hospital Ltd 2021-01-02 COVID-19 test fee paid to Nairobi We</t>
  </si>
  <si>
    <t>ONKOSTEN210097</t>
  </si>
  <si>
    <t>ONK Chepkemboi Kibet L The Nairobi West Hospital 2021-01-02 COVID-19 test fee paid at Nairobi West H</t>
  </si>
  <si>
    <t>ONKOSTEN210124</t>
  </si>
  <si>
    <t>ONK Bergs N Apotheek van Moll 2021-03-15 malaria pillen</t>
  </si>
  <si>
    <t>Apotheek van Moll</t>
  </si>
  <si>
    <t>ONKOSTEN210138</t>
  </si>
  <si>
    <t>ONK Bergs N Apotheek van Moll 2021-03-15 20 FFP2 maskers voor Nathalie, 20 FFP2 maskers voor Leila</t>
  </si>
  <si>
    <t>ONKOSTEN210150</t>
  </si>
  <si>
    <t>ONK Bergs N Green View Hotel 2021-03-31 verblijf in Kigoma voor 1 nacht</t>
  </si>
  <si>
    <t>Green View Hotel</t>
  </si>
  <si>
    <t>ONKOSTEN210151</t>
  </si>
  <si>
    <t>ONK Bergs N National Public Health Laboratory 2021-04-02 COVID test betaling aan overheid</t>
  </si>
  <si>
    <t>National Public Health Laboratory</t>
  </si>
  <si>
    <t>ONKOSTEN210154</t>
  </si>
  <si>
    <t>ONK VISA Bergs N AGA Khan Hospital 2021-04-06 covid test PCR in ziekenhuis</t>
  </si>
  <si>
    <t xml:space="preserve">AGA Khan Hospital </t>
  </si>
  <si>
    <t>ONKOSTEN210157</t>
  </si>
  <si>
    <t>ONK VISA Bergs N Duta Wacana Christian University 2021-02-22 Visum voor een jaar in Tanzania Nathali</t>
  </si>
  <si>
    <t>Duta Wacana Christian University</t>
  </si>
  <si>
    <t>ONKOSTEN210161</t>
  </si>
  <si>
    <t>ONK Bergs N Moyowosi Classic Hotel 2021-03-29 verblijf in Kibondo (aan Nduta kamp) voor 9 dagen 9*40</t>
  </si>
  <si>
    <t>Moyowosi Classic Hotel</t>
  </si>
  <si>
    <t>ONKOSTEN210171</t>
  </si>
  <si>
    <t>ONK Bergs N United Republic Of Tanzania 2021-04-08 covic test (rapid test) in luchthaven Tanzania</t>
  </si>
  <si>
    <t>ONKOSTEN210273</t>
  </si>
  <si>
    <t>ONK VISA Chepkemboi Kibet L AIR TANZANIA COMPANY L 2021-03-18 Ticket costs for Leila Kibet and Natha</t>
  </si>
  <si>
    <t>ONKOSTEN210362</t>
  </si>
  <si>
    <t>ONK VISA Bergs N Apotheek Wim De Munck 2021-02-22 FFP2 maskers</t>
  </si>
  <si>
    <t>Apotheek Wim De Munck</t>
  </si>
  <si>
    <t>ONKOSTEN210372</t>
  </si>
  <si>
    <t>ONK VISA Chepkemboi Kibet L AIR TANZANIA COMPANY L 2021-07-17 Flight cost for Nathalie Bergs. She tr</t>
  </si>
  <si>
    <t>ONKOSTEN210379</t>
  </si>
  <si>
    <t>ONK VISA Chepkemboi Kibet L AIR TANZANIA COMPANY L 2021-07-27 Nathalie Bergs flight cost while trave</t>
  </si>
  <si>
    <t>ONKOSTEN210430</t>
  </si>
  <si>
    <t>ONK Bergs N Tiple J hotel 2021-08-05 30/7 nacht in Kigoma voor vertrek terug naar Dar Es Salaam</t>
  </si>
  <si>
    <t>Tiple J hotel</t>
  </si>
  <si>
    <t>ONKOSTEN210435</t>
  </si>
  <si>
    <t>ONK VISA Bergs N Cobra Apotheek Centrum 2021-07-17 FFP2 maskers. Zonnecreme is een foutje, deze zal</t>
  </si>
  <si>
    <t>Cobra Apotheek Centrum</t>
  </si>
  <si>
    <t>ONKOSTEN210446</t>
  </si>
  <si>
    <t>ONK VISA Bergs N Mediterraneo 2021-07-31 hotel Dar Es Salaam 31/7-4/8</t>
  </si>
  <si>
    <t>Mediterraneo Hotel &amp; Restauran</t>
  </si>
  <si>
    <t>ONKOSTEN210491</t>
  </si>
  <si>
    <t>ONK Bergs N Aviator 2021-09-21 phone charges (belminuten+internet). Betaald met eigen cash</t>
  </si>
  <si>
    <t>Aviator</t>
  </si>
  <si>
    <t>ONKOSTEN210536</t>
  </si>
  <si>
    <t>ONK VISA Bergs N Port Health 2021-07-17 health test in airport Dar Es Salaam upon arrival. Paid upfr</t>
  </si>
  <si>
    <t>ONKOSTEN210699</t>
  </si>
  <si>
    <t>ONK VISA Bergs N Mediterraneo Hotel &amp; Restaurant 2021-10-04 Hotel Dar Es Salaam, 4 nachten</t>
  </si>
  <si>
    <t>ONKOSTEN210707</t>
  </si>
  <si>
    <t>ONK Bergs N Bv Centrum Voor Medische Analyse 2021-07-16 COVID-test juli 2021. 5 euro boete voor te l</t>
  </si>
  <si>
    <t>ONKOSTEN210709</t>
  </si>
  <si>
    <t>ONK VISA Parisse A Coral Beach Hotel 2021-11-23 Paying for first night of Nathalie's stay in Tanzani</t>
  </si>
  <si>
    <t>Coral Beach Hotel</t>
  </si>
  <si>
    <t>ONKOSTEN210869</t>
  </si>
  <si>
    <t>ONK VISA Bergs N Mediterraneo 2021-09-26 enkel Single room met RKV kaart betaald voor 981,960 TZS</t>
  </si>
  <si>
    <t>ONKOSTEN210884</t>
  </si>
  <si>
    <t>ONK VISA Chepkemboi Kibet L AIR TANZANIA COMPANY L 2021-12-07 Cost related to a mission in Kigoma. D</t>
  </si>
  <si>
    <t>ONKOSTEN210899</t>
  </si>
  <si>
    <t>ONK VISA Chepkemboi Kibet L Moyowosi Hotel 2021-12-15 The accomodation cost was paid for the period</t>
  </si>
  <si>
    <t>Moyowosi Hotel</t>
  </si>
  <si>
    <t>ONKOSTEN220010</t>
  </si>
  <si>
    <t>ONK VISA Chepkemboi Kibet L CORAL BEACH CLUB 2021-12-28 accomodation cost paid for Nathalie Bergs du</t>
  </si>
  <si>
    <t>CORAL BEACH CLUB</t>
  </si>
  <si>
    <t>ONKOSTEN220043</t>
  </si>
  <si>
    <t>ONK VISA Bergs N Coral Beach Hotel 2022-01-07 Coral Beach hotel for 1 night (other nights paid by Le</t>
  </si>
  <si>
    <t>ONKOSTEN220077</t>
  </si>
  <si>
    <t>ONK Bergs N Talent Solutions Company Limited 2022-01-21 internet en belminuten</t>
  </si>
  <si>
    <t>Talent Solutions Company Limited</t>
  </si>
  <si>
    <t>ONKOSTEN220147</t>
  </si>
  <si>
    <t>ONK Bergs N Ziekenhuis Geel 2021-09-19 COVID test missie Tanzania sept-oct 2021</t>
  </si>
  <si>
    <t xml:space="preserve"> Ziekenhuis Geel</t>
  </si>
  <si>
    <t>ONKOSTEN220218</t>
  </si>
  <si>
    <t>ONK VISA Bergs N Moyowosi Hotel 2021-07-19 hotel aan Nduta kamp voor 9 nachten (21/7-29/7) (deze kee</t>
  </si>
  <si>
    <t>ONKOSTEN220220</t>
  </si>
  <si>
    <t>ONK VISA Bergs N Moyowosi Hotel 2021-10-02 6 nachten in hotel aan Nduta vluchtelingenkamp (27 sept-3</t>
  </si>
  <si>
    <t>DIV211506</t>
  </si>
  <si>
    <t>Loonkost N. Bergs 2021</t>
  </si>
  <si>
    <t>N. Bergs</t>
  </si>
  <si>
    <t>DIV211068</t>
  </si>
  <si>
    <t>Bankkosten Bergs 5478350000005561     235</t>
  </si>
  <si>
    <t>DIV211069</t>
  </si>
  <si>
    <t>Overboeking KBC515921000109 naar BCC_5478350000005561     20</t>
  </si>
  <si>
    <t>DIV211070</t>
  </si>
  <si>
    <t>Overboeking KBC515921000158 naar BCC_5478350000005561     296</t>
  </si>
  <si>
    <t>DIV211082</t>
  </si>
  <si>
    <t>Overboeking KBC515921000158 naar BCC_5478350000008912     296</t>
  </si>
  <si>
    <t>0749</t>
  </si>
  <si>
    <t>Accomodation cost(11-14 Jan 2021) in Kibondo during Nduta refugee camp visit</t>
  </si>
  <si>
    <t>Swidish Moden Hotel</t>
  </si>
  <si>
    <t>0141</t>
  </si>
  <si>
    <t>Accomodation cost (15 jan 2021) while visiting Nduta refugee camp</t>
  </si>
  <si>
    <t>Triple J resort</t>
  </si>
  <si>
    <t>CTZS1</t>
  </si>
  <si>
    <t>Trip- Ocean Road Dar Es Salaam , Tanzania to Dar Es Salaam, Tanzania</t>
  </si>
  <si>
    <t>Uber</t>
  </si>
  <si>
    <t>CTZS2</t>
  </si>
  <si>
    <t>Ocean Road Dar Es Salaam, Tanzania to Kariakoo, Dar Es Salaam, Tanzania</t>
  </si>
  <si>
    <t>CTZS3</t>
  </si>
  <si>
    <t>Gas for delegate house</t>
  </si>
  <si>
    <t>Muharam Real Estate Co limited</t>
  </si>
  <si>
    <t>CTZS4</t>
  </si>
  <si>
    <t>Dar Es Salaam, Tanzania to Kawe, Dar Es Salaam, Tanzania</t>
  </si>
  <si>
    <t>CTZS5</t>
  </si>
  <si>
    <t>Dar Es Salaam, Tanzania to Dar Es Salaam, Tanzania</t>
  </si>
  <si>
    <t>CTZS6</t>
  </si>
  <si>
    <t>CTZS7</t>
  </si>
  <si>
    <t>Vodacom Airtime(bundle)- for house modem</t>
  </si>
  <si>
    <t>Delta Africa</t>
  </si>
  <si>
    <t>CTZS8</t>
  </si>
  <si>
    <t>Vodacom Airtime(bundle)  for Mobile phone</t>
  </si>
  <si>
    <t>CTZS9</t>
  </si>
  <si>
    <t>DHL Services- shipment of Q4 2019 DLG expense documents to Mechelen</t>
  </si>
  <si>
    <t>DHL Express</t>
  </si>
  <si>
    <t>CTZS10</t>
  </si>
  <si>
    <t>Dar Es Salaam, Tanzania to 168 Mwai Kibaki Road, Dar Es Salaam, Tanzania</t>
  </si>
  <si>
    <t>CTZS11</t>
  </si>
  <si>
    <t>Plot 672/2 C&amp;G Plaza, Mwai Kibaki Road, to Dar Es Salaam, Tanzania</t>
  </si>
  <si>
    <t>CTZS12</t>
  </si>
  <si>
    <t>Dar Es Salaam, Tanzania to Ocean Road, Dar Es Salaam, Tanzania</t>
  </si>
  <si>
    <t>CTZS13</t>
  </si>
  <si>
    <t>Ocean Road Dar Es Salaam, Tanzania to Dar Es Salaam, Tanzania</t>
  </si>
  <si>
    <t>CTZS14</t>
  </si>
  <si>
    <t>Fuel purchase - Vehicle T485ASC</t>
  </si>
  <si>
    <t>Camel Oil Tanzania Limited</t>
  </si>
  <si>
    <t>CTZS15</t>
  </si>
  <si>
    <t>Dar Es Salaam, Tanzania to Julius Nyerere Road, Tanzania</t>
  </si>
  <si>
    <t>CTZS17</t>
  </si>
  <si>
    <t>Julius Nyerere International Airport to Dar Es Salaam Tanzania</t>
  </si>
  <si>
    <t>CTZS18</t>
  </si>
  <si>
    <t>Kimweri Avenue Dar Es Salaam to Dar Es Salaam, Tanzania</t>
  </si>
  <si>
    <t>CTZS21</t>
  </si>
  <si>
    <t>Dar Es Salaam to 52A Mwai Kibaki Rd, Tanzania</t>
  </si>
  <si>
    <t>CTZS22</t>
  </si>
  <si>
    <t>Red Cross Society to Sam Nujoma Rd, Dar Es Salaam, Tanzania</t>
  </si>
  <si>
    <t>CTZS23</t>
  </si>
  <si>
    <t>Kimweri Ave, Dar Es Salaam to Dar Es Salaam, Tanzania</t>
  </si>
  <si>
    <t>CTZS24</t>
  </si>
  <si>
    <t>Red Cross Society to Kimweri Avenue, Dar Es Salaam, Tanzania</t>
  </si>
  <si>
    <t>CTZS25</t>
  </si>
  <si>
    <t>Unnamed road, Dar Es Salaam to 52A Mwai Kibaki Road, Tanzania</t>
  </si>
  <si>
    <t>CTZS26</t>
  </si>
  <si>
    <t>Perdiem for participating in Lessons learnt workshop for DPII cash in Kigali, Rwanda on 4th and 5th February 2020</t>
  </si>
  <si>
    <t>Alfred Kalimasi</t>
  </si>
  <si>
    <t>CTZS27</t>
  </si>
  <si>
    <t>CTZS28</t>
  </si>
  <si>
    <t>Red Cross Society to Dar Es Salaam, Tanzania</t>
  </si>
  <si>
    <t>CTZS29</t>
  </si>
  <si>
    <t>Dar Es Salaam to Makumbusho, Dar Es Salaam, Tanzania</t>
  </si>
  <si>
    <t>CTZS30</t>
  </si>
  <si>
    <t>Makumbusho to Mwai Kibaki Road, Dar Es Salaam, Tanzania</t>
  </si>
  <si>
    <t>CTZS31</t>
  </si>
  <si>
    <t>Mwai Kibaki Rd, Dar Es Salaam to Dar Es Salaam, Tanzania</t>
  </si>
  <si>
    <t>CTZS32</t>
  </si>
  <si>
    <t>Dar Es Salaam to Kawe, Dar Es Salaam</t>
  </si>
  <si>
    <t>CTZS39</t>
  </si>
  <si>
    <t>CTZS40</t>
  </si>
  <si>
    <t>CTZS41</t>
  </si>
  <si>
    <t>CTZS42</t>
  </si>
  <si>
    <t>CTZS43</t>
  </si>
  <si>
    <t>Dar Es Salaam to Kimweri Avenue Rd, Dar Es Salaam, Tanzania</t>
  </si>
  <si>
    <t>CTZS44</t>
  </si>
  <si>
    <t>CTZS45</t>
  </si>
  <si>
    <t>CTZS46</t>
  </si>
  <si>
    <t>CTZS47</t>
  </si>
  <si>
    <t>Vodacom airtime-my phone</t>
  </si>
  <si>
    <t>CTZS48</t>
  </si>
  <si>
    <t>CTZS49</t>
  </si>
  <si>
    <t>CTZS50</t>
  </si>
  <si>
    <t>CTZS51</t>
  </si>
  <si>
    <t>Dar Es Salaam to Dar Salaam, Tanzania</t>
  </si>
  <si>
    <t>CTZS52</t>
  </si>
  <si>
    <t>CTZS53</t>
  </si>
  <si>
    <t>Dar Es Salaam to 52A Mwai Kibaki Rd, Dar Es Salaam,Tanzania</t>
  </si>
  <si>
    <t>CTZS54</t>
  </si>
  <si>
    <t>CTZS55</t>
  </si>
  <si>
    <t>Dar Es Salaam to Mbezi Beach, Dar Es Salaam.</t>
  </si>
  <si>
    <t>CTZS56</t>
  </si>
  <si>
    <t>Mbezi Beach Dar Es Salaam to Dar Es Salaam</t>
  </si>
  <si>
    <t>CTZS57</t>
  </si>
  <si>
    <t>Makumbusho to Sam Nujoma Rd, Dar Es Salaam</t>
  </si>
  <si>
    <t>CTZS58</t>
  </si>
  <si>
    <t>Mlimani City Entrance 1 to Dar Es Salaam</t>
  </si>
  <si>
    <t>CTZS59</t>
  </si>
  <si>
    <t xml:space="preserve">Modem bundles for use at the delegate house </t>
  </si>
  <si>
    <t xml:space="preserve">Pent Optimism Investment Limited </t>
  </si>
  <si>
    <t>CTZS60</t>
  </si>
  <si>
    <t>CTZS61</t>
  </si>
  <si>
    <t>CTZS62</t>
  </si>
  <si>
    <t>CTZS63</t>
  </si>
  <si>
    <t>CTZS64</t>
  </si>
  <si>
    <t>CTZS65</t>
  </si>
  <si>
    <t>CTZS66</t>
  </si>
  <si>
    <t>CTZS67</t>
  </si>
  <si>
    <t>CTZS68</t>
  </si>
  <si>
    <t>Dar Es Salaam to Ocean Rd, Dar Es Salaam</t>
  </si>
  <si>
    <t>CTZS69</t>
  </si>
  <si>
    <t>CTZS70</t>
  </si>
  <si>
    <t>CTZS71</t>
  </si>
  <si>
    <t>CTZS72</t>
  </si>
  <si>
    <t>CTZS73</t>
  </si>
  <si>
    <t>CTZS74</t>
  </si>
  <si>
    <t>CTZS75</t>
  </si>
  <si>
    <t>CTZS76</t>
  </si>
  <si>
    <t>Stationery items(white board spray and duster)</t>
  </si>
  <si>
    <t>Jamhuri Stationers</t>
  </si>
  <si>
    <t>CTZS77</t>
  </si>
  <si>
    <t xml:space="preserve">Drinking Water for office </t>
  </si>
  <si>
    <t xml:space="preserve">Shoppers Supermarket </t>
  </si>
  <si>
    <t>CTZS78</t>
  </si>
  <si>
    <t>CTZS79</t>
  </si>
  <si>
    <t>CTZS80</t>
  </si>
  <si>
    <t>CTZS81</t>
  </si>
  <si>
    <t>CTZS82</t>
  </si>
  <si>
    <t>Dar Es Salaam, Tanzania to Makumbusho, Dar ES Salaam Tanzania</t>
  </si>
  <si>
    <t>CTZS83</t>
  </si>
  <si>
    <t>Makumbusho, Dar Es Salaam, Tanzania to Samora Avenue Dar Es Salaam, Tanzania</t>
  </si>
  <si>
    <t>CTZS84</t>
  </si>
  <si>
    <t>JM Mal to Mkunguni St, Dar Es Salaam, Tanzania</t>
  </si>
  <si>
    <t>CTZS85</t>
  </si>
  <si>
    <t>Mkunguni St, Dar Es Salaam to Dar Es Salaam</t>
  </si>
  <si>
    <t>CTZS86</t>
  </si>
  <si>
    <t>Dar Es Salaam, Tanzania to 52A Mwai Kibaki Rd, Dar Es Salaam, Tanzania</t>
  </si>
  <si>
    <t>CTZS87</t>
  </si>
  <si>
    <t>Dar Es Saalam, Tanzania to Kimweri Avenue Dar Es Salaam, Tanzania</t>
  </si>
  <si>
    <t>CTZS88</t>
  </si>
  <si>
    <t>Kimweri Avenue Dar Es Salaam to 52A Mwai Kibaki Rd, Dar Es Salaam, Tanzania</t>
  </si>
  <si>
    <t>CTZS90</t>
  </si>
  <si>
    <t>Red Cross Society, Mikocheni, Tanzania to Kimweri Avenue, Dar Es Salaam, Tanzania</t>
  </si>
  <si>
    <t>CTZS91</t>
  </si>
  <si>
    <t>CTZS92</t>
  </si>
  <si>
    <t>CTZS93</t>
  </si>
  <si>
    <t>CTZS94</t>
  </si>
  <si>
    <t>CTZS95</t>
  </si>
  <si>
    <t>CTZS96</t>
  </si>
  <si>
    <t>CTZS97</t>
  </si>
  <si>
    <t>Ocean Rd, Dar Es Salaam to Kimweri Avenue</t>
  </si>
  <si>
    <t>CTZS99</t>
  </si>
  <si>
    <t>Dar Es Salaam Tanzania to Dar Es Salaam, Tanzania</t>
  </si>
  <si>
    <t>CTZS100</t>
  </si>
  <si>
    <t>CTZS101</t>
  </si>
  <si>
    <t>CTZS104</t>
  </si>
  <si>
    <t>CTZS105</t>
  </si>
  <si>
    <t>Red Cross Society, Mikocheni, Tanzania to Dar Es Salaam, Tanzania</t>
  </si>
  <si>
    <t>CTZS106</t>
  </si>
  <si>
    <t>CTZS107</t>
  </si>
  <si>
    <t>Ocean Rd, Dar Es Salaam to Mukunguni St, Dar Es Salaam, Tanzania</t>
  </si>
  <si>
    <t>CTZS108</t>
  </si>
  <si>
    <t>19 Mtendeni St, Dar Es Salam, Tanzania to Dar Es Salaam, Tanzania</t>
  </si>
  <si>
    <t>CTZS109</t>
  </si>
  <si>
    <t>CTZS110</t>
  </si>
  <si>
    <t>Dar Es Salaam, Tanzania to Kimweri Avenue, Dar Es Salaam, Tanzania</t>
  </si>
  <si>
    <t>CTZS111</t>
  </si>
  <si>
    <t>CTZS112</t>
  </si>
  <si>
    <t>Barack Obama Dr, to Dar Es Salaam, Tanzania</t>
  </si>
  <si>
    <t>CTZS113</t>
  </si>
  <si>
    <t>Dar Es Salaam, Tanzania to 4th floor Faylat Towers, Kinondoni Ali hassan Mwinyi Rd, Dar Es Salaam, Tanzania</t>
  </si>
  <si>
    <t>CTZS114</t>
  </si>
  <si>
    <t>4th floor Faylat Towers, Kinondoni Ali hassan Mwinyi Rd, Dar Es Salaam, Tanzania to Mindu St, Dar Es Salaam, Tanzania</t>
  </si>
  <si>
    <t>CTZS115</t>
  </si>
  <si>
    <t>Mindu St, Dar Es Salaam to Dar Es Salaam, Tanzania</t>
  </si>
  <si>
    <t>CTZS116</t>
  </si>
  <si>
    <t>CTZS117</t>
  </si>
  <si>
    <t>CTZS118</t>
  </si>
  <si>
    <t>CTZS119</t>
  </si>
  <si>
    <t>Mesuma Plus Hotel, Dar Es Salaam, Tanzania to Dar Es Salaam, Tanzania</t>
  </si>
  <si>
    <t>CTZS120</t>
  </si>
  <si>
    <t>Dar Es Salaam, Tanzania to Kanisa Rd, Dar Es Salaam, Tanzania</t>
  </si>
  <si>
    <t>CTZS121</t>
  </si>
  <si>
    <t>Shoppers Plaza, Dar Es Salaam, Tanzania to Dar Es Salaam Tanzania</t>
  </si>
  <si>
    <t>CTZS123</t>
  </si>
  <si>
    <t xml:space="preserve">Airtime for mobile communication </t>
  </si>
  <si>
    <t>CTZS124</t>
  </si>
  <si>
    <t>Bundles for Modem use at the DLG house</t>
  </si>
  <si>
    <t>CTZS125</t>
  </si>
  <si>
    <t>Bundles for phone use</t>
  </si>
  <si>
    <t>CTZS126</t>
  </si>
  <si>
    <t>Purchase of water for use at the delegation office</t>
  </si>
  <si>
    <t>CTZS127</t>
  </si>
  <si>
    <t>Gas for delegate house- this was a back up due to covid-19</t>
  </si>
  <si>
    <t>CTZS128</t>
  </si>
  <si>
    <t>Electricity tokens for Delegate house</t>
  </si>
  <si>
    <t>CTZS129</t>
  </si>
  <si>
    <t>DHL Services- shipment of back up laptop 2019 to Nairobi from Dar Es Salaam</t>
  </si>
  <si>
    <t>CTZS130</t>
  </si>
  <si>
    <t>Vodacom Airtime(bundle)- for the phone</t>
  </si>
  <si>
    <t>Bina Services</t>
  </si>
  <si>
    <t>CTZS131</t>
  </si>
  <si>
    <t>Vodacom bundles for phone</t>
  </si>
  <si>
    <t>CTZS132</t>
  </si>
  <si>
    <t>Simstel connect Limited</t>
  </si>
  <si>
    <t>CTZS133</t>
  </si>
  <si>
    <t>Gas</t>
  </si>
  <si>
    <t>CTZS134</t>
  </si>
  <si>
    <t>Dar Es Salaam to Ocean Road Dar es Salaam TZ, Dar es Salaam 2289, Tanzania</t>
  </si>
  <si>
    <t>CTZS135</t>
  </si>
  <si>
    <t>Ocean Road Dar es Salaam TZ, Dar es Salaam 2289, Tanzania to Dar Es Salaam</t>
  </si>
  <si>
    <t>CTZS136</t>
  </si>
  <si>
    <t>CTZS137</t>
  </si>
  <si>
    <t>CTZS138</t>
  </si>
  <si>
    <t>Ocean Road Dar es Salaam TZ, Dar es Salaam 2289, Tanzania</t>
  </si>
  <si>
    <t>CTZS139</t>
  </si>
  <si>
    <t>Business VISA payment invoice for dependants(husband and child)</t>
  </si>
  <si>
    <t>EMO investment Co. Ltd</t>
  </si>
  <si>
    <t>CTZS140</t>
  </si>
  <si>
    <t>Ridhiwani Lihaji</t>
  </si>
  <si>
    <t>CTZS141</t>
  </si>
  <si>
    <t>Vodacom airtime for phone</t>
  </si>
  <si>
    <t>CTZS142</t>
  </si>
  <si>
    <t>CTZS143</t>
  </si>
  <si>
    <t>CTZS144</t>
  </si>
  <si>
    <t>CTZS145</t>
  </si>
  <si>
    <t>Stationery items(assorted items)</t>
  </si>
  <si>
    <t>Lacco stationery and internet services</t>
  </si>
  <si>
    <t>CTZS146</t>
  </si>
  <si>
    <t>Stationery items (cartridges and business cards for Leila and Ambre)</t>
  </si>
  <si>
    <t>CTZS147</t>
  </si>
  <si>
    <t>CTZS148</t>
  </si>
  <si>
    <t>Afrismart metering solutions</t>
  </si>
  <si>
    <t>CTZS149</t>
  </si>
  <si>
    <t xml:space="preserve">Airtime/bundles for mobile and office communication </t>
  </si>
  <si>
    <t>CTZS150</t>
  </si>
  <si>
    <t>CTZS151</t>
  </si>
  <si>
    <t>Godfrey Sebastian Njau</t>
  </si>
  <si>
    <t>CTZS152</t>
  </si>
  <si>
    <t>Mantainance of the printer/replacement of printer board</t>
  </si>
  <si>
    <t>Reginald Mariki</t>
  </si>
  <si>
    <t>CTZS154</t>
  </si>
  <si>
    <t xml:space="preserve">Payment for COVID-19 test (sample taking and processing of results in the national laboratory. The test were for Taita Bii(Leila's husband, Blessing Bii(Leila's daughter) and Leila Bii. </t>
  </si>
  <si>
    <t>Innocent Sanga(Lab scientist)</t>
  </si>
  <si>
    <t>CKES1</t>
  </si>
  <si>
    <t>Cartridges</t>
  </si>
  <si>
    <t>Reiz Micro computers</t>
  </si>
  <si>
    <t>KES</t>
  </si>
  <si>
    <t>CKES2</t>
  </si>
  <si>
    <t>DHL express sending Cartridges from Nairobi</t>
  </si>
  <si>
    <t>DHL express</t>
  </si>
  <si>
    <t>CKES3</t>
  </si>
  <si>
    <t>Custom payment fee for back up laptop sent from Dar Es Salaam, Tanzania to Nairobi Kenya.</t>
  </si>
  <si>
    <t>BTZS2</t>
  </si>
  <si>
    <t>Comprehensive insurance cover for vehicle T485ASC for period between 01/02/2020 to 31/01/2021</t>
  </si>
  <si>
    <t xml:space="preserve">Jubilee insurance </t>
  </si>
  <si>
    <t>BTZS15</t>
  </si>
  <si>
    <t>Ledger Fee charges</t>
  </si>
  <si>
    <t>Standard Chartered Bank</t>
  </si>
  <si>
    <t>BTZS16</t>
  </si>
  <si>
    <t>VAT charges</t>
  </si>
  <si>
    <t>BTZS50</t>
  </si>
  <si>
    <t>Payment for holding fees - Rent</t>
  </si>
  <si>
    <t>Subira Ali Mchumo</t>
  </si>
  <si>
    <t>BTZS51</t>
  </si>
  <si>
    <t>VAT charges (GR 282)</t>
  </si>
  <si>
    <t>BTZS52</t>
  </si>
  <si>
    <t>VAT charges (GR 281)</t>
  </si>
  <si>
    <t>BTZS53</t>
  </si>
  <si>
    <t>School fees for Blessing Bii (Leila Kibet's daughter)</t>
  </si>
  <si>
    <t>Fares Kisingo International</t>
  </si>
  <si>
    <t>BTZS54</t>
  </si>
  <si>
    <t>VAT charges (GR 344)</t>
  </si>
  <si>
    <t>BTZS55</t>
  </si>
  <si>
    <t>VAT charges (GR 343)</t>
  </si>
  <si>
    <t>BTZS56</t>
  </si>
  <si>
    <t>BTZS57</t>
  </si>
  <si>
    <t>Bank charges</t>
  </si>
  <si>
    <t>AANK1900772</t>
  </si>
  <si>
    <t>AFREK VISA L. KIBET 24/06-23/07/2019</t>
  </si>
  <si>
    <t>CTZS329</t>
  </si>
  <si>
    <t>Gas for use at the delegates house.</t>
  </si>
  <si>
    <t>Muharam real estate company</t>
  </si>
  <si>
    <t>CTZS382</t>
  </si>
  <si>
    <t>Electricity- used at the apartment in Reef Apartments</t>
  </si>
  <si>
    <t>Afrismart Metering solutions</t>
  </si>
  <si>
    <t>CTZS433</t>
  </si>
  <si>
    <t>Data for delegate house</t>
  </si>
  <si>
    <t>Allied Mobile Communications, Tanzania</t>
  </si>
  <si>
    <t>CTZS480</t>
  </si>
  <si>
    <t>Stationery (Printer Catridge 935 Black)</t>
  </si>
  <si>
    <t>Lacco stationery and Internet Services</t>
  </si>
  <si>
    <t>CTZS482</t>
  </si>
  <si>
    <t>DHL - delivery of Tenancy Agreement to Mechelen</t>
  </si>
  <si>
    <t>CTZS271</t>
  </si>
  <si>
    <t>Airtime vouchers</t>
  </si>
  <si>
    <t>Hemed Salum Khalfan</t>
  </si>
  <si>
    <t>CTZS293</t>
  </si>
  <si>
    <t>Stationery items - sticky Tape</t>
  </si>
  <si>
    <t>Lacco stationery and Internet services</t>
  </si>
  <si>
    <t>CTZS294</t>
  </si>
  <si>
    <t>Stationery items - Printing papers</t>
  </si>
  <si>
    <t>CTZS309</t>
  </si>
  <si>
    <t>Modem-  accessories</t>
  </si>
  <si>
    <t>CTZS310</t>
  </si>
  <si>
    <t>Stationery items- 2 ink cartridge HP934</t>
  </si>
  <si>
    <t>CTZS318</t>
  </si>
  <si>
    <t>Printing, Colored paper, Internet service</t>
  </si>
  <si>
    <t>CTZS387</t>
  </si>
  <si>
    <t>Airtime and data bundles</t>
  </si>
  <si>
    <t>CTZS452</t>
  </si>
  <si>
    <t>CTZS454</t>
  </si>
  <si>
    <t>CTZS460</t>
  </si>
  <si>
    <t>Bundles</t>
  </si>
  <si>
    <t>CTZS472</t>
  </si>
  <si>
    <t>CTZS333</t>
  </si>
  <si>
    <t>Payment of costs for changing local flight from Mbeya to Dar Es Salaam</t>
  </si>
  <si>
    <t>CTZS323</t>
  </si>
  <si>
    <t>Dar Es Salaam, Tanzania to Makumbusho, Dar Es Salaam, Tanzania</t>
  </si>
  <si>
    <t>CTZS324</t>
  </si>
  <si>
    <t>CTZS325</t>
  </si>
  <si>
    <t>Makumbusho, Dar Es Salaam Tanzania to Dar Es Salaam, Tanzania</t>
  </si>
  <si>
    <t>CTZS326</t>
  </si>
  <si>
    <t>Mlimani City Entrance 1 to Dar Es Salaam, Tanzania to Makumbusho, Dar Es Salaam, Tanzania</t>
  </si>
  <si>
    <t>CTZS327</t>
  </si>
  <si>
    <t>Old Bagamoyo Rd, Dar Es Salaam, Tanzania to Dar Es Salaam, Tanzania</t>
  </si>
  <si>
    <t>CTZS328</t>
  </si>
  <si>
    <t>Julius Nyerere International Airport to Julius K. Nyerere Road, Dar Es Salaam, Tanzania</t>
  </si>
  <si>
    <t>CTZS330</t>
  </si>
  <si>
    <t>Taxi costs from Julius Nyerere International Airport to Mikocheni B- Reef apartments</t>
  </si>
  <si>
    <t>Airport Taxi Cooperative Society Ltd(ATACOS LTD)</t>
  </si>
  <si>
    <t>CTZS331</t>
  </si>
  <si>
    <t>CTZS332</t>
  </si>
  <si>
    <t>52A Mwai Kibaki Rd, Dar Es Salaam, Tanzania to Dar Es Salaam, Tanzania</t>
  </si>
  <si>
    <t>CTZS334</t>
  </si>
  <si>
    <t>CTZS335</t>
  </si>
  <si>
    <t>Corner of Haile Selassie and Ali Hassan Mwinyi Roads, Dar Es Salaam, Tanzania to Haile selassie Rd, Dar Es Salaam, Tanzania</t>
  </si>
  <si>
    <t>CTZS336</t>
  </si>
  <si>
    <t>91 Guinea Rd, Dar Es Salaam, Tanzania to Chagga St, Dar Es Salaam, Tanzania</t>
  </si>
  <si>
    <t>CTZS337</t>
  </si>
  <si>
    <t>Chagga St, Dar Es Salaam Tanzania to Dar Es Salaam, Tanzania</t>
  </si>
  <si>
    <t>CTZS338</t>
  </si>
  <si>
    <t>Dar Es Salaam, Tanzania to Sandali, Dar Es Salaam, Tanzania</t>
  </si>
  <si>
    <t>CTZS339</t>
  </si>
  <si>
    <t>CTZS340</t>
  </si>
  <si>
    <t>CTZS342</t>
  </si>
  <si>
    <t>CTZS343</t>
  </si>
  <si>
    <t>CTZS344</t>
  </si>
  <si>
    <t>CTZS345</t>
  </si>
  <si>
    <t>CTZS346</t>
  </si>
  <si>
    <t>Dar Es Salaam, Tanzania to Tanzania Red Cross Society</t>
  </si>
  <si>
    <t>CTZS347</t>
  </si>
  <si>
    <t>CTZS348</t>
  </si>
  <si>
    <t>CTZS349</t>
  </si>
  <si>
    <t>CTZS351</t>
  </si>
  <si>
    <t>CTZS353</t>
  </si>
  <si>
    <t>CTZS354</t>
  </si>
  <si>
    <t>Dar Es Salaam, Tanzania to Kariokoo, Dar Es Salaam, Tanzania</t>
  </si>
  <si>
    <t>CTZS355</t>
  </si>
  <si>
    <t>CTZS356</t>
  </si>
  <si>
    <t>Mwembe Chai St, Dar Es Salaam, Tanzania to Dar Es Salaam, Tanzania</t>
  </si>
  <si>
    <t>CTZS358</t>
  </si>
  <si>
    <t>CTZS359</t>
  </si>
  <si>
    <t>Julius Nyerere International Airport, Dar Es Salaam to Mikocheni</t>
  </si>
  <si>
    <t>CTZS360</t>
  </si>
  <si>
    <t>CTZS361</t>
  </si>
  <si>
    <t>CTZS363</t>
  </si>
  <si>
    <t>Taxi cost for trips from Reef apartment to Tanzania Red Cross Society from 8th Oct 2019 to 11 oct 2019.</t>
  </si>
  <si>
    <t>Tanzania Transporters Services(Maneno Matthias)</t>
  </si>
  <si>
    <t>CTZS364</t>
  </si>
  <si>
    <t>Dar Es Salaam, Tanzania to Mwai Kibaki Rd, Dar Es Salaam, Tanzania</t>
  </si>
  <si>
    <t>CTZS365</t>
  </si>
  <si>
    <t>Mlimani City to Mlalakula</t>
  </si>
  <si>
    <t>Tanzania Taxi Cabs Services</t>
  </si>
  <si>
    <t>CTZS366</t>
  </si>
  <si>
    <t xml:space="preserve">Julius Nyerere International Airport Terminal 3 Julius Nyerere International Airport </t>
  </si>
  <si>
    <t>CTZS367</t>
  </si>
  <si>
    <t>CTZS368</t>
  </si>
  <si>
    <t>Red Cross Society Mikocheni to Dar Es Salaam, Tanzania</t>
  </si>
  <si>
    <t>CTZS370</t>
  </si>
  <si>
    <t>CTZS371</t>
  </si>
  <si>
    <t>Rose Garden Rd, Dar Es Salaam, Tanzania to Dar Es Salaam, Tanzania</t>
  </si>
  <si>
    <t>CTZS372</t>
  </si>
  <si>
    <t>Complex St, Dar Es Salaam, Tanzania to Dar Es Salaam, Tanzania</t>
  </si>
  <si>
    <t>CTZS377</t>
  </si>
  <si>
    <t>Julius Nyerere International Airport to Dar Es Salaam,Tanzania</t>
  </si>
  <si>
    <t>CTZS378</t>
  </si>
  <si>
    <t>CTZS379</t>
  </si>
  <si>
    <t>Mwai Kibaki Dar Es Salaam, Tanzania to Kawe, Dar Es Salaam, Tanzania</t>
  </si>
  <si>
    <t>CTZS380</t>
  </si>
  <si>
    <t>CTZS381</t>
  </si>
  <si>
    <t>CTZS383</t>
  </si>
  <si>
    <t>CTZS384</t>
  </si>
  <si>
    <t>CTZS385</t>
  </si>
  <si>
    <t>CTZS386</t>
  </si>
  <si>
    <t>CTZS388</t>
  </si>
  <si>
    <t>CTZS389</t>
  </si>
  <si>
    <t>CTZS390</t>
  </si>
  <si>
    <t>Old bagamoyo R, Dar Es Salaam, Tanzania to 124 Algeria St, Dar Es Salaam, Tanzania</t>
  </si>
  <si>
    <t>CTZS391</t>
  </si>
  <si>
    <t>Bibi Titi Mohammed St, Dar Es Salaam, Tanzania to Old Bagamoyo Rd, Dar Es Salaam, Tanzania</t>
  </si>
  <si>
    <t>CTZS392</t>
  </si>
  <si>
    <t>Old Bagamoyo Rd, Dar Es Salaam, Tanzania to Mwai Kibaki Rd, Dar Es Salaam, Tanzania</t>
  </si>
  <si>
    <t>CTZS393</t>
  </si>
  <si>
    <t>Ursino St, Dar Es Salaam, Tanzania to Old Bagamoyo Rd, Dar Es Salaam, Tanzania</t>
  </si>
  <si>
    <t>CTZS394</t>
  </si>
  <si>
    <t>Old Bagamoyo Rd, Dar Es Salaam, Tanzania to Makumbusho, Dar Es Salaam, Tanzania</t>
  </si>
  <si>
    <t>CTZS395</t>
  </si>
  <si>
    <t>Makumbusho, Dar Es Salaam Tanzania to Old Bagamoyo Rd, Dar Es Salaam, Tanzania</t>
  </si>
  <si>
    <t>CTZS396</t>
  </si>
  <si>
    <t>Old Bagamoyo Rd, Dar Es Salaam, Tanzania to 32 Ursino St, Dar Es Salaam, Tanzania</t>
  </si>
  <si>
    <t>CTZS397</t>
  </si>
  <si>
    <t>Arcade Building, Mwai Kibaki Rd, Dar Es Salaam, Tanzania to Old Bagamoyo Rd, Dar Es Salaam, Tanzania</t>
  </si>
  <si>
    <t>CTZS398</t>
  </si>
  <si>
    <t>52A Mwai Kibaki Rd, Dar Es Salaam, Tanzania to Old Bagamoyo Rd, Tanzania</t>
  </si>
  <si>
    <t>CTZS399</t>
  </si>
  <si>
    <t>Old Bagamoyo Rd, Dar Es Salaam, Tanzania to 52A Mwai Kibaki Rd, Dar Es Salaam, Tanzania</t>
  </si>
  <si>
    <t>CTZS400</t>
  </si>
  <si>
    <t>CTZS401</t>
  </si>
  <si>
    <t>Processing of a local driving Licence</t>
  </si>
  <si>
    <t xml:space="preserve">Tanzania Revenue Authority </t>
  </si>
  <si>
    <t>CTZS402</t>
  </si>
  <si>
    <t>CTZS403</t>
  </si>
  <si>
    <t>CTZS404</t>
  </si>
  <si>
    <t>CTZS405</t>
  </si>
  <si>
    <t>Old Bagamoyo Rd, Dar Es Salaam, Tanzania to Old Bagamoyo Rd, Dar Es Salaam, Tanzania</t>
  </si>
  <si>
    <t>CTZS406</t>
  </si>
  <si>
    <t>CTZS407</t>
  </si>
  <si>
    <t>CTZS408</t>
  </si>
  <si>
    <t>CTZS409</t>
  </si>
  <si>
    <t>PLOT NO. 387/1 Mwai Kibaki Rd, Kawe Beach, Dar Es Salaam, Tanzania to Unnamed Road, Dar Es Salaam, Tanzania</t>
  </si>
  <si>
    <t>CTZS410</t>
  </si>
  <si>
    <t>Mlimani City Entrance 1 to Dar Es Salaam, Tanzania</t>
  </si>
  <si>
    <t>CTZS411</t>
  </si>
  <si>
    <t>CTZS412</t>
  </si>
  <si>
    <t>CTZS413</t>
  </si>
  <si>
    <t>CTZS414</t>
  </si>
  <si>
    <t>CTZS415</t>
  </si>
  <si>
    <t>CTZS416</t>
  </si>
  <si>
    <t xml:space="preserve">Dar Es Salaam, Tanzania to Mkwawa Rd, Dar Es Salaam 10970, Tanzania </t>
  </si>
  <si>
    <t>CTZS417</t>
  </si>
  <si>
    <t>Mkwawa Rd, Dar Es Salaam 10970, Tanzania to Sam Nujoma Rd, Dar Es Salaam, Tanzania</t>
  </si>
  <si>
    <t>CTZS418</t>
  </si>
  <si>
    <t>Mlimani City Entrance 2 to Dar Es Salaam, Tanzania</t>
  </si>
  <si>
    <t>CTZS419</t>
  </si>
  <si>
    <t>CTZS420</t>
  </si>
  <si>
    <t>CTZS421</t>
  </si>
  <si>
    <t>CTZS422</t>
  </si>
  <si>
    <t>CTZS423</t>
  </si>
  <si>
    <t>CTZS424</t>
  </si>
  <si>
    <t>CTZS425</t>
  </si>
  <si>
    <t>Mesuma Plus Hotel to Dar Es Salaam, Tanzania</t>
  </si>
  <si>
    <t>CTZS426</t>
  </si>
  <si>
    <t>Complex St, Dar Es Salaam, Tanzania to 180 Msasani Bay, Dar Es Salaam, Tanzania</t>
  </si>
  <si>
    <t>CTZS427</t>
  </si>
  <si>
    <t>180 Msasani Bay, Dar Es Salaam, Tanzania to Dar Es Salaam, Tanzania</t>
  </si>
  <si>
    <t>CTZS428</t>
  </si>
  <si>
    <t>CTZS429</t>
  </si>
  <si>
    <t>CTZS430</t>
  </si>
  <si>
    <t>CTZS431</t>
  </si>
  <si>
    <t>CTZS434</t>
  </si>
  <si>
    <t>CTZS435</t>
  </si>
  <si>
    <t>CTZS436</t>
  </si>
  <si>
    <t>CTZS437</t>
  </si>
  <si>
    <t>CTZS438</t>
  </si>
  <si>
    <t>Dar Es Salaam, Tanzania to 180 Msasani Bay, Dar Es Salaam, Tanzania</t>
  </si>
  <si>
    <t>CTZS439</t>
  </si>
  <si>
    <t>CTZS440</t>
  </si>
  <si>
    <t>Dar Es Salaam, Tanzania to Jamana House, Plot No. 09, Nyerere Road, Dar Es Salaam 38656 Tanzania</t>
  </si>
  <si>
    <t>CTZS441</t>
  </si>
  <si>
    <t>Orca Deco to Reef apartments</t>
  </si>
  <si>
    <t xml:space="preserve">Umoja wa Wamiliki na Madeleva Taxi DSM </t>
  </si>
  <si>
    <t>CTZS442</t>
  </si>
  <si>
    <t>CTZS443</t>
  </si>
  <si>
    <t>Mwai Kibaki Dar Es Salaam, Tanzania to Swahili St, Dar Es Salaam, Tanzania</t>
  </si>
  <si>
    <t>CTZS444</t>
  </si>
  <si>
    <t>Kariokoo Market, Swahili St, Dar Es Salaam, Tanzania to Dar Es Salaam, Tanzania</t>
  </si>
  <si>
    <t>CTZS445</t>
  </si>
  <si>
    <t>Dar Es Salaam, Tanzania to Slipway Rd, Dar Es Salaam, Tanzania</t>
  </si>
  <si>
    <t>CTZS446</t>
  </si>
  <si>
    <t>Slipway Rd, Dar Es Salaam, Tanzania to Dar Es Salaam, Tanzania</t>
  </si>
  <si>
    <t>CTZS447</t>
  </si>
  <si>
    <t>Julius Nyerere International Airport to Dar Es Salaam, Tanzania</t>
  </si>
  <si>
    <t>CTZS448</t>
  </si>
  <si>
    <t>Dar Es Salaam Tanzania to Julius K.Nyerere Rd, Dar Es Salaam, Tanzania</t>
  </si>
  <si>
    <t>CTZS449</t>
  </si>
  <si>
    <t>Makumbusho, Dar Es Salaam, Tanzania to Chagga St, Dar Es Salaam, Tanzania</t>
  </si>
  <si>
    <t>CTZS450</t>
  </si>
  <si>
    <t>CTZS451</t>
  </si>
  <si>
    <t>Dar Es Salaam, Tanzania to 52A Mwai Kibaki, Dar Es Salaam, Tanzania</t>
  </si>
  <si>
    <t>CTZS453</t>
  </si>
  <si>
    <t>CTZS455</t>
  </si>
  <si>
    <t>CTZS456</t>
  </si>
  <si>
    <t>CTZS457</t>
  </si>
  <si>
    <t>Mwai Kiabki Rd, Dar Es Salaam, Tanzania to Dar Es Salaam, Tanzania</t>
  </si>
  <si>
    <t>CTZS458</t>
  </si>
  <si>
    <t>Dar Es Salaam, Tanzania to Plot 956/1412, Coral Lane Masaki Peninsula Dar Es Salaam TZ</t>
  </si>
  <si>
    <t>CTZS459</t>
  </si>
  <si>
    <t>CTZS461</t>
  </si>
  <si>
    <t>CTZS462</t>
  </si>
  <si>
    <t>CTZS463</t>
  </si>
  <si>
    <t>Haile Selasie Rd, Dar Es Salaam, Tanzania to Julius K. Nyerere Rd, Dar Es Salaam, Tanzania</t>
  </si>
  <si>
    <t>CTZS464</t>
  </si>
  <si>
    <t>CTZS465</t>
  </si>
  <si>
    <t>Mlimani City to Mikocheni</t>
  </si>
  <si>
    <t>CTZS466</t>
  </si>
  <si>
    <t>CTZS467</t>
  </si>
  <si>
    <t>Chagga St, Dar Es Salaam Tanzania to Haile Selassie Rd, Dar Es Salaam, Tanzania</t>
  </si>
  <si>
    <t>CTZS468</t>
  </si>
  <si>
    <t>Haile Selasie Rd, Dar Es Salaam, Tanzania to Sam Nujoma Rd, Dar Es Salaam, Tanzania</t>
  </si>
  <si>
    <t>CTZS469</t>
  </si>
  <si>
    <t>CTZS470</t>
  </si>
  <si>
    <t>CTZS471</t>
  </si>
  <si>
    <t>CTZS473</t>
  </si>
  <si>
    <t>CTZS474</t>
  </si>
  <si>
    <t>CTZS475</t>
  </si>
  <si>
    <t>CTZS476</t>
  </si>
  <si>
    <t>CTZS477</t>
  </si>
  <si>
    <t>CTZS478</t>
  </si>
  <si>
    <t>CTZS481</t>
  </si>
  <si>
    <t>CTZS483</t>
  </si>
  <si>
    <t>Barakani Rd, Dar Es Salaam, Tanzania to Sam Nujoma Rd, Dar Es Salaam, Tanzania</t>
  </si>
  <si>
    <t>CTZS484</t>
  </si>
  <si>
    <t>Sam Nujoma Rd, Dar Es Salaam, Tanzania to Dar Es Salaam, Tanzania</t>
  </si>
  <si>
    <t>CTZS485</t>
  </si>
  <si>
    <t>Airport to Morena Hotel in Dodoma town</t>
  </si>
  <si>
    <t>Dodoma Taxi Drivers Association</t>
  </si>
  <si>
    <t>CTZS486</t>
  </si>
  <si>
    <t>Morena Hotel to the Prime Ministers office in Dodoma town</t>
  </si>
  <si>
    <t>CTZS487</t>
  </si>
  <si>
    <t>CTZS489</t>
  </si>
  <si>
    <t>CTZS490</t>
  </si>
  <si>
    <t>CTZS491</t>
  </si>
  <si>
    <t>CTZS492</t>
  </si>
  <si>
    <t>CTZS493</t>
  </si>
  <si>
    <t>CTZS494</t>
  </si>
  <si>
    <t>Dar Es Salaam, Tanzania to Golden Jubilee Towers, Mtaa wa Ohio, Dar Es Salaam, Tanzania</t>
  </si>
  <si>
    <t>CTZS495</t>
  </si>
  <si>
    <t>Golden Jubilee Towers, Mtaa wa Ohio, Dar Es Salaam, Tanzania to Dar Es Salaam, Tanzania</t>
  </si>
  <si>
    <t>CTZS496</t>
  </si>
  <si>
    <t>CTZS497</t>
  </si>
  <si>
    <t>40 litres fuel for T485ASC</t>
  </si>
  <si>
    <t>Mokutari Company Limited</t>
  </si>
  <si>
    <t>CTZS286</t>
  </si>
  <si>
    <t>Stationery items(sticky notes and Pen stand)</t>
  </si>
  <si>
    <t>Wanlong Supermarket</t>
  </si>
  <si>
    <t>CTZS341</t>
  </si>
  <si>
    <t>CTZS352</t>
  </si>
  <si>
    <t>Stationery items(File holder, Eraser and brown envelope)</t>
  </si>
  <si>
    <t>Tremol M(Lacco stationery and internet services)</t>
  </si>
  <si>
    <t>CTZS362</t>
  </si>
  <si>
    <t>Parcel to Belgium, through DHL</t>
  </si>
  <si>
    <t>CTZS369</t>
  </si>
  <si>
    <t>Stationery Items(HP 934 Black and HP 935 Color)</t>
  </si>
  <si>
    <t>CTZS488</t>
  </si>
  <si>
    <t>Hotel room costs for stay of one night on 15th Dec 2019</t>
  </si>
  <si>
    <t>Morena Hotel Limited</t>
  </si>
  <si>
    <t>CTZS322=V31</t>
  </si>
  <si>
    <t>Cash withdrawal fees</t>
  </si>
  <si>
    <t>Bank</t>
  </si>
  <si>
    <t>BANKKOSTEN GELDAFHALING</t>
  </si>
  <si>
    <t>CEUR17</t>
  </si>
  <si>
    <t>Perdiems paid to Janeth Burton for attending DP3 inception workshop</t>
  </si>
  <si>
    <t>Janeth Burton</t>
  </si>
  <si>
    <t>CEUR18</t>
  </si>
  <si>
    <t>Perdiems paid to Jonston Weston for attending DP3 inception workshop</t>
  </si>
  <si>
    <t>CEUR19</t>
  </si>
  <si>
    <t>CEUR20</t>
  </si>
  <si>
    <t>Hotel Portifino to Remera and back to Hotel Portifno</t>
  </si>
  <si>
    <t>Taxi +250788565758</t>
  </si>
  <si>
    <t>Pick up from Kigali International Airport to Hotel Portifino</t>
  </si>
  <si>
    <t>Cooperative Abanyamurava Taxi Service</t>
  </si>
  <si>
    <t>CUSD7</t>
  </si>
  <si>
    <t>Perdiem cost for Tapiwa Chadoka(Facilitator, Community Early Warning Systems Training in Tanzania)</t>
  </si>
  <si>
    <t>CTZS350</t>
  </si>
  <si>
    <t>Printing of training materials for DP3 project</t>
  </si>
  <si>
    <t>Anfield Investment</t>
  </si>
  <si>
    <t>Totaal Country-Rep (programme delegate + regional expert delegate DP) - DLG cost</t>
  </si>
  <si>
    <t>DIV200235</t>
  </si>
  <si>
    <t>Huur L. Kibet 2019 (Sep -&gt; Dec) van DPII naar DPIII</t>
  </si>
  <si>
    <t>INTL-014349-KBC828920000023-ONKOSTEN200153-ONK Chepkemboi Kibet</t>
  </si>
  <si>
    <t>LOON L. KIBET 01/2020</t>
  </si>
  <si>
    <t>LOON L. KIBET 02/2020</t>
  </si>
  <si>
    <t>DIV200238</t>
  </si>
  <si>
    <t>Loonkosten L. Kibet 2019 (Sep -&gt; Dec) van DPII naar DPIII</t>
  </si>
  <si>
    <t>Bezoldiging Chepkemboi Kibet Leila 11/2020</t>
  </si>
  <si>
    <t>DIV200769</t>
  </si>
  <si>
    <t>INTL-013521-PERS PEG20008-Bezoldiging  Chepkemboi Kibet Leila 08/2020</t>
  </si>
  <si>
    <t>LOON L. KIBET 03/2020</t>
  </si>
  <si>
    <t>LOON L. KIBET 04/2020</t>
  </si>
  <si>
    <t>LOON L. KIBET 05/2020</t>
  </si>
  <si>
    <t>LOON L. KIBET 06/2020</t>
  </si>
  <si>
    <t>LOON L. KIBET 07/2020</t>
  </si>
  <si>
    <t>Bezoldiging  Chepkemboi Kibet Leila 09/2020</t>
  </si>
  <si>
    <t>Bezoldiging  Chepkemboi Kibet Leila 10/2020</t>
  </si>
  <si>
    <t>Beheerskosten Chepkemboi Kibet Leila 12/2020</t>
  </si>
  <si>
    <t>EXPAT &amp; CO PERIODE 03/2020 L. KIBET</t>
  </si>
  <si>
    <t>EXPAT &amp; CO 22527 PERIODE 04/2020 L. KIBET</t>
  </si>
  <si>
    <t>EXPAT &amp; CO 22815 PERIODE 05/2020 L. KIBET</t>
  </si>
  <si>
    <t>EXPAT &amp; CO PERIODE 06/2020 L. KIBET</t>
  </si>
  <si>
    <t>EXPAT&amp;CO 23583 PERIODE 08/2020 L. KIBET</t>
  </si>
  <si>
    <t>AANK2000550</t>
  </si>
  <si>
    <t>EXPAT&amp;CO 24197 PERIODE 10/2020 L. KIBET</t>
  </si>
  <si>
    <t>EXPAT &amp; CO 24715 - 11/2020 - L.KIBET</t>
  </si>
  <si>
    <t>EXPAT &amp; CO 24823 - 12/2020 - L.KIBET</t>
  </si>
  <si>
    <t>EXPAT &amp; CO 24715 - 10/2020 - L.KIBET</t>
  </si>
  <si>
    <t>AANK2000767</t>
  </si>
  <si>
    <t>EXPAT &amp; Co 01/2021-02/2021 CHEPKOROS BII BLESSING - BLL TAIT</t>
  </si>
  <si>
    <t>EXPAT &amp; CO PERIODE 01/2020 L. KIBET</t>
  </si>
  <si>
    <t>EXPAT &amp; CO PERIODE 02/2020 L. KIBET</t>
  </si>
  <si>
    <t>DIV200236</t>
  </si>
  <si>
    <t>Expat &amp; Co L. Kibet 2019 (Sep -&gt; Dec) van DPII naar DPIII</t>
  </si>
  <si>
    <t>DIV200268</t>
  </si>
  <si>
    <t>AANK2000376 - L. KIBET 07/2020</t>
  </si>
  <si>
    <t>DIV200533</t>
  </si>
  <si>
    <t>4900202100 - 6133710000 - corr fam. L.Kibet (B.Chepkoros &amp; T.Bil) 11-12/2020 - Expat en Co ft25729</t>
  </si>
  <si>
    <t>AANK2000588-EXPAT&amp;CO 24567 PERIODE 11/2020 L. KIBET</t>
  </si>
  <si>
    <t>LOON L. KIBET 03/2020 EXTRA</t>
  </si>
  <si>
    <t>Bezoldiging Chepkemboi Kibet Leila 09/2020</t>
  </si>
  <si>
    <t>Bezoldiging Chepkemboi Kibet Leila 10/2020</t>
  </si>
  <si>
    <t>Bezoldiging Chepkemboi Kibet Leila 12/2020</t>
  </si>
  <si>
    <t>LONEN DELEGEES 01/20</t>
  </si>
  <si>
    <t>BK LOON GROUP S 02/2020 LEILA</t>
  </si>
  <si>
    <t>INTL-014349-KBC828920000023-ONKOSTEN200141-ONK Chepkemboi Kibet L DHL 2020-09-15 payment made for sendi</t>
  </si>
  <si>
    <t>DIV200664</t>
  </si>
  <si>
    <t>INTL-013199-KBC515920000095-LONEN 06/2020 BANKKOST</t>
  </si>
  <si>
    <t>DIV200665</t>
  </si>
  <si>
    <t>INTL-013331-KBC515920000107-LONEN 07/2021 BANKKOSTEN</t>
  </si>
  <si>
    <t>DIV200666</t>
  </si>
  <si>
    <t>"INTL-013633-KBC515920000127-LONEN 08/2020 BANKKOSTEN                                                      "</t>
  </si>
  <si>
    <t>DIV200667</t>
  </si>
  <si>
    <t>INTL-013965-KBC515920000138- LONEN 09/2020 BANKKOSTEN</t>
  </si>
  <si>
    <t>DIV200668</t>
  </si>
  <si>
    <t>INTL-014452-KBC515920000154-LONEN 10/2020 BANKKOSTEN</t>
  </si>
  <si>
    <t>DIV200669</t>
  </si>
  <si>
    <t>"INTL-014690-KBC515920000171-LONEN 11/2020 BANKKOSTEN</t>
  </si>
  <si>
    <t>DIV200670</t>
  </si>
  <si>
    <t>INTL-015222-KBC515920000189-LONEN 12/2020 BANKKOSTEN</t>
  </si>
  <si>
    <t>KBC515920000047</t>
  </si>
  <si>
    <t>BK LOONKOST 03/20 LEILA</t>
  </si>
  <si>
    <t>KBC515920000063</t>
  </si>
  <si>
    <t>BANKKOST LOON 04/2020 LEILA</t>
  </si>
  <si>
    <t>KBC515920000078</t>
  </si>
  <si>
    <t>LONEN 05/2020 LEILA</t>
  </si>
  <si>
    <t>KBC515920000082</t>
  </si>
  <si>
    <t>LONEN 05/2020 BANKKOST</t>
  </si>
  <si>
    <t>INTL-140000829</t>
  </si>
  <si>
    <t>DIV190679</t>
  </si>
  <si>
    <t>BK LOON 12/2019 LEILA</t>
  </si>
  <si>
    <t>Leila Kibet</t>
  </si>
  <si>
    <t>KBC515919153</t>
  </si>
  <si>
    <t>BK LOON LEILA 11/2019</t>
  </si>
  <si>
    <t>KBC515919140</t>
  </si>
  <si>
    <t>BK LOON 10/2019 LEILA</t>
  </si>
  <si>
    <t>KBC515919129</t>
  </si>
  <si>
    <t>BK LOON LEILA 09/2019</t>
  </si>
  <si>
    <t>Totaal Country-Rep (programme delegate + regional expert delegate DP) - Salary cost</t>
  </si>
  <si>
    <t>NMBM/000334</t>
  </si>
  <si>
    <t>Perdiems for distribution of relief items during floods response in Dodoma</t>
  </si>
  <si>
    <t>Stewart  Kivava</t>
  </si>
  <si>
    <t>NMBM/000333</t>
  </si>
  <si>
    <t>Michael Mshingo</t>
  </si>
  <si>
    <t>IFRF/DP/00059</t>
  </si>
  <si>
    <t>NMBM/000332</t>
  </si>
  <si>
    <t>Volunteer allowances for distribution of relief item during flood, Dodoma</t>
  </si>
  <si>
    <t>Pius  Tungo</t>
  </si>
  <si>
    <t>NMBM/000346</t>
  </si>
  <si>
    <t xml:space="preserve">Fuel/Mileage distribution of relief items </t>
  </si>
  <si>
    <t>TRCS Motor vehicle</t>
  </si>
  <si>
    <t>NMBM/000354</t>
  </si>
  <si>
    <t>Perdiems while travelling with Salehe Weso(truck driver) to Kyela to deliver Non Food Items</t>
  </si>
  <si>
    <t>Hassan Yunus</t>
  </si>
  <si>
    <t>NMBM/000353</t>
  </si>
  <si>
    <t xml:space="preserve">Perdiem , NFI transportation from Dodoma warehouse to floods area in Kyela </t>
  </si>
  <si>
    <t>Salehe Bakari Wendo</t>
  </si>
  <si>
    <t>NMBM/000355</t>
  </si>
  <si>
    <t>NMBM/000358</t>
  </si>
  <si>
    <t>Per diems for 3 TRCS staff while coordinating Cyclone JOBO preparedness activities in Zanzibar</t>
  </si>
  <si>
    <t>Jonston,Zuberi and Suleiman</t>
  </si>
  <si>
    <t>Airticket Pemba to Unguja</t>
  </si>
  <si>
    <t>Coastal</t>
  </si>
  <si>
    <t>IRF/DPIII/00067</t>
  </si>
  <si>
    <t>Fuel during distribution of Non Food Items</t>
  </si>
  <si>
    <t>Nassor service station co ltd</t>
  </si>
  <si>
    <t>Volunteer allowance during distribution  of Non Food Items</t>
  </si>
  <si>
    <t>7 community volunteers</t>
  </si>
  <si>
    <t>Fuel transportation of Non Food Items to Kyela</t>
  </si>
  <si>
    <t>Totaal Crisis modifier</t>
  </si>
  <si>
    <t>IFRF/DP/00049</t>
  </si>
  <si>
    <t>Volunteer allowances flood impact assessment Dar es salaam</t>
  </si>
  <si>
    <t>Volunteers  Dar es salaam Branch</t>
  </si>
  <si>
    <t>Volunteer allowances  Dar es salaam Multi Agency Emergency Response Team</t>
  </si>
  <si>
    <t>DAEMART</t>
  </si>
  <si>
    <t xml:space="preserve">Volunteer allowances </t>
  </si>
  <si>
    <t>Ward leaders</t>
  </si>
  <si>
    <t>Half perdiem</t>
  </si>
  <si>
    <t>TRCS Dar branch staff</t>
  </si>
  <si>
    <t>IFRF/DP/00050</t>
  </si>
  <si>
    <t>Allowances for PMO-DMD -Flood impact detailed assessment Dar es salaam</t>
  </si>
  <si>
    <t>John Mathias&amp;Winfrida Ngowi</t>
  </si>
  <si>
    <t>TRCS HQ volunteers</t>
  </si>
  <si>
    <t xml:space="preserve">Transport refund </t>
  </si>
  <si>
    <t>Communication cost</t>
  </si>
  <si>
    <t>Fuel cost</t>
  </si>
  <si>
    <t xml:space="preserve">Tanzania Redcross </t>
  </si>
  <si>
    <t>Totaal Crisis modifier for health emergencies</t>
  </si>
  <si>
    <t>DDM  (100%)</t>
  </si>
  <si>
    <t>Viva Oliva Shoo</t>
  </si>
  <si>
    <t xml:space="preserve"> Staff Medical  May 2020</t>
  </si>
  <si>
    <t>Totaal DDM  (100%)</t>
  </si>
  <si>
    <t>Doorrekening loonkost DPIII Tanzania Donor Relations</t>
  </si>
  <si>
    <t>DPIII Tanzania Donor Relations</t>
  </si>
  <si>
    <t>DIV210534</t>
  </si>
  <si>
    <t>DPIII Loonkost Q3 - Donor Relations Tanzania</t>
  </si>
  <si>
    <t>DIV210819</t>
  </si>
  <si>
    <t>DPIII Loonkost Q4 - Donor Relations Tanzania</t>
  </si>
  <si>
    <t>DIV211357</t>
  </si>
  <si>
    <t>DPIII Loonkostrecuperatie 2021 - Donor Relations Tanzania</t>
  </si>
  <si>
    <t>DP Manager (100%)</t>
  </si>
  <si>
    <t>Jonson Weston</t>
  </si>
  <si>
    <t xml:space="preserve"> Staff Medical December  2019</t>
  </si>
  <si>
    <t>NMBM/000423</t>
  </si>
  <si>
    <t>Staff Salaries August 2021</t>
  </si>
  <si>
    <t>Housing Allowance  August 2021</t>
  </si>
  <si>
    <t>NMBM/000426</t>
  </si>
  <si>
    <t>NSSF Employer's Contribution for August  2021</t>
  </si>
  <si>
    <t>Leave Passage &amp; Pay August2021</t>
  </si>
  <si>
    <t>NMBM/000428</t>
  </si>
  <si>
    <t xml:space="preserve"> Staff Medical  August 2021</t>
  </si>
  <si>
    <t>NMBM/000427</t>
  </si>
  <si>
    <t>Workman's Compensation Fund August  2021</t>
  </si>
  <si>
    <t>NMBM/000445</t>
  </si>
  <si>
    <t>Staff Salaries September 2021</t>
  </si>
  <si>
    <t>NMBM/000446</t>
  </si>
  <si>
    <t>NMBM/000447</t>
  </si>
  <si>
    <t xml:space="preserve"> Staff Medical  September  2021</t>
  </si>
  <si>
    <t>NMBM/000449</t>
  </si>
  <si>
    <t>Totaal DP Manager (100%)</t>
  </si>
  <si>
    <t>DIV210546</t>
  </si>
  <si>
    <t>DPIII Loonkost Q3 - DR Officer Tanzania</t>
  </si>
  <si>
    <t>DIV210831</t>
  </si>
  <si>
    <t>DPIII Loonkost Q4 - DR Officer Tanzania</t>
  </si>
  <si>
    <t>DIV211369</t>
  </si>
  <si>
    <t>DPIII Loonkostrecuperatie 2021 - FP Distributions/Disaster Response Tanzania</t>
  </si>
  <si>
    <t>NMBM/000374</t>
  </si>
  <si>
    <t>Allowances for district government officials while developing district contigency plan</t>
  </si>
  <si>
    <t>15 participants</t>
  </si>
  <si>
    <t>NMBM/000373</t>
  </si>
  <si>
    <t>IFRF/DPIII/00062</t>
  </si>
  <si>
    <t>Conference package (hall hire, tea and lunch) for the days of the workshop</t>
  </si>
  <si>
    <t>Rukia House of taste</t>
  </si>
  <si>
    <t>IFRF/DPIII/00063</t>
  </si>
  <si>
    <t>Assorted stationery for use in TRCS office in Kyela</t>
  </si>
  <si>
    <t>Gwamaka General Supply</t>
  </si>
  <si>
    <t>NMBM/000387</t>
  </si>
  <si>
    <t>Printing and supply village risk maps</t>
  </si>
  <si>
    <t>Zanur General Enterprises</t>
  </si>
  <si>
    <t>Totaal Draft or update the contingency plan at district level.</t>
  </si>
  <si>
    <t>Draft or update the contingency plan at village level</t>
  </si>
  <si>
    <t>IFRF/DP/00048</t>
  </si>
  <si>
    <t>Allowwance to participants</t>
  </si>
  <si>
    <t>Refreshments</t>
  </si>
  <si>
    <t>Nassor Service station</t>
  </si>
  <si>
    <t>Totaal Draft or update the contingency plan at village level</t>
  </si>
  <si>
    <t>Driver</t>
  </si>
  <si>
    <t>BoniventureJohn</t>
  </si>
  <si>
    <t>Elias Onesmo Kibamba</t>
  </si>
  <si>
    <t>Juma Mbogoyo</t>
  </si>
  <si>
    <t>Aman Patric Mahona</t>
  </si>
  <si>
    <t>Deo Faustine</t>
  </si>
  <si>
    <t>Totaal Driver</t>
  </si>
  <si>
    <t>Driver (truck) (100%)</t>
  </si>
  <si>
    <t>Ally Chalamba</t>
  </si>
  <si>
    <t xml:space="preserve">National Social Security Fund </t>
  </si>
  <si>
    <t>Auckland Mhuza</t>
  </si>
  <si>
    <t xml:space="preserve"> Staff Medical  April  2020</t>
  </si>
  <si>
    <t>Totaal Driver (truck) (100%)</t>
  </si>
  <si>
    <t>Totaal Driver Mbeya and HQ (100%)</t>
  </si>
  <si>
    <t>KBC828920000013</t>
  </si>
  <si>
    <t>BK CANADIAN RED CROSS</t>
  </si>
  <si>
    <t>Canadian Red Cross</t>
  </si>
  <si>
    <t>BK CASHREQUEST</t>
  </si>
  <si>
    <t>WK CASHREQUEST</t>
  </si>
  <si>
    <t>Totaal Expert delegate Epidemic prepardness and response (33% on Tanzania)</t>
  </si>
  <si>
    <t>Doorrekening loonkost DPIII Tanzania FA expert</t>
  </si>
  <si>
    <t>DPIII Tanzania FA expert</t>
  </si>
  <si>
    <t>DIV210522</t>
  </si>
  <si>
    <t>DPIII Loonkost Q3 - FA Expert Tanzania</t>
  </si>
  <si>
    <t>DIV210807</t>
  </si>
  <si>
    <t>DPIII Loonkost Q4 - FA Expert Tanzania</t>
  </si>
  <si>
    <t>DIV211345</t>
  </si>
  <si>
    <t>DPIII Loonkostrecuperatie 2021 - FA Expert Tanzania</t>
  </si>
  <si>
    <t>Janeth Burton Silyimbo</t>
  </si>
  <si>
    <t>NMBM/000460</t>
  </si>
  <si>
    <t>Staff Salaries  October 2021</t>
  </si>
  <si>
    <t>Housing Allowance  October 2021</t>
  </si>
  <si>
    <t>NMBM/000461</t>
  </si>
  <si>
    <t>NSSF Employer's Contribution for October   2021</t>
  </si>
  <si>
    <t>Leave Passage &amp; Pay  October 2021</t>
  </si>
  <si>
    <t xml:space="preserve"> Staff Medical  October  2021</t>
  </si>
  <si>
    <t>NMBM/000462</t>
  </si>
  <si>
    <t>NMBM/000472</t>
  </si>
  <si>
    <t>Staff Salaries   November 2021</t>
  </si>
  <si>
    <t>Housing Allowance   November 2021</t>
  </si>
  <si>
    <t>NMBM/000474</t>
  </si>
  <si>
    <t>NSSF Employer's Contribution for November   2021</t>
  </si>
  <si>
    <t>Leave Passage &amp; Pay   November 2021</t>
  </si>
  <si>
    <t xml:space="preserve"> Staff Medical  November   2021</t>
  </si>
  <si>
    <t>NMBM/000475</t>
  </si>
  <si>
    <t>Workman's Compensation Fund  November 2021</t>
  </si>
  <si>
    <t>NMBM/000488</t>
  </si>
  <si>
    <t>Staff Salaries   December 2021</t>
  </si>
  <si>
    <t>Housing Allowance   December 2021</t>
  </si>
  <si>
    <t>NSSF Employer's Contribution for December   2021</t>
  </si>
  <si>
    <t>Leave Passage &amp; Pay   December 2021</t>
  </si>
  <si>
    <t xml:space="preserve"> Staff Medical  December   2021</t>
  </si>
  <si>
    <t>Workman's Compensation Fund  December 2021</t>
  </si>
  <si>
    <t>NMBM/000548</t>
  </si>
  <si>
    <t>Salary for January2022</t>
  </si>
  <si>
    <t>Housing allowance January 2022</t>
  </si>
  <si>
    <t>NSSF employer's contribution for January2022</t>
  </si>
  <si>
    <t>National social security fund</t>
  </si>
  <si>
    <t>Leave passage and pay January2022</t>
  </si>
  <si>
    <t>NMBM/000464</t>
  </si>
  <si>
    <t xml:space="preserve"> Staff Medical  January 2022</t>
  </si>
  <si>
    <t>NMBM/000539</t>
  </si>
  <si>
    <t>Workman's Compensation Fund January  2022</t>
  </si>
  <si>
    <t>Totaal Field Coordinator Mbeya (100%)</t>
  </si>
  <si>
    <t>Field FinanceCordinator</t>
  </si>
  <si>
    <t>Beatrice Sabas Lekule</t>
  </si>
  <si>
    <t>Totaal Field FinanceCordinator</t>
  </si>
  <si>
    <t>DIV210540</t>
  </si>
  <si>
    <t>DPIII Loonkost Q3 - DRR Expert Tanzania</t>
  </si>
  <si>
    <t>DIV210558</t>
  </si>
  <si>
    <t>DPIII Loonkost Q3 - HSIO Tanzania</t>
  </si>
  <si>
    <t>DIV210825</t>
  </si>
  <si>
    <t>DPIII Loonkost Q4 - DRR Expert Tanzania</t>
  </si>
  <si>
    <t>DIV210843</t>
  </si>
  <si>
    <t>DPIII Loonkost Q4 - HSIO Tanzania</t>
  </si>
  <si>
    <t>DIV211363</t>
  </si>
  <si>
    <t>DPIII Loonkostrecuperatie 2021 - DRR Expert Tanzania</t>
  </si>
  <si>
    <t>DIV211381</t>
  </si>
  <si>
    <t>DPIII Loonkostrecuperatie 2021 - HSIO FA Tanzania</t>
  </si>
  <si>
    <t>DIV211387</t>
  </si>
  <si>
    <t>DPIII Loonkostrecuperatie 2021 - HSIO WASH Tanzania</t>
  </si>
  <si>
    <t>Doorrekening loonkost DPIII Tanzania Focal Point FA</t>
  </si>
  <si>
    <t>Doorrekening loonkost DPIII Tanzania Focal Point WASH</t>
  </si>
  <si>
    <t>DPIII Tanzania Focal Point FA</t>
  </si>
  <si>
    <t>DIV210510</t>
  </si>
  <si>
    <t>DPIII Loonkost Q3 - Focal Point FA Tanzania</t>
  </si>
  <si>
    <t>DIV210795</t>
  </si>
  <si>
    <t>DPIII Loonkost Q4 - Focal Point FA Tanzania</t>
  </si>
  <si>
    <t>DIV211333</t>
  </si>
  <si>
    <t>DPIII Loonkostrecuperatie 2021 - Focal Point FA Tanzania</t>
  </si>
  <si>
    <t>DPIII Tanzania Focal Point WASH</t>
  </si>
  <si>
    <t>DIV210516</t>
  </si>
  <si>
    <t>DPIII Loonkost Q3 - Focal Point Wash Tanzania</t>
  </si>
  <si>
    <t>DIV210801</t>
  </si>
  <si>
    <t>DPIII Loonkost Q4 - Focal Point Wash Tanzania</t>
  </si>
  <si>
    <t>DIV211339</t>
  </si>
  <si>
    <t>DPIII Loonkostrecuperatie 2021 - Focal Point Wash Tanzania</t>
  </si>
  <si>
    <t>NMBM/00096</t>
  </si>
  <si>
    <t xml:space="preserve">Mileage cost </t>
  </si>
  <si>
    <t>NMBM/000118</t>
  </si>
  <si>
    <t>Comprehensive insurance cover vehicle T 884 DSS</t>
  </si>
  <si>
    <t>Britam Insurance (T) ltd</t>
  </si>
  <si>
    <t>NMBM/000117</t>
  </si>
  <si>
    <t>Assembling accessories for new landcruiser  T 884 DSS</t>
  </si>
  <si>
    <t>Concord General Service</t>
  </si>
  <si>
    <t>General service vehicle KYELA T 884 DSS</t>
  </si>
  <si>
    <t>Chuo cha ufundi Mbalizi</t>
  </si>
  <si>
    <t>NMBM/000216</t>
  </si>
  <si>
    <t>General service vehicle  T 509 DJP</t>
  </si>
  <si>
    <t>Concord General Services</t>
  </si>
  <si>
    <t>NMBM/000225</t>
  </si>
  <si>
    <t>Mileage cost -EVCA Morogoro</t>
  </si>
  <si>
    <t>TRCS Vehilce</t>
  </si>
  <si>
    <t>NMBM/000228</t>
  </si>
  <si>
    <t>General service vehicle  T 884 DSS</t>
  </si>
  <si>
    <t>NMBM/000235</t>
  </si>
  <si>
    <t>Vehicle insurance T 509 DJP</t>
  </si>
  <si>
    <t>The Jubilee  Insurance</t>
  </si>
  <si>
    <t>IRF/DPIII/00045</t>
  </si>
  <si>
    <t>Fuel for for land purchase follow up</t>
  </si>
  <si>
    <t>NMBM/000311</t>
  </si>
  <si>
    <t>General service vehicle T 884 DSS</t>
  </si>
  <si>
    <t>Robison Auto Garage</t>
  </si>
  <si>
    <t>NMBM/000349</t>
  </si>
  <si>
    <t>Alliance Insurance Corporation ltd</t>
  </si>
  <si>
    <t>IFRF/DPIIII/00068</t>
  </si>
  <si>
    <t>Replacement costs of tyres vehicle T884 DSS</t>
  </si>
  <si>
    <t>robin Auto Garage/Kyela express</t>
  </si>
  <si>
    <t>NMBM/000386</t>
  </si>
  <si>
    <t>Vehicle service T 884 DSS</t>
  </si>
  <si>
    <t>Robin Auto Garage</t>
  </si>
  <si>
    <t>NMBM/000399</t>
  </si>
  <si>
    <t>Tyres for vehicle T 884 DSS</t>
  </si>
  <si>
    <t>Nas tyres service</t>
  </si>
  <si>
    <t>NMBM/000440</t>
  </si>
  <si>
    <t>General services vehicle vehicle T 884 DSS</t>
  </si>
  <si>
    <t>Robinson Auto Garage</t>
  </si>
  <si>
    <t>NMBM/000441</t>
  </si>
  <si>
    <t>Local running mileage in Dar Es Salaam</t>
  </si>
  <si>
    <t>TRCS Motor vehicle A/C</t>
  </si>
  <si>
    <t>IRF/DPIII/00082</t>
  </si>
  <si>
    <t xml:space="preserve">fuel costs </t>
  </si>
  <si>
    <t>Mtalima Masome</t>
  </si>
  <si>
    <t>cost for  September 2021</t>
  </si>
  <si>
    <t>Said  Mohamed</t>
  </si>
  <si>
    <t>Fuel transfer Landcruiser T 884 DSS from Kyela to Songwe</t>
  </si>
  <si>
    <t>Volunteer driver costs for September 2021</t>
  </si>
  <si>
    <t>NMBM/000468</t>
  </si>
  <si>
    <t>Volunteer driver costs for October   2021</t>
  </si>
  <si>
    <t>NMBM/000471</t>
  </si>
  <si>
    <t>Airtime and internet November  2021</t>
  </si>
  <si>
    <t>NMBM/000478</t>
  </si>
  <si>
    <t>Volunteer driver costs for November   2021</t>
  </si>
  <si>
    <t>Volunteer allowance for December2021</t>
  </si>
  <si>
    <t>NMBM/000552</t>
  </si>
  <si>
    <t>Volunteer allowance for January2022</t>
  </si>
  <si>
    <t>NMBM/000545</t>
  </si>
  <si>
    <t>Mileage bill for January2022</t>
  </si>
  <si>
    <t>Trcs motorvehicle</t>
  </si>
  <si>
    <t>NMBM/000554</t>
  </si>
  <si>
    <t>Reimbursement for transportation of tripond stand  screen and requisition book in kigoma</t>
  </si>
  <si>
    <t>Totaal Fuel, mileage and transportation costs for HQ and 1 region</t>
  </si>
  <si>
    <t>General working cost for Nduta refugee camps(stationery, internet, utility cost, communication and bank charges</t>
  </si>
  <si>
    <t>JV/TRCS/001539</t>
  </si>
  <si>
    <t>Communication March 2021</t>
  </si>
  <si>
    <t>Nduta Staff</t>
  </si>
  <si>
    <t>IRF/NDUTA/00006</t>
  </si>
  <si>
    <t>Electricity Nduta camp April 2021</t>
  </si>
  <si>
    <t>TANESCO</t>
  </si>
  <si>
    <t>IRF/NDUTA/00007</t>
  </si>
  <si>
    <t>Communication for the month of April 2021</t>
  </si>
  <si>
    <t>Nduta  Staff</t>
  </si>
  <si>
    <t>IRF/NDUTA/00014</t>
  </si>
  <si>
    <t>Bank charge Nduta April 2021</t>
  </si>
  <si>
    <t>IRF/NDUTA/00020</t>
  </si>
  <si>
    <t>Water Supply in  Living Compound  for FEB 2021.</t>
  </si>
  <si>
    <t xml:space="preserve">Paul Thomas </t>
  </si>
  <si>
    <t>Water Supply in  Living Compound  for MARCH 2021.</t>
  </si>
  <si>
    <t>Water Supply in  Living Compound  for APRIL 2021.</t>
  </si>
  <si>
    <t>IRF/NDUTA/00025</t>
  </si>
  <si>
    <t>Electricity Nduta camp May  2021</t>
  </si>
  <si>
    <t>IRF/NDUTA/00029</t>
  </si>
  <si>
    <t>Communication for the month of  May 2021</t>
  </si>
  <si>
    <t>Nduta   staff</t>
  </si>
  <si>
    <t>IRF/NDUTA/00030</t>
  </si>
  <si>
    <t>Bank charge Nduta May 2021</t>
  </si>
  <si>
    <t>IRF/NDUTA/00032</t>
  </si>
  <si>
    <t>Electricity Nduta camp June 2021</t>
  </si>
  <si>
    <t>IRF/NDUTA/00040</t>
  </si>
  <si>
    <t>Water bill Living Compound May 2021</t>
  </si>
  <si>
    <t>IRF/NDUTA/00038</t>
  </si>
  <si>
    <t>Communication for the month of  June  2021</t>
  </si>
  <si>
    <t>IRF/NDUTA/00041</t>
  </si>
  <si>
    <t>Bank charge Nduta June 2021</t>
  </si>
  <si>
    <t>IRF/NDUTA/00047</t>
  </si>
  <si>
    <t>Supply of Water in living Compound for JUNE 2021</t>
  </si>
  <si>
    <t>Paul Thomas</t>
  </si>
  <si>
    <t>IRF/NDUTA/00050</t>
  </si>
  <si>
    <t>Electricity Nduta camp July  2021</t>
  </si>
  <si>
    <t>IRF/NDUTA/00053</t>
  </si>
  <si>
    <t>Bnk charge July 2021(Nduta)</t>
  </si>
  <si>
    <t>IRF/NDUTA/00078</t>
  </si>
  <si>
    <t>Bank charges August 2021 (Nduta)</t>
  </si>
  <si>
    <t>IRF/NDUTA/00058</t>
  </si>
  <si>
    <t>Electricity Nduta camp August 2021</t>
  </si>
  <si>
    <t>IRF/NDUTA/00076</t>
  </si>
  <si>
    <t>IRF/NDUTA/00057</t>
  </si>
  <si>
    <t>Communication  July 2021</t>
  </si>
  <si>
    <t>IRF/NDUTA/00075</t>
  </si>
  <si>
    <t>Communication  August  2021</t>
  </si>
  <si>
    <t>IRF/NDUTA/00059</t>
  </si>
  <si>
    <t>Stationaries Nduta camp</t>
  </si>
  <si>
    <t>Clock general supply</t>
  </si>
  <si>
    <t>IRF/NDUTA/00063</t>
  </si>
  <si>
    <t>Internet service August -October 2021</t>
  </si>
  <si>
    <t>Infonet System Service</t>
  </si>
  <si>
    <t>IRF/NDUTA/00065</t>
  </si>
  <si>
    <t>Water bill July 2021</t>
  </si>
  <si>
    <t>IRF/NDUTA/00079</t>
  </si>
  <si>
    <t>Water bill August  2021</t>
  </si>
  <si>
    <t>IRF/NDUTA/00086</t>
  </si>
  <si>
    <t>Electricity Nduta camp  September 2021</t>
  </si>
  <si>
    <t>IRF/NDUTA/00127</t>
  </si>
  <si>
    <t>Comunication allowance September 2021</t>
  </si>
  <si>
    <t>IRF/NDUTA/00093</t>
  </si>
  <si>
    <t>Bank Charge September 2021Nduta</t>
  </si>
  <si>
    <t>IRF/NDUTA/00103</t>
  </si>
  <si>
    <t>Communication allowance to Management</t>
  </si>
  <si>
    <t>IRF/NDUTA/00108</t>
  </si>
  <si>
    <t>Water bill September   2021</t>
  </si>
  <si>
    <t>IRF/NDUTA/00111</t>
  </si>
  <si>
    <t>Electricity Nduta camp October  2021</t>
  </si>
  <si>
    <t>IRF/NDUTA/00120</t>
  </si>
  <si>
    <t>Communication  October 2021</t>
  </si>
  <si>
    <t>IRF/NDUTA/00121</t>
  </si>
  <si>
    <t>Communication  October  2021</t>
  </si>
  <si>
    <t>Nduta Staff Management</t>
  </si>
  <si>
    <t>IRF/NDUTA/00122</t>
  </si>
  <si>
    <t>Electricity for RFL Office,November &amp; December 2021.</t>
  </si>
  <si>
    <t>TANESCO LUKU</t>
  </si>
  <si>
    <t>IRF/NDUTA/00125</t>
  </si>
  <si>
    <t>Bank Charge October  2021Nduta</t>
  </si>
  <si>
    <t>IRF/NDUTA/00132</t>
  </si>
  <si>
    <t>Electrity bill November 2021</t>
  </si>
  <si>
    <t>IRF/NDUTA/00140</t>
  </si>
  <si>
    <t>Electrity bill November 2021- Pharmacy</t>
  </si>
  <si>
    <t>IRF/NDUTA/00133</t>
  </si>
  <si>
    <t>Water bill October  2021</t>
  </si>
  <si>
    <t>IRF/NDUTA/00142</t>
  </si>
  <si>
    <t>IRF/NDUTA/00143</t>
  </si>
  <si>
    <t>Electrity bill  Living compound November 2021</t>
  </si>
  <si>
    <t>IRF/NDUTA/00148</t>
  </si>
  <si>
    <t>Communication Nduta staff November 2021</t>
  </si>
  <si>
    <t>IRF/NDUTA/00149</t>
  </si>
  <si>
    <t>Electrity bill December 2021 New Living compound</t>
  </si>
  <si>
    <t>IRF/NDUTA/00150</t>
  </si>
  <si>
    <t>Office internet November 2021 to January 2022</t>
  </si>
  <si>
    <t>Infonet systems</t>
  </si>
  <si>
    <t>IRF/NDUTA/00151</t>
  </si>
  <si>
    <t>Bank chages November Nduta</t>
  </si>
  <si>
    <t>IRF/NDUTA/00255</t>
  </si>
  <si>
    <t>Supply of Water -Bill for November 2021</t>
  </si>
  <si>
    <t>IRF/NDUTA/00180</t>
  </si>
  <si>
    <t>Communication Allowance Dec 2021</t>
  </si>
  <si>
    <t>IRF/NDUTA/00183</t>
  </si>
  <si>
    <t>Communication for Dec 2021 for the LINE STAFF.</t>
  </si>
  <si>
    <t>Several Staff Payees</t>
  </si>
  <si>
    <t>IRF/NDUTA/00209</t>
  </si>
  <si>
    <t>Supply of Water - Bill for December 2021</t>
  </si>
  <si>
    <t>IRF/NDUTA/00237</t>
  </si>
  <si>
    <t>Purchase of ELECTRICITY  for NEW &amp; OLD Staff Living Compound January 2022.</t>
  </si>
  <si>
    <t>IRF/NDUTA/00239</t>
  </si>
  <si>
    <t>Communication Allowance for  Nduta staff - January 2022.</t>
  </si>
  <si>
    <t>IRF/NDUTA/00233</t>
  </si>
  <si>
    <t>Communication Allowance to ground staff for January and refund DHL</t>
  </si>
  <si>
    <t>IRF/NDUTA/00247</t>
  </si>
  <si>
    <t>Water bill January  2021</t>
  </si>
  <si>
    <t>Totaal General working cost for Nduta refugee camps(stationery, internet, utility cost, communication and bank charges</t>
  </si>
  <si>
    <t>Health cordinator</t>
  </si>
  <si>
    <t>Dr. Athuman Mohamed</t>
  </si>
  <si>
    <t>Basic salary  July 2021</t>
  </si>
  <si>
    <t>NSSF Employer's Contribution for July b2021</t>
  </si>
  <si>
    <t>WCF  Decembr  2021</t>
  </si>
  <si>
    <t>Totaal Health cordinator</t>
  </si>
  <si>
    <t>Health Information system</t>
  </si>
  <si>
    <t>Muragara Faustine</t>
  </si>
  <si>
    <t>Totaal Health Information system</t>
  </si>
  <si>
    <t>Identify and signpost safe evacuation routes</t>
  </si>
  <si>
    <t>IFRF/DP/00054</t>
  </si>
  <si>
    <t>Sign board</t>
  </si>
  <si>
    <t>Totaal Identify and signpost safe evacuation routes</t>
  </si>
  <si>
    <t>IFRF/DPIII/00052</t>
  </si>
  <si>
    <t>Allowance to volunteers during the distribution of evacuation sign posts</t>
  </si>
  <si>
    <t>Allowance to district officers during distribution of evacuation sign posts</t>
  </si>
  <si>
    <t>District leaders</t>
  </si>
  <si>
    <t>Fuel for the TRCS landcruiser during distribution of evacuation sign posts</t>
  </si>
  <si>
    <t>Totaal Identify and signpost safe evacuation routes.</t>
  </si>
  <si>
    <t>AANK2000204</t>
  </si>
  <si>
    <t>DISASTER PREPAREDNESS III AUDIT 2019</t>
  </si>
  <si>
    <t>PRICEWATERHOUSECOOPERS</t>
  </si>
  <si>
    <t>AANK2100156</t>
  </si>
  <si>
    <t>DISASTER PREPAREDNESS III AUDIT 2020</t>
  </si>
  <si>
    <t>AANK2100245</t>
  </si>
  <si>
    <t>DIV210215</t>
  </si>
  <si>
    <t>AANSLUITING BETALING210194/KBC515921000057</t>
  </si>
  <si>
    <t>DIV210971</t>
  </si>
  <si>
    <t>DISASTER PREPAREDNESS III AUDIT 2021</t>
  </si>
  <si>
    <t>INTL-000000213</t>
  </si>
  <si>
    <t>End-evaluation</t>
  </si>
  <si>
    <t>Q-DATA AND MAPPING SERVICES</t>
  </si>
  <si>
    <t>INTL-140000590</t>
  </si>
  <si>
    <t>INTL-140001031</t>
  </si>
  <si>
    <t>Totaal Internal audit, annual external fin audit  and evaluation</t>
  </si>
  <si>
    <t>Yona Mohamed Yona</t>
  </si>
  <si>
    <t>Totaal IT support HQ (30%)</t>
  </si>
  <si>
    <t>DOORREKENING LOONKOST Q1/2020JPA</t>
  </si>
  <si>
    <t xml:space="preserve">Labaratory Technician </t>
  </si>
  <si>
    <t>Bunane Sweke</t>
  </si>
  <si>
    <t>Hamis Mlendela</t>
  </si>
  <si>
    <t xml:space="preserve">Totaal Labaratory Technician </t>
  </si>
  <si>
    <t>Laboratory Assistant</t>
  </si>
  <si>
    <t>Prince Simon Daudi</t>
  </si>
  <si>
    <t>Justine Babu Sylivester</t>
  </si>
  <si>
    <t>Rizick Adriano Kihombo</t>
  </si>
  <si>
    <t>Laurent Nestory</t>
  </si>
  <si>
    <t>NSSF Employer's Contribution for  December  2021</t>
  </si>
  <si>
    <t>Totaal Laboratory Assistant</t>
  </si>
  <si>
    <t>NMBM/00081</t>
  </si>
  <si>
    <t>Customs and excise duty for clearing New landcruiser</t>
  </si>
  <si>
    <t>Commissioner for Customs and Excise</t>
  </si>
  <si>
    <t>NMBM/000217</t>
  </si>
  <si>
    <t>Clearing/Demurage charge new land cruiser</t>
  </si>
  <si>
    <t>KAS FREIGHT</t>
  </si>
  <si>
    <t>AANK1901263</t>
  </si>
  <si>
    <t>TOYOTA AANKOOP LAND CRUISER</t>
  </si>
  <si>
    <t>Totaal Landcruiser local branch</t>
  </si>
  <si>
    <t>Logistic officer (30%)</t>
  </si>
  <si>
    <t>Totaal Logistic officer (30%)</t>
  </si>
  <si>
    <t>Maintenace of Staff Living Compound nearby Nduta Camp (former MHA rest house, to accommodate 10staff)</t>
  </si>
  <si>
    <t>JV/TRCS/001371</t>
  </si>
  <si>
    <t>Renovation of staff living compound Nduta</t>
  </si>
  <si>
    <t>Edson General Supply</t>
  </si>
  <si>
    <t>IRF/NDUTA/00214</t>
  </si>
  <si>
    <t>Payment of rehabilitation of new staff living compound (Beach Guest House)</t>
  </si>
  <si>
    <t>Alvinj Enterprises and General Supplies</t>
  </si>
  <si>
    <t>Totaal Maintenace of Staff Living Compound nearby Nduta Camp (former MHA rest house, to accommodate 10staff)</t>
  </si>
  <si>
    <t>Medical Doctor</t>
  </si>
  <si>
    <t>Sweetbert Patrick</t>
  </si>
  <si>
    <t>Alphaxad Waluse</t>
  </si>
  <si>
    <t>Totaal Medical Doctor</t>
  </si>
  <si>
    <t>AANK2100091</t>
  </si>
  <si>
    <t>DLG3$TICKET T. LIEVENS BRUSSEL - DAR ES SALAAM</t>
  </si>
  <si>
    <t>AANK2100195</t>
  </si>
  <si>
    <t>DLG3$TICKET T. LIEVENS BRUSSEL - DAR ES SALAAM CN</t>
  </si>
  <si>
    <t>AANK2100782</t>
  </si>
  <si>
    <t>DLG3$TICKET S. DE JAEGER BRUSSEL - DOHA</t>
  </si>
  <si>
    <t>AANK2100784</t>
  </si>
  <si>
    <t>DLG3$TICKET F. WEYERS BRUSSEL - DAR ES SALAAM</t>
  </si>
  <si>
    <t>ONKVRIJW22003</t>
  </si>
  <si>
    <t>ONK VERG. FILIP WEYERS MISSIE TANZANIA - VERPLAATSING</t>
  </si>
  <si>
    <t>WEYERS FILIP</t>
  </si>
  <si>
    <t>ONKOSTEN210087</t>
  </si>
  <si>
    <t>ONK VISA Lievens T ITG 2021-02-22 vaccinaties bezoek nduta</t>
  </si>
  <si>
    <t>Mobile cinema equipment for Mbeya region</t>
  </si>
  <si>
    <t>JV/TRCS/001242</t>
  </si>
  <si>
    <t>Transportation cost Mobile cinema</t>
  </si>
  <si>
    <t>Advanced Courier &amp;Logistic ltd</t>
  </si>
  <si>
    <t>JV/TRCS/001243</t>
  </si>
  <si>
    <t>Mobile cinema</t>
  </si>
  <si>
    <t>Akala Microsolution Ltd</t>
  </si>
  <si>
    <t>Totaal Mobile cinema equipment for Mbeya region</t>
  </si>
  <si>
    <t>TRCS/000653</t>
  </si>
  <si>
    <t xml:space="preserve"> Perdiem transportation of materials to Warehouse </t>
  </si>
  <si>
    <t>Alfa Marira</t>
  </si>
  <si>
    <t>NMBM/00071</t>
  </si>
  <si>
    <t>MashakaJames</t>
  </si>
  <si>
    <t>NMBM/000112</t>
  </si>
  <si>
    <t xml:space="preserve">Perdiem -capacity building on Navision in Mbeya </t>
  </si>
  <si>
    <t>NMBM/000119</t>
  </si>
  <si>
    <t>Perdiem allowances handover new landcruiser Mbeya Kyela office-Driver</t>
  </si>
  <si>
    <t>NMBM/000120</t>
  </si>
  <si>
    <t>Perdiem allowances handover new landcruiser Mbeya Kyela office-Logistic Manager</t>
  </si>
  <si>
    <t>TRCS/000255</t>
  </si>
  <si>
    <t xml:space="preserve">Perdiem transportation of materials to Warehouse </t>
  </si>
  <si>
    <t>IRF/DPIII/00058</t>
  </si>
  <si>
    <t>Perdiem ,warehouse valuation Dodoma</t>
  </si>
  <si>
    <t>Nicodemus Nkiami</t>
  </si>
  <si>
    <t>Bus fare to Dodoma</t>
  </si>
  <si>
    <t>Kapricon ,ABC upper class and Joshua</t>
  </si>
  <si>
    <t>IRF/DPIII/00059</t>
  </si>
  <si>
    <t>Perdiem ,monitoring project activities Mbeya</t>
  </si>
  <si>
    <t>Perdiem, driver picking Deputy Secretary General from Mbeya</t>
  </si>
  <si>
    <t>Elineema Ally</t>
  </si>
  <si>
    <t>Airticket -Dar Mbeya</t>
  </si>
  <si>
    <t>JV/TRCS/001288</t>
  </si>
  <si>
    <t>Perdiem allowances and bus fare during warehouse valuation Dodoma</t>
  </si>
  <si>
    <t>IFRF/DPIIII/00061</t>
  </si>
  <si>
    <t>Perdiem while following up on the project activities in Kyela, Mbeya</t>
  </si>
  <si>
    <t>IFRF/DPIII/00070</t>
  </si>
  <si>
    <t>Monitoring and supervision in northern regions</t>
  </si>
  <si>
    <t>Livini Sikitu</t>
  </si>
  <si>
    <t>NMBM/000436</t>
  </si>
  <si>
    <t>Allowance to driver August 2021</t>
  </si>
  <si>
    <t>Elineema Chilambo</t>
  </si>
  <si>
    <t>NMBM/000993</t>
  </si>
  <si>
    <t>Allowance to driver September  2021</t>
  </si>
  <si>
    <t>NMBM/000442</t>
  </si>
  <si>
    <t>Airticket Dar /Kilimanjaro review northern regions</t>
  </si>
  <si>
    <t>Fromark Company LTD</t>
  </si>
  <si>
    <t>IRF/DPIII/00079</t>
  </si>
  <si>
    <t>Fuel for vehicle used during site visiting and handover process for office construction Mbeya</t>
  </si>
  <si>
    <t>Nassor Service station and co Ltd</t>
  </si>
  <si>
    <t>Totaal Monitoring for HQ and 1 region</t>
  </si>
  <si>
    <t>IRF/NDUTA/00024</t>
  </si>
  <si>
    <t>Mbuto Investment-Refreshments blood collection activity</t>
  </si>
  <si>
    <t>Mbuto Investment</t>
  </si>
  <si>
    <t>IRF/NDUTA/00060</t>
  </si>
  <si>
    <t>Supply of Rice for Blood Donors.</t>
  </si>
  <si>
    <t>Ndanga Enterprises</t>
  </si>
  <si>
    <t>IRF/NDUTA/00056</t>
  </si>
  <si>
    <t>Chiraka General Supply</t>
  </si>
  <si>
    <t>IRF/NDUTA/00072</t>
  </si>
  <si>
    <t>IRF/NDUTA/00131</t>
  </si>
  <si>
    <t>IRF/NDUTA/00144</t>
  </si>
  <si>
    <t>IRF/NDUTA/00165</t>
  </si>
  <si>
    <t>Refreshment during Blood Donor Activity</t>
  </si>
  <si>
    <t>Fulgil General Supply</t>
  </si>
  <si>
    <t>IRF/NDUTA/00169</t>
  </si>
  <si>
    <t>IRF/NDUTA/00222</t>
  </si>
  <si>
    <t>Refreshment soft drinks during blood donation held at Kagezi</t>
  </si>
  <si>
    <t>Totaal NB: Blood- Donor experience - for retention (badges, glucose replacements etc)</t>
  </si>
  <si>
    <t>IRF/NDUTA/00017</t>
  </si>
  <si>
    <t>Perdiem sending collected blood for check up at Tabora</t>
  </si>
  <si>
    <t>Bunene Seke</t>
  </si>
  <si>
    <t xml:space="preserve">Bus  fare </t>
  </si>
  <si>
    <t>Casablanca Investment</t>
  </si>
  <si>
    <t>Bus fare</t>
  </si>
  <si>
    <t>Coastline East Africa</t>
  </si>
  <si>
    <t>Bash Express</t>
  </si>
  <si>
    <t>Taxi fare</t>
  </si>
  <si>
    <t>Tabora Tax Owner's Association</t>
  </si>
  <si>
    <t>Lunch and refreshement during blood donation exercise</t>
  </si>
  <si>
    <t>IRF/NDUTA/00031</t>
  </si>
  <si>
    <t>Blood donation registration form,Donor cards,Posters and Fliers</t>
  </si>
  <si>
    <t>Ashinje 2011 General Supply</t>
  </si>
  <si>
    <t>IRF/NDUTA/00051</t>
  </si>
  <si>
    <t>Perdiem</t>
  </si>
  <si>
    <t>Jilian Muhoza</t>
  </si>
  <si>
    <t>Lunch coupon blood donation team</t>
  </si>
  <si>
    <t>Blood donation team</t>
  </si>
  <si>
    <t>Transport refund</t>
  </si>
  <si>
    <t>Hamisi Mlendela</t>
  </si>
  <si>
    <t>Supply of Plastic Tables for Blood Donors</t>
  </si>
  <si>
    <t>IRF/NDUTA/00077</t>
  </si>
  <si>
    <t>Medical supplies</t>
  </si>
  <si>
    <t>Kigoma Pharmacy ltd</t>
  </si>
  <si>
    <t>IRF/NDUTA/00071</t>
  </si>
  <si>
    <t>Perdiem, blood donation</t>
  </si>
  <si>
    <t>Emmanuel Zephania</t>
  </si>
  <si>
    <t>IRF/NDUTA/00083</t>
  </si>
  <si>
    <t>Subi Safari</t>
  </si>
  <si>
    <t>Mabala Express</t>
  </si>
  <si>
    <t>Alhamdulilah</t>
  </si>
  <si>
    <t>IRF/NDUTA/00087</t>
  </si>
  <si>
    <t xml:space="preserve">Perdiem </t>
  </si>
  <si>
    <t>8 pax donation team @20,000</t>
  </si>
  <si>
    <t>Refund of Transport Costs -Transportation of blood</t>
  </si>
  <si>
    <t>Turu Best</t>
  </si>
  <si>
    <t xml:space="preserve">Super Sonic </t>
  </si>
  <si>
    <t xml:space="preserve"> Casablanka Express</t>
  </si>
  <si>
    <t>Coast Line East Africa</t>
  </si>
  <si>
    <t>IRF/NDUTA/00123</t>
  </si>
  <si>
    <t>Zania Ndoss</t>
  </si>
  <si>
    <t>Zania Maliki  Ndoss</t>
  </si>
  <si>
    <t>IRF/NDUTA/00167</t>
  </si>
  <si>
    <t>Perdiem during Blood donation Activity.</t>
  </si>
  <si>
    <t>Emannuel Zephannie</t>
  </si>
  <si>
    <t>Luncheon Coupon-Blood donation Activity.</t>
  </si>
  <si>
    <t>Refund of Bus fare-Blood donation Activity.</t>
  </si>
  <si>
    <t>IRF/NDUTA/00163</t>
  </si>
  <si>
    <t>Perdiem-Blood donation Activity.</t>
  </si>
  <si>
    <t>Frank Lwehela</t>
  </si>
  <si>
    <t>Several Payees</t>
  </si>
  <si>
    <t>Refund of Bus -Blood donation Activity.</t>
  </si>
  <si>
    <t>IRF/NDUTA/00166</t>
  </si>
  <si>
    <t>Refund of Bus fare -Blood donation Activity.</t>
  </si>
  <si>
    <t>IRF/NDUTA/00188</t>
  </si>
  <si>
    <t>Hamis M Mlendela</t>
  </si>
  <si>
    <t>IRF/NDUTA/00195</t>
  </si>
  <si>
    <t>Roll up banners for Blood Donation Campaign and collection</t>
  </si>
  <si>
    <t>IRF/NDUTA/00207</t>
  </si>
  <si>
    <t>Perdiem to sent Blood Samples to TABORA.</t>
  </si>
  <si>
    <t>MUKHTARI JUMANNE</t>
  </si>
  <si>
    <t>Totaal ND: Blood donor campaign and collection</t>
  </si>
  <si>
    <t>IRF/NDUTA/00005</t>
  </si>
  <si>
    <t>Perdiem 3 nights and facilitation fee to two external facilitators Mr.Ngereza &amp; Thadeo Chiba during blood donation training at RFL office</t>
  </si>
  <si>
    <t>Stanley Ngereza and Costantine Thadeo</t>
  </si>
  <si>
    <t>Ground transport, bus fare and Taxi from Tabora and Kigoma to Nduta.</t>
  </si>
  <si>
    <t>Refreshments during blood training at RFL office Kibondo</t>
  </si>
  <si>
    <t>Mamboni Restaurants</t>
  </si>
  <si>
    <t>IRF/NDUTA/00010</t>
  </si>
  <si>
    <t>Ground transport refund of Taxi and bus fare.</t>
  </si>
  <si>
    <t>Nathanael Ngereza</t>
  </si>
  <si>
    <t>IRF/NDUTA/00016</t>
  </si>
  <si>
    <t>Stationanry blood collection training</t>
  </si>
  <si>
    <t>Ndanga Enterprises and General Supplies</t>
  </si>
  <si>
    <t>Totaal ND: Blood: Training of CHWs on blood donor recruitment, donor care and post donation counselling</t>
  </si>
  <si>
    <t>ND: Bus for ferrying staff to and from health posts - Hiring of bus</t>
  </si>
  <si>
    <t>IRF/NDUTA/00246</t>
  </si>
  <si>
    <t>Fuel Consumption Dec 2021 - T 420 DPA</t>
  </si>
  <si>
    <t>Plan General Supply</t>
  </si>
  <si>
    <t>IRF/NDUTA/00042</t>
  </si>
  <si>
    <t>Fuel for vehicle Nduta Camp-ferring staff</t>
  </si>
  <si>
    <t>Plan Filling station</t>
  </si>
  <si>
    <t>IRF/NDUTA/00043</t>
  </si>
  <si>
    <t xml:space="preserve">Fuel for vehicle Nduta Camp- Ferrying </t>
  </si>
  <si>
    <t>IRF/NDUTA/00045</t>
  </si>
  <si>
    <t>Fuel for vehicle Nduta Camp ferrying</t>
  </si>
  <si>
    <t>IRF/NDUTA/00044</t>
  </si>
  <si>
    <t>IRF/NDUTA/00046</t>
  </si>
  <si>
    <t>Fuel for vehicle Nduta Camp</t>
  </si>
  <si>
    <t>IRF/NDUTA/00048</t>
  </si>
  <si>
    <t>IRF/NDUTA/00049</t>
  </si>
  <si>
    <t>Fuel for vehicle Nduta Camp T468 AEL</t>
  </si>
  <si>
    <t>IRF/NDUTA/00052</t>
  </si>
  <si>
    <t>Fuel for vehicle Nduta Camp-T468AEL</t>
  </si>
  <si>
    <t>IRF/NDUTA/00064</t>
  </si>
  <si>
    <t>Repair and maintanance of vehicle T 468 AEL</t>
  </si>
  <si>
    <t>Kibondo Spares(2002)</t>
  </si>
  <si>
    <t>IRF/NDUTA/00066</t>
  </si>
  <si>
    <t>IRF/NDUTA/00068</t>
  </si>
  <si>
    <t>IRF/NDUTA/00128</t>
  </si>
  <si>
    <t>Car fuel for Staff bus from March to May 2021</t>
  </si>
  <si>
    <t>IRF/NDUTA/00090</t>
  </si>
  <si>
    <t>IRF/NDUTA/00135</t>
  </si>
  <si>
    <t>Fuel September  2021</t>
  </si>
  <si>
    <t>General Service for Vehicle T468 AEL(Staff Bus)</t>
  </si>
  <si>
    <t>Kibondo Spare(2002)</t>
  </si>
  <si>
    <t>IRF/NDUTA/00205</t>
  </si>
  <si>
    <t>Fuel Consuption Dec2021 - T 468 AEL</t>
  </si>
  <si>
    <t>IRF/NDUTA/00200</t>
  </si>
  <si>
    <t>Fuel Consuption Dec2021 - T 435 DRP</t>
  </si>
  <si>
    <t>IRF/NDUTA/00206</t>
  </si>
  <si>
    <t>Fuel Consuption Dec2021 - T 420 DPA</t>
  </si>
  <si>
    <t>IRF/NDUTA/00198</t>
  </si>
  <si>
    <t>Hire of Bus for Staff  November 2021</t>
  </si>
  <si>
    <t>IRF/NDUTA/00164</t>
  </si>
  <si>
    <t>Kibondo Spare (2000)</t>
  </si>
  <si>
    <t>IRF/NDUTA/00177</t>
  </si>
  <si>
    <t>Fuel Consumption Oct 2021-T435 DPR</t>
  </si>
  <si>
    <t>Fuel Consumption Oct 2021-T435DPR</t>
  </si>
  <si>
    <t>Fuel Consumption Oct 2021-T468 AEL</t>
  </si>
  <si>
    <t>IRF/NDUTA/00197</t>
  </si>
  <si>
    <t>Hire of Bus for Staff October 2021</t>
  </si>
  <si>
    <t>Fuel Consumption Oct 2021-T435 DRP</t>
  </si>
  <si>
    <t>Fuel Consumption Oct 2021-T435 DPR.</t>
  </si>
  <si>
    <t>IRF/NDUTA/00208</t>
  </si>
  <si>
    <t>Fuel Consumption Nov 2021-T435 DRP</t>
  </si>
  <si>
    <t>Fuel Consumption Nov 2021-T468 AEL</t>
  </si>
  <si>
    <t>IRF/NDUTA/00248</t>
  </si>
  <si>
    <t>Motor Vehicle Insurance T468 AEL</t>
  </si>
  <si>
    <t>Kitota Insurance Agency</t>
  </si>
  <si>
    <t>IRF/NDUTA/00236</t>
  </si>
  <si>
    <t>Hire of Bus for Staff December 2021</t>
  </si>
  <si>
    <t>NMBP/00133</t>
  </si>
  <si>
    <t>Hire of Bus for Staff January 2022</t>
  </si>
  <si>
    <t>IRF/NDUTA/00259</t>
  </si>
  <si>
    <t>Fuel Consumption Jan 2022-T420 DPA i</t>
  </si>
  <si>
    <t>IRF/NDUTA/00260</t>
  </si>
  <si>
    <t>Fuel Consumption Jan 2022-T420 DPA ii</t>
  </si>
  <si>
    <t>Totaal ND: Bus for ferrying staff to and from health posts - Hiring of bus</t>
  </si>
  <si>
    <t>IRF/NDUTA/00004</t>
  </si>
  <si>
    <t>Hygiene supplies February 2021</t>
  </si>
  <si>
    <t>Chiraka General Supplies</t>
  </si>
  <si>
    <t>IRF/NDUTA/00011</t>
  </si>
  <si>
    <t>Hygiene supplies April 2021</t>
  </si>
  <si>
    <t>IRF/NDUTA/00094</t>
  </si>
  <si>
    <t>Plastic bag for health post</t>
  </si>
  <si>
    <t xml:space="preserve">Kimika Enterprises </t>
  </si>
  <si>
    <t>IRF/NDUTA/00134</t>
  </si>
  <si>
    <t>Cleaning hygiene and supplies</t>
  </si>
  <si>
    <t>IRF/NDUTA/00189</t>
  </si>
  <si>
    <t>Cleaning hygiene-Office and Health Post</t>
  </si>
  <si>
    <t>Kimila Enterprises</t>
  </si>
  <si>
    <t xml:space="preserve">Totaal ND: Cleaning Hygiene Supplies Hospital,Health Posts &amp; L/C   </t>
  </si>
  <si>
    <t>IRF/NDUTA/00186</t>
  </si>
  <si>
    <t>Purchase of Compaints Mechanism</t>
  </si>
  <si>
    <t>IRF/NDUTA/00182</t>
  </si>
  <si>
    <t>Lunch on-Refugees Influential Meeting</t>
  </si>
  <si>
    <t>Several Payees - Influential people</t>
  </si>
  <si>
    <t>Totaal ND: Complaints mechanism</t>
  </si>
  <si>
    <t>NMBP/00034</t>
  </si>
  <si>
    <t>Supply of medical drugs</t>
  </si>
  <si>
    <t>Nebula  health care ltd</t>
  </si>
  <si>
    <t>NMBP/00035</t>
  </si>
  <si>
    <t>Supply of the amoxilini 500MG Capsules</t>
  </si>
  <si>
    <t>Stanley Tazania Ltd</t>
  </si>
  <si>
    <t>Totaal ND: Crisis modifier</t>
  </si>
  <si>
    <t>NMBP/00069</t>
  </si>
  <si>
    <t>Paracetamol tablets</t>
  </si>
  <si>
    <t>Nebula  Health Care</t>
  </si>
  <si>
    <t>NMBP/00067</t>
  </si>
  <si>
    <t>Malaria Rapid diognostic test</t>
  </si>
  <si>
    <t>NMBP/00068</t>
  </si>
  <si>
    <t>Artemetether 20mg &amp; Lumefantrine 120MG</t>
  </si>
  <si>
    <t>NMBP/00093</t>
  </si>
  <si>
    <t>Purchase/Supply  of Medicine</t>
  </si>
  <si>
    <t>Umoja Pharmaceutical Co Ltd</t>
  </si>
  <si>
    <t>NMBP/00094</t>
  </si>
  <si>
    <t>Nebula  Health Care Ltd</t>
  </si>
  <si>
    <t>IRF/NDUTA/00199</t>
  </si>
  <si>
    <t>Loading/offloading -Shifting of drugs from MTENDELI CAMP.</t>
  </si>
  <si>
    <t>Immaculate Madyane</t>
  </si>
  <si>
    <t>NMBP/00122</t>
  </si>
  <si>
    <t>Purchase/Supply of Medical Consumables</t>
  </si>
  <si>
    <t>Saema Group Limited</t>
  </si>
  <si>
    <t>NMBP/00123</t>
  </si>
  <si>
    <t>Purchase/Supply of Medicine</t>
  </si>
  <si>
    <t>NMBP/00124</t>
  </si>
  <si>
    <t>NMBP/00125</t>
  </si>
  <si>
    <t>IRF/NDUTA/00251</t>
  </si>
  <si>
    <t xml:space="preserve">Supply of Medicines </t>
  </si>
  <si>
    <t>IRF/NDUTA/00252</t>
  </si>
  <si>
    <t>Net Salaries &amp; Costs Jan 2022-Ngaraganza Medical Warehouse</t>
  </si>
  <si>
    <t>NMB BANK LTD</t>
  </si>
  <si>
    <t>NSSF CONTR.Costs Jan 2022-Ngaraganza Medical Warehouse</t>
  </si>
  <si>
    <t>NSSF</t>
  </si>
  <si>
    <t>PAYE Costs Jan 2022-Ngaraganza Medical Warehouse</t>
  </si>
  <si>
    <t>TRCS</t>
  </si>
  <si>
    <t>WCF CONTRIB  Jan 2022-Ngaraganza Medical Warehouse</t>
  </si>
  <si>
    <t>WCF</t>
  </si>
  <si>
    <t>Totaal ND: Drugs and medical consumables</t>
  </si>
  <si>
    <t>IRF/NDUTA/00091</t>
  </si>
  <si>
    <t>Perdiem ,picking Deligate from Kigoma to Nduta</t>
  </si>
  <si>
    <t>Ismail Bishanga</t>
  </si>
  <si>
    <t>IRF/NDUTA/00092</t>
  </si>
  <si>
    <t>IRF/NDUTA/00095</t>
  </si>
  <si>
    <t>Perdiem , vehicle transfer from Dar to nduta driver</t>
  </si>
  <si>
    <t>IRF/NDUTA/00096</t>
  </si>
  <si>
    <t>Perdiem project review with SG Kigoma Team leader</t>
  </si>
  <si>
    <t xml:space="preserve">Athuman  Mohamed </t>
  </si>
  <si>
    <t>IRF/NDUTA/00097</t>
  </si>
  <si>
    <t xml:space="preserve">Perdiem project review with SG Kigoma Driver </t>
  </si>
  <si>
    <t>IRF/NDUTA/00100</t>
  </si>
  <si>
    <t>Perdiem project review with SG Kigoma ,Logistic</t>
  </si>
  <si>
    <t>Lilian Mlangwa</t>
  </si>
  <si>
    <t>IRF/NDUTA/00098</t>
  </si>
  <si>
    <t>Perdiem, Nyaragenza collecting medicine -driver</t>
  </si>
  <si>
    <t>Aman Mahona</t>
  </si>
  <si>
    <t>IRF/NDUTA/00099</t>
  </si>
  <si>
    <t>Perdiem, Nyaragenza collecting medicine -pharmasist</t>
  </si>
  <si>
    <t>Immaculata Madyane</t>
  </si>
  <si>
    <t>Costs of sending original documents to TRCS HQ</t>
  </si>
  <si>
    <t>IRF/NDUTA/00129</t>
  </si>
  <si>
    <t>Perdiem, preparation and hiring training hall</t>
  </si>
  <si>
    <t>IRF/NDUTA/00106</t>
  </si>
  <si>
    <t>Picking BRC Delegate from Kigoma airport,Driver</t>
  </si>
  <si>
    <t>IRF/NDUTA/00107</t>
  </si>
  <si>
    <t>IRF/NDUTA/00112</t>
  </si>
  <si>
    <t>Perdiem intercamp team building</t>
  </si>
  <si>
    <t>8 staff</t>
  </si>
  <si>
    <t>IRF/NDUTA/00113</t>
  </si>
  <si>
    <t>Perdiem Navition training TRCS HQ</t>
  </si>
  <si>
    <t>IRF/NDUTA/00114</t>
  </si>
  <si>
    <t>Beatrice Lekule</t>
  </si>
  <si>
    <t>IRF/NDUTA/00124</t>
  </si>
  <si>
    <t>Perdiem  from Nduta to Kigoma Airport ( Navision mission)</t>
  </si>
  <si>
    <t>IRF/NDUTA/00147</t>
  </si>
  <si>
    <t>Airtickets for Lilian and Beatrice Navsion training in Dar</t>
  </si>
  <si>
    <t>IRF/NDUTA/00217</t>
  </si>
  <si>
    <t>Per diem driving Alex Fumbule to pick new ambulance UNHCR</t>
  </si>
  <si>
    <t>Panton vehicle fee (vehicle ferrying)</t>
  </si>
  <si>
    <t>IRF/NDUTA/00220</t>
  </si>
  <si>
    <t>Per diem to drive BRC delegate to and from Kigoma and Mwanza airport respectively</t>
  </si>
  <si>
    <t>IRF/NDUTA/00221</t>
  </si>
  <si>
    <t>Per diem for 4 days driving BRC delegate from Kigoma airport to Kibondo</t>
  </si>
  <si>
    <t>IRF/NDUTA/00223</t>
  </si>
  <si>
    <t>Per diem to pick BRC delegate (Sofie, Nathalie and Phillip)</t>
  </si>
  <si>
    <t>IRF/NDUTA/00227</t>
  </si>
  <si>
    <t>Per diem to Juma Mbogoyo and Beatrice Lukele to courrier financial documents at Kigoma</t>
  </si>
  <si>
    <t>NMB plc</t>
  </si>
  <si>
    <t>IRF/NDUTA/00245</t>
  </si>
  <si>
    <t>Additional per diem</t>
  </si>
  <si>
    <t>Totaal ND: Field team - Monitoring and Supervision</t>
  </si>
  <si>
    <t>IRF/NDUTA/00230</t>
  </si>
  <si>
    <t xml:space="preserve">Fire extinguisher </t>
  </si>
  <si>
    <t>KIKAKI FIRE PROTECTION AN GENERAL SUPPLY</t>
  </si>
  <si>
    <t>Totaal ND: Fire extinguisher</t>
  </si>
  <si>
    <t>IRF/NDUTA/00070</t>
  </si>
  <si>
    <t>Perdiem First Aid Training-BATCH 1.</t>
  </si>
  <si>
    <t>Several Payees(Participants)</t>
  </si>
  <si>
    <t>Transport refund for Facilitator-Consolata Barongo</t>
  </si>
  <si>
    <t>Visram Coach</t>
  </si>
  <si>
    <t>Transport refund for Facilitator-Mr Kajoro Chanda</t>
  </si>
  <si>
    <t>Transport refund for Facilitator-Mr Shaban Mrisho</t>
  </si>
  <si>
    <t>Casablanca Express</t>
  </si>
  <si>
    <t>IRF/NDUTA/00069</t>
  </si>
  <si>
    <t>Perdiem to facilitator</t>
  </si>
  <si>
    <t>Lance Israel Mulaki</t>
  </si>
  <si>
    <t>IRF/NDUTA/00080</t>
  </si>
  <si>
    <t>Kajoro K. Chanda</t>
  </si>
  <si>
    <t>IRF/NDUTA/00081</t>
  </si>
  <si>
    <t>Consolatha M Barongo</t>
  </si>
  <si>
    <t>IRF/NDUTA/00082</t>
  </si>
  <si>
    <t>IRF/NDUTA/00101</t>
  </si>
  <si>
    <t>Restoration General Traders</t>
  </si>
  <si>
    <t>IRF/NDUTA/00102</t>
  </si>
  <si>
    <t>IRF/NDUTA/00104</t>
  </si>
  <si>
    <t xml:space="preserve">Conference package </t>
  </si>
  <si>
    <t>IRF/NDUTA/00158</t>
  </si>
  <si>
    <t>Allowance to Facilitator</t>
  </si>
  <si>
    <t>Lance Mulaki</t>
  </si>
  <si>
    <t>Kajaro Chanda</t>
  </si>
  <si>
    <t>Transport refund Chande</t>
  </si>
  <si>
    <t>Kiazi Kitamu</t>
  </si>
  <si>
    <t>Transport refund Lance</t>
  </si>
  <si>
    <t>Jumbe trans and Takbir</t>
  </si>
  <si>
    <t>IRF/NDUTA/00162</t>
  </si>
  <si>
    <t>Meals  &amp; Refreshments-First Aid Training</t>
  </si>
  <si>
    <t>Mama Wawili Restraurant  &amp; General Supplies</t>
  </si>
  <si>
    <t>IRF/NDUTA/00190</t>
  </si>
  <si>
    <t>Stationaries for FA-New Staff</t>
  </si>
  <si>
    <t>Restoration General Supply</t>
  </si>
  <si>
    <t>Totaal ND: First Aid- Train 100 health promoters and community members(5 sessions=20 participants x 5 =100)</t>
  </si>
  <si>
    <t>NMBP/TZS/P 00103</t>
  </si>
  <si>
    <t>Purchase of Pharmacy Freezer</t>
  </si>
  <si>
    <t>IRF/NDUTA/00212</t>
  </si>
  <si>
    <t>Payment of shelves for storage of drugs and medical supplies</t>
  </si>
  <si>
    <t>Alvinj  Enterprises and General Supplies</t>
  </si>
  <si>
    <t>Totaal ND: Freezer for pharmacy</t>
  </si>
  <si>
    <t>NMBP/00112</t>
  </si>
  <si>
    <t>Purchase of  ICE PACK FOR Vaccine Carrier.</t>
  </si>
  <si>
    <t>INFINCARE MEDLAB SOLUTIONS</t>
  </si>
  <si>
    <t>Totaal ND: Ice packs</t>
  </si>
  <si>
    <t>IRF/NDUTA/00258</t>
  </si>
  <si>
    <t>Incentives December  2021</t>
  </si>
  <si>
    <t>Incentive Workers</t>
  </si>
  <si>
    <t xml:space="preserve">Totaal ND: Incentive worker - 1 Electrical supervisor </t>
  </si>
  <si>
    <t>JV/TRCS/001372</t>
  </si>
  <si>
    <t>Incentives February 2021</t>
  </si>
  <si>
    <t>JV/TRCS/001373</t>
  </si>
  <si>
    <t>Incentives March 2021</t>
  </si>
  <si>
    <t>IRF/NDUTA/00015</t>
  </si>
  <si>
    <t>Incentives April 2021</t>
  </si>
  <si>
    <t>IRF/NDUTA/00028</t>
  </si>
  <si>
    <t>Incentives May 2021</t>
  </si>
  <si>
    <t>IRF/NDUTA/00039</t>
  </si>
  <si>
    <t>Incentives June  2021</t>
  </si>
  <si>
    <t>IRF/NDUTA/00054</t>
  </si>
  <si>
    <t>Incentives July 2021</t>
  </si>
  <si>
    <t>IRF/NDUTA/00073</t>
  </si>
  <si>
    <t>Incentives August 2021</t>
  </si>
  <si>
    <t>IRF/NDUTA/00088</t>
  </si>
  <si>
    <t>Incentives September  2021</t>
  </si>
  <si>
    <t>IRF/NDUTA/00126</t>
  </si>
  <si>
    <t>Incentives October  2021</t>
  </si>
  <si>
    <t>IRF/NDUTA/00157</t>
  </si>
  <si>
    <t>Incentives November  2021</t>
  </si>
  <si>
    <t xml:space="preserve">Totaal ND: Incentive worker - 1 Water Technician </t>
  </si>
  <si>
    <t xml:space="preserve">ND: Incentive worker - 12 Cleaners </t>
  </si>
  <si>
    <t>Incentives June 2021</t>
  </si>
  <si>
    <t xml:space="preserve">Totaal ND: Incentive worker - 12 Cleaners </t>
  </si>
  <si>
    <t xml:space="preserve">ND: Incentive worker - 12 Security Guards </t>
  </si>
  <si>
    <t xml:space="preserve">Totaal ND: Incentive worker - 12 Security Guards </t>
  </si>
  <si>
    <t xml:space="preserve">Totaal ND: Incentive worker - 16 Cleaners </t>
  </si>
  <si>
    <t xml:space="preserve">Totaal ND: Incentive worker - 20 Security Guards </t>
  </si>
  <si>
    <t xml:space="preserve">Totaal ND: Incentive worker - 4 HIV/VTC Counselor </t>
  </si>
  <si>
    <t>Incentives  June 2021</t>
  </si>
  <si>
    <t xml:space="preserve">Totaal ND: Incentive worker - 4 Laboratory Assistant </t>
  </si>
  <si>
    <t xml:space="preserve">Totaal ND: Incentive worker - 4 Nurse Assistants  </t>
  </si>
  <si>
    <t>IRF/NDUTA/00238</t>
  </si>
  <si>
    <t>Totaal ND: Incentive worker - 50 Health Information Team members</t>
  </si>
  <si>
    <t xml:space="preserve">Totaal ND: Incentive worker - 8 Clinical Officers </t>
  </si>
  <si>
    <t xml:space="preserve">Totaal ND: Incentive worker - 8 Registration Clerks </t>
  </si>
  <si>
    <t>NMBP/00081</t>
  </si>
  <si>
    <t>Vehicle maintanance T 625 AMX</t>
  </si>
  <si>
    <t>Adam Motor Works</t>
  </si>
  <si>
    <t>IRF/NDUTA/00139</t>
  </si>
  <si>
    <t>Airticket DAR/KGM picking vehicle from Dar es salaam</t>
  </si>
  <si>
    <t>NMBP/00091</t>
  </si>
  <si>
    <t>Motor Vehicle Insurance  T625 AMX</t>
  </si>
  <si>
    <t>Jubilee Insurance Co T Ltd</t>
  </si>
  <si>
    <t>IRF/NDUTA/00204</t>
  </si>
  <si>
    <t>Fuel Consumption Dec 2021-T625 AMX</t>
  </si>
  <si>
    <t xml:space="preserve">Plan Filling Station </t>
  </si>
  <si>
    <t>IRF/NDUTA/00203</t>
  </si>
  <si>
    <t>Fuel Consumption Dec 2021-T 729 DHR</t>
  </si>
  <si>
    <t>Fuel Consumption Oct 2021-T625 AMX</t>
  </si>
  <si>
    <t xml:space="preserve">Plan </t>
  </si>
  <si>
    <t>Fuel Consumption Nov 2021-T729 DHR</t>
  </si>
  <si>
    <t>Fuel Consumption Nov 2021-T625 AMX</t>
  </si>
  <si>
    <t>IRF/NDUTA/00224</t>
  </si>
  <si>
    <t>Repair and maintanance of vehicle no. T625 AMX- Monitoring vehicle</t>
  </si>
  <si>
    <t>IRF/NDUTA/00242</t>
  </si>
  <si>
    <t>IRF/NDUTA/00244</t>
  </si>
  <si>
    <t>Repair and maintanance of vehicle no. T729 DHR- Monitoring vehicle</t>
  </si>
  <si>
    <t>Fuel Consumption Dec 2021 - T 625 AMX</t>
  </si>
  <si>
    <t>Fuel Consumption Dec 2021 - T729 DHR</t>
  </si>
  <si>
    <t>Fuel Consumption Jan 2022 i - T729 DHR</t>
  </si>
  <si>
    <t>Fuel Consumption Jan 2022 ii  - T729 DHR</t>
  </si>
  <si>
    <t>Totaal ND: Mileage for vehicle for monitoring purpose</t>
  </si>
  <si>
    <t>Fuel for vehicle Nduta Camp pick up</t>
  </si>
  <si>
    <t>Fuel for vehicle Nduta Camp -pick up</t>
  </si>
  <si>
    <t>Fuel for vehicle Nduta Camp-T721 AUF</t>
  </si>
  <si>
    <t>Fuel for vehicle Nduta Camp T721 AUF</t>
  </si>
  <si>
    <t>IRF/NDUTA/00062</t>
  </si>
  <si>
    <t>IRF/NDUTA/00067</t>
  </si>
  <si>
    <t>Repair and maintanance of vehicle T 721 AUF</t>
  </si>
  <si>
    <t>Car fuel for the Pick-up(Waste Vehicle</t>
  </si>
  <si>
    <t>IRF/NDUTA/00152</t>
  </si>
  <si>
    <t>General Service for Vehicle T721 AUF Pick-Up.</t>
  </si>
  <si>
    <t>IRF/NDUTA/00201</t>
  </si>
  <si>
    <t>Fuel Consumption Dec 2021-T721 AUF</t>
  </si>
  <si>
    <t>Fuel Consumption Oct 2021-T721 AUF</t>
  </si>
  <si>
    <t>Fuel Consumption Nov 2021-T721 AUF</t>
  </si>
  <si>
    <t>Motor Vehicle Insurance T721AUF</t>
  </si>
  <si>
    <t>IRF/NDUTA/00235</t>
  </si>
  <si>
    <t>IRF/NDUTA/00243</t>
  </si>
  <si>
    <t>Fuel Consumption Dec 2021 - T721 AUF</t>
  </si>
  <si>
    <t>Fuel Consumption Jan 2022-T721 AUF i</t>
  </si>
  <si>
    <t>Fuel Consumption Jan 2022-T721 AUF ii</t>
  </si>
  <si>
    <t>Totaal ND: Mileage System - Vehicle pick-up for collecting waste product from 4 HPs to Main Hospital</t>
  </si>
  <si>
    <t>NMBP/00101</t>
  </si>
  <si>
    <t>Printing Costs of Patient Cards</t>
  </si>
  <si>
    <t>Totaal ND: Patient cards</t>
  </si>
  <si>
    <t>NMBP/00102</t>
  </si>
  <si>
    <t>Printing Costs of Medical Records Books</t>
  </si>
  <si>
    <t>Splash Media</t>
  </si>
  <si>
    <t>Totaal ND: Patient medical record books</t>
  </si>
  <si>
    <t>JV/TRCS/001369</t>
  </si>
  <si>
    <t>Printing of HIS books (ANC,PNC,EPT,FPI,LAB,OPD</t>
  </si>
  <si>
    <t>Ashine 2011 General Supply</t>
  </si>
  <si>
    <t xml:space="preserve">Totaal ND: Printing and publication costs hospital HIS OPD book  </t>
  </si>
  <si>
    <t>Printing of delivery note</t>
  </si>
  <si>
    <t xml:space="preserve">Totaal ND: Printing cost of Delivery Note books  </t>
  </si>
  <si>
    <t>Printing of Good Received Note(GRN)</t>
  </si>
  <si>
    <t xml:space="preserve">Totaal ND: Printing cost of Goods received note (GRN) books  </t>
  </si>
  <si>
    <t xml:space="preserve">Printing of local purchasing order book,carbonated </t>
  </si>
  <si>
    <t xml:space="preserve">Totaal ND: Printing cost of Local Purchasing Order(LPO) books  </t>
  </si>
  <si>
    <t xml:space="preserve">Printing of requisition books </t>
  </si>
  <si>
    <t xml:space="preserve">Totaal ND: Printing cost of Requisition books  </t>
  </si>
  <si>
    <t>Printing of laboratory request form</t>
  </si>
  <si>
    <t xml:space="preserve">Totaal ND: Printing of Laboratory request forms  </t>
  </si>
  <si>
    <t>NMBP/00100</t>
  </si>
  <si>
    <t>Printing Costs  Postnatal/Prenatal Cards</t>
  </si>
  <si>
    <t>Totaal ND: Printing of prenatal and postnatal cards</t>
  </si>
  <si>
    <t>Printing of Prescrption books</t>
  </si>
  <si>
    <t>NMBP/00092</t>
  </si>
  <si>
    <t>Printing costs of Prescription Books</t>
  </si>
  <si>
    <t xml:space="preserve">Totaal ND: Printing of Prescription books  </t>
  </si>
  <si>
    <t>Fuel for vehicle Nduta Camp- referral</t>
  </si>
  <si>
    <t>Fuel for vehicle Nduta Camp refferal</t>
  </si>
  <si>
    <t>Fuel for vehicle Nduta Camp T103DGX</t>
  </si>
  <si>
    <t>Fuel for vehicle Nduta Camp DFPA7971</t>
  </si>
  <si>
    <t>Fuel for vehicle Nduta Camp-T103 DGX</t>
  </si>
  <si>
    <t>Car Fuel for the Ambulance(Medical  Referral cost)</t>
  </si>
  <si>
    <t>IRF/NDUTA/00085</t>
  </si>
  <si>
    <t>Repair and maintanance of vehicle T 103 DGX</t>
  </si>
  <si>
    <t>IRF/NDUTA/00089</t>
  </si>
  <si>
    <t>IRF/NDUTA/00153</t>
  </si>
  <si>
    <t>Motor Vehicle General Service -Ambulance T103 DGX.</t>
  </si>
  <si>
    <t xml:space="preserve">Kibondo Spare </t>
  </si>
  <si>
    <t>IRF/NDUTA/00154</t>
  </si>
  <si>
    <t>IRF/NDUTA/00202</t>
  </si>
  <si>
    <t>Fuel Consumption Dec 2021 - T 103 DGX</t>
  </si>
  <si>
    <t>IRF/NDUTA/00187</t>
  </si>
  <si>
    <t>Repair &amp; Maintanance for  M/Vehicle Ambulance T103 DGX</t>
  </si>
  <si>
    <t>Fuel Consumption Oct 2021-T103 DGX</t>
  </si>
  <si>
    <t>Fuel Consumption Oct 2021</t>
  </si>
  <si>
    <t>Fuel Consumption Nov 2021-T103 DGX</t>
  </si>
  <si>
    <t>Motor Vehicle Insurance T103 DGX</t>
  </si>
  <si>
    <t>IRF/NDUTA/00234</t>
  </si>
  <si>
    <t>Fuel Consumption Jan 2022-T103DGX i</t>
  </si>
  <si>
    <t>Fuel Consumption Jan 2022-T103DGX ii</t>
  </si>
  <si>
    <t xml:space="preserve">Totaal ND: Referral cost - Medical Referral cost  </t>
  </si>
  <si>
    <t>NMBP/TZS/P 00104</t>
  </si>
  <si>
    <t>Purchase of Pharmacy Refrigerator</t>
  </si>
  <si>
    <t xml:space="preserve">Totaal ND: Refrigerator for pharmacy </t>
  </si>
  <si>
    <t>IRF/NDUTA/00155</t>
  </si>
  <si>
    <t>Rent for pharmacy 3 months</t>
  </si>
  <si>
    <t>Christian Mwebeyo Mahwera</t>
  </si>
  <si>
    <t>IRF/NDUTA/00156</t>
  </si>
  <si>
    <t>10% Withholding tax for rent</t>
  </si>
  <si>
    <t>Commissiner for Domestic Revenue</t>
  </si>
  <si>
    <t>IRF/NDUTA/00174</t>
  </si>
  <si>
    <t>Electricity for Pharmacy December 2021.</t>
  </si>
  <si>
    <t>TANESCO LTD</t>
  </si>
  <si>
    <t>IRF/NDUTA/00175</t>
  </si>
  <si>
    <t>Purchase of Air Condition for Pharmacy.</t>
  </si>
  <si>
    <t>IRF/NDUTA/00215</t>
  </si>
  <si>
    <t>IRF/NDUTA/00228</t>
  </si>
  <si>
    <t>Moisture absorbing machine</t>
  </si>
  <si>
    <t>IRF/NDUTA/00226</t>
  </si>
  <si>
    <t>Electricity for the pharmacy (Kibondo warehouse) for the month of Jan 2022</t>
  </si>
  <si>
    <t xml:space="preserve">Totaal ND: Rent of place for pharmacy </t>
  </si>
  <si>
    <t>IRF/NDUTA/00176</t>
  </si>
  <si>
    <t>Purchase of  Generator  &amp; Refrigerator for VACCINE at Health Post.</t>
  </si>
  <si>
    <t>IRF/NDUTA/00211</t>
  </si>
  <si>
    <t>Renovation  of 4 LAB Units and Dispensing Unit.</t>
  </si>
  <si>
    <t>IRF/NDUTA/00213</t>
  </si>
  <si>
    <t>Payment of wooden table for lab units</t>
  </si>
  <si>
    <t>IRF/NDUTA/00216</t>
  </si>
  <si>
    <t>Maintanance of fence for all 4 health posts</t>
  </si>
  <si>
    <t>Totaal ND: Repair and maintenance of the Health Posts</t>
  </si>
  <si>
    <t>ND: SGBV Mainstreaming and PSEA Training for both national staff and Incentive workers</t>
  </si>
  <si>
    <t>IRF/NDUTA/00019</t>
  </si>
  <si>
    <t>Stationery for PSEA training</t>
  </si>
  <si>
    <t>Ndanga  Enterprices</t>
  </si>
  <si>
    <t>Refreshment PSEA training</t>
  </si>
  <si>
    <t>Mamboni  Restaurant</t>
  </si>
  <si>
    <t>IRF/NDUTA/00138</t>
  </si>
  <si>
    <t>Perdiem during PSEA training</t>
  </si>
  <si>
    <t>Mercy Kimaro</t>
  </si>
  <si>
    <t>Epimark Mmasy</t>
  </si>
  <si>
    <t>ND: SGBV Mainstreaming and PSEA Training for both national staff and incentive workers</t>
  </si>
  <si>
    <t>IRF/NDUTA/00160</t>
  </si>
  <si>
    <t>Meals &amp; refreshments-PSEA  Training</t>
  </si>
  <si>
    <t>IRF/NDUTA/00191</t>
  </si>
  <si>
    <t>Purchase of Stationery-SGBV Training to New Staff</t>
  </si>
  <si>
    <t>Totaal ND: SGBV Mainstreaming and PSEA Training for both national staff and Incentive workers</t>
  </si>
  <si>
    <t>IRF/NDUTA/00193</t>
  </si>
  <si>
    <t>Purchase of Pallets for Drugs Storage</t>
  </si>
  <si>
    <t>Totaal ND: Shelves for storage of drugs and medical supplies</t>
  </si>
  <si>
    <t>IRF/NDUTA/00218</t>
  </si>
  <si>
    <t xml:space="preserve">Payment of shelves for medical record books </t>
  </si>
  <si>
    <t xml:space="preserve">Totaal ND: Shelves for storage of patient medical books </t>
  </si>
  <si>
    <t>IRF/NDUTA/00145</t>
  </si>
  <si>
    <t>Stationary for office and health post</t>
  </si>
  <si>
    <t>NMBP/00090</t>
  </si>
  <si>
    <t>Stationaries HQ</t>
  </si>
  <si>
    <t>Chance Technology CO. ltd</t>
  </si>
  <si>
    <t>Totaal ND: Stationaries for Kibondo office and Health Posts</t>
  </si>
  <si>
    <t>IRF/NDUTA/00192</t>
  </si>
  <si>
    <t>Purchase of Stationery-Intergrity Training</t>
  </si>
  <si>
    <t>IRF/NDUTA/00194</t>
  </si>
  <si>
    <t>Hire of Venue/Hall-Intergrity Training</t>
  </si>
  <si>
    <t>The Anglican Church</t>
  </si>
  <si>
    <t>IRF/NDUTA/00161</t>
  </si>
  <si>
    <t>Perdiem to Facilitators-Intergrity Training</t>
  </si>
  <si>
    <t>IRF/NDUTA/00181</t>
  </si>
  <si>
    <t>Extra Perdiem to Facilitators-Intergrity Training</t>
  </si>
  <si>
    <t>Beatrice Seme/Vanessa Magayane</t>
  </si>
  <si>
    <t>NMBP/00113</t>
  </si>
  <si>
    <t>Return tickets in favor of Beatrice S.&amp; Vanessa M.-attending Intergrity &amp; Compliance Training.</t>
  </si>
  <si>
    <t>IRF/NDUTA/00254</t>
  </si>
  <si>
    <t>Meals &amp; Refreshments-Intergrity   Training</t>
  </si>
  <si>
    <t xml:space="preserve">Totaal ND: Training for Integrity and Compliance issues for newly recruited national staff </t>
  </si>
  <si>
    <t>IRF/NDUTA/00117</t>
  </si>
  <si>
    <t>Hiring cost of training Hall for 3 days-Drug Management Training</t>
  </si>
  <si>
    <t>Kasulu TTC -Hall</t>
  </si>
  <si>
    <t>IRF/NDUTA/00118</t>
  </si>
  <si>
    <t>Perdiem 3 Days to participants-Drug Management W/shop.</t>
  </si>
  <si>
    <t>Participants and facilitator</t>
  </si>
  <si>
    <t>Perdiem 1 day to participants-Drug Management W/shop.</t>
  </si>
  <si>
    <t>Perdiem 3 days  to facilitators-Drug Management W/shop.</t>
  </si>
  <si>
    <t>Perdiem 1 day  to facilitators-Drug Management W/shop.</t>
  </si>
  <si>
    <t>Refund of Bus fare to facilitators-Drug Management W/shop.</t>
  </si>
  <si>
    <t>Perdiem to Finance Officer(coordinating&amp;paying participants-Drug Management W/shop.</t>
  </si>
  <si>
    <t>IRF/NDUTA/00119</t>
  </si>
  <si>
    <t>IRF/NDUTA/00137</t>
  </si>
  <si>
    <t>IRF/NDUTA/00146</t>
  </si>
  <si>
    <t>Lundch and refreshment</t>
  </si>
  <si>
    <t>Totaal ND: Training to clinicians and nurses on drug management and rational prescription</t>
  </si>
  <si>
    <t>IRF/NDUTA/00105</t>
  </si>
  <si>
    <t>Perdiem 14 participants -Malaria  Management Training</t>
  </si>
  <si>
    <t>Participants and facitator</t>
  </si>
  <si>
    <t>Perdiem for 2 Facilitators 1 facilitor-Malaria Management Training</t>
  </si>
  <si>
    <t>Refund of travel costs-Bus fares during Malaria Management training</t>
  </si>
  <si>
    <t>Hiring cost of training Hall for 3 days Malaria Training.</t>
  </si>
  <si>
    <t>IRF/NDUTA/00109</t>
  </si>
  <si>
    <t>Perdiem cordinate malaria training Kasulu-Logistc</t>
  </si>
  <si>
    <t>IRF/NDUTA/00110</t>
  </si>
  <si>
    <t>Perdiem cordinate malaria training Kasulu-driver</t>
  </si>
  <si>
    <t>IRF/NDUTA/00136</t>
  </si>
  <si>
    <t>Totaal ND: Training to clinicians and nurses on malaria management protocols</t>
  </si>
  <si>
    <t>IRF/NDUTA/00061</t>
  </si>
  <si>
    <t>Uniform</t>
  </si>
  <si>
    <t>Totaal ND: Uniforms for health staff</t>
  </si>
  <si>
    <t>NMBP/00114</t>
  </si>
  <si>
    <t>Purchase of  Vaccine Carrier Boxes</t>
  </si>
  <si>
    <t>Totaal ND: Vaccine carrier boxes</t>
  </si>
  <si>
    <t>IRF/NDUTA/00210</t>
  </si>
  <si>
    <t>Visibility Items -Signboard with Iron Sheeting.</t>
  </si>
  <si>
    <t>Totaal ND: Visibility items (sign boards)</t>
  </si>
  <si>
    <t>IRF/NDUTA/00159</t>
  </si>
  <si>
    <t>Luncheon for Health Team during World Aids Day.</t>
  </si>
  <si>
    <t>Fuel for Generator during World Aids Day.</t>
  </si>
  <si>
    <t>IRF/NDUTA/00170</t>
  </si>
  <si>
    <t>Refreshments during WORLD AIDS DAY</t>
  </si>
  <si>
    <t>IRF/NDUTA/00196</t>
  </si>
  <si>
    <t>Printing of Promotion Materials-WORLD AIDS DAY</t>
  </si>
  <si>
    <t>Totaal ND: World Aids Day</t>
  </si>
  <si>
    <t>Nurse Midwife</t>
  </si>
  <si>
    <t>Keleni Amos Dawson</t>
  </si>
  <si>
    <t>Judidh Clid Kessy</t>
  </si>
  <si>
    <t>Zania Malik Ndoss</t>
  </si>
  <si>
    <t>Salum Aloyce Marunda</t>
  </si>
  <si>
    <t>Evaline Gerad</t>
  </si>
  <si>
    <t>Elizabeth Mhegele</t>
  </si>
  <si>
    <t>Maria Mgendi</t>
  </si>
  <si>
    <t>Jilian LucasMuhoza</t>
  </si>
  <si>
    <t>Moses Mahobe</t>
  </si>
  <si>
    <t>Asifiwe Yekonia Bisakubwa</t>
  </si>
  <si>
    <t>Ester Matson</t>
  </si>
  <si>
    <t>Mary Pius Mhindi</t>
  </si>
  <si>
    <t>Mwahubuhalhani Kitogo</t>
  </si>
  <si>
    <t>Gelard Shabani</t>
  </si>
  <si>
    <t>Anna Mrisho Abdalah</t>
  </si>
  <si>
    <t>Gerald Rubinza Ncheye</t>
  </si>
  <si>
    <t>Neema Vicent Rungu</t>
  </si>
  <si>
    <t>Totaal Nurse Midwife</t>
  </si>
  <si>
    <t>Nutritionist</t>
  </si>
  <si>
    <t>Nyamizi Katuge</t>
  </si>
  <si>
    <t>Totaal Nutritionist</t>
  </si>
  <si>
    <t>Office Attendant</t>
  </si>
  <si>
    <t>Geneveva Laurent</t>
  </si>
  <si>
    <t>Totaal Office Attendant</t>
  </si>
  <si>
    <t>NMBM/000490</t>
  </si>
  <si>
    <t>Allowance for partcipants of the community early warning system Simulation exercise in Kyela</t>
  </si>
  <si>
    <t>48 partipants</t>
  </si>
  <si>
    <t>NMBM/000486</t>
  </si>
  <si>
    <t>Per diem allowancesfor driver during community early warning system (CEWS) - Simulation exercise in Kyela</t>
  </si>
  <si>
    <t>Elisha Joab Mwakaje</t>
  </si>
  <si>
    <t>NMBM/000487</t>
  </si>
  <si>
    <t>Conference Package Simulation Kyela</t>
  </si>
  <si>
    <t>NMBM/000485</t>
  </si>
  <si>
    <t>Participating in simulation Exercise on community early warning system at kyela</t>
  </si>
  <si>
    <t>Robi wambura</t>
  </si>
  <si>
    <t>NMBM/000483</t>
  </si>
  <si>
    <t>Leading the simulation Exercise on community early warning system at kyela</t>
  </si>
  <si>
    <t>Jonston weston</t>
  </si>
  <si>
    <t>NMB/000519</t>
  </si>
  <si>
    <t>Hiring of 4 tents pcs and 53 chairs for 2days during simulation game on community in kyela</t>
  </si>
  <si>
    <t>Two star supply and service ltd</t>
  </si>
  <si>
    <t>supply of pen box,marker pen,masking and cartridge laserjet in kyela District</t>
  </si>
  <si>
    <t>Amani stationary</t>
  </si>
  <si>
    <t>supply of Rope tape,Dummy rivergauge and whistle during simulation game in kyela</t>
  </si>
  <si>
    <t>salutaba ally mwakimwagile Hardware</t>
  </si>
  <si>
    <t>Totaal Organize a pilot case in a specific district and test-run the service during a simulation and/or real-time interventions.</t>
  </si>
  <si>
    <t>IFRF/DP/00056</t>
  </si>
  <si>
    <t>Perdiem - early warning system Kyela, Mbeya</t>
  </si>
  <si>
    <t>Viva Oliva shoo</t>
  </si>
  <si>
    <t>IFRF/DP/00061</t>
  </si>
  <si>
    <t>Conference  package- cascade CEWS to 90  WDMC</t>
  </si>
  <si>
    <t>New Steak Inn General</t>
  </si>
  <si>
    <t>IFRF/DP/00063</t>
  </si>
  <si>
    <t>Refreshments to community members</t>
  </si>
  <si>
    <t>Michael Julius Kidago</t>
  </si>
  <si>
    <t>IIRF/DPIII/00052</t>
  </si>
  <si>
    <t>Conference package</t>
  </si>
  <si>
    <t>Tony George Ndaombwa</t>
  </si>
  <si>
    <t>IFRF/DP/00057</t>
  </si>
  <si>
    <t>IFRF/DP/00051</t>
  </si>
  <si>
    <t>Volunteer allowance CEWS training</t>
  </si>
  <si>
    <t>Allowances for Ward Disaster Management Committees (WDMC) to cascade community early warning system training</t>
  </si>
  <si>
    <t>Allowance to district officers cascade community early warning system training</t>
  </si>
  <si>
    <t>District officers</t>
  </si>
  <si>
    <t>Fuel -  set up and dissemination early warning protocol</t>
  </si>
  <si>
    <t>Stationaries - used during set up and disemination of early warning protocol activity</t>
  </si>
  <si>
    <t>Mnyika stationaries</t>
  </si>
  <si>
    <t>Allowance district officers  community early warning system training/SOP</t>
  </si>
  <si>
    <t>Allowance to  village leaders during cascade of community early warning system protocol</t>
  </si>
  <si>
    <t>Village officers</t>
  </si>
  <si>
    <t>Totaal Organize a training at branch level regarding early warning, early action.</t>
  </si>
  <si>
    <t>NMBM/000280</t>
  </si>
  <si>
    <t>Translation disaster risk reduction animation for mobile cinema in swahili</t>
  </si>
  <si>
    <t>Labworks Company Limited</t>
  </si>
  <si>
    <t>IFRF/DPIII/00056</t>
  </si>
  <si>
    <t>Allowance to  during DRR awareness and mobile cinema sessions</t>
  </si>
  <si>
    <t>Fuel used on the generator used during mobile cinema sessions in Kyela</t>
  </si>
  <si>
    <t>Nassir Service station co Ltd</t>
  </si>
  <si>
    <t>Incentives for volunteers during DRR awareness and mobile cinema sessions</t>
  </si>
  <si>
    <t>TRCS volunteers</t>
  </si>
  <si>
    <t>allowance for the government  officer participating in mobile cinema sessions in Kyela</t>
  </si>
  <si>
    <t>Amos Kayambele</t>
  </si>
  <si>
    <t>IFRF/DPIII/00064</t>
  </si>
  <si>
    <t>Allowances for volunteers during Mobile cinema on Disaster Risk Reduction in Kikuba village</t>
  </si>
  <si>
    <t>5 participants</t>
  </si>
  <si>
    <t>Allowances for volunteers during Mobile cinema on Disaster Risk Reduction in Lusungo village</t>
  </si>
  <si>
    <t>Allowances for volunteers during Mobile cinema on Disaster Risk Reduction in Kingala village</t>
  </si>
  <si>
    <t>Allowances for volunteers during Mobile cinema on Disaster Risk Reduction in Kajunjumele ward</t>
  </si>
  <si>
    <t xml:space="preserve">Allowances for volunteers during Mobile cinema on Disaster Risk Reduction in Bujonde ward </t>
  </si>
  <si>
    <t>Lake oil Limited</t>
  </si>
  <si>
    <t>Infinity Filing station</t>
  </si>
  <si>
    <t>Various items</t>
  </si>
  <si>
    <t>Seif Waziri Mwamgonge</t>
  </si>
  <si>
    <t>Nassor Service Station co. Ltd</t>
  </si>
  <si>
    <t>Milka John Nindi</t>
  </si>
  <si>
    <t>Stationery</t>
  </si>
  <si>
    <t>Spear Alfred Mnyika</t>
  </si>
  <si>
    <t>Face mask 50 pcs(2 packets)</t>
  </si>
  <si>
    <t>Mend Pharmacy</t>
  </si>
  <si>
    <t>Soap and sanitizer</t>
  </si>
  <si>
    <t>Ngwantwa Mwakalobo</t>
  </si>
  <si>
    <t>Kanga</t>
  </si>
  <si>
    <t>Esta Mwakanyamale</t>
  </si>
  <si>
    <t>Allowances for volunteers during Mobile cinema on Disaster Risk Reduction in Kabanga village</t>
  </si>
  <si>
    <t>Allowances for volunteers during Mobile cinema on Disaster Risk Reduction in Mpunguti village</t>
  </si>
  <si>
    <t>Allowances for volunteers during Mobile cinema on Disaster Risk Reduction in Ngwanga village</t>
  </si>
  <si>
    <t>Allowances for volunteers during Mobile cinema on Disaster Risk Reduction in Katumbavillage</t>
  </si>
  <si>
    <t>Allowances for government official during mobile cinema</t>
  </si>
  <si>
    <t>Amos Kayembele</t>
  </si>
  <si>
    <t>Allowances for volunteers during Mobile cinema on Disaster Risk Reduction in Walungo village</t>
  </si>
  <si>
    <t>Allowances for volunteers during Mobile cinema on Disaster Risk Reduction in Lugombo village</t>
  </si>
  <si>
    <t>Allowances for volunteers during Mobile cinema on Disaster Risk Reduction in Masebe village</t>
  </si>
  <si>
    <t>Allowances for volunteers during Mobile cinema on Disaster Risk Reduction in Ndola village</t>
  </si>
  <si>
    <t>Totaal Organizing interactive awareness raising sessions on DRR in targeted villages using mobile cinema and radio shows.</t>
  </si>
  <si>
    <t>NMBM/00059</t>
  </si>
  <si>
    <t>Air ticket for DM manager participating in EVCA training of trainers in Nairobi</t>
  </si>
  <si>
    <t>IFRF/DP/00055</t>
  </si>
  <si>
    <t>Perdiem - particitipating in DRR day</t>
  </si>
  <si>
    <t>Air ticket -participating in DRR day</t>
  </si>
  <si>
    <t>NMBM/000455</t>
  </si>
  <si>
    <t>Fuel during Disaster Risk Reduction day Geita</t>
  </si>
  <si>
    <t>Henry Filling Station</t>
  </si>
  <si>
    <t>Perdiem for participating in world Disaster Risk Reduction day in Geita</t>
  </si>
  <si>
    <t>Peter Enock</t>
  </si>
  <si>
    <t>NMBM/000469</t>
  </si>
  <si>
    <t>15 Volunteer allowance distribution of water tanks and IEC materials</t>
  </si>
  <si>
    <t>Volunteers of TRCS dar es salaam branch</t>
  </si>
  <si>
    <t>NMBM/000467</t>
  </si>
  <si>
    <t>Allowance Disaster Risk Reduction day Regional coordinator Dodoma</t>
  </si>
  <si>
    <t>MV fuel  Disaster Risk Reduction day</t>
  </si>
  <si>
    <t>Dodoma Star</t>
  </si>
  <si>
    <t>Refreshment blood donation exercise</t>
  </si>
  <si>
    <t>Cavilam Complex co ltd</t>
  </si>
  <si>
    <t>NMBM/000470</t>
  </si>
  <si>
    <t>Rajabu Mohamed</t>
  </si>
  <si>
    <t>NMBM/000479</t>
  </si>
  <si>
    <t>Allowances 2 journalists to cover the activities of TRCS during international annual Disaster Risk Reduction day</t>
  </si>
  <si>
    <t>Edna Lameck and David Rwekiza</t>
  </si>
  <si>
    <t xml:space="preserve">Totaal Participation to regional DM capacity strengthening activities (exchanges, EA DM meeting,…) </t>
  </si>
  <si>
    <t>Patron</t>
  </si>
  <si>
    <t>Wilbroad William</t>
  </si>
  <si>
    <t>Ester Mtinangi</t>
  </si>
  <si>
    <t>Basic salary December  2021</t>
  </si>
  <si>
    <t>Totaal Patron</t>
  </si>
  <si>
    <t>Stationaries EVCA TOT training</t>
  </si>
  <si>
    <t>Morogoro stationary &amp;CD</t>
  </si>
  <si>
    <t>NMBM/000212</t>
  </si>
  <si>
    <t>Conference package EVCA training Morogoro</t>
  </si>
  <si>
    <t>Flomi Hotel Ltd</t>
  </si>
  <si>
    <t>Totaal Perform a risk map per district where no risk map is yet available.</t>
  </si>
  <si>
    <t>Transport refund EVCA TOT training</t>
  </si>
  <si>
    <t>IRF/DPIII/00047</t>
  </si>
  <si>
    <t>Conference  package</t>
  </si>
  <si>
    <t>Kyela business centre</t>
  </si>
  <si>
    <t>Training materials</t>
  </si>
  <si>
    <t>Kyela  phamacy</t>
  </si>
  <si>
    <t>Jordan  T/A rago</t>
  </si>
  <si>
    <t>Allowance to Government officers</t>
  </si>
  <si>
    <t>Government officrs</t>
  </si>
  <si>
    <t>Totaal Perform a risk map per ward where no risk map is yet available.</t>
  </si>
  <si>
    <t>Pharmacertical Technician</t>
  </si>
  <si>
    <t>Totaal Pharmacertical Technician</t>
  </si>
  <si>
    <t>PMER Manager  (30%)</t>
  </si>
  <si>
    <t>Thomas Kinyagu</t>
  </si>
  <si>
    <t>Totaal PMER Manager  (30%)</t>
  </si>
  <si>
    <t xml:space="preserve">Totaal PMER support HQ (30%) </t>
  </si>
  <si>
    <t>NMBM/000439</t>
  </si>
  <si>
    <t>Supply mobile phones</t>
  </si>
  <si>
    <t>Dilo's Investment Limited</t>
  </si>
  <si>
    <t>NMBM/000412</t>
  </si>
  <si>
    <t>Supply of assorted items for community early warning system</t>
  </si>
  <si>
    <t>Emagid Investment ltd</t>
  </si>
  <si>
    <t>NMBM/000521</t>
  </si>
  <si>
    <t>Payment for construction and installation of River Gauge</t>
  </si>
  <si>
    <t>NMBM/000538</t>
  </si>
  <si>
    <t>Withholding tax on construction and installation of River Gauge</t>
  </si>
  <si>
    <t>commisioner for Domestic revenue</t>
  </si>
  <si>
    <t>Totaal Procure and distribute visibility items for the members of the early warning teams.</t>
  </si>
  <si>
    <t>First Aid kits</t>
  </si>
  <si>
    <t>Forlab Biosciences Ltd</t>
  </si>
  <si>
    <t>NMBM/000211</t>
  </si>
  <si>
    <t>Medical importation fee</t>
  </si>
  <si>
    <t>TMDA</t>
  </si>
  <si>
    <t>NMBM/000411</t>
  </si>
  <si>
    <t>Supply of First Aid Kits</t>
  </si>
  <si>
    <t>Totaal Procure FA kits for Red Cross Action teams/disaster response team at village/ward/district level</t>
  </si>
  <si>
    <t>Doorrekening loonkost DPIII Tanzania Procurement Officer</t>
  </si>
  <si>
    <t>DPIII Tanzania Procurement Officer</t>
  </si>
  <si>
    <t>DIV210528</t>
  </si>
  <si>
    <t>DPIII Loonkost Q3 - Procurement Officer Tanzania</t>
  </si>
  <si>
    <t>DIV210813</t>
  </si>
  <si>
    <t>DPIII Loonkost Q4 - Procurement Officer Tanzania</t>
  </si>
  <si>
    <t>DIV211351</t>
  </si>
  <si>
    <t>DPIII Loonkostrecuperatie 2021 - Procurement Officer Tanzania</t>
  </si>
  <si>
    <t>INTLAF202000005</t>
  </si>
  <si>
    <t>INTL-001532 - LAERDAL</t>
  </si>
  <si>
    <t>LAERDAL BENELUX NV</t>
  </si>
  <si>
    <t>AANK2000123</t>
  </si>
  <si>
    <t>LAERDAL AANKOPEN</t>
  </si>
  <si>
    <t>AANK2000180</t>
  </si>
  <si>
    <t>TRANSPORTKOSTEN DPIII TANZANIA</t>
  </si>
  <si>
    <t>AANK2000181</t>
  </si>
  <si>
    <t>Totaal Procurement of FA training material for Kigoma region (manikins, head section etc)</t>
  </si>
  <si>
    <t>Procurement of office furnitures and for one Health Posts</t>
  </si>
  <si>
    <t>TRCS/001370</t>
  </si>
  <si>
    <t>Purchase of office furniture</t>
  </si>
  <si>
    <t>Totaal Procurement of office furnitures and for one Health Posts</t>
  </si>
  <si>
    <t>Procurement of Office Laptops for Office use (TL/HC;Finance;HIS;Admin;CO I/C)</t>
  </si>
  <si>
    <t>IRF/NDUTA/00008</t>
  </si>
  <si>
    <t>Parchase of 5 laptops for Nduta refugee camp</t>
  </si>
  <si>
    <t>Dilo's  Investment Ltd</t>
  </si>
  <si>
    <t>Totaal Procurement of Office Laptops for Office use (TL/HC;Finance;HIS;Admin;CO I/C)</t>
  </si>
  <si>
    <t>Procurement of tablets for health data reporting</t>
  </si>
  <si>
    <t>NMBP/00026</t>
  </si>
  <si>
    <t>Tabllets for health data reporting</t>
  </si>
  <si>
    <t>Totaal Procurement of tablets for health data reporting</t>
  </si>
  <si>
    <t>Project Accountant HQ</t>
  </si>
  <si>
    <t>Totaal Project Accountant HQ</t>
  </si>
  <si>
    <t>Project officer(100%)</t>
  </si>
  <si>
    <t>Staff Salaries January  2020</t>
  </si>
  <si>
    <t xml:space="preserve"> Staff Medical December  January 2019</t>
  </si>
  <si>
    <t>Totaal Project officer(100%)</t>
  </si>
  <si>
    <t>Psyhcatric Nurse</t>
  </si>
  <si>
    <t>Johnson Mbata</t>
  </si>
  <si>
    <t>Mercy John</t>
  </si>
  <si>
    <t>Shadrack Ndapo</t>
  </si>
  <si>
    <t>Totaal Psyhcatric Nurse</t>
  </si>
  <si>
    <t>IRF/DPIII/00060</t>
  </si>
  <si>
    <t>Sajen  Mwasabala</t>
  </si>
  <si>
    <t>Airticket -Dar Es Salaam to Mbeya</t>
  </si>
  <si>
    <t>IIRF/DPIII/00053</t>
  </si>
  <si>
    <t>Perdiem -coordination meeting</t>
  </si>
  <si>
    <t xml:space="preserve">Fuel </t>
  </si>
  <si>
    <t>IIRF/DPIII/00055</t>
  </si>
  <si>
    <t>Lunch and refreshment</t>
  </si>
  <si>
    <t>New steak inn  general</t>
  </si>
  <si>
    <t>IIRF/DPIII/00054</t>
  </si>
  <si>
    <t>stationary</t>
  </si>
  <si>
    <t>Mnyika stationary</t>
  </si>
  <si>
    <t>NMB/000534</t>
  </si>
  <si>
    <t>Perdiem on closing out meeting of DP3 in kyela-Mbeya</t>
  </si>
  <si>
    <t>NMB/000532</t>
  </si>
  <si>
    <t>Heriel Rindano</t>
  </si>
  <si>
    <t>NMB/000530</t>
  </si>
  <si>
    <t>NMB/000528</t>
  </si>
  <si>
    <t>David kihenzile</t>
  </si>
  <si>
    <t>NMB/000526</t>
  </si>
  <si>
    <t>Felician Mtahengerwa</t>
  </si>
  <si>
    <t>NMB/000536</t>
  </si>
  <si>
    <t>NMB/000522</t>
  </si>
  <si>
    <t>Perdiem for transportation of project items to Mbeya regional</t>
  </si>
  <si>
    <t>Saleh wendo</t>
  </si>
  <si>
    <t>NMB/000524</t>
  </si>
  <si>
    <t>Perdiem for tansportation of project items to Mbeya regional</t>
  </si>
  <si>
    <t>Edwin Urio</t>
  </si>
  <si>
    <t>NMB/000523</t>
  </si>
  <si>
    <t>Airticket to Trcs management team and Trcs president during closing DP3 in kyela</t>
  </si>
  <si>
    <t>NMB/000520</t>
  </si>
  <si>
    <t>Additional charges on air ticket during closing out DP3 in kyela District</t>
  </si>
  <si>
    <t>NMB/000540</t>
  </si>
  <si>
    <t>Participants allowances during DP3 project closure meeting in kyela District</t>
  </si>
  <si>
    <t>Kyela volunteers</t>
  </si>
  <si>
    <t>NMBM/00520</t>
  </si>
  <si>
    <t xml:space="preserve">Perdiem allowance for TRCS Engineer during inspection of the office construction in Mbeya </t>
  </si>
  <si>
    <t>Airticket Dar-Mbeya(Return)</t>
  </si>
  <si>
    <t>Perdiem driver volunteers</t>
  </si>
  <si>
    <t>fuel for vehicle</t>
  </si>
  <si>
    <t>Lake oil limited</t>
  </si>
  <si>
    <t>NMBM/000544</t>
  </si>
  <si>
    <t>conference package for 28 participants including venue,breakfast,lunch,evening tea and stationary</t>
  </si>
  <si>
    <t>Kyela Business centre</t>
  </si>
  <si>
    <t>NMBM/000543</t>
  </si>
  <si>
    <t>Stone foundation and printing Trcs log for Mbeya office</t>
  </si>
  <si>
    <t>Ally rich sanaa ltd</t>
  </si>
  <si>
    <t>NMBM/000541</t>
  </si>
  <si>
    <t>fuel for vehicle T884 DSS used during quarterly review meeting</t>
  </si>
  <si>
    <t>Petcom Tanzania Limited</t>
  </si>
  <si>
    <t>Manyanya Oil Limited</t>
  </si>
  <si>
    <t>Nassor Service Station Co. Ltd</t>
  </si>
  <si>
    <t>Admire Oil Limited</t>
  </si>
  <si>
    <t>stationery items</t>
  </si>
  <si>
    <t>Amani Stationery</t>
  </si>
  <si>
    <t>Totaal Quarterly review meetings (Mbeya branch coordinators, Mbeya regional coordinator, 4 HQ people: DP, cash, accountant, DM Dir)</t>
  </si>
  <si>
    <t xml:space="preserve">Totaal Regional Coordinator Mbeya (100%) </t>
  </si>
  <si>
    <t>Registration Clerk</t>
  </si>
  <si>
    <t>Moris  Mwabusila</t>
  </si>
  <si>
    <t>Ernest Alex Misilanga</t>
  </si>
  <si>
    <t>Salim Rashid Salim</t>
  </si>
  <si>
    <t>Dorice Hilary Kadushi</t>
  </si>
  <si>
    <t>Basic salary  September n 2021</t>
  </si>
  <si>
    <t xml:space="preserve">Azor Kachila Heradius </t>
  </si>
  <si>
    <t>Herieth John Tungu</t>
  </si>
  <si>
    <t>Shukuru  Hassan Kapoloma</t>
  </si>
  <si>
    <t>Basic salary  October n 2021</t>
  </si>
  <si>
    <t>NSSF Employer's Contribution for October2021</t>
  </si>
  <si>
    <t>Workman's Compensation Fund October2021</t>
  </si>
  <si>
    <t>Atuganile Ulindula</t>
  </si>
  <si>
    <t>NMBP/0089</t>
  </si>
  <si>
    <t>Totaal Registration Clerk</t>
  </si>
  <si>
    <t>Rehabilitation of Office structures (Kibondo and Nduta within RFL Offices-partitioning)</t>
  </si>
  <si>
    <t>IRF/NDUTA/00009</t>
  </si>
  <si>
    <t xml:space="preserve">Office partitioning </t>
  </si>
  <si>
    <t>Mshita Furniture General Suppliers</t>
  </si>
  <si>
    <t>Totaal Rehabilitation of Office structures (Kibondo and Nduta within RFL Offices-partitioning)</t>
  </si>
  <si>
    <t>Renting of Staff Living Compound at Kibondo town (to accommodate 35staff) from mid February 2021</t>
  </si>
  <si>
    <t>SCBC/TZS/00171</t>
  </si>
  <si>
    <t>Rent of staff living compound</t>
  </si>
  <si>
    <t>Abdul M. Nyamaliza</t>
  </si>
  <si>
    <t>IRF/NDUTA/00171</t>
  </si>
  <si>
    <t>Rent for the LIVING COMPOUND</t>
  </si>
  <si>
    <t>Abdul Nyamaliza</t>
  </si>
  <si>
    <t>IRF/NDUTA/00172</t>
  </si>
  <si>
    <t>Withholding tax on Rent for  Jan LIVING COMPOUND.</t>
  </si>
  <si>
    <t>IRF/NDUTA/00178</t>
  </si>
  <si>
    <t>Rent for the LIVING COMPOUND JAN 2022</t>
  </si>
  <si>
    <t>Beach Guest House</t>
  </si>
  <si>
    <t>IRF/NDUTA/00173</t>
  </si>
  <si>
    <t>Withholding Tax-Rent for JAN 2022 LIVING COMPOUND.</t>
  </si>
  <si>
    <t>Commiissiner for Domestic Revenue</t>
  </si>
  <si>
    <t>Totaal Renting of Staff Living Compound at Kibondo town (to accommodate 35staff) from mid February 2021</t>
  </si>
  <si>
    <t>Renting of Staff Living Compound at Kibondo town (to accommodate 35staff) from mid February 2022</t>
  </si>
  <si>
    <t>SCBC/TZS/00172</t>
  </si>
  <si>
    <t>10% Whithhoding tax on Rent of staff living compound</t>
  </si>
  <si>
    <t>IRF/NDUTA/00115</t>
  </si>
  <si>
    <t>Rent October - December 2021</t>
  </si>
  <si>
    <t>John K Kibango</t>
  </si>
  <si>
    <t>IRF/NDUTA/00116</t>
  </si>
  <si>
    <t>Withholding tax 10% on Rent</t>
  </si>
  <si>
    <t>Totaal Renting of Staff Living Compound at Kibondo town (to accommodate 35staff) from mid February 2022</t>
  </si>
  <si>
    <t>Doorrekening loonkost DPIII Tanzania Responsible International projects</t>
  </si>
  <si>
    <t>DPIII Tanzania Responsible International projects</t>
  </si>
  <si>
    <t>DIV210552</t>
  </si>
  <si>
    <t>DPIII Loonkost Q3 - Responsible INTL projects Tanzania</t>
  </si>
  <si>
    <t>DIV210837</t>
  </si>
  <si>
    <t>DPIII Loonkost Q4 - Responsible INTL projects Tanzania</t>
  </si>
  <si>
    <t>DIV211375</t>
  </si>
  <si>
    <t>DPIII Loonkostrecuperatie 2021 - Head of International programs Tanzania</t>
  </si>
  <si>
    <t>Security guards</t>
  </si>
  <si>
    <t>security guards Nduta Camp March 2021</t>
  </si>
  <si>
    <t>Regina Sedekia</t>
  </si>
  <si>
    <t>IRF/NDUTA/00012</t>
  </si>
  <si>
    <t>security guards Nduta Camp April 2021</t>
  </si>
  <si>
    <t>John Bukuru</t>
  </si>
  <si>
    <t>IRF/NDUTA/00026</t>
  </si>
  <si>
    <t>security guards Nduta Camp May 2021</t>
  </si>
  <si>
    <t>IRF/NDUTA/00036</t>
  </si>
  <si>
    <t>security guards Nduta Camp June 2021</t>
  </si>
  <si>
    <t>Ziada Buzeba</t>
  </si>
  <si>
    <t>Security guards Nduta Camp February &amp; March 2021</t>
  </si>
  <si>
    <t>security guards Nduta Camp  May 2021</t>
  </si>
  <si>
    <t>security guards Nduta Camp  June 2021</t>
  </si>
  <si>
    <t>IRF/NDUTA/00055</t>
  </si>
  <si>
    <t>Security guards Nduta Camp July 2021</t>
  </si>
  <si>
    <t xml:space="preserve">Security Guards </t>
  </si>
  <si>
    <t>IRF/NDUTA/00074</t>
  </si>
  <si>
    <t>Security guards Nduta Camp August  2021</t>
  </si>
  <si>
    <t>IRF/NDUTA/00084</t>
  </si>
  <si>
    <t>Security guards Nduta Camp September  2021</t>
  </si>
  <si>
    <t>Security Guards</t>
  </si>
  <si>
    <t>Ezekiel Nambe</t>
  </si>
  <si>
    <t>Daudi Paul Edward</t>
  </si>
  <si>
    <t>Rafael Nkwezi</t>
  </si>
  <si>
    <t>Bera Brightone</t>
  </si>
  <si>
    <t>IRF/NDUTA/00130</t>
  </si>
  <si>
    <t>Ground staff October 2021</t>
  </si>
  <si>
    <t>Ground staff</t>
  </si>
  <si>
    <t>IRF/NDUTA/00141</t>
  </si>
  <si>
    <t>Ground staff November  2021</t>
  </si>
  <si>
    <t>Workman's Compensation Fund  December   2021</t>
  </si>
  <si>
    <t>IRF/NDUTA/00168</t>
  </si>
  <si>
    <t>Ground staff  December  2021</t>
  </si>
  <si>
    <t>IRF/NDUTA/00240</t>
  </si>
  <si>
    <t>Ground staff  January  2021</t>
  </si>
  <si>
    <t>Totaal Security guards</t>
  </si>
  <si>
    <t>NMBM/000347</t>
  </si>
  <si>
    <t>Allowances and transport refund of participants during setting up of community early warning protocols in DP3 project area in Kyela</t>
  </si>
  <si>
    <t>43 participants comprising of TRCS staff, volunteers and government officials</t>
  </si>
  <si>
    <t>Perdiem  set up and dissemination early warning protocol</t>
  </si>
  <si>
    <t xml:space="preserve">Jonston Weston </t>
  </si>
  <si>
    <t>IFRF/DPIII/00057</t>
  </si>
  <si>
    <t>Air ticket DAR/Mbeya set up and dissemination early warning protocol</t>
  </si>
  <si>
    <t>Air Tanzania Ltd</t>
  </si>
  <si>
    <t>NMBM/000337</t>
  </si>
  <si>
    <t>Elineema Ally Chilambo</t>
  </si>
  <si>
    <t>JV/TRCS/001968</t>
  </si>
  <si>
    <t>Volunteer allowance during set up of community early warning protocols</t>
  </si>
  <si>
    <t xml:space="preserve"> Volunteers</t>
  </si>
  <si>
    <t>Conference package involving 44 people for 2 days to set up early warning protocol</t>
  </si>
  <si>
    <t>Tony Ndaombwa</t>
  </si>
  <si>
    <t>Totaal Set up the early warning protocols with the different stakeholders.</t>
  </si>
  <si>
    <t>NMBM/00094</t>
  </si>
  <si>
    <t>Supply of A4 Manila sheet for certificates</t>
  </si>
  <si>
    <t>Prince Secretarial Bureau</t>
  </si>
  <si>
    <t>NMBM/000111</t>
  </si>
  <si>
    <t>Office stationaries</t>
  </si>
  <si>
    <t>Masumin Printways &amp;Stationaries</t>
  </si>
  <si>
    <t>IRF/DPIII/00024</t>
  </si>
  <si>
    <t>Printing pictures</t>
  </si>
  <si>
    <t>Postage and courier</t>
  </si>
  <si>
    <t>Five star printers ltd</t>
  </si>
  <si>
    <t>NMBM/000350</t>
  </si>
  <si>
    <t>Assorted stationery items</t>
  </si>
  <si>
    <t>IFRF/DPIIII/00065</t>
  </si>
  <si>
    <t>Totaal Stationary HQ</t>
  </si>
  <si>
    <t>NMBM/000115</t>
  </si>
  <si>
    <t>Printer Pro 7740,HP lesser JET pro M102A</t>
  </si>
  <si>
    <t>Office stationaries Mbeya office</t>
  </si>
  <si>
    <t>NMBM/000491</t>
  </si>
  <si>
    <t>Office Stationery</t>
  </si>
  <si>
    <t>Abesha International Limited</t>
  </si>
  <si>
    <t xml:space="preserve">Stationary Mbeya </t>
  </si>
  <si>
    <t>IRF/DPIII/00062</t>
  </si>
  <si>
    <t>Totaal Stationary Mbeya</t>
  </si>
  <si>
    <t>IRF/DPIII/00043</t>
  </si>
  <si>
    <t>Facilitator allowances  developing Community risk management committee</t>
  </si>
  <si>
    <t>Cecilia Mushi</t>
  </si>
  <si>
    <t>Angelo Baltazar</t>
  </si>
  <si>
    <t>Ulimbokisye Paul</t>
  </si>
  <si>
    <t>Prosper Masumbuk</t>
  </si>
  <si>
    <t>Transport  refund</t>
  </si>
  <si>
    <t>Various transporters</t>
  </si>
  <si>
    <t>IRF/DPIII/00044</t>
  </si>
  <si>
    <t>Braek fast and lunch WDMC training  Kyela</t>
  </si>
  <si>
    <t>Stationaries WDMC  capacity buliding</t>
  </si>
  <si>
    <t>Allowance to participants WDMC capacity building</t>
  </si>
  <si>
    <t xml:space="preserve">Fuel WDMC  capacity building </t>
  </si>
  <si>
    <t>Training materials and equipments</t>
  </si>
  <si>
    <t xml:space="preserve">Jordan Samson&amp; Kyela pharmacy </t>
  </si>
  <si>
    <t>Totaal Train community risk management committees at village level (4 wards)</t>
  </si>
  <si>
    <t>TZ1 1.2.12 Procure personal protection equipment for 100 volunteers (50 per region)</t>
  </si>
  <si>
    <t>NMBM/000039</t>
  </si>
  <si>
    <t>Purchase of gunboot,heavy duty gloves,rain coats and dust mask</t>
  </si>
  <si>
    <t>Lalce Investment &amp;General supply</t>
  </si>
  <si>
    <t>Totaal TZ1 1.2.12 Procure personal protection equipment for 100 volunteers (50 per region)</t>
  </si>
  <si>
    <t xml:space="preserve">TZ1 1.2.16 Smart phones for data collection for Mbeya </t>
  </si>
  <si>
    <t>NMBM/000035</t>
  </si>
  <si>
    <t>Smart phone for data collection</t>
  </si>
  <si>
    <t>R&amp;A Electronic Ltd</t>
  </si>
  <si>
    <t xml:space="preserve">Totaal TZ1 1.2.16 Smart phones for data collection for Mbeya </t>
  </si>
  <si>
    <t>TZ1 1.2.18 Laptop for Mbeya and HQ (project manager, accountant)</t>
  </si>
  <si>
    <t>Laptop for 2 Accountants and field officer</t>
  </si>
  <si>
    <t>Totaal TZ1 1.2.18 Laptop for Mbeya and HQ (project manager, accountant)</t>
  </si>
  <si>
    <t>TZ1.2.1.01 Fuel, mileage and transportation costs for HQ and 1 region</t>
  </si>
  <si>
    <t>NMBM/000014</t>
  </si>
  <si>
    <t>Millage August 2019</t>
  </si>
  <si>
    <t>Totaal TZ1.2.1.01 Fuel, mileage and transportation costs for HQ and 1 region</t>
  </si>
  <si>
    <t>TZ1.2.1.02 Monitoring for HQ and 1 region</t>
  </si>
  <si>
    <t>IRF/DPIII 00001</t>
  </si>
  <si>
    <t>Allowance for wards/village officers during inception/introduction</t>
  </si>
  <si>
    <t>Various payee</t>
  </si>
  <si>
    <t>IRF/DPIII 00002</t>
  </si>
  <si>
    <t>allowance for Journalists during inception/introduction</t>
  </si>
  <si>
    <t>IRF/DPIII 00003</t>
  </si>
  <si>
    <t>Allowance for volunteers</t>
  </si>
  <si>
    <t>IRF/DPIII 00004</t>
  </si>
  <si>
    <t>IRF/DPIII 00005</t>
  </si>
  <si>
    <t>NMBM/0000028</t>
  </si>
  <si>
    <t xml:space="preserve">Airtickets Mbeya /Kyela DP III inception </t>
  </si>
  <si>
    <t>JMD travel services</t>
  </si>
  <si>
    <t>IRF/DPIII/00006</t>
  </si>
  <si>
    <t>Perdiem inception meeting Mbeya</t>
  </si>
  <si>
    <t>Simon Rubugu</t>
  </si>
  <si>
    <t>IRF/DPIII/00007</t>
  </si>
  <si>
    <t>Janeth Burton Syilimbo</t>
  </si>
  <si>
    <t>IRF/DPIII/00008</t>
  </si>
  <si>
    <t>David Daniel Uronu</t>
  </si>
  <si>
    <t>IRF/DPIII/00009</t>
  </si>
  <si>
    <t>Enock Malihela</t>
  </si>
  <si>
    <t>IRF/DPIII/00010</t>
  </si>
  <si>
    <t>IRF/DPIII/00011</t>
  </si>
  <si>
    <t>Renatus Mkaruka</t>
  </si>
  <si>
    <t>IRF/DPIII/00020</t>
  </si>
  <si>
    <t>Particants allowance village maping</t>
  </si>
  <si>
    <t>Various Payee</t>
  </si>
  <si>
    <t>MV fuel</t>
  </si>
  <si>
    <t>Totaal TZ1.2.1.02 Monitoring for HQ and 1 region</t>
  </si>
  <si>
    <t>TZ1.2.1.03 Bank charges for HQ and 1 region</t>
  </si>
  <si>
    <t>JV/TRCS/000500</t>
  </si>
  <si>
    <t>Bank charge September 2019</t>
  </si>
  <si>
    <t>JV NO.IRF /DPIII/00014</t>
  </si>
  <si>
    <t>Bank charge October  2019</t>
  </si>
  <si>
    <t>JV NO.IRF /DPIII/000561</t>
  </si>
  <si>
    <t>Bank charge November 2019</t>
  </si>
  <si>
    <t>JV/TRCS/000569</t>
  </si>
  <si>
    <t>Bank charges December 2019</t>
  </si>
  <si>
    <t>Totaal TZ1.2.1.03 Bank charges for HQ and 1 region</t>
  </si>
  <si>
    <t>TZ1.2.1.04 Communication and internet  (air time and internet - Mbeya + HQ)</t>
  </si>
  <si>
    <t>NMBM/0000025</t>
  </si>
  <si>
    <t>Staff airtime and internet August-October 2019</t>
  </si>
  <si>
    <t>Mbeya staff</t>
  </si>
  <si>
    <t>07/11,2019</t>
  </si>
  <si>
    <t>NMBM/000036</t>
  </si>
  <si>
    <t>Staff airtime -Kyela Mbeya-November 2019</t>
  </si>
  <si>
    <t>2 staff</t>
  </si>
  <si>
    <t>NMBM/000050</t>
  </si>
  <si>
    <t>Staff airtime December 2019</t>
  </si>
  <si>
    <t>Totaal TZ1.2.1.04 Communication and internet  (air time and internet - Mbeya + HQ)</t>
  </si>
  <si>
    <t>TZ1.2.1.11 Contribution to electricity/security/water/webhosting/World RC Day/… (core)</t>
  </si>
  <si>
    <t>NMBM/000051</t>
  </si>
  <si>
    <t>Support elelectricity cost HQ</t>
  </si>
  <si>
    <t>Totaal TZ1.2.1.11 Contribution to electricity/security/water/webhosting/World RC Day/… (core)</t>
  </si>
  <si>
    <t xml:space="preserve">TZ1.2.1.12 Participation to regional DM capacity strengthening activities (exchanges, EA DM meeting,…) </t>
  </si>
  <si>
    <t>IRF/DPIII/00012</t>
  </si>
  <si>
    <t>Perdiem -East Africa DM meeting</t>
  </si>
  <si>
    <t>Transport cost- East Afica DM meeting</t>
  </si>
  <si>
    <t>Mariott Kigali</t>
  </si>
  <si>
    <t>Accommodation costs in Kigali- East Africa DM meeting</t>
  </si>
  <si>
    <t>NMBM/000037</t>
  </si>
  <si>
    <t>Perdiem -participate in volnarability capacity assessment training</t>
  </si>
  <si>
    <t>NMBM/000038</t>
  </si>
  <si>
    <t>Accommodation -Nairobi Kenya</t>
  </si>
  <si>
    <t>NMBM/000041</t>
  </si>
  <si>
    <t>Airticket -Mkaruka DAR/RWA disaster management meeting</t>
  </si>
  <si>
    <t xml:space="preserve">Totaal TZ1.2.1.12 Participation to regional DM capacity strengthening activities (exchanges, EA DM meeting,…) </t>
  </si>
  <si>
    <t>TZ1.2.2.44 Organize an annual DRR awareness event on the international day for natural disaster risk reduction (13/10)</t>
  </si>
  <si>
    <t>NMBM/0000026</t>
  </si>
  <si>
    <t>Printing of leaflets /brochures for DRR day</t>
  </si>
  <si>
    <t>NMBM/0000027</t>
  </si>
  <si>
    <t>Printing  Tshirt,brush caps,roll banner and transport cost for DRR day</t>
  </si>
  <si>
    <t>IRF/DPIII/00013</t>
  </si>
  <si>
    <t xml:space="preserve">Allowances participants </t>
  </si>
  <si>
    <t>Enterteinments</t>
  </si>
  <si>
    <t>Various Payees</t>
  </si>
  <si>
    <t>Venue and facilities costs</t>
  </si>
  <si>
    <t>Vehicle fuel</t>
  </si>
  <si>
    <t>Advertisement</t>
  </si>
  <si>
    <t>Radio Kyela</t>
  </si>
  <si>
    <t>Hire of vehicle</t>
  </si>
  <si>
    <t>Michael</t>
  </si>
  <si>
    <t>Stationary &amp;publications</t>
  </si>
  <si>
    <t>Totaal TZ1.2.2.44 Organize an annual DRR awareness event on the international day for natural disaster risk reduction (13/10)</t>
  </si>
  <si>
    <t xml:space="preserve">TZ1.2.2.58 Train volunteers in First Aid </t>
  </si>
  <si>
    <t>IRF/DPIII/00019</t>
  </si>
  <si>
    <t>Allowance for participants</t>
  </si>
  <si>
    <t>Travel expenses</t>
  </si>
  <si>
    <t>Kyela Bussiness Centre</t>
  </si>
  <si>
    <t>Firs Aid kits/training</t>
  </si>
  <si>
    <t>Mv fuel</t>
  </si>
  <si>
    <t xml:space="preserve">Totaal TZ1.2.2.58 Train volunteers in First Aid </t>
  </si>
  <si>
    <t>TZ1.2.2.71 Organize a training at branch level regarding early warning, early action</t>
  </si>
  <si>
    <t>IRF/DPIII/00018</t>
  </si>
  <si>
    <t>Perdiem-Community early warning system</t>
  </si>
  <si>
    <t>Several payee</t>
  </si>
  <si>
    <t>Nala Centurion Hotel</t>
  </si>
  <si>
    <t>NMBM/000040</t>
  </si>
  <si>
    <t>Conference package -Early warning system training</t>
  </si>
  <si>
    <t>Totaal TZ1.2.2.71 Organize a training at branch level regarding early warning, early action</t>
  </si>
  <si>
    <t>TZ1.3.1.01 Project officer(100%)</t>
  </si>
  <si>
    <t>NMBM/000001</t>
  </si>
  <si>
    <t>Staff Salaries August 2019</t>
  </si>
  <si>
    <t>Housing Allowance August 2019</t>
  </si>
  <si>
    <t>NMBM/000013</t>
  </si>
  <si>
    <t>NSSF Employer's Contribution for August 2019</t>
  </si>
  <si>
    <t>Leave Passage &amp; Pay August 2019</t>
  </si>
  <si>
    <t>NMBM/000011</t>
  </si>
  <si>
    <t xml:space="preserve"> Staff Medical August  2019</t>
  </si>
  <si>
    <t>NMBM/000012</t>
  </si>
  <si>
    <t>Workman's Compensation Fund August  2019</t>
  </si>
  <si>
    <t>NMBM/000016</t>
  </si>
  <si>
    <t>Staff salary  September 2019</t>
  </si>
  <si>
    <t>Housing Allowance September  2019</t>
  </si>
  <si>
    <t>NMBM/000017</t>
  </si>
  <si>
    <t>NSSF Employer's Contribution for September 2019</t>
  </si>
  <si>
    <t>Leave Passage &amp; Pay September 2019</t>
  </si>
  <si>
    <t>NMBM/000019</t>
  </si>
  <si>
    <t xml:space="preserve"> Staff Medical September  2019</t>
  </si>
  <si>
    <t>NMBM/000020</t>
  </si>
  <si>
    <t>Workman's Compensation Fund September 2019</t>
  </si>
  <si>
    <t>NMBM/000029</t>
  </si>
  <si>
    <t>Staff salary  October  2019</t>
  </si>
  <si>
    <t>Housing Allowance October   2019</t>
  </si>
  <si>
    <t>NMBM/000031</t>
  </si>
  <si>
    <t>NSSF Employer's Contribution for October  2019</t>
  </si>
  <si>
    <t>Leave Passage &amp; Pay October  2019</t>
  </si>
  <si>
    <t>NMBM/000033</t>
  </si>
  <si>
    <t xml:space="preserve"> Staff Medical October  2019</t>
  </si>
  <si>
    <t>NMBM/000032</t>
  </si>
  <si>
    <t>Workman's Compensation Fund October  2019</t>
  </si>
  <si>
    <t>NMBM/000045</t>
  </si>
  <si>
    <t>Staff Salaries November  2019</t>
  </si>
  <si>
    <t>Housing Allowance November  2019</t>
  </si>
  <si>
    <t>NMBM/000046</t>
  </si>
  <si>
    <t>NSSF Employer's Contribution for November  2019</t>
  </si>
  <si>
    <t>Leave Passage &amp; Pay November  2019</t>
  </si>
  <si>
    <t>NMBM/000047</t>
  </si>
  <si>
    <t xml:space="preserve"> Staff Medical November   2019</t>
  </si>
  <si>
    <t>NMBM/000048</t>
  </si>
  <si>
    <t>Workman's Compensation Fund November  2019</t>
  </si>
  <si>
    <t>NMBM/000054</t>
  </si>
  <si>
    <t>Staff Salaries December   2019</t>
  </si>
  <si>
    <t>Housing Allowance December 2019</t>
  </si>
  <si>
    <t>NMBM/000057</t>
  </si>
  <si>
    <t>NSSF Employer's Contribution for December 2019</t>
  </si>
  <si>
    <t>Leave Passage &amp; Pay December 2019</t>
  </si>
  <si>
    <t>NMBM/000058</t>
  </si>
  <si>
    <t>NMBM/000055</t>
  </si>
  <si>
    <t>Workman's Compensation Fund December 2019</t>
  </si>
  <si>
    <t>Totaal TZ1.3.1.01 Project officer(100%)</t>
  </si>
  <si>
    <t>TZ1.3.1.02 Driver (truck) (100%)</t>
  </si>
  <si>
    <t>Staff Salaries December 2019</t>
  </si>
  <si>
    <t>Totaal TZ1.3.1.02 Driver (truck) (100%)</t>
  </si>
  <si>
    <t>TZ1.3.1.02 Driver (truck) (100%) HQ</t>
  </si>
  <si>
    <t>Totaal TZ1.3.1.02 Driver (truck) (100%) HQ</t>
  </si>
  <si>
    <t xml:space="preserve">TZ1.3.1.02 Driver (truck) (100%) Mbeya </t>
  </si>
  <si>
    <t>Workman's Compensation Fund July 2019</t>
  </si>
  <si>
    <t xml:space="preserve">Totaal TZ1.3.1.02 Driver (truck) (100%) Mbeya </t>
  </si>
  <si>
    <t>TZ1.3.1.03 Accountant -Mbeya 100%</t>
  </si>
  <si>
    <t>Totaal TZ1.3.1.03 Accountant -Mbeya 100%</t>
  </si>
  <si>
    <t>TZ1.3.1.04 DP Manager (100%)</t>
  </si>
  <si>
    <t>Totaal TZ1.3.1.04 DP Manager (100%)</t>
  </si>
  <si>
    <t>TZ1.3.1.05 Accountant -HQ 100%</t>
  </si>
  <si>
    <t>Totaal TZ1.3.1.05 Accountant -HQ 100%</t>
  </si>
  <si>
    <t>TZ1.3.1.06 PMER Manager DM (30%)</t>
  </si>
  <si>
    <t>Thomas John Kinyagu</t>
  </si>
  <si>
    <t>Totaal TZ1.3.1.06 PMER Manager DM (30%)</t>
  </si>
  <si>
    <t>TZ1.3.1.07 IT support HQ (30%)</t>
  </si>
  <si>
    <t>Totaal TZ1.3.1.07 IT support HQ (30%)</t>
  </si>
  <si>
    <t>TZ1.3.1.08 Communication and documentarist officer (30%)</t>
  </si>
  <si>
    <t>Godfrida C Jola</t>
  </si>
  <si>
    <t>Totaal TZ1.3.1.08 Communication and documentarist officer (30%)</t>
  </si>
  <si>
    <t>TZ1.3.1.09 DDM  support HQ (30%)</t>
  </si>
  <si>
    <t>Totaal TZ1.3.1.09 DDM  support HQ (30%)</t>
  </si>
  <si>
    <t>TZ1.3.1.10 Logistic Officer 30%</t>
  </si>
  <si>
    <t>Totaal TZ1.3.1.10 Logistic Officer 30%</t>
  </si>
  <si>
    <t>TZ1.3.1.11 Warehouse Stockkeeper (100%)</t>
  </si>
  <si>
    <t>Pius Tibasiga</t>
  </si>
  <si>
    <t>Alfa Marira Mohamed</t>
  </si>
  <si>
    <t>Totaal TZ1.3.1.11 Warehouse Stockkeeper (100%)</t>
  </si>
  <si>
    <t>NMBM/000481</t>
  </si>
  <si>
    <t>Documentary production in kyela</t>
  </si>
  <si>
    <t>seki kasuga</t>
  </si>
  <si>
    <t>NMBM/000542</t>
  </si>
  <si>
    <t>Documentary making at Nduta refugees camp in kigoma region</t>
  </si>
  <si>
    <t>Rashid Mrutu</t>
  </si>
  <si>
    <t>NMBM/000553</t>
  </si>
  <si>
    <t>Script writing,transport cost,recording and photographic camera</t>
  </si>
  <si>
    <t>Artwink Media productions Ltd</t>
  </si>
  <si>
    <t>Warehouse Stockkeeper (100%)</t>
  </si>
  <si>
    <t>Totaal Warehouse Stockkeeper (100%)</t>
  </si>
  <si>
    <t>DPIII 19-21</t>
  </si>
  <si>
    <t xml:space="preserve"> Jaar</t>
  </si>
  <si>
    <t>Jan-Dec</t>
  </si>
  <si>
    <t>Q3- Q4 activities</t>
  </si>
  <si>
    <t>Q2</t>
  </si>
  <si>
    <t>Q4</t>
  </si>
  <si>
    <t>DPIII</t>
  </si>
  <si>
    <t>1st January 2021 to 31st December 2021</t>
  </si>
  <si>
    <t>Q1 CASH REQUEST DP3 GEN</t>
  </si>
  <si>
    <t>Q3 CASH REQUEST DP3 GEN</t>
  </si>
  <si>
    <t>Q4 CASH REQUEST DP3 GEN</t>
  </si>
  <si>
    <t>Q1 CASH REQUEST Nduta</t>
  </si>
  <si>
    <t>Q3 CASH REQUEST Nduta</t>
  </si>
  <si>
    <t>Q4 CASH REQUEST Nduta</t>
  </si>
  <si>
    <t>Uganda</t>
  </si>
  <si>
    <t>UG</t>
  </si>
  <si>
    <t>Results (EUR)  - actuals</t>
  </si>
  <si>
    <t>Original budget</t>
  </si>
  <si>
    <t>RES 3</t>
  </si>
  <si>
    <t>RES 4</t>
  </si>
  <si>
    <t>Immovable Property</t>
  </si>
  <si>
    <t>Movable Property</t>
  </si>
  <si>
    <t>Office equipment, furniture, supplies (2 Locations)</t>
  </si>
  <si>
    <t>Office Locations</t>
  </si>
  <si>
    <t>HQ Equipment (laptop and photocopy machine)</t>
  </si>
  <si>
    <t>Water fee for HQ (40%)</t>
  </si>
  <si>
    <t>Monthly</t>
  </si>
  <si>
    <t>Electricity fee for HQ (30%)</t>
  </si>
  <si>
    <t>Telephone fee for HQ (50%)</t>
  </si>
  <si>
    <t>Security at Headquarters (20%)</t>
  </si>
  <si>
    <t>Travel costs for core personnel</t>
  </si>
  <si>
    <t>Mileage</t>
  </si>
  <si>
    <t>International representation costs</t>
  </si>
  <si>
    <t>Trips</t>
  </si>
  <si>
    <t>Office cleaning (20% contributions)</t>
  </si>
  <si>
    <t>Head Office Internet and Communications costs (30%)</t>
  </si>
  <si>
    <t>Annual Staff Planning meeting (20% contributions)</t>
  </si>
  <si>
    <t>Lumpsum/year</t>
  </si>
  <si>
    <t>Head Office Stationery and other office supplies costs (20%)</t>
  </si>
  <si>
    <t xml:space="preserve">Motorcycles and Protective gear </t>
  </si>
  <si>
    <t>Units</t>
  </si>
  <si>
    <t xml:space="preserve">Procure and distribute CBHFA volunteer toolkits </t>
  </si>
  <si>
    <t>Toolkit</t>
  </si>
  <si>
    <t>Develop, procure and distribute IEC materials for community health promotion (posters, leaflets, flipcharts, video, mobile cinema, banners)</t>
  </si>
  <si>
    <t>IEC tookit</t>
  </si>
  <si>
    <t xml:space="preserve">Procure and distribute First Aid kits </t>
  </si>
  <si>
    <t>FA kit</t>
  </si>
  <si>
    <t>Procure and distribute health and hygiene improvement materials including mosquito nets, Menstrual Hygiene Management/Dignity kits and Mama Kits</t>
  </si>
  <si>
    <t>Beneficiaries</t>
  </si>
  <si>
    <t>Procure ECV/CBS Toolkit and IEC materials for all facilitators and materials as needed for volunteers related to ongoing outbreaks</t>
  </si>
  <si>
    <t>Kits</t>
  </si>
  <si>
    <t>Procure and preposition tents and equipment to set up a holding post for possible infected patients</t>
  </si>
  <si>
    <t>Isolation kits</t>
  </si>
  <si>
    <t>Procure personal protection equipment for volunteers</t>
  </si>
  <si>
    <t>PPE kits</t>
  </si>
  <si>
    <t>Provide CBDRR kits </t>
  </si>
  <si>
    <t>Kit</t>
  </si>
  <si>
    <t>Office rent, supplies, utilities and equipment (2 field locations)</t>
  </si>
  <si>
    <t>Light Vehicle - Fuel, mileage and maintenace costs (2 Landcruisers)</t>
  </si>
  <si>
    <t>Kilometres</t>
  </si>
  <si>
    <t>Local National travel officers (perdiems, mileage, day allowances, consumables) 7 staff</t>
  </si>
  <si>
    <t>Travel days</t>
  </si>
  <si>
    <t>Local National travel driver (perdiems, millegage, day allowances, consumables) 2 Staff</t>
  </si>
  <si>
    <t>Travel for regional capacity building innitiatives</t>
  </si>
  <si>
    <t>Person/Trips</t>
  </si>
  <si>
    <t>COM and IT-related fees, maintenance, Airtime/Internet (4 HQ Staff and 3 field officers)</t>
  </si>
  <si>
    <t>HQ/Field office</t>
  </si>
  <si>
    <t>Fuel, insurance, maintenance and repair of 3 motorcycles for 24 months</t>
  </si>
  <si>
    <t>Unit/Months</t>
  </si>
  <si>
    <t>HQ Running costs (Utlities - electricity, water, website etc)</t>
  </si>
  <si>
    <t>HQ office</t>
  </si>
  <si>
    <t>URCS Internal audit and evaluation</t>
  </si>
  <si>
    <t>Monitoring (perdiems, mileage, day allowances, consumables)</t>
  </si>
  <si>
    <t>Quarter</t>
  </si>
  <si>
    <t>Annual review meetings for project management team</t>
  </si>
  <si>
    <t>Workshop</t>
  </si>
  <si>
    <t>*NEW* General working costs related to COVID-19 activities (monitoring, coordination, communication and logistics)</t>
  </si>
  <si>
    <t>Expert delegate Epidemic prepardness and response (33% on Uganda)</t>
  </si>
  <si>
    <t xml:space="preserve"> Result 1: Improved ability of targeted communities in Kikuube and Kyegegwe to adopt positive health and hygiene practices.</t>
  </si>
  <si>
    <t>Conduct Training of Trainers for 15 URCS and district integrated CBHFA and ECV Facilitators</t>
  </si>
  <si>
    <t>Training days</t>
  </si>
  <si>
    <t>Conduct 3 trainings of URCS volunteers on integrated CBHFA and ECV modules and selected women and child health topics</t>
  </si>
  <si>
    <t>Conduct at least one yearly refresher training for existing CBHFA volunteers</t>
  </si>
  <si>
    <t>Orient targeted community influencers (civic, religious leaders,...) on CBHFA</t>
  </si>
  <si>
    <t>Orientation meeting</t>
  </si>
  <si>
    <t>URCS volunteers conduct household visits, awareness raising sessions and campaigns on CBHFA topics in targeted villages</t>
  </si>
  <si>
    <t>Day allowances</t>
  </si>
  <si>
    <t>Supervise and coach volunteers in CBHFA activity provision</t>
  </si>
  <si>
    <t>Facilitations</t>
  </si>
  <si>
    <t>Public sensitization session using language adapted (Lingala, Kinyarwanda, English, French) means such as murals (billboards and wall paintings)</t>
  </si>
  <si>
    <t>Mural</t>
  </si>
  <si>
    <t>Setting up and facilitating health and hygiene clubs in the targeted communities (drama shows)</t>
  </si>
  <si>
    <t>Drama show</t>
  </si>
  <si>
    <t>Organizing community dialogue sessions on CBHFA topics in targeted villages using community meetings and FGDs</t>
  </si>
  <si>
    <t>Dialogue session</t>
  </si>
  <si>
    <t>Distribution of hygiene materials to community members following a CBHFA training</t>
  </si>
  <si>
    <t>Lump sum</t>
  </si>
  <si>
    <t>Result 2: Improved ability of HNS to prevent, detect and respond to disease outbreaks at the community level in Kikuube and Kyegegwe Districts (including Kyaka II and Kyangwali refugee settlements)</t>
  </si>
  <si>
    <t>Conduct Training of Trainers for URCS staff on ECV and CBS</t>
  </si>
  <si>
    <t>Training</t>
  </si>
  <si>
    <t>Conduct training for URCS volunteers on ECV and CBS</t>
  </si>
  <si>
    <t>Conduct training for community health workers/village health team members on CBS and ECV</t>
  </si>
  <si>
    <t xml:space="preserve"> Conduct additional training on Psychological First Aid (PFA) for selected volunteers involved in the response to disease outbreaks</t>
  </si>
  <si>
    <t>Conduct a specialized NDRT IM training training at HQ level to support the data collection, processing and analysis of data for effective PMER purposes</t>
  </si>
  <si>
    <t xml:space="preserve">Training </t>
  </si>
  <si>
    <t>Supervise and coach volunteers in CBS activity provision</t>
  </si>
  <si>
    <t>Provide technical support to set up CBS and ECV systems at branch level (SOPs, technologies, reporting, etc.) through engagement of CP3 project officers</t>
  </si>
  <si>
    <t>Set up the CBS early warning system at community level</t>
  </si>
  <si>
    <t>Field days</t>
  </si>
  <si>
    <t>Develop or update district contingency plan</t>
  </si>
  <si>
    <t>Contingency plan</t>
  </si>
  <si>
    <t>Organize a simex per branch in cooperation with the MoH and other partners at district level</t>
  </si>
  <si>
    <t>Conduct branch workshop on epidemic scenario and contingency planning</t>
  </si>
  <si>
    <t>Organise and support regular coordination internal and external meetings at district levels</t>
  </si>
  <si>
    <t>Meeting</t>
  </si>
  <si>
    <t>Organize a lessons learned workshop in cooperation with the MoH and other health partners on the ECV and CBS operations</t>
  </si>
  <si>
    <t>Support to surveillance systems for COVID-19</t>
  </si>
  <si>
    <t>Integrated volunteer training (RCSM, surveillance and PSS) COVID-19</t>
  </si>
  <si>
    <t>IEC and visibility materials COVID-19</t>
  </si>
  <si>
    <t>Inter-personal communication and hygiene promotion at HH and community level - COVID-19</t>
  </si>
  <si>
    <t>Result 3: Improved resilience of vulnerable communities in Rwebisengo SC, Butungama, Bweramule, Rwebisengo TC, Kibuuku TC subcounties to the consequences of recurring hydro-meteorological disasters in Ntoroko District</t>
  </si>
  <si>
    <t>Organize information sessions for all stakeholders regarding the set-up of the CBDRR Groups</t>
  </si>
  <si>
    <t>Meetings</t>
  </si>
  <si>
    <t>Form or reactivate CBDRR Groups at village level</t>
  </si>
  <si>
    <t>Groups</t>
  </si>
  <si>
    <t>Train CBDRR Groups at village level</t>
  </si>
  <si>
    <t>Traing days</t>
  </si>
  <si>
    <t>Organize regular CBDRR Group meetings together with the URCS volunteers</t>
  </si>
  <si>
    <t>Facilitate in-country learning exchange exercises for CBDRR groups</t>
  </si>
  <si>
    <t>Participant</t>
  </si>
  <si>
    <t>Update, develop, procure and distribute DRR IEC materials and equipment specific to different context and target audience</t>
  </si>
  <si>
    <t>Organizing audience specific participatory awareness raising sessions on DRR targeting EVI s in selected villages</t>
  </si>
  <si>
    <t>sessions</t>
  </si>
  <si>
    <t>Participate in (annual) DRR awareness events</t>
  </si>
  <si>
    <t>Identify the type of relief items and the minimum required amounts per branch</t>
  </si>
  <si>
    <t>Community assessment</t>
  </si>
  <si>
    <t>Train BDRT (RCAT) and NDRT (National Surge Team) on VCA (Vulnerability and Capacity Assessment)</t>
  </si>
  <si>
    <t>Validate existing VCA (risk mapping) a sample of 15 communities with old risk analysis and update a district wide risk map</t>
  </si>
  <si>
    <t>Validation</t>
  </si>
  <si>
    <t>Draft or update the contingency plan at community and district level</t>
  </si>
  <si>
    <t>Community</t>
  </si>
  <si>
    <t>Organisation of simulation exercises per community and district in order to test and validate the contingency plans and evacuation routes</t>
  </si>
  <si>
    <t>Support climate smart Sustainable Agriculture and Land Management (SALM) agroforestry actions</t>
  </si>
  <si>
    <t>Promote the use of energy saving technology in villages</t>
  </si>
  <si>
    <t xml:space="preserve">Construct floods tolerant shelter model house for community adoptation </t>
  </si>
  <si>
    <t xml:space="preserve">Develop online IM database facilitating BDRTs and NDRTs HR management
</t>
  </si>
  <si>
    <t>Train staff and volunteers in HQ and strategic branches on IM database</t>
  </si>
  <si>
    <t>Result 4: Improved early warning (EW) systems at community level leading to a more targeted and effective response prior to the hydro-meteorological disaster or thereafter</t>
  </si>
  <si>
    <t>Organize Subcounty stakeholder dialogue meetings (including traditional and cultural leaders, civic leaders, religious leaders, district Meteorological department, ) to document indigenous information on early warning for floods and prolonged dry spell/drought</t>
  </si>
  <si>
    <t>Procure and distribute early-warning tools to the selected community members</t>
  </si>
  <si>
    <t>Train RCATs and CBDRR Groups in the selected early warning systems and early actions</t>
  </si>
  <si>
    <t>Operationalize the existing MoU with Uganda National Meteorological Authority (UNMA) for dissemination of early warning messages</t>
  </si>
  <si>
    <t>Generate audience specific content from UNMA monthly forecast information and disseminate to BDRTs, CBDRR Groups and registered community members to the free U-Report sms platform.</t>
  </si>
  <si>
    <t xml:space="preserve"> Orient BDRT and CBDRR Groups in popularization of UNMA meteorological information and transferring it to target groups</t>
  </si>
  <si>
    <t>Monthly courrier services</t>
  </si>
  <si>
    <t>Develop URCS Early Warning/Early Actions Center SOPs and equip Centre accordingly for a pilot project in year 2</t>
  </si>
  <si>
    <t>EW Call Centre/year</t>
  </si>
  <si>
    <t>Advocacy FbF approach to government authorities and other partners</t>
  </si>
  <si>
    <t>Disseminate FbF approved early action plans (EAPs) to relevant authorities and community members in the 7 subcounties of Ntoroko as resource mobilization strategy</t>
  </si>
  <si>
    <t>Meeting donor</t>
  </si>
  <si>
    <t>Organize training on the EAPs for BDRT (CBDRR Groups/RCAT) and NDRT members active in Ntoroko</t>
  </si>
  <si>
    <t>Support regional DRR platforms coordination meetings</t>
  </si>
  <si>
    <t>Contribution to the DRM Director (HQ) 30% - 1 Position.</t>
  </si>
  <si>
    <t>Staff</t>
  </si>
  <si>
    <t>HQ Emergency Response and Preparedness Manager (80% 1 Position)</t>
  </si>
  <si>
    <t>Districts Project Officer (3 Positions)</t>
  </si>
  <si>
    <t>HQ Finance Officer (1 Position)</t>
  </si>
  <si>
    <t>Field Finance-Accounts Assistant (1 Position)</t>
  </si>
  <si>
    <t>Information Management (IM) Officer</t>
  </si>
  <si>
    <t>Drivers (1 Position)</t>
  </si>
  <si>
    <t>Contribution to Branch Managers (3 Branch managers) 50%</t>
  </si>
  <si>
    <t>RC Movement Insurance volunteers</t>
  </si>
  <si>
    <t>Staff - lumpsum</t>
  </si>
  <si>
    <t xml:space="preserve">BRC-FL Finance assitant </t>
  </si>
  <si>
    <t>30/4/2021</t>
  </si>
  <si>
    <t>SAL:046</t>
  </si>
  <si>
    <t xml:space="preserve">Volunteer Payments for April 2021 </t>
  </si>
  <si>
    <t>Wenyisa Martha</t>
  </si>
  <si>
    <t>31/8/2021</t>
  </si>
  <si>
    <t>SAL:050</t>
  </si>
  <si>
    <t xml:space="preserve">Volunteer Payments for August 2021 </t>
  </si>
  <si>
    <t>31/12/2021</t>
  </si>
  <si>
    <t>SAL:054</t>
  </si>
  <si>
    <t xml:space="preserve">Volunteer Payments for December 2021 </t>
  </si>
  <si>
    <t>31/7/2021</t>
  </si>
  <si>
    <t>SAL:049</t>
  </si>
  <si>
    <t xml:space="preserve">Volunteer Payments for July 2021 </t>
  </si>
  <si>
    <t>30/6/2021</t>
  </si>
  <si>
    <t>SAL:048</t>
  </si>
  <si>
    <t xml:space="preserve">Volunteer Payments for June 2021 </t>
  </si>
  <si>
    <t>31/5/2021</t>
  </si>
  <si>
    <t>SAL:047</t>
  </si>
  <si>
    <t xml:space="preserve">Volunteer Payments for May 2021 </t>
  </si>
  <si>
    <t>30/11/2021</t>
  </si>
  <si>
    <t>SAL:053</t>
  </si>
  <si>
    <t xml:space="preserve">Volunteer Payments for November 2021 </t>
  </si>
  <si>
    <t>31/10/2021</t>
  </si>
  <si>
    <t>SAL:052</t>
  </si>
  <si>
    <t xml:space="preserve">Volunteer Payments for October 2021 </t>
  </si>
  <si>
    <t>30/9/2021</t>
  </si>
  <si>
    <t>SAL:051</t>
  </si>
  <si>
    <t xml:space="preserve">Volunteer Payments for September 2021 </t>
  </si>
  <si>
    <t>14/6/2021</t>
  </si>
  <si>
    <t>NO:045</t>
  </si>
  <si>
    <t>Supply of Branded T-Shirts (Round Neck) and Jumpsuit</t>
  </si>
  <si>
    <t>Odokash General Enterprises Ltd</t>
  </si>
  <si>
    <t>NO:046</t>
  </si>
  <si>
    <t>URA-WHT Supply of Branded T-Shirts (Round Neck) and Jumpsuit</t>
  </si>
  <si>
    <t>URA-WHT Odokash General Enterprises Ltd</t>
  </si>
  <si>
    <t>Totaal *NEW* General working costs related to COVID-19 activities (monitoring, coordination, communication and logistics)</t>
  </si>
  <si>
    <t>NO:020</t>
  </si>
  <si>
    <t xml:space="preserve">Meals for the DP III Project Review Meeting  </t>
  </si>
  <si>
    <t>solidarity technical consult ltd</t>
  </si>
  <si>
    <t>NO:319</t>
  </si>
  <si>
    <t>MPCT in Kabongo - Crisis Modifier_x0002_Joram MUSINGUZI</t>
  </si>
  <si>
    <t xml:space="preserve">URCS-fleet Unit </t>
  </si>
  <si>
    <t>NO:312</t>
  </si>
  <si>
    <t xml:space="preserve">Payment for the Conference Services partners meeting </t>
  </si>
  <si>
    <t>Hotel Africana Limited</t>
  </si>
  <si>
    <t>NO:283</t>
  </si>
  <si>
    <t>Payment for the Provided conference package URCS planning and budgeting meeting</t>
  </si>
  <si>
    <t>Royal suites</t>
  </si>
  <si>
    <t>NO:320</t>
  </si>
  <si>
    <t>Perdiem and Day Allownce during the suppiort MPCT Distribution process in Kabong</t>
  </si>
  <si>
    <t>Joram Mugisha</t>
  </si>
  <si>
    <t>NO:282</t>
  </si>
  <si>
    <t>Perdiem for  supoort to URCS  planning and budgeting meeting</t>
  </si>
  <si>
    <t>Rogers Nayepe Mukono</t>
  </si>
  <si>
    <t>NO:280</t>
  </si>
  <si>
    <t>Perdiem for  supoort to URCS planning and budgeting meeting</t>
  </si>
  <si>
    <t>Mwesige Dennis</t>
  </si>
  <si>
    <t>NO:281</t>
  </si>
  <si>
    <t>Stephen Wamukota</t>
  </si>
  <si>
    <t>Asire Jeremiah</t>
  </si>
  <si>
    <t>NO:258</t>
  </si>
  <si>
    <t>Perdiem for transporting director DRM to WestNile for Simulation exercise</t>
  </si>
  <si>
    <t>Murekyezi Boaz Bwiira</t>
  </si>
  <si>
    <t>Transport for  supoort to URCS  planning and budgeting meeting</t>
  </si>
  <si>
    <t>Transport for  supoort to URCS planning and budgeting meeting</t>
  </si>
  <si>
    <t>Totaal Annual review meetings for project management team</t>
  </si>
  <si>
    <t>NO.10 &amp; 11</t>
  </si>
  <si>
    <t>Meals Served During Planning + Team Building Meet</t>
  </si>
  <si>
    <t>Emperor Hotel Ltd</t>
  </si>
  <si>
    <t>NO:034</t>
  </si>
  <si>
    <t>Perdiem and transport during the Annual planning meeting for 2019</t>
  </si>
  <si>
    <t xml:space="preserve">Ajore Stella </t>
  </si>
  <si>
    <t>NO:008</t>
  </si>
  <si>
    <t>Professional Fees for URCS Team Building Session</t>
  </si>
  <si>
    <t xml:space="preserve">Success Africa </t>
  </si>
  <si>
    <t>NO:009</t>
  </si>
  <si>
    <t>URA WHT-Professional Fees for URCS Team Building Session</t>
  </si>
  <si>
    <t>URA-WHT</t>
  </si>
  <si>
    <t>Totaal Annual Staff Planning meeting (20% contributions)</t>
  </si>
  <si>
    <t>NO:024</t>
  </si>
  <si>
    <t>Bank Charges for the  month of April 2020</t>
  </si>
  <si>
    <t>Housing Finance Bank</t>
  </si>
  <si>
    <t>NO:022</t>
  </si>
  <si>
    <t>Bank Charges For The Month March 2020</t>
  </si>
  <si>
    <t>NO:027</t>
  </si>
  <si>
    <t>Bank Charges For The Month of April 2021</t>
  </si>
  <si>
    <t>NO:029:A</t>
  </si>
  <si>
    <t>Bank Charges for the month of August 2020</t>
  </si>
  <si>
    <t>NO:044B</t>
  </si>
  <si>
    <t>NO:098</t>
  </si>
  <si>
    <t>Bank charges for the month of August 2021</t>
  </si>
  <si>
    <t>NO:058</t>
  </si>
  <si>
    <t>Bank Charges For the month of December 2020</t>
  </si>
  <si>
    <t>NO:324</t>
  </si>
  <si>
    <t>Bank charges for the month of December2021</t>
  </si>
  <si>
    <t>28/2/2021</t>
  </si>
  <si>
    <t>Bank charges for the month of Febuary 2021</t>
  </si>
  <si>
    <t>31/1/2021</t>
  </si>
  <si>
    <t>Bank charges for the month of January 2021</t>
  </si>
  <si>
    <t>31/1/2022</t>
  </si>
  <si>
    <t>NO:014</t>
  </si>
  <si>
    <t>Bank charges for the month of January 2022</t>
  </si>
  <si>
    <t>Bank Charges for the month of July 2020</t>
  </si>
  <si>
    <t>NO:091</t>
  </si>
  <si>
    <t>Bank Charges For The Month of July 2021</t>
  </si>
  <si>
    <t>NO:026</t>
  </si>
  <si>
    <t>Bank Charges for the month of June 2020</t>
  </si>
  <si>
    <t>NO:062</t>
  </si>
  <si>
    <t>Bank Charges For The Month of June 2021</t>
  </si>
  <si>
    <t>31/3/2021</t>
  </si>
  <si>
    <t>NO:018</t>
  </si>
  <si>
    <t>Bank charges for the month of March 2021</t>
  </si>
  <si>
    <t>NO:025</t>
  </si>
  <si>
    <t>Bank Charges for the month of May 2020</t>
  </si>
  <si>
    <t>NO:061</t>
  </si>
  <si>
    <t>Bank Charges For The Month of May 2021</t>
  </si>
  <si>
    <t>NO:052</t>
  </si>
  <si>
    <t>Bank Charges for the month of November 2020</t>
  </si>
  <si>
    <t>11/31/2021</t>
  </si>
  <si>
    <t>NO:291</t>
  </si>
  <si>
    <t>Bank charges for the month of November 2021</t>
  </si>
  <si>
    <t>NO:044A</t>
  </si>
  <si>
    <t>Bank Charges for the month of October 2020</t>
  </si>
  <si>
    <t>NO:269</t>
  </si>
  <si>
    <t>Bank charges for the month of October 2021</t>
  </si>
  <si>
    <t>NO:041</t>
  </si>
  <si>
    <t>Bank Charges for the month of September 2020</t>
  </si>
  <si>
    <t>NO:108</t>
  </si>
  <si>
    <t>Bank charges for the month of September 2021</t>
  </si>
  <si>
    <t>Facilitation to participate in the conduction of Project End Evaluation</t>
  </si>
  <si>
    <t>Mugwanya Robert</t>
  </si>
  <si>
    <t>OKIROR EMMANUEL</t>
  </si>
  <si>
    <t>Christian Mwebaza</t>
  </si>
  <si>
    <t>Totaal Baseline study</t>
  </si>
  <si>
    <t>NO:107</t>
  </si>
  <si>
    <t>Airtel  airtime for the final Quarter October-December 2021 Joram and Paul Okot</t>
  </si>
  <si>
    <t>Aitel Uganda</t>
  </si>
  <si>
    <t>NO:030</t>
  </si>
  <si>
    <t>Airtime for may,June, July &amp; August 2020</t>
  </si>
  <si>
    <t xml:space="preserve">Chims Enterprises </t>
  </si>
  <si>
    <t>NO:023</t>
  </si>
  <si>
    <t>Airtime for the month of March and April2020</t>
  </si>
  <si>
    <t>Airtel Uganda</t>
  </si>
  <si>
    <t>NO:028</t>
  </si>
  <si>
    <t>Airtime for the month of May, June, July and August 2020</t>
  </si>
  <si>
    <t>NO:043</t>
  </si>
  <si>
    <t>Field office communication costs for Ntoroko</t>
  </si>
  <si>
    <t xml:space="preserve">DAJ communications limited </t>
  </si>
  <si>
    <t>NO:031</t>
  </si>
  <si>
    <t>Field office communications</t>
  </si>
  <si>
    <t>NO:053</t>
  </si>
  <si>
    <t>Internet and airtime for field operations in Kikube</t>
  </si>
  <si>
    <t xml:space="preserve">Kala Communications </t>
  </si>
  <si>
    <t>Internet and airtime for field operations in Kyegegwa</t>
  </si>
  <si>
    <t>ERID International Uganda Ltd</t>
  </si>
  <si>
    <t>NO:106</t>
  </si>
  <si>
    <t>MTN airtime for the final Quarter October-December 2021 Joram and Paul Okot</t>
  </si>
  <si>
    <t>MTN (U) LTD</t>
  </si>
  <si>
    <t>NO:038</t>
  </si>
  <si>
    <t>Navision Licennce renewal for Paul, Bob and Joram</t>
  </si>
  <si>
    <t>HRP solutions (u) ltd</t>
  </si>
  <si>
    <t>Totaal COM and IT-related fees, maintenance, Airtime/Internet (4 HQ Staff and 3 field officers)</t>
  </si>
  <si>
    <t>NO:124</t>
  </si>
  <si>
    <t>Claim for money spent on the projector Hire</t>
  </si>
  <si>
    <t>Stella Ajore</t>
  </si>
  <si>
    <t>NO:095</t>
  </si>
  <si>
    <t>Conference services provided during ECBHFA &amp; EVC training for volunteers in Kikuube-Hoima</t>
  </si>
  <si>
    <t>Betty Kiden</t>
  </si>
  <si>
    <t>NO:097</t>
  </si>
  <si>
    <t>Payment for Conference services provided during Ecbhfa. Training in Kyegegwa</t>
  </si>
  <si>
    <t>Britop (U) ltd</t>
  </si>
  <si>
    <t>NO:006</t>
  </si>
  <si>
    <t>PAYMENT FORCOMMUNITY DIALOGUE MEETING-KYEGEGWA</t>
  </si>
  <si>
    <t>Volunteer Mobile Money Payts</t>
  </si>
  <si>
    <t>NO:087</t>
  </si>
  <si>
    <t>Training of the community based early warning volunteers</t>
  </si>
  <si>
    <t>NO:086</t>
  </si>
  <si>
    <t>Training of volunteers in ECBHFA in Kyegegwa</t>
  </si>
  <si>
    <t>Blaise Bukuyi Mwesiga</t>
  </si>
  <si>
    <t>NO:147</t>
  </si>
  <si>
    <t>Training of volunteers on ECBHA in Kyegegwa</t>
  </si>
  <si>
    <t>NO:105:A</t>
  </si>
  <si>
    <t>Training of volunteers on Ecbhfa in Kikuube District</t>
  </si>
  <si>
    <t>NO:105:B</t>
  </si>
  <si>
    <t>Transport Refund</t>
  </si>
  <si>
    <t>NO:111:A</t>
  </si>
  <si>
    <t>NO:111:B</t>
  </si>
  <si>
    <t>Certificates - PC TECH INTERNET CAFÉ</t>
  </si>
  <si>
    <t>NO:111:C</t>
  </si>
  <si>
    <t>Stationery - Muksa - matovu stationery</t>
  </si>
  <si>
    <t>NO:107:A</t>
  </si>
  <si>
    <t>Training of volunteers on Ecbhfa in Kyegegwa District</t>
  </si>
  <si>
    <t>perdiem</t>
  </si>
  <si>
    <t>NO:107:B</t>
  </si>
  <si>
    <t>NO:102:A</t>
  </si>
  <si>
    <t>Trainingg of Volunteers on Ecbhfa in Kikuube District</t>
  </si>
  <si>
    <t>NO:102:B</t>
  </si>
  <si>
    <t>NO:103:A</t>
  </si>
  <si>
    <t>Trainingg of Volunteers on Ecbhfa in Kyegegwa District</t>
  </si>
  <si>
    <t>NO:103:B</t>
  </si>
  <si>
    <t>Totaal Conduct 3 trainings of URCS volunteers on integrated CBHFA and ECV modules and selected women and child health topics</t>
  </si>
  <si>
    <t>NO:356</t>
  </si>
  <si>
    <t>NDRT Information Management Training</t>
  </si>
  <si>
    <t>Geofrey Kasumba</t>
  </si>
  <si>
    <t>NO:357</t>
  </si>
  <si>
    <t>Bernard Manishimwe</t>
  </si>
  <si>
    <t>NO:358</t>
  </si>
  <si>
    <t>Claire Nafuna</t>
  </si>
  <si>
    <t>NO:359</t>
  </si>
  <si>
    <t>Ayolo jelinda</t>
  </si>
  <si>
    <t>NO:360</t>
  </si>
  <si>
    <t>Paul Okot Bitex</t>
  </si>
  <si>
    <t>NO:361</t>
  </si>
  <si>
    <t>Diana Nakiyingi</t>
  </si>
  <si>
    <t>NO:362</t>
  </si>
  <si>
    <t>NO:363</t>
  </si>
  <si>
    <t>Okiror Emmanuel</t>
  </si>
  <si>
    <t>NO:364</t>
  </si>
  <si>
    <t>Martha Imamut</t>
  </si>
  <si>
    <t>NO:365</t>
  </si>
  <si>
    <t>Kasumba Joseph</t>
  </si>
  <si>
    <t>NO:377</t>
  </si>
  <si>
    <t>Namara  Frank</t>
  </si>
  <si>
    <t>NO:378</t>
  </si>
  <si>
    <t>Longom Robert Billy Bex</t>
  </si>
  <si>
    <t>NO:379</t>
  </si>
  <si>
    <t>Frances Amulen</t>
  </si>
  <si>
    <t>NO:380</t>
  </si>
  <si>
    <t>Joel Kitutu</t>
  </si>
  <si>
    <t>NO:381</t>
  </si>
  <si>
    <t>Catherine Mugisha</t>
  </si>
  <si>
    <t>Totaal Conduct branch workshop on epidemic scenario and contingency planning</t>
  </si>
  <si>
    <t>NO:131</t>
  </si>
  <si>
    <t>Claim for the money spent during the community orientation</t>
  </si>
  <si>
    <t>NO:133:A</t>
  </si>
  <si>
    <t>DPIII Quartery Review Meeting for Kyegegwa</t>
  </si>
  <si>
    <t>Meals - Bito ivestments ltd</t>
  </si>
  <si>
    <t>NO:133:B</t>
  </si>
  <si>
    <t>Sanitizer -- Easy view shoppers</t>
  </si>
  <si>
    <t>NO:133:C</t>
  </si>
  <si>
    <t>Day Allowancce</t>
  </si>
  <si>
    <t>NO:133:D</t>
  </si>
  <si>
    <t>NO:133:E</t>
  </si>
  <si>
    <t>Projector -kenyana stationers</t>
  </si>
  <si>
    <t>NO:133:F</t>
  </si>
  <si>
    <t>Stationery - kenyana stationers</t>
  </si>
  <si>
    <t>NO:133:G</t>
  </si>
  <si>
    <t>NO:133:H</t>
  </si>
  <si>
    <t>Hall Hire -kyegegwa townc concil</t>
  </si>
  <si>
    <t>NO:079:A</t>
  </si>
  <si>
    <t>Support the conduct-quarterly progress review meeting</t>
  </si>
  <si>
    <t xml:space="preserve">Meals Limbori guest house </t>
  </si>
  <si>
    <t xml:space="preserve">Hall Hire - limbori guest house </t>
  </si>
  <si>
    <t>NO:079:B</t>
  </si>
  <si>
    <t>Projector Hire - Limbori guest house</t>
  </si>
  <si>
    <t>NO:079:C</t>
  </si>
  <si>
    <t>Srationery - Dona company ltd</t>
  </si>
  <si>
    <t>NO:079:D</t>
  </si>
  <si>
    <t>Sanitizer - Dona company ltd</t>
  </si>
  <si>
    <t>NO:079:E</t>
  </si>
  <si>
    <t>Day allowance</t>
  </si>
  <si>
    <t>NO:079:F</t>
  </si>
  <si>
    <t>NO:079:G</t>
  </si>
  <si>
    <t>Facilitors allownace  for volunteer</t>
  </si>
  <si>
    <t>NO:079:H</t>
  </si>
  <si>
    <t>Totaal Conduct training for community health workers/village health team members on CBS and ECV</t>
  </si>
  <si>
    <t>NO:077</t>
  </si>
  <si>
    <t>Claim for money spent during the CBHFA trsining</t>
  </si>
  <si>
    <t>NO:073</t>
  </si>
  <si>
    <t>Provided conference services during training -ECBHFA</t>
  </si>
  <si>
    <t>Fort Breeze</t>
  </si>
  <si>
    <t>NO:075</t>
  </si>
  <si>
    <t>TOT on ECBHFA and EVC in Bundiibugyo</t>
  </si>
  <si>
    <t>NO:088</t>
  </si>
  <si>
    <t>NO:091:A</t>
  </si>
  <si>
    <t>NO:091:B</t>
  </si>
  <si>
    <t xml:space="preserve">Certificates - Aadi enterprises </t>
  </si>
  <si>
    <t>NO:091:C</t>
  </si>
  <si>
    <t>Stationery Admin - century arts</t>
  </si>
  <si>
    <t>NO:074</t>
  </si>
  <si>
    <t>URA-WHT Provided conference services during training -ECBHFA</t>
  </si>
  <si>
    <t>NO:007</t>
  </si>
  <si>
    <t>Volunteer payments for the month of September 2021</t>
  </si>
  <si>
    <t>Totaal Conduct Training of Trainers for 15 URCS and district integrated CBHFA and ECV Facilitators</t>
  </si>
  <si>
    <t>17/4/2021</t>
  </si>
  <si>
    <t>SAL:030</t>
  </si>
  <si>
    <t>2021 Medical Contribution For Staff Under Belgian DPIII-Branch Managers</t>
  </si>
  <si>
    <t>Branch Managers</t>
  </si>
  <si>
    <t>Basic Pay 10-2021 Dativah Nuwashaba</t>
  </si>
  <si>
    <t>Dativah Nuwashaba</t>
  </si>
  <si>
    <t>Basic Pay 10-2021 Nsamba Henry</t>
  </si>
  <si>
    <t>Nsamba Henry</t>
  </si>
  <si>
    <t xml:space="preserve">Basic Pay 10-2021 Osbert Serugo             </t>
  </si>
  <si>
    <t>Osbert Serugo</t>
  </si>
  <si>
    <t>Basic Pay 10-2021 Prize Tayebwa</t>
  </si>
  <si>
    <t>Prize Tayebwa</t>
  </si>
  <si>
    <t>Basic Pay 10-2021 Sam Mugisha</t>
  </si>
  <si>
    <t>Sam Mugisha</t>
  </si>
  <si>
    <t>Basic Pay 12-2021 Dativah Nuwashaba</t>
  </si>
  <si>
    <t>Basic Pay 12-2021 Nsamba Henry</t>
  </si>
  <si>
    <t xml:space="preserve">Basic Pay 12-2021 Osbert Serugo             </t>
  </si>
  <si>
    <t>Basic Pay 12-2021 Prize Tayebwa</t>
  </si>
  <si>
    <t>Basic Pay 12-2021 Sam Mugisha</t>
  </si>
  <si>
    <t>GPA 10-2021 Dativah Nuwashaba</t>
  </si>
  <si>
    <t>GPA 10-2021 Nsamba Henry</t>
  </si>
  <si>
    <t xml:space="preserve">GPA 10-2021 Osbert Serugo             </t>
  </si>
  <si>
    <t xml:space="preserve">GPA 10-2021 Prize Tayebwa </t>
  </si>
  <si>
    <t>GPA 10-2021 Sam Mugisha</t>
  </si>
  <si>
    <t>GPA 12-2021 Dativah Nuwashaba</t>
  </si>
  <si>
    <t>GPA 12-2021 Nsamba Henry</t>
  </si>
  <si>
    <t xml:space="preserve">GPA 12-2021 Osbert Serugo             </t>
  </si>
  <si>
    <t xml:space="preserve">GPA 12-2021 Prize Tayebwa </t>
  </si>
  <si>
    <t>GPA 12-2021 Sam Mugisha</t>
  </si>
  <si>
    <t>Medical insurnance - Branch Managers 2019</t>
  </si>
  <si>
    <t>CORE ECO Bank-Medical Insurance</t>
  </si>
  <si>
    <t>NSSF 10% 10-2021 Dativah Nuwashaba</t>
  </si>
  <si>
    <t>NSSF 10% 10-2021 Nsamba Henry</t>
  </si>
  <si>
    <t xml:space="preserve">NSSF 10% 10-2021 Osbert Serugo             </t>
  </si>
  <si>
    <t xml:space="preserve">NSSF 10% 10-2021 Prize Tayebwa           </t>
  </si>
  <si>
    <t>NSSF 10% 10-2021 Sam Mugisha</t>
  </si>
  <si>
    <t>NSSF 10% 12-2021 Dativah Nuwashaba</t>
  </si>
  <si>
    <t>NSSF 10% 12-2021 Nsamba Henry</t>
  </si>
  <si>
    <t xml:space="preserve">NSSF 10% 12-2021 Osbert Serugo             </t>
  </si>
  <si>
    <t xml:space="preserve">NSSF 10% 12-2021 Prize Tayebwa           </t>
  </si>
  <si>
    <t>NSSF 10% 12-2021 Sam Mugisha</t>
  </si>
  <si>
    <t>Provident Fund 15% 10-2021 Dativah Nuwashaba</t>
  </si>
  <si>
    <t>Provident Fund 15% 10-2021 Nsamba Henry</t>
  </si>
  <si>
    <t xml:space="preserve">Provident Fund 15% 10-2021 Osbert Serugo             </t>
  </si>
  <si>
    <t>Provident Fund 15% 10-2021 Prize Tayebwa</t>
  </si>
  <si>
    <t>Provident Fund 15% 10-2021 Sam Mugisha</t>
  </si>
  <si>
    <t>Provident Fund 15% 12-2021 Dativah Nuwashaba</t>
  </si>
  <si>
    <t>Provident Fund 15% 12-2021 Nsamba Henry</t>
  </si>
  <si>
    <t xml:space="preserve">Provident Fund 15% 12-2021 Osbert Serugo             </t>
  </si>
  <si>
    <t>Provident Fund 15% 12-2021 Prize Tayebwa</t>
  </si>
  <si>
    <t>Provident Fund 15% 12-2021 Sam Mugisha</t>
  </si>
  <si>
    <t>Totaal Contribution to Branch Managers (3 Branch managers) 50%</t>
  </si>
  <si>
    <t>SAL:031</t>
  </si>
  <si>
    <t>2021 Medical Contribution For Staff Under Belgian DPIII-Director DRM</t>
  </si>
  <si>
    <t>Director DRM</t>
  </si>
  <si>
    <t>Basic Pay 10-2020 Bob Akankwasa</t>
  </si>
  <si>
    <t>Bob Akankwasa</t>
  </si>
  <si>
    <t xml:space="preserve">Basic Pay 10-2021 ENHQ1099 Brian Kanaahe         </t>
  </si>
  <si>
    <t>Brian Kanaahe</t>
  </si>
  <si>
    <t>Basic Pay 11-2020 Bob Akankwasa</t>
  </si>
  <si>
    <t>Basic Pay 1-2020 Bob Akankwasa</t>
  </si>
  <si>
    <t>SAL:009</t>
  </si>
  <si>
    <t>Basic Pay 1-2021 Bob Akankwasa</t>
  </si>
  <si>
    <t>Sal Jan ;01</t>
  </si>
  <si>
    <t xml:space="preserve">Basic Pay 1-2022 ENHQ1099 Brian Kanaahe         </t>
  </si>
  <si>
    <t>Basic Pay 12-2020 Bob Akankwasa</t>
  </si>
  <si>
    <t xml:space="preserve">Basic Pay 12-2021 ENHQ1099 Brian Kanaahe         </t>
  </si>
  <si>
    <t>Basic Pay 2-2020 Bob Akankwasa</t>
  </si>
  <si>
    <t>SAL:018</t>
  </si>
  <si>
    <t>Basic Pay 2-2021 Bob Akankwasa</t>
  </si>
  <si>
    <t>Basic Pay 3-2020 Bob Akankwasa</t>
  </si>
  <si>
    <t>SAL:027</t>
  </si>
  <si>
    <t>Basic Pay 3-2021 Bob Akankwasa</t>
  </si>
  <si>
    <t>Basic Pay 4-2020 Bob Akankwasa</t>
  </si>
  <si>
    <t>SAL:045</t>
  </si>
  <si>
    <t>Basic Pay 4-2021 Bob Akankwasa</t>
  </si>
  <si>
    <t>Basic Pay 5-2020 Bob Akankwasa</t>
  </si>
  <si>
    <t xml:space="preserve">Basic Pay 5-2021 ENHQ1099 Brian Kanaahe         </t>
  </si>
  <si>
    <t>Basic Pay 6-2020 Bob Akankwasa</t>
  </si>
  <si>
    <t xml:space="preserve">Basic Pay 6-2021 ENHQ1099 Brian Kanaahe         </t>
  </si>
  <si>
    <t>Basic Pay 7-2020 Bob Akankwasa</t>
  </si>
  <si>
    <t xml:space="preserve">Basic Pay 7-2021 ENHQ1099 Brian Kanaahe         </t>
  </si>
  <si>
    <t>Basic Pay 8-2020 Bob Akankwasa</t>
  </si>
  <si>
    <t xml:space="preserve">Basic Pay 8-2021 ENHQ1099 Brian Kanaahe         </t>
  </si>
  <si>
    <t>Basic Pay 9-2020 Bob Akankwasa</t>
  </si>
  <si>
    <t xml:space="preserve">Basic Pay 9-2021 ENHQ1099 Brian Kanaahe         </t>
  </si>
  <si>
    <t>Contribution to GPA Arrears  from July- December 2021 for Acting Director DRM 20%</t>
  </si>
  <si>
    <t>Contribution to Provident Fund Arrears  from July- December 2021 for Acting Director DRM 20%</t>
  </si>
  <si>
    <t>Contribution to Salary Arrears from July- December 2021 for Acting Director DRM 20%</t>
  </si>
  <si>
    <t>GPA 10-2020 Bob Akankwasa</t>
  </si>
  <si>
    <t xml:space="preserve">GPA 10-2021 ENHQ1099 Brian Kanaahe              </t>
  </si>
  <si>
    <t>GPA 11-2020 Bob Akankwasa</t>
  </si>
  <si>
    <t>GPA 1-2020 Bob Akankwasa</t>
  </si>
  <si>
    <t>GPA 1-2021 Bob Akankwasa</t>
  </si>
  <si>
    <t xml:space="preserve">GPA 1-2022 ENHQ1099 Brian Kanaahe              </t>
  </si>
  <si>
    <t>GPA 12-2020 Bob Akankwasa</t>
  </si>
  <si>
    <t xml:space="preserve">GPA 12-2021 ENHQ1099 Brian Kanaahe              </t>
  </si>
  <si>
    <t>GPA 2-2020 Bob Akankwasa</t>
  </si>
  <si>
    <t>GPA 2-2021 Bob Akankwasa</t>
  </si>
  <si>
    <t>GPA 3-2020 Bob Akankwasa</t>
  </si>
  <si>
    <t>GPA 3-2021 Bob Akankwasa</t>
  </si>
  <si>
    <t>GPA 4-2020 Bob Akankwasa</t>
  </si>
  <si>
    <t>GPA 4-2021 Bob Akankwasa</t>
  </si>
  <si>
    <t>GPA 5-2020 Bob Akankwasa</t>
  </si>
  <si>
    <t xml:space="preserve">GPA 5-2021 ENHQ1099 Brian Kanaahe              </t>
  </si>
  <si>
    <t>GPA 6-2020 Bob Akankwasa</t>
  </si>
  <si>
    <t xml:space="preserve">GPA 6-2021 ENHQ1099 Brian Kanaahe              </t>
  </si>
  <si>
    <t>GPA 7-2020 Bob Akankwasa</t>
  </si>
  <si>
    <t xml:space="preserve">GPA 7-2021 ENHQ1099 Brian Kanaahe              </t>
  </si>
  <si>
    <t>GPA 8-2020 Bob Akankwasa</t>
  </si>
  <si>
    <t xml:space="preserve">GPA 8-2021 ENHQ1099 Brian Kanaahe              </t>
  </si>
  <si>
    <t>GPA 9-2020 Bob Akankwasa</t>
  </si>
  <si>
    <t xml:space="preserve">GPA 9-2021 ENHQ1099 Brian Kanaahe              </t>
  </si>
  <si>
    <t xml:space="preserve">NSSF 10% 10-2021 ENHQ1099 Brian Kanaahe   </t>
  </si>
  <si>
    <t xml:space="preserve">NSSF 10% 1-2022 ENHQ1099 Brian Kanaahe   </t>
  </si>
  <si>
    <t xml:space="preserve">NSSF 10% 12-2021 ENHQ1099 Brian Kanaahe   </t>
  </si>
  <si>
    <t xml:space="preserve">NSSF 10% 5-2021 ENHQ1099 Brian Kanaahe   </t>
  </si>
  <si>
    <t xml:space="preserve">NSSF 10% 6-2021 ENHQ1099 Brian Kanaahe   </t>
  </si>
  <si>
    <t xml:space="preserve">NSSF 10% 7-2021 ENHQ1099 Brian Kanaahe   </t>
  </si>
  <si>
    <t xml:space="preserve">NSSF 10% 8-2021 ENHQ1099 Brian Kanaahe   </t>
  </si>
  <si>
    <t xml:space="preserve">NSSF 10% 9-2021 ENHQ1099 Brian Kanaahe   </t>
  </si>
  <si>
    <t>NSSF 10-2020 Bob Akankwasa</t>
  </si>
  <si>
    <t>NSSF 11-2020 Bob Akankwasa</t>
  </si>
  <si>
    <t>NSSF 1-2020 Bob Akankwasa</t>
  </si>
  <si>
    <t>NSSF 1-2021 Bob Akankwasa</t>
  </si>
  <si>
    <t>NSSF 12-2020 Bob Akankwasa</t>
  </si>
  <si>
    <t>NSSF 2-2020 Bob Akankwasa</t>
  </si>
  <si>
    <t>NSSF 2-2021 Bob Akankwasa</t>
  </si>
  <si>
    <t>NSSF 3-2020 Bob Akankwasa</t>
  </si>
  <si>
    <t>NSSF 3-2021 Bob Akankwasa</t>
  </si>
  <si>
    <t>NSSF 4-2020 Bob Akankwasa</t>
  </si>
  <si>
    <t>NSSF 4-2021 Bob Akankwasa</t>
  </si>
  <si>
    <t>NSSF 5-2020 Bob Akankwasa</t>
  </si>
  <si>
    <t>NSSF 6-2020 Bob Akankwasa</t>
  </si>
  <si>
    <t>NSSF 7-2020 Bob Akankwasa</t>
  </si>
  <si>
    <t>NSSF 8-2020 Bob Akankwasa</t>
  </si>
  <si>
    <t>NSSF 9-2020 Bob Akankwasa</t>
  </si>
  <si>
    <t>Payment For Christmas Vouchers</t>
  </si>
  <si>
    <t>Provident Fund 10-2020 Bob Akankwasa</t>
  </si>
  <si>
    <t>Provident Fund 11-2020 Bob Akankwasa</t>
  </si>
  <si>
    <t>Provident Fund 1-2020 Bob Akankwasa</t>
  </si>
  <si>
    <t>Provident Fund 1-2021 Bob Akankwasa</t>
  </si>
  <si>
    <t>Provident Fund 12-2020 Bob Akankwasa</t>
  </si>
  <si>
    <t xml:space="preserve">Provident Fund 15% 10-2021 ENHQ1099 Brian Kanaahe   </t>
  </si>
  <si>
    <t xml:space="preserve">Provident Fund 15% 1-2022 ENHQ1099 Brian Kanaahe     </t>
  </si>
  <si>
    <t xml:space="preserve">Provident Fund 15% 12-2021 ENHQ1099 Brian Kanaahe   </t>
  </si>
  <si>
    <t xml:space="preserve">Provident Fund 15% 5-2021 ENHQ1099 Brian Kanaahe   </t>
  </si>
  <si>
    <t xml:space="preserve">Provident Fund 15% 6-2021 ENHQ1099 Brian Kanaahe   </t>
  </si>
  <si>
    <t xml:space="preserve">Provident Fund 15% 7-2021 ENHQ1099 Brian Kanaahe   </t>
  </si>
  <si>
    <t xml:space="preserve">Provident Fund 15% 8-2021 ENHQ1099 Brian Kanaahe   </t>
  </si>
  <si>
    <t xml:space="preserve">Provident Fund 15% 9-2021 ENHQ1099 Brian Kanaahe   </t>
  </si>
  <si>
    <t>Provident Fund 2-2020 Bob Akankwasa</t>
  </si>
  <si>
    <t>Provident Fund 2-2021 Bob Akankwasa</t>
  </si>
  <si>
    <t>Provident Fund 3-2020 Bob Akankwasa</t>
  </si>
  <si>
    <t>Provident Fund 3-2021 Bob Akankwasa</t>
  </si>
  <si>
    <t>Provident Fund 4-2020 Bob Akankwasa</t>
  </si>
  <si>
    <t>Provident Fund 4-2021 Bob Akankwasa</t>
  </si>
  <si>
    <t>Provident Fund 5-2020 Bob Akankwasa</t>
  </si>
  <si>
    <t>Provident Fund 6-2020 Bob Akankwasa</t>
  </si>
  <si>
    <t>Provident Fund 7-2020 Bob Akankwasa</t>
  </si>
  <si>
    <t>Provident Fund 8-2020 Bob Akankwasa</t>
  </si>
  <si>
    <t>Provident Fund 9-2020 Bob Akankwasa</t>
  </si>
  <si>
    <t xml:space="preserve">Transport Allowance 1-2022 ENHQ1099 Brian Kanaahe    </t>
  </si>
  <si>
    <t>Totaal Contribution to the DRM Director (HQ) 30% - 1 Position.</t>
  </si>
  <si>
    <t>NO:166</t>
  </si>
  <si>
    <t>Day Allowance  Joint rapid assesment and pre-crisis Market assesment</t>
  </si>
  <si>
    <t>Joram Musinguzi</t>
  </si>
  <si>
    <t>NO:172</t>
  </si>
  <si>
    <t>Day allowance for  Joint rapid assesment and pre-crisis Market assesment</t>
  </si>
  <si>
    <t>Ntale Emmanuel</t>
  </si>
  <si>
    <t>NO:169</t>
  </si>
  <si>
    <t>Day allowance for joint Rapid Assessment &amp; pre-market assessment</t>
  </si>
  <si>
    <t>Namara Frank</t>
  </si>
  <si>
    <t>NO:245</t>
  </si>
  <si>
    <t>Day Allowance for training of volunteers in CVA/CTP in Kaabong 21.11.21</t>
  </si>
  <si>
    <t>NO:122</t>
  </si>
  <si>
    <t>Day AllowanceJoint rapid assesment and pre-crisis Market assesment</t>
  </si>
  <si>
    <t>Gwaya Emmanuel</t>
  </si>
  <si>
    <t>NO:407</t>
  </si>
  <si>
    <t>DDMC orientation in CVA/FbF/DP in Kaabong</t>
  </si>
  <si>
    <t>NO:436</t>
  </si>
  <si>
    <t>DDMC Orientation in CVA/FbF/DP in Kaabong</t>
  </si>
  <si>
    <t>Moses Akol</t>
  </si>
  <si>
    <t>NO:473</t>
  </si>
  <si>
    <t>DMMC Orientation in CVA/FBF/DP in Kaabong</t>
  </si>
  <si>
    <t>NO:394</t>
  </si>
  <si>
    <t>Driver's perdiem during the training of volunteers to conduct beneficiary targeting and registration in Kabong</t>
  </si>
  <si>
    <t>NO:150</t>
  </si>
  <si>
    <t>Faciliate pre crisis assessment in Kaabong in preparation for MPCT</t>
  </si>
  <si>
    <t>Internet Data during  Joint rapid assesment and pre-crisis Market assesment</t>
  </si>
  <si>
    <t>NO:366</t>
  </si>
  <si>
    <t>Orientatio of volunteer payment RCATS in Kabbong on CTP,CEA and FBF 11-14th November 2021</t>
  </si>
  <si>
    <t>Volunteer Mobile Money Payments</t>
  </si>
  <si>
    <t>NO:368</t>
  </si>
  <si>
    <t>Orientation of DDMC Members on CTP,FBF and CAE</t>
  </si>
  <si>
    <t>NO:370</t>
  </si>
  <si>
    <t>Charles Achilla</t>
  </si>
  <si>
    <t>NO:367</t>
  </si>
  <si>
    <t xml:space="preserve">Orientation of DDMCs-Kaabong </t>
  </si>
  <si>
    <t>NO:400</t>
  </si>
  <si>
    <t>Payment for the meals and refreshments provided-Kaabong</t>
  </si>
  <si>
    <t>Ikasella Enterprises Ltd</t>
  </si>
  <si>
    <t>NO:328</t>
  </si>
  <si>
    <t>Payment for the provided Meals and Refreshments-Kabong</t>
  </si>
  <si>
    <t>NO:481</t>
  </si>
  <si>
    <t>Payment for the provided Meals during a meeting</t>
  </si>
  <si>
    <t>Raja Excelsior Hotel</t>
  </si>
  <si>
    <t>NO:411</t>
  </si>
  <si>
    <t>Perdiem  DDMC orientation in CVA/FbF/DP in Kaabong 8-15/11/2021</t>
  </si>
  <si>
    <t>NO:468</t>
  </si>
  <si>
    <t>Perdiem and Day allowance for Training of volunteers in CVA/CTP in Kabong</t>
  </si>
  <si>
    <t>Thomas Akol</t>
  </si>
  <si>
    <t>NO:469</t>
  </si>
  <si>
    <t>Perdiem and Day allowance to support Enchasment in Kaabong District</t>
  </si>
  <si>
    <t>NO:470</t>
  </si>
  <si>
    <t>Perdiem and joint Rapid Assessment &amp; pre-market assessment</t>
  </si>
  <si>
    <t>NO:410</t>
  </si>
  <si>
    <t>Perdiem DDMC orientation in CVA/FbF/DP in Kaabong</t>
  </si>
  <si>
    <t>NO:243</t>
  </si>
  <si>
    <t>Perdiem DDMC Orientation in CVA/FBF/DP In Kaabong 9-10.11.21</t>
  </si>
  <si>
    <t>NO:242</t>
  </si>
  <si>
    <t>Perdiem for support beneficiaries with MPCT 11-14.11.21</t>
  </si>
  <si>
    <t>NO:244</t>
  </si>
  <si>
    <t>Perdiem for training of volunteers in CVA/CTP in Kaabong 16-20.11.2021</t>
  </si>
  <si>
    <t>NO:120</t>
  </si>
  <si>
    <t>Perdiem Joint rapid assesment and pre-crisis Market assesment</t>
  </si>
  <si>
    <t>Paul Okot</t>
  </si>
  <si>
    <t>NO:121</t>
  </si>
  <si>
    <t>NO:393</t>
  </si>
  <si>
    <t>Support to Perdiem during the training of Volunteers in Kabong District in prepartion for Cash support from 11-15th November 2021</t>
  </si>
  <si>
    <t>NO:369</t>
  </si>
  <si>
    <t>Training of volunteers in Kabong in preparatiob for Cash support</t>
  </si>
  <si>
    <t>Transport Joint rapid assesment and pre-crisis Market assesment</t>
  </si>
  <si>
    <t>NO:068</t>
  </si>
  <si>
    <t>Validate Assesment report on Floods</t>
  </si>
  <si>
    <t>Mileage Revenue for SCM</t>
  </si>
  <si>
    <t>NO:292</t>
  </si>
  <si>
    <t>Being payment for supply and delivery of IEC Materials</t>
  </si>
  <si>
    <t>In-Lineprint Services</t>
  </si>
  <si>
    <t>NO:004</t>
  </si>
  <si>
    <t xml:space="preserve">Supplied  Personal Protective Equipments -Kits    </t>
  </si>
  <si>
    <t>RELIEFLINE UGANDA LIMITED</t>
  </si>
  <si>
    <t>NO:042</t>
  </si>
  <si>
    <t>Supplied Aqua Tabs and Oxfarm Buckets</t>
  </si>
  <si>
    <t>Taij General Enterprises</t>
  </si>
  <si>
    <t>URA-WHT Supplied Aqua Tabs and Oxfarm Buckets</t>
  </si>
  <si>
    <t>URA-WHT Taij General Enterprises</t>
  </si>
  <si>
    <t>Totaal Develop, procure and distribute IEC materials for community health promotion (posters, leaflets, flipcharts, video, mobile cinema, banners)</t>
  </si>
  <si>
    <t>NO:175</t>
  </si>
  <si>
    <t>Branch Manager Perdiem supporting the Distribution of NFIs</t>
  </si>
  <si>
    <t>Wamukota Stephen</t>
  </si>
  <si>
    <t>NO:176</t>
  </si>
  <si>
    <t>Claim for delivering accountability and other documents to Kampala</t>
  </si>
  <si>
    <t>Ahumuza Joshua</t>
  </si>
  <si>
    <t>NO:114</t>
  </si>
  <si>
    <t>Community dialogue meeting in Nsonga and Nsunzi Village</t>
  </si>
  <si>
    <t>NO:117</t>
  </si>
  <si>
    <t>Conduct community dialogue sessions in Nsonga and Nsunzu village</t>
  </si>
  <si>
    <t>NO:329</t>
  </si>
  <si>
    <t>Distribution of health and hygiene Kits / Materials-Kyegegwa</t>
  </si>
  <si>
    <t>NO:177</t>
  </si>
  <si>
    <t>Distribution of health and hygiene material</t>
  </si>
  <si>
    <t>Distribution of health and hygiene material-Kikube</t>
  </si>
  <si>
    <t>NO:171</t>
  </si>
  <si>
    <t>Participates Facilitation for distribution of health kits</t>
  </si>
  <si>
    <t>NO:140</t>
  </si>
  <si>
    <t xml:space="preserve">Paymenr for the provided Refreshments for </t>
  </si>
  <si>
    <t>Muktifore Restaurant Kyangwali</t>
  </si>
  <si>
    <t>NO:164</t>
  </si>
  <si>
    <t>Perdiem &amp; Day allowance for Siraj for Transporting NFIs to Kikube, Kyagwali &amp; Fortportal</t>
  </si>
  <si>
    <t>Siraj Kyomuhendo</t>
  </si>
  <si>
    <t>NO:174</t>
  </si>
  <si>
    <t xml:space="preserve">Support transportation of motorcycles and Gumboots to Ntoroko and Kabarole </t>
  </si>
  <si>
    <t>Totaal Distribution of hygiene materials to community members following a CBHFA training</t>
  </si>
  <si>
    <t>13/4/2021</t>
  </si>
  <si>
    <t>SAL:028</t>
  </si>
  <si>
    <t>2021 Medical Contribution For Staff Under Belgian DPIII-Project Officers</t>
  </si>
  <si>
    <t>DPIII Project Officers Emmanuel, Stella Ajore and Blaise Bukuyi</t>
  </si>
  <si>
    <t>Advert for project officers Ntoroko, Kyegegwa &amp; Kikuube</t>
  </si>
  <si>
    <t>New vision</t>
  </si>
  <si>
    <t xml:space="preserve">Basic Pay 10-2020 ENHQ1083 EMMANUEL OKIROR         </t>
  </si>
  <si>
    <t xml:space="preserve">Emmanuel Okiror  </t>
  </si>
  <si>
    <t xml:space="preserve">Basic Pay 10-2020 ENHQ1168 STELLA AJORE            </t>
  </si>
  <si>
    <t xml:space="preserve">Basic Pay 10-2020 ENHQ1232 Blaise Mwesiga Bukuyi   </t>
  </si>
  <si>
    <t xml:space="preserve">Blaise Mwesiga </t>
  </si>
  <si>
    <t xml:space="preserve">Basic Pay 10-2021 ENHQ1083 EMMANUEL OKIROR         </t>
  </si>
  <si>
    <t xml:space="preserve">Basic Pay 10-2021 ENHQ1168 STELLA AJORE            </t>
  </si>
  <si>
    <t xml:space="preserve">Basic Pay 11-2019 ENHQ1083 EMMANUEL OKIROR        </t>
  </si>
  <si>
    <t xml:space="preserve">EMMANUEL OKIROR  </t>
  </si>
  <si>
    <t xml:space="preserve">Basic Pay 11-2019 ENHQ1168 STELLA AJORE           </t>
  </si>
  <si>
    <t>STELLA AJORE</t>
  </si>
  <si>
    <t xml:space="preserve">Basic Pay 11-2019 ENHQ1232 Blaise Mwesiga Bukuyi  </t>
  </si>
  <si>
    <t xml:space="preserve"> Blaise Mwesiga Bukuyi  </t>
  </si>
  <si>
    <t xml:space="preserve">Basic Pay 11-2020 ENHQ1083 EMMANUEL OKIROR         </t>
  </si>
  <si>
    <t xml:space="preserve">Basic Pay 11-2020 ENHQ1168 STELLA AJORE            </t>
  </si>
  <si>
    <t xml:space="preserve">Basic Pay 11-2020 ENHQ1232 Blaise Mwesiga Bukuyi   </t>
  </si>
  <si>
    <t xml:space="preserve">Basic Pay 1-2020 ENHQ1083 EMMANUEL OKIROR         </t>
  </si>
  <si>
    <t xml:space="preserve">Basic Pay 1-2020 ENHQ1168 STELLA AJORE            </t>
  </si>
  <si>
    <t xml:space="preserve">STELLA AJORE   </t>
  </si>
  <si>
    <t xml:space="preserve">Basic Pay 1-2020 ENHQ1232 Blaise Mwesiga Bukuyi   </t>
  </si>
  <si>
    <t>SAL:001</t>
  </si>
  <si>
    <t xml:space="preserve">Basic Pay 1-2021 ENHQ1083 EMMANUEL OKIROR         </t>
  </si>
  <si>
    <t>SAL:002</t>
  </si>
  <si>
    <t xml:space="preserve">Basic Pay 1-2021 ENHQ1168 STELLA AJORE            </t>
  </si>
  <si>
    <t>SAL:003</t>
  </si>
  <si>
    <t xml:space="preserve">Basic Pay 1-2021 ENHQ1232 Blaise Mwesiga Bukuyi   </t>
  </si>
  <si>
    <t xml:space="preserve">Basic Pay 1-2022 ENHQ1083 EMMANUEL OKIROR         </t>
  </si>
  <si>
    <t xml:space="preserve">Basic Pay 1-2022 ENHQ1168 STELLA AJORE            </t>
  </si>
  <si>
    <t xml:space="preserve">Basic Pay 12-2019 ENHQ1083 EMMANUEL OKIROR        </t>
  </si>
  <si>
    <t xml:space="preserve">Basic Pay 12-2019 ENHQ1168 STELLA AJORE           </t>
  </si>
  <si>
    <t xml:space="preserve">Basic Pay 12-2019 ENHQ1232 Blaise Mwesiga Bukuyi  </t>
  </si>
  <si>
    <t>Blaise Mwesiga</t>
  </si>
  <si>
    <t xml:space="preserve">Basic Pay 12-2020 ENHQ1083 EMMANUEL OKIROR         </t>
  </si>
  <si>
    <t xml:space="preserve">Basic Pay 12-2020 ENHQ1168 STELLA AJORE            </t>
  </si>
  <si>
    <t xml:space="preserve">Basic Pay 12-2020 ENHQ1232 Blaise Mwesiga Bukuyi   </t>
  </si>
  <si>
    <t xml:space="preserve">Basic Pay 12-2021 ENHQ1083 EMMANUEL OKIROR         </t>
  </si>
  <si>
    <t xml:space="preserve">Basic Pay 12-2021 ENHQ1168 STELLA AJORE            </t>
  </si>
  <si>
    <t xml:space="preserve">Basic Pay 2-2020 ENHQ1083 EMMANUEL OKIROR         </t>
  </si>
  <si>
    <t xml:space="preserve">Basic Pay 2-2020 ENHQ1168 STELLA AJORE            </t>
  </si>
  <si>
    <t xml:space="preserve">Basic Pay 2-2020 ENHQ1232 Blaise Mwesiga Bukuyi   </t>
  </si>
  <si>
    <t>SAL:010</t>
  </si>
  <si>
    <t xml:space="preserve">Basic Pay 2-2021 ENHQ1083 EMMANUEL OKIROR         </t>
  </si>
  <si>
    <t>SAL:011</t>
  </si>
  <si>
    <t xml:space="preserve">Basic Pay 2-2021 ENHQ1168 STELLA AJORE            </t>
  </si>
  <si>
    <t>SAL:012</t>
  </si>
  <si>
    <t xml:space="preserve">Basic Pay 2-2021 ENHQ1232 Blaise Mwesiga Bukuyi   </t>
  </si>
  <si>
    <t xml:space="preserve">Basic Pay 3-2020 ENHQ1083 EMMANUEL OKIROR         </t>
  </si>
  <si>
    <t xml:space="preserve">Basic Pay 3-2020 ENHQ1168 STELLA AJORE            </t>
  </si>
  <si>
    <t xml:space="preserve">Basic Pay 3-2020 ENHQ1232 Blaise Mwesiga Bukuyi   </t>
  </si>
  <si>
    <t>SAL:019</t>
  </si>
  <si>
    <t xml:space="preserve">Basic Pay 3-2021 ENHQ1083 EMMANUEL OKIROR         </t>
  </si>
  <si>
    <t>SAL:037</t>
  </si>
  <si>
    <t>SAL:020</t>
  </si>
  <si>
    <t xml:space="preserve">Basic Pay 3-2021 ENHQ1168 STELLA AJORE            </t>
  </si>
  <si>
    <t>SAL:038</t>
  </si>
  <si>
    <t>SAL:021</t>
  </si>
  <si>
    <t xml:space="preserve">Basic Pay 3-2021 ENHQ1232 Blaise Mwesiga Bukuyi   </t>
  </si>
  <si>
    <t>SAL:039</t>
  </si>
  <si>
    <t xml:space="preserve">Basic Pay 4-2020 ENHQ1083 EMMANUEL OKIROR         </t>
  </si>
  <si>
    <t xml:space="preserve">Basic Pay 4-2020 ENHQ1168 STELLA AJORE            </t>
  </si>
  <si>
    <t xml:space="preserve">Basic Pay 4-2020 ENHQ1232 Blaise Mwesiga Bukuyi   </t>
  </si>
  <si>
    <t xml:space="preserve">Basic Pay 5-2020 ENHQ1083 EMMANUEL OKIROR         </t>
  </si>
  <si>
    <t xml:space="preserve">Basic Pay 5-2020 ENHQ1168 STELLA AJORE            </t>
  </si>
  <si>
    <t xml:space="preserve">Basic Pay 5-2020 ENHQ1232 Blaise Mwesiga Bukuyi   </t>
  </si>
  <si>
    <t xml:space="preserve">Basic Pay 5-2021 ENHQ1168 STELLA AJORE            </t>
  </si>
  <si>
    <t xml:space="preserve">Basic Pay 5-2021 ENHQ1232 Blaise Mwesiga Bukuyi   </t>
  </si>
  <si>
    <t xml:space="preserve">Basic Pay 6-2020 ENHQ1083 EMMANUEL OKIROR         </t>
  </si>
  <si>
    <t xml:space="preserve">Basic Pay 6-2020 ENHQ1168 STELLA AJORE            </t>
  </si>
  <si>
    <t xml:space="preserve">Basic Pay 6-2020 ENHQ1232 Blaise Mwesiga Bukuyi   </t>
  </si>
  <si>
    <t xml:space="preserve">Basic Pay 6-2021 ENHQ1168 STELLA AJORE            </t>
  </si>
  <si>
    <t xml:space="preserve">Basic Pay 6-2021 ENHQ1232 Blaise Mwesiga Bukuyi   </t>
  </si>
  <si>
    <t xml:space="preserve">Basic Pay 7-2020 ENHQ1083 EMMANUEL OKIROR         </t>
  </si>
  <si>
    <t xml:space="preserve">Basic Pay 7-2020 ENHQ1168 STELLA AJORE            </t>
  </si>
  <si>
    <t xml:space="preserve">Basic Pay 7-2020 ENHQ1232 Blaise Mwesiga Bukuyi   </t>
  </si>
  <si>
    <t xml:space="preserve">Basic Pay 7-2021 ENHQ1083 EMMANUEL OKIROR         </t>
  </si>
  <si>
    <t xml:space="preserve">Basic Pay 7-2021 ENHQ1168 STELLA AJORE            </t>
  </si>
  <si>
    <t xml:space="preserve">Basic Pay 8-2020 ENHQ1083 EMMANUEL OKIROR         </t>
  </si>
  <si>
    <t xml:space="preserve">Basic Pay 8-2020 ENHQ1168 STELLA AJORE            </t>
  </si>
  <si>
    <t xml:space="preserve">Basic Pay 8-2020 ENHQ1232 Blaise Mwesiga Bukuyi   </t>
  </si>
  <si>
    <t xml:space="preserve">Basic Pay 8-2021 ENHQ1083 EMMANUEL OKIROR         </t>
  </si>
  <si>
    <t xml:space="preserve">Basic Pay 8-2021 ENHQ1168 STELLA AJORE            </t>
  </si>
  <si>
    <t xml:space="preserve">Basic Pay 9-2020 ENHQ1083 EMMANUEL OKIROR         </t>
  </si>
  <si>
    <t xml:space="preserve">Basic Pay 9-2020 ENHQ1168 STELLA AJORE            </t>
  </si>
  <si>
    <t xml:space="preserve">Basic Pay 9-2020 ENHQ1232 Blaise Mwesiga Bukuyi   </t>
  </si>
  <si>
    <t xml:space="preserve">Basic Pay 9-2021 ENHQ1083 EMMANUEL OKIROR         </t>
  </si>
  <si>
    <t xml:space="preserve">Basic Pay 9-2021 ENHQ1168 STELLA AJORE            </t>
  </si>
  <si>
    <t xml:space="preserve">Basic Pay5-2021 ENHQ1083 EMMANUEL OKIROR         </t>
  </si>
  <si>
    <t xml:space="preserve">Basic Pay6-2021 ENHQ1083 EMMANUEL OKIROR         </t>
  </si>
  <si>
    <t xml:space="preserve">GPA 10-2020 ENHQ1083 EMMANUEL OKIROR               </t>
  </si>
  <si>
    <t xml:space="preserve">GPA 10-2020 ENHQ1168 STELLA AJORE                  </t>
  </si>
  <si>
    <t xml:space="preserve">GPA 10-2020 ENHQ1232 Blaise Mwesiga Bukuyi         </t>
  </si>
  <si>
    <t xml:space="preserve">GPA 10-2021 ENHQ1083 EMMANUEL OKIROR               </t>
  </si>
  <si>
    <t xml:space="preserve">GPA 10-2021ENHQ1168 STELLA AJORE                  </t>
  </si>
  <si>
    <t xml:space="preserve">GPA 11-2019 ENHQ1083 EMMANUEL OKIROR              </t>
  </si>
  <si>
    <t xml:space="preserve">GPA 11-2019 ENHQ1168 STELLA AJORE                 </t>
  </si>
  <si>
    <t xml:space="preserve">GPA 11-2019 ENHQ1232 Blaise Mwesiga Bukuyi        </t>
  </si>
  <si>
    <t xml:space="preserve">GPA 11-2020 ENHQ1083 EMMANUEL OKIROR               </t>
  </si>
  <si>
    <t xml:space="preserve">GPA 11-2020 ENHQ1168 STELLA AJORE                  </t>
  </si>
  <si>
    <t xml:space="preserve">GPA 11-2020 ENHQ1232 Blaise Mwesiga Bukuyi         </t>
  </si>
  <si>
    <t xml:space="preserve">GPA 1-2020 ENHQ1083 EMMANUEL OKIROR               </t>
  </si>
  <si>
    <t xml:space="preserve">GPA 1-2020 ENHQ1168 STELLA AJORE                  </t>
  </si>
  <si>
    <t xml:space="preserve">GPA 1-2020 ENHQ1232 Blaise Mwesiga Bukuyi         </t>
  </si>
  <si>
    <t xml:space="preserve">GPA 1-2021 ENHQ1083 EMMANUEL OKIROR               </t>
  </si>
  <si>
    <t xml:space="preserve">GPA 1-2021 ENHQ1168 STELLA AJORE                  </t>
  </si>
  <si>
    <t xml:space="preserve">GPA 1-2021 ENHQ1232 Blaise Mwesiga Bukuyi         </t>
  </si>
  <si>
    <t xml:space="preserve">GPA 1-2022 ENHQ1083 EMMANUEL OKIROR               </t>
  </si>
  <si>
    <t xml:space="preserve">GPA 1-2022 ENHQ1168 STELLA AJORE                  </t>
  </si>
  <si>
    <t xml:space="preserve">GPA 12-2019 ENHQ1083 EMMANUEL OKIROR              </t>
  </si>
  <si>
    <t xml:space="preserve">GPA 12-2019 ENHQ1168 STELLA AJORE                 </t>
  </si>
  <si>
    <t xml:space="preserve">GPA 12-2019 ENHQ1232 Blaise Mwesiga Bukuyi        </t>
  </si>
  <si>
    <t xml:space="preserve">GPA 12-2020 ENHQ1083 EMMANUEL OKIROR               </t>
  </si>
  <si>
    <t xml:space="preserve">GPA 12-2020 ENHQ1168 STELLA AJORE                  </t>
  </si>
  <si>
    <t xml:space="preserve">GPA 12-2020 ENHQ1232 Blaise Mwesiga Bukuyi         </t>
  </si>
  <si>
    <t xml:space="preserve">GPA 12-2021 ENHQ1083 EMMANUEL OKIROR               </t>
  </si>
  <si>
    <t xml:space="preserve">GPA 12-2021ENHQ1168 STELLA AJORE                  </t>
  </si>
  <si>
    <t xml:space="preserve">GPA 2-2020 ENHQ1083 EMMANUEL OKIROR               </t>
  </si>
  <si>
    <t xml:space="preserve">GPA 2-2020 ENHQ1168 STELLA AJORE                  </t>
  </si>
  <si>
    <t xml:space="preserve">GPA 2-2020 ENHQ1232 Blaise Mwesiga Bukuyi         </t>
  </si>
  <si>
    <t xml:space="preserve">GPA 2-2021 ENHQ1083 EMMANUEL OKIROR               </t>
  </si>
  <si>
    <t xml:space="preserve">GPA 2-2021 ENHQ1232 Blaise Mwesiga Bukuyi         </t>
  </si>
  <si>
    <t xml:space="preserve">GPA 2-2021ENHQ1168 STELLA AJORE                  </t>
  </si>
  <si>
    <t xml:space="preserve">GPA 3-2020 ENHQ1083 EMMANUEL OKIROR               </t>
  </si>
  <si>
    <t xml:space="preserve">GPA 3-2020 ENHQ1168 STELLA AJORE                  </t>
  </si>
  <si>
    <t xml:space="preserve">GPA 3-2020 ENHQ1232 Blaise Mwesiga Bukuyi         </t>
  </si>
  <si>
    <t xml:space="preserve">GPA 3-2021 ENHQ1083 EMMANUEL OKIROR               </t>
  </si>
  <si>
    <t xml:space="preserve">GPA 3-2021 ENHQ1232 Blaise Mwesiga Bukuyi         </t>
  </si>
  <si>
    <t xml:space="preserve">GPA 3-2021ENHQ1168 STELLA AJORE                  </t>
  </si>
  <si>
    <t xml:space="preserve">GPA 4-2020 ENHQ1083 EMMANUEL OKIROR               </t>
  </si>
  <si>
    <t xml:space="preserve">GPA 4-2020 ENHQ1168 STELLA AJORE                  </t>
  </si>
  <si>
    <t xml:space="preserve">GPA 4-2020 ENHQ1232 Blaise Mwesiga Bukuyi         </t>
  </si>
  <si>
    <t xml:space="preserve">GPA 5-2020 ENHQ1083 EMMANUEL OKIROR               </t>
  </si>
  <si>
    <t xml:space="preserve">GPA 5-2020 ENHQ1168 STELLA AJORE                  </t>
  </si>
  <si>
    <t xml:space="preserve">GPA 5-2020 ENHQ1232 Blaise Mwesiga Bukuyi         </t>
  </si>
  <si>
    <t xml:space="preserve">GPA 5-2021 ENHQ1083 EMMANUEL OKIROR               </t>
  </si>
  <si>
    <t xml:space="preserve">GPA 5-2021 ENHQ1232 Blaise Mwesiga Bukuyi         </t>
  </si>
  <si>
    <t xml:space="preserve">GPA 5-2021ENHQ1168 STELLA AJORE                  </t>
  </si>
  <si>
    <t xml:space="preserve">GPA 6-2020 ENHQ1083 EMMANUEL OKIROR               </t>
  </si>
  <si>
    <t xml:space="preserve">GPA 6-2020 ENHQ1168 STELLA AJORE                  </t>
  </si>
  <si>
    <t xml:space="preserve">GPA 6-2020 ENHQ1232 Blaise Mwesiga Bukuyi         </t>
  </si>
  <si>
    <t xml:space="preserve">GPA 6-2021 ENHQ1083 EMMANUEL OKIROR               </t>
  </si>
  <si>
    <t xml:space="preserve">GPA 6-2021 ENHQ1232 Blaise Mwesiga Bukuyi         </t>
  </si>
  <si>
    <t xml:space="preserve">GPA 6-2021ENHQ1168 STELLA AJORE                  </t>
  </si>
  <si>
    <t xml:space="preserve">GPA 7-2020 ENHQ1083 EMMANUEL OKIROR               </t>
  </si>
  <si>
    <t xml:space="preserve">GPA 7-2020 ENHQ1168 STELLA AJORE                  </t>
  </si>
  <si>
    <t xml:space="preserve">GPA 7-2020 ENHQ1232 Blaise Mwesiga Bukuyi         </t>
  </si>
  <si>
    <t xml:space="preserve">GPA 7-2021 ENHQ1083 EMMANUEL OKIROR               </t>
  </si>
  <si>
    <t xml:space="preserve">GPA 7-2021ENHQ1168 STELLA AJORE                  </t>
  </si>
  <si>
    <t xml:space="preserve">GPA 8-2020 ENHQ1083 EMMANUEL OKIROR               </t>
  </si>
  <si>
    <t xml:space="preserve">GPA 8-2020 ENHQ1168 STELLA AJORE                  </t>
  </si>
  <si>
    <t xml:space="preserve">GPA 8-2020 ENHQ1232 Blaise Mwesiga Bukuyi         </t>
  </si>
  <si>
    <t xml:space="preserve">GPA 8-2021 ENHQ1083 EMMANUEL OKIROR               </t>
  </si>
  <si>
    <t xml:space="preserve">GPA 8-2021ENHQ1168 STELLA AJORE                  </t>
  </si>
  <si>
    <t xml:space="preserve">GPA 9-2020 ENHQ1083 EMMANUEL OKIROR               </t>
  </si>
  <si>
    <t xml:space="preserve">GPA 9-2020 ENHQ1168 STELLA AJORE                  </t>
  </si>
  <si>
    <t xml:space="preserve">GPA 9-2020 ENHQ1232 Blaise Mwesiga Bukuyi         </t>
  </si>
  <si>
    <t xml:space="preserve">GPA 9-2021 ENHQ1083 EMMANUEL OKIROR               </t>
  </si>
  <si>
    <t xml:space="preserve">GPA 9-2021ENHQ1168 STELLA AJORE                  </t>
  </si>
  <si>
    <t>Medical insurance - Blaise Mwesiga ,Emmanuel Okiror &amp; Stella Ajore</t>
  </si>
  <si>
    <t>Medical insurance Account</t>
  </si>
  <si>
    <t>Medical insurnance - Project Officers 2019</t>
  </si>
  <si>
    <t xml:space="preserve">NSSF 10% 10-2020  ENHQ1246 Geoffrey Kasumba         </t>
  </si>
  <si>
    <t xml:space="preserve">Geoffrey Kasumba      </t>
  </si>
  <si>
    <t xml:space="preserve">NSSF 10% 10-2020 ENHQ1083 EMMANUEL OKIROR          </t>
  </si>
  <si>
    <t xml:space="preserve">NSSF 10% 10-2020 ENHQ1168 STELLA AJORE             </t>
  </si>
  <si>
    <t xml:space="preserve">NSSF 10% 10-2020 ENHQ1232 Blaise Mwesiga Bukuyi    </t>
  </si>
  <si>
    <t xml:space="preserve">NSSF 10% 10-2021 ENHQ1083 EMMANUEL OKIROR          </t>
  </si>
  <si>
    <t xml:space="preserve">NSSF 10% 10-2021 ENHQ1168 STELLA AJORE             </t>
  </si>
  <si>
    <t xml:space="preserve">NSSF 10% 11-2019 ENHQ1083 EMMANUEL OKIROR         </t>
  </si>
  <si>
    <t xml:space="preserve">NSSF 10% 11-2019 ENHQ1168 STELLA AJORE            </t>
  </si>
  <si>
    <t xml:space="preserve">NSSF 10% 11-2019 ENHQ1232 Blaise Mwesiga Bukuyi   </t>
  </si>
  <si>
    <t xml:space="preserve">NSSF 10% 11-2020  ENHQ1246 Geoffrey Kasumba         </t>
  </si>
  <si>
    <t xml:space="preserve">NSSF 10% 11-2020 ENHQ1083 EMMANUEL OKIROR          </t>
  </si>
  <si>
    <t xml:space="preserve">NSSF 10% 11-2020 ENHQ1168 STELLA AJORE             </t>
  </si>
  <si>
    <t xml:space="preserve">NSSF 10% 11-2020 ENHQ1232 Blaise Mwesiga Bukuyi    </t>
  </si>
  <si>
    <t xml:space="preserve">NSSF 10% 1-2020 ENHQ1083 EMMANUEL OKIROR          </t>
  </si>
  <si>
    <t xml:space="preserve">NSSF 10% 1-2020 ENHQ1168 STELLA AJORE             </t>
  </si>
  <si>
    <t xml:space="preserve">NSSF 10% 1-2020 ENHQ1232 Blaise Mwesiga Bukuyi    </t>
  </si>
  <si>
    <t xml:space="preserve">NSSF 10% 1-2021 ENHQ1083 EMMANUEL OKIROR          </t>
  </si>
  <si>
    <t xml:space="preserve">NSSF 10% 1-2021 ENHQ1168 STELLA AJORE             </t>
  </si>
  <si>
    <t xml:space="preserve">NSSF 10% 1-2021 ENHQ1232 Blaise Mwesiga Bukuyi    </t>
  </si>
  <si>
    <t xml:space="preserve">NSSF 10% 1-2022 ENHQ1083 EMMANUEL OKIROR          </t>
  </si>
  <si>
    <t xml:space="preserve">NSSF 10% 1-2022 ENHQ1168 STELLA AJORE             </t>
  </si>
  <si>
    <t xml:space="preserve">NSSF 10% 12-2019 ENHQ1083 EMMANUEL OKIROR         </t>
  </si>
  <si>
    <t xml:space="preserve">NSSF 10% 12-2019 ENHQ1168 STELLA AJORE            </t>
  </si>
  <si>
    <t xml:space="preserve">NSSF 10% 12-2019 ENHQ1232 Blaise Mwesiga Bukuyi   </t>
  </si>
  <si>
    <t xml:space="preserve">NSSF 10% 12-2020  ENHQ1246 Geoffrey Kasumba         </t>
  </si>
  <si>
    <t xml:space="preserve">NSSF 10% 12-2020 ENHQ1083 EMMANUEL OKIROR          </t>
  </si>
  <si>
    <t xml:space="preserve">NSSF 10% 12-2020 ENHQ1168 STELLA AJORE             </t>
  </si>
  <si>
    <t xml:space="preserve">NSSF 10% 12-2020 ENHQ1232 Blaise Mwesiga Bukuyi    </t>
  </si>
  <si>
    <t xml:space="preserve">NSSF 10% 12-2021 ENHQ1083 EMMANUEL OKIROR          </t>
  </si>
  <si>
    <t xml:space="preserve">NSSF 10% 12-2021 ENHQ1168 STELLA AJORE             </t>
  </si>
  <si>
    <t xml:space="preserve">NSSF 10% 2-2020 ENHQ1083 EMMANUEL OKIROR          </t>
  </si>
  <si>
    <t xml:space="preserve">NSSF 10% 2-2020 ENHQ1168 STELLA AJORE             </t>
  </si>
  <si>
    <t xml:space="preserve">NSSF 10% 2-2020 ENHQ1232 Blaise Mwesiga Bukuyi    </t>
  </si>
  <si>
    <t xml:space="preserve">NSSF 10% 2-2021 ENHQ1083 EMMANUEL OKIROR          </t>
  </si>
  <si>
    <t xml:space="preserve">NSSF 10% 2-2021 ENHQ1168 STELLA AJORE             </t>
  </si>
  <si>
    <t xml:space="preserve">NSSF 10% 2-2021 ENHQ1232 Blaise Mwesiga Bukuyi    </t>
  </si>
  <si>
    <t xml:space="preserve">NSSF 10% 3-2020 ENHQ1083 EMMANUEL OKIROR          </t>
  </si>
  <si>
    <t xml:space="preserve">NSSF 10% 3-2020 ENHQ1168 STELLA AJORE             </t>
  </si>
  <si>
    <t xml:space="preserve">NSSF 10% 3-2020 ENHQ1232 Blaise Mwesiga Bukuyi    </t>
  </si>
  <si>
    <t xml:space="preserve">NSSF 10% 3-2021 ENHQ1083 EMMANUEL OKIROR          </t>
  </si>
  <si>
    <t xml:space="preserve">NSSF 10% 3-2021 ENHQ1168 STELLA AJORE             </t>
  </si>
  <si>
    <t xml:space="preserve">NSSF 10% 3-2021 ENHQ1232 Blaise Mwesiga Bukuyi    </t>
  </si>
  <si>
    <t xml:space="preserve">NSSF 10% 4-2020 ENHQ1083 EMMANUEL OKIROR          </t>
  </si>
  <si>
    <t xml:space="preserve">NSSF 10% 4-2020 ENHQ1168 STELLA AJORE             </t>
  </si>
  <si>
    <t xml:space="preserve">NSSF 10% 4-2020 ENHQ1232 Blaise Mwesiga Bukuyi    </t>
  </si>
  <si>
    <t xml:space="preserve">NSSF 10% 5-2020  ENHQ1246 Geoffrey Kasumba         </t>
  </si>
  <si>
    <t xml:space="preserve">NSSF 10% 5-2020 ENHQ1083 EMMANUEL OKIROR          </t>
  </si>
  <si>
    <t xml:space="preserve">NSSF 10% 5-2020 ENHQ1168 STELLA AJORE             </t>
  </si>
  <si>
    <t xml:space="preserve">NSSF 10% 5-2020 ENHQ1232 Blaise Mwesiga Bukuyi    </t>
  </si>
  <si>
    <t xml:space="preserve">NSSF 10% 5-2021 ENHQ1083 EMMANUEL OKIROR          </t>
  </si>
  <si>
    <t xml:space="preserve">NSSF 10% 5-2021 ENHQ1168 STELLA AJORE             </t>
  </si>
  <si>
    <t xml:space="preserve">NSSF 10% 5-2021 ENHQ1232 Blaise Mwesiga Bukuyi    </t>
  </si>
  <si>
    <t xml:space="preserve">NSSF 10% 6-2020  ENHQ1246 Geoffrey Kasumba         </t>
  </si>
  <si>
    <t xml:space="preserve">NSSF 10% 6-2020 ENHQ1083 EMMANUEL OKIROR          </t>
  </si>
  <si>
    <t xml:space="preserve">NSSF 10% 6-2020 ENHQ1168 STELLA AJORE             </t>
  </si>
  <si>
    <t xml:space="preserve">NSSF 10% 6-2020 ENHQ1232 Blaise Mwesiga Bukuyi    </t>
  </si>
  <si>
    <t xml:space="preserve">NSSF 10% 6-2021 ENHQ1083 EMMANUEL OKIROR          </t>
  </si>
  <si>
    <t xml:space="preserve">NSSF 10% 6-2021 ENHQ1168 STELLA AJORE             </t>
  </si>
  <si>
    <t xml:space="preserve">NSSF 10% 6-2021 ENHQ1232 Blaise Mwesiga Bukuyi    </t>
  </si>
  <si>
    <t xml:space="preserve">NSSF 10% 7-2020  ENHQ1246 Geoffrey Kasumba         </t>
  </si>
  <si>
    <t xml:space="preserve">NSSF 10% 7-2020 ENHQ1083 EMMANUEL OKIROR          </t>
  </si>
  <si>
    <t xml:space="preserve">NSSF 10% 7-2020 ENHQ1168 STELLA AJORE             </t>
  </si>
  <si>
    <t xml:space="preserve">NSSF 10% 7-2020 ENHQ1232 Blaise Mwesiga Bukuyi    </t>
  </si>
  <si>
    <t xml:space="preserve">NSSF 10% 7-2021 ENHQ1083 EMMANUEL OKIROR          </t>
  </si>
  <si>
    <t xml:space="preserve">NSSF 10% 7-2021 ENHQ1168 STELLA AJORE             </t>
  </si>
  <si>
    <t xml:space="preserve">NSSF 10% 8-2020  ENHQ1246 Geoffrey Kasumba         </t>
  </si>
  <si>
    <t xml:space="preserve">NSSF 10% 8-2020 ENHQ1083 EMMANUEL OKIROR          </t>
  </si>
  <si>
    <t xml:space="preserve">NSSF 10% 8-2020 ENHQ1168 STELLA AJORE             </t>
  </si>
  <si>
    <t xml:space="preserve">NSSF 10% 8-2020 ENHQ1232 Blaise Mwesiga Bukuyi    </t>
  </si>
  <si>
    <t xml:space="preserve">NSSF 10% 8-2021 ENHQ1083 EMMANUEL OKIROR          </t>
  </si>
  <si>
    <t xml:space="preserve">NSSF 10% 8-2021 ENHQ1168 STELLA AJORE             </t>
  </si>
  <si>
    <t xml:space="preserve">NSSF 10% 9-2020  ENHQ1246 Geoffrey Kasumba         </t>
  </si>
  <si>
    <t xml:space="preserve">NSSF 10% 9-2020 ENHQ1083 EMMANUEL OKIROR          </t>
  </si>
  <si>
    <t xml:space="preserve">NSSF 10% 9-2020 ENHQ1168 STELLA AJORE             </t>
  </si>
  <si>
    <t xml:space="preserve">NSSF 10% 9-2020 ENHQ1232 Blaise Mwesiga Bukuyi    </t>
  </si>
  <si>
    <t xml:space="preserve">NSSF 10% 9-2021 ENHQ1083 EMMANUEL OKIROR          </t>
  </si>
  <si>
    <t xml:space="preserve">NSSF 10% 9-2021 ENHQ1168 STELLA AJORE             </t>
  </si>
  <si>
    <t>Provident Fund 15% 10-2020 ENHQ1083 EMMANUEL OKIROR</t>
  </si>
  <si>
    <t xml:space="preserve">Provident Fund 15% 10-2020 ENHQ1168 STELLA AJORE   </t>
  </si>
  <si>
    <t xml:space="preserve">Provident Fund 15% 10-2020 ENHQ1232 Blaise Mwesiga </t>
  </si>
  <si>
    <t>Provident Fund 15% 10-2021 ENHQ1083 EMMANUEL OKIROR</t>
  </si>
  <si>
    <t xml:space="preserve">Provident Fund 15% 10-2021 ENHQ1168 STELLA AJORE   </t>
  </si>
  <si>
    <t>Provident Fund 15% 11-2019 ENHQ1083 EMMANUEL OKIRO</t>
  </si>
  <si>
    <t xml:space="preserve">Provident Fund 15% 11-2019 ENHQ1168 STELLA AJORE  </t>
  </si>
  <si>
    <t>Provident Fund 15% 11-2019 ENHQ1232 Blaise Mwesiga</t>
  </si>
  <si>
    <t>Provident Fund 15% 11-2020 ENHQ1083 EMMANUEL OKIROR</t>
  </si>
  <si>
    <t xml:space="preserve">Provident Fund 15% 11-2020 ENHQ1168 STELLA AJORE   </t>
  </si>
  <si>
    <t xml:space="preserve">Provident Fund 15% 11-2020 ENHQ1232 Blaise Mwesiga </t>
  </si>
  <si>
    <t>Provident Fund 15% 1-2020 ENHQ1083 EMMANUEL OKIROR</t>
  </si>
  <si>
    <t xml:space="preserve">Provident Fund 15% 1-2020 ENHQ1168 STELLA AJORE   </t>
  </si>
  <si>
    <t xml:space="preserve">Provident Fund 15% 1-2020 ENHQ1232 Blaise Mwesiga </t>
  </si>
  <si>
    <t>Provident Fund 15% 1-2021 ENHQ1083 EMMANUEL OKIROR</t>
  </si>
  <si>
    <t xml:space="preserve">Provident Fund 15% 1-2021 ENHQ1168 STELLA AJORE   </t>
  </si>
  <si>
    <t xml:space="preserve">Provident Fund 15% 1-2021 ENHQ1232 Blaise Mwesiga </t>
  </si>
  <si>
    <t>Provident Fund 15% 1-2022 ENHQ1083 EMMANUEL OKIROR</t>
  </si>
  <si>
    <t xml:space="preserve">Provident Fund 15% 1-2022 ENHQ1168 STELLA AJORE   </t>
  </si>
  <si>
    <t>Provident Fund 15% 12-2019 ENHQ1083 EMMANUEL OKIRO</t>
  </si>
  <si>
    <t xml:space="preserve">Provident Fund 15% 12-2019 ENHQ1168 STELLA AJORE  </t>
  </si>
  <si>
    <t>Provident Fund 15% 12-2019 ENHQ1232 Blaise Mwesiga</t>
  </si>
  <si>
    <t>Provident Fund 15% 12-2020 ENHQ1083 EMMANUEL OKIROR</t>
  </si>
  <si>
    <t xml:space="preserve">Provident Fund 15% 12-2020 ENHQ1168 STELLA AJORE   </t>
  </si>
  <si>
    <t xml:space="preserve">Provident Fund 15% 12-2020 ENHQ1232 Blaise Mwesiga </t>
  </si>
  <si>
    <t>Provident Fund 15% 12-2021 ENHQ1083 EMMANUEL OKIROR</t>
  </si>
  <si>
    <t xml:space="preserve">Provident Fund 15% 12-2021 ENHQ1168 STELLA AJORE   </t>
  </si>
  <si>
    <t>Provident Fund 15% 2-2020 ENHQ1083 EMMANUEL OKIROR</t>
  </si>
  <si>
    <t xml:space="preserve">Provident Fund 15% 2-2020 ENHQ1168 STELLA AJORE   </t>
  </si>
  <si>
    <t xml:space="preserve">Provident Fund 15% 2-2020 ENHQ1232 Blaise Mwesiga </t>
  </si>
  <si>
    <t>Provident Fund 15% 2-2021 ENHQ1083 EMMANUEL OKIROR</t>
  </si>
  <si>
    <t xml:space="preserve">Provident Fund 15% 2-2021 ENHQ1168 STELLA AJORE   </t>
  </si>
  <si>
    <t xml:space="preserve">Provident Fund 15% 2-2021 ENHQ1232 Blaise Mwesiga </t>
  </si>
  <si>
    <t>Provident Fund 15% 3-2020 ENHQ1083 EMMANUEL OKIROR</t>
  </si>
  <si>
    <t xml:space="preserve">Provident Fund 15% 3-2020 ENHQ1168 STELLA AJORE   </t>
  </si>
  <si>
    <t xml:space="preserve">Provident Fund 15% 3-2020 ENHQ1232 Blaise Mwesiga </t>
  </si>
  <si>
    <t>Provident Fund 15% 3-2021 ENHQ1083 EMMANUEL OKIROR</t>
  </si>
  <si>
    <t xml:space="preserve">Provident Fund 15% 3-2021 ENHQ1168 STELLA AJORE   </t>
  </si>
  <si>
    <t xml:space="preserve">Provident Fund 15% 3-2021 ENHQ1232 Blaise Mwesiga </t>
  </si>
  <si>
    <t>Provident Fund 15% 4-2020 ENHQ1083 EMMANUEL OKIROR</t>
  </si>
  <si>
    <t xml:space="preserve">Provident Fund 15% 4-2020 ENHQ1168 STELLA AJORE   </t>
  </si>
  <si>
    <t xml:space="preserve">Provident Fund 15% 4-2020 ENHQ1232 Blaise Mwesiga </t>
  </si>
  <si>
    <t>Provident Fund 15% 5-2020 ENHQ1083 EMMANUEL OKIROR</t>
  </si>
  <si>
    <t xml:space="preserve">Provident Fund 15% 5-2020 ENHQ1168 STELLA AJORE   </t>
  </si>
  <si>
    <t xml:space="preserve">Provident Fund 15% 5-2020 ENHQ1232 Blaise Mwesiga </t>
  </si>
  <si>
    <t>Provident Fund 15% 5-2021 ENHQ1083 EMMANUEL OKIROR</t>
  </si>
  <si>
    <t xml:space="preserve">Provident Fund 15% 5-2021 ENHQ1168 STELLA AJORE   </t>
  </si>
  <si>
    <t xml:space="preserve">Provident Fund 15% 5-2021 ENHQ1232 Blaise Mwesiga </t>
  </si>
  <si>
    <t>Provident Fund 15% 6-2020 ENHQ1083 EMMANUEL OKIROR</t>
  </si>
  <si>
    <t xml:space="preserve">Provident Fund 15% 6-2020 ENHQ1168 STELLA AJORE   </t>
  </si>
  <si>
    <t xml:space="preserve">Provident Fund 15% 6-2020 ENHQ1232 Blaise Mwesiga </t>
  </si>
  <si>
    <t>Provident Fund 15% 6-2021 ENHQ1083 EMMANUEL OKIROR</t>
  </si>
  <si>
    <t xml:space="preserve">Provident Fund 15% 6-2021 ENHQ1168 STELLA AJORE   </t>
  </si>
  <si>
    <t xml:space="preserve">Provident Fund 15% 6-2021 ENHQ1232 Blaise Mwesiga </t>
  </si>
  <si>
    <t>Provident Fund 15% 7-2020 ENHQ1083 EMMANUEL OKIROR</t>
  </si>
  <si>
    <t xml:space="preserve">Provident Fund 15% 7-2020 ENHQ1168 STELLA AJORE   </t>
  </si>
  <si>
    <t xml:space="preserve">Provident Fund 15% 7-2020 ENHQ1232 Blaise Mwesiga </t>
  </si>
  <si>
    <t>Provident Fund 15% 7-2021 ENHQ1083 EMMANUEL OKIROR</t>
  </si>
  <si>
    <t xml:space="preserve">Provident Fund 15% 7-2021 ENHQ1168 STELLA AJORE   </t>
  </si>
  <si>
    <t>Provident Fund 15% 8-2020 ENHQ1083 EMMANUEL OKIROR</t>
  </si>
  <si>
    <t xml:space="preserve">Provident Fund 15% 8-2020 ENHQ1168 STELLA AJORE   </t>
  </si>
  <si>
    <t xml:space="preserve">Provident Fund 15% 8-2020 ENHQ1232 Blaise Mwesiga </t>
  </si>
  <si>
    <t>Provident Fund 15% 8-2021 ENHQ1083 EMMANUEL OKIROR</t>
  </si>
  <si>
    <t xml:space="preserve">Provident Fund 15% 8-2021 ENHQ1168 STELLA AJORE   </t>
  </si>
  <si>
    <t>Provident Fund 15% 9-2020 ENHQ1083 EMMANUEL OKIROR</t>
  </si>
  <si>
    <t xml:space="preserve">Provident Fund 15% 9-2020 ENHQ1168 STELLA AJORE   </t>
  </si>
  <si>
    <t xml:space="preserve">Provident Fund 15% 9-2020 ENHQ1232 Blaise Mwesiga </t>
  </si>
  <si>
    <t>Provident Fund 15% 9-2021 ENHQ1083 EMMANUEL OKIROR</t>
  </si>
  <si>
    <t xml:space="preserve">Provident Fund 15% 9-2021 ENHQ1168 STELLA AJORE   </t>
  </si>
  <si>
    <t>Totaal Districts Project Officer (3 Positions)</t>
  </si>
  <si>
    <t>Doorrekening loonkost DPIII Uganda Donor Relations</t>
  </si>
  <si>
    <t>DIV210536</t>
  </si>
  <si>
    <t>DPIII Loonkost Q3 - Donor Relations Uganda</t>
  </si>
  <si>
    <t>DIV210821</t>
  </si>
  <si>
    <t>DPIII Loonkost Q4 - Donor Relations Uganda</t>
  </si>
  <si>
    <t>DIV211359</t>
  </si>
  <si>
    <t>DPIII Loonkostrecuperatie 2021 - Donor Relations Uganda</t>
  </si>
  <si>
    <t>DPIII Uganda Donor Relations</t>
  </si>
  <si>
    <t>DIV210548</t>
  </si>
  <si>
    <t>DPIII Loonkost Q3 - DR Officer Uganda</t>
  </si>
  <si>
    <t>DIV210833</t>
  </si>
  <si>
    <t>DPIII Loonkost Q4 - DR Officer Uganda</t>
  </si>
  <si>
    <t>DIV211371</t>
  </si>
  <si>
    <t>DPIII Loonkostrecuperatie 2021 - FP Distributions/Disaster Response Uganda</t>
  </si>
  <si>
    <t>NO:136:A</t>
  </si>
  <si>
    <t>To draft/update community contigency plans in Ntoroko</t>
  </si>
  <si>
    <t>Meals food General - Bundibuyo Devine rest</t>
  </si>
  <si>
    <t>NO:139:A</t>
  </si>
  <si>
    <t>NO:139:B</t>
  </si>
  <si>
    <t>NO:139:C</t>
  </si>
  <si>
    <t>Stationery - aadi enteprises ltd</t>
  </si>
  <si>
    <t>NO:146</t>
  </si>
  <si>
    <t>NO:148</t>
  </si>
  <si>
    <t>Totaal Draft or update the contingency plan at community and district level</t>
  </si>
  <si>
    <t>SAL:034</t>
  </si>
  <si>
    <t>2021 Medical Contribution For Staff Under Belgian DPIII-Driver</t>
  </si>
  <si>
    <t xml:space="preserve">Basic Pay 10-2020 ENHQ1039 Mugwanya Robert         </t>
  </si>
  <si>
    <t xml:space="preserve">Mugwanya Robert   </t>
  </si>
  <si>
    <t xml:space="preserve">Basic Pay 10-2021 ENHQ1039 Mugwanya Robert         </t>
  </si>
  <si>
    <t xml:space="preserve"> Mugwanya Robert   </t>
  </si>
  <si>
    <t xml:space="preserve">Basic Pay 11-2020 ENHQ1039 Mugwanya Robert         </t>
  </si>
  <si>
    <t>SAL:005</t>
  </si>
  <si>
    <t xml:space="preserve">Basic Pay 1-2021 ENHQ1039 Mugwanya Robert         </t>
  </si>
  <si>
    <t xml:space="preserve">Basic Pay 1-2022 ENHQ1039 Mugwanya Robert         </t>
  </si>
  <si>
    <t xml:space="preserve">Basic Pay 12-2020 ENHQ1039 Mugwanya Robert         </t>
  </si>
  <si>
    <t xml:space="preserve">Basic Pay 12-2021 ENHQ1039 Mugwanya Robert         </t>
  </si>
  <si>
    <t xml:space="preserve">Basic Pay 2-2020 ENHQ1039 Mugwanya Robert         </t>
  </si>
  <si>
    <t>SAL:014</t>
  </si>
  <si>
    <t xml:space="preserve">Basic Pay 2-2021 ENHQ1039 Mugwanya Robert         </t>
  </si>
  <si>
    <t>SAL:023</t>
  </si>
  <si>
    <t>SAL:041</t>
  </si>
  <si>
    <t xml:space="preserve">Basic Pay 3-2020 ENHQ1039 Mugwanya Robert         </t>
  </si>
  <si>
    <t xml:space="preserve">Basic Pay 4-2020 ENHQ1039 Mugwanya Robert         </t>
  </si>
  <si>
    <t xml:space="preserve">Basic Pay 5-2020 ENHQ1039 Mugwanya Robert         </t>
  </si>
  <si>
    <t xml:space="preserve">Basic Pay 5-2021 ENHQ1039 Mugwanya Robert         </t>
  </si>
  <si>
    <t xml:space="preserve">Basic Pay 6-2020 ENHQ1039 Mugwanya Robert         </t>
  </si>
  <si>
    <t xml:space="preserve">Basic Pay 6-2021 ENHQ1039 Mugwanya Robert         </t>
  </si>
  <si>
    <t xml:space="preserve">Basic Pay 7-2020 ENHQ1039 Mugwanya Robert         </t>
  </si>
  <si>
    <t xml:space="preserve">Basic Pay 7-2021 ENHQ1039 Mugwanya Robert         </t>
  </si>
  <si>
    <t xml:space="preserve">Basic Pay 8-2020 ENHQ1039 Mugwanya Robert         </t>
  </si>
  <si>
    <t xml:space="preserve">Basic Pay 8-2021 ENHQ1039 Mugwanya Robert         </t>
  </si>
  <si>
    <t xml:space="preserve">Basic Pay 9-2020 ENHQ1039 Mugwanya Robert         </t>
  </si>
  <si>
    <t xml:space="preserve">Basic Pay 9-2021 ENHQ1039 Mugwanya Robert         </t>
  </si>
  <si>
    <t xml:space="preserve">GPA 10-2020-2020 ENHQ1039 Mugwanya Robert         </t>
  </si>
  <si>
    <t xml:space="preserve">GPA 10-2021- ENHQ1039 Mugwanya Robert         </t>
  </si>
  <si>
    <t xml:space="preserve">GPA 11-2020-2020 ENHQ1039 Mugwanya Robert         </t>
  </si>
  <si>
    <t xml:space="preserve">GPA 1-2021-2020 ENHQ1039 Mugwanya Robert         </t>
  </si>
  <si>
    <t xml:space="preserve">GPA 12-2020-2020 ENHQ1039 Mugwanya Robert         </t>
  </si>
  <si>
    <t xml:space="preserve">GPA 12-2021- ENHQ1039 Mugwanya Robert         </t>
  </si>
  <si>
    <t xml:space="preserve">GPA 2-2020 ENHQ1039 Mugwanya Robert         </t>
  </si>
  <si>
    <t xml:space="preserve">GPA 2-2021-2020 ENHQ1039 Mugwanya Robert         </t>
  </si>
  <si>
    <t xml:space="preserve">GPA 3-2020-2020 ENHQ1039 Mugwanya Robert         </t>
  </si>
  <si>
    <t xml:space="preserve">GPA 4-2020-2020 ENHQ1039 Mugwanya Robert         </t>
  </si>
  <si>
    <t xml:space="preserve">GPA 5-2020-2020 ENHQ1039 Mugwanya Robert         </t>
  </si>
  <si>
    <t xml:space="preserve">GPA 5-2021- ENHQ1039 Mugwanya Robert         </t>
  </si>
  <si>
    <t xml:space="preserve">GPA 6-2020-2020 ENHQ1039 Mugwanya Robert         </t>
  </si>
  <si>
    <t xml:space="preserve">GPA 6-2021- ENHQ1039 Mugwanya Robert         </t>
  </si>
  <si>
    <t xml:space="preserve">GPA 7-2020-2020 ENHQ1039 Mugwanya Robert         </t>
  </si>
  <si>
    <t xml:space="preserve">GPA 7-2021- ENHQ1039 Mugwanya Robert         </t>
  </si>
  <si>
    <t xml:space="preserve">GPA 8-2020-2020 ENHQ1039 Mugwanya Robert         </t>
  </si>
  <si>
    <t xml:space="preserve">GPA 8-2021- ENHQ1039 Mugwanya Robert         </t>
  </si>
  <si>
    <t xml:space="preserve">GPA 9-2020-2020 ENHQ1039 Mugwanya Robert         </t>
  </si>
  <si>
    <t xml:space="preserve">GPA 9-2021- ENHQ1039 Mugwanya Robert         </t>
  </si>
  <si>
    <t xml:space="preserve">Medical insurance - Mugwanya Robert    </t>
  </si>
  <si>
    <t>Medical insurance - Stephen Wamukota</t>
  </si>
  <si>
    <t xml:space="preserve">NSSF 10% 10-2020 ENHQ1039 Mugwanya Robert         </t>
  </si>
  <si>
    <t xml:space="preserve">NSSF 10% 10-2021 ENHQ1039 Mugwanya Robert         </t>
  </si>
  <si>
    <t xml:space="preserve">NSSF 10% 11-2020 ENHQ1039 Mugwanya Robert         </t>
  </si>
  <si>
    <t xml:space="preserve">NSSF 10% 1-2021 ENHQ1039 Mugwanya Robert         </t>
  </si>
  <si>
    <t xml:space="preserve">NSSF 10% 12-2020 ENHQ1039 Mugwanya Robert         </t>
  </si>
  <si>
    <t xml:space="preserve">NSSF 10% 12-2021 ENHQ1039 Mugwanya Robert         </t>
  </si>
  <si>
    <t xml:space="preserve">NSSF 10% 2-2020 ENHQ1039 Mugwanya Robert         </t>
  </si>
  <si>
    <t xml:space="preserve">NSSF 10% 2-2021 ENHQ1039 Mugwanya Robert         </t>
  </si>
  <si>
    <t xml:space="preserve">NSSF 10% 3-2020 ENHQ1039 Mugwanya Robert         </t>
  </si>
  <si>
    <t xml:space="preserve">NSSF 10% 4-2020 ENHQ1039 Mugwanya Robert         </t>
  </si>
  <si>
    <t xml:space="preserve">NSSF 10% 5-2020 ENHQ1039 Mugwanya Robert         </t>
  </si>
  <si>
    <t xml:space="preserve">NSSF 10% 5-2021 ENHQ1039 Mugwanya Robert         </t>
  </si>
  <si>
    <t xml:space="preserve">NSSF 10% 6-2020 ENHQ1039 Mugwanya Robert         </t>
  </si>
  <si>
    <t xml:space="preserve">NSSF 10% 6-2021 ENHQ1039 Mugwanya Robert         </t>
  </si>
  <si>
    <t xml:space="preserve">NSSF 10% 7-2020 ENHQ1039 Mugwanya Robert         </t>
  </si>
  <si>
    <t xml:space="preserve">NSSF 10% 7-2021 ENHQ1039 Mugwanya Robert         </t>
  </si>
  <si>
    <t xml:space="preserve">NSSF 10% 8-2020 ENHQ1039 Mugwanya Robert         </t>
  </si>
  <si>
    <t xml:space="preserve">NSSF 10% 8-2021 ENHQ1039 Mugwanya Robert         </t>
  </si>
  <si>
    <t xml:space="preserve">NSSF 10% 9-2020 ENHQ1039 Mugwanya Robert         </t>
  </si>
  <si>
    <t xml:space="preserve">NSSF 10% 9-2021 ENHQ1039 Mugwanya Robert         </t>
  </si>
  <si>
    <t>27/4/2021</t>
  </si>
  <si>
    <t>Payment for medical insurance for staff under UAP Medical Insurance Scheme-Robert Mugwanya</t>
  </si>
  <si>
    <t>UAP Insurance Uganda Ltd</t>
  </si>
  <si>
    <t xml:space="preserve">Provident Fund 15% 10-2020 ENHQ1039 Mugwanya Robert         </t>
  </si>
  <si>
    <t xml:space="preserve">Provident Fund 15% 10-2021 ENHQ1039 Mugwanya Robert         </t>
  </si>
  <si>
    <t xml:space="preserve">Provident Fund 15% 11-2020 ENHQ1039 Mugwanya Robert         </t>
  </si>
  <si>
    <t xml:space="preserve">Provident Fund 15% 1-2021 ENHQ1039 Mugwanya Robert         </t>
  </si>
  <si>
    <t xml:space="preserve">Provident Fund 15% 1-2022 ENHQ1039 Mugwanya Robert         </t>
  </si>
  <si>
    <t xml:space="preserve">Provident Fund 15% 12-2020 ENHQ1039 Mugwanya Robert         </t>
  </si>
  <si>
    <t xml:space="preserve">Provident Fund 15% 12-2021 ENHQ1039 Mugwanya Robert         </t>
  </si>
  <si>
    <t xml:space="preserve">Provident Fund 15% 2-2020 ENHQ1039 Mugwanya Robert         </t>
  </si>
  <si>
    <t xml:space="preserve">Provident Fund 15% 2-2021 ENHQ1039 Mugwanya Robert         </t>
  </si>
  <si>
    <t xml:space="preserve">Provident Fund 15% 3-2020 ENHQ1039 Mugwanya Robert         </t>
  </si>
  <si>
    <t xml:space="preserve">Provident Fund 15% 4-2020 ENHQ1039 Mugwanya Robert         </t>
  </si>
  <si>
    <t xml:space="preserve">Provident Fund 15% 5-2020 ENHQ1039 Mugwanya Robert         </t>
  </si>
  <si>
    <t xml:space="preserve">Provident Fund 15% 5-2021 ENHQ1039 Mugwanya Robert         </t>
  </si>
  <si>
    <t xml:space="preserve">Provident Fund 15% 6-2020 ENHQ1039 Mugwanya Robert         </t>
  </si>
  <si>
    <t xml:space="preserve">Provident Fund 15% 6-2021 ENHQ1039 Mugwanya Robert         </t>
  </si>
  <si>
    <t xml:space="preserve">Provident Fund 15% 7-2020 ENHQ1039 Mugwanya Robert         </t>
  </si>
  <si>
    <t xml:space="preserve">Provident Fund 15% 7-2021 ENHQ1039 Mugwanya Robert         </t>
  </si>
  <si>
    <t xml:space="preserve">Provident Fund 15% 8-2020 ENHQ1039 Mugwanya Robert         </t>
  </si>
  <si>
    <t xml:space="preserve">Provident Fund 15% 8-2021 ENHQ1039 Mugwanya Robert         </t>
  </si>
  <si>
    <t xml:space="preserve">Provident Fund 15% 9-2020 ENHQ1039 Mugwanya Robert         </t>
  </si>
  <si>
    <t xml:space="preserve">Provident Fund 15% 9-2021 ENHQ1039 Mugwanya Robert         </t>
  </si>
  <si>
    <t>Transport allowance</t>
  </si>
  <si>
    <t xml:space="preserve">Transport Allowance 10-2020ENHQ1039 Mugwanya Robert       </t>
  </si>
  <si>
    <t xml:space="preserve">Transport allowance 10-2021  ENHQ1039 Mugwanya Robert  </t>
  </si>
  <si>
    <t xml:space="preserve">Transport Allowance 11-2020ENHQ1039 Mugwanya Robert       </t>
  </si>
  <si>
    <t xml:space="preserve">Transport allowance 1-2021  ENHQ1039 Mugwanya Robert  </t>
  </si>
  <si>
    <t xml:space="preserve">Transport allowance 1-2022  ENHQ1039 Mugwanya Robert  </t>
  </si>
  <si>
    <t xml:space="preserve">Transport Allowance 12-2020ENHQ1039 Mugwanya Robert       </t>
  </si>
  <si>
    <t xml:space="preserve">Transport allowance 12-2021  ENHQ1039 Mugwanya Robert  </t>
  </si>
  <si>
    <t xml:space="preserve">Transport Allowance 2-2020 ENHQ1039 Mugwanya Robert          </t>
  </si>
  <si>
    <t xml:space="preserve">Transport allowance 2-2021  ENHQ1039 Mugwanya Robert  </t>
  </si>
  <si>
    <t xml:space="preserve">Transport allowance 3-2020 ENHQ1039 Mugwanya Robert         </t>
  </si>
  <si>
    <t xml:space="preserve">Transport allowance 4-2020  ENHQ1039 Mugwanya Robert  </t>
  </si>
  <si>
    <t xml:space="preserve">Transport allowance 5-2021  ENHQ1039 Mugwanya Robert  </t>
  </si>
  <si>
    <t xml:space="preserve">Transport allowance 6-2021  ENHQ1039 Mugwanya Robert  </t>
  </si>
  <si>
    <t xml:space="preserve">Transport Allowance 7-2020ENHQ1039 Mugwanya Robert       </t>
  </si>
  <si>
    <t xml:space="preserve">Transport allowance 7-2021  ENHQ1039 Mugwanya Robert  </t>
  </si>
  <si>
    <t xml:space="preserve">Transport Allowance 8-2020ENHQ1039 Mugwanya Robert       </t>
  </si>
  <si>
    <t xml:space="preserve">Transport allowance 8-2021  ENHQ1039 Mugwanya Robert  </t>
  </si>
  <si>
    <t xml:space="preserve">Transport Allowance 9-2020ENHQ1039 Mugwanya Robert       </t>
  </si>
  <si>
    <t xml:space="preserve">Transport allowance 9-2021  ENHQ1039 Mugwanya Robert  </t>
  </si>
  <si>
    <t>Totaal Drivers (1 Position)</t>
  </si>
  <si>
    <t>NO;004</t>
  </si>
  <si>
    <t>Electricty contribution pament at URCS HQ</t>
  </si>
  <si>
    <t>UMEME ltd</t>
  </si>
  <si>
    <t>Payment for Electricity Bill consumes at HQ for 1/4/2021-1/5/2021</t>
  </si>
  <si>
    <t>Umeme Ltd</t>
  </si>
  <si>
    <t>NO:101</t>
  </si>
  <si>
    <t>PAYMENT FOR ELECTRICITY BILL CONSUMES AT URCS HEADQUARTERS FOR THE PERIOD 01/08/21 TO 01/9/2021</t>
  </si>
  <si>
    <t>NO:084</t>
  </si>
  <si>
    <t>PAYMENT FOR ELECTRICITY BILL CONSUMES AT URCS HEADQUARTERS FOR THE PERIOD 01/5/2021 TO 01/6/2021</t>
  </si>
  <si>
    <t>NO:304</t>
  </si>
  <si>
    <t>payment for Electricity Bill Consumes at URCS HQ for the Period 1/11/2021-1/12/2021</t>
  </si>
  <si>
    <t>Totaal Electricity fee for HQ (30%)</t>
  </si>
  <si>
    <t>KBC828921000015</t>
  </si>
  <si>
    <t>19/05/2021 - The Canadian Red Cross - supplier payment 1387,85 CAD</t>
  </si>
  <si>
    <t>CANADIAN RED CROSS</t>
  </si>
  <si>
    <t>KBC828920000016</t>
  </si>
  <si>
    <t>BK CANADIAN REDD COSS</t>
  </si>
  <si>
    <t>AANK2000277</t>
  </si>
  <si>
    <t>AANK2000402</t>
  </si>
  <si>
    <t>CANADIAN RED CROSS ENHANCING COMMUNITY RESILIENCE</t>
  </si>
  <si>
    <t>AANK1901158</t>
  </si>
  <si>
    <t>DLG3$TICKET ALLISON DAR ES SALAAM - DODOMA</t>
  </si>
  <si>
    <t>AANK2000034</t>
  </si>
  <si>
    <t>DLG3$TICKET D. ALLISON ENTEBBE - KIGALI</t>
  </si>
  <si>
    <t>AANK2100694</t>
  </si>
  <si>
    <t>AANK2000079</t>
  </si>
  <si>
    <t>DLG3$TICKET D. ALLISON ENTEBBE - KIGALI CN</t>
  </si>
  <si>
    <t>AANK1901117</t>
  </si>
  <si>
    <t>DLG3$TICKET D. ALLISON ENTEBBE - NAIROBI</t>
  </si>
  <si>
    <t>AANK2000179</t>
  </si>
  <si>
    <t>DLG8$ FLIGHT TICKET</t>
  </si>
  <si>
    <t>Totaal Expert delegate Epidemic prepardness and response (33% on Uganda)</t>
  </si>
  <si>
    <t>Doorrekening loonkost DPIII Uganda FA expert</t>
  </si>
  <si>
    <t>DIV210524</t>
  </si>
  <si>
    <t>DPIII Loonkost Q3 - FA Expert Uganda</t>
  </si>
  <si>
    <t>DIV210809</t>
  </si>
  <si>
    <t>DPIII Loonkost Q4 - FA Expert Uganda</t>
  </si>
  <si>
    <t>DIV211347</t>
  </si>
  <si>
    <t>DPIII Loonkostrecuperatie 2021 - FA Expert Uganda</t>
  </si>
  <si>
    <t>DPIII Uganda FA expert</t>
  </si>
  <si>
    <t>SAL:033</t>
  </si>
  <si>
    <t>2021 Medical Contribution For Staff Under Belgian DPIII-Accounts Assistant</t>
  </si>
  <si>
    <t>Mugisha Joram</t>
  </si>
  <si>
    <t xml:space="preserve">Basic Pay 10-2020 ENHQ1234 Joram Mugisha           </t>
  </si>
  <si>
    <t xml:space="preserve">Joram Mugisha  </t>
  </si>
  <si>
    <t xml:space="preserve">Basic Pay 10-2021 ENHQ1234 Joram Mugisha           </t>
  </si>
  <si>
    <t xml:space="preserve">Basic Pay 11-2020 ENHQ1234 Joram Mugisha           </t>
  </si>
  <si>
    <t xml:space="preserve">Basic Pay 1-2020 ENHQ1234 Joram Mugisha           </t>
  </si>
  <si>
    <t>SAL:004</t>
  </si>
  <si>
    <t xml:space="preserve">Basic Pay 1-2021 ENHQ1234 Joram Mugisha           </t>
  </si>
  <si>
    <t xml:space="preserve">Basic Pay 1-2021 ENHQ1234 Joram Mugisha  Arrears        </t>
  </si>
  <si>
    <t xml:space="preserve">Basic Pay 1-2022 ENHQ1234 Joram Mugisha           </t>
  </si>
  <si>
    <t xml:space="preserve">Basic Pay 12-2019 ENHQ1234 Joram Mugisha          </t>
  </si>
  <si>
    <t xml:space="preserve">Basic Pay 12-2020 ENHQ1234 Joram Mugisha           </t>
  </si>
  <si>
    <t xml:space="preserve">Basic Pay 12-2021 ENHQ1234 Joram Mugisha           </t>
  </si>
  <si>
    <t xml:space="preserve">Basic Pay 2-2020 ENHQ1234 Joram Mugisha           </t>
  </si>
  <si>
    <t>SAL:013</t>
  </si>
  <si>
    <t xml:space="preserve">Basic Pay 2-2021 ENHQ1234 Joram Mugisha           </t>
  </si>
  <si>
    <t xml:space="preserve">Basic Pay 3-2020 ENHQ1234 Joram Mugisha           </t>
  </si>
  <si>
    <t>SAL:022</t>
  </si>
  <si>
    <t xml:space="preserve">Basic Pay 3-2021 ENHQ1234 Joram Mugisha           </t>
  </si>
  <si>
    <t>SAL:040</t>
  </si>
  <si>
    <t xml:space="preserve">Basic Pay 4-2020 ENHQ1234 Joram Mugisha           </t>
  </si>
  <si>
    <t xml:space="preserve">Basic Pay 5-2020 ENHQ1234 Joram Mugisha           </t>
  </si>
  <si>
    <t xml:space="preserve">Basic Pay 5-2021 ENHQ1234 Joram Mugisha           </t>
  </si>
  <si>
    <t xml:space="preserve">Basic Pay 6-2020 ENHQ1234 Joram Mugisha           </t>
  </si>
  <si>
    <t xml:space="preserve">Basic Pay 6-2021 ENHQ1234 Joram Mugisha           </t>
  </si>
  <si>
    <t xml:space="preserve">Basic Pay 7-2020 ENHQ1234 Joram Mugisha           </t>
  </si>
  <si>
    <t xml:space="preserve">Basic Pay 7-2021 ENHQ1234 Joram Mugisha           </t>
  </si>
  <si>
    <t xml:space="preserve">Basic Pay 8-2020 ENHQ1234 Joram Mugisha           </t>
  </si>
  <si>
    <t xml:space="preserve">Basic Pay 8-2021 ENHQ1234 Joram Mugisha           </t>
  </si>
  <si>
    <t xml:space="preserve">Basic Pay 9-2020 ENHQ1234 Joram Mugisha           </t>
  </si>
  <si>
    <t xml:space="preserve">Basic Pay 9-2021 ENHQ1234 Joram Mugisha           </t>
  </si>
  <si>
    <t xml:space="preserve">GPA 10-2020 ENHQ1234 Joram Mugisha                 </t>
  </si>
  <si>
    <t xml:space="preserve">GPA 10-2021 ENHQ1234 Joram Mugisha                 </t>
  </si>
  <si>
    <t xml:space="preserve">GPA 11-2020 ENHQ1234 Joram Mugisha                 </t>
  </si>
  <si>
    <t xml:space="preserve">GPA 1-2020 ENHQ1234 Joram Mugisha                 </t>
  </si>
  <si>
    <t xml:space="preserve">GPA 1-2021 ENHQ1234 Joram Mugisha                 </t>
  </si>
  <si>
    <t xml:space="preserve">GPA 1-2021 ENHQ1234 Joram Mugisha      Arrears         </t>
  </si>
  <si>
    <t xml:space="preserve">GPA 1-2022 ENHQ1234 Joram Mugisha                 </t>
  </si>
  <si>
    <t xml:space="preserve">GPA 12-2019 ENHQ1234 Joram Mugisha                </t>
  </si>
  <si>
    <t xml:space="preserve">GPA 12-2020 ENHQ1234 Joram Mugisha                 </t>
  </si>
  <si>
    <t xml:space="preserve">GPA 12-2021 ENHQ1234 Joram Mugisha                 </t>
  </si>
  <si>
    <t xml:space="preserve">GPA 2-2020 ENHQ1234 Joram Mugisha                 </t>
  </si>
  <si>
    <t xml:space="preserve">GPA 2-2021 ENHQ1234 Joram Mugisha                 </t>
  </si>
  <si>
    <t xml:space="preserve">GPA 3-2020 ENHQ1234 Joram Mugisha                 </t>
  </si>
  <si>
    <t xml:space="preserve">GPA 3-2021 ENHQ1234 Joram Mugisha                 </t>
  </si>
  <si>
    <t xml:space="preserve">GPA 4-2020 ENHQ1234 Joram Mugisha                 </t>
  </si>
  <si>
    <t xml:space="preserve">GPA 5-2020 ENHQ1234 Joram Mugisha                 </t>
  </si>
  <si>
    <t xml:space="preserve">GPA 6-2020 ENHQ1234 Joram Mugisha                 </t>
  </si>
  <si>
    <t xml:space="preserve">GPA 6-2021 ENHQ1234 Joram Mugisha                 </t>
  </si>
  <si>
    <t xml:space="preserve">GPA 7-2020 ENHQ1234 Joram Mugisha                 </t>
  </si>
  <si>
    <t xml:space="preserve">GPA 7-2021 ENHQ1234 Joram Mugisha                 </t>
  </si>
  <si>
    <t xml:space="preserve">GPA 8-2020 ENHQ1234 Joram Mugisha                 </t>
  </si>
  <si>
    <t xml:space="preserve">GPA 8-2021 ENHQ1234 Joram Mugisha                 </t>
  </si>
  <si>
    <t xml:space="preserve">GPA 9-2020 ENHQ1234 Joram Mugisha                 </t>
  </si>
  <si>
    <t xml:space="preserve">GPA 9-2021 ENHQ1234 Joram Mugisha                 </t>
  </si>
  <si>
    <t>Medical insurance - Joram Mugisha</t>
  </si>
  <si>
    <t xml:space="preserve">NSSF 10% 10-2020 ENHQ1234 Joram Mugisha            </t>
  </si>
  <si>
    <t xml:space="preserve">NSSF 10% 10-2021 ENHQ1234 Joram Mugisha            </t>
  </si>
  <si>
    <t xml:space="preserve">NSSF 10% 11-2020 ENHQ1234 Joram Mugisha            </t>
  </si>
  <si>
    <t xml:space="preserve">NSSF 10% 1-2020 ENHQ1234 Joram Mugisha            </t>
  </si>
  <si>
    <t xml:space="preserve">NSSF 10% 1-2021 ENHQ1234 Joram Mugisha            </t>
  </si>
  <si>
    <t xml:space="preserve">NSSF 10% 1-2021 ENHQ1234 Joram Mugisha     Arrears        </t>
  </si>
  <si>
    <t xml:space="preserve">NSSF 10% 1-2022 ENHQ1234 Joram Mugisha            </t>
  </si>
  <si>
    <t xml:space="preserve">NSSF 10% 12-2019 ENHQ1234 Joram Mugisha           </t>
  </si>
  <si>
    <t xml:space="preserve">NSSF 10% 12-2020 ENHQ1234 Joram Mugisha            </t>
  </si>
  <si>
    <t xml:space="preserve">NSSF 10% 12-2021 ENHQ1234 Joram Mugisha            </t>
  </si>
  <si>
    <t xml:space="preserve">NSSF 10% 2-2020 ENHQ1234 Joram Mugisha            </t>
  </si>
  <si>
    <t xml:space="preserve">NSSF 10% 2-2021 ENHQ1234 Joram Mugisha            </t>
  </si>
  <si>
    <t xml:space="preserve">NSSF 10% 3-2020 ENHQ1234 Joram Mugisha            </t>
  </si>
  <si>
    <t xml:space="preserve">NSSF 10% 3-2021 ENHQ1234 Joram Mugisha            </t>
  </si>
  <si>
    <t xml:space="preserve">NSSF 10% 4-2020 ENHQ1234 Joram Mugisha            </t>
  </si>
  <si>
    <t xml:space="preserve">NSSF 10% 5-2020 ENHQ1234 Joram Mugisha            </t>
  </si>
  <si>
    <t xml:space="preserve">NSSF 10% 6-2020 ENHQ1234 Joram Mugisha            </t>
  </si>
  <si>
    <t xml:space="preserve">NSSF 10% 6-2021 ENHQ1234 Joram Mugisha            </t>
  </si>
  <si>
    <t xml:space="preserve">NSSF 10% 7-2020 ENHQ1234 Joram Mugisha            </t>
  </si>
  <si>
    <t xml:space="preserve">NSSF 10% 7-2021 ENHQ1234 Joram Mugisha            </t>
  </si>
  <si>
    <t xml:space="preserve">NSSF 10% 8-2020 ENHQ1234 Joram Mugisha            </t>
  </si>
  <si>
    <t xml:space="preserve">NSSF 10% 8-2021 ENHQ1234 Joram Mugisha            </t>
  </si>
  <si>
    <t xml:space="preserve">NSSF 10% 9-2020 ENHQ1234 Joram Mugisha            </t>
  </si>
  <si>
    <t xml:space="preserve">NSSF 10% 9-2021 ENHQ1234 Joram Mugisha            </t>
  </si>
  <si>
    <t xml:space="preserve">Provident Fund 15% 10-2020 ENHQ1234 Joram Mugisha  </t>
  </si>
  <si>
    <t xml:space="preserve">Provident Fund 15% 10-2021 ENHQ1234 Joram Mugisha  </t>
  </si>
  <si>
    <t xml:space="preserve">Provident Fund 15% 11-2020 ENHQ1234 Joram Mugisha  </t>
  </si>
  <si>
    <t xml:space="preserve">Provident Fund 15% 1-2020 ENHQ1234 Joram Mugisha  </t>
  </si>
  <si>
    <t xml:space="preserve">Provident Fund 15% 1-2021 ENHQ1234 Joram Mugisha  </t>
  </si>
  <si>
    <t xml:space="preserve">Provident Fund 15% 1-2021 ENHQ1234 Joram Mugisha  Arrears    </t>
  </si>
  <si>
    <t xml:space="preserve">Provident Fund 15% 1-2022 ENHQ1234 Joram Mugisha  </t>
  </si>
  <si>
    <t xml:space="preserve">Provident Fund 15% 12-2019 ENHQ1234 Joram Mugisha </t>
  </si>
  <si>
    <t xml:space="preserve">Provident Fund 15% 12-2020 ENHQ1234 Joram Mugisha  </t>
  </si>
  <si>
    <t xml:space="preserve">Provident Fund 15% 12-2021 ENHQ1234 Joram Mugisha  </t>
  </si>
  <si>
    <t xml:space="preserve">Provident Fund 15% 2-2020 ENHQ1234 Joram Mugisha  </t>
  </si>
  <si>
    <t xml:space="preserve">Provident Fund 15% 2-2021 ENHQ1234 Joram Mugisha  </t>
  </si>
  <si>
    <t xml:space="preserve">Provident Fund 15% 3-2020 ENHQ1234 Joram Mugisha  </t>
  </si>
  <si>
    <t xml:space="preserve">Provident Fund 15% 3-2021 ENHQ1234 Joram Mugisha  </t>
  </si>
  <si>
    <t xml:space="preserve">Provident Fund 15% 4-2020 ENHQ1234 Joram Mugisha  </t>
  </si>
  <si>
    <t xml:space="preserve">Provident Fund 15% 5-2020 ENHQ1234 Joram Mugisha  </t>
  </si>
  <si>
    <t xml:space="preserve">Provident Fund 15% 5-2021 ENHQ1234 Joram Mugisha  </t>
  </si>
  <si>
    <t xml:space="preserve">Provident Fund 15% 6-2020 ENHQ1234 Joram Mugisha  </t>
  </si>
  <si>
    <t xml:space="preserve">Provident Fund 15% 6-2021 ENHQ1234 Joram Mugisha  </t>
  </si>
  <si>
    <t xml:space="preserve">Provident Fund 15% 7-2020 ENHQ1234 Joram Mugisha  </t>
  </si>
  <si>
    <t xml:space="preserve">Provident Fund 15% 7-2021 ENHQ1234 Joram Mugisha  </t>
  </si>
  <si>
    <t xml:space="preserve">Provident Fund 15% 8-2020 ENHQ1234 Joram Mugisha  </t>
  </si>
  <si>
    <t xml:space="preserve">Provident Fund 15% 8-2021 ENHQ1234 Joram Mugisha  </t>
  </si>
  <si>
    <t xml:space="preserve">Provident Fund 15% 9-2020 ENHQ1234 Joram Mugisha  </t>
  </si>
  <si>
    <t xml:space="preserve">Provident Fund 15% 9-2021 ENHQ1234 Joram Mugisha  </t>
  </si>
  <si>
    <t xml:space="preserve">Transport Allowance 10-2020 ENHQ1234 Joram Mugisha </t>
  </si>
  <si>
    <t xml:space="preserve">Transport Allowance 10-2021 ENHQ1234 Joram Mugisha </t>
  </si>
  <si>
    <t xml:space="preserve">Transport Allowance 11-2020 ENHQ1234 Joram Mugisha </t>
  </si>
  <si>
    <t xml:space="preserve">Transport Allowance 1-2020 ENHQ1234 Joram Mugisha </t>
  </si>
  <si>
    <t xml:space="preserve">Transport Allowance 1-2021 ENHQ1234 Joram Mugisha </t>
  </si>
  <si>
    <t xml:space="preserve">Transport Allowance 1-2022 ENHQ1234 Joram Mugisha </t>
  </si>
  <si>
    <t>Transport Allowance 12-2019 ENHQ1234 Joram Mugisha</t>
  </si>
  <si>
    <t xml:space="preserve">Transport Allowance 12-2020 ENHQ1234 Joram Mugisha </t>
  </si>
  <si>
    <t xml:space="preserve">Transport Allowance 12-2021 ENHQ1234 Joram Mugisha </t>
  </si>
  <si>
    <t xml:space="preserve">Transport Allowance 2-2020 ENHQ1234 Joram Mugisha </t>
  </si>
  <si>
    <t xml:space="preserve">Transport Allowance 2-2021 ENHQ1234 Joram Mugisha </t>
  </si>
  <si>
    <t xml:space="preserve">Transport Allowance 3-2020 ENHQ1234 Joram Mugisha </t>
  </si>
  <si>
    <t xml:space="preserve">Transport Allowance 4-2020 ENHQ1234 Joram Mugisha </t>
  </si>
  <si>
    <t xml:space="preserve">Transport Allowance 5-2020 ENHQ1234 Joram Mugisha </t>
  </si>
  <si>
    <t xml:space="preserve">Transport Allowance 5-2021 ENHQ1234 Joram Mugisha </t>
  </si>
  <si>
    <t xml:space="preserve">Transport Allowance 6-2020 ENHQ1234 Joram Mugisha </t>
  </si>
  <si>
    <t xml:space="preserve">Transport Allowance 6-2021 ENHQ1234 Joram Mugisha </t>
  </si>
  <si>
    <t xml:space="preserve">Transport Allowance 7-2020 ENHQ1234 Joram Mugisha </t>
  </si>
  <si>
    <t xml:space="preserve">Transport Allowance 7-2021 ENHQ1234 Joram Mugisha </t>
  </si>
  <si>
    <t xml:space="preserve">Transport Allowance 8-2020 ENHQ1234 Joram Mugisha </t>
  </si>
  <si>
    <t xml:space="preserve">Transport Allowance 8-2021 ENHQ1234 Joram Mugisha </t>
  </si>
  <si>
    <t xml:space="preserve">Transport Allowance 9-2020 ENHQ1234 Joram Mugisha </t>
  </si>
  <si>
    <t xml:space="preserve">Transport Allowance 9-2021 ENHQ1234 Joram Mugisha </t>
  </si>
  <si>
    <t>Totaal Field Finance-Accounts Assistant (1 Position)</t>
  </si>
  <si>
    <t>NO:110:A</t>
  </si>
  <si>
    <t>Formation of community based Disaster Risk Reduction</t>
  </si>
  <si>
    <t>Meals - Bundibuyo Devine restarant</t>
  </si>
  <si>
    <t>NO:110:B</t>
  </si>
  <si>
    <t>NO:110:C</t>
  </si>
  <si>
    <t>NO:110:D</t>
  </si>
  <si>
    <t>Payment for transport refund duing the CBDRR group meeting</t>
  </si>
  <si>
    <t>Totaal Form or reactivate CBDRR Groups at village level</t>
  </si>
  <si>
    <t>DIV210542</t>
  </si>
  <si>
    <t>DPIII Loonkost Q3 - DRR Expert Uganda</t>
  </si>
  <si>
    <t>DIV210827</t>
  </si>
  <si>
    <t>DPIII Loonkost Q4 - DRR Expert Uganda</t>
  </si>
  <si>
    <t>DIV211365</t>
  </si>
  <si>
    <t>DPIII Loonkostrecuperatie 2021 - DRR Expert Uganda</t>
  </si>
  <si>
    <t>Doorrekening loonkost DPIII Uganda Focal Point FA</t>
  </si>
  <si>
    <t>DIV210512</t>
  </si>
  <si>
    <t>DPIII Loonkost Q3 - Focal Point FA Uganda</t>
  </si>
  <si>
    <t>DIV210797</t>
  </si>
  <si>
    <t>DPIII Loonkost Q4 - Focal Point FA Uganda</t>
  </si>
  <si>
    <t>DIV211335</t>
  </si>
  <si>
    <t>DPIII Loonkostrecuperatie 2021 - Focal Point FA Uganda</t>
  </si>
  <si>
    <t>DPIII Uganda Focal Point FA</t>
  </si>
  <si>
    <t>Doorrekening loonkost DPIII Uganda Focal Point WASH</t>
  </si>
  <si>
    <t>DIV210518</t>
  </si>
  <si>
    <t>DPIII Loonkost Q3 - Focal Point Wash Uganda</t>
  </si>
  <si>
    <t>DIV210803</t>
  </si>
  <si>
    <t>DPIII Loonkost Q4 - Focal Point Wash Uganda</t>
  </si>
  <si>
    <t>DIV211341</t>
  </si>
  <si>
    <t>DPIII Loonkostrecuperatie 2021 - Focal Point Wash Uganda</t>
  </si>
  <si>
    <t>DPIII Uganda Focal Point WASH</t>
  </si>
  <si>
    <t>NO:308</t>
  </si>
  <si>
    <t>Claim for fuel and motocycle maintence</t>
  </si>
  <si>
    <t>NO:313</t>
  </si>
  <si>
    <t>Fuel and Repairs To Support Ntoroko Field Office in Implementing Belgian DPIII Project</t>
  </si>
  <si>
    <t>NO:309</t>
  </si>
  <si>
    <t>Fuel for motocycle for field office costs for Kyegegwa</t>
  </si>
  <si>
    <t>NO:310</t>
  </si>
  <si>
    <t>NO:055:A</t>
  </si>
  <si>
    <t>Fuel for Motorcycle to support Project activities</t>
  </si>
  <si>
    <t>Tyre and Helmet</t>
  </si>
  <si>
    <t>NO:055:B</t>
  </si>
  <si>
    <t>Shell</t>
  </si>
  <si>
    <t>NO:001</t>
  </si>
  <si>
    <t>Motorcycle fuel costs to support DP3 project activities-kyegegwa in january to march</t>
  </si>
  <si>
    <t>NO:289</t>
  </si>
  <si>
    <t>Payment for the supplied spares,Tyres,Riding gears and OIL  for the Motorbike-Kabarole</t>
  </si>
  <si>
    <t>BAGUMA &amp; K.I AUTO DEALERS</t>
  </si>
  <si>
    <t>repairs and maintence for motocycle for field office costs for Kyegegwa</t>
  </si>
  <si>
    <t>Totaal Fuel, insurance, maintenance and repair of 3 motorcycles for 24 months</t>
  </si>
  <si>
    <t>NO:290</t>
  </si>
  <si>
    <t>Being Payment For internet Office Connection</t>
  </si>
  <si>
    <t>Real Executioners Ltd</t>
  </si>
  <si>
    <t>Totaal Head Office Internet and Communications costs (30%)</t>
  </si>
  <si>
    <t>NO:019</t>
  </si>
  <si>
    <t>Assorted Office Stationery For Finanace/Administartion Department</t>
  </si>
  <si>
    <t>Tabline International Limited</t>
  </si>
  <si>
    <t>Totaal Head Office Stationery and other office supplies costs (20%)</t>
  </si>
  <si>
    <t>16/4/2021</t>
  </si>
  <si>
    <t>SAL:029</t>
  </si>
  <si>
    <t>2021 Medical Contribution For Staff Under Belgian DPIII-Emergency Response Manager</t>
  </si>
  <si>
    <t xml:space="preserve">Basic Pay 10-2020 ENHQ1123 PAUL OKOT               </t>
  </si>
  <si>
    <t xml:space="preserve">Basic Pay 10-2021 ENHQ1123 PAUL OKOT               </t>
  </si>
  <si>
    <t xml:space="preserve">Basic Pay 11-2020 ENHQ1123 PAUL OKOT               </t>
  </si>
  <si>
    <t xml:space="preserve">Basic Pay 1-2020 ENHQ1123 PAUL OKOT               </t>
  </si>
  <si>
    <t xml:space="preserve"> PAUL OKOT     </t>
  </si>
  <si>
    <t>SAL:007</t>
  </si>
  <si>
    <t xml:space="preserve">Basic Pay 1-2021 ENHQ1123 PAUL OKOT               </t>
  </si>
  <si>
    <t xml:space="preserve">Basic Pay 1-2022 ENHQ1123 PAUL OKOT               </t>
  </si>
  <si>
    <t xml:space="preserve">Basic Pay 12-2020 ENHQ1123 PAUL OKOT               </t>
  </si>
  <si>
    <t xml:space="preserve">Basic Pay 12-2021 ENHQ1123 PAUL OKOT               </t>
  </si>
  <si>
    <t xml:space="preserve">Basic Pay 2-2020 ENHQ1123 PAUL OKOT               </t>
  </si>
  <si>
    <t>SAL:016</t>
  </si>
  <si>
    <t xml:space="preserve">Basic Pay 2-2021 ENHQ1123 PAUL OKOT               </t>
  </si>
  <si>
    <t xml:space="preserve">Basic Pay 3-2020 ENHQ1123 PAUL OKOT               </t>
  </si>
  <si>
    <t>SAL:025</t>
  </si>
  <si>
    <t xml:space="preserve">Basic Pay 3-2021 ENHQ1123 PAUL OKOT               </t>
  </si>
  <si>
    <t xml:space="preserve">Basic Pay 4-2020 ENHQ1123 PAUL OKOT               </t>
  </si>
  <si>
    <t>SAL:043</t>
  </si>
  <si>
    <t xml:space="preserve">Basic Pay 4-2021 ENHQ1123 PAUL OKOT               </t>
  </si>
  <si>
    <t xml:space="preserve">Basic Pay 5-2020 ENHQ1123 PAUL OKOT               </t>
  </si>
  <si>
    <t xml:space="preserve">Basic Pay 5-2021 ENHQ1123 PAUL OKOT               </t>
  </si>
  <si>
    <t xml:space="preserve">Basic Pay 6-2020 ENHQ1123 PAUL OKOT               </t>
  </si>
  <si>
    <t xml:space="preserve">Basic Pay 6-2021 ENHQ1123 PAUL OKOT               </t>
  </si>
  <si>
    <t xml:space="preserve">Basic Pay 7-2020 ENHQ1123 PAUL OKOT               </t>
  </si>
  <si>
    <t xml:space="preserve">Basic Pay 7-2021 ENHQ1123 PAUL OKOT               </t>
  </si>
  <si>
    <t xml:space="preserve">Basic Pay 8-2020 ENHQ1123 PAUL OKOT               </t>
  </si>
  <si>
    <t xml:space="preserve">Basic Pay 8-2021 ENHQ1123 PAUL OKOT               </t>
  </si>
  <si>
    <t xml:space="preserve">Basic Pay 9-2020 ENHQ1123 PAUL OKOT               </t>
  </si>
  <si>
    <t xml:space="preserve">Basic Pay 9-2021 ENHQ1123 PAUL OKOT               </t>
  </si>
  <si>
    <t xml:space="preserve">GPA 10-2020 ENHQ1123 PAUL OKOT                     </t>
  </si>
  <si>
    <t xml:space="preserve">GPA 10-2021 ENHQ1123 PAUL OKOT                     </t>
  </si>
  <si>
    <t xml:space="preserve">GPA 11-2020 ENHQ1123 PAUL OKOT                     </t>
  </si>
  <si>
    <t xml:space="preserve">GPA 1-2020 ENHQ1123 PAUL OKOT                     </t>
  </si>
  <si>
    <t xml:space="preserve">GPA 1-2021 ENHQ1123 PAUL OKOT                     </t>
  </si>
  <si>
    <t xml:space="preserve">GPA 1-2022 ENHQ1123 PAUL OKOT                     </t>
  </si>
  <si>
    <t xml:space="preserve">GPA 12-2020 ENHQ1123 PAUL OKOT                     </t>
  </si>
  <si>
    <t xml:space="preserve">GPA 12-2021 ENHQ1123 PAUL OKOT                     </t>
  </si>
  <si>
    <t xml:space="preserve">GPA 2-2020 ENHQ1123 PAUL OKOT                     </t>
  </si>
  <si>
    <t xml:space="preserve">GPA 2-2021 ENHQ1123 PAUL OKOT                     </t>
  </si>
  <si>
    <t xml:space="preserve">GPA 3-2020 ENHQ1123 PAUL OKOT                     </t>
  </si>
  <si>
    <t xml:space="preserve">GPA 3-2021 ENHQ1123 PAUL OKOT                     </t>
  </si>
  <si>
    <t xml:space="preserve">GPA 4-2020 ENHQ1123 PAUL OKOT                     </t>
  </si>
  <si>
    <t xml:space="preserve">GPA 4-2021 ENHQ1123 PAUL OKOT                     </t>
  </si>
  <si>
    <t xml:space="preserve">GPA 5-2020 ENHQ1123 PAUL OKOT                     </t>
  </si>
  <si>
    <t xml:space="preserve">GPA 5-2021 ENHQ1123 PAUL OKOT                     </t>
  </si>
  <si>
    <t xml:space="preserve">GPA 6-2020 ENHQ1123 PAUL OKOT                     </t>
  </si>
  <si>
    <t xml:space="preserve">GPA 6-2021 ENHQ1123 PAUL OKOT                     </t>
  </si>
  <si>
    <t xml:space="preserve">GPA 7-2020 ENHQ1123 PAUL OKOT                     </t>
  </si>
  <si>
    <t xml:space="preserve">GPA 7-2021 ENHQ1123 PAUL OKOT                     </t>
  </si>
  <si>
    <t xml:space="preserve">GPA 8-2020 ENHQ1123 PAUL OKOT                     </t>
  </si>
  <si>
    <t xml:space="preserve">GPA 8-2021 ENHQ1123 PAUL OKOT                     </t>
  </si>
  <si>
    <t xml:space="preserve">GPA 9-2020 ENHQ1123 PAUL OKOT                     </t>
  </si>
  <si>
    <t xml:space="preserve">GPA 9-2021 ENHQ1123 PAUL OKOT                     </t>
  </si>
  <si>
    <t>Medical insurance - Paul Okot</t>
  </si>
  <si>
    <t>Medical insurnance - EPR Manager 2019</t>
  </si>
  <si>
    <t xml:space="preserve">NSSF 10% 10-2020 ENHQ1123 PAUL OKOT                </t>
  </si>
  <si>
    <t xml:space="preserve">NSSF 10% 10-2021 ENHQ1123 PAUL OKOT                </t>
  </si>
  <si>
    <t xml:space="preserve">NSSF 10% 11-2020 ENHQ1123 PAUL OKOT                </t>
  </si>
  <si>
    <t xml:space="preserve">NSSF 10% 1-2020 ENHQ1123 PAUL OKOT                </t>
  </si>
  <si>
    <t xml:space="preserve">NSSF 10% 1-2021 ENHQ1123 PAUL OKOT                </t>
  </si>
  <si>
    <t xml:space="preserve">NSSF 10% 1-2022 ENHQ1123 PAUL OKOT                </t>
  </si>
  <si>
    <t xml:space="preserve">NSSF 10% 12-2020 ENHQ1123 PAUL OKOT                </t>
  </si>
  <si>
    <t xml:space="preserve">NSSF 10% 12-2021 ENHQ1123 PAUL OKOT                </t>
  </si>
  <si>
    <t xml:space="preserve">NSSF 10% 2-2020 ENHQ1123 PAUL OKOT                </t>
  </si>
  <si>
    <t xml:space="preserve">NSSF 10% 2-2021 ENHQ1123 PAUL OKOT                </t>
  </si>
  <si>
    <t xml:space="preserve">NSSF 10% 3-2020 ENHQ1123 PAUL OKOT                </t>
  </si>
  <si>
    <t xml:space="preserve">NSSF 10% 3-2021 ENHQ1123 PAUL OKOT                </t>
  </si>
  <si>
    <t xml:space="preserve">NSSF 10% 4-2020 ENHQ1123 PAUL OKOT                </t>
  </si>
  <si>
    <t xml:space="preserve">NSSF 10% 4-2021 ENHQ1123 PAUL OKOT                </t>
  </si>
  <si>
    <t xml:space="preserve">NSSF 10% 5-2020 ENHQ1123 PAUL OKOT                </t>
  </si>
  <si>
    <t xml:space="preserve">NSSF 10% 5-2021 ENHQ1123 PAUL OKOT                </t>
  </si>
  <si>
    <t xml:space="preserve">NSSF 10% 6-2020 ENHQ1123 PAUL OKOT                </t>
  </si>
  <si>
    <t xml:space="preserve">NSSF 10% 6-2021 ENHQ1123 PAUL OKOT                </t>
  </si>
  <si>
    <t xml:space="preserve">NSSF 10% 7-2020 ENHQ1123 PAUL OKOT                </t>
  </si>
  <si>
    <t xml:space="preserve">NSSF 10% 7-2021 ENHQ1123 PAUL OKOT                </t>
  </si>
  <si>
    <t xml:space="preserve">NSSF 10% 8-2020 ENHQ1123 PAUL OKOT                </t>
  </si>
  <si>
    <t xml:space="preserve">NSSF 10% 8-2021 ENHQ1123 PAUL OKOT                </t>
  </si>
  <si>
    <t xml:space="preserve">NSSF 10% 9-2020 ENHQ1123 PAUL OKOT                </t>
  </si>
  <si>
    <t xml:space="preserve">NSSF 10% 9-2021 ENHQ1123 PAUL OKOT                </t>
  </si>
  <si>
    <t xml:space="preserve">Provident Fund 15% 10-2020 ENHQ1123 PAUL OKOT      </t>
  </si>
  <si>
    <t xml:space="preserve">Provident Fund 15% 10-2021 ENHQ1123 PAUL OKOT      </t>
  </si>
  <si>
    <t xml:space="preserve">Provident Fund 15% 11-2020 ENHQ1123 PAUL OKOT      </t>
  </si>
  <si>
    <t xml:space="preserve">Provident Fund 15% 1-2020 ENHQ1123 PAUL OKOT      </t>
  </si>
  <si>
    <t xml:space="preserve">Provident Fund 15% 1-2021 ENHQ1123 PAUL OKOT      </t>
  </si>
  <si>
    <t xml:space="preserve">Provident Fund 15% 1-2022 ENHQ1123 PAUL OKOT      </t>
  </si>
  <si>
    <t xml:space="preserve">Provident Fund 15% 12-2020 ENHQ1123 PAUL OKOT      </t>
  </si>
  <si>
    <t xml:space="preserve">Provident Fund 15% 12-2021 ENHQ1123 PAUL OKOT      </t>
  </si>
  <si>
    <t xml:space="preserve">Provident Fund 15% 2-2020 ENHQ1123 PAUL OKOT      </t>
  </si>
  <si>
    <t xml:space="preserve">Provident Fund 15% 2-2021 ENHQ1123 PAUL OKOT      </t>
  </si>
  <si>
    <t xml:space="preserve">Provident Fund 15% 3-2020 ENHQ1123 PAUL OKOT      </t>
  </si>
  <si>
    <t xml:space="preserve">Provident Fund 15% 3-2021 ENHQ1123 PAUL OKOT      </t>
  </si>
  <si>
    <t xml:space="preserve">Provident Fund 15% 4-2020 ENHQ1123 PAUL OKOT      </t>
  </si>
  <si>
    <t xml:space="preserve">Provident Fund 15% 4-2021 ENHQ1123 PAUL OKOT      </t>
  </si>
  <si>
    <t xml:space="preserve">Provident Fund 15% 5-2020 ENHQ1123 PAUL OKOT      </t>
  </si>
  <si>
    <t xml:space="preserve">Provident Fund 15% 5-2021 ENHQ1123 PAUL OKOT      </t>
  </si>
  <si>
    <t xml:space="preserve">Provident Fund 15% 6-2020 ENHQ1123 PAUL OKOT      </t>
  </si>
  <si>
    <t xml:space="preserve">Provident Fund 15% 6-2021 ENHQ1123 PAUL OKOT      </t>
  </si>
  <si>
    <t xml:space="preserve">Provident Fund 15% 7-2020 ENHQ1123 PAUL OKOT      </t>
  </si>
  <si>
    <t xml:space="preserve">Provident Fund 15% 8-2020 ENHQ1123 PAUL OKOT      </t>
  </si>
  <si>
    <t xml:space="preserve">Provident Fund 15% 8-2021 ENHQ1123 PAUL OKOT      </t>
  </si>
  <si>
    <t xml:space="preserve">Provident Fund 15% 9-2020 ENHQ1123 PAUL OKOT      </t>
  </si>
  <si>
    <t xml:space="preserve">Provident Fund 15% 9-2021 ENHQ1123 PAUL OKOT      </t>
  </si>
  <si>
    <t xml:space="preserve">Transport Allowance 10-2020 ENHQ1123 PAUL OKOT     </t>
  </si>
  <si>
    <t xml:space="preserve">Transport Allowance 11-2020 ENHQ1123 PAUL OKOT     </t>
  </si>
  <si>
    <t xml:space="preserve">Transport Allowance 1-2020 ENHQ1123 PAUL OKOT     </t>
  </si>
  <si>
    <t xml:space="preserve">Transport Allowance 2-2020 ENHQ1123 PAUL OKOT     </t>
  </si>
  <si>
    <t xml:space="preserve">Transport Allowance 3-2020 ENHQ1123 PAUL OKOT     </t>
  </si>
  <si>
    <t xml:space="preserve">Transport Allowance 4-2020 ENHQ1123 PAUL OKOT     </t>
  </si>
  <si>
    <t xml:space="preserve">Transport Allowance 5-2020 ENHQ1123 PAUL OKOT     </t>
  </si>
  <si>
    <t xml:space="preserve">Transport Allowance 6-2020 ENHQ1123 PAUL OKOT     </t>
  </si>
  <si>
    <t xml:space="preserve">Transport Allowance 7-2020 ENHQ1123 PAUL OKOT     </t>
  </si>
  <si>
    <t xml:space="preserve">Transport Allowance 8-2020 ENHQ1123 PAUL OKOT     </t>
  </si>
  <si>
    <t xml:space="preserve">Transport Allowance 9-2020  ENHQ1123 PAUL OKOT  </t>
  </si>
  <si>
    <t>Totaal HQ Emergency Response and Preparedness Manager (80% 1 Position)</t>
  </si>
  <si>
    <t>NO:012</t>
  </si>
  <si>
    <t>Supplied Heavy Duty-Kyocera Ecosys M4125idn A3 B&amp;W MFP</t>
  </si>
  <si>
    <t>TMT Technologies</t>
  </si>
  <si>
    <t>Totaal HQ Equipment (laptop and photocopy machine)</t>
  </si>
  <si>
    <t>SAL:035</t>
  </si>
  <si>
    <t>2021 Medical Contribution For Staff Under Belgian DPIII-Finance Officer</t>
  </si>
  <si>
    <t>Bright Evans</t>
  </si>
  <si>
    <t xml:space="preserve">Basic Pay 10-2019 ENHQ1202 DOREEN KABAHUMA        </t>
  </si>
  <si>
    <t xml:space="preserve"> DOREEN KABAHUMA </t>
  </si>
  <si>
    <t xml:space="preserve">Basic Pay 10-2021 ENHQ1402 Bright Evans         </t>
  </si>
  <si>
    <t xml:space="preserve">Basic Pay 11-2019 ENHQ1202 DOREEN KABAHUMA        </t>
  </si>
  <si>
    <t xml:space="preserve">Basic Pay 1-2020 ENHQ1202 DOREEN KABAHUMA         </t>
  </si>
  <si>
    <t>DOREEN KABAHUMA</t>
  </si>
  <si>
    <t>SAL:008</t>
  </si>
  <si>
    <t xml:space="preserve">Basic Pay 1-2021 ENHQ1402 Bright Evans         </t>
  </si>
  <si>
    <t xml:space="preserve">Basic Pay 1-2022 ENHQ1402 Bright Evans         </t>
  </si>
  <si>
    <t xml:space="preserve">Basic Pay 12-2019 ENHQ1202 DOREEN KABAHUMA        </t>
  </si>
  <si>
    <t xml:space="preserve">Basic Pay 12-2021 ENHQ1402 Bright Evans         </t>
  </si>
  <si>
    <t xml:space="preserve">Basic Pay 2-2020 ENHQ1202 DOREEN KABAHUMA         </t>
  </si>
  <si>
    <t>Doreen Kabahuma</t>
  </si>
  <si>
    <t>SAL:026</t>
  </si>
  <si>
    <t xml:space="preserve">Basic Pay 3-2021 ENHQ1402 Bright Evans         </t>
  </si>
  <si>
    <t>SAL:044</t>
  </si>
  <si>
    <t xml:space="preserve">Basic Pay 4-2021 ENHQ1402 Bright Evans         </t>
  </si>
  <si>
    <t xml:space="preserve">Basic Pay 5-2021 ENHQ1402 Bright Evans         </t>
  </si>
  <si>
    <t xml:space="preserve">Basic Pay 6-2021 ENHQ1402 Bright Evans         </t>
  </si>
  <si>
    <t xml:space="preserve">Basic Pay 7-2021 ENHQ1402 Bright Evans         </t>
  </si>
  <si>
    <t xml:space="preserve">Basic Pay 8-2021 ENHQ1402 Bright Evans         </t>
  </si>
  <si>
    <t xml:space="preserve">Basic Pay 9-2021 ENHQ1402 Bright Evans         </t>
  </si>
  <si>
    <t>SAL:017</t>
  </si>
  <si>
    <t xml:space="preserve">Basic Pay2-2021 ENHQ1402 Bright Evans         </t>
  </si>
  <si>
    <t xml:space="preserve">GPA 10-2019 ENHQ1202 DOREEN KABAHUMA              </t>
  </si>
  <si>
    <t xml:space="preserve">GPA 10-2021 ENHQ1402 Bright Evans                 </t>
  </si>
  <si>
    <t xml:space="preserve">GPA 11-2019 ENHQ1202 DOREEN KABAHUMA              </t>
  </si>
  <si>
    <t xml:space="preserve">GPA 1-2020 ENHQ1202 DOREEN KABAHUMA               </t>
  </si>
  <si>
    <t xml:space="preserve">GPA 1-2021 ENHQ1402 Bright Evans                 </t>
  </si>
  <si>
    <t xml:space="preserve">GPA 1-2022 ENHQ1402 Bright Evans                 </t>
  </si>
  <si>
    <t xml:space="preserve">GPA 12-2019 ENHQ1202 DOREEN KABAHUMA              </t>
  </si>
  <si>
    <t xml:space="preserve">GPA 12-2021 ENHQ1402 Bright Evans                 </t>
  </si>
  <si>
    <t xml:space="preserve">GPA 2-2020 ENHQ1202 DOREEN KABAHUMA               </t>
  </si>
  <si>
    <t xml:space="preserve">GPA 2-2021 ENHQ1402 Bright Evans                 </t>
  </si>
  <si>
    <t xml:space="preserve">GPA 3-2021 ENHQ1402 Bright Evans                 </t>
  </si>
  <si>
    <t xml:space="preserve">GPA 4-2021 ENHQ1402 Bright Evans                 </t>
  </si>
  <si>
    <t xml:space="preserve">GPA 5-2021 ENHQ1402 Bright Evans                 </t>
  </si>
  <si>
    <t xml:space="preserve">GPA 6-2021 ENHQ1402 Bright Evans                 </t>
  </si>
  <si>
    <t xml:space="preserve">GPA 7-2021 ENHQ1402 Bright Evans                 </t>
  </si>
  <si>
    <t xml:space="preserve">GPA 8-2021 ENHQ1402 Bright Evans                 </t>
  </si>
  <si>
    <t xml:space="preserve">GPA 9-2021 ENHQ1402 Bright Evans                 </t>
  </si>
  <si>
    <t>SAL:036</t>
  </si>
  <si>
    <t>Medical insurance for Bright Evans for period ended 19th February 2021</t>
  </si>
  <si>
    <t xml:space="preserve">NSSF 10% 10-2019 ENHQ1202 DOREEN KABAHUMA         </t>
  </si>
  <si>
    <t xml:space="preserve">NSSF 10% 10-2021 ENHQ1402 Bright Evans            </t>
  </si>
  <si>
    <t xml:space="preserve">NSSF 10% 11-2019 ENHQ1202 DOREEN KABAHUMA         </t>
  </si>
  <si>
    <t xml:space="preserve">NSSF 10% 1-2020 ENHQ1202 DOREEN KABAHUMA          </t>
  </si>
  <si>
    <t xml:space="preserve">NSSF 10% 1-2021 ENHQ1402 Bright Evans            </t>
  </si>
  <si>
    <t xml:space="preserve">NSSF 10% 1-2022 ENHQ1402 Bright Evans            </t>
  </si>
  <si>
    <t xml:space="preserve">NSSF 10% 12-2019 ENHQ1202 DOREEN KABAHUMA         </t>
  </si>
  <si>
    <t xml:space="preserve">NSSF 10% 12-2021 ENHQ1402 Bright Evans            </t>
  </si>
  <si>
    <t xml:space="preserve">NSSF 10% 2-2020 ENHQ1202 DOREEN KABAHUMA          </t>
  </si>
  <si>
    <t xml:space="preserve">NSSF 10% 2-2021 ENHQ1402 Bright Evans            </t>
  </si>
  <si>
    <t xml:space="preserve">NSSF 10% 3-2021 ENHQ1402 Bright Evans            </t>
  </si>
  <si>
    <t xml:space="preserve">NSSF 10% 4-2021 ENHQ1402 Bright Evans            </t>
  </si>
  <si>
    <t xml:space="preserve">NSSF 10% 5-2021 ENHQ1402 Bright Evans            </t>
  </si>
  <si>
    <t xml:space="preserve">NSSF 10% 6-2021 ENHQ1402 Bright Evans            </t>
  </si>
  <si>
    <t xml:space="preserve">NSSF 10% 7-2021 ENHQ1402 Bright Evans            </t>
  </si>
  <si>
    <t xml:space="preserve">NSSF 10% 8-2021 ENHQ1402 Bright Evans            </t>
  </si>
  <si>
    <t xml:space="preserve">NSSF 10% 9-2021 ENHQ1402 Bright Evans            </t>
  </si>
  <si>
    <t>Payment for Job Advert in New Vision for finance Officer</t>
  </si>
  <si>
    <t>Provident Fund 15% 10-2019 ENHQ1202 DOREEN KABAHUM</t>
  </si>
  <si>
    <t xml:space="preserve">Provident Fund 15% 10-2021 ENHQ1402 Bright Evans  </t>
  </si>
  <si>
    <t>Provident Fund 15% 11-2019 ENHQ1202 DOREEN KABAHUM</t>
  </si>
  <si>
    <t>Provident Fund 15% 1-2020 ENHQ1202 DOREEN KABAHUMA</t>
  </si>
  <si>
    <t xml:space="preserve">Provident Fund 15% 1-2021 ENHQ1402 Bright Evans  </t>
  </si>
  <si>
    <t>Provident Fund 15% 12-2019 ENHQ1202 DOREEN KABAHUM</t>
  </si>
  <si>
    <t xml:space="preserve">Provident Fund 15% 12-2021 ENHQ1402 Bright Evans  </t>
  </si>
  <si>
    <t>Provident Fund 15% 2-2020 ENHQ1202 DOREEN KABAHUMA</t>
  </si>
  <si>
    <t xml:space="preserve">Provident Fund 15% 2-2021 ENHQ1402 Bright Evans  </t>
  </si>
  <si>
    <t xml:space="preserve">Provident Fund 15% 3-2021 ENHQ1402 Bright Evans  </t>
  </si>
  <si>
    <t xml:space="preserve">Provident Fund 15% 4-2021 ENHQ1402 Bright Evans  </t>
  </si>
  <si>
    <t xml:space="preserve">Provident Fund 15% 5-2021 ENHQ1402 Bright Evans  </t>
  </si>
  <si>
    <t xml:space="preserve">Provident Fund 15% 6-2021 ENHQ1402 Bright Evans  </t>
  </si>
  <si>
    <t xml:space="preserve">Provident Fund 15% 7-2021 ENHQ1402 Bright Evans  </t>
  </si>
  <si>
    <t xml:space="preserve">Provident Fund 15% 8-2021 ENHQ1402 Bright Evans  </t>
  </si>
  <si>
    <t xml:space="preserve">Provident Fund 15% 9-2021 ENHQ1402 Bright Evans  </t>
  </si>
  <si>
    <t>Transport Allowance 10-2019 ENHQ1202 DOREEN KABAHU</t>
  </si>
  <si>
    <t>Transport Allowance 10-2021 ENHQ1402 Bright Evans</t>
  </si>
  <si>
    <t>Transport Allowance 11-2019 ENHQ1202 DOREEN KABAHU</t>
  </si>
  <si>
    <t>Transport Allowance 1-2020 ENHQ1202 DOREEN KABAHUMA</t>
  </si>
  <si>
    <t>Transport Allowance 1-2021 ENHQ1402 Bright Evans</t>
  </si>
  <si>
    <t>Transport Allowance 12-2019 ENHQ1202 DOREEN KABAHU</t>
  </si>
  <si>
    <t>Transport Allowance 12-2021 ENHQ1402 Bright Evans</t>
  </si>
  <si>
    <t>Transport Allowance -2021 ENHQ1402 Bright Evans</t>
  </si>
  <si>
    <t>Transport Allowance 2-2020 ENHQ1202 DOREEN KABAHUMA</t>
  </si>
  <si>
    <t>Transport Allowance 2-2021 ENHQ1402 Bright Evans</t>
  </si>
  <si>
    <t>Transport Allowance 3-2021 ENHQ1402 Bright Evans</t>
  </si>
  <si>
    <t>Transport Allowance 4-2021 ENHQ1402 Bright Evans</t>
  </si>
  <si>
    <t>Transport Allowance 5-2021 ENHQ1402 Bright Evans</t>
  </si>
  <si>
    <t>Transport Allowance 6-2021 ENHQ1402 Bright Evans</t>
  </si>
  <si>
    <t>Transport Allowance 8-2021 ENHQ1402 Bright Evans</t>
  </si>
  <si>
    <t>Transport Allowance 9-2021 ENHQ1402 Bright Evans</t>
  </si>
  <si>
    <t>Totaal HQ Finance Officer (1 Position)</t>
  </si>
  <si>
    <t>NO:093</t>
  </si>
  <si>
    <t>Maintenance Renewal of Nav Subscription Licence</t>
  </si>
  <si>
    <t>HRP Solutions (u) ltd</t>
  </si>
  <si>
    <t>NO:259</t>
  </si>
  <si>
    <t>Sraff  airtime for Oct-Dec 2021-Bright Evans</t>
  </si>
  <si>
    <t>MTN (U) Ltd</t>
  </si>
  <si>
    <t>NO:260</t>
  </si>
  <si>
    <t>NO:105</t>
  </si>
  <si>
    <t>Supplied Assorted stationery items</t>
  </si>
  <si>
    <t>compliant options uganda limited</t>
  </si>
  <si>
    <t>URA WHT Supplied Assorted stationery items</t>
  </si>
  <si>
    <t>URA-WHT compliant options uganda limited</t>
  </si>
  <si>
    <t>Totaal HQ Running costs (Utlities - electricity, water, website etc)</t>
  </si>
  <si>
    <t>NO:017</t>
  </si>
  <si>
    <t xml:space="preserve">Payment for the Car Hire -Bundibugyo              </t>
  </si>
  <si>
    <t>Ainea &amp; Son's Company</t>
  </si>
  <si>
    <t>NO:021</t>
  </si>
  <si>
    <t>Payment for the provided meals  and refreshments -</t>
  </si>
  <si>
    <t>Papa Yoka Guest House</t>
  </si>
  <si>
    <t>NO:482</t>
  </si>
  <si>
    <t>Payment for the supplied building Materials</t>
  </si>
  <si>
    <t>Ainea &amp; Sons Company</t>
  </si>
  <si>
    <t>NO:345</t>
  </si>
  <si>
    <t>Payment for the supplied Calibrated river gaugee and Accessories .</t>
  </si>
  <si>
    <t>Adritex U Limited</t>
  </si>
  <si>
    <t>NO:475</t>
  </si>
  <si>
    <t>Perdiem for Installation of an EWS-Ntoroko</t>
  </si>
  <si>
    <t>Emmanuel Ntale</t>
  </si>
  <si>
    <t>NO:399</t>
  </si>
  <si>
    <t>Supply of community Radio installation Equipment</t>
  </si>
  <si>
    <t>Awaited Power and General Service Ltd</t>
  </si>
  <si>
    <t xml:space="preserve">WHT-Payt for car Hire-Bundibugyo                  </t>
  </si>
  <si>
    <t>URA WHT Ainea &amp; Son's Company</t>
  </si>
  <si>
    <t>WHT-Payt for provision meals &amp; refreshments-Bundib</t>
  </si>
  <si>
    <t>URA WHT Papa Yoka Guest House</t>
  </si>
  <si>
    <t>NO:216</t>
  </si>
  <si>
    <t>Quarterly review meeting for July-Septemeber-Kikuube</t>
  </si>
  <si>
    <t>Volunteer Belgian RC Mobile Money Payments</t>
  </si>
  <si>
    <t>NO:351</t>
  </si>
  <si>
    <t>Quarterly review meeting for October-December Kikuube</t>
  </si>
  <si>
    <t>NO:350</t>
  </si>
  <si>
    <t>Quarterly review meeting for October-December Kyegwgwa</t>
  </si>
  <si>
    <t>NO:348</t>
  </si>
  <si>
    <t>Transport refund for community Dialogue meeting held in Kyagwali 15th-20th November 2022</t>
  </si>
  <si>
    <t>Totaal IEC and visibility materials COVID-19</t>
  </si>
  <si>
    <t>SAL:032</t>
  </si>
  <si>
    <t>2021 Medical Contribution For Staff Under Belgian DPIII-IM Officer</t>
  </si>
  <si>
    <t xml:space="preserve">Geoffrey Kasumba </t>
  </si>
  <si>
    <t xml:space="preserve">Basic Pay 10-2020 ENHQ1246 Geoffrey Kasumba      </t>
  </si>
  <si>
    <t xml:space="preserve">Basic Pay 10-2021 ENHQ1246 Geoffrey Kasumba      </t>
  </si>
  <si>
    <t xml:space="preserve">Basic Pay 11-2020 ENHQ1246 Geoffrey Kasumba      </t>
  </si>
  <si>
    <t>SAL:006</t>
  </si>
  <si>
    <t xml:space="preserve">Basic Pay 1-2021 ENHQ1246 Geoffrey Kasumba      </t>
  </si>
  <si>
    <t xml:space="preserve">Basic Pay 1-2022 ENHQ1246 Geoffrey Kasumba      </t>
  </si>
  <si>
    <t xml:space="preserve">Basic Pay 12-2020 ENHQ1246 Geoffrey Kasumba      </t>
  </si>
  <si>
    <t xml:space="preserve">Basic Pay 12-2021 ENHQ1246 Geoffrey Kasumba      </t>
  </si>
  <si>
    <t>SAL:015</t>
  </si>
  <si>
    <t xml:space="preserve">Basic Pay 2-2021 ENHQ1246 Geoffrey Kasumba      </t>
  </si>
  <si>
    <t xml:space="preserve">Basic Pay 3-2020 ENHQ1246 Geoffrey Kasumba      </t>
  </si>
  <si>
    <t>SAL:024</t>
  </si>
  <si>
    <t xml:space="preserve">Basic Pay 3-2021 ENHQ1246 Geoffrey Kasumba      </t>
  </si>
  <si>
    <t>SAL:042</t>
  </si>
  <si>
    <t xml:space="preserve">Basic Pay 4-2020 ENHQ1246 Geoffrey Kasumba      </t>
  </si>
  <si>
    <t xml:space="preserve">Basic Pay 5-2020 ENHQ1246 Geoffrey Kasumba      </t>
  </si>
  <si>
    <t xml:space="preserve">Basic Pay 5-2021 ENHQ1246 Geoffrey Kasumba      </t>
  </si>
  <si>
    <t xml:space="preserve">Basic Pay 6-2020 ENHQ1246 Geoffrey Kasumba      </t>
  </si>
  <si>
    <t xml:space="preserve">Basic Pay 6-2021 ENHQ1246 Geoffrey Kasumba      </t>
  </si>
  <si>
    <t xml:space="preserve">Basic Pay 7-2020 ENHQ1246 Geoffrey Kasumba      </t>
  </si>
  <si>
    <t xml:space="preserve">Basic Pay 7-2021 ENHQ1246 Geoffrey Kasumba      </t>
  </si>
  <si>
    <t xml:space="preserve">Basic Pay 8-2020 ENHQ1246 Geoffrey Kasumba      </t>
  </si>
  <si>
    <t xml:space="preserve">Basic Pay 8-2021 ENHQ1246 Geoffrey Kasumba      </t>
  </si>
  <si>
    <t xml:space="preserve">Basic Pay 9-2020 ENHQ1246 Geoffrey Kasumba      </t>
  </si>
  <si>
    <t xml:space="preserve">Basic Pay 9-2021 ENHQ1246 Geoffrey Kasumba      </t>
  </si>
  <si>
    <t xml:space="preserve">GPA 10-2020  ENHQ1246 Geoffrey Kasumba                    </t>
  </si>
  <si>
    <t xml:space="preserve">GPA 10-2021  ENHQ1246 Geoffrey Kasumba                    </t>
  </si>
  <si>
    <t xml:space="preserve">GPA 11-2020  ENHQ1246 Geoffrey Kasumba                    </t>
  </si>
  <si>
    <t xml:space="preserve">GPA 1-2021  ENHQ1246 Geoffrey Kasumba                    </t>
  </si>
  <si>
    <t xml:space="preserve">GPA 1-2022  ENHQ1246 Geoffrey Kasumba                    </t>
  </si>
  <si>
    <t xml:space="preserve">GPA 12-2020  ENHQ1246 Geoffrey Kasumba                    </t>
  </si>
  <si>
    <t xml:space="preserve">GPA 12-2021  ENHQ1246 Geoffrey Kasumba                    </t>
  </si>
  <si>
    <t xml:space="preserve">GPA 2-2021  ENHQ1246 Geoffrey Kasumba                    </t>
  </si>
  <si>
    <t xml:space="preserve">GPA 3-2020  ENHQ1246 Geoffrey Kasumba                    </t>
  </si>
  <si>
    <t xml:space="preserve">GPA 3-2021  ENHQ1246 Geoffrey Kasumba                    </t>
  </si>
  <si>
    <t xml:space="preserve">GPA 4-2020  ENHQ1246 Geoffrey Kasumba                    </t>
  </si>
  <si>
    <t xml:space="preserve">GPA 5-2020  ENHQ1246 Geoffrey Kasumba                    </t>
  </si>
  <si>
    <t xml:space="preserve">GPA 5-2021  ENHQ1246 Geoffrey Kasumba                    </t>
  </si>
  <si>
    <t xml:space="preserve">GPA 6-2020  ENHQ1246 Geoffrey Kasumba                    </t>
  </si>
  <si>
    <t xml:space="preserve">GPA 6-2021  ENHQ1246 Geoffrey Kasumba                    </t>
  </si>
  <si>
    <t xml:space="preserve">GPA 7-2020  ENHQ1246 Geoffrey Kasumba                    </t>
  </si>
  <si>
    <t xml:space="preserve">GPA 7-2021  ENHQ1246 Geoffrey Kasumba                    </t>
  </si>
  <si>
    <t xml:space="preserve">GPA 8-2020  ENHQ1246 Geoffrey Kasumba                    </t>
  </si>
  <si>
    <t xml:space="preserve">GPA 8-2021  ENHQ1246 Geoffrey Kasumba                    </t>
  </si>
  <si>
    <t xml:space="preserve">GPA 9-2020  ENHQ1246 Geoffrey Kasumba                    </t>
  </si>
  <si>
    <t xml:space="preserve">GPA 9-2021  ENHQ1246 Geoffrey Kasumba                    </t>
  </si>
  <si>
    <t>Medical insurance - Geoffrey Kasumba</t>
  </si>
  <si>
    <t xml:space="preserve">NSSF 10% 10-2021  ENHQ1246 Geoffrey Kasumba         </t>
  </si>
  <si>
    <t xml:space="preserve">NSSF 10% 1-2021  ENHQ1246 Geoffrey Kasumba         </t>
  </si>
  <si>
    <t xml:space="preserve">NSSF 10% 1-2022  ENHQ1246 Geoffrey Kasumba         </t>
  </si>
  <si>
    <t xml:space="preserve">NSSF 10% 12-2021  ENHQ1246 Geoffrey Kasumba         </t>
  </si>
  <si>
    <t xml:space="preserve">NSSF 10% 3-2020  ENHQ1246 Geoffrey Kasumba         </t>
  </si>
  <si>
    <t xml:space="preserve">NSSF 10% 4-2020  ENHQ1246 Geoffrey Kasumba         </t>
  </si>
  <si>
    <t xml:space="preserve">NSSF 10% 5-2021  ENHQ1246 Geoffrey Kasumba         </t>
  </si>
  <si>
    <t xml:space="preserve">NSSF 10% 7-2021  ENHQ1246 Geoffrey Kasumba         </t>
  </si>
  <si>
    <t xml:space="preserve">NSSF 10% 8-2021  ENHQ1246 Geoffrey Kasumba         </t>
  </si>
  <si>
    <t xml:space="preserve">NSSF 10% 9-2021  ENHQ1246 Geoffrey Kasumba         </t>
  </si>
  <si>
    <t xml:space="preserve">NSSF 10%2-2021  ENHQ1246 Geoffrey Kasumba         </t>
  </si>
  <si>
    <t xml:space="preserve">NSSF 10%3-2021  ENHQ1246 Geoffrey Kasumba         </t>
  </si>
  <si>
    <t xml:space="preserve">Provident Fund 15% 10-2021  ENHQ1246 Geoffrey Kasumba      </t>
  </si>
  <si>
    <t xml:space="preserve">Provident Fund 15% 11-2020  ENHQ1246 Geoffrey Kasumba      </t>
  </si>
  <si>
    <t xml:space="preserve">Provident Fund 15% 1-2021  ENHQ1246 Geoffrey Kasumba      </t>
  </si>
  <si>
    <t xml:space="preserve">Provident Fund 15% 1-2022  ENHQ1246 Geoffrey Kasumba      </t>
  </si>
  <si>
    <t xml:space="preserve">Provident Fund 15% 12-2020  ENHQ1246 Geoffrey Kasumba      </t>
  </si>
  <si>
    <t xml:space="preserve">Provident Fund 15% 12-2021  ENHQ1246 Geoffrey Kasumba      </t>
  </si>
  <si>
    <t xml:space="preserve">Provident Fund 15% 2-2021  ENHQ1246 Geoffrey Kasumba      </t>
  </si>
  <si>
    <t xml:space="preserve">Provident Fund 15% 3-2020  ENHQ1246 Geoffrey Kasumba      </t>
  </si>
  <si>
    <t xml:space="preserve">Provident Fund 15% 3-2021  ENHQ1246 Geoffrey Kasumba      </t>
  </si>
  <si>
    <t xml:space="preserve">Provident Fund 15% 4-2020  ENHQ1246 Geoffrey Kasumba      </t>
  </si>
  <si>
    <t xml:space="preserve">Provident Fund 15% 5-2020  ENHQ1246 Geoffrey Kasumba      </t>
  </si>
  <si>
    <t xml:space="preserve">Provident Fund 15% 5-2021  ENHQ1246 Geoffrey Kasumba      </t>
  </si>
  <si>
    <t xml:space="preserve">Provident Fund 15% 6-2020  ENHQ1246 Geoffrey Kasumba      </t>
  </si>
  <si>
    <t xml:space="preserve">Provident Fund 15% 6-2021  ENHQ1246 Geoffrey Kasumba      </t>
  </si>
  <si>
    <t xml:space="preserve">Provident Fund 15% 7-2020  ENHQ1246 Geoffrey Kasumba      </t>
  </si>
  <si>
    <t xml:space="preserve">Provident Fund 15% 7-2021  ENHQ1246 Geoffrey Kasumba      </t>
  </si>
  <si>
    <t xml:space="preserve">Provident Fund 15% 8-2020  ENHQ1246 Geoffrey Kasumba      </t>
  </si>
  <si>
    <t xml:space="preserve">Provident Fund 15% 8-2021  ENHQ1246 Geoffrey Kasumba      </t>
  </si>
  <si>
    <t xml:space="preserve">Provident Fund 15% 9-2020  ENHQ1246 Geoffrey Kasumba      </t>
  </si>
  <si>
    <t xml:space="preserve">Provident Fund 15% 9-2021  ENHQ1246 Geoffrey Kasumba      </t>
  </si>
  <si>
    <t xml:space="preserve">Transport Allowance 10-2020  ENHQ1246 Geoffrey Kasumba      </t>
  </si>
  <si>
    <t xml:space="preserve">Transport Allowance 10-2021  ENHQ1246 Geoffrey Kasumba      </t>
  </si>
  <si>
    <t xml:space="preserve">Transport Allowance 11-2020  ENHQ1246 Geoffrey Kasumba      </t>
  </si>
  <si>
    <t xml:space="preserve">Transport Allowance 1-2021  ENHQ1246 Geoffrey Kasumba      </t>
  </si>
  <si>
    <t xml:space="preserve">Transport Allowance 1-2022  ENHQ1246 Geoffrey Kasumba      </t>
  </si>
  <si>
    <t xml:space="preserve">Transport Allowance 12-2020  ENHQ1246 Geoffrey Kasumba      </t>
  </si>
  <si>
    <t xml:space="preserve">Transport Allowance 12-2021  ENHQ1246 Geoffrey Kasumba      </t>
  </si>
  <si>
    <t xml:space="preserve">Transport Allowance 2-2021  ENHQ1246 Geoffrey Kasumba      </t>
  </si>
  <si>
    <t xml:space="preserve">Transport Allowance 3-2020  ENHQ1246 Geoffrey Kasumba      </t>
  </si>
  <si>
    <t xml:space="preserve">Transport Allowance 3-2021  ENHQ1246 Geoffrey Kasumba      </t>
  </si>
  <si>
    <t xml:space="preserve">Transport Allowance 4-2020  ENHQ1246 Geoffrey Kasumba      </t>
  </si>
  <si>
    <t xml:space="preserve">Transport Allowance 5-2020  ENHQ1246 Geoffrey Kasumba      </t>
  </si>
  <si>
    <t xml:space="preserve">Transport Allowance 5-2021  ENHQ1246 Geoffrey Kasumba      </t>
  </si>
  <si>
    <t xml:space="preserve">Transport Allowance 6-2020  ENHQ1246 Geoffrey Kasumba      </t>
  </si>
  <si>
    <t xml:space="preserve">Transport Allowance 6-2021  ENHQ1246 Geoffrey Kasumba      </t>
  </si>
  <si>
    <t xml:space="preserve">Transport Allowance 7-2020  ENHQ1246 Geoffrey Kasumba      </t>
  </si>
  <si>
    <t xml:space="preserve">Transport Allowance 7-2021  ENHQ1246 Geoffrey Kasumba      </t>
  </si>
  <si>
    <t xml:space="preserve">Transport Allowance 8-2020  ENHQ1246 Geoffrey Kasumba      </t>
  </si>
  <si>
    <t xml:space="preserve">Transport Allowance 8-2021  ENHQ1246 Geoffrey Kasumba      </t>
  </si>
  <si>
    <t xml:space="preserve">Transport Allowance 9-2020  ENHQ1246 Geoffrey Kasumba      </t>
  </si>
  <si>
    <t xml:space="preserve">Transport Allowance 9-2021  ENHQ1246 Geoffrey Kasumba      </t>
  </si>
  <si>
    <t>Totaal Information Management (IM) Officer</t>
  </si>
  <si>
    <t>NO:186</t>
  </si>
  <si>
    <t>Day allowance for orientation of Ditsrict Task Force On CES-Kikuube</t>
  </si>
  <si>
    <t>NO:185</t>
  </si>
  <si>
    <t>Day allowance for orientation of Ditsrict Task Force On CES-Kyegegwa</t>
  </si>
  <si>
    <t>NO:239</t>
  </si>
  <si>
    <t>Day Allowance on Orientation of Volunteers on CES Kikuube 18.10.21</t>
  </si>
  <si>
    <t>NO:238</t>
  </si>
  <si>
    <t>Day allowance on Orientation of Volunteers on CES Kyegegwa 5.10.21</t>
  </si>
  <si>
    <t>NO:207</t>
  </si>
  <si>
    <t>Day AllowanceOrientation of Volunteers on CES-Kikuube</t>
  </si>
  <si>
    <t>NO:187</t>
  </si>
  <si>
    <t>Mobilization Airtel Airtime for NDRT Information Management Training</t>
  </si>
  <si>
    <t>NO:199</t>
  </si>
  <si>
    <t>MTN(U) Ltd</t>
  </si>
  <si>
    <t>NO:382</t>
  </si>
  <si>
    <t>Lynnette M Kiiza</t>
  </si>
  <si>
    <t>NO:383</t>
  </si>
  <si>
    <t>Robert Kyaligonza</t>
  </si>
  <si>
    <t>NO:384</t>
  </si>
  <si>
    <t>Grace Apun</t>
  </si>
  <si>
    <t>NO:385</t>
  </si>
  <si>
    <t>Anywar Kennedy</t>
  </si>
  <si>
    <t>NO:386</t>
  </si>
  <si>
    <t>Zainab kyokunzire</t>
  </si>
  <si>
    <t>NO:387</t>
  </si>
  <si>
    <t>Mbadi Martin Arthur</t>
  </si>
  <si>
    <t>NO:388</t>
  </si>
  <si>
    <t>Bernard Willy Byagageire</t>
  </si>
  <si>
    <t>NO:389</t>
  </si>
  <si>
    <t>Robert Kasumba</t>
  </si>
  <si>
    <t>NO:390</t>
  </si>
  <si>
    <t>Kirungi Arthur Mark</t>
  </si>
  <si>
    <t>NO:391</t>
  </si>
  <si>
    <t>Atukunda Doreen</t>
  </si>
  <si>
    <t>NO:392</t>
  </si>
  <si>
    <t>Meijuka Brunner</t>
  </si>
  <si>
    <t>NO:404</t>
  </si>
  <si>
    <t>Alex Mugyisha</t>
  </si>
  <si>
    <t>NO:428</t>
  </si>
  <si>
    <t>Ojuka Alex Peter</t>
  </si>
  <si>
    <t>NO:467</t>
  </si>
  <si>
    <t>Oliver Twikirize</t>
  </si>
  <si>
    <t>NO:438</t>
  </si>
  <si>
    <t xml:space="preserve">NDRT INFORMATION MANAGEMENT TRAINING   </t>
  </si>
  <si>
    <t>Enock bukenya</t>
  </si>
  <si>
    <t>NO:191</t>
  </si>
  <si>
    <t>Orientation of  on CES -Ntoroko</t>
  </si>
  <si>
    <t>NO:237</t>
  </si>
  <si>
    <t>Orientation of Distrit Task Force on CES-Kikuube 30.9. 2021</t>
  </si>
  <si>
    <t>NO:190</t>
  </si>
  <si>
    <t>Orientation of Kyegegwa District Task Forcse on CES</t>
  </si>
  <si>
    <t>NO:230</t>
  </si>
  <si>
    <t>Orientation of volunteers on CES on COVID-19 in Ntoroko</t>
  </si>
  <si>
    <t>Steven Wamukota</t>
  </si>
  <si>
    <t>NO:231</t>
  </si>
  <si>
    <t>NO:234</t>
  </si>
  <si>
    <t>NO:193</t>
  </si>
  <si>
    <t>Otientation of Covid-19 District Task Force-Ntoroko</t>
  </si>
  <si>
    <t>Payment facilitation for transport refund for participants during oreintation for training teachers</t>
  </si>
  <si>
    <t>Volunteers Belgian RC Mobile Money Payments</t>
  </si>
  <si>
    <t>NO:354</t>
  </si>
  <si>
    <t>Payment for Kabarole VCTF Training -Kyagwali</t>
  </si>
  <si>
    <t>NO:204</t>
  </si>
  <si>
    <t>Payment for provision of meals and refreshments and transport services</t>
  </si>
  <si>
    <t>NO:454</t>
  </si>
  <si>
    <t>Payment for supplied Assorted Office Stationeru Items-</t>
  </si>
  <si>
    <t>Nzoka Stationers &amp; Secretarial Burea LTD</t>
  </si>
  <si>
    <t>NO:455</t>
  </si>
  <si>
    <t>NO:453</t>
  </si>
  <si>
    <t>Payment for supplied Assorted Office Stationeru Items-Bundibugyo</t>
  </si>
  <si>
    <t>NO:219</t>
  </si>
  <si>
    <t>Payment for supplied Assorted Office Stationeru Items-DRM</t>
  </si>
  <si>
    <t>Emax Supplies &amp; Logistics Limited</t>
  </si>
  <si>
    <t>NO:376</t>
  </si>
  <si>
    <t>Payment for the provided Conference Package</t>
  </si>
  <si>
    <t>Ridar Hotel Ltd</t>
  </si>
  <si>
    <t xml:space="preserve">Payment for the provided Meals and Refreshments   </t>
  </si>
  <si>
    <t>PEKIRINE AND FAMILY SERVICES</t>
  </si>
  <si>
    <t>NO:248</t>
  </si>
  <si>
    <t>Payment for the provided Meals and Refreshments-Hoima</t>
  </si>
  <si>
    <t>GMR RESTAURANT KIKUUBE</t>
  </si>
  <si>
    <t>NO:200</t>
  </si>
  <si>
    <t>Payment for the provision of meals and refreshments-Bundibugyo Branch</t>
  </si>
  <si>
    <t>Bundibugyo Divine Restaurant</t>
  </si>
  <si>
    <t>NO:220</t>
  </si>
  <si>
    <t>Payment for the provision of meals and refreshments-Kabarole</t>
  </si>
  <si>
    <t>Pekirine And Family Services</t>
  </si>
  <si>
    <t>NO:221</t>
  </si>
  <si>
    <t>NO:202</t>
  </si>
  <si>
    <t>Payment for the provsion of Fully day conference package-Bundibugyo</t>
  </si>
  <si>
    <t>New Fort View Hotel Co.Ltd</t>
  </si>
  <si>
    <t>NO:249</t>
  </si>
  <si>
    <t>Payment for the supplied stationery items-Hoima</t>
  </si>
  <si>
    <t>Premium Stationers &amp; Bookshop</t>
  </si>
  <si>
    <t>NO:217</t>
  </si>
  <si>
    <t>Payment for the supplied stationery items-Kabarole Branch</t>
  </si>
  <si>
    <t>Century Arts</t>
  </si>
  <si>
    <t>NO:218</t>
  </si>
  <si>
    <t>NO:235</t>
  </si>
  <si>
    <t>Perdiem for orientation of Ditsrict Task Force On CES-KIKUUBE</t>
  </si>
  <si>
    <t>Perdiem for orientation of Ditsrict Task Force On CES-Kyegegwa on 3.10.21 to 4.10.2021</t>
  </si>
  <si>
    <t>NO:460</t>
  </si>
  <si>
    <t>Perdiem for Orientation of Task Force on CES on Kyegegwa</t>
  </si>
  <si>
    <t>Bamutya Suudhi</t>
  </si>
  <si>
    <t>NO:456</t>
  </si>
  <si>
    <t>Perdiem for Orientation of Volunteers on CES on Covid-19 Ntoroko</t>
  </si>
  <si>
    <t>NO:459</t>
  </si>
  <si>
    <t>Perdiem for Orientation of Volunteers on CES on Kyegegwa</t>
  </si>
  <si>
    <t>NO:457</t>
  </si>
  <si>
    <t>Perdiem for Training of district Health Teams as ToT on CES</t>
  </si>
  <si>
    <t>NO:458</t>
  </si>
  <si>
    <t>NO:184</t>
  </si>
  <si>
    <t>Perdiem for Training of district Health Teams as ToT on CES on 5.10.2021 - 8.10.2021</t>
  </si>
  <si>
    <t>NO:229</t>
  </si>
  <si>
    <t>Perdiem of District Health Teams as ToT on CES</t>
  </si>
  <si>
    <t>NO:232</t>
  </si>
  <si>
    <t>NO:233</t>
  </si>
  <si>
    <t>Perdiem on Orientation of Volunteers on CES Kikuube 19-23Oct 21</t>
  </si>
  <si>
    <t>NO:240</t>
  </si>
  <si>
    <t>Perdiem on Orientation of Volunteers on CES Kyegegwa 23-28.10.2021</t>
  </si>
  <si>
    <t>Perdiem on Orientation of Volunteers on CES Kyegegwa 3,4,.10.2021</t>
  </si>
  <si>
    <t>NO:208</t>
  </si>
  <si>
    <t>Perdiem Orientation of Volunteers on CES-Ntoroko</t>
  </si>
  <si>
    <t>NO:209</t>
  </si>
  <si>
    <t>NO:210</t>
  </si>
  <si>
    <t>NO:206</t>
  </si>
  <si>
    <t>Perdiem Training of District Health Teams on ToT on CES</t>
  </si>
  <si>
    <t>Openydoga Geofrey</t>
  </si>
  <si>
    <t>NO:205</t>
  </si>
  <si>
    <t>URA WHT Payment for provision of meals and refreshments and transport services</t>
  </si>
  <si>
    <t>URA WHT Betty Kiden</t>
  </si>
  <si>
    <t>NO:203</t>
  </si>
  <si>
    <t>URA WHT Payment for the provsion of Fully day conference package-Bundibugyo</t>
  </si>
  <si>
    <t>URA WHT New Fort View Hotel Co.Ltd</t>
  </si>
  <si>
    <t>NO:201</t>
  </si>
  <si>
    <t>URA-WHT Payment for the provision of meals and refreshments-Bundibugyo Branch</t>
  </si>
  <si>
    <t>URA WHT Bundibugyo Divine Restaurant</t>
  </si>
  <si>
    <t>NO:222</t>
  </si>
  <si>
    <t>URA-WHT Payment for the provision of meals and refreshments-Kabarole</t>
  </si>
  <si>
    <t>URA-WHT Pekirine And Family Services</t>
  </si>
  <si>
    <t>NO:349</t>
  </si>
  <si>
    <t>Volunteer (VCTF) Members allowance for November&amp;December 2021</t>
  </si>
  <si>
    <t>NO:340</t>
  </si>
  <si>
    <t>Volunteer (VCTF) Members allowance for October-November 2021</t>
  </si>
  <si>
    <t>NO:241</t>
  </si>
  <si>
    <t>Volunteer payments for the month of October 2021 Kyegegwa DistrIct</t>
  </si>
  <si>
    <t>NO:223</t>
  </si>
  <si>
    <t>Vounteer conducting household visits for the period of August 2021</t>
  </si>
  <si>
    <t>WHT-Payt for supplied Meals &amp; Refreshments-Kyegegw</t>
  </si>
  <si>
    <t>URA WHT Premium Stationers &amp; Bookshop</t>
  </si>
  <si>
    <t>Totaal Integrated volunteer training (RCSM, surveillance and PSS) COVID-19</t>
  </si>
  <si>
    <t>NO:418</t>
  </si>
  <si>
    <t>Facilitating physical orientation of VCTFs as Social Mobilizers for ACV mass vaccination-Nakawa</t>
  </si>
  <si>
    <t>NO:420</t>
  </si>
  <si>
    <t>NO:419</t>
  </si>
  <si>
    <t>Facilitating physical orientation of VCTFs as Social Mobilizers for ACV mass vaccination-Rubaga</t>
  </si>
  <si>
    <t>NO:424</t>
  </si>
  <si>
    <t>Facilitating physical orientation on VCTFs as Social Mobilizers</t>
  </si>
  <si>
    <t>NO:423</t>
  </si>
  <si>
    <t>Facilitating pysical orientation of VCTFs as social mobilizers for ACV mass vaccination-kampala</t>
  </si>
  <si>
    <t>NO:339</t>
  </si>
  <si>
    <t>Orientation and Supervison During Covid-19 Vaccination Campaign-Mukono</t>
  </si>
  <si>
    <t>NO:337</t>
  </si>
  <si>
    <t>Orientation and supervison During Covid-19 Vaccination Campaign-Mukono-Najjemba Sylvia</t>
  </si>
  <si>
    <t>Epajja Isabella</t>
  </si>
  <si>
    <t>NO:336</t>
  </si>
  <si>
    <t>Orientation and supervison During Covid-19 Vaccination Campaign-Wakiso-Najjemba Sylvia</t>
  </si>
  <si>
    <t>NO:341</t>
  </si>
  <si>
    <t>Orientation and supervsion during Covid 19 Vaccination Campaign</t>
  </si>
  <si>
    <t>Tayebwa Prize</t>
  </si>
  <si>
    <t>NO:342</t>
  </si>
  <si>
    <t>Naduduwa Maureen</t>
  </si>
  <si>
    <t>NO:343</t>
  </si>
  <si>
    <t>NO:344</t>
  </si>
  <si>
    <t>Christine Ondoru</t>
  </si>
  <si>
    <t>NO:346</t>
  </si>
  <si>
    <t>Dativah Nuwashaa</t>
  </si>
  <si>
    <t>NO:375</t>
  </si>
  <si>
    <t>Orientation and supervsion during Covid 19 Vaccination Campaign-Nakawa</t>
  </si>
  <si>
    <t>Henry Kuggundu</t>
  </si>
  <si>
    <t>NO:402</t>
  </si>
  <si>
    <t>Orientation of VCTF in Social Mobilisation for Accelerated Mass Vaccination-Nakawa</t>
  </si>
  <si>
    <t>NO:182</t>
  </si>
  <si>
    <t>Payment for the supplied printed flipcharts and posters</t>
  </si>
  <si>
    <t>In-Line Print Services</t>
  </si>
  <si>
    <t>NO:060</t>
  </si>
  <si>
    <t xml:space="preserve">Supplied  Disposable Face Masks under BRC Support </t>
  </si>
  <si>
    <t>desh business solutions</t>
  </si>
  <si>
    <t>Supplied Eye Goggles under BRC Support for Covid-19</t>
  </si>
  <si>
    <t>Ksen Technical Group</t>
  </si>
  <si>
    <t>NO:065</t>
  </si>
  <si>
    <t>Supplied Face maks-Reusable under BRC Support  for COVID-20</t>
  </si>
  <si>
    <t>NO:063</t>
  </si>
  <si>
    <t>lubuga agences limited</t>
  </si>
  <si>
    <t>NO:149</t>
  </si>
  <si>
    <t>NO:067</t>
  </si>
  <si>
    <t>Supplied Saraya anti-bacterial disinfec-under BRC</t>
  </si>
  <si>
    <t>jadma stars investments ltd</t>
  </si>
  <si>
    <t xml:space="preserve">URA-WHT Supplied  Disposable Face Masks under BRC Support </t>
  </si>
  <si>
    <t>NO:066</t>
  </si>
  <si>
    <t>URA-WHT Supplied Face maks-Reusable under BRC Support  for COVID-19</t>
  </si>
  <si>
    <t>NO:064</t>
  </si>
  <si>
    <t>URA-WHT Supplied Heavy duty Gumboots under BRC Support for Covid-19</t>
  </si>
  <si>
    <t>Totaal Inter-personal communication and hygiene promotion at HH and community level - COVID-19</t>
  </si>
  <si>
    <t>NO:264</t>
  </si>
  <si>
    <t>CDMs and orientatio of DTF of Kikuube-Stella Ajore</t>
  </si>
  <si>
    <t>NO:090</t>
  </si>
  <si>
    <t>Distribution of Hygiene Kits-Ajore Stella</t>
  </si>
  <si>
    <t>NO:315</t>
  </si>
  <si>
    <t>Kyegegwa quarterly review meeting_x0002_Stella Ajore</t>
  </si>
  <si>
    <t>NO:103</t>
  </si>
  <si>
    <t>Mileage field supervision Trainin in Hoima &amp; Kyagwali Volunteers</t>
  </si>
  <si>
    <t>NO:083</t>
  </si>
  <si>
    <t>Mileage for documentation of Hygiene distributiom</t>
  </si>
  <si>
    <t>NO:301</t>
  </si>
  <si>
    <t>Mileage for Katakwi to support Project staff bereaved</t>
  </si>
  <si>
    <t>NO:102</t>
  </si>
  <si>
    <t>Mlileage for orientation of Ntororko DDMC-Okiror Emmanueal</t>
  </si>
  <si>
    <t>NO:306</t>
  </si>
  <si>
    <t>NDRT IM training for DPIII Project_x0002_KX18A272</t>
  </si>
  <si>
    <t>NO:005</t>
  </si>
  <si>
    <t>Orientation on volunteers on CES in Ntoroko-Okiror Emmanuel</t>
  </si>
  <si>
    <t>Orienting DTF in Kyegegwa TOT for CES-Stella Ajore</t>
  </si>
  <si>
    <t>NO:265</t>
  </si>
  <si>
    <t>Post Distribution Monitoring survey hygiene distribution kits-Joram Mugisha</t>
  </si>
  <si>
    <t>NO:299</t>
  </si>
  <si>
    <t>Service B2 on Motor Vehicle No:KX18A252</t>
  </si>
  <si>
    <t>KR Ssebuguzi Motor</t>
  </si>
  <si>
    <t>NO:316</t>
  </si>
  <si>
    <t>NO:085</t>
  </si>
  <si>
    <t>Support CBDRR Trainin in Ntoroko</t>
  </si>
  <si>
    <t>NO:092</t>
  </si>
  <si>
    <t>Support Identification of Site for community Radio</t>
  </si>
  <si>
    <t>NO:317</t>
  </si>
  <si>
    <t>Support installation of EWS-Okiror Emmanuel</t>
  </si>
  <si>
    <t>NO:318</t>
  </si>
  <si>
    <t>Training of CBDRRG on Ews-Okiror Emmanuel</t>
  </si>
  <si>
    <t>NO:307</t>
  </si>
  <si>
    <t>Volunteer mtgs DTF Stella Ajore_x0002_UBA440A</t>
  </si>
  <si>
    <t>Totaal Light Vehicle - Fuel, mileage and maintenace costs (2 Landcruisers)</t>
  </si>
  <si>
    <t>NO:059</t>
  </si>
  <si>
    <t>Claim for  perdiem for Participation in the Strategic Planning  meeting</t>
  </si>
  <si>
    <t>Driver Perdiem for Supporting Activities in Kyaka II</t>
  </si>
  <si>
    <t>Driver Perdiem for Supporting Kampala Travels of the New Belgian Redcross Country Representative</t>
  </si>
  <si>
    <t>NO:080</t>
  </si>
  <si>
    <t xml:space="preserve">Mileage to conduct needs assessment for food insecurity  in Karamoja region to inform use Multi-Purpose Cash Transfer (MPCT) </t>
  </si>
  <si>
    <t>NO:039</t>
  </si>
  <si>
    <t>Perdiem &amp; SDA for supporting project implementatio</t>
  </si>
  <si>
    <t>NO:089</t>
  </si>
  <si>
    <t>Simex-Arua and Monitoring-Brian Kanaahe</t>
  </si>
  <si>
    <t>Totaal Local National travel driver (perdiems, millegage, day allowances, consumables) 2 Staff</t>
  </si>
  <si>
    <t>NO:274</t>
  </si>
  <si>
    <t>Airtime for mobilization during Post Distribution Monitoring Survey Hygiene Distribution Kits</t>
  </si>
  <si>
    <t>NO:050</t>
  </si>
  <si>
    <t>Claim for money spent during planning Meetin at HQ</t>
  </si>
  <si>
    <t xml:space="preserve"> STELLA AJORE </t>
  </si>
  <si>
    <t>NO:036</t>
  </si>
  <si>
    <t>Claim for money spent during the rapid assessment</t>
  </si>
  <si>
    <t>JORAM MUSINGUZI</t>
  </si>
  <si>
    <t>NO:049</t>
  </si>
  <si>
    <t>Claim for the money spent during planning at HQ</t>
  </si>
  <si>
    <t xml:space="preserve">OKIROR EMMANUEL                          </t>
  </si>
  <si>
    <t>NO:048</t>
  </si>
  <si>
    <t>Claim for the money spent planning meeting at HQ</t>
  </si>
  <si>
    <t>NO:054</t>
  </si>
  <si>
    <t>Claim for the perdiem while in Kabarole foe appraisals</t>
  </si>
  <si>
    <t>NO:298</t>
  </si>
  <si>
    <t>Conducting Post Distribution Monitoring Survey Of Hygiene Improvement</t>
  </si>
  <si>
    <t>Arera Peter</t>
  </si>
  <si>
    <t>NO:273</t>
  </si>
  <si>
    <t>Day Allowance  Post Distribution Monitoring Survey Hygiene Distribution Kits</t>
  </si>
  <si>
    <t>NO:272</t>
  </si>
  <si>
    <t>Day allowance For Officer and Driver for Post Distribution Monitoring Survey Hygiene Distribution Kits</t>
  </si>
  <si>
    <t>CUG$14</t>
  </si>
  <si>
    <t>DPIII: EVCA ToT - Airport transfer</t>
  </si>
  <si>
    <t>The Boma Nairobi</t>
  </si>
  <si>
    <t>CUG$15</t>
  </si>
  <si>
    <t>CUG$13=CUGX148</t>
  </si>
  <si>
    <t xml:space="preserve">DPIII: EVCA ToT - Per diem </t>
  </si>
  <si>
    <t>Emmanuel Okiror</t>
  </si>
  <si>
    <t>CUGX8</t>
  </si>
  <si>
    <t>DPIII: Inception meeting: per diem (2) + transport allowance</t>
  </si>
  <si>
    <t>UGX</t>
  </si>
  <si>
    <t>CUGX9</t>
  </si>
  <si>
    <t>CUGX10</t>
  </si>
  <si>
    <t>Dennis Mwesiga</t>
  </si>
  <si>
    <t>CUGX11</t>
  </si>
  <si>
    <t>CUGX158</t>
  </si>
  <si>
    <t>DPIII: Project planning meeting - per diem field officers (2-4/12)</t>
  </si>
  <si>
    <t>Emma Okiror - Stella Ajore</t>
  </si>
  <si>
    <t>NO:035</t>
  </si>
  <si>
    <t>Facilitation during the Floods assesment in Ntoroko</t>
  </si>
  <si>
    <t xml:space="preserve">Facilitation for strategic planning meeting </t>
  </si>
  <si>
    <t>NO:021:A &amp; NO:021:B</t>
  </si>
  <si>
    <t>Facilitation of Newly recruited project officer to get oriented at HQ</t>
  </si>
  <si>
    <t>NO:032:B &amp; NO:032:A</t>
  </si>
  <si>
    <t>NO:033:A &amp; NO:033:B</t>
  </si>
  <si>
    <t>Blaise Bukuyi</t>
  </si>
  <si>
    <t>NO:321</t>
  </si>
  <si>
    <t>Kasumba Robert</t>
  </si>
  <si>
    <t>CUGX110=CUG$8</t>
  </si>
  <si>
    <t>Per diem DPIII Kick-off - 100 USD</t>
  </si>
  <si>
    <t>Robert Akankwasa</t>
  </si>
  <si>
    <t>CUGX111=CUG$9</t>
  </si>
  <si>
    <t>CUGX112=CUG$10</t>
  </si>
  <si>
    <t>Leo natamba</t>
  </si>
  <si>
    <t>Perdiem  Post Distribution Monitoring Survey Hygiene Distribution Kits</t>
  </si>
  <si>
    <t>Perdiem For Officer and Driver for Post Distribution Monitoring Survey Hygiene Distribution Kits</t>
  </si>
  <si>
    <t>NO:055</t>
  </si>
  <si>
    <t>Perdiem for Project planning meeting</t>
  </si>
  <si>
    <t>NO:056</t>
  </si>
  <si>
    <t>NO:057</t>
  </si>
  <si>
    <t>NO:037</t>
  </si>
  <si>
    <t xml:space="preserve">Perdiem for the driver dur the floods assessment </t>
  </si>
  <si>
    <t xml:space="preserve">KIWANUKA GERALD </t>
  </si>
  <si>
    <t>NO:261</t>
  </si>
  <si>
    <t>Post Distribution Monitoring survey hygiene distribution kits</t>
  </si>
  <si>
    <t>NO:016</t>
  </si>
  <si>
    <t>Relocation allowance to be based in Kabarole</t>
  </si>
  <si>
    <t>CUGX12</t>
  </si>
  <si>
    <t>Support scanning and filing project documents BRC-FL</t>
  </si>
  <si>
    <t>Samuel Mukisa</t>
  </si>
  <si>
    <t>CUGX13</t>
  </si>
  <si>
    <t>Stephen Ocetcho</t>
  </si>
  <si>
    <t>CUGX14</t>
  </si>
  <si>
    <t>Joel Musinguzi</t>
  </si>
  <si>
    <t>NO:303</t>
  </si>
  <si>
    <t>Volunteer payments for post distribution monitoring -Kyegegwa</t>
  </si>
  <si>
    <t>NO:266</t>
  </si>
  <si>
    <t>Volunteer payments for post distribution monitoring survey of they hygiene improvement distribution kits</t>
  </si>
  <si>
    <t>NO:104</t>
  </si>
  <si>
    <t>VSLA meetings and DP3 August volunteer meetings</t>
  </si>
  <si>
    <t>Totaal Local National travel officers (perdiems, mileage, day allowances, consumables) 7 staff</t>
  </si>
  <si>
    <t>DIV210560</t>
  </si>
  <si>
    <t>DPIII Loonkost Q3 - HSIO Uganda</t>
  </si>
  <si>
    <t>DIV210845</t>
  </si>
  <si>
    <t>DPIII Loonkost Q4 - HSIO Uganda</t>
  </si>
  <si>
    <t>DIV211377</t>
  </si>
  <si>
    <t>DPIII Loonkostrecuperatie 2021 - Head of International programs Uganda</t>
  </si>
  <si>
    <t>DIV211383</t>
  </si>
  <si>
    <t>DPIII Loonkostrecuperatie 2021 - HSIO FA Uganda</t>
  </si>
  <si>
    <t>DIV211389</t>
  </si>
  <si>
    <t>DPIII Loonkostrecuperatie 2021 - HSIO WASH Uganda</t>
  </si>
  <si>
    <t>DIV200025</t>
  </si>
  <si>
    <t>AANk2000179 is voor 2019</t>
  </si>
  <si>
    <t>AANK1900973</t>
  </si>
  <si>
    <t>corr  INTL-009470-AANK1900973-VLUCHTEN</t>
  </si>
  <si>
    <t>RwandAir</t>
  </si>
  <si>
    <t>DIV200696</t>
  </si>
  <si>
    <t>Correctie DLG reg D. Goeminne-INTL-012884-V.BET. * D.GOEMINNE</t>
  </si>
  <si>
    <t>D. Goeminne</t>
  </si>
  <si>
    <t>CMZN99</t>
  </si>
  <si>
    <t>Covid test for travel to Uganda partnership visit</t>
  </si>
  <si>
    <t>Biolife</t>
  </si>
  <si>
    <t>MZN</t>
  </si>
  <si>
    <t>AANK2100647</t>
  </si>
  <si>
    <t>DLG3$TICKET W. RHEBERGEN MAPUTO - ENTEBBE</t>
  </si>
  <si>
    <t>AANK2100707</t>
  </si>
  <si>
    <t>AANK2100727</t>
  </si>
  <si>
    <t>DLG3$TICKET W. RHEBERGEN MAPUTO - ENTEBBE CN</t>
  </si>
  <si>
    <t>ONKOSTEN210627</t>
  </si>
  <si>
    <t>ONK Rhebergen W Entebbe Airport COVID-19 Laboratory 2021-11-24 Covid test on arrival for W Rhebergen</t>
  </si>
  <si>
    <t>RHEBERGEN WOUTER</t>
  </si>
  <si>
    <t>ONKOSTEN210644</t>
  </si>
  <si>
    <t>ONK Rhebergen W Republic of Uganda 2021-11-23 Visa for Uganda for W Rhebergen. Was ,ot possible to g</t>
  </si>
  <si>
    <t>ONKOSTEN210779</t>
  </si>
  <si>
    <t>ONK VISA Rhebergen W Garden Court OR TAMBO 2021-11-27 Hotel 1 night on return trip Uganda to MZ W Rh</t>
  </si>
  <si>
    <t>Garden Court OR TAMBO</t>
  </si>
  <si>
    <t>ONKOSTEN210683</t>
  </si>
  <si>
    <t>ONK VISA Rhebergen W Golf Course Apartments 2021-11-24 Accomodation W Rhebergen. Partnership visit U</t>
  </si>
  <si>
    <t>Golf Course Apartments</t>
  </si>
  <si>
    <t>ONKOSTEN210687</t>
  </si>
  <si>
    <t>ONK VISA Rhebergen W Golf Course Apartments 2021-11-26 Accomodation W Rhebergen Kampala - partnershi</t>
  </si>
  <si>
    <t>ONKOSTEN210686</t>
  </si>
  <si>
    <t>ONK VISA Rhebergen W Unity Skin Clinic 2021-11-26 Covid test for travel back to MZ</t>
  </si>
  <si>
    <t>Unity Skin Clinic The Medical Hub</t>
  </si>
  <si>
    <t>NO:302</t>
  </si>
  <si>
    <t>Allowance During Meeting for DP3 PROJECT</t>
  </si>
  <si>
    <t>Claim for the DMMC member who attended Incepton meeting</t>
  </si>
  <si>
    <t>NO:323</t>
  </si>
  <si>
    <t>Day allowance during the support supervison of project delegate in Ntoroko</t>
  </si>
  <si>
    <t>NO:287</t>
  </si>
  <si>
    <t>Day allowance for support supervision of project delegate in Hoima, Kabarole, Ntoroko and Kyegegwa</t>
  </si>
  <si>
    <t>NO:288</t>
  </si>
  <si>
    <t>Denis Kamanyi</t>
  </si>
  <si>
    <t>NO:311</t>
  </si>
  <si>
    <t>Day allowance for supporting project delegate</t>
  </si>
  <si>
    <t>NO:278</t>
  </si>
  <si>
    <t xml:space="preserve">Day Allowance Perdiem for support supervsion visit of project delegate </t>
  </si>
  <si>
    <t>DPIII Activities mileage</t>
  </si>
  <si>
    <t>NO:047:A</t>
  </si>
  <si>
    <t>DPIII field monitoring supervisor-Geoffrey Kasumba</t>
  </si>
  <si>
    <t>NO:047:B</t>
  </si>
  <si>
    <t>NO:047:C</t>
  </si>
  <si>
    <t>Geoffrey Kasumba</t>
  </si>
  <si>
    <t>DPIII Inception Meeting in Ntoroko District</t>
  </si>
  <si>
    <t>perdiem-Vicent Odoch</t>
  </si>
  <si>
    <t>Mileage Recharge for Belgian DPIII November 2020</t>
  </si>
  <si>
    <t>Mileage Revenue 4 SCM</t>
  </si>
  <si>
    <t>Orientation meetings Succefully conducted</t>
  </si>
  <si>
    <t>NO:314</t>
  </si>
  <si>
    <t>Perdiem and Day Allownce during the visit by Belgian DPIII Project Delegate</t>
  </si>
  <si>
    <t>Perdiem for support supervision of project delegate in Hoima, Kabarole, Ntoroko and Kyegegwa</t>
  </si>
  <si>
    <t>NO:279</t>
  </si>
  <si>
    <t xml:space="preserve">Perdiem for support supervsion visit of project delegate </t>
  </si>
  <si>
    <t>NO:051</t>
  </si>
  <si>
    <t>Support activities in Kyaka II,Kyegegwa</t>
  </si>
  <si>
    <t>Visit Assessment of Belg DPIII Activities</t>
  </si>
  <si>
    <t>NO:322</t>
  </si>
  <si>
    <t>Visit by DGD Headquaters and DPIII Project Delegate</t>
  </si>
  <si>
    <t>Kasumba Geofrey</t>
  </si>
  <si>
    <t xml:space="preserve">Volunteer egagement mileage </t>
  </si>
  <si>
    <t>Totaal Monitoring (perdiems, mileage, day allowances, consumables)</t>
  </si>
  <si>
    <t>NO:044</t>
  </si>
  <si>
    <t>Supplied Motorcycles, Regisrtered with accessories</t>
  </si>
  <si>
    <t>Honda Uganda Limited</t>
  </si>
  <si>
    <t xml:space="preserve">Totaal Motorcycles and Protective gear </t>
  </si>
  <si>
    <t>NO:096</t>
  </si>
  <si>
    <t>Beingcharges in respect of cleaning and maintenance for the  month of August 2021</t>
  </si>
  <si>
    <t>Dream Clean Ltd</t>
  </si>
  <si>
    <t>NO;002</t>
  </si>
  <si>
    <t>Payment for Cleaning services for the month of August 2020</t>
  </si>
  <si>
    <t>Dream Clean Limited</t>
  </si>
  <si>
    <t>NO;001</t>
  </si>
  <si>
    <t>Payment for Cleaning services for the month of July 2020</t>
  </si>
  <si>
    <t>NO;003</t>
  </si>
  <si>
    <t>Payment for Cleaning services for the month of September 2020</t>
  </si>
  <si>
    <t>URA WHT Being charges in respect of cleaning and maintenance for the  month of August 2021</t>
  </si>
  <si>
    <t>URA WHT Dream Clean Ltd</t>
  </si>
  <si>
    <t>Totaal Office cleaning (20% contributions)</t>
  </si>
  <si>
    <t>NO:296</t>
  </si>
  <si>
    <t xml:space="preserve">Paymentfor Supply &amp; Delivery of General Office Equipment </t>
  </si>
  <si>
    <t>Nila Multi Concepts Limited</t>
  </si>
  <si>
    <t>NO;005</t>
  </si>
  <si>
    <t>Supplied office equipments for field offices Ntoroko - Wooden chair, wooden table, printer</t>
  </si>
  <si>
    <t>Tesla Investment Ltd</t>
  </si>
  <si>
    <t>NO;007</t>
  </si>
  <si>
    <t>Supply and installation of a door lock</t>
  </si>
  <si>
    <t>Tsavo General Ent Ltd</t>
  </si>
  <si>
    <t>NO;006</t>
  </si>
  <si>
    <t>URA-WHT Supplied office equipments for field offices Ntoroko</t>
  </si>
  <si>
    <t>URA-WHT Tesla Investment Ltd</t>
  </si>
  <si>
    <t>Totaal Office equipment, furniture, supplies (2 Locations)</t>
  </si>
  <si>
    <t>NO:257</t>
  </si>
  <si>
    <t>Airtime and data bundle for the field staff for Mtn</t>
  </si>
  <si>
    <t>NO:040</t>
  </si>
  <si>
    <t>Assorted stationery items for DPIII Project Office in Kagurugutu,Ntoroko District</t>
  </si>
  <si>
    <t>Tesla Invstments Ltd</t>
  </si>
  <si>
    <t>NO:286</t>
  </si>
  <si>
    <t>Electricity Support Branch Office Utilities</t>
  </si>
  <si>
    <t>21/4/2021</t>
  </si>
  <si>
    <t>Field Office Communication Costs-Okiror Emmanuel</t>
  </si>
  <si>
    <t>Chims Enterprises</t>
  </si>
  <si>
    <t>NO:051:A</t>
  </si>
  <si>
    <t>Field office utilities for Kikube,Hoima URCS Offices</t>
  </si>
  <si>
    <t>Wages</t>
  </si>
  <si>
    <t>NO:051:B</t>
  </si>
  <si>
    <t>Umme Yak</t>
  </si>
  <si>
    <t>NO:051:C</t>
  </si>
  <si>
    <t>mukasa-matovu stationery</t>
  </si>
  <si>
    <t>NO:051:D</t>
  </si>
  <si>
    <t>Water Bills NWSC</t>
  </si>
  <si>
    <t>NO:051:E</t>
  </si>
  <si>
    <t>Najima Grocery</t>
  </si>
  <si>
    <t>NO:051:F</t>
  </si>
  <si>
    <t>Mugisa and Sons grocery shop</t>
  </si>
  <si>
    <t>NO:056:A</t>
  </si>
  <si>
    <t>Field Office Utilities for Kyegegwa,Kabaarole URCS</t>
  </si>
  <si>
    <t>NO:056:B</t>
  </si>
  <si>
    <t>NO:056:C</t>
  </si>
  <si>
    <t>NO:284</t>
  </si>
  <si>
    <t>Payment for Electrical i Electrical installation and water connection for office Kabarole</t>
  </si>
  <si>
    <t>Pekirine &amp; Family Services</t>
  </si>
  <si>
    <t>NO:276</t>
  </si>
  <si>
    <t xml:space="preserve">Payment for the supplied Office Utilities/Supplies for Ntoroko, Kikube and Kyegegwa fieild offices </t>
  </si>
  <si>
    <t>Tesla Investments Limited</t>
  </si>
  <si>
    <t>NO:081</t>
  </si>
  <si>
    <t>Payment for the supplied stationery items for Hoima Branch</t>
  </si>
  <si>
    <t>Payment for the supplied stationery items-Kabarole</t>
  </si>
  <si>
    <t>Century Arts And Stationery.</t>
  </si>
  <si>
    <t>NO:002</t>
  </si>
  <si>
    <t>Payt for supplied Office stationery-Hoima</t>
  </si>
  <si>
    <t>Support  Enhancement of Community Resilience</t>
  </si>
  <si>
    <t>NO:285</t>
  </si>
  <si>
    <t>URA WHT Payment for Electrical installation and water connection for  office Kabarole</t>
  </si>
  <si>
    <t>URA WHT Pekirine &amp; Family Services</t>
  </si>
  <si>
    <t>NO:003</t>
  </si>
  <si>
    <t>URA WHT Payt for supplied Office stationery-Hoima</t>
  </si>
  <si>
    <t>NO:277</t>
  </si>
  <si>
    <t>URA-WHT Payment for the supplied Office Utilities/Supplies for Ntoroko</t>
  </si>
  <si>
    <t>URA WHT Tesla Investments Limited</t>
  </si>
  <si>
    <t>NO:082</t>
  </si>
  <si>
    <t>URA-WHT Payment for the supplied stationery items for Hoima Branch</t>
  </si>
  <si>
    <t>URA-WHT Premium Stationers &amp; Bookshop</t>
  </si>
  <si>
    <t>Water Bills N Support Branch Office Utilities</t>
  </si>
  <si>
    <t>Totaal Office rent, supplies, utilities and equipment (2 field locations)</t>
  </si>
  <si>
    <t>Claim for perdiem of MOU with UNMA Meeting in Mukono</t>
  </si>
  <si>
    <t>NO:072</t>
  </si>
  <si>
    <t>Conference Package provided during workshop</t>
  </si>
  <si>
    <t>Ridar Hotel ltd</t>
  </si>
  <si>
    <t>NO:125</t>
  </si>
  <si>
    <t>Meeting on operationalization of the MOU between URCS and UNMA</t>
  </si>
  <si>
    <t>NO:127</t>
  </si>
  <si>
    <t>NO:128</t>
  </si>
  <si>
    <t>NO:132</t>
  </si>
  <si>
    <t>NO:137:A</t>
  </si>
  <si>
    <t>NO:137:B</t>
  </si>
  <si>
    <t>NO:137:C</t>
  </si>
  <si>
    <t>Stationery - Century arts</t>
  </si>
  <si>
    <t>NO:137:D</t>
  </si>
  <si>
    <t>NO:138</t>
  </si>
  <si>
    <t>NO:144</t>
  </si>
  <si>
    <t>NO:145</t>
  </si>
  <si>
    <t>NO:151</t>
  </si>
  <si>
    <t xml:space="preserve">Orientation of community influences on Community Influencers </t>
  </si>
  <si>
    <t>Totaal Operationalize the existing MoU with Uganda National Meteorological Authority (UNMA) for dissemination of early warning messages</t>
  </si>
  <si>
    <t>NO:401</t>
  </si>
  <si>
    <t>Learning Visis\t-Insigiro Payment for Participants</t>
  </si>
  <si>
    <t>NO:412</t>
  </si>
  <si>
    <t>Perdiem Exchange Learning visit-Ntoroko</t>
  </si>
  <si>
    <t>Totaal Organisation of simulation exercises per community and district in order to test and validate the contingency plans and evacuation routes</t>
  </si>
  <si>
    <t>NO:181</t>
  </si>
  <si>
    <t>Claim for participants during the DDMC Meetings Ntororko</t>
  </si>
  <si>
    <t>NO:163</t>
  </si>
  <si>
    <t>Conduct Quarterly Review meetingfor Kikuube</t>
  </si>
  <si>
    <t>NO:178</t>
  </si>
  <si>
    <t>Payment for provision of full day conference package-Bundibugyo branch</t>
  </si>
  <si>
    <t>Payment for the district officials during the validation of district multi-hazard contingency plan</t>
  </si>
  <si>
    <t>NO:247</t>
  </si>
  <si>
    <t xml:space="preserve">Perdiem to support Ntoroko DDMC Orientation and Development  Ntoroko District </t>
  </si>
  <si>
    <t>NO:180</t>
  </si>
  <si>
    <t>Perdiem to support Ntoroko DDMC Orientation and Development  Ntoroko District with OPM</t>
  </si>
  <si>
    <t>Okot Paul Bitex</t>
  </si>
  <si>
    <t>NO:211</t>
  </si>
  <si>
    <t>NO:183</t>
  </si>
  <si>
    <t>Perdiem to transport Ntoroko DDMC Orientation and Development of participants during the orientation</t>
  </si>
  <si>
    <t>Transport Refund to transport Ntoroko DDMC Orientation and Development of participants during the orientation</t>
  </si>
  <si>
    <t>NO:179</t>
  </si>
  <si>
    <t>URA-WHT Payment for provision of full day conference package-Bundibugyo branch</t>
  </si>
  <si>
    <t>Totaal Organise and support regular coordination internal and external meetings at district levels</t>
  </si>
  <si>
    <t>NO:397</t>
  </si>
  <si>
    <t>Drivers Perdiem Quarterly review meeting for Kyegegwa</t>
  </si>
  <si>
    <t>NO:246</t>
  </si>
  <si>
    <t>Payment For Hall Hire Projector, Meals &amp; Refreshments</t>
  </si>
  <si>
    <t>NO:463</t>
  </si>
  <si>
    <t xml:space="preserve">Payment for the  supplied stationery items -Hoima </t>
  </si>
  <si>
    <t>Payment for the meals and refreshments , Transport</t>
  </si>
  <si>
    <t>NO:254</t>
  </si>
  <si>
    <t>Payment for the provided Snacks and Refreshments</t>
  </si>
  <si>
    <t>Mult Fore Restuarant Kyangwali</t>
  </si>
  <si>
    <t>NO:372</t>
  </si>
  <si>
    <t>Payment for the provision of meals and refreshments 26.11.2021 Kyegegwa</t>
  </si>
  <si>
    <t>NO:327</t>
  </si>
  <si>
    <t>Payment for the supplied assorted office stationery</t>
  </si>
  <si>
    <t>NO:464</t>
  </si>
  <si>
    <t>Payment for the supplied Eats and Refreshments</t>
  </si>
  <si>
    <t>GRM Restaurant Kikuube</t>
  </si>
  <si>
    <t>Payment for the supplied meals and adrink, Hall Hire and Projector Hire</t>
  </si>
  <si>
    <t>Payment for the supplied Snacks, Drinks and Transport-Hoima</t>
  </si>
  <si>
    <t>Kezabu Restaurant</t>
  </si>
  <si>
    <t>NO:465</t>
  </si>
  <si>
    <t>Perdiem and Day allowance for Quartely progress review meeting-Kikuube</t>
  </si>
  <si>
    <t>NO:466</t>
  </si>
  <si>
    <t>Perdiem and Day allowance for Quartely progress review meeting-Kyagwali</t>
  </si>
  <si>
    <t>NO:413</t>
  </si>
  <si>
    <t>Perdiem and Transport Refund during quarterly progress review meeting-Kyegegwa</t>
  </si>
  <si>
    <t>NO:236</t>
  </si>
  <si>
    <t>Perdiem during quarterly progress review meeting Kyegegwa 1 &amp; 2. 09.2021</t>
  </si>
  <si>
    <t>NO:212</t>
  </si>
  <si>
    <t>Perdiem for driver during quarterly Review Meeting in Kyegegwa</t>
  </si>
  <si>
    <t>NO:396</t>
  </si>
  <si>
    <t>Perdiem Quarterly review meeting for Kyegegwa</t>
  </si>
  <si>
    <t>NO:430</t>
  </si>
  <si>
    <t>Quartely Review meeting-Kikube</t>
  </si>
  <si>
    <t>NO:429</t>
  </si>
  <si>
    <t>Quartely Review meeting-Kyegegwa</t>
  </si>
  <si>
    <t>NO:452</t>
  </si>
  <si>
    <t xml:space="preserve">Supplied stationery items -Kabarole Branch        </t>
  </si>
  <si>
    <t>Totaal Organize a lessons learned workshop in cooperation with the MoH and other health partners on the ECV and CBS operations</t>
  </si>
  <si>
    <t>NO:080:A</t>
  </si>
  <si>
    <t>NO:080:B</t>
  </si>
  <si>
    <t>NO:080:C</t>
  </si>
  <si>
    <t>NO:080:D</t>
  </si>
  <si>
    <t>NO:082:A</t>
  </si>
  <si>
    <t>Inception meeting for DPIII Project</t>
  </si>
  <si>
    <t>NO:082:B</t>
  </si>
  <si>
    <t>Projector - tesla ivestemnt limited</t>
  </si>
  <si>
    <t>NO:082:C</t>
  </si>
  <si>
    <t>NO:085:A</t>
  </si>
  <si>
    <t>NO:085:B</t>
  </si>
  <si>
    <t>NO:108:A</t>
  </si>
  <si>
    <t>Information sharing with stakeholders to Identify</t>
  </si>
  <si>
    <t>NO:108:B</t>
  </si>
  <si>
    <t>NO:108:C</t>
  </si>
  <si>
    <t>NO:108:D</t>
  </si>
  <si>
    <t>NO:123</t>
  </si>
  <si>
    <t>Payment for the transport during the CBDRR group meeting</t>
  </si>
  <si>
    <t>NO:078:A</t>
  </si>
  <si>
    <t>Transport Allowance RDC,LCV,CAO</t>
  </si>
  <si>
    <t xml:space="preserve">Bito Investment </t>
  </si>
  <si>
    <t>NO:078:B</t>
  </si>
  <si>
    <t>NO:078:C</t>
  </si>
  <si>
    <t>NO:078:D</t>
  </si>
  <si>
    <t xml:space="preserve">Kenyana stationers </t>
  </si>
  <si>
    <t>NO:078:E</t>
  </si>
  <si>
    <t>NO:078:F</t>
  </si>
  <si>
    <t xml:space="preserve">Muzinduki Trading co LTD </t>
  </si>
  <si>
    <t>NO:078:G</t>
  </si>
  <si>
    <t xml:space="preserve">Transport Refund - Participants </t>
  </si>
  <si>
    <t>Totaal Organize information sessions for all stakeholders regarding the set-up of the CBDRR Groups</t>
  </si>
  <si>
    <t>NO:173</t>
  </si>
  <si>
    <t>Conduct quarterly Review Meeting for Kyegegwa</t>
  </si>
  <si>
    <t>NO:427</t>
  </si>
  <si>
    <t>Conducting quarterly pogress review meeting with Key Stake Holder</t>
  </si>
  <si>
    <t>NO:154</t>
  </si>
  <si>
    <t>Day Allowance for Quartery Meetings with CBFR Members</t>
  </si>
  <si>
    <t>20/12/2021</t>
  </si>
  <si>
    <t>NO:446</t>
  </si>
  <si>
    <t>Facilitating physical orientation of VCTFs as Social Mobilizers for ACV mass vaccination-Kawempe</t>
  </si>
  <si>
    <t>NO:228</t>
  </si>
  <si>
    <t>Kabarole 3RD quarterly review meeting for volunteer payments held at Kyegegwa Town Council Hall</t>
  </si>
  <si>
    <t>NO:442</t>
  </si>
  <si>
    <t>Orientation and supervsion during Covid 19 Vaccination Campaign-Wakiso</t>
  </si>
  <si>
    <t>Ssaka Joram</t>
  </si>
  <si>
    <t>NO:162</t>
  </si>
  <si>
    <t>Payment for CBDRR Members during quarterly review meeting</t>
  </si>
  <si>
    <t>NO:443</t>
  </si>
  <si>
    <t>Payment for External Facilitators During NDRT Information Training</t>
  </si>
  <si>
    <t>NO:374</t>
  </si>
  <si>
    <t>Payment for provision of meals and refreshments Bundibugyo</t>
  </si>
  <si>
    <t>Melicon Investments Ltd</t>
  </si>
  <si>
    <t>NO:445</t>
  </si>
  <si>
    <t>Payment for the supplied printed Certificates</t>
  </si>
  <si>
    <t>Design Series &amp; Supplies Ltd</t>
  </si>
  <si>
    <t>NO:444</t>
  </si>
  <si>
    <t>Payment for VHTs During Social Mobilisation for Covid-19 Vaccination</t>
  </si>
  <si>
    <t>NO:448</t>
  </si>
  <si>
    <t>Payments for Volunteers durin orientation on social Mobilization for Accelerated Mass Vaccination-Nakawa Div</t>
  </si>
  <si>
    <t>NO:451</t>
  </si>
  <si>
    <t>Support Covid-19 Vaccination Campaign in Ntoroko</t>
  </si>
  <si>
    <t>NO:447</t>
  </si>
  <si>
    <t>Transort refund for VCTF Members and Facilitators for Orentation of VCTF in Community Mobilization</t>
  </si>
  <si>
    <t>NO:450</t>
  </si>
  <si>
    <t>Volunteer payments for Kampala South Branch</t>
  </si>
  <si>
    <t>NO:449</t>
  </si>
  <si>
    <t>Volunteer Payments for September during orientation of community mobilizers-Rubaga</t>
  </si>
  <si>
    <t>Totaal Organize regular CBDRR Group meetings together with the URCS volunteers</t>
  </si>
  <si>
    <t>Facilitation for organising stakeholders meeting in Ntoroko</t>
  </si>
  <si>
    <t>Facilitation for organising stakeholders meeting on Early Warning Systems</t>
  </si>
  <si>
    <t>NO:104:A</t>
  </si>
  <si>
    <t>NO:104:B</t>
  </si>
  <si>
    <t>NO:104:C</t>
  </si>
  <si>
    <t>Stationery - Nzoka stationer</t>
  </si>
  <si>
    <t>NO:118</t>
  </si>
  <si>
    <t>Particuparts payment for the stakeholders meeting in EWS</t>
  </si>
  <si>
    <t xml:space="preserve">Totaal Organize Subcounty stakeholder dialogue meetings (including traditional and cultural leaders, civic leaders, religious leaders, district Meteorological department, ) to document indigenous information on early warning for floods and prolonged dry </t>
  </si>
  <si>
    <t>NO:111</t>
  </si>
  <si>
    <t>Community dialogue meeting in Kyakapere &amp; ,Maratatu villages</t>
  </si>
  <si>
    <t>NO:194</t>
  </si>
  <si>
    <t>Community dialogue meeting in Mombasa and Kentomi villages , Kikuube District</t>
  </si>
  <si>
    <t>NO:198</t>
  </si>
  <si>
    <t>Community dialogue meeting-KIKUUBE in Nsunzu and Nsonga Villages</t>
  </si>
  <si>
    <t>NO:195</t>
  </si>
  <si>
    <t>Community dialogue meeting-KIKUUBE Kyakapere and Maratatu Villages</t>
  </si>
  <si>
    <t>NO:333</t>
  </si>
  <si>
    <t>Community Dialogue meeting-Kyagali from 18th-22nd November 2021</t>
  </si>
  <si>
    <t>NO:196</t>
  </si>
  <si>
    <t>Conducting household visits-Kyagwali</t>
  </si>
  <si>
    <t>NO:197</t>
  </si>
  <si>
    <t>Orientation of Kikuube district task force on CES</t>
  </si>
  <si>
    <t>NO:353</t>
  </si>
  <si>
    <t>Payment for community Dialogue Meeting -Kyaka II 15th-19th November 2021</t>
  </si>
  <si>
    <t>NO:371</t>
  </si>
  <si>
    <t>Payment for provision of conference Pavkage 3.12.2021 Kabarole</t>
  </si>
  <si>
    <t>Payment for snacks, transport, Venue hire and projector hire-Hoima</t>
  </si>
  <si>
    <t xml:space="preserve">Betty Kiden </t>
  </si>
  <si>
    <t>NO:326</t>
  </si>
  <si>
    <t>Payment for suppied Stationery Items</t>
  </si>
  <si>
    <t>NO:135</t>
  </si>
  <si>
    <t>Payment for supplied stationery Items-Hoima</t>
  </si>
  <si>
    <t>NO:139</t>
  </si>
  <si>
    <t>NO:476</t>
  </si>
  <si>
    <t>Payment for supplied Stationery items-Kabarole</t>
  </si>
  <si>
    <t>NO:136</t>
  </si>
  <si>
    <t>Payment for supplied Training Materials-Kabarole Branch</t>
  </si>
  <si>
    <t>Century Arts And Stationery</t>
  </si>
  <si>
    <t>NO:252</t>
  </si>
  <si>
    <t>Payment for the Provided Meals, Refreshments and Transport.-HOIMA</t>
  </si>
  <si>
    <t>NO:250</t>
  </si>
  <si>
    <t>Payment for the Provided snacks ,Refreshments and Transport-Hoima</t>
  </si>
  <si>
    <t>Multifore Restuarant Kyangwali</t>
  </si>
  <si>
    <t>Payment for the provided Snacks, transport, Venue hire and projector hire</t>
  </si>
  <si>
    <t>NO:141</t>
  </si>
  <si>
    <t>Payment for the supplied meals ,Hall hire and Projector-Kabarole</t>
  </si>
  <si>
    <t>NO:477</t>
  </si>
  <si>
    <t>DESIGN SERIES &amp; SUPPLIES LTD</t>
  </si>
  <si>
    <t>NO:251</t>
  </si>
  <si>
    <t>Payment for the supplied Stationery items -Hoima</t>
  </si>
  <si>
    <t>NO:253</t>
  </si>
  <si>
    <t>Payment for the supplied stationery Items-Hoima</t>
  </si>
  <si>
    <t>Payment for the supplied training materials -kabar</t>
  </si>
  <si>
    <t>NO:415</t>
  </si>
  <si>
    <t>Perdiem and Day allowance for Community Dialogue meeting Kyangwali+</t>
  </si>
  <si>
    <t>NO:416</t>
  </si>
  <si>
    <t>NO:478</t>
  </si>
  <si>
    <t>Perdiem and Transport Refund during Community Dialogue meeting-Kikuube</t>
  </si>
  <si>
    <t>NO:431</t>
  </si>
  <si>
    <t>Perdiem for Community dialogue meeting</t>
  </si>
  <si>
    <t>NO:425</t>
  </si>
  <si>
    <t>Perdiem for community Dialogue Meeting KyAKA</t>
  </si>
  <si>
    <t>NO:355</t>
  </si>
  <si>
    <t>Perdiem for Community Dialogue Meeting Kyegegwa</t>
  </si>
  <si>
    <t>NO:414</t>
  </si>
  <si>
    <t>Perdiem for community Dialogue Meeting Kyegegwa</t>
  </si>
  <si>
    <t>NO:417</t>
  </si>
  <si>
    <t>NO:421</t>
  </si>
  <si>
    <t>NO:406</t>
  </si>
  <si>
    <t>PerdiemCommunity dialogue meeting -Kyegegwa</t>
  </si>
  <si>
    <t>NO:335</t>
  </si>
  <si>
    <t>Transport refund for community Dialogue meeting held in Kyagwali 15th-20th November 2021</t>
  </si>
  <si>
    <t>NO:142</t>
  </si>
  <si>
    <t>URA WHT Payment for the supplied meals ,Hall hire and Projector-Kabarole</t>
  </si>
  <si>
    <t>URA-WHT Payment for snacks, transport, Venue hire and projector hire-Hoima</t>
  </si>
  <si>
    <t>URA-WHT Betty Kiden</t>
  </si>
  <si>
    <t>URA-WHT Payment for the provided Snacks, transport, Venue hire and projector hire</t>
  </si>
  <si>
    <t>Totaal Organizing community dialogue sessions on CBHFA topics in targeted villages using community meetings and FGDs</t>
  </si>
  <si>
    <t xml:space="preserve"> Supplied assorted  stationery items-Kabarole Bran</t>
  </si>
  <si>
    <t>Claim for the money spent on stationery</t>
  </si>
  <si>
    <t>NO:160</t>
  </si>
  <si>
    <t xml:space="preserve">Conduct Community dialogue sessions on eCBHFA  </t>
  </si>
  <si>
    <t>NO:110</t>
  </si>
  <si>
    <t>Conducting community dialogue sessions in Kyegegwa</t>
  </si>
  <si>
    <t>NO:076</t>
  </si>
  <si>
    <t>Influencers-civic and religious on Ecbhfa</t>
  </si>
  <si>
    <t>NO:112</t>
  </si>
  <si>
    <t>Orient targeted community influencers on CBHFA in Kikuube</t>
  </si>
  <si>
    <t>NO:113</t>
  </si>
  <si>
    <t>Orient targeted community influncers Civic and religious inKyegegwa</t>
  </si>
  <si>
    <t>NO:129</t>
  </si>
  <si>
    <t>Orientation of communiity influencers on ECBHFA in Kikube</t>
  </si>
  <si>
    <t>NO:134:A</t>
  </si>
  <si>
    <t>Orientation of communiity influencers on ECBHFA in Kyegegwa</t>
  </si>
  <si>
    <t>NO:134:B</t>
  </si>
  <si>
    <t>NO:119</t>
  </si>
  <si>
    <t>Orientation of Community influencers on Ecbhfa in Kikuube</t>
  </si>
  <si>
    <t>NO:109</t>
  </si>
  <si>
    <t>Orientation of Community influencers on Ecbhfa in Kikuube,Kentomi</t>
  </si>
  <si>
    <t>NO:143</t>
  </si>
  <si>
    <t>Orientation of community influences on Community Influencers in Kyegegwa District</t>
  </si>
  <si>
    <t>Perdiem-Wamukota Steven</t>
  </si>
  <si>
    <t>NO:137</t>
  </si>
  <si>
    <t>Payment for the  provided meals and refreshments,projector and hall hire-Kamwenge</t>
  </si>
  <si>
    <t>Pekirine and Family Services</t>
  </si>
  <si>
    <t>Payment for the provided meals, Refreshments Hall hire, Projector hire and transportation</t>
  </si>
  <si>
    <t>NO:133</t>
  </si>
  <si>
    <t>NO:126</t>
  </si>
  <si>
    <t>NO:081:A</t>
  </si>
  <si>
    <t>Project Inception meeting in Kikuube</t>
  </si>
  <si>
    <t>Meals - Masters shopping centre</t>
  </si>
  <si>
    <t>NO:081:B</t>
  </si>
  <si>
    <t>NO:081:C</t>
  </si>
  <si>
    <t>Projector</t>
  </si>
  <si>
    <t>NO:081:D</t>
  </si>
  <si>
    <t>Pocket Faciliation</t>
  </si>
  <si>
    <t>NO:081:E</t>
  </si>
  <si>
    <t xml:space="preserve">Stationery </t>
  </si>
  <si>
    <t>NO:081:F</t>
  </si>
  <si>
    <t>NO:081:G</t>
  </si>
  <si>
    <t>umme</t>
  </si>
  <si>
    <t>NO:081:H</t>
  </si>
  <si>
    <t>Bank Charges</t>
  </si>
  <si>
    <t>Provision of Conference services during CBHFA in Kyegegwa District.</t>
  </si>
  <si>
    <t>Pekirine and Family services</t>
  </si>
  <si>
    <t>NO:167</t>
  </si>
  <si>
    <t>Supplied Disposable Masks-Kabarole</t>
  </si>
  <si>
    <t>Supplied Meals and venue hire during Orientation on Community Influencers Kikuube</t>
  </si>
  <si>
    <t>NO:130</t>
  </si>
  <si>
    <t>Supplied office stationery for the training in Kikube District Redcross Branch</t>
  </si>
  <si>
    <t>NO:168</t>
  </si>
  <si>
    <t>Supplied Saraya Sanitizers-Kabarole Branch</t>
  </si>
  <si>
    <t>13/12/2020</t>
  </si>
  <si>
    <t xml:space="preserve">Supplied stationery and training items.           </t>
  </si>
  <si>
    <t>NO:134</t>
  </si>
  <si>
    <t>URA WHT Payment for the provided meals, Refreshments Hall hire, Projector hire and transportation</t>
  </si>
  <si>
    <t>NO:029</t>
  </si>
  <si>
    <t>URA-WHT Century Arts And Stationery</t>
  </si>
  <si>
    <t>URA-WHT Payment for the  provided meals and refreshments,projector and hall hire-Kamwenge</t>
  </si>
  <si>
    <t>URA WHT-Pekirine and Family Services</t>
  </si>
  <si>
    <t>URA-WHT Payment for the provided meals, Refreshments Hall hire, Projector hire and transportation</t>
  </si>
  <si>
    <t>Totaal Orient targeted community influencers (civic, religious leaders,...) on CBHFA</t>
  </si>
  <si>
    <t>NO:116</t>
  </si>
  <si>
    <t>Documentation of distribution of health and hygiene improvement kits in Kikuube and Kyegegwa</t>
  </si>
  <si>
    <t>NO:479</t>
  </si>
  <si>
    <t>Payment for supplies Building materials-Bundibugyo</t>
  </si>
  <si>
    <t>Totaal Participate in (annual) DRR awareness events</t>
  </si>
  <si>
    <t>Procure and distribute CBHFA volunteer toolkits (including African First Aid Materials (AFAM) from RKVl)</t>
  </si>
  <si>
    <t>Payment for the services of Designing Toolkit for Training</t>
  </si>
  <si>
    <t>Opam Investments</t>
  </si>
  <si>
    <t>NO:079</t>
  </si>
  <si>
    <t>Payment for the supplied printed EVC Tools Kit</t>
  </si>
  <si>
    <t xml:space="preserve">In-lineprint Service </t>
  </si>
  <si>
    <t>URA-WHT Payment for the services of Designing Toolkit for Training</t>
  </si>
  <si>
    <t>URA WHT Opam Investments</t>
  </si>
  <si>
    <t>Totaal Procure and distribute CBHFA volunteer toolkits (including African First Aid Materials (AFAM) from RKVl)</t>
  </si>
  <si>
    <t>NO:015</t>
  </si>
  <si>
    <t>Payment for the supplied Evacuation Routes signs and materials -Bundibugyo</t>
  </si>
  <si>
    <t>Tesla Investments Ltd</t>
  </si>
  <si>
    <t>NO:403</t>
  </si>
  <si>
    <t>Payment for volunteers of Out Of Pocke and transport during EW Training</t>
  </si>
  <si>
    <t>URA WHT Payment for the supplied Evacuation Routes signs and materials -Bundibugyo</t>
  </si>
  <si>
    <t>URA WHT Tesla Investments Ltd</t>
  </si>
  <si>
    <t>Totaal Procure and distribute early-warning tools to the selected community members</t>
  </si>
  <si>
    <t>NO:297</t>
  </si>
  <si>
    <t>Payment for supplied First Aid Kits</t>
  </si>
  <si>
    <t>Hamnest Care Supplier (u) ltd</t>
  </si>
  <si>
    <t xml:space="preserve">Totaal Procure and distribute First Aid kits </t>
  </si>
  <si>
    <t>20/4/2021</t>
  </si>
  <si>
    <t xml:space="preserve"> Supplied  Menstrual Hygiene Kits.                </t>
  </si>
  <si>
    <t>Being pyment for loading of NFI to Ntoroko,Kabarole, Kyegegwa and Kikuube</t>
  </si>
  <si>
    <t>Atemi David Akena</t>
  </si>
  <si>
    <t>NO:078</t>
  </si>
  <si>
    <t>Day Allowance during Documentation of distribution of health and hygien</t>
  </si>
  <si>
    <t>Obang Yafesi</t>
  </si>
  <si>
    <t>Maama Kits-Mama Kits as per Quote No KSN/REDC/150</t>
  </si>
  <si>
    <t>Perdiem during documentationpf distribution of hygiene &amp; health improvement Kits in Kikuube &amp; Kyegegwa districts</t>
  </si>
  <si>
    <t>Perdiem for Documentation of distribution of health and hygien</t>
  </si>
  <si>
    <t>NO:293</t>
  </si>
  <si>
    <t>Perdiem For Documentation of distribution of health and hygiene Kits in Kyegegwa</t>
  </si>
  <si>
    <t>Pocket Facilitation during documentationpf distribution of hygiene &amp; health improvement Kits in Kikuube &amp; Kyegegwa districts</t>
  </si>
  <si>
    <t>22/4/2021</t>
  </si>
  <si>
    <t xml:space="preserve">Supplied Mosquito treated nets .                  </t>
  </si>
  <si>
    <t>Relief Line Uganda Limited</t>
  </si>
  <si>
    <t xml:space="preserve">URA-WHT  Supplied  Menstrual Hygiene Kits.  </t>
  </si>
  <si>
    <t>Totaal Procure and distribute health and hygiene improvement materials including mosquito nets, Menstrual Hygiene Management/Dignity kits and Mama Kits</t>
  </si>
  <si>
    <t>NO:294</t>
  </si>
  <si>
    <t>Branded Fabric Re-Usable Masks and Hand Sanitizer 200ml</t>
  </si>
  <si>
    <t>Payment for the supplied Volunteer name Tags</t>
  </si>
  <si>
    <t>Odokash General Volunteer Name Tags</t>
  </si>
  <si>
    <t>Supplied T-Shirts Collar Branded</t>
  </si>
  <si>
    <t>NO:295</t>
  </si>
  <si>
    <t>URA WHT-Branded Fabric Re-Usable Masks and Hand Sanitizer 200ml</t>
  </si>
  <si>
    <t>URA-WHT Hamnest Care Supplier (u) ltd</t>
  </si>
  <si>
    <t>Totaal Procure personal protection equipment for volunteers</t>
  </si>
  <si>
    <t>Doorrekening loonkost DPIII Uganda Procurement Officer</t>
  </si>
  <si>
    <t>DIV210530</t>
  </si>
  <si>
    <t>DPIII Loonkost Q3 - Procurement Officer Uganda</t>
  </si>
  <si>
    <t>DIV210815</t>
  </si>
  <si>
    <t>DPIII Loonkost Q4 - Procurement Officer Uganda</t>
  </si>
  <si>
    <t>DIV211353</t>
  </si>
  <si>
    <t>DPIII Loonkostrecuperatie 2021 - Procurement Officer Uganda</t>
  </si>
  <si>
    <t>DPIII Uganda Procurement Officer</t>
  </si>
  <si>
    <t>DIV211725</t>
  </si>
  <si>
    <t>009 - RENT 06/01/21-15/04/2021 KBC828921000003</t>
  </si>
  <si>
    <t>WILLIAM KIZITO - MONICA NAGGAGA</t>
  </si>
  <si>
    <t>KBC828920000029</t>
  </si>
  <si>
    <t xml:space="preserve">16956                                                
</t>
  </si>
  <si>
    <t>KBC828921000008</t>
  </si>
  <si>
    <t>17210</t>
  </si>
  <si>
    <t>KBC828921000012</t>
  </si>
  <si>
    <t>17301</t>
  </si>
  <si>
    <t>DIV211001</t>
  </si>
  <si>
    <t>17805 Bank charges Uganda KBC828921000033</t>
  </si>
  <si>
    <t>KBC828921000016</t>
  </si>
  <si>
    <t>26/05 AANK2100243 DLG4$HUUR WAGEN UGANDA 04/2021</t>
  </si>
  <si>
    <t>DIV200778</t>
  </si>
  <si>
    <t>41641000000-6590000000 - INTL-012254-KBC515920000054-KOST AANVULLING SALDO DLG REKENING UGANDA</t>
  </si>
  <si>
    <t>DIV200328</t>
  </si>
  <si>
    <t>AANK2000616 ander project</t>
  </si>
  <si>
    <t>KBC828921000004</t>
  </si>
  <si>
    <t>AANK2100048-DLG4$HUUR WAGEN UGANDA 01/2021</t>
  </si>
  <si>
    <t xml:space="preserve">Airtime top up for MTN </t>
  </si>
  <si>
    <t>Payway</t>
  </si>
  <si>
    <t>TimCom (U) LTD</t>
  </si>
  <si>
    <t>Airtimetop and mobile data</t>
  </si>
  <si>
    <t xml:space="preserve">MTN </t>
  </si>
  <si>
    <t>KBC515922000009</t>
  </si>
  <si>
    <t>BANKKOSTEN CORRECTIE LOON 2021 PETER KEITANY</t>
  </si>
  <si>
    <t>Keitany Peter Kibor</t>
  </si>
  <si>
    <t>KBC515921000187</t>
  </si>
  <si>
    <t>BANKKOSTEN LOON PETER KEITANY</t>
  </si>
  <si>
    <t>CKSH2</t>
  </si>
  <si>
    <t>Bel- en internet krediet</t>
  </si>
  <si>
    <t>Vendiplus</t>
  </si>
  <si>
    <t>DIV210204</t>
  </si>
  <si>
    <t>BETALING210083</t>
  </si>
  <si>
    <t>BETALING210220-5</t>
  </si>
  <si>
    <t>KBC828921000034</t>
  </si>
  <si>
    <t xml:space="preserve">BETALING217011-5                                     
</t>
  </si>
  <si>
    <t>KBC828921000036</t>
  </si>
  <si>
    <t xml:space="preserve">BETALING218918-5                                     
</t>
  </si>
  <si>
    <t>KBC828921000040</t>
  </si>
  <si>
    <t>BETALING219089-5 KOERSVERSCHIL</t>
  </si>
  <si>
    <t>KBC828920000019</t>
  </si>
  <si>
    <t>BK INTERNATIONAL FEDERATION 16611</t>
  </si>
  <si>
    <t>CUGX5</t>
  </si>
  <si>
    <t>Border extension delegation vehicle: Per diem + day allowance</t>
  </si>
  <si>
    <t>Siraj Kyimohendo</t>
  </si>
  <si>
    <t>CUGX26</t>
  </si>
  <si>
    <t>CUGX42</t>
  </si>
  <si>
    <t>DIV210698</t>
  </si>
  <si>
    <t>Buitenlandse betalingen 10/21 - wisselkoersverschil</t>
  </si>
  <si>
    <t>DIV210697</t>
  </si>
  <si>
    <t>DIV210689</t>
  </si>
  <si>
    <t>Buitenlandse betalingen 11/21 - wisselkoersverschil</t>
  </si>
  <si>
    <t>DIV210691</t>
  </si>
  <si>
    <t>DIV210690</t>
  </si>
  <si>
    <t>DIV210681</t>
  </si>
  <si>
    <t>Buitenlandse betalingen 13/10/21 - wisselkoersverschil</t>
  </si>
  <si>
    <t>DIV200862</t>
  </si>
  <si>
    <t>corr INTL-009470-AANK1900973-AFREK VISA P. HERPOELE 24/08-23/09/2019</t>
  </si>
  <si>
    <t>DIV210008</t>
  </si>
  <si>
    <t>CORRECTIE AANK2100005 HUUR GEBOUW WILLIAM KIZITO</t>
  </si>
  <si>
    <t>DIV200607</t>
  </si>
  <si>
    <t>Correctie bankkosten Uganda</t>
  </si>
  <si>
    <t>AANK2100011</t>
  </si>
  <si>
    <t>CORRECTIE CC + PR AANK2100011 TICKET P. HERPOELE</t>
  </si>
  <si>
    <t>DIV200710</t>
  </si>
  <si>
    <t>Correctie DLG reg P. Herpoele-INTL-014985-ONKOSTEN200303-V.BET. * P. Herpoele</t>
  </si>
  <si>
    <t>Petrus Herpoele</t>
  </si>
  <si>
    <t>DIV200709</t>
  </si>
  <si>
    <t>Correctie DLG reg P. Herpoele-INTL-015403-ONKOSTEN210013-V.BET. * P. Herpoele</t>
  </si>
  <si>
    <t>CUGX16</t>
  </si>
  <si>
    <t>Data support project BRC-FL</t>
  </si>
  <si>
    <t>Thelma Aujo Felistus</t>
  </si>
  <si>
    <t>CUGX18</t>
  </si>
  <si>
    <t>Delegates car Insurance for 2021</t>
  </si>
  <si>
    <t>Britam Insurance CO. LTD</t>
  </si>
  <si>
    <t>AANK1901056</t>
  </si>
  <si>
    <t>DHL PRESTATIES 29/10 + 06/11/2019</t>
  </si>
  <si>
    <t>AANK1901001</t>
  </si>
  <si>
    <t>DHL PRESTATIES P. HERPOELE</t>
  </si>
  <si>
    <t>AANK2100747</t>
  </si>
  <si>
    <t>DLG3$TICKET P. HERPOELE ENTEBBE - BRUSSEL</t>
  </si>
  <si>
    <t>AANK2100058</t>
  </si>
  <si>
    <t>AANK1901107</t>
  </si>
  <si>
    <t>DLG3$TICKET P. HERPOELE ENTEBBE - NAIROBI</t>
  </si>
  <si>
    <t>AANK2100506</t>
  </si>
  <si>
    <t>DLG3$TICKET P. KEITANY BRUSSEL - NAIROBI</t>
  </si>
  <si>
    <t>AANK2100048</t>
  </si>
  <si>
    <t>DLG4$HUUR WAGEN UGANDA 01/2021</t>
  </si>
  <si>
    <t>AANK2200056</t>
  </si>
  <si>
    <t>DLG4$HUUR WAGEN UGANDA 01/2022</t>
  </si>
  <si>
    <t>AANK2100101</t>
  </si>
  <si>
    <t>DLG4$HUUR WAGEN UGANDA 02/2021</t>
  </si>
  <si>
    <t>AANK2100166</t>
  </si>
  <si>
    <t>DLG4$HUUR WAGEN UGANDA 03/2021</t>
  </si>
  <si>
    <t>AANK2100243</t>
  </si>
  <si>
    <t>DLG4$HUUR WAGEN UGANDA 04/2021</t>
  </si>
  <si>
    <t>AANK2100294</t>
  </si>
  <si>
    <t>DLG4$HUUR WAGEN UGANDA 05/2021</t>
  </si>
  <si>
    <t>AANK2000439</t>
  </si>
  <si>
    <t>DLG4$HUUR WAGEN UGANDA 06/2020</t>
  </si>
  <si>
    <t>AANK2100352</t>
  </si>
  <si>
    <t>DLG4$HUUR WAGEN UGANDA 06/2021</t>
  </si>
  <si>
    <t>AANK2000480</t>
  </si>
  <si>
    <t>DLG4$HUUR WAGEN UGANDA 07/2020</t>
  </si>
  <si>
    <t>AANK2100429</t>
  </si>
  <si>
    <t>DLG4$HUUR WAGEN UGANDA 07/2021</t>
  </si>
  <si>
    <t>AANK2000528</t>
  </si>
  <si>
    <t>DLG4$HUUR WAGEN UGANDA 08/2020</t>
  </si>
  <si>
    <t>AANK2100483</t>
  </si>
  <si>
    <t>DLG4$HUUR WAGEN UGANDA 08/2021</t>
  </si>
  <si>
    <t>AANK2000583</t>
  </si>
  <si>
    <t>DLG4$HUUR WAGEN UGANDA 09/2020</t>
  </si>
  <si>
    <t>AANK2100582</t>
  </si>
  <si>
    <t>DLG4$HUUR WAGEN UGANDA 09/2021</t>
  </si>
  <si>
    <t>AANK2000643</t>
  </si>
  <si>
    <t>DLG4$HUUR WAGEN UGANDA 10/2020</t>
  </si>
  <si>
    <t>AANK2100660</t>
  </si>
  <si>
    <t>DLG4$HUUR WAGEN UGANDA 10/2021</t>
  </si>
  <si>
    <t>AANK2000710</t>
  </si>
  <si>
    <t>DLG4$HUUR WAGEN UGANDA 11/2020</t>
  </si>
  <si>
    <t>AANK2100714</t>
  </si>
  <si>
    <t>DLG4$HUUR WAGEN UGANDA 11/2021</t>
  </si>
  <si>
    <t>AANK2000785</t>
  </si>
  <si>
    <t>DLG4$HUUR WAGEN UGANDA 12/2020</t>
  </si>
  <si>
    <t>AANK2100823</t>
  </si>
  <si>
    <t>DLG4$HUUR WAGEN UGANDA 12/2021</t>
  </si>
  <si>
    <t>KBC828921000017</t>
  </si>
  <si>
    <t>DLG5$ HUUR GEBOUW WILLIAM KIZITO PERIODE 16/04/21-15/07/2021</t>
  </si>
  <si>
    <t>AANK2100262</t>
  </si>
  <si>
    <t>AANK2000378</t>
  </si>
  <si>
    <t>DLG5$ HUUR GEBOUW WILLIAM KIZITO PERIODE 16/07/20 - 15/10/20 - AANK2000378 6.000 USD</t>
  </si>
  <si>
    <t>AANK2100387</t>
  </si>
  <si>
    <t>DLG5$ HUUR GEBOUW WILLIAM KIZITO PERIODE 16/07/21-15/10/2021</t>
  </si>
  <si>
    <t>DIV211623</t>
  </si>
  <si>
    <t>DLG5$ HUUR GEBOUW WILLIAM KIZITO PERIODE 16/10/20-15/01/2021 (2000usd) DIV210347</t>
  </si>
  <si>
    <t>AANK2100640</t>
  </si>
  <si>
    <t>DLG5$ RENT WILLIAM STEPHEN 16/10/2021 - 15/01/2022</t>
  </si>
  <si>
    <t>DIV190806</t>
  </si>
  <si>
    <t>DLG8$ HOTEL COST</t>
  </si>
  <si>
    <t>Electricity Bill for February 2021</t>
  </si>
  <si>
    <t xml:space="preserve">Umeme Limited </t>
  </si>
  <si>
    <t>CUGX25</t>
  </si>
  <si>
    <t>Energy: Electricity 01/01/2020-01/02/2020</t>
  </si>
  <si>
    <t>Umeme Limited Kabalagala</t>
  </si>
  <si>
    <t>CUGX40</t>
  </si>
  <si>
    <t>Energy: Electricity 01/02/2020-01/03/2020</t>
  </si>
  <si>
    <t>CUGX50</t>
  </si>
  <si>
    <t>Energy: Electricity 01/03/2020-01/04/2020</t>
  </si>
  <si>
    <t>CUGX53</t>
  </si>
  <si>
    <t>Energy: Electricity 01/04/2020-01/05/2020</t>
  </si>
  <si>
    <t>CUGX56</t>
  </si>
  <si>
    <t>Energy: Electricity 01/05/2020-01/06/2020</t>
  </si>
  <si>
    <t>CUGX61</t>
  </si>
  <si>
    <t>Energy: Electricity 01/06/2020-01/07/2020</t>
  </si>
  <si>
    <t>CUGX66</t>
  </si>
  <si>
    <t>Energy: Electricity 01/07/2020-01/08/2020</t>
  </si>
  <si>
    <t>CUGX71</t>
  </si>
  <si>
    <t>Energy: Electricity 01/08/2020-01/09/2020</t>
  </si>
  <si>
    <t>CUGX76</t>
  </si>
  <si>
    <t>Energy: Electricity 01/09/2020-01/10/2020</t>
  </si>
  <si>
    <t>CUGX82</t>
  </si>
  <si>
    <t>Energy: Electricity 01/10/2020-01/11/2020</t>
  </si>
  <si>
    <t>CUGX1</t>
  </si>
  <si>
    <t>Energy: Electricity 01/11/2019-01/12/2019</t>
  </si>
  <si>
    <t>CUGX90</t>
  </si>
  <si>
    <t>Energy: Electricity 01/11/2020-01/12/2020</t>
  </si>
  <si>
    <t>Energy: Electricity 01/12/2020-01/01/2021</t>
  </si>
  <si>
    <t>CUGX32</t>
  </si>
  <si>
    <t>Gas LPG 12,5 kg</t>
  </si>
  <si>
    <t>Total Kibuli</t>
  </si>
  <si>
    <t>KBC828920000026</t>
  </si>
  <si>
    <t>INT FEDERATION 16529</t>
  </si>
  <si>
    <t>INT FEDERATION 16785</t>
  </si>
  <si>
    <t>INTERNATIONAL FEDERATION 16529</t>
  </si>
  <si>
    <t>INTERNATIONAL FEDERATION 16611</t>
  </si>
  <si>
    <t>KBC828920000022</t>
  </si>
  <si>
    <t>INTERNATIONAL FEDERATION 16785</t>
  </si>
  <si>
    <t>Internet Bundle for Home Africell Mifi</t>
  </si>
  <si>
    <t>Africell</t>
  </si>
  <si>
    <t>KBC828921000020</t>
  </si>
  <si>
    <t>INTL FED - 17473</t>
  </si>
  <si>
    <t>DIV200857</t>
  </si>
  <si>
    <t>INTL-011292-AANK2000143-DLG5$ HUUR GEBOUW PETRUS 16/01/20-15/04/2020</t>
  </si>
  <si>
    <t>AANK2000178</t>
  </si>
  <si>
    <t>INTL-011487-AANK2000178-DLG5$ HUUR GEBOUW WILLIAM KIZITO</t>
  </si>
  <si>
    <t>DIV200858</t>
  </si>
  <si>
    <t>INTL-011941-KBC581820000005-BK DLG5$ HUUR GEBOUW PETRUS 16/01/20 -15/04/20</t>
  </si>
  <si>
    <t>DIV200859</t>
  </si>
  <si>
    <t>INTL-011941-KBC581820000005-BK DLG5$ HUUR GEBOUW PETRUS 16/01/20-15/04/20</t>
  </si>
  <si>
    <t>DIV200855</t>
  </si>
  <si>
    <t>INTL-012285-KBC581820000008-BK DLG5$HUUR GEBOUW WILLIAM KIZITO - AANK2000178</t>
  </si>
  <si>
    <t>DIV200854</t>
  </si>
  <si>
    <t>INTL-012285-KBC581820000008-WK DLG5$HUUR GEBOUW WILLIAM KIZITO - AANK2000178</t>
  </si>
  <si>
    <t>DIV200851</t>
  </si>
  <si>
    <t>INTL-013508-KBC828920000016-BK WILLIAM KIZITO - MONICA NAGGAGA</t>
  </si>
  <si>
    <t>DIV200856</t>
  </si>
  <si>
    <t>INTL-013508-KBC828920000016-WILLIAM KIZITO - MONICA NAGGAGA</t>
  </si>
  <si>
    <t>INTL-014346-KBC828920000022-AANK2000583-DLG4$HUUR WAGEN</t>
  </si>
  <si>
    <t>DIV200852</t>
  </si>
  <si>
    <t>INTL-014562-KBC828920000025-WILLEM KIZITO RENT  16/10/20 - 15/01/2021</t>
  </si>
  <si>
    <t>INTL-014567-KBC828920000026-AANK2000439-DLG4$HUUR WAGEN UGANDA 06/2020</t>
  </si>
  <si>
    <t>INTL-014567-KBC828920000026-AANK2000583-DLG4$HUUR WAGEN UGANDA 09/2020</t>
  </si>
  <si>
    <t xml:space="preserve">INTL-014922-KBC828920000029-AANK2000710-DLG4$HUUR WAGEN UGANDA 11/2020                         
</t>
  </si>
  <si>
    <t>KBC828921000002</t>
  </si>
  <si>
    <t>INTL-015106-AANK2000785-DLG4$HUUR WAGEN UGANDA 12/2020</t>
  </si>
  <si>
    <t>KBC932520009</t>
  </si>
  <si>
    <t>KBC 3925 009 INTERNATIONAL FEDERATION 16953</t>
  </si>
  <si>
    <t>DIV200484</t>
  </si>
  <si>
    <t>KBC828920000022/BETALING200746</t>
  </si>
  <si>
    <t>DIV210307</t>
  </si>
  <si>
    <t>KBC828921000012-17301</t>
  </si>
  <si>
    <t>DIV211479</t>
  </si>
  <si>
    <t>Koersverschil DLG4$HUUR WAGEN UGANDA 06/2021</t>
  </si>
  <si>
    <t>DIV211480</t>
  </si>
  <si>
    <t>Koersverschil DLG4$HUUR WAGEN UGANDA 07/2021</t>
  </si>
  <si>
    <t>DIV211470</t>
  </si>
  <si>
    <t>Koersverschil DLG4$HUUR WAGEN UGANDA 11/2021</t>
  </si>
  <si>
    <t>DIV211489</t>
  </si>
  <si>
    <t>Koersverschil DLG5$ HUUR GEBOUW WILLIAM KIZITO PERIODE 16/07/21-15/10/2021</t>
  </si>
  <si>
    <t>DIV211030</t>
  </si>
  <si>
    <t>LONEN GROEP S 09/2021 LEILA + PETER KBC515921000123 / KBC515921000137 / KBC515921000160</t>
  </si>
  <si>
    <t>MTNMobMoney print</t>
  </si>
  <si>
    <t>MTN Airtime</t>
  </si>
  <si>
    <t>MTN Uganda</t>
  </si>
  <si>
    <t>CUGX17</t>
  </si>
  <si>
    <t>Sankofa café &amp; Training Centre</t>
  </si>
  <si>
    <t>CUGX34</t>
  </si>
  <si>
    <t>CUGX2</t>
  </si>
  <si>
    <t>MTN Airtime + OTT Tax</t>
  </si>
  <si>
    <t>Maktech investment Ltd</t>
  </si>
  <si>
    <t>KBC828921000025</t>
  </si>
  <si>
    <t xml:space="preserve">NOTPROVIDED                                          
</t>
  </si>
  <si>
    <t>KBC828921000019</t>
  </si>
  <si>
    <t>ONK KEITANY P DHL 2021-05-15 PAYMENT MADE FOR SENDING Q1 DELEGATION EXPENDITURE TO BELGIU</t>
  </si>
  <si>
    <t>DHL Uganda</t>
  </si>
  <si>
    <t>ONKOSTEN210270</t>
  </si>
  <si>
    <t>ONK Keitany P DHL 2021-05-15 Payment made for sending Q1 delegation expenditure to Belgiu</t>
  </si>
  <si>
    <t>ONKOSTEN210764</t>
  </si>
  <si>
    <t>ONK Keitany P DHL 2021-07-23 Payment for DHL posting of documents from Eldoret to Belgium</t>
  </si>
  <si>
    <t>ONKOSTEN210765</t>
  </si>
  <si>
    <t>ONK Keitany P Pathologist Lancet Kenya LTD 2021-10-27 Cash Payment for Spouce Covid-19 testing at Pa</t>
  </si>
  <si>
    <t>KIBOR KEITANY PETER</t>
  </si>
  <si>
    <t>ONKOSTEN210763</t>
  </si>
  <si>
    <t>ONK Keitany P Taxi Payment 2021-10-18 Cash Payment for Taxi Services from Holiday Inn to Covid-19</t>
  </si>
  <si>
    <t>ONKOSTEN210071</t>
  </si>
  <si>
    <t>ONK VISA Herpoele P bpost 2021-01-08 Sending accountability to HQ</t>
  </si>
  <si>
    <t>Bpost</t>
  </si>
  <si>
    <t>ONKOSTEN210078</t>
  </si>
  <si>
    <t>ONK VISA Herpoele P Directorate Citizenship and Immigration Uganda 2021-01-07 Visa cost closing miss</t>
  </si>
  <si>
    <t>Directorate Citizenship and Immigration Uganda</t>
  </si>
  <si>
    <t>ONKOSTEN210070</t>
  </si>
  <si>
    <t>ONK VISA Herpoele P Ecocare 2021-01-07 covid test before departure mission</t>
  </si>
  <si>
    <t>ONKOSTEN210092</t>
  </si>
  <si>
    <t>ONK VISA Herpoele P Ecolog Deutschland 2021-02-08 Covid test end of mission day 0</t>
  </si>
  <si>
    <t>Ecolog Deutschland</t>
  </si>
  <si>
    <t>ONKOSTEN210069</t>
  </si>
  <si>
    <t>ONK VISA Herpoele P nmbs 2021-01-07 Transport for covid-test</t>
  </si>
  <si>
    <t>ONKOSTEN210091</t>
  </si>
  <si>
    <t>ONK VISA Herpoele P SN Brussels Airlines 2021-02-08 Payment lugage partner PM</t>
  </si>
  <si>
    <t xml:space="preserve">SN Brussels Airlines </t>
  </si>
  <si>
    <t>ONKOSTEN210093</t>
  </si>
  <si>
    <t>ONK VISA Herpoele P Test And Fly  Kampala Usanda 2021-02-06 Covid test end of mission before flight</t>
  </si>
  <si>
    <t>Test and Fly Kampala</t>
  </si>
  <si>
    <t>ONKOSTEN210111</t>
  </si>
  <si>
    <t>ONK VISA Keitany P Africel 2021-02-10 Visa card payment for Africel Mifi and data for February 202</t>
  </si>
  <si>
    <t>Shell Kabarole</t>
  </si>
  <si>
    <t>ONKOSTEN210232</t>
  </si>
  <si>
    <t>ONK VISA Keitany P Africell 2021-04-19 Payemnt for internet data for Africell Mifi for the month of</t>
  </si>
  <si>
    <t>DIV211161</t>
  </si>
  <si>
    <t>ONK VISA Keitany P Aki Total Station 2020-11-28 Payment for Fuel at Aki Petrol Station for vehicle 2                   "</t>
  </si>
  <si>
    <t>AKI Total station</t>
  </si>
  <si>
    <t>ONKOSTEN210525</t>
  </si>
  <si>
    <t>ONK VISA Keitany P Bvba Delta Company 2021-10-08 Visa Card Payment for trasportation from Gent St Pe</t>
  </si>
  <si>
    <t>ONKOSTEN210667</t>
  </si>
  <si>
    <t>ONK VISA Keitany P Cr Taxi Gent 2021-10-15 Visa Card Payment for Taxi Services from Holiday Inn to G</t>
  </si>
  <si>
    <t>Taxi Gent</t>
  </si>
  <si>
    <t>ONKOSTEN210172</t>
  </si>
  <si>
    <t>ONK VISA Keitany P Daks Couriers 2021-03-27 Visa card payement for delegates vehicle servicing at DA</t>
  </si>
  <si>
    <t>Daks Couriers</t>
  </si>
  <si>
    <t>ONKOSTEN210160</t>
  </si>
  <si>
    <t>ONK VISA Keitany P DAKS TOYOTA 2021-01-25 Visa card payment for replacement of broken Left Side mirr</t>
  </si>
  <si>
    <t>DAKS TOYOTA</t>
  </si>
  <si>
    <t>ONKOSTEN210216</t>
  </si>
  <si>
    <t>ONK VISA Keitany P Dalton (U) LTD 2021-04-26 Visa card payement for fuel at shell Kibuli - Dalton (u</t>
  </si>
  <si>
    <t>Dalton (U) LTD</t>
  </si>
  <si>
    <t>ONKOSTEN210218</t>
  </si>
  <si>
    <t>ONK VISA Keitany P Dalton (U) LTD 2021-05-07 Payment of Fuel for Delegation car KX18A252 at shell Na</t>
  </si>
  <si>
    <t>ONKOSTEN210174</t>
  </si>
  <si>
    <t>ONK VISA Keitany P Dalton Ltd 2021-03-29 Visa card payment for fueling of delegates vehicle KX18A252</t>
  </si>
  <si>
    <t>ONKOSTEN210668</t>
  </si>
  <si>
    <t>ONK VISA Keitany P De Lijn 2021-10-15 Visa card Payment for Tram Services from Gent St Peter's sta</t>
  </si>
  <si>
    <t>De Lijn</t>
  </si>
  <si>
    <t>ONKOSTEN210839</t>
  </si>
  <si>
    <t>ONK VISA Keitany P Don Uganda Limited 2021-11-30 Payment for fuel during field visit in Arua west Ni</t>
  </si>
  <si>
    <t>Don Uganda Limited</t>
  </si>
  <si>
    <t>ONKOSTEN210560</t>
  </si>
  <si>
    <t>ONK VISA Keitany P Gent Covid-19 Testing Centre 2021-10-08 Payment for Covid-19 testing fee charged</t>
  </si>
  <si>
    <t>UZ Gent</t>
  </si>
  <si>
    <t>ONKOSTEN210843</t>
  </si>
  <si>
    <t>ONK VISA Keitany P Golden Courts Hotel 2021-12-01 Payment for accomoddation during field visit by th</t>
  </si>
  <si>
    <t>Golden Courts Hotel</t>
  </si>
  <si>
    <t>ONKOSTEN210086</t>
  </si>
  <si>
    <t>ONK VISA Keitany P Golf Course Apartment 2021-01-19 Payment made for accomodation at Golf Course apa</t>
  </si>
  <si>
    <t>ONKOSTEN210891</t>
  </si>
  <si>
    <t>ONK VISA Keitany P Holiday Inn Gent Expo 2021-10-08 Visa card Payment for City Tax for stay in Gent</t>
  </si>
  <si>
    <t>Holiday Inn Gent Expo</t>
  </si>
  <si>
    <t>ONKOSTEN210052</t>
  </si>
  <si>
    <t>ONK VISA Keitany P Kcb 2021-01-07 Payment made for Covid-19 testing for travel in January 10.0</t>
  </si>
  <si>
    <t>ONKOSTEN210669</t>
  </si>
  <si>
    <t>ONK VISA Keitany P Nationale Maatschappij Der Belgische Spoorwegen). 2021-10-15 Visa Card Payment fo</t>
  </si>
  <si>
    <t>ONKOSTEN210670</t>
  </si>
  <si>
    <t>ONK VISA Keitany P NMBS 2021-10-14 Visa Card Payment for train service from Gent to Mechelen fo</t>
  </si>
  <si>
    <t>ONKOSTEN210556</t>
  </si>
  <si>
    <t>ONK VISA Keitany P NMBS 2021-10-14 Visa card Payment for train transportation from Gent St Pete</t>
  </si>
  <si>
    <t>ONKOSTEN210537</t>
  </si>
  <si>
    <t>ONK VISA Keitany P Nv Or Nationale Maatschappij Der Belgische Spoorwegen 2021-10-08 Visa card Paymen</t>
  </si>
  <si>
    <t>ONKOSTEN210664</t>
  </si>
  <si>
    <t>ONK VISA Keitany P Nv Or Nationale Maatschappij Der Belgische Spoorwegen 2021-10-15 Visa Card Payeme</t>
  </si>
  <si>
    <t>ONKOSTEN210672</t>
  </si>
  <si>
    <t>ONK VISA Keitany P Nv Or Nationale Maatschappij Der Belgische Spoorwegen 2021-10-22 Visa card Paymen</t>
  </si>
  <si>
    <t>ONKOSTEN210661</t>
  </si>
  <si>
    <t>ONK VISA Keitany P Pathologist Lancet Kenya LTD 2021-10-27 Visa Card Payment for Covid-19 testing at</t>
  </si>
  <si>
    <t>Pathologist Lancet Kenya LT</t>
  </si>
  <si>
    <t>ONKOSTEN210674</t>
  </si>
  <si>
    <t>ONK VISA Keitany P Reserve Luca Limousine 2021-10-22 Payment for Taxi Services from Brussels Airport</t>
  </si>
  <si>
    <t>Luca Limousine</t>
  </si>
  <si>
    <t>ONKOSTEN210354</t>
  </si>
  <si>
    <t>ONK VISA Keitany P Shell 2021-06-15 Visa card payement for fuelling delegation car KX18A252</t>
  </si>
  <si>
    <t>ONKOSTEN210541</t>
  </si>
  <si>
    <t>ONK VISA Keitany P Shell 2021-10-07 Payment for fueling of delegation Car at shell Petrol statio</t>
  </si>
  <si>
    <t>ONKOSTEN210673</t>
  </si>
  <si>
    <t>ONK VISA Keitany P Shell 2021-11-09 Visa card Payment for Fueling of delagation car in preparati</t>
  </si>
  <si>
    <t>ONKOSTEN210659</t>
  </si>
  <si>
    <t>ONK VISA Keitany P Shell 2021-11-12 Visa card Fuel payment at Kabarole shell petrol station duri</t>
  </si>
  <si>
    <t>ONKOSTEN210660</t>
  </si>
  <si>
    <t>ONK VISA Keitany P Shell Kabarole 2021-11-12 Visa card payment for Fuel - 2nd installment payemnt fo</t>
  </si>
  <si>
    <t>ONKOSTEN210341</t>
  </si>
  <si>
    <t>ONK VISA Keitany P Shell Muyenga 2021-05-22 Visa card payement for fueling delegation car and Shell</t>
  </si>
  <si>
    <t>Shell Muyenga</t>
  </si>
  <si>
    <t>ONKOSTEN210074</t>
  </si>
  <si>
    <t>ONK VISA Keitany P SHELL NAMIREMBE 2021-01-28 Payment for fuel for delegation car at Shell Namireme</t>
  </si>
  <si>
    <t>SHELL NAMIREMBE</t>
  </si>
  <si>
    <t>ONKOSTEN210080</t>
  </si>
  <si>
    <t>ONK VISA Keitany P SHELL NAMIREMBE 2021-01-28 Visa card payment for fueling delegation car KX18A252</t>
  </si>
  <si>
    <t>ONKOSTEN210075</t>
  </si>
  <si>
    <t>ONK VISA Keitany P Shell Rubaga 2021-02-07 Visa card payment for Fuleig of delegates car KX18A252 at</t>
  </si>
  <si>
    <t>Shell Rubaga</t>
  </si>
  <si>
    <t>ONKOSTEN210122</t>
  </si>
  <si>
    <t>ONK VISA Keitany P Shell Rubaga 2021-02-25 Visa card payment for fuelling delegates car KX18A252 at</t>
  </si>
  <si>
    <t>ONKOSTEN210123</t>
  </si>
  <si>
    <t>ONK VISA Keitany P Shell Rubaga 2021-03-06 Visa card payment for fuel at Shell Rubaga Kampala</t>
  </si>
  <si>
    <t>ONKOSTEN210840</t>
  </si>
  <si>
    <t>ONK VISA Keitany P Shell Rubaga 2021-11-18 Payment for fuel for delegation car after field visit in</t>
  </si>
  <si>
    <t>ONKOSTEN210842</t>
  </si>
  <si>
    <t>ONK VISA Keitany P Shell Rubaga 2021-11-28 Payment of fuel for delegation car in preparation for fie</t>
  </si>
  <si>
    <t>ONKOSTEN210841</t>
  </si>
  <si>
    <t>ONK VISA Keitany P Shell Rubaga 2021-12-04 Payment for fuel for delegation car</t>
  </si>
  <si>
    <t>Rubaga</t>
  </si>
  <si>
    <t>ONKOSTEN210895</t>
  </si>
  <si>
    <t>ONK VISA Keitany P TLScontact  Centre Uganda 2021-09-20 Payment for Visa processing fee to TLScontac</t>
  </si>
  <si>
    <t>TLScontact  Centre Uganda</t>
  </si>
  <si>
    <t>ONKOSTEN210888</t>
  </si>
  <si>
    <t>ONK VISA Keitany P Tlscontact 2021-09-20 Payment for Belgium Visa Fee during visa application at the</t>
  </si>
  <si>
    <t>Tlscontact</t>
  </si>
  <si>
    <t>ONKOSTEN210583</t>
  </si>
  <si>
    <t>ONK VISA Keitany P Unity Skin Clinic The Medical Hub 2021-10-05 Payment for Covid-19 testing as a re</t>
  </si>
  <si>
    <t>ONKOSTEN210663</t>
  </si>
  <si>
    <t>ONK VISA Keitany P UZ Gent 2021-10-15 Visa card payment for Covid-19 testing for the second test a</t>
  </si>
  <si>
    <t>ONKOSTEN210662</t>
  </si>
  <si>
    <t>ONK VISA Keitany P UZ Gent 2021-10-19 Visa card Payment for covid-19 confirmatory testing after a</t>
  </si>
  <si>
    <t>ONKOSTEN210666</t>
  </si>
  <si>
    <t>ONK VISA Keitany P Vlaamse Vervoermaatschappij - De Lijn 2021-10-14 Visa card Payment for Tram Servi</t>
  </si>
  <si>
    <t>ONKOSTEN210579</t>
  </si>
  <si>
    <t>ONK VISA Keitany P Vlaamse Vervoermaatschappij - De Lijn 2021-10-14 Visa Payment for Tram transporta</t>
  </si>
  <si>
    <t>ONKOSTEN210665</t>
  </si>
  <si>
    <t>ONK VISA Keitany P Vtax 2021-10-19 Visa Card Payment for Taxi services from Old Abbey Hotel via</t>
  </si>
  <si>
    <t xml:space="preserve">Payement for Certificate of Good conduct </t>
  </si>
  <si>
    <t>Uganda Revenue Authority</t>
  </si>
  <si>
    <t>6210004203152</t>
  </si>
  <si>
    <t>Payement for Temporary Road License</t>
  </si>
  <si>
    <t>Payement for tyre repair at shell Rubaga</t>
  </si>
  <si>
    <t xml:space="preserve">Shell Rubaga </t>
  </si>
  <si>
    <t>Payment for airtime for the month of May 2021</t>
  </si>
  <si>
    <t>Reciept</t>
  </si>
  <si>
    <t xml:space="preserve">Payment for daytime security Guard for apartment </t>
  </si>
  <si>
    <t>Barasa Alfusi</t>
  </si>
  <si>
    <t>Payment for daytime security Guard for apartment April 21</t>
  </si>
  <si>
    <t>Payment for daytime security Guard for apartment Aug 21</t>
  </si>
  <si>
    <t xml:space="preserve">Payment for daytime security Guard for apartment Dec 21+Christmass Bonus </t>
  </si>
  <si>
    <t>Payment for daytime security Guard for apartment July 21</t>
  </si>
  <si>
    <t>Payment for daytime security Guard for apartment June  21</t>
  </si>
  <si>
    <t>Payment for daytime security Guard for apartment May 21</t>
  </si>
  <si>
    <t>Payment for daytime security Guard for apartment Nov 21</t>
  </si>
  <si>
    <t>Payment for daytime security Guard for apartment Oct 21</t>
  </si>
  <si>
    <t>Payment for daytime security Guard for apartment Sept 21</t>
  </si>
  <si>
    <t>Payment for electricity bill April 21</t>
  </si>
  <si>
    <t>Payment for electricity bill August  21</t>
  </si>
  <si>
    <t>Payment for electricity bill July 21</t>
  </si>
  <si>
    <t>Payment for electricity bill June 21</t>
  </si>
  <si>
    <t>206032727-0804202111224508</t>
  </si>
  <si>
    <t>Payment for electricity bill March 21</t>
  </si>
  <si>
    <t>Payment for electricity bill May 21</t>
  </si>
  <si>
    <t>Payment for electricity bill Nov 21</t>
  </si>
  <si>
    <t>Payment for electricity bill Oct 21</t>
  </si>
  <si>
    <t>Payment for electricity bill September 21</t>
  </si>
  <si>
    <t xml:space="preserve">Payment for gass refill for apartment </t>
  </si>
  <si>
    <t>Total - kibul services station</t>
  </si>
  <si>
    <t>Payment for hotel Accomodation during field visit</t>
  </si>
  <si>
    <t>Nsamo Hotel</t>
  </si>
  <si>
    <t>RAJA EXCELSIOR LIMITED</t>
  </si>
  <si>
    <t>Payment for internet for mifi the month of MAY 21</t>
  </si>
  <si>
    <t xml:space="preserve">Payment for Night guard chrismass bonus </t>
  </si>
  <si>
    <t>Masereka Josamu</t>
  </si>
  <si>
    <t>Payment for Passport size photos for Certificate of good conduct</t>
  </si>
  <si>
    <t>James Douglas Photography</t>
  </si>
  <si>
    <t xml:space="preserve">Payment for refilling Gas for apartment </t>
  </si>
  <si>
    <t xml:space="preserve">Payment for security - weekend  guard for apartment - February </t>
  </si>
  <si>
    <t>Namudde Fredrick</t>
  </si>
  <si>
    <t xml:space="preserve">Payment for security -Day guard for apartment - February </t>
  </si>
  <si>
    <t>Payment for Security Services for apartment - Aug 21</t>
  </si>
  <si>
    <t>Ultimate security Limited</t>
  </si>
  <si>
    <t>Payment for Security Services for apartment - Dec 21</t>
  </si>
  <si>
    <t>Payment for Security Services for apartment - February</t>
  </si>
  <si>
    <t>Payment for Security Services for apartment - January</t>
  </si>
  <si>
    <t>Payment for Security Services for apartment - July 21</t>
  </si>
  <si>
    <t>Payment for Security Services for apartment - June 21</t>
  </si>
  <si>
    <t>Payment for Security Services for apartment - March &amp; April 21</t>
  </si>
  <si>
    <t>Payment for Security Services for apartment - May 21</t>
  </si>
  <si>
    <t>Payment for Security Services for apartment - Nov 21</t>
  </si>
  <si>
    <t>Payment for Security Services for apartment - Oct 21</t>
  </si>
  <si>
    <t>Payment for Security Services for apartment - Sept 21</t>
  </si>
  <si>
    <t>094</t>
  </si>
  <si>
    <t>Payment for vehicle maintenace - Replacement of worn out parts</t>
  </si>
  <si>
    <t>Cruiser motor world</t>
  </si>
  <si>
    <t>2126708-18022021122459588</t>
  </si>
  <si>
    <t xml:space="preserve">Payment for water service apartment </t>
  </si>
  <si>
    <t xml:space="preserve">National Water and Sewarage cooperation </t>
  </si>
  <si>
    <t>2126708-17042021104919800</t>
  </si>
  <si>
    <t>Payment for waterbil</t>
  </si>
  <si>
    <t>Payment for waterbill for apartment Oct  2021</t>
  </si>
  <si>
    <t xml:space="preserve">Payment for waterbill for apartmnet </t>
  </si>
  <si>
    <t>Payment for waterbill for apartmnet Aug-Setember 2021</t>
  </si>
  <si>
    <t>2126708-1908</t>
  </si>
  <si>
    <t>Payment for waterbill for apartmnet July  21</t>
  </si>
  <si>
    <t>2126708-22</t>
  </si>
  <si>
    <t>Payment for waterbill for apartmnet June 21</t>
  </si>
  <si>
    <t>2126708-1806</t>
  </si>
  <si>
    <t>Payment for waterbill for apartmnet May 21</t>
  </si>
  <si>
    <t>Payment for weekend security guard for apartment</t>
  </si>
  <si>
    <t>Payment for weekend security guard for apartment April 2021</t>
  </si>
  <si>
    <t>Payment for weekend security guard for apartment Aug 21</t>
  </si>
  <si>
    <t>Payment for weekend security guard for apartment Dec  21 +Chrismass bonus</t>
  </si>
  <si>
    <t>Payment for weekend security guard for apartment July 21</t>
  </si>
  <si>
    <t>Payment for weekend security guard for apartment June 2021</t>
  </si>
  <si>
    <t>Payment for weekend security guard for apartment May 21</t>
  </si>
  <si>
    <t>Payment for weekend security guard for apartment Nov 21</t>
  </si>
  <si>
    <t>Payment for weekend security guard for apartment oct 21</t>
  </si>
  <si>
    <t>Payment for weekend security guard for apartment Sept 21</t>
  </si>
  <si>
    <t xml:space="preserve">Payment of electricity bills for Apartmnet </t>
  </si>
  <si>
    <t>21226708-19032021015219511</t>
  </si>
  <si>
    <t>Payment of waterbill for apartment</t>
  </si>
  <si>
    <t>Perdiem and 1 day allowance for Driver for - during travel to Malaba to renew Temporay road licences for Delegats car</t>
  </si>
  <si>
    <t>Phone - MTN Internet bundle: 30GB for 1 month + OTT tax</t>
  </si>
  <si>
    <t>CUGX27</t>
  </si>
  <si>
    <t>CUGX43</t>
  </si>
  <si>
    <t xml:space="preserve">Purchase f airtime </t>
  </si>
  <si>
    <t>Purchase of airtime</t>
  </si>
  <si>
    <t xml:space="preserve">Purchase of mifi data </t>
  </si>
  <si>
    <t>DIV211034</t>
  </si>
  <si>
    <t>RECLASS KBC828921000025 / KBC828921000026 / KBC828921000030</t>
  </si>
  <si>
    <t>CUGX33</t>
  </si>
  <si>
    <t>RR: Offloading truck Kyaka II - Latrine construction materials</t>
  </si>
  <si>
    <t>Sarah Kasande</t>
  </si>
  <si>
    <t>CUGX96</t>
  </si>
  <si>
    <t>Security guard night - December</t>
  </si>
  <si>
    <t>Joshua</t>
  </si>
  <si>
    <t>CUGX69</t>
  </si>
  <si>
    <t>Security guard week (day) - August</t>
  </si>
  <si>
    <t>Alufus Barasa</t>
  </si>
  <si>
    <t>CUGX94</t>
  </si>
  <si>
    <t>Security guard week (day) - December</t>
  </si>
  <si>
    <t>CUGX38</t>
  </si>
  <si>
    <t>Security guard week (day) - February</t>
  </si>
  <si>
    <t>Receipt</t>
  </si>
  <si>
    <t>Security guard week (day) - January</t>
  </si>
  <si>
    <t>CUGX21</t>
  </si>
  <si>
    <t>CUGX64</t>
  </si>
  <si>
    <t>Security guard week (day) - July</t>
  </si>
  <si>
    <t>CUGX59</t>
  </si>
  <si>
    <t>Security guard week (day) - June</t>
  </si>
  <si>
    <t>CUGX48</t>
  </si>
  <si>
    <t>Security guard week (day) - March + Advance April/May</t>
  </si>
  <si>
    <t>CUGX86</t>
  </si>
  <si>
    <t>Security guard week (day) - November</t>
  </si>
  <si>
    <t>CUGX79</t>
  </si>
  <si>
    <t>Security guard week (day) - October</t>
  </si>
  <si>
    <t>CUGX74</t>
  </si>
  <si>
    <t>Security guard week (day) - September</t>
  </si>
  <si>
    <t>CUGX70</t>
  </si>
  <si>
    <t>Security guard weekend - August</t>
  </si>
  <si>
    <t>Fredrick Namudde</t>
  </si>
  <si>
    <t>CUGX95</t>
  </si>
  <si>
    <t>Security guard weekend - December</t>
  </si>
  <si>
    <t>CUGX39</t>
  </si>
  <si>
    <t>Security guard weekend - February</t>
  </si>
  <si>
    <t>Security guard weekend - January</t>
  </si>
  <si>
    <t>CUGX22</t>
  </si>
  <si>
    <t>CUGX65</t>
  </si>
  <si>
    <t>Security guard weekend - July</t>
  </si>
  <si>
    <t>CUGX60</t>
  </si>
  <si>
    <t>Security guard weekend - June</t>
  </si>
  <si>
    <t>CUGX49</t>
  </si>
  <si>
    <t>Security guard weekend - March + Advance April/May</t>
  </si>
  <si>
    <t>CUGX87</t>
  </si>
  <si>
    <t>Security guard weekend - November</t>
  </si>
  <si>
    <t>CUGX80</t>
  </si>
  <si>
    <t>Security guard weekend - October</t>
  </si>
  <si>
    <t>CUGX75</t>
  </si>
  <si>
    <t>Security guard weekend - September</t>
  </si>
  <si>
    <t>CUGX31</t>
  </si>
  <si>
    <t>Stationary office BRC-FL: sticky glue + water</t>
  </si>
  <si>
    <t>Victory Stationary and Secreteriat</t>
  </si>
  <si>
    <t>CKSH3</t>
  </si>
  <si>
    <t>Taxi hotel - airport</t>
  </si>
  <si>
    <t>Pewin</t>
  </si>
  <si>
    <t>Transfer Airport Entebbe - Kampala</t>
  </si>
  <si>
    <t>Dial a cab travel bureau</t>
  </si>
  <si>
    <t>CUGX3</t>
  </si>
  <si>
    <t>Bugonga airport taxi operations</t>
  </si>
  <si>
    <t>Transfer Airport Kampala - Entebbe</t>
  </si>
  <si>
    <t>CUGX35</t>
  </si>
  <si>
    <t>Transfer Airport Kampala-Entebbe</t>
  </si>
  <si>
    <t>CUGX41</t>
  </si>
  <si>
    <t>CUGX28</t>
  </si>
  <si>
    <t>Transport driver boda-boda for pickup vehicle</t>
  </si>
  <si>
    <t>CUGX37</t>
  </si>
  <si>
    <t>Unarmed Night Guard (12h shift)</t>
  </si>
  <si>
    <t>Ultimate Security Limited</t>
  </si>
  <si>
    <t>CUGX46</t>
  </si>
  <si>
    <t>CUGX23</t>
  </si>
  <si>
    <t>Unarmed Night Guard (12h shift) - 201912</t>
  </si>
  <si>
    <t>CUGX24</t>
  </si>
  <si>
    <t>Unarmed Night Guard (12h shift) - 202001</t>
  </si>
  <si>
    <t>CUGX51</t>
  </si>
  <si>
    <t>Unarmed Night Guard (12h shift) - April 2020</t>
  </si>
  <si>
    <t>CUGX67</t>
  </si>
  <si>
    <t>Unarmed Night Guard (12h shift) - August 2020</t>
  </si>
  <si>
    <t>CUGX93</t>
  </si>
  <si>
    <t>Unarmed Night Guard (12h shift) - December 2020</t>
  </si>
  <si>
    <t>CUGX62</t>
  </si>
  <si>
    <t>Unarmed Night Guard (12h shift) - July 2020</t>
  </si>
  <si>
    <t>CUGX57</t>
  </si>
  <si>
    <t>Unarmed Night Guard (12h shift) - June 2020</t>
  </si>
  <si>
    <t>CUGX54</t>
  </si>
  <si>
    <t>Unarmed Night Guard (12h shift) - May 2020</t>
  </si>
  <si>
    <t>CUGX84</t>
  </si>
  <si>
    <t>Unarmed Night Guard (12h shift) - November 2020</t>
  </si>
  <si>
    <t>CUGX77</t>
  </si>
  <si>
    <t>Unarmed Night Guard (12h shift) - October 2020</t>
  </si>
  <si>
    <t>CUGX72</t>
  </si>
  <si>
    <t>Unarmed Night Guard (12h shift) - September 2020</t>
  </si>
  <si>
    <t>AANK2100610</t>
  </si>
  <si>
    <t>VERBLIJFSKOSTEN K. KEITANY</t>
  </si>
  <si>
    <t>AANK2100609</t>
  </si>
  <si>
    <t>VERBLIJFSKOSTEN P. KEITANY</t>
  </si>
  <si>
    <t>Visa card cash Withdrawal access fee</t>
  </si>
  <si>
    <t>Absa Bank</t>
  </si>
  <si>
    <t>Visa card withdrawal access fee from Absa bank ATM</t>
  </si>
  <si>
    <t>0481C</t>
  </si>
  <si>
    <t>Visa card withdrawal fee from Absa bank ATM</t>
  </si>
  <si>
    <t>Visa card withdrawal from Absa bank ATM</t>
  </si>
  <si>
    <t>Visa card withrawal  fee from Absa Bank</t>
  </si>
  <si>
    <t>DIV210940</t>
  </si>
  <si>
    <t>VOORZIENING AANK2200115 AZ M MIDDELARES CAMP M MIDDELARES LA</t>
  </si>
  <si>
    <t>AZ Middelares</t>
  </si>
  <si>
    <t>CUGX36</t>
  </si>
  <si>
    <t>Water and sewerage services 01/02/2020-28/02/2020</t>
  </si>
  <si>
    <t>National water &amp; sewerage corporation</t>
  </si>
  <si>
    <t>CUGX52</t>
  </si>
  <si>
    <t>Water and sewerage services 04/04/2020-29/04/2020</t>
  </si>
  <si>
    <t>Water and sewerage services 15/12/2020-19/01/2021</t>
  </si>
  <si>
    <t>CUGX91</t>
  </si>
  <si>
    <t>Water and sewerage services 19/11/2020-15/12/2020</t>
  </si>
  <si>
    <t>CUGX73</t>
  </si>
  <si>
    <t>Water and sewerage services 20/08/2020-21/09/2020</t>
  </si>
  <si>
    <t>CUGX89</t>
  </si>
  <si>
    <t>Water and sewerage services 20/10/2020-18/11/2020</t>
  </si>
  <si>
    <t>CUGX68</t>
  </si>
  <si>
    <t>Water and sewerage services 21/07/2020-20/08/2020</t>
  </si>
  <si>
    <t>CUGX78</t>
  </si>
  <si>
    <t>Water and sewerage services 21/09/2020-19/10/2020</t>
  </si>
  <si>
    <t>CUGX63</t>
  </si>
  <si>
    <t>Water and sewerage services 24/06/2020-21/07/2020</t>
  </si>
  <si>
    <t>CUGX58</t>
  </si>
  <si>
    <t>Water and sewerage services 25/05/2020-24/06/2020</t>
  </si>
  <si>
    <t>CUGX55</t>
  </si>
  <si>
    <t>Water and sewerage services 29/04/2020-24/05/2020</t>
  </si>
  <si>
    <t>CUGX20</t>
  </si>
  <si>
    <t>Water and sewerage services 31/12/2019-30/01/2020</t>
  </si>
  <si>
    <t>DIV200540</t>
  </si>
  <si>
    <t>XPD035879748-ONK VISA Herpoele P TANKHILL 2020-03-13 Withdrawal cash UGX</t>
  </si>
  <si>
    <t>TANKHILL</t>
  </si>
  <si>
    <t>DIV200541</t>
  </si>
  <si>
    <t>XPD035879796-ONK VISA Herpoele P MENGO 2020-03-19 Withdrawal cash UGX</t>
  </si>
  <si>
    <t>MENGO</t>
  </si>
  <si>
    <t>DIV200578</t>
  </si>
  <si>
    <t>XPD041362074-ONK VISA Herpoele P BNP Paribas Fortis Gent Bijloke 2020-12-</t>
  </si>
  <si>
    <t>DIV200583</t>
  </si>
  <si>
    <t>XPD041362488-ONK VISA Herpoele P BNP Paribas Fortis Gent Centrum 2020-10-</t>
  </si>
  <si>
    <t>DIV200579</t>
  </si>
  <si>
    <t>XPD041362489-ONK VISA Herpoele P BNP Paribas Fortis Gent Bijloke 2020-11-</t>
  </si>
  <si>
    <t>DIV200585</t>
  </si>
  <si>
    <t>XPD041362490-ONK VISA Herpoele P BNP Paribas Fortis Gent Bijloke 2020-10-</t>
  </si>
  <si>
    <t>DIV200580</t>
  </si>
  <si>
    <t>XPD041362491-ONK VISA Herpoele P BNP Paribas Fortis Gent Bijloke 2020-09-</t>
  </si>
  <si>
    <t>DIV200582</t>
  </si>
  <si>
    <t>XPD041362492-ONK VISA Herpoele P BNP Paribas Fortis Gent Bijloke 2020-11-</t>
  </si>
  <si>
    <t>DIV200584</t>
  </si>
  <si>
    <t>XPD041362493-ONK VISA Herpoele P BNP Paribas Fortis Gent Bijloke 2020-11-</t>
  </si>
  <si>
    <t>DIV200581</t>
  </si>
  <si>
    <t>XPD041362494-ONK VISA Herpoele P BNP Paribas Fortis Gent Bijloke 2020-09-</t>
  </si>
  <si>
    <t>DIV200577</t>
  </si>
  <si>
    <t>XPD041362495-ONK VISA Herpoele P BNP Paribas Fortis Gent Bijloke 2020-09-</t>
  </si>
  <si>
    <t>INTL-140000632</t>
  </si>
  <si>
    <t>INTL-140000990</t>
  </si>
  <si>
    <t>INTL-140001065</t>
  </si>
  <si>
    <t>INTL-140001090</t>
  </si>
  <si>
    <t>INTL-140001153</t>
  </si>
  <si>
    <t>INTL-140001230</t>
  </si>
  <si>
    <t>INTL-140001262</t>
  </si>
  <si>
    <t>INTL-140001313</t>
  </si>
  <si>
    <t>INTL-140000670</t>
  </si>
  <si>
    <t>INTL-140000690</t>
  </si>
  <si>
    <t>INTL-140000771</t>
  </si>
  <si>
    <t>INTL-140000830</t>
  </si>
  <si>
    <t>INTL-140001028</t>
  </si>
  <si>
    <t>INTL-140001029</t>
  </si>
  <si>
    <t>INTL-140001172</t>
  </si>
  <si>
    <t>INTL-140001192</t>
  </si>
  <si>
    <t>DIV210663</t>
  </si>
  <si>
    <t>4590310000 - 6220200000 - Keitany Peter Kibor - 07/2021</t>
  </si>
  <si>
    <t>DIV210662</t>
  </si>
  <si>
    <t>4590310000 - 6220200000 - Keitany Peter Kibor - 08/2021</t>
  </si>
  <si>
    <t>DIV210664</t>
  </si>
  <si>
    <t>4590310000 - 6220200000 - Keitany Peter Kibor - 09/2021</t>
  </si>
  <si>
    <t>DIV210665</t>
  </si>
  <si>
    <t>4590310000 - 6220200000 - Keitany Peter Kibor - 10/2021</t>
  </si>
  <si>
    <t>DIV210668</t>
  </si>
  <si>
    <t>4590310000 - 6220200000 - Keitany Peter Kibor - 11/2021</t>
  </si>
  <si>
    <t>4590310000 - 6220200000 - Keitany Peter Kibor - 12/2021</t>
  </si>
  <si>
    <t>4590310000 - 6220200000 - P.Herpoele 08/2022</t>
  </si>
  <si>
    <t>Herpoele Petrus</t>
  </si>
  <si>
    <t>4590310000 - 6220200000 - PK.Keitany 01/2021</t>
  </si>
  <si>
    <t>4590310000 - 6220200000 - PK.Keitany 02/2021</t>
  </si>
  <si>
    <t>4590310000 - 6220200000 - PK.Keitany 03/2021</t>
  </si>
  <si>
    <t>4590310000 - 6220200000 - PK.Keitany 04/2021</t>
  </si>
  <si>
    <t>DIV210341</t>
  </si>
  <si>
    <t>4590310000 - 6220200000 - PK.Keitany 05/2021</t>
  </si>
  <si>
    <t>DIV210342</t>
  </si>
  <si>
    <t>4590310000 - 6220200000 - PK.Keitany 06/2021</t>
  </si>
  <si>
    <t>4900202000 - 6133710000 - P.Herpoele 01/2021</t>
  </si>
  <si>
    <t>4900202000 - 6133710000 - P.Herpoele 02/2021</t>
  </si>
  <si>
    <t>4900202000 - 6133710000 - PK.Keitany 01/2021</t>
  </si>
  <si>
    <t>4900202000 - 6133710000 - PK.Keitany 02/2021</t>
  </si>
  <si>
    <t>DIV210073</t>
  </si>
  <si>
    <t>4900202000 - 6133710000 - PK.Keitany 05/2021</t>
  </si>
  <si>
    <t>DIV210167</t>
  </si>
  <si>
    <t>4900202000 - 6133710000 - PK.Keitany 06/2021</t>
  </si>
  <si>
    <t>DIV210168</t>
  </si>
  <si>
    <t>4900202000 - 6133710000 - PK.Keitany 07/2021</t>
  </si>
  <si>
    <t>DIV210327</t>
  </si>
  <si>
    <t>4900202000 - 6133710000 - PK.Keitany 08/2021</t>
  </si>
  <si>
    <t>DIV210344</t>
  </si>
  <si>
    <t>4900202000 - 6133710000 - PK.Keitany 09/2021</t>
  </si>
  <si>
    <t>DIV210670</t>
  </si>
  <si>
    <t>4900202000 - 6133710000 - PK.Keitany 10/2021</t>
  </si>
  <si>
    <t>DIV210672</t>
  </si>
  <si>
    <t>4900202000 - 6133710000 - PK.Keitany 11/2021</t>
  </si>
  <si>
    <t>DIV211116</t>
  </si>
  <si>
    <t>4900202000 - 6133710000 - PK.Keitany 12/2021</t>
  </si>
  <si>
    <t>AANK2000588-EXPAT&amp;CO 24567 PERIODE 11/2020 P. HERPOELE</t>
  </si>
  <si>
    <t>DIV211071</t>
  </si>
  <si>
    <t>Bankkosten Herpoele 5478350000000859     023</t>
  </si>
  <si>
    <t>DIV211072</t>
  </si>
  <si>
    <t>Bankkosten Herpoele 5478350000000859     054</t>
  </si>
  <si>
    <t>DIV211073</t>
  </si>
  <si>
    <t>Bankkosten Keitany 5478350000004467     054</t>
  </si>
  <si>
    <t>DIV211074</t>
  </si>
  <si>
    <t>Bankkosten Keitany 5478350000004467     082</t>
  </si>
  <si>
    <t>DIV211075</t>
  </si>
  <si>
    <t>Bankkosten Keitany 5478350000004467     113</t>
  </si>
  <si>
    <t>DIV211076</t>
  </si>
  <si>
    <t>Bankkosten Keitany 5478350000004467     174</t>
  </si>
  <si>
    <t>DIV211077</t>
  </si>
  <si>
    <t>Bankkosten Keitany 5478350000004467     266</t>
  </si>
  <si>
    <t>DIV211078</t>
  </si>
  <si>
    <t>Bankkosten Keitany 5478350000004467     327</t>
  </si>
  <si>
    <t>Beheerskosten 01/2021 Herpoele Petrus</t>
  </si>
  <si>
    <t xml:space="preserve"> Herpoele Petrus</t>
  </si>
  <si>
    <t>Beheerskosten 01/2021 Keitany Peter Kibor</t>
  </si>
  <si>
    <t>Beheerskosten 02/2021 Herpoele Petrus</t>
  </si>
  <si>
    <t>Beheerskosten 02/2021 Keitany Peter Kibor</t>
  </si>
  <si>
    <t>Beheerskosten 03/2021 Keitany Peter Kibor</t>
  </si>
  <si>
    <t>Beheerskosten 04/2021 Keitany Peter Kibor</t>
  </si>
  <si>
    <t>PERS PEG21016</t>
  </si>
  <si>
    <t>Beheerskosten 05/2021 Keitany Peter Kibor</t>
  </si>
  <si>
    <t>PERS PEG21017</t>
  </si>
  <si>
    <t>Beheerskosten 06/2021 Keitany Peter Kibor</t>
  </si>
  <si>
    <t>PERS PEG21026</t>
  </si>
  <si>
    <t>Beheerskosten 07/2021 Keitany Peter Kibor</t>
  </si>
  <si>
    <t>PERS PEG21027</t>
  </si>
  <si>
    <t>Beheerskosten 08/2021 Keitany Peter Kibor</t>
  </si>
  <si>
    <t>PERS PEG21028</t>
  </si>
  <si>
    <t>Beheerskosten 09/2021 Keitany Peter Kibor</t>
  </si>
  <si>
    <t>PERS PEG21029</t>
  </si>
  <si>
    <t>Beheerskosten 10/2021 Keitany Peter Kibor</t>
  </si>
  <si>
    <t>PERS PEG21032</t>
  </si>
  <si>
    <t>Beheerskosten 11/2021 Keitany Peter Kibor</t>
  </si>
  <si>
    <t>Beheerskosten 12/2021 Keitany Peter Kibor</t>
  </si>
  <si>
    <t>Beheerskosten Herpoele Petrus 12/2020</t>
  </si>
  <si>
    <t>BETALING210056-5                                      "</t>
  </si>
  <si>
    <t>BETALING210057-5</t>
  </si>
  <si>
    <t>Bezoldiging  Herpoele Petrus 08/2020</t>
  </si>
  <si>
    <t>Bezoldiging  Herpoele Petrus 09/2020</t>
  </si>
  <si>
    <t>PERS PEG21023</t>
  </si>
  <si>
    <t>Bezoldiging 07/2021 Keitany Peter Kibor</t>
  </si>
  <si>
    <t>PERS PEG21024</t>
  </si>
  <si>
    <t>Bezoldiging 08/2021 Keitany Peter Kibor</t>
  </si>
  <si>
    <t>PERS PEG21025</t>
  </si>
  <si>
    <t>Bezoldiging 09/2021 Keitany Peter Kibor</t>
  </si>
  <si>
    <t>PERS PEG21030</t>
  </si>
  <si>
    <t>Bezoldiging 10/2021 Keitany Peter Kibor</t>
  </si>
  <si>
    <t>PERS PEG21031</t>
  </si>
  <si>
    <t>Bezoldiging 11/2021 Keitany Peter Kibor</t>
  </si>
  <si>
    <t>PERS PEG21033</t>
  </si>
  <si>
    <t>Bezoldiging 12/2021 Keitany Peter Kibor</t>
  </si>
  <si>
    <t>Bezoldiging Herpoele Petrus 08/2020</t>
  </si>
  <si>
    <t>Bezoldiging Herpoele Petrus 09/2020</t>
  </si>
  <si>
    <t>Bezoldiging Herpoele Petrus 11/2020</t>
  </si>
  <si>
    <t>Bezoldiging Herpoele Petrus 12/2020</t>
  </si>
  <si>
    <t>PERS PEG20011</t>
  </si>
  <si>
    <t>BEZOLDIGING P. HERPOELE 09/2020</t>
  </si>
  <si>
    <t>Bezolding 01/2021 Herpoele Petrus</t>
  </si>
  <si>
    <t>Bezolding 01/2021 Keitany Peter Kibor</t>
  </si>
  <si>
    <t>Bezolding 02/2021 Herpoele Petrus</t>
  </si>
  <si>
    <t>Bezolding 02/2021 Keitany Peter Kibor</t>
  </si>
  <si>
    <t>Bezolding 03/2021 Keitany Peter Kibor</t>
  </si>
  <si>
    <t>Bezolding 04/2021 Keitany Peter Kibor</t>
  </si>
  <si>
    <t>PERS PEG21015</t>
  </si>
  <si>
    <t>Bezolding 05/2021 Keitany Peter Kibor</t>
  </si>
  <si>
    <t>Bezolding 06/2021 Keitany Peter Kibor</t>
  </si>
  <si>
    <t>Correctie bedrijfsvoorheffing_Herpoele Petrus_01/2021</t>
  </si>
  <si>
    <t>Correctie bedrijfsvoorheffing_Herpoele Petrus_02/2021</t>
  </si>
  <si>
    <t>Correctie bezoldiging 2021 Herpoele Petrus</t>
  </si>
  <si>
    <t>Correctie bezoldiging 2021 Keitany Peter Kibor</t>
  </si>
  <si>
    <t>EXPACT&amp;CO - K.Peter Kibor 03/2021</t>
  </si>
  <si>
    <t>EXPACT&amp;CO - P.Herpoele 03/2021</t>
  </si>
  <si>
    <t>EXPAT &amp; CO 22527 PERIODE 04/2020 P. HERPOELE</t>
  </si>
  <si>
    <t>EXPAT &amp; CO 22815 PERIODE 05/2020 P. HERPOELE</t>
  </si>
  <si>
    <t>EXPAT &amp; CO 23278 PERIODE 07/2020 P. HERPOELE</t>
  </si>
  <si>
    <t>EXPAT &amp; CO 23887 09/2020 P. HERPOELE</t>
  </si>
  <si>
    <t>EXPAT &amp; CO 24715 - 10/2020 - P.HERPOELE</t>
  </si>
  <si>
    <t>EXPAT &amp; CO 24715 - 11/2020 - P.HERPOELE</t>
  </si>
  <si>
    <t>EXPAT &amp; CO 24823 - 12/2020 - P.HERPOELE</t>
  </si>
  <si>
    <t>AANK2100119</t>
  </si>
  <si>
    <t>EXPAT &amp; CO P.HERPOELE 05/2021</t>
  </si>
  <si>
    <t>EXPAT &amp; CO PERIODE 01/2020 P. HERPOELE</t>
  </si>
  <si>
    <t>EXPAT &amp; CO PERIODE 02/2020 P. HERPOELE</t>
  </si>
  <si>
    <t>EXPAT &amp; CO PERIODE 03/2020 P. HERPOELE</t>
  </si>
  <si>
    <t>EXPAT &amp; CO PERIODE 06/2020 P. HERPOELE</t>
  </si>
  <si>
    <t>EXPAT&amp;CO 23583 PERIODE 08/2020 P. HERPOELE</t>
  </si>
  <si>
    <t>DIV200756</t>
  </si>
  <si>
    <t>INTL-015925-DIV200594-AANK2000588-EXPAT&amp;CO 24567 PERIODE 11/2020 P. HERPOELE</t>
  </si>
  <si>
    <t>K. Peter Kibor 04/2021 - expat &amp; co ft26433</t>
  </si>
  <si>
    <t>DIV210296</t>
  </si>
  <si>
    <t>KBC515921000078-BK Loon GROUP S 05/2021 PETER</t>
  </si>
  <si>
    <t>DIV211129</t>
  </si>
  <si>
    <t>LONEN PETER/LEILA BANKKOSTEN KBC515921000108</t>
  </si>
  <si>
    <t>LOON P. HERPOELE 01/2020</t>
  </si>
  <si>
    <t>LOON P. HERPOELE 02/2020</t>
  </si>
  <si>
    <t>LOON P. HERPOELE 03/2020</t>
  </si>
  <si>
    <t>LOON P. HERPOELE 03/2020 EXTRA</t>
  </si>
  <si>
    <t>LOON P. HERPOELE 04/2020</t>
  </si>
  <si>
    <t>LOON P. HERPOELE 05/2020</t>
  </si>
  <si>
    <t>LOON P. HERPOELE 06/2020</t>
  </si>
  <si>
    <t>LOON P. HERPOELE 07/2020</t>
  </si>
  <si>
    <t>DIV200041</t>
  </si>
  <si>
    <t>LOONKOST P. HERPOELE JAN 20</t>
  </si>
  <si>
    <t>ONKOSTEN220013</t>
  </si>
  <si>
    <t>ONK Keitany P Kampala Diplomatic School Limited 2021-11-03 Payment of school fees for child for semi</t>
  </si>
  <si>
    <t>DIV211079</t>
  </si>
  <si>
    <t>Overboeking KBC515921000158 naar BCC_5478350000004467     296</t>
  </si>
  <si>
    <t>DIV210724</t>
  </si>
  <si>
    <t>Overboeking KBC515921000177 bankkosten lonen Peter</t>
  </si>
  <si>
    <t>P.Herpoele 04/2021 - expat &amp; co ft26433</t>
  </si>
  <si>
    <t>DIV211095</t>
  </si>
  <si>
    <t>Visa afpuntingen 12/2021 Keitany</t>
  </si>
  <si>
    <t>NO:010</t>
  </si>
  <si>
    <t>50% payt for  Audit services for year ending 31st dec 2021-DPII</t>
  </si>
  <si>
    <t>Sejjaaka, Kaawaase &amp; Company</t>
  </si>
  <si>
    <t>Audit of Financial Statements of Belgian Redcross</t>
  </si>
  <si>
    <t>Balance payment for the Audit services  for year e</t>
  </si>
  <si>
    <t>URA-WHT Final Audit of Financial Statements of Belgian Redcross</t>
  </si>
  <si>
    <t>NO:011</t>
  </si>
  <si>
    <t>URA-WHT-Audit of Financial Statements of Belgian Redcross</t>
  </si>
  <si>
    <t xml:space="preserve">WHT-Audit services for Year 31 Dec 2021-DPIII     </t>
  </si>
  <si>
    <t>URA WHT Sejjaaka, Kaawaase &amp; Company</t>
  </si>
  <si>
    <t>NO:013</t>
  </si>
  <si>
    <t>WHT-Final payt for Audit services for year ended 2</t>
  </si>
  <si>
    <t>Totaal Project external Evaluation and audit</t>
  </si>
  <si>
    <t>Supplied Gumboots and Raincoats</t>
  </si>
  <si>
    <t>Totaal Provide CBDRR kits </t>
  </si>
  <si>
    <t>Doorrekening loonkost DPIII Uganda Responsible International projects</t>
  </si>
  <si>
    <t>DIV210554</t>
  </si>
  <si>
    <t>DPIII Loonkost Q3 - Responsible INTL projects Uganda</t>
  </si>
  <si>
    <t>DIV210839</t>
  </si>
  <si>
    <t>DPIII Loonkost Q4 - Responsible INTL projects Uganda</t>
  </si>
  <si>
    <t>DPIII Uganda Responsible International projects</t>
  </si>
  <si>
    <t>NO:270</t>
  </si>
  <si>
    <t>PAYMENT FOR SECURITY ALARM RESPONSE AT URCS PREMISES FOR THE MONTH OF NOVEMBER 20221.</t>
  </si>
  <si>
    <t>Security Group Ltd</t>
  </si>
  <si>
    <t>NO:271</t>
  </si>
  <si>
    <t>PAYMENT FOR SECURITY SERVICES AT URCS PREMISES FOR THE MONTH OF NOVEMBER 2021</t>
  </si>
  <si>
    <t>NO:267</t>
  </si>
  <si>
    <t>Payment for security Services Provided at URC Premises for the Month of October 2021</t>
  </si>
  <si>
    <t>NO:262</t>
  </si>
  <si>
    <t>Payment for Security Services Provided at URC Premises for the Month of September 2021</t>
  </si>
  <si>
    <t>NO:263</t>
  </si>
  <si>
    <t>Supplied Stationery Items for Administration</t>
  </si>
  <si>
    <t xml:space="preserve">Senta Enterprises </t>
  </si>
  <si>
    <t>Totaal Security at Headquarters (20%)</t>
  </si>
  <si>
    <t>NO:373</t>
  </si>
  <si>
    <t>Payment for provision of conference Pavkage-Kabarole Branch</t>
  </si>
  <si>
    <t>NO:188</t>
  </si>
  <si>
    <t>Payment for supplied PPES</t>
  </si>
  <si>
    <t>Desh Business Solutions (U) Limited</t>
  </si>
  <si>
    <t>NO:214</t>
  </si>
  <si>
    <t>Payment for the supplied phonnes and Mega Phones</t>
  </si>
  <si>
    <t>NO:226</t>
  </si>
  <si>
    <t xml:space="preserve">Payment for the supplied VCFT Kits - Consumables </t>
  </si>
  <si>
    <t>NO:224</t>
  </si>
  <si>
    <t xml:space="preserve">Payment for the supplied VCFT Kits - medical suuplies </t>
  </si>
  <si>
    <t>Skailab Supplies East Africa Limited</t>
  </si>
  <si>
    <t>NO:213</t>
  </si>
  <si>
    <t>Printing of HMIS VHT Register</t>
  </si>
  <si>
    <t>In-Line Print Services Limited</t>
  </si>
  <si>
    <t>NO:225</t>
  </si>
  <si>
    <t>URA WHT Payment for the supplied VCFT Kits</t>
  </si>
  <si>
    <t>URA-WHT Skailab Supplies East Africa Limited</t>
  </si>
  <si>
    <t>NO:215</t>
  </si>
  <si>
    <t>URA-WHT Payment for the supplied phonnes and Mega Phones</t>
  </si>
  <si>
    <t>NO:461</t>
  </si>
  <si>
    <t>volunteer allowance for the month of December 2021-Kikuube</t>
  </si>
  <si>
    <t>NO:462</t>
  </si>
  <si>
    <t>volunteer allowance for the month of December 2021-Kyegegwa</t>
  </si>
  <si>
    <t>NO:422</t>
  </si>
  <si>
    <t xml:space="preserve">Volunteer paymnts for October-December 2021 Ntoroko CBDRR </t>
  </si>
  <si>
    <t>NO:189</t>
  </si>
  <si>
    <t>WHT for Payment for supplied PPES</t>
  </si>
  <si>
    <t>Totaal Support to surveillance systems for COVID-19</t>
  </si>
  <si>
    <t>Airtel Airtime for July and August 2020</t>
  </si>
  <si>
    <t>Airtel airtime September and October 2020</t>
  </si>
  <si>
    <t>NO:047</t>
  </si>
  <si>
    <t>Airtel for April May and June 2021</t>
  </si>
  <si>
    <t>NO:099</t>
  </si>
  <si>
    <t>Airtime and data bundles for IM officcer</t>
  </si>
  <si>
    <t>NO:100</t>
  </si>
  <si>
    <t xml:space="preserve">Airtime for July, August and Sept 2021            </t>
  </si>
  <si>
    <t>Airtime for Peject staff for Jan, Feb and Mar 2021</t>
  </si>
  <si>
    <t xml:space="preserve">Monthly Airtime for Nov &amp; Dec 2020 - MTN          </t>
  </si>
  <si>
    <t>Monthly Airtime for Project Team, Nov/Dec 2020 - A</t>
  </si>
  <si>
    <t>MTN airtime for April May and June 2021</t>
  </si>
  <si>
    <t>Mtn airtime for July and August 2020</t>
  </si>
  <si>
    <t xml:space="preserve">MTN airtime for July, August and Sept  2021       </t>
  </si>
  <si>
    <t>MTN Airtime for Project staff for months of Jan, F</t>
  </si>
  <si>
    <t>MTN airtime September and October 2020</t>
  </si>
  <si>
    <t>Totaal Telephone fee for HQ (50%)</t>
  </si>
  <si>
    <t>Claim for the EVCA Training in Bundibugyo</t>
  </si>
  <si>
    <t>Conference &amp; Transport services during Evca ToT training, Bundibugyo Branch</t>
  </si>
  <si>
    <t>Conference serivices provide during EVCA training in Bundibugyo</t>
  </si>
  <si>
    <t>NO:094:A</t>
  </si>
  <si>
    <t>ECVA-NDRT in Bundibubyo</t>
  </si>
  <si>
    <t>NO:094:B</t>
  </si>
  <si>
    <t>Certificates -Nzoka stationers</t>
  </si>
  <si>
    <t>NO:094:C</t>
  </si>
  <si>
    <t>NO:101:A</t>
  </si>
  <si>
    <t>EVCA dor the BDRT/RCAT in Bundibugyo Branch</t>
  </si>
  <si>
    <t>NO:101:B</t>
  </si>
  <si>
    <t>NO:101:C</t>
  </si>
  <si>
    <t>Stationery -aadi enterprise</t>
  </si>
  <si>
    <t>NO:101:D</t>
  </si>
  <si>
    <t>Transport - Telsa investemnt limited</t>
  </si>
  <si>
    <t>Perdiem  - Mugwaya Robert</t>
  </si>
  <si>
    <t>NO:115</t>
  </si>
  <si>
    <t>EVCA dor the BDRT/RCAT in Bunndibugyo Branch</t>
  </si>
  <si>
    <t>EVCA-NDRT in Bundibugyo</t>
  </si>
  <si>
    <t>Field activities</t>
  </si>
  <si>
    <t>Payment for volunteers who attended the EVCA training</t>
  </si>
  <si>
    <t>NO:071</t>
  </si>
  <si>
    <t>Stationery supplied and used during taring of CBDRR in Ntoroko District</t>
  </si>
  <si>
    <t>Training of RCATS on EVCA</t>
  </si>
  <si>
    <t>Totaal Train BDRT (RCAT) and NDRT (National Surge Team) on VCA (Vulnerability and Capacity Assessment)</t>
  </si>
  <si>
    <t>Day Allowance Training of CBDRR groups on Disaster Management In Ntoroko District from 16.05.2021 to 10.06.2021 at Ntoroko</t>
  </si>
  <si>
    <t>DRM training -CBDRR groups in Ntoroko District</t>
  </si>
  <si>
    <t>NO:069</t>
  </si>
  <si>
    <t>Facilitors Fees for the CBDRR groups trainers on Disaster Mgt</t>
  </si>
  <si>
    <t>Wamukata stephen &amp; Muhindo Sam</t>
  </si>
  <si>
    <t>Hire of Chairs during Training of CBDRR groups on Disaster Management In Ntoroko District</t>
  </si>
  <si>
    <t>Meals and Refreshments for disaster risk reduction groups Bundibugyo Branch</t>
  </si>
  <si>
    <t>Ntoroko CBDRR Volunteers out of pocket Payments</t>
  </si>
  <si>
    <t>Perdiem for Driver during training of CBDRR groups on Disaster Management</t>
  </si>
  <si>
    <t>Perdiem for training of CBDRR groups on Disaster Management</t>
  </si>
  <si>
    <t>Perdiem Training of CBDRR groups on Disaster Management - submission of accountabilties to Kampala on 13 and 14 June 2021</t>
  </si>
  <si>
    <t>Perdiem Training of CBDRR groups on Disaster Management In Ntoroko District</t>
  </si>
  <si>
    <t>NO:152</t>
  </si>
  <si>
    <t>Supplied meals Disaster Reducttion Quartery Review Meeting-Budibugyo</t>
  </si>
  <si>
    <t>NO:070</t>
  </si>
  <si>
    <t>Transport Refund for the CBDRR groups trainers on Disaster Mgt</t>
  </si>
  <si>
    <t>URA-WHT on Meals and Refreshments for disaster risk reduction groups Bundibugyo Branch</t>
  </si>
  <si>
    <t>URA-WHT  Papa Yoka Guest House</t>
  </si>
  <si>
    <t>NO:153</t>
  </si>
  <si>
    <t>URA-WHT Supplied meals Disaster Reducttion Quartery Review Meeting-Budibugyo</t>
  </si>
  <si>
    <t xml:space="preserve">URA-WHT Melicon Investments Ltd </t>
  </si>
  <si>
    <t>Totaal Train CBDRR Groups at village level</t>
  </si>
  <si>
    <t>NO:405</t>
  </si>
  <si>
    <t>Training RCATS and CBDRRM on Community Based EWS</t>
  </si>
  <si>
    <t>NO:483</t>
  </si>
  <si>
    <t>Kiiza Lynnette</t>
  </si>
  <si>
    <t>Totaal Train RCATs and CBDRR Groups in the selected early warning systems and early actions</t>
  </si>
  <si>
    <t>Conduct field Belgian DPIII activities</t>
  </si>
  <si>
    <t>Meeting volunteer in Kyangwali</t>
  </si>
  <si>
    <t>Totaal Travel costs for core personnel</t>
  </si>
  <si>
    <t>NO:155</t>
  </si>
  <si>
    <t>Day allowance for distribution of Materials for CBDRR Groups</t>
  </si>
  <si>
    <t>Supplied Printed Items</t>
  </si>
  <si>
    <t>In-Line Printed Items</t>
  </si>
  <si>
    <t>Totaal Update, develop, procure and distribute DRR IEC materials and equipment specific to different context and target audience</t>
  </si>
  <si>
    <t>NO:300</t>
  </si>
  <si>
    <t>Payment for professional Audit fees for Branch Audits-(Mbarara Hoima Regions)</t>
  </si>
  <si>
    <t>Kumanya Karakuzi &amp; Co</t>
  </si>
  <si>
    <t>NO:305</t>
  </si>
  <si>
    <t>Payment for supplied Assorted Stationery items</t>
  </si>
  <si>
    <t>Totaal URCS Internal audit and evaluation</t>
  </si>
  <si>
    <t>NO:158</t>
  </si>
  <si>
    <t>Belgian Volunteer Incentives For The Month Of April 2021 Kyegegwa</t>
  </si>
  <si>
    <t>Belgian DPIII Mobile Money Payments</t>
  </si>
  <si>
    <t>NO:156</t>
  </si>
  <si>
    <t>Belgian Volunteer Incentives For The Month Of June 2021 Kyegegwa</t>
  </si>
  <si>
    <t>NO:159</t>
  </si>
  <si>
    <t>Belgian Volunteer Incentives For The Month Of May 2021 Kyagwali</t>
  </si>
  <si>
    <t>NO:157</t>
  </si>
  <si>
    <t>Belgian Volunteer Incentives For The Month Of May 2021 Kyegegwa</t>
  </si>
  <si>
    <t>NO:032</t>
  </si>
  <si>
    <t>DPIII volunteer payments for the month of February 2021</t>
  </si>
  <si>
    <t>Facilitation for the ECBHFA and ECV training</t>
  </si>
  <si>
    <t>NO:352</t>
  </si>
  <si>
    <t>Payment for Volunteer who Conducted Household Visits-Kyegegwa for November 2021</t>
  </si>
  <si>
    <t>NO:165</t>
  </si>
  <si>
    <t>URCS Vols Conduct households visits on Ecbhfa topics in target villages</t>
  </si>
  <si>
    <t>Volunteer conduct household visits, awareness raising sessions and campaigns on Ecbhfa</t>
  </si>
  <si>
    <t>Volunteer Incentives for the month of December 2020-Kyagwali</t>
  </si>
  <si>
    <t>Volunteer Incentives for the month of Febuary 2021-Kyegegwa</t>
  </si>
  <si>
    <t>Volunteer Incentives for the month of January 2021</t>
  </si>
  <si>
    <t>Volunteer Incentives for the month of January 2021-Kikuube</t>
  </si>
  <si>
    <t>Volunteer Incentives for the month of March 2021-Kyagwali</t>
  </si>
  <si>
    <t>Volunteer Incentives for the month of March 2021-Kyegegwa</t>
  </si>
  <si>
    <t>Volunteer Incentives for the month of November 2020</t>
  </si>
  <si>
    <t>Volunteer incentives for the months of November2020 December2020 and January 2021</t>
  </si>
  <si>
    <t>Volunteer Incentives from July and August  2020</t>
  </si>
  <si>
    <t>Volunteer incentives November-kyegeggwa for November 2020</t>
  </si>
  <si>
    <t>NO:398</t>
  </si>
  <si>
    <t>volunteer mobile money payments for Kikuube for October 2021</t>
  </si>
  <si>
    <t>NO:332</t>
  </si>
  <si>
    <t>Volunteer payment for November -Kikuube</t>
  </si>
  <si>
    <t>NO:033</t>
  </si>
  <si>
    <t>volunteer payments December 2020-Kyegegwa</t>
  </si>
  <si>
    <t>NO:331</t>
  </si>
  <si>
    <t>Volunteer Payments for April, May and June 2021-Amani Bihaheka</t>
  </si>
  <si>
    <t>NO:330</t>
  </si>
  <si>
    <t>Volunteer payments for the month of August 2021-Kyegegwa</t>
  </si>
  <si>
    <t>NO:334</t>
  </si>
  <si>
    <t>NO:170</t>
  </si>
  <si>
    <t>Vounteer conducting household visits and Ecbhfa topic</t>
  </si>
  <si>
    <t>Totaal URCS volunteers conduct household visits, awareness raising sessions and campaigns on CBHFA topics in targeted villages</t>
  </si>
  <si>
    <t>NO:480</t>
  </si>
  <si>
    <t>Payment for supplied Building Materials-Bundibugyo</t>
  </si>
  <si>
    <t>Support VCA validition and Mapping</t>
  </si>
  <si>
    <t>NO:109:A</t>
  </si>
  <si>
    <t>Validate  existing VCA (risk mapping) a sample of 1</t>
  </si>
  <si>
    <t>NO:109:B</t>
  </si>
  <si>
    <t>NO:109:C</t>
  </si>
  <si>
    <t>Printing</t>
  </si>
  <si>
    <t>Totaal Validate existing VCA (risk mapping) a sample of 15 communities with old risk analysis and update a district wide risk map</t>
  </si>
  <si>
    <t>NO:275</t>
  </si>
  <si>
    <t>PAYMENT FOR WATER BILL CONSUMES AT URCS HEADQUARTERS FOR THE PERIOD 1/10/2021 TO 31/10/2021</t>
  </si>
  <si>
    <t>National water and sewerage coperation</t>
  </si>
  <si>
    <t>NO:094</t>
  </si>
  <si>
    <t>Plumbing Works done at URCS Headquarter Blocks</t>
  </si>
  <si>
    <t>Tsavo General Ent. Limited</t>
  </si>
  <si>
    <t>URA WHT Plumbing Works done at URCS Headquarter Blocks</t>
  </si>
  <si>
    <t>URA-WHT Tsavo General Ent. Limited</t>
  </si>
  <si>
    <t>Totaal Water fee for HQ (40%)</t>
  </si>
  <si>
    <t>Cash requests 1</t>
  </si>
  <si>
    <t>Cash requests 2</t>
  </si>
  <si>
    <t>January 2021 - December 21</t>
  </si>
  <si>
    <t>Cash requests 3</t>
  </si>
  <si>
    <t>Cash requests 4</t>
  </si>
  <si>
    <t>2021-2022</t>
  </si>
  <si>
    <t>2019-2022</t>
  </si>
  <si>
    <t>Total immovable property</t>
  </si>
  <si>
    <t>Enhancing community resilience to epidemics and 
hydro-meteorological hazards in the African Great Lakes region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</si>
</sst>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-* #,##0\ _€_-;\-* #,##0\ _€_-;_-* &quot;-&quot;\ _€_-;_-@_-"/>
    <numFmt numFmtId="43" formatCode="_-* #,##0.00\ _€_-;\-* #,##0.00\ _€_-;_-* &quot;-&quot;??\ _€_-;_-@_-"/>
    <numFmt numFmtId="164" formatCode="_-* #,##0.00_-;\-* #,##0.00_-;_-* &quot;-&quot;??_-;_-@_-"/>
    <numFmt numFmtId="165" formatCode="_ * #,##0_ ;_ * \-#,##0_ ;_ * &quot;-&quot;??_ ;_ @_ "/>
    <numFmt numFmtId="166" formatCode="_(* #,##0.00_);_(* \(#,##0.00\);_(* &quot;-&quot;??_);_(@_)"/>
    <numFmt numFmtId="167" formatCode="_ * #,##0.00_ ;_ * \-#,##0.00_ ;_ * &quot;-&quot;??_ ;_ @_ "/>
    <numFmt numFmtId="168" formatCode="_ * #,##0.0000_ ;_ * \-#,##0.0000_ ;_ * &quot;-&quot;??_ ;_ @_ "/>
    <numFmt numFmtId="169" formatCode="_(* #,##0.0000_);_(* \(#,##0.0000\);_(* &quot;-&quot;??_);_(@_)"/>
    <numFmt numFmtId="170" formatCode="_-* #,##0_-;\-* #,##0_-;_-* &quot;-&quot;_-;_-@_-"/>
    <numFmt numFmtId="171" formatCode="_(* #,##0_);_(* \(#,##0\);_(* &quot;-&quot;??_);_(@_)"/>
    <numFmt numFmtId="172" formatCode="_-* #,##0_-;\-* #,##0_-;_-* &quot;-&quot;??_-;_-@_-"/>
    <numFmt numFmtId="173" formatCode="_-* #,##0\ _€_-;\-* #,##0\ _€_-;_-* &quot;-&quot;??\ _€_-;_-@_-"/>
  </numFmts>
  <fonts count="37" x14ac:knownFonts="1">
    <font>
      <sz val="10"/>
      <color theme="1"/>
      <name val="Segoe UI"/>
      <family val="2"/>
    </font>
    <font>
      <sz val="10"/>
      <color theme="1"/>
      <name val="Segoe UI"/>
      <family val="2"/>
    </font>
    <font>
      <b/>
      <sz val="10"/>
      <color theme="0"/>
      <name val="Segoe UI"/>
      <family val="2"/>
    </font>
    <font>
      <b/>
      <sz val="10"/>
      <color theme="1"/>
      <name val="Segoe UI"/>
      <family val="2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sz val="10"/>
      <color theme="1"/>
      <name val="Calibri"/>
      <family val="2"/>
      <scheme val="minor"/>
    </font>
    <font>
      <b/>
      <sz val="12"/>
      <color theme="1"/>
      <name val="Segoe UI"/>
      <family val="2"/>
    </font>
    <font>
      <b/>
      <sz val="11"/>
      <color theme="9" tint="-0.249977111117893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name val="Segoe UI"/>
      <family val="2"/>
    </font>
    <font>
      <sz val="11"/>
      <name val="Segoe UI"/>
      <family val="2"/>
    </font>
    <font>
      <sz val="10"/>
      <name val="Segoe UI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1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1"/>
      <color rgb="FFE36C09"/>
      <name val="Calibri"/>
      <family val="2"/>
      <scheme val="minor"/>
    </font>
    <font>
      <sz val="11"/>
      <color rgb="FF92D050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sz val="11"/>
      <color rgb="FF00B050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rgb="FFCCFFCC"/>
      </patternFill>
    </fill>
    <fill>
      <patternFill patternType="solid">
        <fgColor rgb="FFFFFFFF"/>
        <bgColor rgb="FFFFFFFF"/>
      </patternFill>
    </fill>
    <fill>
      <patternFill patternType="solid">
        <fgColor rgb="FF00B0F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D8D8D8"/>
        <bgColor rgb="FFD8D8D8"/>
      </patternFill>
    </fill>
    <fill>
      <patternFill patternType="solid">
        <fgColor rgb="FF33CCCC"/>
        <bgColor rgb="FF33CCCC"/>
      </patternFill>
    </fill>
    <fill>
      <patternFill patternType="solid">
        <fgColor rgb="FFFFFF99"/>
        <bgColor rgb="FFFFFF99"/>
      </patternFill>
    </fill>
    <fill>
      <patternFill patternType="solid">
        <fgColor rgb="FF92D050"/>
        <bgColor rgb="FF92D050"/>
      </patternFill>
    </fill>
    <fill>
      <patternFill patternType="solid">
        <fgColor theme="0"/>
        <bgColor rgb="FFFFFFFF"/>
      </patternFill>
    </fill>
    <fill>
      <patternFill patternType="solid">
        <fgColor rgb="FF00B0F0"/>
        <bgColor rgb="FF00B0F0"/>
      </patternFill>
    </fill>
  </fills>
  <borders count="5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medium">
        <color indexed="64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4" fillId="0" borderId="0"/>
    <xf numFmtId="0" fontId="1" fillId="0" borderId="0"/>
    <xf numFmtId="170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21" fillId="0" borderId="0" applyFont="0" applyFill="0" applyBorder="0" applyAlignment="0" applyProtection="0"/>
  </cellStyleXfs>
  <cellXfs count="875">
    <xf numFmtId="0" fontId="0" fillId="0" borderId="0" xfId="0"/>
    <xf numFmtId="0" fontId="0" fillId="0" borderId="0" xfId="0" applyAlignment="1">
      <alignment horizontal="center" vertical="center"/>
    </xf>
    <xf numFmtId="0" fontId="4" fillId="0" borderId="1" xfId="0" applyFont="1" applyBorder="1" applyAlignment="1"/>
    <xf numFmtId="0" fontId="0" fillId="0" borderId="0" xfId="0" applyFont="1"/>
    <xf numFmtId="3" fontId="0" fillId="0" borderId="0" xfId="0" applyNumberFormat="1" applyFont="1"/>
    <xf numFmtId="3" fontId="0" fillId="0" borderId="0" xfId="0" applyNumberFormat="1" applyFont="1" applyBorder="1"/>
    <xf numFmtId="0" fontId="0" fillId="0" borderId="0" xfId="0" applyFont="1" applyAlignment="1"/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right"/>
    </xf>
    <xf numFmtId="0" fontId="0" fillId="2" borderId="5" xfId="0" applyFont="1" applyFill="1" applyBorder="1" applyAlignment="1">
      <alignment vertical="top" wrapText="1"/>
    </xf>
    <xf numFmtId="3" fontId="5" fillId="2" borderId="6" xfId="0" applyNumberFormat="1" applyFont="1" applyFill="1" applyBorder="1" applyAlignment="1">
      <alignment horizontal="center" vertical="center" wrapText="1"/>
    </xf>
    <xf numFmtId="3" fontId="5" fillId="2" borderId="6" xfId="0" applyNumberFormat="1" applyFont="1" applyFill="1" applyBorder="1" applyAlignment="1">
      <alignment horizontal="right" vertical="center" wrapText="1"/>
    </xf>
    <xf numFmtId="0" fontId="6" fillId="2" borderId="10" xfId="0" applyFont="1" applyFill="1" applyBorder="1" applyAlignment="1">
      <alignment vertical="top" wrapText="1"/>
    </xf>
    <xf numFmtId="3" fontId="3" fillId="2" borderId="11" xfId="0" applyNumberFormat="1" applyFont="1" applyFill="1" applyBorder="1" applyAlignment="1">
      <alignment horizontal="center" vertical="center" wrapText="1"/>
    </xf>
    <xf numFmtId="3" fontId="7" fillId="2" borderId="10" xfId="0" applyNumberFormat="1" applyFont="1" applyFill="1" applyBorder="1" applyAlignment="1">
      <alignment horizontal="center" vertical="center" wrapText="1"/>
    </xf>
    <xf numFmtId="3" fontId="7" fillId="2" borderId="12" xfId="0" applyNumberFormat="1" applyFont="1" applyFill="1" applyBorder="1" applyAlignment="1">
      <alignment horizontal="center" vertical="center" wrapText="1"/>
    </xf>
    <xf numFmtId="3" fontId="7" fillId="2" borderId="11" xfId="0" applyNumberFormat="1" applyFont="1" applyFill="1" applyBorder="1" applyAlignment="1">
      <alignment horizontal="center" vertical="center" wrapText="1"/>
    </xf>
    <xf numFmtId="3" fontId="3" fillId="2" borderId="11" xfId="0" applyNumberFormat="1" applyFont="1" applyFill="1" applyBorder="1" applyAlignment="1">
      <alignment horizontal="right" vertical="center" wrapText="1"/>
    </xf>
    <xf numFmtId="0" fontId="8" fillId="3" borderId="13" xfId="0" applyFont="1" applyFill="1" applyBorder="1" applyAlignment="1">
      <alignment vertical="top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12" xfId="0" applyFont="1" applyFill="1" applyBorder="1" applyAlignment="1">
      <alignment vertical="top" wrapText="1"/>
    </xf>
    <xf numFmtId="0" fontId="8" fillId="3" borderId="11" xfId="0" applyFont="1" applyFill="1" applyBorder="1" applyAlignment="1">
      <alignment vertical="top" wrapText="1"/>
    </xf>
    <xf numFmtId="0" fontId="8" fillId="3" borderId="11" xfId="0" applyFont="1" applyFill="1" applyBorder="1" applyAlignment="1">
      <alignment horizontal="right" vertical="top" wrapText="1"/>
    </xf>
    <xf numFmtId="0" fontId="8" fillId="4" borderId="13" xfId="0" applyFont="1" applyFill="1" applyBorder="1" applyAlignment="1">
      <alignment vertical="top" wrapText="1"/>
    </xf>
    <xf numFmtId="165" fontId="8" fillId="5" borderId="11" xfId="1" applyNumberFormat="1" applyFont="1" applyFill="1" applyBorder="1" applyAlignment="1">
      <alignment horizontal="right" vertical="top" wrapText="1"/>
    </xf>
    <xf numFmtId="165" fontId="8" fillId="4" borderId="10" xfId="1" applyNumberFormat="1" applyFont="1" applyFill="1" applyBorder="1" applyAlignment="1">
      <alignment vertical="top" wrapText="1"/>
    </xf>
    <xf numFmtId="165" fontId="8" fillId="4" borderId="12" xfId="1" applyNumberFormat="1" applyFont="1" applyFill="1" applyBorder="1" applyAlignment="1">
      <alignment vertical="top" wrapText="1"/>
    </xf>
    <xf numFmtId="165" fontId="8" fillId="4" borderId="11" xfId="1" applyNumberFormat="1" applyFont="1" applyFill="1" applyBorder="1" applyAlignment="1">
      <alignment vertical="top" wrapText="1"/>
    </xf>
    <xf numFmtId="0" fontId="8" fillId="4" borderId="10" xfId="0" applyFont="1" applyFill="1" applyBorder="1" applyAlignment="1">
      <alignment vertical="top" wrapText="1"/>
    </xf>
    <xf numFmtId="0" fontId="8" fillId="6" borderId="10" xfId="0" applyFont="1" applyFill="1" applyBorder="1" applyAlignment="1">
      <alignment vertical="top" wrapText="1"/>
    </xf>
    <xf numFmtId="165" fontId="8" fillId="6" borderId="11" xfId="1" applyNumberFormat="1" applyFont="1" applyFill="1" applyBorder="1" applyAlignment="1">
      <alignment horizontal="right" vertical="top" wrapText="1"/>
    </xf>
    <xf numFmtId="165" fontId="8" fillId="6" borderId="10" xfId="1" applyNumberFormat="1" applyFont="1" applyFill="1" applyBorder="1" applyAlignment="1">
      <alignment vertical="top" wrapText="1"/>
    </xf>
    <xf numFmtId="165" fontId="8" fillId="6" borderId="14" xfId="1" applyNumberFormat="1" applyFont="1" applyFill="1" applyBorder="1" applyAlignment="1">
      <alignment vertical="top" wrapText="1"/>
    </xf>
    <xf numFmtId="165" fontId="8" fillId="6" borderId="11" xfId="1" applyNumberFormat="1" applyFont="1" applyFill="1" applyBorder="1" applyAlignment="1">
      <alignment vertical="top" wrapText="1"/>
    </xf>
    <xf numFmtId="9" fontId="0" fillId="0" borderId="0" xfId="3" applyFont="1"/>
    <xf numFmtId="165" fontId="8" fillId="4" borderId="13" xfId="1" applyNumberFormat="1" applyFont="1" applyFill="1" applyBorder="1" applyAlignment="1">
      <alignment vertical="top" wrapText="1"/>
    </xf>
    <xf numFmtId="0" fontId="9" fillId="4" borderId="10" xfId="0" applyFont="1" applyFill="1" applyBorder="1" applyAlignment="1">
      <alignment horizontal="left" vertical="top" wrapText="1" indent="4"/>
    </xf>
    <xf numFmtId="165" fontId="9" fillId="5" borderId="11" xfId="1" applyNumberFormat="1" applyFont="1" applyFill="1" applyBorder="1" applyAlignment="1">
      <alignment horizontal="right" vertical="top" wrapText="1"/>
    </xf>
    <xf numFmtId="165" fontId="9" fillId="4" borderId="10" xfId="1" applyNumberFormat="1" applyFont="1" applyFill="1" applyBorder="1" applyAlignment="1">
      <alignment vertical="top" wrapText="1"/>
    </xf>
    <xf numFmtId="165" fontId="9" fillId="4" borderId="12" xfId="1" applyNumberFormat="1" applyFont="1" applyFill="1" applyBorder="1" applyAlignment="1">
      <alignment vertical="top" wrapText="1"/>
    </xf>
    <xf numFmtId="165" fontId="9" fillId="4" borderId="11" xfId="1" applyNumberFormat="1" applyFont="1" applyFill="1" applyBorder="1" applyAlignment="1">
      <alignment vertical="top" wrapText="1"/>
    </xf>
    <xf numFmtId="0" fontId="5" fillId="3" borderId="10" xfId="0" applyFont="1" applyFill="1" applyBorder="1" applyAlignment="1">
      <alignment vertical="top" wrapText="1"/>
    </xf>
    <xf numFmtId="165" fontId="5" fillId="3" borderId="11" xfId="1" applyNumberFormat="1" applyFont="1" applyFill="1" applyBorder="1" applyAlignment="1">
      <alignment horizontal="right" vertical="top" wrapText="1"/>
    </xf>
    <xf numFmtId="165" fontId="5" fillId="3" borderId="10" xfId="1" applyNumberFormat="1" applyFont="1" applyFill="1" applyBorder="1" applyAlignment="1">
      <alignment vertical="top" wrapText="1"/>
    </xf>
    <xf numFmtId="165" fontId="5" fillId="3" borderId="12" xfId="1" applyNumberFormat="1" applyFont="1" applyFill="1" applyBorder="1" applyAlignment="1">
      <alignment vertical="top" wrapText="1"/>
    </xf>
    <xf numFmtId="165" fontId="5" fillId="3" borderId="11" xfId="1" applyNumberFormat="1" applyFont="1" applyFill="1" applyBorder="1" applyAlignment="1">
      <alignment vertical="top" wrapText="1"/>
    </xf>
    <xf numFmtId="0" fontId="5" fillId="4" borderId="10" xfId="0" applyFont="1" applyFill="1" applyBorder="1" applyAlignment="1">
      <alignment horizontal="left" vertical="top" wrapText="1"/>
    </xf>
    <xf numFmtId="165" fontId="5" fillId="5" borderId="11" xfId="1" applyNumberFormat="1" applyFont="1" applyFill="1" applyBorder="1" applyAlignment="1">
      <alignment horizontal="right" vertical="top" wrapText="1"/>
    </xf>
    <xf numFmtId="165" fontId="5" fillId="4" borderId="10" xfId="1" applyNumberFormat="1" applyFont="1" applyFill="1" applyBorder="1" applyAlignment="1">
      <alignment horizontal="left" vertical="top" wrapText="1"/>
    </xf>
    <xf numFmtId="165" fontId="5" fillId="4" borderId="12" xfId="1" applyNumberFormat="1" applyFont="1" applyFill="1" applyBorder="1" applyAlignment="1">
      <alignment horizontal="left" vertical="top" wrapText="1"/>
    </xf>
    <xf numFmtId="165" fontId="5" fillId="4" borderId="11" xfId="1" applyNumberFormat="1" applyFont="1" applyFill="1" applyBorder="1" applyAlignment="1">
      <alignment horizontal="left" vertical="top" wrapText="1"/>
    </xf>
    <xf numFmtId="0" fontId="8" fillId="6" borderId="15" xfId="0" applyFont="1" applyFill="1" applyBorder="1" applyAlignment="1">
      <alignment vertical="top" wrapText="1"/>
    </xf>
    <xf numFmtId="165" fontId="8" fillId="6" borderId="16" xfId="1" applyNumberFormat="1" applyFont="1" applyFill="1" applyBorder="1" applyAlignment="1">
      <alignment horizontal="right" vertical="top" wrapText="1"/>
    </xf>
    <xf numFmtId="165" fontId="8" fillId="6" borderId="15" xfId="1" applyNumberFormat="1" applyFont="1" applyFill="1" applyBorder="1" applyAlignment="1">
      <alignment vertical="top" wrapText="1"/>
    </xf>
    <xf numFmtId="165" fontId="8" fillId="6" borderId="17" xfId="1" applyNumberFormat="1" applyFont="1" applyFill="1" applyBorder="1" applyAlignment="1">
      <alignment vertical="top" wrapText="1"/>
    </xf>
    <xf numFmtId="165" fontId="8" fillId="6" borderId="16" xfId="1" applyNumberFormat="1" applyFont="1" applyFill="1" applyBorder="1" applyAlignment="1">
      <alignment vertical="top" wrapText="1"/>
    </xf>
    <xf numFmtId="0" fontId="10" fillId="7" borderId="2" xfId="0" applyFont="1" applyFill="1" applyBorder="1" applyAlignment="1">
      <alignment horizontal="left"/>
    </xf>
    <xf numFmtId="165" fontId="10" fillId="7" borderId="18" xfId="1" applyNumberFormat="1" applyFont="1" applyFill="1" applyBorder="1" applyAlignment="1">
      <alignment horizontal="right"/>
    </xf>
    <xf numFmtId="165" fontId="10" fillId="5" borderId="19" xfId="1" applyNumberFormat="1" applyFont="1" applyFill="1" applyBorder="1" applyAlignment="1">
      <alignment horizontal="left"/>
    </xf>
    <xf numFmtId="165" fontId="10" fillId="5" borderId="20" xfId="1" applyNumberFormat="1" applyFont="1" applyFill="1" applyBorder="1" applyAlignment="1">
      <alignment horizontal="left"/>
    </xf>
    <xf numFmtId="165" fontId="10" fillId="5" borderId="21" xfId="1" applyNumberFormat="1" applyFont="1" applyFill="1" applyBorder="1" applyAlignment="1">
      <alignment horizontal="left"/>
    </xf>
    <xf numFmtId="166" fontId="0" fillId="0" borderId="0" xfId="0" applyNumberFormat="1"/>
    <xf numFmtId="0" fontId="8" fillId="7" borderId="2" xfId="0" applyFont="1" applyFill="1" applyBorder="1" applyAlignment="1">
      <alignment horizontal="left"/>
    </xf>
    <xf numFmtId="165" fontId="8" fillId="7" borderId="21" xfId="1" applyNumberFormat="1" applyFont="1" applyFill="1" applyBorder="1" applyAlignment="1">
      <alignment horizontal="right"/>
    </xf>
    <xf numFmtId="0" fontId="11" fillId="0" borderId="0" xfId="0" applyFont="1" applyAlignment="1">
      <alignment horizontal="left" vertical="center"/>
    </xf>
    <xf numFmtId="0" fontId="0" fillId="0" borderId="0" xfId="3" applyNumberFormat="1" applyFont="1"/>
    <xf numFmtId="165" fontId="10" fillId="7" borderId="22" xfId="1" applyNumberFormat="1" applyFont="1" applyFill="1" applyBorder="1" applyAlignment="1">
      <alignment horizontal="right"/>
    </xf>
    <xf numFmtId="167" fontId="0" fillId="0" borderId="0" xfId="0" applyNumberFormat="1"/>
    <xf numFmtId="168" fontId="0" fillId="0" borderId="0" xfId="0" applyNumberFormat="1"/>
    <xf numFmtId="165" fontId="0" fillId="0" borderId="0" xfId="0" applyNumberFormat="1"/>
    <xf numFmtId="169" fontId="0" fillId="0" borderId="0" xfId="0" applyNumberFormat="1"/>
    <xf numFmtId="0" fontId="0" fillId="0" borderId="0" xfId="0" applyAlignment="1">
      <alignment horizontal="right"/>
    </xf>
    <xf numFmtId="0" fontId="12" fillId="2" borderId="23" xfId="0" applyFont="1" applyFill="1" applyBorder="1" applyAlignment="1">
      <alignment vertical="top" wrapText="1"/>
    </xf>
    <xf numFmtId="3" fontId="3" fillId="2" borderId="18" xfId="0" applyNumberFormat="1" applyFont="1" applyFill="1" applyBorder="1" applyAlignment="1">
      <alignment horizontal="center" vertical="center" wrapText="1"/>
    </xf>
    <xf numFmtId="3" fontId="7" fillId="2" borderId="5" xfId="0" applyNumberFormat="1" applyFont="1" applyFill="1" applyBorder="1" applyAlignment="1">
      <alignment horizontal="center" vertical="center" wrapText="1"/>
    </xf>
    <xf numFmtId="3" fontId="7" fillId="2" borderId="24" xfId="0" applyNumberFormat="1" applyFont="1" applyFill="1" applyBorder="1" applyAlignment="1">
      <alignment horizontal="center" vertical="center" wrapText="1"/>
    </xf>
    <xf numFmtId="3" fontId="7" fillId="2" borderId="6" xfId="0" applyNumberFormat="1" applyFont="1" applyFill="1" applyBorder="1" applyAlignment="1">
      <alignment horizontal="center" vertical="center" wrapText="1"/>
    </xf>
    <xf numFmtId="3" fontId="3" fillId="2" borderId="18" xfId="0" applyNumberFormat="1" applyFont="1" applyFill="1" applyBorder="1" applyAlignment="1">
      <alignment horizontal="right" vertical="center" wrapText="1"/>
    </xf>
    <xf numFmtId="0" fontId="8" fillId="4" borderId="5" xfId="0" applyFont="1" applyFill="1" applyBorder="1" applyAlignment="1">
      <alignment vertical="top" wrapText="1"/>
    </xf>
    <xf numFmtId="165" fontId="5" fillId="5" borderId="6" xfId="1" applyNumberFormat="1" applyFont="1" applyFill="1" applyBorder="1" applyAlignment="1">
      <alignment horizontal="center" vertical="center" wrapText="1"/>
    </xf>
    <xf numFmtId="3" fontId="8" fillId="4" borderId="10" xfId="0" applyNumberFormat="1" applyFont="1" applyFill="1" applyBorder="1" applyAlignment="1">
      <alignment vertical="top" wrapText="1"/>
    </xf>
    <xf numFmtId="3" fontId="8" fillId="4" borderId="12" xfId="0" applyNumberFormat="1" applyFont="1" applyFill="1" applyBorder="1" applyAlignment="1">
      <alignment vertical="top" wrapText="1"/>
    </xf>
    <xf numFmtId="3" fontId="8" fillId="4" borderId="11" xfId="0" applyNumberFormat="1" applyFont="1" applyFill="1" applyBorder="1" applyAlignment="1">
      <alignment vertical="top" wrapText="1"/>
    </xf>
    <xf numFmtId="165" fontId="5" fillId="5" borderId="6" xfId="1" applyNumberFormat="1" applyFont="1" applyFill="1" applyBorder="1" applyAlignment="1">
      <alignment horizontal="right" vertical="top" wrapText="1"/>
    </xf>
    <xf numFmtId="165" fontId="5" fillId="5" borderId="11" xfId="1" applyNumberFormat="1" applyFont="1" applyFill="1" applyBorder="1" applyAlignment="1">
      <alignment horizontal="center" vertical="center" wrapText="1"/>
    </xf>
    <xf numFmtId="3" fontId="8" fillId="4" borderId="15" xfId="0" applyNumberFormat="1" applyFont="1" applyFill="1" applyBorder="1" applyAlignment="1">
      <alignment vertical="top" wrapText="1"/>
    </xf>
    <xf numFmtId="3" fontId="8" fillId="4" borderId="25" xfId="0" applyNumberFormat="1" applyFont="1" applyFill="1" applyBorder="1" applyAlignment="1">
      <alignment vertical="top" wrapText="1"/>
    </xf>
    <xf numFmtId="0" fontId="8" fillId="4" borderId="26" xfId="0" applyFont="1" applyFill="1" applyBorder="1" applyAlignment="1">
      <alignment vertical="top" wrapText="1"/>
    </xf>
    <xf numFmtId="165" fontId="5" fillId="5" borderId="27" xfId="1" applyNumberFormat="1" applyFont="1" applyFill="1" applyBorder="1" applyAlignment="1">
      <alignment horizontal="center" vertical="center" wrapText="1"/>
    </xf>
    <xf numFmtId="165" fontId="5" fillId="5" borderId="27" xfId="1" applyNumberFormat="1" applyFont="1" applyFill="1" applyBorder="1" applyAlignment="1">
      <alignment horizontal="right" vertical="top" wrapText="1"/>
    </xf>
    <xf numFmtId="0" fontId="10" fillId="7" borderId="28" xfId="0" applyFont="1" applyFill="1" applyBorder="1" applyAlignment="1">
      <alignment horizontal="left"/>
    </xf>
    <xf numFmtId="165" fontId="10" fillId="7" borderId="29" xfId="1" applyNumberFormat="1" applyFont="1" applyFill="1" applyBorder="1" applyAlignment="1">
      <alignment horizontal="center" vertical="center"/>
    </xf>
    <xf numFmtId="165" fontId="10" fillId="7" borderId="1" xfId="1" applyNumberFormat="1" applyFont="1" applyFill="1" applyBorder="1" applyAlignment="1">
      <alignment horizontal="left"/>
    </xf>
    <xf numFmtId="165" fontId="10" fillId="7" borderId="21" xfId="1" applyNumberFormat="1" applyFont="1" applyFill="1" applyBorder="1" applyAlignment="1">
      <alignment horizontal="left"/>
    </xf>
    <xf numFmtId="165" fontId="10" fillId="7" borderId="29" xfId="1" applyNumberFormat="1" applyFont="1" applyFill="1" applyBorder="1" applyAlignment="1">
      <alignment horizontal="right"/>
    </xf>
    <xf numFmtId="9" fontId="5" fillId="5" borderId="11" xfId="3" applyFont="1" applyFill="1" applyBorder="1" applyAlignment="1">
      <alignment horizontal="right" vertical="top" wrapText="1"/>
    </xf>
    <xf numFmtId="9" fontId="5" fillId="5" borderId="30" xfId="3" applyFont="1" applyFill="1" applyBorder="1" applyAlignment="1">
      <alignment horizontal="right" vertical="top" wrapText="1"/>
    </xf>
    <xf numFmtId="9" fontId="8" fillId="6" borderId="11" xfId="3" applyFont="1" applyFill="1" applyBorder="1" applyAlignment="1">
      <alignment horizontal="right" vertical="top" wrapText="1"/>
    </xf>
    <xf numFmtId="9" fontId="8" fillId="6" borderId="30" xfId="3" applyFont="1" applyFill="1" applyBorder="1" applyAlignment="1">
      <alignment horizontal="right" vertical="top" wrapText="1"/>
    </xf>
    <xf numFmtId="9" fontId="8" fillId="3" borderId="11" xfId="3" applyFont="1" applyFill="1" applyBorder="1" applyAlignment="1">
      <alignment horizontal="right" vertical="top" wrapText="1"/>
    </xf>
    <xf numFmtId="9" fontId="8" fillId="3" borderId="30" xfId="3" applyFont="1" applyFill="1" applyBorder="1" applyAlignment="1">
      <alignment horizontal="right" vertical="top" wrapText="1"/>
    </xf>
    <xf numFmtId="9" fontId="5" fillId="3" borderId="11" xfId="3" applyFont="1" applyFill="1" applyBorder="1" applyAlignment="1">
      <alignment horizontal="right" vertical="top" wrapText="1"/>
    </xf>
    <xf numFmtId="9" fontId="5" fillId="3" borderId="30" xfId="3" applyFont="1" applyFill="1" applyBorder="1" applyAlignment="1">
      <alignment horizontal="right" vertical="top" wrapText="1"/>
    </xf>
    <xf numFmtId="167" fontId="8" fillId="4" borderId="13" xfId="1" applyNumberFormat="1" applyFont="1" applyFill="1" applyBorder="1" applyAlignment="1">
      <alignment vertical="top" wrapText="1"/>
    </xf>
    <xf numFmtId="9" fontId="8" fillId="6" borderId="16" xfId="3" applyFont="1" applyFill="1" applyBorder="1" applyAlignment="1">
      <alignment horizontal="right" vertical="top" wrapText="1"/>
    </xf>
    <xf numFmtId="9" fontId="8" fillId="6" borderId="31" xfId="3" applyFont="1" applyFill="1" applyBorder="1" applyAlignment="1">
      <alignment horizontal="right" vertical="top" wrapText="1"/>
    </xf>
    <xf numFmtId="9" fontId="10" fillId="7" borderId="1" xfId="3" applyFont="1" applyFill="1" applyBorder="1" applyAlignment="1">
      <alignment horizontal="right"/>
    </xf>
    <xf numFmtId="9" fontId="10" fillId="7" borderId="21" xfId="3" applyFont="1" applyFill="1" applyBorder="1" applyAlignment="1">
      <alignment horizontal="right"/>
    </xf>
    <xf numFmtId="165" fontId="0" fillId="0" borderId="0" xfId="3" applyNumberFormat="1" applyFont="1"/>
    <xf numFmtId="9" fontId="8" fillId="7" borderId="22" xfId="3" applyFont="1" applyFill="1" applyBorder="1" applyAlignment="1">
      <alignment horizontal="right"/>
    </xf>
    <xf numFmtId="9" fontId="10" fillId="7" borderId="22" xfId="3" applyFont="1" applyFill="1" applyBorder="1" applyAlignment="1">
      <alignment horizontal="right"/>
    </xf>
    <xf numFmtId="9" fontId="5" fillId="5" borderId="6" xfId="3" applyFont="1" applyFill="1" applyBorder="1" applyAlignment="1">
      <alignment horizontal="right" vertical="top" wrapText="1"/>
    </xf>
    <xf numFmtId="9" fontId="8" fillId="4" borderId="10" xfId="3" applyFont="1" applyFill="1" applyBorder="1" applyAlignment="1">
      <alignment vertical="top" wrapText="1"/>
    </xf>
    <xf numFmtId="9" fontId="8" fillId="4" borderId="12" xfId="3" applyFont="1" applyFill="1" applyBorder="1" applyAlignment="1">
      <alignment vertical="top" wrapText="1"/>
    </xf>
    <xf numFmtId="9" fontId="8" fillId="4" borderId="11" xfId="3" applyFont="1" applyFill="1" applyBorder="1" applyAlignment="1">
      <alignment vertical="top" wrapText="1"/>
    </xf>
    <xf numFmtId="9" fontId="5" fillId="5" borderId="27" xfId="3" applyFont="1" applyFill="1" applyBorder="1" applyAlignment="1">
      <alignment horizontal="right" vertical="top" wrapText="1"/>
    </xf>
    <xf numFmtId="9" fontId="10" fillId="7" borderId="29" xfId="3" applyFont="1" applyFill="1" applyBorder="1" applyAlignment="1">
      <alignment horizontal="right"/>
    </xf>
    <xf numFmtId="0" fontId="8" fillId="0" borderId="0" xfId="4" applyFont="1" applyFill="1" applyBorder="1"/>
    <xf numFmtId="0" fontId="13" fillId="0" borderId="1" xfId="4" applyFont="1" applyBorder="1" applyAlignment="1">
      <alignment wrapText="1"/>
    </xf>
    <xf numFmtId="0" fontId="13" fillId="0" borderId="0" xfId="4" applyFont="1" applyFill="1" applyBorder="1" applyAlignment="1"/>
    <xf numFmtId="3" fontId="17" fillId="0" borderId="0" xfId="4" applyNumberFormat="1" applyFont="1"/>
    <xf numFmtId="3" fontId="17" fillId="0" borderId="0" xfId="4" applyNumberFormat="1" applyFont="1" applyFill="1" applyBorder="1"/>
    <xf numFmtId="3" fontId="17" fillId="0" borderId="0" xfId="4" applyNumberFormat="1" applyFont="1" applyFill="1"/>
    <xf numFmtId="0" fontId="17" fillId="0" borderId="0" xfId="4" applyFont="1" applyFill="1"/>
    <xf numFmtId="0" fontId="17" fillId="0" borderId="0" xfId="4" applyFont="1"/>
    <xf numFmtId="3" fontId="13" fillId="0" borderId="0" xfId="4" applyNumberFormat="1" applyFont="1" applyFill="1" applyBorder="1" applyAlignment="1"/>
    <xf numFmtId="0" fontId="17" fillId="0" borderId="0" xfId="4" applyFont="1" applyAlignment="1">
      <alignment wrapText="1"/>
    </xf>
    <xf numFmtId="0" fontId="17" fillId="0" borderId="0" xfId="4" applyFont="1" applyAlignment="1"/>
    <xf numFmtId="3" fontId="12" fillId="0" borderId="14" xfId="4" applyNumberFormat="1" applyFont="1" applyBorder="1" applyAlignment="1">
      <alignment vertical="center"/>
    </xf>
    <xf numFmtId="3" fontId="18" fillId="0" borderId="14" xfId="4" applyNumberFormat="1" applyFont="1" applyBorder="1" applyAlignment="1">
      <alignment horizontal="center" vertical="center" wrapText="1"/>
    </xf>
    <xf numFmtId="3" fontId="12" fillId="0" borderId="0" xfId="4" applyNumberFormat="1" applyFont="1" applyFill="1" applyBorder="1" applyAlignment="1">
      <alignment horizontal="center" vertical="center" wrapText="1"/>
    </xf>
    <xf numFmtId="3" fontId="12" fillId="0" borderId="14" xfId="4" applyNumberFormat="1" applyFont="1" applyBorder="1" applyAlignment="1">
      <alignment horizontal="center" vertical="center" wrapText="1"/>
    </xf>
    <xf numFmtId="3" fontId="12" fillId="0" borderId="0" xfId="4" applyNumberFormat="1" applyFont="1" applyBorder="1" applyAlignment="1">
      <alignment horizontal="center" vertical="center" wrapText="1"/>
    </xf>
    <xf numFmtId="0" fontId="8" fillId="0" borderId="34" xfId="4" applyFont="1" applyFill="1" applyBorder="1" applyAlignment="1">
      <alignment vertical="top" wrapText="1"/>
    </xf>
    <xf numFmtId="0" fontId="17" fillId="2" borderId="14" xfId="4" applyFont="1" applyFill="1" applyBorder="1" applyAlignment="1">
      <alignment vertical="top" wrapText="1"/>
    </xf>
    <xf numFmtId="0" fontId="7" fillId="2" borderId="14" xfId="4" applyFont="1" applyFill="1" applyBorder="1" applyAlignment="1">
      <alignment horizontal="center" vertical="center" wrapText="1"/>
    </xf>
    <xf numFmtId="3" fontId="7" fillId="2" borderId="14" xfId="4" applyNumberFormat="1" applyFont="1" applyFill="1" applyBorder="1" applyAlignment="1">
      <alignment horizontal="center" vertical="center" wrapText="1"/>
    </xf>
    <xf numFmtId="3" fontId="7" fillId="0" borderId="0" xfId="4" applyNumberFormat="1" applyFont="1" applyFill="1" applyBorder="1" applyAlignment="1">
      <alignment horizontal="center" vertical="center" wrapText="1"/>
    </xf>
    <xf numFmtId="3" fontId="5" fillId="2" borderId="14" xfId="4" applyNumberFormat="1" applyFont="1" applyFill="1" applyBorder="1" applyAlignment="1">
      <alignment horizontal="center" vertical="top" wrapText="1"/>
    </xf>
    <xf numFmtId="0" fontId="8" fillId="0" borderId="35" xfId="4" applyFont="1" applyFill="1" applyBorder="1" applyAlignment="1">
      <alignment horizontal="center" vertical="top" wrapText="1"/>
    </xf>
    <xf numFmtId="0" fontId="7" fillId="3" borderId="12" xfId="4" applyFont="1" applyFill="1" applyBorder="1" applyAlignment="1">
      <alignment vertical="top"/>
    </xf>
    <xf numFmtId="0" fontId="7" fillId="3" borderId="36" xfId="4" applyFont="1" applyFill="1" applyBorder="1" applyAlignment="1">
      <alignment vertical="top"/>
    </xf>
    <xf numFmtId="0" fontId="7" fillId="3" borderId="14" xfId="4" applyFont="1" applyFill="1" applyBorder="1" applyAlignment="1">
      <alignment vertical="top" wrapText="1"/>
    </xf>
    <xf numFmtId="0" fontId="7" fillId="0" borderId="0" xfId="4" applyFont="1" applyFill="1" applyBorder="1" applyAlignment="1">
      <alignment vertical="top" wrapText="1"/>
    </xf>
    <xf numFmtId="0" fontId="7" fillId="3" borderId="14" xfId="4" applyFont="1" applyFill="1" applyBorder="1" applyAlignment="1">
      <alignment horizontal="center" vertical="top" wrapText="1"/>
    </xf>
    <xf numFmtId="0" fontId="5" fillId="0" borderId="0" xfId="4" applyFont="1" applyFill="1"/>
    <xf numFmtId="0" fontId="5" fillId="0" borderId="0" xfId="4" applyFont="1"/>
    <xf numFmtId="0" fontId="7" fillId="3" borderId="14" xfId="4" applyFont="1" applyFill="1" applyBorder="1" applyAlignment="1">
      <alignment vertical="top"/>
    </xf>
    <xf numFmtId="1" fontId="8" fillId="0" borderId="35" xfId="4" applyNumberFormat="1" applyFont="1" applyFill="1" applyBorder="1" applyAlignment="1">
      <alignment horizontal="center" vertical="top" wrapText="1"/>
    </xf>
    <xf numFmtId="0" fontId="16" fillId="0" borderId="14" xfId="0" applyFont="1" applyFill="1" applyBorder="1" applyAlignment="1"/>
    <xf numFmtId="41" fontId="8" fillId="0" borderId="14" xfId="2" applyFont="1" applyFill="1" applyBorder="1" applyAlignment="1">
      <alignment horizontal="center" vertical="top"/>
    </xf>
    <xf numFmtId="41" fontId="8" fillId="0" borderId="14" xfId="2" applyFont="1" applyFill="1" applyBorder="1" applyAlignment="1">
      <alignment vertical="top"/>
    </xf>
    <xf numFmtId="41" fontId="8" fillId="0" borderId="14" xfId="2" applyFont="1" applyFill="1" applyBorder="1" applyAlignment="1">
      <alignment horizontal="center" vertical="center"/>
    </xf>
    <xf numFmtId="41" fontId="8" fillId="0" borderId="14" xfId="2" applyFont="1" applyFill="1" applyBorder="1" applyAlignment="1">
      <alignment horizontal="center" vertical="center" wrapText="1"/>
    </xf>
    <xf numFmtId="41" fontId="8" fillId="0" borderId="0" xfId="2" applyFont="1" applyFill="1" applyBorder="1" applyAlignment="1">
      <alignment horizontal="center" vertical="center" wrapText="1"/>
    </xf>
    <xf numFmtId="41" fontId="8" fillId="0" borderId="14" xfId="3" applyNumberFormat="1" applyFont="1" applyFill="1" applyBorder="1" applyAlignment="1">
      <alignment horizontal="right" vertical="center" wrapText="1"/>
    </xf>
    <xf numFmtId="9" fontId="8" fillId="0" borderId="14" xfId="3" applyFont="1" applyFill="1" applyBorder="1" applyAlignment="1">
      <alignment horizontal="right" vertical="center" wrapText="1"/>
    </xf>
    <xf numFmtId="9" fontId="8" fillId="0" borderId="0" xfId="3" applyFont="1" applyFill="1" applyBorder="1" applyAlignment="1">
      <alignment horizontal="right" vertical="center" wrapText="1"/>
    </xf>
    <xf numFmtId="170" fontId="8" fillId="0" borderId="14" xfId="3" applyNumberFormat="1" applyFont="1" applyFill="1" applyBorder="1" applyAlignment="1">
      <alignment horizontal="right" vertical="center" wrapText="1"/>
    </xf>
    <xf numFmtId="0" fontId="8" fillId="0" borderId="0" xfId="4" applyFont="1" applyFill="1"/>
    <xf numFmtId="0" fontId="8" fillId="0" borderId="14" xfId="4" applyFont="1" applyFill="1" applyBorder="1" applyAlignment="1">
      <alignment horizontal="center" vertical="top"/>
    </xf>
    <xf numFmtId="41" fontId="19" fillId="6" borderId="14" xfId="2" applyFont="1" applyFill="1" applyBorder="1" applyAlignment="1">
      <alignment vertical="top"/>
    </xf>
    <xf numFmtId="41" fontId="7" fillId="6" borderId="14" xfId="2" applyFont="1" applyFill="1" applyBorder="1" applyAlignment="1">
      <alignment vertical="top"/>
    </xf>
    <xf numFmtId="41" fontId="7" fillId="6" borderId="14" xfId="2" applyFont="1" applyFill="1" applyBorder="1" applyAlignment="1">
      <alignment vertical="top" wrapText="1"/>
    </xf>
    <xf numFmtId="41" fontId="7" fillId="0" borderId="0" xfId="2" applyFont="1" applyFill="1" applyBorder="1" applyAlignment="1">
      <alignment vertical="top" wrapText="1"/>
    </xf>
    <xf numFmtId="9" fontId="7" fillId="0" borderId="0" xfId="3" applyFont="1" applyFill="1" applyBorder="1" applyAlignment="1">
      <alignment horizontal="right" vertical="top" wrapText="1"/>
    </xf>
    <xf numFmtId="3" fontId="7" fillId="0" borderId="0" xfId="4" applyNumberFormat="1" applyFont="1" applyFill="1" applyBorder="1" applyAlignment="1">
      <alignment vertical="top" wrapText="1"/>
    </xf>
    <xf numFmtId="0" fontId="7" fillId="0" borderId="0" xfId="4" applyFont="1"/>
    <xf numFmtId="170" fontId="7" fillId="6" borderId="14" xfId="3" applyNumberFormat="1" applyFont="1" applyFill="1" applyBorder="1" applyAlignment="1">
      <alignment horizontal="right" vertical="top" wrapText="1"/>
    </xf>
    <xf numFmtId="9" fontId="7" fillId="6" borderId="14" xfId="3" applyFont="1" applyFill="1" applyBorder="1" applyAlignment="1">
      <alignment horizontal="right" vertical="top" wrapText="1"/>
    </xf>
    <xf numFmtId="41" fontId="7" fillId="3" borderId="14" xfId="2" applyFont="1" applyFill="1" applyBorder="1" applyAlignment="1">
      <alignment vertical="top"/>
    </xf>
    <xf numFmtId="41" fontId="7" fillId="3" borderId="14" xfId="2" applyFont="1" applyFill="1" applyBorder="1" applyAlignment="1">
      <alignment horizontal="center" vertical="top"/>
    </xf>
    <xf numFmtId="41" fontId="7" fillId="3" borderId="14" xfId="2" applyFont="1" applyFill="1" applyBorder="1" applyAlignment="1">
      <alignment vertical="top" wrapText="1"/>
    </xf>
    <xf numFmtId="41" fontId="8" fillId="0" borderId="14" xfId="2" applyFont="1" applyFill="1" applyBorder="1" applyAlignment="1">
      <alignment horizontal="left" vertical="center"/>
    </xf>
    <xf numFmtId="41" fontId="8" fillId="0" borderId="14" xfId="2" applyFont="1" applyFill="1" applyBorder="1" applyAlignment="1">
      <alignment horizontal="left" vertical="center" wrapText="1"/>
    </xf>
    <xf numFmtId="41" fontId="8" fillId="0" borderId="0" xfId="2" applyFont="1" applyFill="1" applyBorder="1" applyAlignment="1">
      <alignment horizontal="left" vertical="center" wrapText="1"/>
    </xf>
    <xf numFmtId="41" fontId="0" fillId="0" borderId="14" xfId="2" applyFont="1" applyFill="1" applyBorder="1" applyAlignment="1">
      <alignment horizontal="left" vertical="center"/>
    </xf>
    <xf numFmtId="41" fontId="0" fillId="0" borderId="14" xfId="2" applyFont="1" applyFill="1" applyBorder="1" applyAlignment="1">
      <alignment horizontal="center" vertical="top"/>
    </xf>
    <xf numFmtId="41" fontId="5" fillId="0" borderId="14" xfId="2" applyFont="1" applyFill="1" applyBorder="1" applyAlignment="1">
      <alignment vertical="top"/>
    </xf>
    <xf numFmtId="41" fontId="5" fillId="0" borderId="14" xfId="2" applyFont="1" applyFill="1" applyBorder="1" applyAlignment="1">
      <alignment horizontal="center" vertical="center"/>
    </xf>
    <xf numFmtId="4" fontId="8" fillId="0" borderId="14" xfId="3" applyNumberFormat="1" applyFont="1" applyFill="1" applyBorder="1" applyAlignment="1">
      <alignment horizontal="right" vertical="center" wrapText="1"/>
    </xf>
    <xf numFmtId="166" fontId="8" fillId="0" borderId="14" xfId="3" applyNumberFormat="1" applyFont="1" applyFill="1" applyBorder="1" applyAlignment="1">
      <alignment horizontal="right" vertical="center" wrapText="1"/>
    </xf>
    <xf numFmtId="41" fontId="5" fillId="0" borderId="14" xfId="2" applyFont="1" applyFill="1" applyBorder="1" applyAlignment="1">
      <alignment horizontal="center" vertical="top"/>
    </xf>
    <xf numFmtId="2" fontId="8" fillId="0" borderId="14" xfId="3" applyNumberFormat="1" applyFont="1" applyFill="1" applyBorder="1" applyAlignment="1">
      <alignment horizontal="right" vertical="center" wrapText="1"/>
    </xf>
    <xf numFmtId="41" fontId="8" fillId="0" borderId="0" xfId="2" applyFont="1" applyFill="1" applyBorder="1" applyAlignment="1">
      <alignment horizontal="right" vertical="center" wrapText="1"/>
    </xf>
    <xf numFmtId="0" fontId="10" fillId="0" borderId="14" xfId="4" applyFont="1" applyFill="1" applyBorder="1" applyAlignment="1">
      <alignment horizontal="center" vertical="top" wrapText="1"/>
    </xf>
    <xf numFmtId="1" fontId="7" fillId="3" borderId="14" xfId="2" applyNumberFormat="1" applyFont="1" applyFill="1" applyBorder="1" applyAlignment="1">
      <alignment horizontal="right" vertical="top" wrapText="1"/>
    </xf>
    <xf numFmtId="9" fontId="7" fillId="3" borderId="14" xfId="3" applyFont="1" applyFill="1" applyBorder="1" applyAlignment="1">
      <alignment horizontal="right" vertical="top" wrapText="1"/>
    </xf>
    <xf numFmtId="41" fontId="7" fillId="4" borderId="14" xfId="2" applyFont="1" applyFill="1" applyBorder="1" applyAlignment="1">
      <alignment vertical="top"/>
    </xf>
    <xf numFmtId="41" fontId="7" fillId="4" borderId="14" xfId="2" applyFont="1" applyFill="1" applyBorder="1" applyAlignment="1">
      <alignment vertical="top" wrapText="1"/>
    </xf>
    <xf numFmtId="1" fontId="7" fillId="4" borderId="14" xfId="2" applyNumberFormat="1" applyFont="1" applyFill="1" applyBorder="1" applyAlignment="1">
      <alignment horizontal="right" vertical="top" wrapText="1"/>
    </xf>
    <xf numFmtId="9" fontId="7" fillId="4" borderId="14" xfId="3" applyFont="1" applyFill="1" applyBorder="1" applyAlignment="1">
      <alignment horizontal="right" vertical="top" wrapText="1"/>
    </xf>
    <xf numFmtId="1" fontId="8" fillId="0" borderId="14" xfId="4" applyNumberFormat="1" applyFont="1" applyFill="1" applyBorder="1" applyAlignment="1">
      <alignment horizontal="center" vertical="top"/>
    </xf>
    <xf numFmtId="41" fontId="8" fillId="0" borderId="0" xfId="2" applyFont="1" applyFill="1" applyBorder="1" applyAlignment="1">
      <alignment vertical="top"/>
    </xf>
    <xf numFmtId="9" fontId="8" fillId="0" borderId="14" xfId="3" applyFont="1" applyFill="1" applyBorder="1" applyAlignment="1">
      <alignment horizontal="right" vertical="top"/>
    </xf>
    <xf numFmtId="9" fontId="8" fillId="0" borderId="0" xfId="3" applyFont="1" applyFill="1" applyBorder="1" applyAlignment="1">
      <alignment horizontal="right" vertical="top"/>
    </xf>
    <xf numFmtId="3" fontId="8" fillId="0" borderId="14" xfId="3" applyNumberFormat="1" applyFont="1" applyFill="1" applyBorder="1" applyAlignment="1">
      <alignment horizontal="right" vertical="top"/>
    </xf>
    <xf numFmtId="170" fontId="8" fillId="0" borderId="14" xfId="3" applyNumberFormat="1" applyFont="1" applyFill="1" applyBorder="1" applyAlignment="1">
      <alignment horizontal="right" vertical="top"/>
    </xf>
    <xf numFmtId="0" fontId="16" fillId="0" borderId="14" xfId="5" applyFont="1" applyFill="1" applyBorder="1" applyAlignment="1"/>
    <xf numFmtId="3" fontId="16" fillId="0" borderId="14" xfId="5" applyNumberFormat="1" applyFont="1" applyFill="1" applyBorder="1" applyAlignment="1">
      <alignment horizontal="right" vertical="top"/>
    </xf>
    <xf numFmtId="41" fontId="8" fillId="9" borderId="14" xfId="2" applyFont="1" applyFill="1" applyBorder="1" applyAlignment="1">
      <alignment horizontal="left" vertical="center" wrapText="1"/>
    </xf>
    <xf numFmtId="0" fontId="16" fillId="0" borderId="0" xfId="5" applyFont="1" applyFill="1"/>
    <xf numFmtId="0" fontId="16" fillId="0" borderId="0" xfId="5" applyFont="1" applyFill="1" applyAlignment="1"/>
    <xf numFmtId="0" fontId="16" fillId="0" borderId="14" xfId="5" applyFont="1" applyFill="1" applyBorder="1" applyAlignment="1">
      <alignment horizontal="right"/>
    </xf>
    <xf numFmtId="9" fontId="8" fillId="0" borderId="36" xfId="3" applyFont="1" applyFill="1" applyBorder="1" applyAlignment="1">
      <alignment horizontal="right" vertical="center" wrapText="1"/>
    </xf>
    <xf numFmtId="0" fontId="16" fillId="0" borderId="37" xfId="5" applyFont="1" applyFill="1" applyBorder="1" applyAlignment="1">
      <alignment horizontal="center" vertical="top" wrapText="1"/>
    </xf>
    <xf numFmtId="3" fontId="8" fillId="0" borderId="14" xfId="3" applyNumberFormat="1" applyFont="1" applyFill="1" applyBorder="1" applyAlignment="1">
      <alignment horizontal="right" vertical="center" wrapText="1"/>
    </xf>
    <xf numFmtId="0" fontId="14" fillId="0" borderId="0" xfId="5" applyFont="1" applyFill="1" applyAlignment="1"/>
    <xf numFmtId="0" fontId="14" fillId="0" borderId="0" xfId="5" applyFont="1" applyFill="1"/>
    <xf numFmtId="3" fontId="7" fillId="6" borderId="14" xfId="3" applyNumberFormat="1" applyFont="1" applyFill="1" applyBorder="1" applyAlignment="1">
      <alignment horizontal="right" vertical="top" wrapText="1"/>
    </xf>
    <xf numFmtId="0" fontId="10" fillId="0" borderId="12" xfId="4" applyFont="1" applyFill="1" applyBorder="1" applyAlignment="1">
      <alignment horizontal="center" vertical="top" wrapText="1"/>
    </xf>
    <xf numFmtId="41" fontId="7" fillId="7" borderId="14" xfId="2" applyFont="1" applyFill="1" applyBorder="1" applyAlignment="1">
      <alignment horizontal="left" vertical="top" wrapText="1"/>
    </xf>
    <xf numFmtId="41" fontId="7" fillId="0" borderId="0" xfId="2" applyFont="1" applyFill="1" applyBorder="1" applyAlignment="1">
      <alignment horizontal="left" vertical="top" wrapText="1"/>
    </xf>
    <xf numFmtId="1" fontId="7" fillId="7" borderId="14" xfId="2" applyNumberFormat="1" applyFont="1" applyFill="1" applyBorder="1" applyAlignment="1">
      <alignment horizontal="right" vertical="top" wrapText="1"/>
    </xf>
    <xf numFmtId="9" fontId="7" fillId="7" borderId="14" xfId="3" applyFont="1" applyFill="1" applyBorder="1" applyAlignment="1">
      <alignment horizontal="right" vertical="top" wrapText="1"/>
    </xf>
    <xf numFmtId="0" fontId="8" fillId="0" borderId="14" xfId="4" applyFont="1" applyFill="1" applyBorder="1" applyAlignment="1">
      <alignment horizontal="center" vertical="top" wrapText="1"/>
    </xf>
    <xf numFmtId="41" fontId="8" fillId="9" borderId="14" xfId="2" applyFont="1" applyFill="1" applyBorder="1" applyAlignment="1">
      <alignment vertical="center"/>
    </xf>
    <xf numFmtId="41" fontId="8" fillId="9" borderId="14" xfId="2" applyFont="1" applyFill="1" applyBorder="1" applyAlignment="1">
      <alignment horizontal="center" vertical="top"/>
    </xf>
    <xf numFmtId="41" fontId="8" fillId="9" borderId="14" xfId="2" applyFont="1" applyFill="1" applyBorder="1" applyAlignment="1">
      <alignment vertical="top"/>
    </xf>
    <xf numFmtId="41" fontId="8" fillId="0" borderId="14" xfId="2" applyFont="1" applyBorder="1" applyAlignment="1">
      <alignment vertical="top"/>
    </xf>
    <xf numFmtId="41" fontId="8" fillId="0" borderId="14" xfId="2" applyFont="1" applyBorder="1" applyAlignment="1">
      <alignment vertical="top" wrapText="1"/>
    </xf>
    <xf numFmtId="41" fontId="8" fillId="0" borderId="0" xfId="2" applyFont="1" applyFill="1" applyBorder="1" applyAlignment="1">
      <alignment vertical="top" wrapText="1"/>
    </xf>
    <xf numFmtId="9" fontId="8" fillId="0" borderId="14" xfId="3" applyFont="1" applyBorder="1" applyAlignment="1">
      <alignment horizontal="right" vertical="top" wrapText="1"/>
    </xf>
    <xf numFmtId="9" fontId="8" fillId="0" borderId="0" xfId="3" applyFont="1" applyFill="1" applyBorder="1" applyAlignment="1">
      <alignment horizontal="right" vertical="top" wrapText="1"/>
    </xf>
    <xf numFmtId="170" fontId="8" fillId="0" borderId="14" xfId="3" applyNumberFormat="1" applyFont="1" applyBorder="1" applyAlignment="1">
      <alignment horizontal="right" vertical="top" wrapText="1"/>
    </xf>
    <xf numFmtId="0" fontId="8" fillId="0" borderId="0" xfId="4" applyFont="1"/>
    <xf numFmtId="1" fontId="8" fillId="0" borderId="14" xfId="4" applyNumberFormat="1" applyFont="1" applyFill="1" applyBorder="1" applyAlignment="1">
      <alignment horizontal="center" vertical="top" wrapText="1"/>
    </xf>
    <xf numFmtId="41" fontId="8" fillId="9" borderId="14" xfId="2" applyFont="1" applyFill="1" applyBorder="1" applyAlignment="1">
      <alignment horizontal="left" vertical="center"/>
    </xf>
    <xf numFmtId="3" fontId="8" fillId="0" borderId="14" xfId="4" applyNumberFormat="1" applyFont="1" applyBorder="1" applyAlignment="1">
      <alignment vertical="top"/>
    </xf>
    <xf numFmtId="0" fontId="8" fillId="0" borderId="12" xfId="4" applyFont="1" applyFill="1" applyBorder="1" applyAlignment="1">
      <alignment horizontal="center" vertical="top" wrapText="1"/>
    </xf>
    <xf numFmtId="41" fontId="8" fillId="0" borderId="14" xfId="2" applyFont="1" applyFill="1" applyBorder="1" applyAlignment="1"/>
    <xf numFmtId="41" fontId="8" fillId="0" borderId="14" xfId="2" applyFont="1" applyFill="1" applyBorder="1" applyAlignment="1">
      <alignment vertical="top" wrapText="1"/>
    </xf>
    <xf numFmtId="9" fontId="8" fillId="0" borderId="14" xfId="3" applyFont="1" applyFill="1" applyBorder="1" applyAlignment="1">
      <alignment horizontal="right" vertical="top" wrapText="1"/>
    </xf>
    <xf numFmtId="41" fontId="8" fillId="0" borderId="0" xfId="2" applyFont="1" applyFill="1" applyAlignment="1"/>
    <xf numFmtId="41" fontId="8" fillId="0" borderId="38" xfId="2" applyFont="1" applyFill="1" applyBorder="1" applyAlignment="1">
      <alignment vertical="top"/>
    </xf>
    <xf numFmtId="41" fontId="8" fillId="0" borderId="14" xfId="2" applyFont="1" applyFill="1" applyBorder="1" applyAlignment="1">
      <alignment horizontal="left" vertical="top"/>
    </xf>
    <xf numFmtId="41" fontId="0" fillId="0" borderId="14" xfId="2" applyFont="1" applyBorder="1" applyAlignment="1"/>
    <xf numFmtId="41" fontId="0" fillId="0" borderId="14" xfId="2" applyFont="1" applyBorder="1" applyAlignment="1">
      <alignment horizontal="center" vertical="top"/>
    </xf>
    <xf numFmtId="41" fontId="5" fillId="0" borderId="14" xfId="2" applyFont="1" applyBorder="1" applyAlignment="1">
      <alignment vertical="top"/>
    </xf>
    <xf numFmtId="41" fontId="5" fillId="0" borderId="14" xfId="2" applyFont="1" applyBorder="1" applyAlignment="1">
      <alignment vertical="top" wrapText="1"/>
    </xf>
    <xf numFmtId="41" fontId="5" fillId="0" borderId="0" xfId="2" applyFont="1" applyFill="1" applyBorder="1" applyAlignment="1">
      <alignment vertical="top" wrapText="1"/>
    </xf>
    <xf numFmtId="9" fontId="5" fillId="0" borderId="14" xfId="3" applyFont="1" applyBorder="1" applyAlignment="1">
      <alignment horizontal="right" vertical="top" wrapText="1"/>
    </xf>
    <xf numFmtId="9" fontId="5" fillId="0" borderId="0" xfId="3" applyFont="1" applyFill="1" applyBorder="1" applyAlignment="1">
      <alignment horizontal="right" vertical="top" wrapText="1"/>
    </xf>
    <xf numFmtId="170" fontId="5" fillId="0" borderId="14" xfId="3" applyNumberFormat="1" applyFont="1" applyBorder="1" applyAlignment="1">
      <alignment horizontal="right" vertical="top" wrapText="1"/>
    </xf>
    <xf numFmtId="41" fontId="5" fillId="0" borderId="14" xfId="2" applyFont="1" applyBorder="1" applyAlignment="1"/>
    <xf numFmtId="41" fontId="8" fillId="0" borderId="14" xfId="2" applyFont="1" applyBorder="1" applyAlignment="1"/>
    <xf numFmtId="41" fontId="8" fillId="0" borderId="14" xfId="2" applyFont="1" applyBorder="1" applyAlignment="1">
      <alignment horizontal="center" vertical="top"/>
    </xf>
    <xf numFmtId="0" fontId="10" fillId="0" borderId="14" xfId="4" applyFont="1" applyFill="1" applyBorder="1" applyAlignment="1">
      <alignment horizontal="center"/>
    </xf>
    <xf numFmtId="0" fontId="20" fillId="0" borderId="14" xfId="4" applyFont="1" applyFill="1" applyBorder="1" applyAlignment="1">
      <alignment horizontal="center"/>
    </xf>
    <xf numFmtId="41" fontId="10" fillId="6" borderId="14" xfId="2" applyFont="1" applyFill="1" applyBorder="1" applyAlignment="1">
      <alignment vertical="top"/>
    </xf>
    <xf numFmtId="41" fontId="10" fillId="6" borderId="14" xfId="2" applyFont="1" applyFill="1" applyBorder="1" applyAlignment="1">
      <alignment vertical="top" wrapText="1"/>
    </xf>
    <xf numFmtId="41" fontId="10" fillId="0" borderId="0" xfId="2" applyFont="1" applyFill="1" applyBorder="1" applyAlignment="1">
      <alignment vertical="top" wrapText="1"/>
    </xf>
    <xf numFmtId="9" fontId="10" fillId="6" borderId="14" xfId="3" applyFont="1" applyFill="1" applyBorder="1" applyAlignment="1">
      <alignment horizontal="right" vertical="top" wrapText="1"/>
    </xf>
    <xf numFmtId="9" fontId="10" fillId="0" borderId="0" xfId="3" applyFont="1" applyFill="1" applyBorder="1" applyAlignment="1">
      <alignment horizontal="right" vertical="top" wrapText="1"/>
    </xf>
    <xf numFmtId="3" fontId="10" fillId="0" borderId="0" xfId="4" applyNumberFormat="1" applyFont="1" applyFill="1" applyBorder="1" applyAlignment="1">
      <alignment vertical="top" wrapText="1"/>
    </xf>
    <xf numFmtId="0" fontId="19" fillId="0" borderId="0" xfId="4" applyFont="1"/>
    <xf numFmtId="41" fontId="7" fillId="4" borderId="14" xfId="2" applyFont="1" applyFill="1" applyBorder="1" applyAlignment="1">
      <alignment horizontal="left" vertical="top"/>
    </xf>
    <xf numFmtId="9" fontId="15" fillId="10" borderId="14" xfId="3" applyFont="1" applyFill="1" applyBorder="1" applyAlignment="1">
      <alignment horizontal="right" vertical="top" wrapText="1"/>
    </xf>
    <xf numFmtId="0" fontId="8" fillId="9" borderId="14" xfId="4" applyFont="1" applyFill="1" applyBorder="1" applyAlignment="1">
      <alignment horizontal="center"/>
    </xf>
    <xf numFmtId="41" fontId="8" fillId="0" borderId="14" xfId="2" applyFont="1" applyFill="1" applyBorder="1" applyAlignment="1">
      <alignment vertical="center"/>
    </xf>
    <xf numFmtId="3" fontId="8" fillId="0" borderId="14" xfId="3" applyNumberFormat="1" applyFont="1" applyBorder="1" applyAlignment="1">
      <alignment horizontal="right" vertical="top" wrapText="1"/>
    </xf>
    <xf numFmtId="0" fontId="8" fillId="0" borderId="14" xfId="4" applyFont="1" applyFill="1" applyBorder="1" applyAlignment="1">
      <alignment horizontal="center"/>
    </xf>
    <xf numFmtId="41" fontId="5" fillId="9" borderId="14" xfId="2" applyFont="1" applyFill="1" applyBorder="1" applyAlignment="1">
      <alignment vertical="top"/>
    </xf>
    <xf numFmtId="0" fontId="8" fillId="0" borderId="0" xfId="4" applyFont="1" applyFill="1" applyBorder="1" applyAlignment="1">
      <alignment horizontal="center"/>
    </xf>
    <xf numFmtId="170" fontId="8" fillId="0" borderId="14" xfId="3" applyNumberFormat="1" applyFont="1" applyFill="1" applyBorder="1" applyAlignment="1">
      <alignment horizontal="right" vertical="top" wrapText="1"/>
    </xf>
    <xf numFmtId="0" fontId="16" fillId="11" borderId="37" xfId="5" applyFont="1" applyFill="1" applyBorder="1" applyAlignment="1">
      <alignment horizontal="center"/>
    </xf>
    <xf numFmtId="0" fontId="15" fillId="10" borderId="14" xfId="5" applyFont="1" applyFill="1" applyBorder="1" applyAlignment="1">
      <alignment horizontal="left" vertical="top"/>
    </xf>
    <xf numFmtId="0" fontId="15" fillId="10" borderId="14" xfId="5" applyFont="1" applyFill="1" applyBorder="1" applyAlignment="1">
      <alignment horizontal="left" vertical="top" wrapText="1"/>
    </xf>
    <xf numFmtId="0" fontId="15" fillId="0" borderId="0" xfId="5" applyFont="1" applyFill="1" applyBorder="1" applyAlignment="1">
      <alignment horizontal="left" vertical="top" wrapText="1"/>
    </xf>
    <xf numFmtId="1" fontId="15" fillId="10" borderId="14" xfId="5" applyNumberFormat="1" applyFont="1" applyFill="1" applyBorder="1" applyAlignment="1">
      <alignment horizontal="right" vertical="top" wrapText="1"/>
    </xf>
    <xf numFmtId="0" fontId="14" fillId="0" borderId="0" xfId="5" applyFont="1"/>
    <xf numFmtId="0" fontId="14" fillId="0" borderId="0" xfId="5" applyFont="1" applyAlignment="1"/>
    <xf numFmtId="0" fontId="14" fillId="0" borderId="14" xfId="5" applyFont="1" applyFill="1" applyBorder="1" applyAlignment="1"/>
    <xf numFmtId="0" fontId="16" fillId="0" borderId="14" xfId="5" applyFont="1" applyFill="1" applyBorder="1" applyAlignment="1">
      <alignment horizontal="left" vertical="top"/>
    </xf>
    <xf numFmtId="3" fontId="14" fillId="0" borderId="14" xfId="5" applyNumberFormat="1" applyFont="1" applyFill="1" applyBorder="1" applyAlignment="1">
      <alignment horizontal="right" vertical="top"/>
    </xf>
    <xf numFmtId="3" fontId="14" fillId="0" borderId="14" xfId="5" applyNumberFormat="1" applyFont="1" applyFill="1" applyBorder="1" applyAlignment="1">
      <alignment horizontal="right" vertical="top" wrapText="1"/>
    </xf>
    <xf numFmtId="3" fontId="14" fillId="0" borderId="0" xfId="5" applyNumberFormat="1" applyFont="1" applyFill="1" applyBorder="1" applyAlignment="1">
      <alignment horizontal="right" vertical="top" wrapText="1"/>
    </xf>
    <xf numFmtId="9" fontId="14" fillId="0" borderId="14" xfId="3" applyFont="1" applyFill="1" applyBorder="1" applyAlignment="1">
      <alignment horizontal="right" vertical="top" wrapText="1"/>
    </xf>
    <xf numFmtId="3" fontId="14" fillId="0" borderId="14" xfId="3" applyNumberFormat="1" applyFont="1" applyFill="1" applyBorder="1" applyAlignment="1">
      <alignment horizontal="right" vertical="top" wrapText="1"/>
    </xf>
    <xf numFmtId="0" fontId="16" fillId="11" borderId="39" xfId="5" applyFont="1" applyFill="1" applyBorder="1" applyAlignment="1">
      <alignment horizontal="center"/>
    </xf>
    <xf numFmtId="0" fontId="15" fillId="10" borderId="17" xfId="5" applyFont="1" applyFill="1" applyBorder="1" applyAlignment="1">
      <alignment horizontal="left" vertical="top"/>
    </xf>
    <xf numFmtId="0" fontId="15" fillId="10" borderId="17" xfId="5" applyFont="1" applyFill="1" applyBorder="1" applyAlignment="1">
      <alignment horizontal="left" vertical="top" wrapText="1"/>
    </xf>
    <xf numFmtId="1" fontId="15" fillId="10" borderId="17" xfId="5" applyNumberFormat="1" applyFont="1" applyFill="1" applyBorder="1" applyAlignment="1">
      <alignment horizontal="right" vertical="top" wrapText="1"/>
    </xf>
    <xf numFmtId="9" fontId="15" fillId="10" borderId="17" xfId="3" applyFont="1" applyFill="1" applyBorder="1" applyAlignment="1">
      <alignment horizontal="right" vertical="top" wrapText="1"/>
    </xf>
    <xf numFmtId="0" fontId="16" fillId="0" borderId="14" xfId="5" applyFont="1" applyFill="1" applyBorder="1" applyAlignment="1">
      <alignment horizontal="center"/>
    </xf>
    <xf numFmtId="9" fontId="14" fillId="0" borderId="0" xfId="3" applyFont="1" applyFill="1" applyBorder="1" applyAlignment="1">
      <alignment horizontal="right" vertical="top" wrapText="1"/>
    </xf>
    <xf numFmtId="0" fontId="16" fillId="11" borderId="14" xfId="5" applyFont="1" applyFill="1" applyBorder="1" applyAlignment="1">
      <alignment horizontal="center"/>
    </xf>
    <xf numFmtId="0" fontId="21" fillId="0" borderId="14" xfId="5" applyFont="1" applyFill="1" applyBorder="1" applyAlignment="1"/>
    <xf numFmtId="0" fontId="16" fillId="11" borderId="14" xfId="5" applyFont="1" applyFill="1" applyBorder="1" applyAlignment="1">
      <alignment horizontal="left" vertical="top"/>
    </xf>
    <xf numFmtId="3" fontId="16" fillId="0" borderId="14" xfId="5" applyNumberFormat="1" applyFont="1" applyBorder="1" applyAlignment="1">
      <alignment horizontal="right" vertical="top"/>
    </xf>
    <xf numFmtId="3" fontId="14" fillId="0" borderId="14" xfId="5" applyNumberFormat="1" applyFont="1" applyBorder="1" applyAlignment="1">
      <alignment horizontal="right" vertical="top" wrapText="1"/>
    </xf>
    <xf numFmtId="9" fontId="14" fillId="0" borderId="14" xfId="3" applyFont="1" applyBorder="1" applyAlignment="1">
      <alignment horizontal="right" vertical="top" wrapText="1"/>
    </xf>
    <xf numFmtId="3" fontId="14" fillId="0" borderId="14" xfId="3" applyNumberFormat="1" applyFont="1" applyBorder="1" applyAlignment="1">
      <alignment horizontal="right" vertical="top" wrapText="1"/>
    </xf>
    <xf numFmtId="0" fontId="16" fillId="0" borderId="0" xfId="5" applyFont="1"/>
    <xf numFmtId="0" fontId="16" fillId="0" borderId="0" xfId="5" applyFont="1" applyAlignment="1"/>
    <xf numFmtId="0" fontId="16" fillId="11" borderId="40" xfId="5" applyFont="1" applyFill="1" applyBorder="1" applyAlignment="1">
      <alignment horizontal="center"/>
    </xf>
    <xf numFmtId="0" fontId="21" fillId="0" borderId="41" xfId="5" applyFont="1" applyFill="1" applyBorder="1" applyAlignment="1"/>
    <xf numFmtId="0" fontId="16" fillId="11" borderId="35" xfId="5" applyFont="1" applyFill="1" applyBorder="1" applyAlignment="1">
      <alignment horizontal="left" vertical="top"/>
    </xf>
    <xf numFmtId="3" fontId="16" fillId="0" borderId="35" xfId="5" applyNumberFormat="1" applyFont="1" applyBorder="1" applyAlignment="1">
      <alignment horizontal="right" vertical="top"/>
    </xf>
    <xf numFmtId="3" fontId="14" fillId="0" borderId="35" xfId="5" applyNumberFormat="1" applyFont="1" applyBorder="1" applyAlignment="1">
      <alignment horizontal="right" vertical="top" wrapText="1"/>
    </xf>
    <xf numFmtId="9" fontId="14" fillId="0" borderId="35" xfId="3" applyFont="1" applyBorder="1" applyAlignment="1">
      <alignment horizontal="right" vertical="top" wrapText="1"/>
    </xf>
    <xf numFmtId="41" fontId="19" fillId="6" borderId="35" xfId="2" applyFont="1" applyFill="1" applyBorder="1" applyAlignment="1">
      <alignment vertical="top"/>
    </xf>
    <xf numFmtId="3" fontId="10" fillId="6" borderId="14" xfId="3" applyNumberFormat="1" applyFont="1" applyFill="1" applyBorder="1" applyAlignment="1">
      <alignment horizontal="right" vertical="top" wrapText="1"/>
    </xf>
    <xf numFmtId="41" fontId="22" fillId="12" borderId="14" xfId="2" applyFont="1" applyFill="1" applyBorder="1" applyAlignment="1">
      <alignment horizontal="left"/>
    </xf>
    <xf numFmtId="41" fontId="10" fillId="12" borderId="14" xfId="2" applyFont="1" applyFill="1" applyBorder="1" applyAlignment="1">
      <alignment horizontal="right"/>
    </xf>
    <xf numFmtId="41" fontId="10" fillId="12" borderId="14" xfId="2" applyFont="1" applyFill="1" applyBorder="1" applyAlignment="1">
      <alignment horizontal="left"/>
    </xf>
    <xf numFmtId="41" fontId="10" fillId="0" borderId="0" xfId="2" applyFont="1" applyFill="1" applyBorder="1" applyAlignment="1">
      <alignment horizontal="right"/>
    </xf>
    <xf numFmtId="3" fontId="10" fillId="12" borderId="14" xfId="2" applyNumberFormat="1" applyFont="1" applyFill="1" applyBorder="1" applyAlignment="1">
      <alignment horizontal="right"/>
    </xf>
    <xf numFmtId="9" fontId="10" fillId="12" borderId="14" xfId="3" applyFont="1" applyFill="1" applyBorder="1" applyAlignment="1">
      <alignment horizontal="right"/>
    </xf>
    <xf numFmtId="9" fontId="10" fillId="0" borderId="0" xfId="3" applyFont="1" applyFill="1" applyBorder="1" applyAlignment="1">
      <alignment horizontal="right"/>
    </xf>
    <xf numFmtId="3" fontId="10" fillId="12" borderId="14" xfId="3" applyNumberFormat="1" applyFont="1" applyFill="1" applyBorder="1" applyAlignment="1">
      <alignment horizontal="right"/>
    </xf>
    <xf numFmtId="3" fontId="10" fillId="0" borderId="0" xfId="4" applyNumberFormat="1" applyFont="1" applyFill="1" applyBorder="1" applyAlignment="1">
      <alignment horizontal="right"/>
    </xf>
    <xf numFmtId="0" fontId="22" fillId="0" borderId="0" xfId="4" applyFont="1"/>
    <xf numFmtId="41" fontId="10" fillId="12" borderId="14" xfId="3" applyNumberFormat="1" applyFont="1" applyFill="1" applyBorder="1" applyAlignment="1">
      <alignment horizontal="right" vertical="center" wrapText="1"/>
    </xf>
    <xf numFmtId="0" fontId="20" fillId="0" borderId="0" xfId="4" applyFont="1" applyFill="1" applyBorder="1"/>
    <xf numFmtId="0" fontId="17" fillId="0" borderId="0" xfId="4" applyFont="1" applyBorder="1" applyAlignment="1">
      <alignment wrapText="1"/>
    </xf>
    <xf numFmtId="0" fontId="17" fillId="0" borderId="0" xfId="4" applyFont="1" applyBorder="1"/>
    <xf numFmtId="43" fontId="17" fillId="0" borderId="0" xfId="1" applyFont="1" applyBorder="1"/>
    <xf numFmtId="3" fontId="17" fillId="0" borderId="0" xfId="4" applyNumberFormat="1" applyFont="1" applyBorder="1"/>
    <xf numFmtId="9" fontId="23" fillId="0" borderId="0" xfId="3" applyFont="1" applyBorder="1"/>
    <xf numFmtId="0" fontId="17" fillId="0" borderId="0" xfId="4" applyFont="1" applyFill="1" applyBorder="1"/>
    <xf numFmtId="3" fontId="23" fillId="0" borderId="0" xfId="4" applyNumberFormat="1" applyFont="1" applyBorder="1"/>
    <xf numFmtId="164" fontId="17" fillId="0" borderId="0" xfId="4" applyNumberFormat="1" applyFont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right"/>
    </xf>
    <xf numFmtId="0" fontId="3" fillId="2" borderId="1" xfId="0" applyFont="1" applyFill="1" applyBorder="1" applyAlignment="1">
      <alignment horizontal="center"/>
    </xf>
    <xf numFmtId="0" fontId="0" fillId="0" borderId="42" xfId="0" applyFill="1" applyBorder="1"/>
    <xf numFmtId="14" fontId="0" fillId="0" borderId="43" xfId="0" applyNumberFormat="1" applyBorder="1" applyAlignment="1">
      <alignment horizontal="right"/>
    </xf>
    <xf numFmtId="0" fontId="0" fillId="0" borderId="43" xfId="0" applyBorder="1"/>
    <xf numFmtId="4" fontId="0" fillId="0" borderId="43" xfId="0" applyNumberFormat="1" applyBorder="1" applyAlignment="1">
      <alignment horizontal="right"/>
    </xf>
    <xf numFmtId="4" fontId="0" fillId="0" borderId="43" xfId="0" applyNumberFormat="1" applyBorder="1" applyAlignment="1">
      <alignment horizontal="center"/>
    </xf>
    <xf numFmtId="14" fontId="0" fillId="0" borderId="44" xfId="0" applyNumberFormat="1" applyBorder="1" applyAlignment="1">
      <alignment horizontal="right"/>
    </xf>
    <xf numFmtId="0" fontId="0" fillId="0" borderId="44" xfId="0" applyBorder="1"/>
    <xf numFmtId="4" fontId="0" fillId="0" borderId="44" xfId="0" applyNumberFormat="1" applyBorder="1" applyAlignment="1">
      <alignment horizontal="right"/>
    </xf>
    <xf numFmtId="0" fontId="7" fillId="0" borderId="42" xfId="0" applyFont="1" applyFill="1" applyBorder="1"/>
    <xf numFmtId="0" fontId="0" fillId="0" borderId="45" xfId="0" applyBorder="1"/>
    <xf numFmtId="4" fontId="0" fillId="0" borderId="44" xfId="0" applyNumberFormat="1" applyBorder="1"/>
    <xf numFmtId="0" fontId="7" fillId="0" borderId="45" xfId="0" applyFont="1" applyBorder="1"/>
    <xf numFmtId="4" fontId="0" fillId="0" borderId="43" xfId="0" applyNumberFormat="1" applyBorder="1"/>
    <xf numFmtId="0" fontId="0" fillId="0" borderId="42" xfId="0" applyBorder="1"/>
    <xf numFmtId="0" fontId="0" fillId="0" borderId="46" xfId="0" applyBorder="1"/>
    <xf numFmtId="0" fontId="0" fillId="0" borderId="45" xfId="0" applyFill="1" applyBorder="1"/>
    <xf numFmtId="0" fontId="7" fillId="0" borderId="45" xfId="0" applyFont="1" applyFill="1" applyBorder="1"/>
    <xf numFmtId="0" fontId="7" fillId="0" borderId="42" xfId="0" applyFont="1" applyBorder="1"/>
    <xf numFmtId="14" fontId="0" fillId="0" borderId="47" xfId="0" applyNumberFormat="1" applyBorder="1" applyAlignment="1">
      <alignment horizontal="right"/>
    </xf>
    <xf numFmtId="0" fontId="0" fillId="0" borderId="47" xfId="0" applyBorder="1"/>
    <xf numFmtId="4" fontId="0" fillId="0" borderId="47" xfId="0" applyNumberFormat="1" applyBorder="1"/>
    <xf numFmtId="0" fontId="0" fillId="0" borderId="48" xfId="0" applyBorder="1"/>
    <xf numFmtId="4" fontId="0" fillId="0" borderId="47" xfId="0" applyNumberFormat="1" applyBorder="1" applyAlignment="1">
      <alignment horizontal="right"/>
    </xf>
    <xf numFmtId="0" fontId="7" fillId="0" borderId="46" xfId="0" applyFont="1" applyBorder="1"/>
    <xf numFmtId="4" fontId="0" fillId="0" borderId="42" xfId="0" applyNumberFormat="1" applyBorder="1"/>
    <xf numFmtId="0" fontId="7" fillId="0" borderId="0" xfId="0" applyFont="1" applyFill="1" applyBorder="1"/>
    <xf numFmtId="14" fontId="0" fillId="0" borderId="0" xfId="0" applyNumberFormat="1" applyBorder="1" applyAlignment="1">
      <alignment horizontal="right"/>
    </xf>
    <xf numFmtId="0" fontId="0" fillId="0" borderId="0" xfId="0" applyBorder="1"/>
    <xf numFmtId="4" fontId="0" fillId="0" borderId="0" xfId="0" applyNumberFormat="1" applyBorder="1"/>
    <xf numFmtId="4" fontId="0" fillId="0" borderId="0" xfId="0" applyNumberFormat="1" applyBorder="1" applyAlignment="1">
      <alignment horizontal="center"/>
    </xf>
    <xf numFmtId="4" fontId="0" fillId="0" borderId="0" xfId="0" applyNumberFormat="1" applyBorder="1" applyAlignment="1">
      <alignment horizontal="right"/>
    </xf>
    <xf numFmtId="4" fontId="7" fillId="0" borderId="0" xfId="0" applyNumberFormat="1" applyFont="1" applyBorder="1" applyAlignment="1">
      <alignment horizontal="right"/>
    </xf>
    <xf numFmtId="4" fontId="7" fillId="0" borderId="0" xfId="0" applyNumberFormat="1" applyFont="1" applyBorder="1"/>
    <xf numFmtId="0" fontId="7" fillId="0" borderId="0" xfId="0" applyFont="1" applyBorder="1"/>
    <xf numFmtId="0" fontId="0" fillId="0" borderId="0" xfId="0" applyFill="1"/>
    <xf numFmtId="0" fontId="0" fillId="0" borderId="0" xfId="0" applyAlignment="1">
      <alignment horizontal="center"/>
    </xf>
    <xf numFmtId="0" fontId="0" fillId="13" borderId="14" xfId="0" applyFill="1" applyBorder="1"/>
    <xf numFmtId="0" fontId="3" fillId="0" borderId="0" xfId="0" applyFont="1" applyFill="1" applyBorder="1"/>
    <xf numFmtId="0" fontId="2" fillId="12" borderId="2" xfId="0" applyFont="1" applyFill="1" applyBorder="1"/>
    <xf numFmtId="14" fontId="0" fillId="12" borderId="3" xfId="0" applyNumberFormat="1" applyFill="1" applyBorder="1"/>
    <xf numFmtId="0" fontId="0" fillId="12" borderId="3" xfId="0" applyFill="1" applyBorder="1"/>
    <xf numFmtId="0" fontId="0" fillId="12" borderId="4" xfId="0" applyFill="1" applyBorder="1"/>
    <xf numFmtId="0" fontId="0" fillId="0" borderId="49" xfId="0" applyBorder="1"/>
    <xf numFmtId="14" fontId="0" fillId="0" borderId="50" xfId="0" applyNumberFormat="1" applyBorder="1"/>
    <xf numFmtId="4" fontId="0" fillId="0" borderId="51" xfId="0" applyNumberFormat="1" applyBorder="1"/>
    <xf numFmtId="14" fontId="0" fillId="0" borderId="44" xfId="0" applyNumberFormat="1" applyBorder="1"/>
    <xf numFmtId="4" fontId="0" fillId="0" borderId="52" xfId="0" applyNumberFormat="1" applyBorder="1"/>
    <xf numFmtId="14" fontId="0" fillId="0" borderId="47" xfId="0" applyNumberFormat="1" applyBorder="1"/>
    <xf numFmtId="0" fontId="0" fillId="0" borderId="2" xfId="0" applyBorder="1"/>
    <xf numFmtId="0" fontId="0" fillId="0" borderId="3" xfId="0" applyBorder="1"/>
    <xf numFmtId="4" fontId="3" fillId="0" borderId="3" xfId="0" applyNumberFormat="1" applyFont="1" applyBorder="1"/>
    <xf numFmtId="4" fontId="3" fillId="0" borderId="4" xfId="0" applyNumberFormat="1" applyFont="1" applyBorder="1"/>
    <xf numFmtId="4" fontId="0" fillId="0" borderId="50" xfId="0" applyNumberFormat="1" applyBorder="1"/>
    <xf numFmtId="4" fontId="0" fillId="0" borderId="53" xfId="0" applyNumberFormat="1" applyBorder="1"/>
    <xf numFmtId="0" fontId="3" fillId="0" borderId="4" xfId="0" applyFont="1" applyBorder="1"/>
    <xf numFmtId="0" fontId="24" fillId="14" borderId="2" xfId="0" applyFont="1" applyFill="1" applyBorder="1"/>
    <xf numFmtId="0" fontId="24" fillId="14" borderId="3" xfId="0" applyFont="1" applyFill="1" applyBorder="1"/>
    <xf numFmtId="4" fontId="24" fillId="14" borderId="3" xfId="0" applyNumberFormat="1" applyFont="1" applyFill="1" applyBorder="1"/>
    <xf numFmtId="4" fontId="24" fillId="14" borderId="4" xfId="0" applyNumberFormat="1" applyFont="1" applyFill="1" applyBorder="1"/>
    <xf numFmtId="4" fontId="0" fillId="0" borderId="0" xfId="0" applyNumberFormat="1"/>
    <xf numFmtId="4" fontId="3" fillId="0" borderId="3" xfId="0" applyNumberFormat="1" applyFont="1" applyFill="1" applyBorder="1"/>
    <xf numFmtId="49" fontId="25" fillId="9" borderId="14" xfId="6" applyNumberFormat="1" applyFont="1" applyFill="1" applyBorder="1" applyAlignment="1">
      <alignment vertical="center"/>
    </xf>
    <xf numFmtId="0" fontId="26" fillId="0" borderId="46" xfId="0" applyFont="1" applyBorder="1" applyAlignment="1">
      <alignment vertical="top"/>
    </xf>
    <xf numFmtId="14" fontId="26" fillId="0" borderId="43" xfId="0" applyNumberFormat="1" applyFont="1" applyBorder="1" applyAlignment="1">
      <alignment horizontal="center" vertical="top"/>
    </xf>
    <xf numFmtId="0" fontId="26" fillId="0" borderId="43" xfId="0" applyFont="1" applyBorder="1" applyAlignment="1">
      <alignment horizontal="left" vertical="top"/>
    </xf>
    <xf numFmtId="0" fontId="26" fillId="0" borderId="43" xfId="0" applyFont="1" applyBorder="1" applyAlignment="1">
      <alignment vertical="top" wrapText="1"/>
    </xf>
    <xf numFmtId="4" fontId="26" fillId="0" borderId="43" xfId="0" applyNumberFormat="1" applyFont="1" applyBorder="1" applyAlignment="1">
      <alignment vertical="top"/>
    </xf>
    <xf numFmtId="4" fontId="26" fillId="0" borderId="43" xfId="0" applyNumberFormat="1" applyFont="1" applyBorder="1" applyAlignment="1">
      <alignment horizontal="left" vertical="top"/>
    </xf>
    <xf numFmtId="4" fontId="26" fillId="0" borderId="43" xfId="0" applyNumberFormat="1" applyFont="1" applyBorder="1" applyAlignment="1">
      <alignment horizontal="right" vertical="top"/>
    </xf>
    <xf numFmtId="0" fontId="24" fillId="0" borderId="46" xfId="0" applyFont="1" applyBorder="1" applyAlignment="1">
      <alignment vertical="top"/>
    </xf>
    <xf numFmtId="0" fontId="24" fillId="0" borderId="46" xfId="0" applyFont="1" applyFill="1" applyBorder="1" applyAlignment="1">
      <alignment vertical="top"/>
    </xf>
    <xf numFmtId="14" fontId="26" fillId="0" borderId="43" xfId="0" applyNumberFormat="1" applyFont="1" applyFill="1" applyBorder="1" applyAlignment="1">
      <alignment horizontal="center" vertical="top"/>
    </xf>
    <xf numFmtId="0" fontId="26" fillId="0" borderId="43" xfId="0" applyFont="1" applyFill="1" applyBorder="1" applyAlignment="1">
      <alignment horizontal="left" vertical="top"/>
    </xf>
    <xf numFmtId="0" fontId="26" fillId="0" borderId="43" xfId="0" applyFont="1" applyFill="1" applyBorder="1" applyAlignment="1">
      <alignment vertical="top" wrapText="1"/>
    </xf>
    <xf numFmtId="4" fontId="26" fillId="0" borderId="43" xfId="0" applyNumberFormat="1" applyFont="1" applyFill="1" applyBorder="1" applyAlignment="1">
      <alignment vertical="top"/>
    </xf>
    <xf numFmtId="4" fontId="26" fillId="0" borderId="43" xfId="0" applyNumberFormat="1" applyFont="1" applyFill="1" applyBorder="1" applyAlignment="1">
      <alignment horizontal="left" vertical="top"/>
    </xf>
    <xf numFmtId="4" fontId="26" fillId="0" borderId="43" xfId="0" applyNumberFormat="1" applyFont="1" applyFill="1" applyBorder="1" applyAlignment="1">
      <alignment horizontal="right" vertical="top"/>
    </xf>
    <xf numFmtId="0" fontId="26" fillId="0" borderId="46" xfId="0" applyFont="1" applyFill="1" applyBorder="1" applyAlignment="1">
      <alignment vertical="top"/>
    </xf>
    <xf numFmtId="0" fontId="24" fillId="0" borderId="0" xfId="0" applyFont="1" applyFill="1" applyBorder="1" applyAlignment="1">
      <alignment vertical="top"/>
    </xf>
    <xf numFmtId="14" fontId="26" fillId="0" borderId="0" xfId="0" applyNumberFormat="1" applyFont="1" applyFill="1" applyBorder="1" applyAlignment="1">
      <alignment horizontal="center" vertical="top"/>
    </xf>
    <xf numFmtId="0" fontId="26" fillId="0" borderId="0" xfId="0" applyFont="1" applyFill="1" applyBorder="1" applyAlignment="1">
      <alignment horizontal="left" vertical="top"/>
    </xf>
    <xf numFmtId="0" fontId="26" fillId="0" borderId="0" xfId="0" applyFont="1" applyFill="1" applyBorder="1" applyAlignment="1">
      <alignment vertical="top" wrapText="1"/>
    </xf>
    <xf numFmtId="4" fontId="26" fillId="0" borderId="0" xfId="0" applyNumberFormat="1" applyFont="1" applyFill="1" applyBorder="1" applyAlignment="1">
      <alignment vertical="top"/>
    </xf>
    <xf numFmtId="4" fontId="26" fillId="0" borderId="0" xfId="0" applyNumberFormat="1" applyFont="1" applyFill="1" applyBorder="1" applyAlignment="1">
      <alignment horizontal="left" vertical="top"/>
    </xf>
    <xf numFmtId="4" fontId="26" fillId="0" borderId="0" xfId="0" applyNumberFormat="1" applyFont="1" applyFill="1" applyBorder="1" applyAlignment="1">
      <alignment horizontal="right" vertical="top"/>
    </xf>
    <xf numFmtId="4" fontId="24" fillId="0" borderId="0" xfId="0" applyNumberFormat="1" applyFont="1" applyFill="1" applyBorder="1" applyAlignment="1">
      <alignment horizontal="right" vertical="top"/>
    </xf>
    <xf numFmtId="4" fontId="24" fillId="0" borderId="0" xfId="0" applyNumberFormat="1" applyFont="1" applyFill="1" applyBorder="1" applyAlignment="1">
      <alignment vertical="top"/>
    </xf>
    <xf numFmtId="0" fontId="17" fillId="0" borderId="35" xfId="4" applyFont="1" applyBorder="1"/>
    <xf numFmtId="0" fontId="5" fillId="0" borderId="35" xfId="4" applyFont="1" applyBorder="1"/>
    <xf numFmtId="0" fontId="7" fillId="3" borderId="14" xfId="4" applyFont="1" applyFill="1" applyBorder="1" applyAlignment="1">
      <alignment horizontal="right" vertical="top" wrapText="1"/>
    </xf>
    <xf numFmtId="41" fontId="7" fillId="3" borderId="38" xfId="2" applyFont="1" applyFill="1" applyBorder="1" applyAlignment="1">
      <alignment vertical="top" wrapText="1"/>
    </xf>
    <xf numFmtId="0" fontId="8" fillId="0" borderId="14" xfId="0" applyFont="1" applyFill="1" applyBorder="1"/>
    <xf numFmtId="0" fontId="8" fillId="9" borderId="0" xfId="4" applyFont="1" applyFill="1"/>
    <xf numFmtId="41" fontId="7" fillId="4" borderId="38" xfId="2" applyFont="1" applyFill="1" applyBorder="1" applyAlignment="1">
      <alignment vertical="top" wrapText="1"/>
    </xf>
    <xf numFmtId="41" fontId="7" fillId="4" borderId="14" xfId="2" applyFont="1" applyFill="1" applyBorder="1" applyAlignment="1">
      <alignment horizontal="right" vertical="top" wrapText="1"/>
    </xf>
    <xf numFmtId="43" fontId="8" fillId="0" borderId="0" xfId="1" applyFont="1"/>
    <xf numFmtId="41" fontId="7" fillId="7" borderId="14" xfId="2" applyFont="1" applyFill="1" applyBorder="1" applyAlignment="1">
      <alignment horizontal="right" vertical="top" wrapText="1"/>
    </xf>
    <xf numFmtId="3" fontId="8" fillId="0" borderId="0" xfId="4" applyNumberFormat="1" applyFont="1" applyFill="1" applyAlignment="1">
      <alignment horizontal="right"/>
    </xf>
    <xf numFmtId="0" fontId="3" fillId="2" borderId="1" xfId="0" applyFont="1" applyFill="1" applyBorder="1" applyAlignment="1">
      <alignment horizontal="left"/>
    </xf>
    <xf numFmtId="0" fontId="0" fillId="0" borderId="46" xfId="0" applyBorder="1" applyAlignment="1">
      <alignment horizontal="left"/>
    </xf>
    <xf numFmtId="0" fontId="0" fillId="0" borderId="43" xfId="0" applyBorder="1" applyAlignment="1">
      <alignment horizontal="center"/>
    </xf>
    <xf numFmtId="0" fontId="0" fillId="0" borderId="43" xfId="0" applyBorder="1" applyAlignment="1">
      <alignment horizontal="left"/>
    </xf>
    <xf numFmtId="0" fontId="0" fillId="0" borderId="45" xfId="0" applyBorder="1" applyAlignment="1">
      <alignment horizontal="left"/>
    </xf>
    <xf numFmtId="0" fontId="0" fillId="0" borderId="44" xfId="0" applyBorder="1" applyAlignment="1">
      <alignment horizontal="center"/>
    </xf>
    <xf numFmtId="0" fontId="0" fillId="0" borderId="44" xfId="0" applyBorder="1" applyAlignment="1">
      <alignment horizontal="left"/>
    </xf>
    <xf numFmtId="0" fontId="7" fillId="0" borderId="45" xfId="0" applyFont="1" applyBorder="1" applyAlignment="1">
      <alignment horizontal="left"/>
    </xf>
    <xf numFmtId="0" fontId="7" fillId="0" borderId="46" xfId="0" applyFont="1" applyBorder="1" applyAlignment="1">
      <alignment horizontal="left"/>
    </xf>
    <xf numFmtId="0" fontId="0" fillId="0" borderId="48" xfId="0" applyBorder="1" applyAlignment="1">
      <alignment horizontal="left"/>
    </xf>
    <xf numFmtId="0" fontId="0" fillId="0" borderId="47" xfId="0" applyBorder="1" applyAlignment="1">
      <alignment horizontal="center"/>
    </xf>
    <xf numFmtId="0" fontId="0" fillId="0" borderId="47" xfId="0" applyBorder="1" applyAlignment="1">
      <alignment horizontal="left"/>
    </xf>
    <xf numFmtId="0" fontId="7" fillId="0" borderId="48" xfId="0" applyFont="1" applyBorder="1" applyAlignment="1">
      <alignment horizontal="left"/>
    </xf>
    <xf numFmtId="0" fontId="7" fillId="0" borderId="46" xfId="0" applyFont="1" applyFill="1" applyBorder="1" applyAlignment="1">
      <alignment horizontal="left"/>
    </xf>
    <xf numFmtId="0" fontId="7" fillId="0" borderId="0" xfId="0" applyFont="1" applyBorder="1" applyAlignment="1">
      <alignment horizontal="left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left"/>
    </xf>
    <xf numFmtId="0" fontId="7" fillId="0" borderId="0" xfId="0" applyFont="1"/>
    <xf numFmtId="4" fontId="7" fillId="0" borderId="0" xfId="0" applyNumberFormat="1" applyFont="1"/>
    <xf numFmtId="9" fontId="7" fillId="6" borderId="14" xfId="3" applyFont="1" applyFill="1" applyBorder="1" applyAlignment="1">
      <alignment vertical="top" wrapText="1"/>
    </xf>
    <xf numFmtId="3" fontId="5" fillId="0" borderId="0" xfId="4" applyNumberFormat="1" applyFont="1"/>
    <xf numFmtId="3" fontId="5" fillId="0" borderId="0" xfId="4" applyNumberFormat="1" applyFont="1" applyFill="1" applyBorder="1"/>
    <xf numFmtId="3" fontId="5" fillId="0" borderId="0" xfId="4" applyNumberFormat="1" applyFont="1" applyAlignment="1">
      <alignment horizontal="right"/>
    </xf>
    <xf numFmtId="3" fontId="5" fillId="0" borderId="0" xfId="4" applyNumberFormat="1" applyFont="1" applyFill="1"/>
    <xf numFmtId="0" fontId="5" fillId="0" borderId="0" xfId="4" applyFont="1" applyAlignment="1">
      <alignment wrapText="1"/>
    </xf>
    <xf numFmtId="0" fontId="5" fillId="0" borderId="0" xfId="4" applyFont="1" applyAlignment="1">
      <alignment horizontal="left" vertical="top"/>
    </xf>
    <xf numFmtId="0" fontId="5" fillId="0" borderId="0" xfId="4" applyFont="1" applyAlignment="1"/>
    <xf numFmtId="3" fontId="7" fillId="0" borderId="14" xfId="4" applyNumberFormat="1" applyFont="1" applyBorder="1" applyAlignment="1">
      <alignment horizontal="center" vertical="center"/>
    </xf>
    <xf numFmtId="3" fontId="12" fillId="0" borderId="35" xfId="4" applyNumberFormat="1" applyFont="1" applyBorder="1" applyAlignment="1">
      <alignment horizontal="center" vertical="center" wrapText="1"/>
    </xf>
    <xf numFmtId="0" fontId="5" fillId="2" borderId="14" xfId="4" applyFont="1" applyFill="1" applyBorder="1" applyAlignment="1">
      <alignment vertical="top" wrapText="1"/>
    </xf>
    <xf numFmtId="0" fontId="7" fillId="2" borderId="14" xfId="4" applyFont="1" applyFill="1" applyBorder="1" applyAlignment="1">
      <alignment horizontal="left" vertical="top" wrapText="1"/>
    </xf>
    <xf numFmtId="3" fontId="7" fillId="2" borderId="14" xfId="4" applyNumberFormat="1" applyFont="1" applyFill="1" applyBorder="1" applyAlignment="1">
      <alignment horizontal="right" vertical="center" wrapText="1"/>
    </xf>
    <xf numFmtId="3" fontId="7" fillId="2" borderId="38" xfId="4" applyNumberFormat="1" applyFont="1" applyFill="1" applyBorder="1" applyAlignment="1">
      <alignment horizontal="center" vertical="center" wrapText="1"/>
    </xf>
    <xf numFmtId="0" fontId="7" fillId="2" borderId="14" xfId="4" applyFont="1" applyFill="1" applyBorder="1" applyAlignment="1">
      <alignment vertical="top" wrapText="1"/>
    </xf>
    <xf numFmtId="3" fontId="5" fillId="2" borderId="14" xfId="4" applyNumberFormat="1" applyFont="1" applyFill="1" applyBorder="1" applyAlignment="1">
      <alignment vertical="top" wrapText="1"/>
    </xf>
    <xf numFmtId="3" fontId="5" fillId="2" borderId="38" xfId="4" applyNumberFormat="1" applyFont="1" applyFill="1" applyBorder="1" applyAlignment="1">
      <alignment vertical="top" wrapText="1"/>
    </xf>
    <xf numFmtId="3" fontId="7" fillId="3" borderId="14" xfId="4" applyNumberFormat="1" applyFont="1" applyFill="1" applyBorder="1" applyAlignment="1">
      <alignment horizontal="right" vertical="top" wrapText="1"/>
    </xf>
    <xf numFmtId="0" fontId="7" fillId="3" borderId="38" xfId="4" applyFont="1" applyFill="1" applyBorder="1" applyAlignment="1">
      <alignment vertical="top" wrapText="1"/>
    </xf>
    <xf numFmtId="0" fontId="7" fillId="3" borderId="14" xfId="4" applyFont="1" applyFill="1" applyBorder="1" applyAlignment="1">
      <alignment horizontal="left" vertical="top" wrapText="1"/>
    </xf>
    <xf numFmtId="170" fontId="5" fillId="9" borderId="14" xfId="7" applyFont="1" applyFill="1" applyBorder="1" applyAlignment="1">
      <alignment vertical="top" wrapText="1"/>
    </xf>
    <xf numFmtId="170" fontId="8" fillId="9" borderId="14" xfId="7" applyFont="1" applyFill="1" applyBorder="1" applyAlignment="1">
      <alignment horizontal="left" vertical="top" wrapText="1"/>
    </xf>
    <xf numFmtId="170" fontId="5" fillId="9" borderId="14" xfId="7" applyFont="1" applyFill="1" applyBorder="1" applyAlignment="1">
      <alignment horizontal="center" vertical="center" wrapText="1"/>
    </xf>
    <xf numFmtId="170" fontId="5" fillId="0" borderId="0" xfId="7" applyFont="1" applyFill="1" applyBorder="1" applyAlignment="1">
      <alignment horizontal="center" vertical="center" wrapText="1"/>
    </xf>
    <xf numFmtId="3" fontId="5" fillId="9" borderId="14" xfId="7" applyNumberFormat="1" applyFont="1" applyFill="1" applyBorder="1" applyAlignment="1">
      <alignment horizontal="right" vertical="center" wrapText="1"/>
    </xf>
    <xf numFmtId="9" fontId="5" fillId="9" borderId="14" xfId="3" applyFont="1" applyFill="1" applyBorder="1" applyAlignment="1">
      <alignment horizontal="right" vertical="center" wrapText="1"/>
    </xf>
    <xf numFmtId="9" fontId="5" fillId="0" borderId="0" xfId="3" applyFont="1" applyFill="1" applyBorder="1" applyAlignment="1">
      <alignment horizontal="right" vertical="center" wrapText="1"/>
    </xf>
    <xf numFmtId="171" fontId="5" fillId="9" borderId="14" xfId="7" applyNumberFormat="1" applyFont="1" applyFill="1" applyBorder="1" applyAlignment="1">
      <alignment horizontal="center" vertical="center" wrapText="1"/>
    </xf>
    <xf numFmtId="166" fontId="5" fillId="9" borderId="14" xfId="7" applyNumberFormat="1" applyFont="1" applyFill="1" applyBorder="1" applyAlignment="1">
      <alignment horizontal="center" vertical="center" wrapText="1"/>
    </xf>
    <xf numFmtId="170" fontId="8" fillId="0" borderId="14" xfId="7" applyFont="1" applyFill="1" applyBorder="1" applyAlignment="1">
      <alignment vertical="top" wrapText="1"/>
    </xf>
    <xf numFmtId="165" fontId="8" fillId="15" borderId="14" xfId="8" applyNumberFormat="1" applyFont="1" applyFill="1" applyBorder="1" applyAlignment="1">
      <alignment vertical="center" wrapText="1"/>
    </xf>
    <xf numFmtId="170" fontId="8" fillId="0" borderId="14" xfId="7" applyFont="1" applyFill="1" applyBorder="1" applyAlignment="1">
      <alignment horizontal="center" vertical="center" wrapText="1"/>
    </xf>
    <xf numFmtId="170" fontId="10" fillId="6" borderId="14" xfId="7" applyFont="1" applyFill="1" applyBorder="1" applyAlignment="1">
      <alignment vertical="top" wrapText="1"/>
    </xf>
    <xf numFmtId="170" fontId="7" fillId="6" borderId="14" xfId="7" applyFont="1" applyFill="1" applyBorder="1" applyAlignment="1">
      <alignment horizontal="left" vertical="top" wrapText="1"/>
    </xf>
    <xf numFmtId="170" fontId="7" fillId="6" borderId="14" xfId="7" applyFont="1" applyFill="1" applyBorder="1" applyAlignment="1">
      <alignment vertical="top" wrapText="1"/>
    </xf>
    <xf numFmtId="170" fontId="7" fillId="0" borderId="0" xfId="7" applyFont="1" applyFill="1" applyBorder="1" applyAlignment="1">
      <alignment vertical="top" wrapText="1"/>
    </xf>
    <xf numFmtId="3" fontId="7" fillId="6" borderId="14" xfId="7" applyNumberFormat="1" applyFont="1" applyFill="1" applyBorder="1" applyAlignment="1">
      <alignment horizontal="right" vertical="top" wrapText="1"/>
    </xf>
    <xf numFmtId="170" fontId="7" fillId="3" borderId="14" xfId="7" applyFont="1" applyFill="1" applyBorder="1" applyAlignment="1">
      <alignment vertical="top" wrapText="1"/>
    </xf>
    <xf numFmtId="170" fontId="7" fillId="3" borderId="14" xfId="7" applyFont="1" applyFill="1" applyBorder="1" applyAlignment="1">
      <alignment horizontal="left" vertical="top" wrapText="1"/>
    </xf>
    <xf numFmtId="3" fontId="7" fillId="3" borderId="14" xfId="7" applyNumberFormat="1" applyFont="1" applyFill="1" applyBorder="1" applyAlignment="1">
      <alignment horizontal="right" vertical="top" wrapText="1"/>
    </xf>
    <xf numFmtId="170" fontId="7" fillId="3" borderId="38" xfId="7" applyFont="1" applyFill="1" applyBorder="1" applyAlignment="1">
      <alignment vertical="top" wrapText="1"/>
    </xf>
    <xf numFmtId="170" fontId="8" fillId="0" borderId="14" xfId="7" applyFont="1" applyFill="1" applyBorder="1" applyAlignment="1">
      <alignment horizontal="left" vertical="top" wrapText="1"/>
    </xf>
    <xf numFmtId="170" fontId="8" fillId="0" borderId="14" xfId="7" applyFont="1" applyFill="1" applyBorder="1" applyAlignment="1">
      <alignment vertical="center" wrapText="1"/>
    </xf>
    <xf numFmtId="170" fontId="8" fillId="0" borderId="0" xfId="7" applyFont="1" applyFill="1" applyBorder="1" applyAlignment="1">
      <alignment horizontal="center" vertical="center" wrapText="1"/>
    </xf>
    <xf numFmtId="170" fontId="8" fillId="0" borderId="0" xfId="4" applyNumberFormat="1" applyFont="1" applyFill="1"/>
    <xf numFmtId="170" fontId="5" fillId="0" borderId="14" xfId="7" applyFont="1" applyFill="1" applyBorder="1" applyAlignment="1">
      <alignment horizontal="center" vertical="center" wrapText="1"/>
    </xf>
    <xf numFmtId="170" fontId="8" fillId="0" borderId="14" xfId="7" applyFont="1" applyFill="1" applyBorder="1"/>
    <xf numFmtId="0" fontId="8" fillId="9" borderId="35" xfId="4" applyFont="1" applyFill="1" applyBorder="1" applyAlignment="1">
      <alignment horizontal="center" vertical="top" wrapText="1"/>
    </xf>
    <xf numFmtId="170" fontId="8" fillId="9" borderId="14" xfId="7" applyFont="1" applyFill="1" applyBorder="1"/>
    <xf numFmtId="170" fontId="8" fillId="9" borderId="14" xfId="7" applyFont="1" applyFill="1" applyBorder="1" applyAlignment="1">
      <alignment vertical="top" wrapText="1"/>
    </xf>
    <xf numFmtId="170" fontId="8" fillId="9" borderId="14" xfId="7" applyFont="1" applyFill="1" applyBorder="1" applyAlignment="1">
      <alignment horizontal="center" vertical="center" wrapText="1"/>
    </xf>
    <xf numFmtId="170" fontId="8" fillId="0" borderId="14" xfId="7" applyFont="1" applyBorder="1"/>
    <xf numFmtId="165" fontId="8" fillId="9" borderId="14" xfId="8" applyNumberFormat="1" applyFont="1" applyFill="1" applyBorder="1" applyAlignment="1">
      <alignment vertical="center" wrapText="1"/>
    </xf>
    <xf numFmtId="0" fontId="8" fillId="0" borderId="0" xfId="4" applyFont="1" applyFill="1" applyBorder="1" applyAlignment="1">
      <alignment horizontal="center" vertical="top" wrapText="1"/>
    </xf>
    <xf numFmtId="170" fontId="8" fillId="0" borderId="14" xfId="7" applyFont="1" applyFill="1" applyBorder="1" applyAlignment="1">
      <alignment horizontal="left" vertical="top"/>
    </xf>
    <xf numFmtId="170" fontId="8" fillId="0" borderId="14" xfId="7" applyFont="1" applyFill="1" applyBorder="1" applyAlignment="1">
      <alignment horizontal="right" vertical="top" wrapText="1"/>
    </xf>
    <xf numFmtId="9" fontId="8" fillId="9" borderId="14" xfId="3" applyFont="1" applyFill="1" applyBorder="1" applyAlignment="1">
      <alignment horizontal="right" vertical="center" wrapText="1"/>
    </xf>
    <xf numFmtId="170" fontId="8" fillId="9" borderId="14" xfId="7" applyNumberFormat="1" applyFont="1" applyFill="1" applyBorder="1" applyAlignment="1">
      <alignment horizontal="center" vertical="center" wrapText="1"/>
    </xf>
    <xf numFmtId="170" fontId="8" fillId="9" borderId="38" xfId="7" applyNumberFormat="1" applyFont="1" applyFill="1" applyBorder="1" applyAlignment="1">
      <alignment horizontal="center" vertical="center" wrapText="1"/>
    </xf>
    <xf numFmtId="171" fontId="8" fillId="0" borderId="14" xfId="7" applyNumberFormat="1" applyFont="1" applyFill="1" applyBorder="1" applyAlignment="1">
      <alignment horizontal="center" vertical="center" wrapText="1"/>
    </xf>
    <xf numFmtId="170" fontId="19" fillId="6" borderId="14" xfId="7" applyFont="1" applyFill="1" applyBorder="1" applyAlignment="1">
      <alignment vertical="top" wrapText="1"/>
    </xf>
    <xf numFmtId="170" fontId="19" fillId="0" borderId="0" xfId="7" applyFont="1" applyFill="1" applyBorder="1" applyAlignment="1">
      <alignment vertical="top" wrapText="1"/>
    </xf>
    <xf numFmtId="3" fontId="19" fillId="6" borderId="14" xfId="7" applyNumberFormat="1" applyFont="1" applyFill="1" applyBorder="1" applyAlignment="1">
      <alignment horizontal="right" vertical="top" wrapText="1"/>
    </xf>
    <xf numFmtId="9" fontId="19" fillId="6" borderId="14" xfId="3" applyFont="1" applyFill="1" applyBorder="1" applyAlignment="1">
      <alignment horizontal="right" vertical="top" wrapText="1"/>
    </xf>
    <xf numFmtId="9" fontId="19" fillId="0" borderId="0" xfId="3" applyFont="1" applyFill="1" applyBorder="1" applyAlignment="1">
      <alignment horizontal="right" vertical="top" wrapText="1"/>
    </xf>
    <xf numFmtId="170" fontId="7" fillId="4" borderId="14" xfId="7" applyFont="1" applyFill="1" applyBorder="1" applyAlignment="1">
      <alignment vertical="top" wrapText="1"/>
    </xf>
    <xf numFmtId="3" fontId="7" fillId="4" borderId="14" xfId="7" applyNumberFormat="1" applyFont="1" applyFill="1" applyBorder="1" applyAlignment="1">
      <alignment horizontal="right" vertical="top" wrapText="1"/>
    </xf>
    <xf numFmtId="170" fontId="7" fillId="4" borderId="38" xfId="7" applyFont="1" applyFill="1" applyBorder="1" applyAlignment="1">
      <alignment vertical="top" wrapText="1"/>
    </xf>
    <xf numFmtId="0" fontId="27" fillId="10" borderId="14" xfId="5" applyFont="1" applyFill="1" applyBorder="1" applyAlignment="1">
      <alignment horizontal="right" vertical="top" wrapText="1"/>
    </xf>
    <xf numFmtId="170" fontId="7" fillId="4" borderId="14" xfId="7" applyFont="1" applyFill="1" applyBorder="1" applyAlignment="1">
      <alignment horizontal="right" vertical="top" wrapText="1"/>
    </xf>
    <xf numFmtId="0" fontId="8" fillId="9" borderId="14" xfId="4" applyFont="1" applyFill="1" applyBorder="1" applyAlignment="1">
      <alignment horizontal="center" vertical="top"/>
    </xf>
    <xf numFmtId="170" fontId="8" fillId="9" borderId="14" xfId="7" applyFont="1" applyFill="1" applyBorder="1" applyAlignment="1">
      <alignment horizontal="left" vertical="top"/>
    </xf>
    <xf numFmtId="170" fontId="8" fillId="9" borderId="14" xfId="7" applyFont="1" applyFill="1" applyBorder="1" applyAlignment="1">
      <alignment vertical="top"/>
    </xf>
    <xf numFmtId="170" fontId="8" fillId="9" borderId="14" xfId="7" applyFont="1" applyFill="1" applyBorder="1" applyAlignment="1">
      <alignment horizontal="right" vertical="top"/>
    </xf>
    <xf numFmtId="170" fontId="5" fillId="9" borderId="14" xfId="7" applyNumberFormat="1" applyFont="1" applyFill="1" applyBorder="1" applyAlignment="1">
      <alignment horizontal="center" vertical="center" wrapText="1"/>
    </xf>
    <xf numFmtId="170" fontId="8" fillId="0" borderId="14" xfId="7" applyFont="1" applyFill="1" applyBorder="1" applyAlignment="1">
      <alignment vertical="top"/>
    </xf>
    <xf numFmtId="170" fontId="8" fillId="0" borderId="14" xfId="7" applyFont="1" applyFill="1" applyBorder="1" applyAlignment="1">
      <alignment horizontal="right" vertical="top"/>
    </xf>
    <xf numFmtId="164" fontId="8" fillId="0" borderId="14" xfId="9" applyFont="1" applyFill="1" applyBorder="1" applyAlignment="1">
      <alignment horizontal="center" vertical="top"/>
    </xf>
    <xf numFmtId="164" fontId="8" fillId="0" borderId="14" xfId="9" applyFont="1" applyFill="1" applyBorder="1" applyAlignment="1">
      <alignment vertical="top" wrapText="1"/>
    </xf>
    <xf numFmtId="164" fontId="8" fillId="0" borderId="14" xfId="9" applyFont="1" applyFill="1" applyBorder="1" applyAlignment="1">
      <alignment horizontal="left" vertical="top"/>
    </xf>
    <xf numFmtId="172" fontId="8" fillId="0" borderId="14" xfId="9" applyNumberFormat="1" applyFont="1" applyFill="1" applyBorder="1" applyAlignment="1">
      <alignment vertical="top"/>
    </xf>
    <xf numFmtId="164" fontId="8" fillId="0" borderId="14" xfId="9" applyFont="1" applyFill="1" applyBorder="1" applyAlignment="1">
      <alignment vertical="top"/>
    </xf>
    <xf numFmtId="164" fontId="8" fillId="0" borderId="14" xfId="9" applyFont="1" applyFill="1" applyBorder="1" applyAlignment="1">
      <alignment horizontal="right" vertical="top"/>
    </xf>
    <xf numFmtId="164" fontId="8" fillId="0" borderId="0" xfId="9" applyFont="1" applyFill="1"/>
    <xf numFmtId="164" fontId="8" fillId="0" borderId="0" xfId="9" applyFont="1"/>
    <xf numFmtId="172" fontId="8" fillId="9" borderId="14" xfId="9" applyNumberFormat="1" applyFont="1" applyFill="1" applyBorder="1" applyAlignment="1">
      <alignment vertical="top"/>
    </xf>
    <xf numFmtId="164" fontId="8" fillId="9" borderId="14" xfId="9" applyFont="1" applyFill="1" applyBorder="1" applyAlignment="1">
      <alignment horizontal="right" vertical="top"/>
    </xf>
    <xf numFmtId="170" fontId="5" fillId="9" borderId="0" xfId="7" applyFont="1" applyFill="1" applyBorder="1" applyAlignment="1">
      <alignment horizontal="center" vertical="center" wrapText="1"/>
    </xf>
    <xf numFmtId="9" fontId="5" fillId="9" borderId="0" xfId="3" applyFont="1" applyFill="1" applyBorder="1" applyAlignment="1">
      <alignment horizontal="right" vertical="center" wrapText="1"/>
    </xf>
    <xf numFmtId="41" fontId="8" fillId="9" borderId="14" xfId="3" applyNumberFormat="1" applyFont="1" applyFill="1" applyBorder="1" applyAlignment="1">
      <alignment horizontal="right" vertical="center" wrapText="1"/>
    </xf>
    <xf numFmtId="170" fontId="8" fillId="0" borderId="14" xfId="7" applyFont="1" applyFill="1" applyBorder="1" applyAlignment="1">
      <alignment wrapText="1"/>
    </xf>
    <xf numFmtId="170" fontId="5" fillId="0" borderId="14" xfId="7" applyNumberFormat="1" applyFont="1" applyFill="1" applyBorder="1" applyAlignment="1">
      <alignment horizontal="center" vertical="center" wrapText="1"/>
    </xf>
    <xf numFmtId="49" fontId="8" fillId="9" borderId="14" xfId="6" applyNumberFormat="1" applyFont="1" applyFill="1" applyBorder="1" applyAlignment="1">
      <alignment vertical="center" wrapText="1"/>
    </xf>
    <xf numFmtId="170" fontId="8" fillId="0" borderId="0" xfId="7" applyFont="1" applyFill="1" applyBorder="1" applyAlignment="1">
      <alignment horizontal="right" vertical="top"/>
    </xf>
    <xf numFmtId="171" fontId="8" fillId="0" borderId="14" xfId="7" applyNumberFormat="1" applyFont="1" applyFill="1" applyBorder="1" applyAlignment="1">
      <alignment horizontal="right" vertical="top"/>
    </xf>
    <xf numFmtId="0" fontId="8" fillId="0" borderId="14" xfId="5" applyFont="1" applyFill="1" applyBorder="1" applyAlignment="1"/>
    <xf numFmtId="0" fontId="8" fillId="0" borderId="14" xfId="5" applyFont="1" applyFill="1" applyBorder="1" applyAlignment="1">
      <alignment horizontal="left" vertical="top"/>
    </xf>
    <xf numFmtId="3" fontId="8" fillId="0" borderId="14" xfId="5" applyNumberFormat="1" applyFont="1" applyFill="1" applyBorder="1" applyAlignment="1">
      <alignment horizontal="right" vertical="top"/>
    </xf>
    <xf numFmtId="3" fontId="8" fillId="0" borderId="14" xfId="5" applyNumberFormat="1" applyFont="1" applyFill="1" applyBorder="1" applyAlignment="1">
      <alignment horizontal="right" vertical="top" wrapText="1"/>
    </xf>
    <xf numFmtId="170" fontId="8" fillId="0" borderId="14" xfId="7" applyNumberFormat="1" applyFont="1" applyFill="1" applyBorder="1" applyAlignment="1">
      <alignment horizontal="center" vertical="center" wrapText="1"/>
    </xf>
    <xf numFmtId="0" fontId="8" fillId="0" borderId="37" xfId="5" applyFont="1" applyFill="1" applyBorder="1" applyAlignment="1">
      <alignment horizontal="center" vertical="top" wrapText="1"/>
    </xf>
    <xf numFmtId="0" fontId="8" fillId="0" borderId="14" xfId="5" applyFont="1" applyFill="1" applyBorder="1" applyAlignment="1">
      <alignment horizontal="right"/>
    </xf>
    <xf numFmtId="9" fontId="5" fillId="0" borderId="36" xfId="3" applyFont="1" applyFill="1" applyBorder="1" applyAlignment="1">
      <alignment horizontal="right" vertical="center" wrapText="1"/>
    </xf>
    <xf numFmtId="0" fontId="28" fillId="0" borderId="14" xfId="5" applyFont="1" applyFill="1" applyBorder="1" applyAlignment="1"/>
    <xf numFmtId="3" fontId="28" fillId="0" borderId="14" xfId="5" applyNumberFormat="1" applyFont="1" applyFill="1" applyBorder="1" applyAlignment="1">
      <alignment horizontal="right" vertical="top"/>
    </xf>
    <xf numFmtId="3" fontId="28" fillId="0" borderId="14" xfId="5" applyNumberFormat="1" applyFont="1" applyFill="1" applyBorder="1" applyAlignment="1">
      <alignment horizontal="right" vertical="top" wrapText="1"/>
    </xf>
    <xf numFmtId="170" fontId="8" fillId="0" borderId="38" xfId="7" applyNumberFormat="1" applyFont="1" applyFill="1" applyBorder="1" applyAlignment="1">
      <alignment horizontal="center" vertical="center" wrapText="1"/>
    </xf>
    <xf numFmtId="170" fontId="7" fillId="7" borderId="14" xfId="7" applyFont="1" applyFill="1" applyBorder="1" applyAlignment="1">
      <alignment horizontal="left" vertical="top" wrapText="1"/>
    </xf>
    <xf numFmtId="170" fontId="7" fillId="0" borderId="0" xfId="7" applyFont="1" applyFill="1" applyBorder="1" applyAlignment="1">
      <alignment horizontal="left" vertical="top" wrapText="1"/>
    </xf>
    <xf numFmtId="3" fontId="7" fillId="7" borderId="14" xfId="7" applyNumberFormat="1" applyFont="1" applyFill="1" applyBorder="1" applyAlignment="1">
      <alignment horizontal="right" vertical="top" wrapText="1"/>
    </xf>
    <xf numFmtId="170" fontId="7" fillId="7" borderId="38" xfId="7" applyFont="1" applyFill="1" applyBorder="1" applyAlignment="1">
      <alignment horizontal="left" vertical="top" wrapText="1"/>
    </xf>
    <xf numFmtId="170" fontId="7" fillId="7" borderId="14" xfId="7" applyFont="1" applyFill="1" applyBorder="1" applyAlignment="1">
      <alignment horizontal="right" vertical="top" wrapText="1"/>
    </xf>
    <xf numFmtId="170" fontId="8" fillId="0" borderId="14" xfId="7" applyFont="1" applyFill="1" applyBorder="1" applyAlignment="1">
      <alignment vertical="center"/>
    </xf>
    <xf numFmtId="170" fontId="8" fillId="0" borderId="14" xfId="7" applyFont="1" applyFill="1" applyBorder="1" applyAlignment="1">
      <alignment horizontal="left" vertical="center" wrapText="1"/>
    </xf>
    <xf numFmtId="3" fontId="8" fillId="0" borderId="14" xfId="4" applyNumberFormat="1" applyFont="1" applyFill="1" applyBorder="1" applyAlignment="1">
      <alignment vertical="top" wrapText="1"/>
    </xf>
    <xf numFmtId="170" fontId="8" fillId="0" borderId="14" xfId="7" applyFont="1" applyFill="1" applyBorder="1" applyAlignment="1">
      <alignment horizontal="left" wrapText="1"/>
    </xf>
    <xf numFmtId="170" fontId="8" fillId="0" borderId="0" xfId="7" applyFont="1" applyFill="1"/>
    <xf numFmtId="0" fontId="8" fillId="9" borderId="12" xfId="4" applyFont="1" applyFill="1" applyBorder="1" applyAlignment="1">
      <alignment horizontal="center" vertical="top" wrapText="1"/>
    </xf>
    <xf numFmtId="170" fontId="8" fillId="9" borderId="14" xfId="7" applyFont="1" applyFill="1" applyBorder="1" applyAlignment="1">
      <alignment horizontal="left" vertical="center" wrapText="1"/>
    </xf>
    <xf numFmtId="164" fontId="8" fillId="9" borderId="0" xfId="7" applyNumberFormat="1" applyFont="1" applyFill="1" applyBorder="1" applyAlignment="1">
      <alignment vertical="top" wrapText="1"/>
    </xf>
    <xf numFmtId="9" fontId="8" fillId="9" borderId="0" xfId="3" applyFont="1" applyFill="1" applyBorder="1" applyAlignment="1">
      <alignment horizontal="right" vertical="top" wrapText="1"/>
    </xf>
    <xf numFmtId="170" fontId="8" fillId="9" borderId="0" xfId="4" applyNumberFormat="1" applyFont="1" applyFill="1"/>
    <xf numFmtId="170" fontId="8" fillId="9" borderId="14" xfId="7" applyFont="1" applyFill="1" applyBorder="1" applyAlignment="1">
      <alignment horizontal="left" vertical="center"/>
    </xf>
    <xf numFmtId="170" fontId="8" fillId="9" borderId="0" xfId="7" applyFont="1" applyFill="1" applyBorder="1" applyAlignment="1">
      <alignment vertical="top" wrapText="1"/>
    </xf>
    <xf numFmtId="0" fontId="8" fillId="9" borderId="14" xfId="4" applyFont="1" applyFill="1" applyBorder="1" applyAlignment="1">
      <alignment horizontal="center" vertical="top" wrapText="1"/>
    </xf>
    <xf numFmtId="170" fontId="8" fillId="9" borderId="0" xfId="7" applyFont="1" applyFill="1" applyBorder="1" applyAlignment="1">
      <alignment horizontal="center" vertical="center" wrapText="1"/>
    </xf>
    <xf numFmtId="9" fontId="8" fillId="9" borderId="0" xfId="3" applyFont="1" applyFill="1" applyBorder="1" applyAlignment="1">
      <alignment horizontal="right" vertical="center" wrapText="1"/>
    </xf>
    <xf numFmtId="170" fontId="8" fillId="0" borderId="0" xfId="7" applyFont="1" applyFill="1" applyBorder="1" applyAlignment="1">
      <alignment vertical="top" wrapText="1"/>
    </xf>
    <xf numFmtId="170" fontId="10" fillId="0" borderId="14" xfId="7" applyFont="1" applyFill="1" applyBorder="1" applyAlignment="1">
      <alignment vertical="top" wrapText="1"/>
    </xf>
    <xf numFmtId="170" fontId="10" fillId="0" borderId="0" xfId="7" applyFont="1" applyFill="1" applyBorder="1" applyAlignment="1">
      <alignment vertical="top" wrapText="1"/>
    </xf>
    <xf numFmtId="170" fontId="10" fillId="0" borderId="38" xfId="7" applyFont="1" applyFill="1" applyBorder="1" applyAlignment="1">
      <alignment vertical="top" wrapText="1"/>
    </xf>
    <xf numFmtId="170" fontId="10" fillId="0" borderId="0" xfId="4" applyNumberFormat="1" applyFont="1" applyFill="1"/>
    <xf numFmtId="0" fontId="10" fillId="0" borderId="0" xfId="4" applyFont="1" applyFill="1"/>
    <xf numFmtId="0" fontId="10" fillId="9" borderId="14" xfId="4" applyFont="1" applyFill="1" applyBorder="1" applyAlignment="1">
      <alignment horizontal="center" vertical="top" wrapText="1"/>
    </xf>
    <xf numFmtId="170" fontId="10" fillId="9" borderId="14" xfId="7" applyFont="1" applyFill="1" applyBorder="1" applyAlignment="1">
      <alignment vertical="top" wrapText="1"/>
    </xf>
    <xf numFmtId="170" fontId="10" fillId="9" borderId="0" xfId="7" applyFont="1" applyFill="1" applyBorder="1" applyAlignment="1">
      <alignment vertical="top" wrapText="1"/>
    </xf>
    <xf numFmtId="9" fontId="10" fillId="9" borderId="0" xfId="3" applyFont="1" applyFill="1" applyBorder="1" applyAlignment="1">
      <alignment horizontal="right" vertical="top" wrapText="1"/>
    </xf>
    <xf numFmtId="170" fontId="10" fillId="9" borderId="0" xfId="4" applyNumberFormat="1" applyFont="1" applyFill="1"/>
    <xf numFmtId="0" fontId="10" fillId="9" borderId="0" xfId="4" applyFont="1" applyFill="1"/>
    <xf numFmtId="164" fontId="10" fillId="0" borderId="38" xfId="7" applyNumberFormat="1" applyFont="1" applyFill="1" applyBorder="1" applyAlignment="1">
      <alignment vertical="top" wrapText="1"/>
    </xf>
    <xf numFmtId="170" fontId="10" fillId="0" borderId="0" xfId="7" applyFont="1" applyFill="1" applyBorder="1" applyAlignment="1">
      <alignment horizontal="center" vertical="center" wrapText="1"/>
    </xf>
    <xf numFmtId="9" fontId="10" fillId="0" borderId="0" xfId="3" applyFont="1" applyFill="1" applyBorder="1" applyAlignment="1">
      <alignment horizontal="right" vertical="center" wrapText="1"/>
    </xf>
    <xf numFmtId="170" fontId="8" fillId="0" borderId="12" xfId="7" applyFont="1" applyFill="1" applyBorder="1"/>
    <xf numFmtId="170" fontId="29" fillId="0" borderId="14" xfId="7" applyFont="1" applyFill="1" applyBorder="1" applyAlignment="1">
      <alignment vertical="top" wrapText="1"/>
    </xf>
    <xf numFmtId="170" fontId="19" fillId="6" borderId="14" xfId="7" applyFont="1" applyFill="1" applyBorder="1" applyAlignment="1">
      <alignment horizontal="left" vertical="top" wrapText="1"/>
    </xf>
    <xf numFmtId="3" fontId="10" fillId="6" borderId="14" xfId="7" applyNumberFormat="1" applyFont="1" applyFill="1" applyBorder="1" applyAlignment="1">
      <alignment horizontal="right" vertical="top" wrapText="1"/>
    </xf>
    <xf numFmtId="0" fontId="7" fillId="0" borderId="14" xfId="4" applyFont="1" applyFill="1" applyBorder="1" applyAlignment="1">
      <alignment horizontal="center"/>
    </xf>
    <xf numFmtId="0" fontId="5" fillId="0" borderId="14" xfId="4" applyFont="1" applyFill="1" applyBorder="1" applyAlignment="1">
      <alignment horizontal="center"/>
    </xf>
    <xf numFmtId="170" fontId="7" fillId="4" borderId="14" xfId="7" applyFont="1" applyFill="1" applyBorder="1" applyAlignment="1">
      <alignment horizontal="left" vertical="top" wrapText="1"/>
    </xf>
    <xf numFmtId="9" fontId="27" fillId="10" borderId="14" xfId="3" applyFont="1" applyFill="1" applyBorder="1" applyAlignment="1">
      <alignment horizontal="right" vertical="top" wrapText="1"/>
    </xf>
    <xf numFmtId="170" fontId="5" fillId="0" borderId="14" xfId="7" applyFont="1" applyFill="1" applyBorder="1" applyAlignment="1">
      <alignment vertical="center" wrapText="1"/>
    </xf>
    <xf numFmtId="170" fontId="5" fillId="0" borderId="14" xfId="7" applyFont="1" applyBorder="1" applyAlignment="1">
      <alignment horizontal="left" vertical="top" wrapText="1"/>
    </xf>
    <xf numFmtId="170" fontId="5" fillId="0" borderId="14" xfId="7" applyFont="1" applyBorder="1" applyAlignment="1">
      <alignment vertical="top" wrapText="1"/>
    </xf>
    <xf numFmtId="0" fontId="10" fillId="0" borderId="0" xfId="4" applyFont="1" applyFill="1" applyBorder="1" applyAlignment="1">
      <alignment horizontal="center"/>
    </xf>
    <xf numFmtId="9" fontId="5" fillId="0" borderId="14" xfId="3" applyFont="1" applyFill="1" applyBorder="1" applyAlignment="1">
      <alignment horizontal="right" vertical="center" wrapText="1"/>
    </xf>
    <xf numFmtId="41" fontId="8" fillId="0" borderId="38" xfId="3" applyNumberFormat="1" applyFont="1" applyFill="1" applyBorder="1" applyAlignment="1">
      <alignment horizontal="right" vertical="center" wrapText="1"/>
    </xf>
    <xf numFmtId="0" fontId="8" fillId="11" borderId="37" xfId="5" applyFont="1" applyFill="1" applyBorder="1" applyAlignment="1">
      <alignment horizontal="center"/>
    </xf>
    <xf numFmtId="0" fontId="27" fillId="10" borderId="14" xfId="5" applyFont="1" applyFill="1" applyBorder="1" applyAlignment="1">
      <alignment horizontal="left" vertical="top" wrapText="1"/>
    </xf>
    <xf numFmtId="0" fontId="10" fillId="10" borderId="14" xfId="5" applyFont="1" applyFill="1" applyBorder="1" applyAlignment="1">
      <alignment horizontal="left" vertical="top" wrapText="1"/>
    </xf>
    <xf numFmtId="0" fontId="27" fillId="0" borderId="0" xfId="5" applyFont="1" applyFill="1" applyBorder="1" applyAlignment="1">
      <alignment horizontal="left" vertical="top" wrapText="1"/>
    </xf>
    <xf numFmtId="3" fontId="27" fillId="10" borderId="14" xfId="5" applyNumberFormat="1" applyFont="1" applyFill="1" applyBorder="1" applyAlignment="1">
      <alignment horizontal="right" vertical="top" wrapText="1"/>
    </xf>
    <xf numFmtId="9" fontId="27" fillId="0" borderId="36" xfId="3" applyFont="1" applyFill="1" applyBorder="1" applyAlignment="1">
      <alignment horizontal="right" vertical="top" wrapText="1"/>
    </xf>
    <xf numFmtId="0" fontId="27" fillId="10" borderId="38" xfId="5" applyFont="1" applyFill="1" applyBorder="1" applyAlignment="1">
      <alignment horizontal="left" vertical="top" wrapText="1"/>
    </xf>
    <xf numFmtId="0" fontId="30" fillId="0" borderId="41" xfId="5" applyFont="1" applyFill="1" applyBorder="1"/>
    <xf numFmtId="3" fontId="8" fillId="0" borderId="14" xfId="5" applyNumberFormat="1" applyFont="1" applyBorder="1" applyAlignment="1">
      <alignment horizontal="right" vertical="top"/>
    </xf>
    <xf numFmtId="4" fontId="8" fillId="0" borderId="14" xfId="5" applyNumberFormat="1" applyFont="1" applyBorder="1" applyAlignment="1">
      <alignment horizontal="right" vertical="top"/>
    </xf>
    <xf numFmtId="3" fontId="8" fillId="0" borderId="14" xfId="5" applyNumberFormat="1" applyFont="1" applyBorder="1" applyAlignment="1">
      <alignment horizontal="right" vertical="top" wrapText="1"/>
    </xf>
    <xf numFmtId="170" fontId="19" fillId="6" borderId="35" xfId="7" applyFont="1" applyFill="1" applyBorder="1" applyAlignment="1">
      <alignment vertical="top" wrapText="1"/>
    </xf>
    <xf numFmtId="170" fontId="22" fillId="12" borderId="14" xfId="7" applyFont="1" applyFill="1" applyBorder="1" applyAlignment="1">
      <alignment horizontal="left" wrapText="1"/>
    </xf>
    <xf numFmtId="170" fontId="22" fillId="12" borderId="14" xfId="7" applyFont="1" applyFill="1" applyBorder="1" applyAlignment="1">
      <alignment horizontal="left" vertical="top"/>
    </xf>
    <xf numFmtId="170" fontId="22" fillId="12" borderId="14" xfId="7" applyFont="1" applyFill="1" applyBorder="1" applyAlignment="1">
      <alignment horizontal="left"/>
    </xf>
    <xf numFmtId="170" fontId="10" fillId="12" borderId="14" xfId="7" applyFont="1" applyFill="1" applyBorder="1" applyAlignment="1">
      <alignment horizontal="right"/>
    </xf>
    <xf numFmtId="170" fontId="10" fillId="12" borderId="14" xfId="7" applyFont="1" applyFill="1" applyBorder="1" applyAlignment="1">
      <alignment horizontal="left"/>
    </xf>
    <xf numFmtId="170" fontId="10" fillId="12" borderId="14" xfId="7" applyNumberFormat="1" applyFont="1" applyFill="1" applyBorder="1" applyAlignment="1">
      <alignment horizontal="right"/>
    </xf>
    <xf numFmtId="170" fontId="10" fillId="0" borderId="0" xfId="7" applyFont="1" applyFill="1" applyBorder="1" applyAlignment="1">
      <alignment horizontal="right"/>
    </xf>
    <xf numFmtId="3" fontId="10" fillId="12" borderId="14" xfId="7" applyNumberFormat="1" applyFont="1" applyFill="1" applyBorder="1" applyAlignment="1">
      <alignment horizontal="right"/>
    </xf>
    <xf numFmtId="0" fontId="5" fillId="0" borderId="0" xfId="4" applyFont="1" applyBorder="1" applyAlignment="1">
      <alignment wrapText="1"/>
    </xf>
    <xf numFmtId="0" fontId="5" fillId="0" borderId="0" xfId="4" applyFont="1" applyBorder="1" applyAlignment="1">
      <alignment horizontal="left" vertical="top"/>
    </xf>
    <xf numFmtId="0" fontId="5" fillId="0" borderId="0" xfId="4" applyFont="1" applyBorder="1"/>
    <xf numFmtId="3" fontId="5" fillId="0" borderId="0" xfId="4" applyNumberFormat="1" applyFont="1" applyBorder="1"/>
    <xf numFmtId="3" fontId="5" fillId="0" borderId="0" xfId="4" applyNumberFormat="1" applyFont="1" applyBorder="1" applyAlignment="1">
      <alignment horizontal="right"/>
    </xf>
    <xf numFmtId="0" fontId="5" fillId="0" borderId="0" xfId="4" applyFont="1" applyFill="1" applyBorder="1"/>
    <xf numFmtId="0" fontId="11" fillId="0" borderId="0" xfId="4" applyFont="1" applyBorder="1"/>
    <xf numFmtId="3" fontId="31" fillId="0" borderId="0" xfId="4" applyNumberFormat="1" applyFont="1" applyBorder="1"/>
    <xf numFmtId="9" fontId="5" fillId="0" borderId="0" xfId="3" applyFont="1" applyBorder="1"/>
    <xf numFmtId="0" fontId="27" fillId="0" borderId="54" xfId="5" applyFont="1" applyBorder="1" applyAlignment="1">
      <alignment wrapText="1"/>
    </xf>
    <xf numFmtId="0" fontId="27" fillId="0" borderId="0" xfId="5" applyFont="1"/>
    <xf numFmtId="3" fontId="28" fillId="0" borderId="0" xfId="5" applyNumberFormat="1" applyFont="1"/>
    <xf numFmtId="3" fontId="28" fillId="0" borderId="0" xfId="5" applyNumberFormat="1" applyFont="1" applyFill="1" applyBorder="1"/>
    <xf numFmtId="3" fontId="8" fillId="0" borderId="0" xfId="5" applyNumberFormat="1" applyFont="1"/>
    <xf numFmtId="0" fontId="28" fillId="0" borderId="0" xfId="5" applyFont="1" applyFill="1" applyAlignment="1"/>
    <xf numFmtId="0" fontId="28" fillId="0" borderId="0" xfId="5" applyFont="1" applyAlignment="1"/>
    <xf numFmtId="0" fontId="28" fillId="0" borderId="0" xfId="5" applyFont="1" applyBorder="1" applyAlignment="1">
      <alignment wrapText="1"/>
    </xf>
    <xf numFmtId="0" fontId="28" fillId="0" borderId="0" xfId="5" applyFont="1" applyBorder="1"/>
    <xf numFmtId="3" fontId="28" fillId="0" borderId="0" xfId="5" applyNumberFormat="1" applyFont="1" applyBorder="1"/>
    <xf numFmtId="3" fontId="27" fillId="0" borderId="14" xfId="5" applyNumberFormat="1" applyFont="1" applyBorder="1" applyAlignment="1">
      <alignment horizontal="center" vertical="center"/>
    </xf>
    <xf numFmtId="3" fontId="28" fillId="0" borderId="35" xfId="5" applyNumberFormat="1" applyFont="1" applyBorder="1"/>
    <xf numFmtId="0" fontId="28" fillId="0" borderId="35" xfId="5" applyFont="1" applyFill="1" applyBorder="1" applyAlignment="1"/>
    <xf numFmtId="0" fontId="28" fillId="16" borderId="14" xfId="5" applyFont="1" applyFill="1" applyBorder="1" applyAlignment="1">
      <alignment vertical="top" wrapText="1"/>
    </xf>
    <xf numFmtId="0" fontId="27" fillId="16" borderId="14" xfId="5" applyFont="1" applyFill="1" applyBorder="1" applyAlignment="1">
      <alignment horizontal="center" vertical="center" wrapText="1"/>
    </xf>
    <xf numFmtId="3" fontId="27" fillId="16" borderId="14" xfId="5" applyNumberFormat="1" applyFont="1" applyFill="1" applyBorder="1" applyAlignment="1">
      <alignment horizontal="center" vertical="center" wrapText="1"/>
    </xf>
    <xf numFmtId="3" fontId="27" fillId="0" borderId="0" xfId="5" applyNumberFormat="1" applyFont="1" applyFill="1" applyBorder="1" applyAlignment="1">
      <alignment horizontal="center" vertical="center" wrapText="1"/>
    </xf>
    <xf numFmtId="3" fontId="10" fillId="16" borderId="14" xfId="5" applyNumberFormat="1" applyFont="1" applyFill="1" applyBorder="1" applyAlignment="1">
      <alignment horizontal="center" vertical="center" wrapText="1"/>
    </xf>
    <xf numFmtId="3" fontId="28" fillId="0" borderId="0" xfId="5" applyNumberFormat="1" applyFont="1" applyFill="1" applyBorder="1" applyAlignment="1">
      <alignment vertical="top" wrapText="1"/>
    </xf>
    <xf numFmtId="0" fontId="27" fillId="16" borderId="14" xfId="5" applyFont="1" applyFill="1" applyBorder="1" applyAlignment="1">
      <alignment vertical="top" wrapText="1"/>
    </xf>
    <xf numFmtId="3" fontId="27" fillId="16" borderId="14" xfId="5" applyNumberFormat="1" applyFont="1" applyFill="1" applyBorder="1" applyAlignment="1">
      <alignment vertical="center" wrapText="1"/>
    </xf>
    <xf numFmtId="3" fontId="28" fillId="16" borderId="14" xfId="5" applyNumberFormat="1" applyFont="1" applyFill="1" applyBorder="1" applyAlignment="1">
      <alignment vertical="top" wrapText="1"/>
    </xf>
    <xf numFmtId="0" fontId="27" fillId="17" borderId="14" xfId="5" applyFont="1" applyFill="1" applyBorder="1" applyAlignment="1">
      <alignment horizontal="left" vertical="top" wrapText="1"/>
    </xf>
    <xf numFmtId="0" fontId="27" fillId="17" borderId="12" xfId="5" applyFont="1" applyFill="1" applyBorder="1" applyAlignment="1">
      <alignment horizontal="left" vertical="top" wrapText="1"/>
    </xf>
    <xf numFmtId="9" fontId="10" fillId="17" borderId="14" xfId="3" applyFont="1" applyFill="1" applyBorder="1" applyAlignment="1">
      <alignment horizontal="left" vertical="top" wrapText="1"/>
    </xf>
    <xf numFmtId="0" fontId="27" fillId="17" borderId="14" xfId="5" applyFont="1" applyFill="1" applyBorder="1" applyAlignment="1">
      <alignment vertical="top" wrapText="1"/>
    </xf>
    <xf numFmtId="0" fontId="8" fillId="9" borderId="14" xfId="5" applyFont="1" applyFill="1" applyBorder="1" applyAlignment="1">
      <alignment vertical="top"/>
    </xf>
    <xf numFmtId="0" fontId="8" fillId="9" borderId="14" xfId="5" applyFont="1" applyFill="1" applyBorder="1" applyAlignment="1">
      <alignment horizontal="left" vertical="top"/>
    </xf>
    <xf numFmtId="3" fontId="8" fillId="9" borderId="14" xfId="5" applyNumberFormat="1" applyFont="1" applyFill="1" applyBorder="1" applyAlignment="1">
      <alignment horizontal="right" vertical="top"/>
    </xf>
    <xf numFmtId="3" fontId="8" fillId="9" borderId="14" xfId="5" applyNumberFormat="1" applyFont="1" applyFill="1" applyBorder="1" applyAlignment="1">
      <alignment horizontal="right" vertical="center" wrapText="1"/>
    </xf>
    <xf numFmtId="3" fontId="8" fillId="0" borderId="0" xfId="5" applyNumberFormat="1" applyFont="1" applyFill="1" applyBorder="1" applyAlignment="1">
      <alignment horizontal="right" vertical="center" wrapText="1"/>
    </xf>
    <xf numFmtId="3" fontId="8" fillId="0" borderId="0" xfId="5" applyNumberFormat="1" applyFont="1" applyFill="1" applyBorder="1" applyAlignment="1">
      <alignment horizontal="right" vertical="top" wrapText="1"/>
    </xf>
    <xf numFmtId="0" fontId="8" fillId="0" borderId="0" xfId="5" applyFont="1" applyFill="1" applyAlignment="1"/>
    <xf numFmtId="0" fontId="8" fillId="9" borderId="0" xfId="5" applyFont="1" applyFill="1" applyAlignment="1"/>
    <xf numFmtId="0" fontId="8" fillId="0" borderId="14" xfId="5" applyFont="1" applyBorder="1" applyAlignment="1">
      <alignment vertical="top"/>
    </xf>
    <xf numFmtId="0" fontId="8" fillId="0" borderId="14" xfId="5" applyFont="1" applyBorder="1" applyAlignment="1">
      <alignment horizontal="left" vertical="top"/>
    </xf>
    <xf numFmtId="3" fontId="8" fillId="0" borderId="14" xfId="5" applyNumberFormat="1" applyFont="1" applyBorder="1" applyAlignment="1">
      <alignment horizontal="right" vertical="center" wrapText="1"/>
    </xf>
    <xf numFmtId="0" fontId="8" fillId="0" borderId="0" xfId="5" applyFont="1" applyAlignment="1"/>
    <xf numFmtId="3" fontId="8" fillId="0" borderId="14" xfId="5" applyNumberFormat="1" applyFont="1" applyFill="1" applyBorder="1" applyAlignment="1">
      <alignment horizontal="right" vertical="center" wrapText="1"/>
    </xf>
    <xf numFmtId="171" fontId="8" fillId="0" borderId="14" xfId="1" applyNumberFormat="1" applyFont="1" applyFill="1" applyBorder="1" applyAlignment="1">
      <alignment horizontal="right"/>
    </xf>
    <xf numFmtId="0" fontId="8" fillId="0" borderId="0" xfId="5" applyFont="1" applyFill="1" applyBorder="1" applyAlignment="1"/>
    <xf numFmtId="0" fontId="8" fillId="0" borderId="14" xfId="5" applyFont="1" applyFill="1" applyBorder="1" applyAlignment="1">
      <alignment vertical="top"/>
    </xf>
    <xf numFmtId="0" fontId="8" fillId="0" borderId="14" xfId="5" applyFont="1" applyFill="1" applyBorder="1" applyAlignment="1">
      <alignment horizontal="left" vertical="center"/>
    </xf>
    <xf numFmtId="3" fontId="32" fillId="0" borderId="0" xfId="5" applyNumberFormat="1" applyFont="1" applyFill="1" applyBorder="1" applyAlignment="1">
      <alignment horizontal="right" vertical="center" wrapText="1"/>
    </xf>
    <xf numFmtId="0" fontId="33" fillId="18" borderId="14" xfId="5" applyFont="1" applyFill="1" applyBorder="1" applyAlignment="1">
      <alignment vertical="top" wrapText="1"/>
    </xf>
    <xf numFmtId="0" fontId="27" fillId="18" borderId="14" xfId="5" applyFont="1" applyFill="1" applyBorder="1" applyAlignment="1">
      <alignment vertical="top" wrapText="1"/>
    </xf>
    <xf numFmtId="3" fontId="27" fillId="18" borderId="14" xfId="5" applyNumberFormat="1" applyFont="1" applyFill="1" applyBorder="1" applyAlignment="1">
      <alignment vertical="top" wrapText="1"/>
    </xf>
    <xf numFmtId="3" fontId="27" fillId="18" borderId="35" xfId="5" applyNumberFormat="1" applyFont="1" applyFill="1" applyBorder="1" applyAlignment="1">
      <alignment vertical="top" wrapText="1"/>
    </xf>
    <xf numFmtId="3" fontId="27" fillId="0" borderId="0" xfId="5" applyNumberFormat="1" applyFont="1" applyFill="1" applyBorder="1" applyAlignment="1">
      <alignment vertical="top" wrapText="1"/>
    </xf>
    <xf numFmtId="9" fontId="10" fillId="18" borderId="35" xfId="3" applyFont="1" applyFill="1" applyBorder="1" applyAlignment="1">
      <alignment vertical="top" wrapText="1"/>
    </xf>
    <xf numFmtId="0" fontId="28" fillId="0" borderId="0" xfId="5" applyFont="1" applyFill="1" applyBorder="1" applyAlignment="1"/>
    <xf numFmtId="3" fontId="27" fillId="17" borderId="14" xfId="5" applyNumberFormat="1" applyFont="1" applyFill="1" applyBorder="1" applyAlignment="1">
      <alignment vertical="top" wrapText="1"/>
    </xf>
    <xf numFmtId="3" fontId="10" fillId="17" borderId="14" xfId="5" applyNumberFormat="1" applyFont="1" applyFill="1" applyBorder="1" applyAlignment="1">
      <alignment vertical="top" wrapText="1"/>
    </xf>
    <xf numFmtId="3" fontId="27" fillId="17" borderId="12" xfId="5" applyNumberFormat="1" applyFont="1" applyFill="1" applyBorder="1" applyAlignment="1">
      <alignment vertical="top" wrapText="1"/>
    </xf>
    <xf numFmtId="9" fontId="10" fillId="17" borderId="14" xfId="3" applyFont="1" applyFill="1" applyBorder="1" applyAlignment="1">
      <alignment vertical="top" wrapText="1"/>
    </xf>
    <xf numFmtId="3" fontId="27" fillId="10" borderId="14" xfId="5" applyNumberFormat="1" applyFont="1" applyFill="1" applyBorder="1" applyAlignment="1">
      <alignment vertical="top" wrapText="1"/>
    </xf>
    <xf numFmtId="3" fontId="10" fillId="10" borderId="14" xfId="5" applyNumberFormat="1" applyFont="1" applyFill="1" applyBorder="1" applyAlignment="1">
      <alignment vertical="top" wrapText="1"/>
    </xf>
    <xf numFmtId="3" fontId="27" fillId="10" borderId="12" xfId="5" applyNumberFormat="1" applyFont="1" applyFill="1" applyBorder="1" applyAlignment="1">
      <alignment vertical="top" wrapText="1"/>
    </xf>
    <xf numFmtId="9" fontId="10" fillId="10" borderId="14" xfId="3" applyFont="1" applyFill="1" applyBorder="1" applyAlignment="1">
      <alignment vertical="top" wrapText="1"/>
    </xf>
    <xf numFmtId="165" fontId="8" fillId="0" borderId="14" xfId="5" applyNumberFormat="1" applyFont="1" applyFill="1" applyBorder="1" applyAlignment="1">
      <alignment horizontal="right" vertical="top"/>
    </xf>
    <xf numFmtId="165" fontId="32" fillId="0" borderId="0" xfId="5" applyNumberFormat="1" applyFont="1" applyFill="1" applyBorder="1" applyAlignment="1">
      <alignment horizontal="right" vertical="top"/>
    </xf>
    <xf numFmtId="165" fontId="8" fillId="0" borderId="14" xfId="5" applyNumberFormat="1" applyFont="1" applyFill="1" applyBorder="1" applyAlignment="1">
      <alignment horizontal="right"/>
    </xf>
    <xf numFmtId="165" fontId="11" fillId="0" borderId="0" xfId="5" applyNumberFormat="1" applyFont="1" applyFill="1" applyBorder="1" applyAlignment="1">
      <alignment horizontal="right" vertical="top"/>
    </xf>
    <xf numFmtId="0" fontId="8" fillId="0" borderId="14" xfId="5" applyFont="1" applyFill="1" applyBorder="1" applyAlignment="1">
      <alignment horizontal="left"/>
    </xf>
    <xf numFmtId="0" fontId="8" fillId="0" borderId="14" xfId="5" applyFont="1" applyFill="1" applyBorder="1" applyAlignment="1">
      <alignment wrapText="1"/>
    </xf>
    <xf numFmtId="0" fontId="8" fillId="0" borderId="14" xfId="5" applyFont="1" applyFill="1" applyBorder="1" applyAlignment="1">
      <alignment horizontal="left" vertical="top" wrapText="1"/>
    </xf>
    <xf numFmtId="165" fontId="8" fillId="0" borderId="0" xfId="5" applyNumberFormat="1" applyFont="1" applyFill="1" applyBorder="1" applyAlignment="1">
      <alignment horizontal="right" vertical="top"/>
    </xf>
    <xf numFmtId="165" fontId="34" fillId="0" borderId="0" xfId="5" applyNumberFormat="1" applyFont="1" applyFill="1" applyBorder="1" applyAlignment="1">
      <alignment horizontal="right" vertical="top"/>
    </xf>
    <xf numFmtId="0" fontId="27" fillId="18" borderId="14" xfId="5" applyFont="1" applyFill="1" applyBorder="1" applyAlignment="1">
      <alignment horizontal="right" vertical="top" wrapText="1"/>
    </xf>
    <xf numFmtId="3" fontId="27" fillId="18" borderId="14" xfId="5" applyNumberFormat="1" applyFont="1" applyFill="1" applyBorder="1" applyAlignment="1">
      <alignment horizontal="right" vertical="top" wrapText="1"/>
    </xf>
    <xf numFmtId="3" fontId="27" fillId="0" borderId="0" xfId="5" applyNumberFormat="1" applyFont="1" applyFill="1" applyBorder="1" applyAlignment="1">
      <alignment horizontal="right" vertical="top" wrapText="1"/>
    </xf>
    <xf numFmtId="9" fontId="10" fillId="18" borderId="14" xfId="3" applyFont="1" applyFill="1" applyBorder="1" applyAlignment="1">
      <alignment horizontal="right" vertical="top" wrapText="1"/>
    </xf>
    <xf numFmtId="0" fontId="8" fillId="7" borderId="14" xfId="5" applyFont="1" applyFill="1" applyBorder="1"/>
    <xf numFmtId="0" fontId="8" fillId="0" borderId="0" xfId="5" applyFont="1" applyFill="1" applyBorder="1"/>
    <xf numFmtId="0" fontId="8" fillId="7" borderId="12" xfId="5" applyFont="1" applyFill="1" applyBorder="1"/>
    <xf numFmtId="9" fontId="8" fillId="7" borderId="14" xfId="3" applyFont="1" applyFill="1" applyBorder="1"/>
    <xf numFmtId="3" fontId="32" fillId="0" borderId="0" xfId="5" applyNumberFormat="1" applyFont="1" applyFill="1" applyBorder="1" applyAlignment="1">
      <alignment horizontal="right" vertical="top" wrapText="1"/>
    </xf>
    <xf numFmtId="0" fontId="8" fillId="9" borderId="14" xfId="5" applyFont="1" applyFill="1" applyBorder="1" applyAlignment="1">
      <alignment horizontal="left" vertical="center"/>
    </xf>
    <xf numFmtId="0" fontId="8" fillId="20" borderId="14" xfId="5" applyFont="1" applyFill="1" applyBorder="1" applyAlignment="1">
      <alignment horizontal="left" vertical="top"/>
    </xf>
    <xf numFmtId="3" fontId="8" fillId="20" borderId="14" xfId="5" applyNumberFormat="1" applyFont="1" applyFill="1" applyBorder="1" applyAlignment="1">
      <alignment horizontal="right" vertical="top" wrapText="1"/>
    </xf>
    <xf numFmtId="3" fontId="8" fillId="9" borderId="14" xfId="5" applyNumberFormat="1" applyFont="1" applyFill="1" applyBorder="1" applyAlignment="1">
      <alignment horizontal="right" vertical="top" wrapText="1"/>
    </xf>
    <xf numFmtId="3" fontId="10" fillId="19" borderId="14" xfId="5" applyNumberFormat="1" applyFont="1" applyFill="1" applyBorder="1" applyAlignment="1">
      <alignment horizontal="left" vertical="top"/>
    </xf>
    <xf numFmtId="3" fontId="27" fillId="0" borderId="0" xfId="5" applyNumberFormat="1" applyFont="1" applyFill="1" applyBorder="1" applyAlignment="1">
      <alignment horizontal="left" vertical="top"/>
    </xf>
    <xf numFmtId="3" fontId="8" fillId="7" borderId="14" xfId="5" applyNumberFormat="1" applyFont="1" applyFill="1" applyBorder="1"/>
    <xf numFmtId="3" fontId="27" fillId="19" borderId="12" xfId="5" applyNumberFormat="1" applyFont="1" applyFill="1" applyBorder="1" applyAlignment="1">
      <alignment horizontal="left" vertical="top"/>
    </xf>
    <xf numFmtId="9" fontId="10" fillId="19" borderId="14" xfId="3" applyFont="1" applyFill="1" applyBorder="1" applyAlignment="1">
      <alignment horizontal="left" vertical="top"/>
    </xf>
    <xf numFmtId="0" fontId="8" fillId="0" borderId="10" xfId="5" applyFont="1" applyFill="1" applyBorder="1" applyAlignment="1"/>
    <xf numFmtId="3" fontId="8" fillId="0" borderId="0" xfId="5" applyNumberFormat="1" applyFont="1" applyFill="1" applyBorder="1"/>
    <xf numFmtId="3" fontId="8" fillId="7" borderId="12" xfId="5" applyNumberFormat="1" applyFont="1" applyFill="1" applyBorder="1"/>
    <xf numFmtId="0" fontId="28" fillId="0" borderId="14" xfId="5" applyFont="1" applyFill="1" applyBorder="1" applyAlignment="1">
      <alignment horizontal="left" vertical="center"/>
    </xf>
    <xf numFmtId="3" fontId="28" fillId="0" borderId="0" xfId="5" applyNumberFormat="1" applyFont="1" applyFill="1" applyBorder="1" applyAlignment="1">
      <alignment horizontal="right" vertical="top" wrapText="1"/>
    </xf>
    <xf numFmtId="3" fontId="8" fillId="0" borderId="14" xfId="5" applyNumberFormat="1" applyFont="1" applyFill="1" applyBorder="1" applyAlignment="1">
      <alignment horizontal="right"/>
    </xf>
    <xf numFmtId="0" fontId="32" fillId="0" borderId="0" xfId="5" applyFont="1" applyFill="1" applyAlignment="1"/>
    <xf numFmtId="0" fontId="33" fillId="18" borderId="14" xfId="5" applyFont="1" applyFill="1" applyBorder="1" applyAlignment="1">
      <alignment horizontal="right" vertical="top" wrapText="1"/>
    </xf>
    <xf numFmtId="3" fontId="10" fillId="18" borderId="14" xfId="5" applyNumberFormat="1" applyFont="1" applyFill="1" applyBorder="1" applyAlignment="1">
      <alignment horizontal="right" vertical="top" wrapText="1"/>
    </xf>
    <xf numFmtId="0" fontId="10" fillId="18" borderId="14" xfId="5" applyFont="1" applyFill="1" applyBorder="1" applyAlignment="1">
      <alignment horizontal="right" vertical="top" wrapText="1"/>
    </xf>
    <xf numFmtId="3" fontId="10" fillId="0" borderId="0" xfId="5" applyNumberFormat="1" applyFont="1" applyFill="1" applyBorder="1" applyAlignment="1">
      <alignment horizontal="right" vertical="top" wrapText="1"/>
    </xf>
    <xf numFmtId="0" fontId="28" fillId="9" borderId="14" xfId="5" applyFont="1" applyFill="1" applyBorder="1" applyAlignment="1"/>
    <xf numFmtId="3" fontId="28" fillId="9" borderId="14" xfId="5" applyNumberFormat="1" applyFont="1" applyFill="1" applyBorder="1" applyAlignment="1">
      <alignment horizontal="right" vertical="top"/>
    </xf>
    <xf numFmtId="3" fontId="28" fillId="9" borderId="14" xfId="5" applyNumberFormat="1" applyFont="1" applyFill="1" applyBorder="1" applyAlignment="1">
      <alignment horizontal="right" vertical="top" wrapText="1"/>
    </xf>
    <xf numFmtId="9" fontId="8" fillId="9" borderId="14" xfId="3" applyFont="1" applyFill="1" applyBorder="1" applyAlignment="1">
      <alignment horizontal="right" vertical="top" wrapText="1"/>
    </xf>
    <xf numFmtId="0" fontId="28" fillId="9" borderId="0" xfId="5" applyFont="1" applyFill="1" applyAlignment="1"/>
    <xf numFmtId="0" fontId="27" fillId="10" borderId="12" xfId="5" applyFont="1" applyFill="1" applyBorder="1" applyAlignment="1">
      <alignment horizontal="left" vertical="top" wrapText="1"/>
    </xf>
    <xf numFmtId="9" fontId="10" fillId="10" borderId="14" xfId="3" applyFont="1" applyFill="1" applyBorder="1" applyAlignment="1">
      <alignment horizontal="left" vertical="top" wrapText="1"/>
    </xf>
    <xf numFmtId="4" fontId="8" fillId="0" borderId="14" xfId="5" applyNumberFormat="1" applyFont="1" applyFill="1" applyBorder="1" applyAlignment="1">
      <alignment horizontal="right" vertical="top"/>
    </xf>
    <xf numFmtId="0" fontId="8" fillId="11" borderId="14" xfId="5" applyFont="1" applyFill="1" applyBorder="1" applyAlignment="1">
      <alignment horizontal="left" vertical="top"/>
    </xf>
    <xf numFmtId="0" fontId="35" fillId="21" borderId="14" xfId="5" applyFont="1" applyFill="1" applyBorder="1" applyAlignment="1">
      <alignment horizontal="left" wrapText="1"/>
    </xf>
    <xf numFmtId="0" fontId="35" fillId="21" borderId="14" xfId="5" applyFont="1" applyFill="1" applyBorder="1" applyAlignment="1">
      <alignment horizontal="left"/>
    </xf>
    <xf numFmtId="3" fontId="10" fillId="21" borderId="14" xfId="5" applyNumberFormat="1" applyFont="1" applyFill="1" applyBorder="1" applyAlignment="1">
      <alignment horizontal="right"/>
    </xf>
    <xf numFmtId="3" fontId="10" fillId="21" borderId="14" xfId="5" applyNumberFormat="1" applyFont="1" applyFill="1" applyBorder="1" applyAlignment="1">
      <alignment horizontal="left"/>
    </xf>
    <xf numFmtId="3" fontId="10" fillId="0" borderId="0" xfId="5" applyNumberFormat="1" applyFont="1" applyFill="1" applyBorder="1" applyAlignment="1">
      <alignment horizontal="right"/>
    </xf>
    <xf numFmtId="9" fontId="10" fillId="21" borderId="14" xfId="3" applyFont="1" applyFill="1" applyBorder="1" applyAlignment="1">
      <alignment horizontal="right"/>
    </xf>
    <xf numFmtId="173" fontId="10" fillId="21" borderId="14" xfId="1" applyNumberFormat="1" applyFont="1" applyFill="1" applyBorder="1" applyAlignment="1">
      <alignment horizontal="right"/>
    </xf>
    <xf numFmtId="0" fontId="28" fillId="0" borderId="0" xfId="5" applyFont="1" applyAlignment="1">
      <alignment wrapText="1"/>
    </xf>
    <xf numFmtId="0" fontId="28" fillId="0" borderId="0" xfId="5" applyFont="1"/>
    <xf numFmtId="3" fontId="11" fillId="0" borderId="0" xfId="5" applyNumberFormat="1" applyFont="1" applyAlignment="1">
      <alignment horizontal="right"/>
    </xf>
    <xf numFmtId="167" fontId="28" fillId="0" borderId="0" xfId="5" applyNumberFormat="1" applyFont="1" applyFill="1" applyAlignment="1"/>
    <xf numFmtId="9" fontId="28" fillId="0" borderId="0" xfId="3" applyFont="1" applyFill="1" applyAlignment="1"/>
    <xf numFmtId="3" fontId="7" fillId="0" borderId="14" xfId="4" applyNumberFormat="1" applyFont="1" applyBorder="1" applyAlignment="1">
      <alignment horizontal="center" vertical="center" wrapText="1"/>
    </xf>
    <xf numFmtId="3" fontId="36" fillId="0" borderId="0" xfId="4" applyNumberFormat="1" applyFont="1" applyFill="1" applyBorder="1" applyAlignment="1">
      <alignment horizontal="center" vertical="center" wrapText="1"/>
    </xf>
    <xf numFmtId="3" fontId="10" fillId="0" borderId="14" xfId="4" applyNumberFormat="1" applyFont="1" applyBorder="1" applyAlignment="1">
      <alignment horizontal="center" vertical="center" wrapText="1"/>
    </xf>
    <xf numFmtId="0" fontId="8" fillId="0" borderId="41" xfId="5" applyFont="1" applyFill="1" applyBorder="1"/>
    <xf numFmtId="3" fontId="8" fillId="4" borderId="14" xfId="0" applyNumberFormat="1" applyFont="1" applyFill="1" applyBorder="1" applyAlignment="1">
      <alignment vertical="top" wrapText="1"/>
    </xf>
    <xf numFmtId="165" fontId="8" fillId="4" borderId="15" xfId="1" applyNumberFormat="1" applyFont="1" applyFill="1" applyBorder="1" applyAlignment="1">
      <alignment vertical="top" wrapText="1"/>
    </xf>
    <xf numFmtId="165" fontId="8" fillId="4" borderId="17" xfId="1" applyNumberFormat="1" applyFont="1" applyFill="1" applyBorder="1" applyAlignment="1">
      <alignment vertical="top" wrapText="1"/>
    </xf>
    <xf numFmtId="165" fontId="8" fillId="4" borderId="16" xfId="1" applyNumberFormat="1" applyFont="1" applyFill="1" applyBorder="1" applyAlignment="1">
      <alignment vertical="top" wrapText="1"/>
    </xf>
    <xf numFmtId="3" fontId="8" fillId="4" borderId="55" xfId="0" applyNumberFormat="1" applyFont="1" applyFill="1" applyBorder="1" applyAlignment="1">
      <alignment vertical="top" wrapText="1"/>
    </xf>
    <xf numFmtId="3" fontId="8" fillId="4" borderId="35" xfId="0" applyNumberFormat="1" applyFont="1" applyFill="1" applyBorder="1" applyAlignment="1">
      <alignment vertical="top" wrapText="1"/>
    </xf>
    <xf numFmtId="3" fontId="8" fillId="4" borderId="56" xfId="0" applyNumberFormat="1" applyFont="1" applyFill="1" applyBorder="1" applyAlignment="1">
      <alignment vertical="top" wrapText="1"/>
    </xf>
    <xf numFmtId="165" fontId="10" fillId="7" borderId="19" xfId="1" applyNumberFormat="1" applyFont="1" applyFill="1" applyBorder="1" applyAlignment="1">
      <alignment horizontal="left"/>
    </xf>
    <xf numFmtId="165" fontId="10" fillId="7" borderId="20" xfId="1" applyNumberFormat="1" applyFont="1" applyFill="1" applyBorder="1" applyAlignment="1">
      <alignment horizontal="left"/>
    </xf>
    <xf numFmtId="3" fontId="7" fillId="2" borderId="19" xfId="0" applyNumberFormat="1" applyFont="1" applyFill="1" applyBorder="1" applyAlignment="1">
      <alignment horizontal="center" vertical="center" wrapText="1"/>
    </xf>
    <xf numFmtId="3" fontId="7" fillId="2" borderId="20" xfId="0" applyNumberFormat="1" applyFont="1" applyFill="1" applyBorder="1" applyAlignment="1">
      <alignment horizontal="center" vertical="center" wrapText="1"/>
    </xf>
    <xf numFmtId="3" fontId="7" fillId="2" borderId="21" xfId="0" applyNumberFormat="1" applyFont="1" applyFill="1" applyBorder="1" applyAlignment="1">
      <alignment horizontal="center" vertical="center" wrapText="1"/>
    </xf>
    <xf numFmtId="9" fontId="8" fillId="6" borderId="11" xfId="3" applyNumberFormat="1" applyFont="1" applyFill="1" applyBorder="1" applyAlignment="1">
      <alignment horizontal="right" vertical="top" wrapText="1"/>
    </xf>
    <xf numFmtId="3" fontId="0" fillId="0" borderId="0" xfId="0" applyNumberFormat="1"/>
    <xf numFmtId="170" fontId="5" fillId="9" borderId="38" xfId="7" applyNumberFormat="1" applyFont="1" applyFill="1" applyBorder="1" applyAlignment="1">
      <alignment horizontal="center" vertical="center" wrapText="1"/>
    </xf>
    <xf numFmtId="170" fontId="5" fillId="0" borderId="38" xfId="7" applyNumberFormat="1" applyFont="1" applyFill="1" applyBorder="1" applyAlignment="1">
      <alignment horizontal="center" vertical="center" wrapText="1"/>
    </xf>
    <xf numFmtId="171" fontId="8" fillId="9" borderId="14" xfId="7" applyNumberFormat="1" applyFont="1" applyFill="1" applyBorder="1" applyAlignment="1">
      <alignment horizontal="center" vertical="center" wrapText="1"/>
    </xf>
    <xf numFmtId="171" fontId="8" fillId="9" borderId="38" xfId="7" applyNumberFormat="1" applyFont="1" applyFill="1" applyBorder="1" applyAlignment="1">
      <alignment horizontal="center" vertical="center" wrapText="1"/>
    </xf>
    <xf numFmtId="171" fontId="5" fillId="0" borderId="14" xfId="7" applyNumberFormat="1" applyFont="1" applyFill="1" applyBorder="1" applyAlignment="1">
      <alignment horizontal="center" vertical="center" wrapText="1"/>
    </xf>
    <xf numFmtId="171" fontId="8" fillId="0" borderId="38" xfId="7" applyNumberFormat="1" applyFont="1" applyFill="1" applyBorder="1" applyAlignment="1">
      <alignment horizontal="right" vertical="top"/>
    </xf>
    <xf numFmtId="171" fontId="8" fillId="0" borderId="38" xfId="7" applyNumberFormat="1" applyFont="1" applyFill="1" applyBorder="1" applyAlignment="1">
      <alignment horizontal="center" vertical="center" wrapText="1"/>
    </xf>
    <xf numFmtId="41" fontId="5" fillId="0" borderId="14" xfId="7" applyNumberFormat="1" applyFont="1" applyFill="1" applyBorder="1" applyAlignment="1">
      <alignment horizontal="center" vertical="center" wrapText="1"/>
    </xf>
    <xf numFmtId="3" fontId="5" fillId="0" borderId="38" xfId="7" applyNumberFormat="1" applyFont="1" applyFill="1" applyBorder="1" applyAlignment="1">
      <alignment horizontal="center" vertical="center" wrapText="1"/>
    </xf>
    <xf numFmtId="3" fontId="5" fillId="0" borderId="14" xfId="7" applyNumberFormat="1" applyFont="1" applyFill="1" applyBorder="1" applyAlignment="1">
      <alignment horizontal="center" vertical="center" wrapText="1"/>
    </xf>
    <xf numFmtId="3" fontId="8" fillId="0" borderId="38" xfId="7" applyNumberFormat="1" applyFont="1" applyFill="1" applyBorder="1" applyAlignment="1">
      <alignment horizontal="center" vertical="center" wrapText="1"/>
    </xf>
    <xf numFmtId="3" fontId="8" fillId="0" borderId="14" xfId="7" applyNumberFormat="1" applyFont="1" applyFill="1" applyBorder="1" applyAlignment="1">
      <alignment horizontal="center" vertical="center" wrapText="1"/>
    </xf>
    <xf numFmtId="170" fontId="7" fillId="7" borderId="14" xfId="7" applyNumberFormat="1" applyFont="1" applyFill="1" applyBorder="1" applyAlignment="1">
      <alignment horizontal="left" vertical="top" wrapText="1"/>
    </xf>
    <xf numFmtId="170" fontId="7" fillId="7" borderId="38" xfId="7" applyNumberFormat="1" applyFont="1" applyFill="1" applyBorder="1" applyAlignment="1">
      <alignment horizontal="left" vertical="top" wrapText="1"/>
    </xf>
    <xf numFmtId="170" fontId="8" fillId="9" borderId="14" xfId="7" applyNumberFormat="1" applyFont="1" applyFill="1" applyBorder="1" applyAlignment="1">
      <alignment vertical="top" wrapText="1"/>
    </xf>
    <xf numFmtId="170" fontId="8" fillId="0" borderId="14" xfId="7" applyNumberFormat="1" applyFont="1" applyFill="1" applyBorder="1" applyAlignment="1">
      <alignment vertical="top" wrapText="1"/>
    </xf>
    <xf numFmtId="170" fontId="8" fillId="0" borderId="38" xfId="7" applyNumberFormat="1" applyFont="1" applyFill="1" applyBorder="1" applyAlignment="1">
      <alignment vertical="top" wrapText="1"/>
    </xf>
    <xf numFmtId="170" fontId="10" fillId="0" borderId="14" xfId="7" applyNumberFormat="1" applyFont="1" applyFill="1" applyBorder="1" applyAlignment="1">
      <alignment vertical="top" wrapText="1"/>
    </xf>
    <xf numFmtId="170" fontId="10" fillId="0" borderId="38" xfId="7" applyNumberFormat="1" applyFont="1" applyFill="1" applyBorder="1" applyAlignment="1">
      <alignment vertical="top" wrapText="1"/>
    </xf>
    <xf numFmtId="170" fontId="10" fillId="0" borderId="14" xfId="7" applyNumberFormat="1" applyFont="1" applyFill="1" applyBorder="1" applyAlignment="1">
      <alignment horizontal="center" vertical="center" wrapText="1"/>
    </xf>
    <xf numFmtId="170" fontId="10" fillId="9" borderId="14" xfId="7" applyNumberFormat="1" applyFont="1" applyFill="1" applyBorder="1" applyAlignment="1">
      <alignment vertical="top" wrapText="1"/>
    </xf>
    <xf numFmtId="170" fontId="10" fillId="9" borderId="38" xfId="7" applyNumberFormat="1" applyFont="1" applyFill="1" applyBorder="1" applyAlignment="1">
      <alignment vertical="top" wrapText="1"/>
    </xf>
    <xf numFmtId="170" fontId="10" fillId="9" borderId="14" xfId="7" applyNumberFormat="1" applyFont="1" applyFill="1" applyBorder="1" applyAlignment="1">
      <alignment horizontal="center" vertical="center" wrapText="1"/>
    </xf>
    <xf numFmtId="170" fontId="10" fillId="0" borderId="38" xfId="7" applyNumberFormat="1" applyFont="1" applyFill="1" applyBorder="1" applyAlignment="1">
      <alignment horizontal="center" vertical="center" wrapText="1"/>
    </xf>
    <xf numFmtId="166" fontId="8" fillId="0" borderId="14" xfId="7" applyNumberFormat="1" applyFont="1" applyFill="1" applyBorder="1" applyAlignment="1">
      <alignment vertical="top" wrapText="1"/>
    </xf>
    <xf numFmtId="166" fontId="8" fillId="0" borderId="38" xfId="7" applyNumberFormat="1" applyFont="1" applyFill="1" applyBorder="1" applyAlignment="1">
      <alignment vertical="top" wrapText="1"/>
    </xf>
    <xf numFmtId="166" fontId="8" fillId="0" borderId="14" xfId="7" applyNumberFormat="1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6" fillId="2" borderId="7" xfId="0" applyNumberFormat="1" applyFont="1" applyFill="1" applyBorder="1" applyAlignment="1">
      <alignment horizontal="center" vertical="center"/>
    </xf>
    <xf numFmtId="0" fontId="6" fillId="2" borderId="8" xfId="0" applyNumberFormat="1" applyFont="1" applyFill="1" applyBorder="1" applyAlignment="1">
      <alignment horizontal="center" vertical="center"/>
    </xf>
    <xf numFmtId="0" fontId="6" fillId="2" borderId="9" xfId="0" applyNumberFormat="1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15" fillId="0" borderId="32" xfId="5" applyFont="1" applyBorder="1" applyAlignment="1">
      <alignment horizontal="center"/>
    </xf>
    <xf numFmtId="0" fontId="16" fillId="0" borderId="33" xfId="5" applyFont="1" applyBorder="1" applyAlignment="1"/>
    <xf numFmtId="0" fontId="13" fillId="0" borderId="0" xfId="4" applyFont="1" applyFill="1" applyBorder="1" applyAlignment="1">
      <alignment horizontal="center"/>
    </xf>
    <xf numFmtId="0" fontId="13" fillId="0" borderId="0" xfId="4" applyFont="1" applyFill="1" applyBorder="1" applyAlignment="1"/>
    <xf numFmtId="0" fontId="13" fillId="0" borderId="2" xfId="4" applyFont="1" applyBorder="1" applyAlignment="1">
      <alignment horizontal="center"/>
    </xf>
    <xf numFmtId="0" fontId="13" fillId="0" borderId="4" xfId="4" applyFont="1" applyBorder="1" applyAlignment="1"/>
    <xf numFmtId="0" fontId="6" fillId="0" borderId="19" xfId="4" applyNumberFormat="1" applyFont="1" applyFill="1" applyBorder="1" applyAlignment="1">
      <alignment horizontal="center" vertical="center"/>
    </xf>
    <xf numFmtId="0" fontId="6" fillId="0" borderId="20" xfId="4" applyNumberFormat="1" applyFont="1" applyFill="1" applyBorder="1" applyAlignment="1">
      <alignment horizontal="center" vertical="center"/>
    </xf>
    <xf numFmtId="0" fontId="6" fillId="0" borderId="21" xfId="4" applyNumberFormat="1" applyFont="1" applyFill="1" applyBorder="1" applyAlignment="1">
      <alignment horizontal="center" vertical="center"/>
    </xf>
    <xf numFmtId="0" fontId="7" fillId="0" borderId="2" xfId="4" applyNumberFormat="1" applyFont="1" applyFill="1" applyBorder="1" applyAlignment="1">
      <alignment horizontal="center" vertical="center"/>
    </xf>
    <xf numFmtId="0" fontId="7" fillId="0" borderId="3" xfId="4" applyNumberFormat="1" applyFont="1" applyFill="1" applyBorder="1" applyAlignment="1">
      <alignment horizontal="center" vertical="center"/>
    </xf>
    <xf numFmtId="0" fontId="7" fillId="0" borderId="4" xfId="4" applyNumberFormat="1" applyFont="1" applyFill="1" applyBorder="1" applyAlignment="1">
      <alignment horizontal="center" vertical="center"/>
    </xf>
    <xf numFmtId="0" fontId="8" fillId="8" borderId="17" xfId="4" applyFont="1" applyFill="1" applyBorder="1" applyAlignment="1">
      <alignment horizontal="center" vertical="top" wrapText="1"/>
    </xf>
    <xf numFmtId="0" fontId="8" fillId="8" borderId="35" xfId="4" applyFont="1" applyFill="1" applyBorder="1" applyAlignment="1">
      <alignment horizontal="center" vertical="top" wrapText="1"/>
    </xf>
    <xf numFmtId="0" fontId="7" fillId="2" borderId="14" xfId="4" applyFont="1" applyFill="1" applyBorder="1" applyAlignment="1">
      <alignment vertical="top" wrapText="1"/>
    </xf>
    <xf numFmtId="0" fontId="7" fillId="2" borderId="14" xfId="4" applyFont="1" applyFill="1" applyBorder="1" applyAlignment="1">
      <alignment horizontal="center" vertical="top" wrapText="1"/>
    </xf>
    <xf numFmtId="3" fontId="7" fillId="2" borderId="14" xfId="4" applyNumberFormat="1" applyFont="1" applyFill="1" applyBorder="1" applyAlignment="1">
      <alignment horizontal="center" vertical="center" wrapText="1"/>
    </xf>
    <xf numFmtId="3" fontId="7" fillId="2" borderId="17" xfId="4" applyNumberFormat="1" applyFont="1" applyFill="1" applyBorder="1" applyAlignment="1">
      <alignment horizontal="center" vertical="center" wrapText="1"/>
    </xf>
    <xf numFmtId="3" fontId="7" fillId="2" borderId="35" xfId="4" applyNumberFormat="1" applyFont="1" applyFill="1" applyBorder="1" applyAlignment="1">
      <alignment horizontal="center" vertical="center" wrapText="1"/>
    </xf>
    <xf numFmtId="41" fontId="7" fillId="7" borderId="12" xfId="2" applyFont="1" applyFill="1" applyBorder="1" applyAlignment="1">
      <alignment horizontal="left" vertical="top"/>
    </xf>
    <xf numFmtId="41" fontId="7" fillId="7" borderId="36" xfId="2" applyFont="1" applyFill="1" applyBorder="1" applyAlignment="1">
      <alignment horizontal="left" vertical="top"/>
    </xf>
    <xf numFmtId="41" fontId="7" fillId="7" borderId="38" xfId="2" applyFont="1" applyFill="1" applyBorder="1" applyAlignment="1">
      <alignment horizontal="left" vertical="top"/>
    </xf>
    <xf numFmtId="41" fontId="7" fillId="3" borderId="12" xfId="2" applyFont="1" applyFill="1" applyBorder="1" applyAlignment="1">
      <alignment vertical="top"/>
    </xf>
    <xf numFmtId="41" fontId="7" fillId="3" borderId="36" xfId="2" applyFont="1" applyFill="1" applyBorder="1" applyAlignment="1">
      <alignment vertical="top"/>
    </xf>
    <xf numFmtId="41" fontId="7" fillId="3" borderId="38" xfId="2" applyFont="1" applyFill="1" applyBorder="1" applyAlignment="1">
      <alignment vertical="top"/>
    </xf>
    <xf numFmtId="41" fontId="7" fillId="3" borderId="14" xfId="2" applyFont="1" applyFill="1" applyBorder="1" applyAlignment="1">
      <alignment vertical="top"/>
    </xf>
    <xf numFmtId="41" fontId="7" fillId="4" borderId="14" xfId="2" applyFont="1" applyFill="1" applyBorder="1" applyAlignment="1">
      <alignment vertical="top"/>
    </xf>
    <xf numFmtId="0" fontId="27" fillId="0" borderId="32" xfId="5" applyFont="1" applyBorder="1" applyAlignment="1">
      <alignment horizontal="center"/>
    </xf>
    <xf numFmtId="0" fontId="8" fillId="0" borderId="33" xfId="5" applyFont="1" applyBorder="1" applyAlignment="1"/>
    <xf numFmtId="0" fontId="13" fillId="0" borderId="4" xfId="4" applyFont="1" applyBorder="1" applyAlignment="1">
      <alignment horizontal="center"/>
    </xf>
    <xf numFmtId="0" fontId="12" fillId="0" borderId="2" xfId="4" applyNumberFormat="1" applyFont="1" applyFill="1" applyBorder="1" applyAlignment="1">
      <alignment horizontal="center" vertical="center"/>
    </xf>
    <xf numFmtId="0" fontId="12" fillId="0" borderId="3" xfId="4" applyNumberFormat="1" applyFont="1" applyFill="1" applyBorder="1" applyAlignment="1">
      <alignment horizontal="center" vertical="center"/>
    </xf>
    <xf numFmtId="0" fontId="12" fillId="0" borderId="4" xfId="4" applyNumberFormat="1" applyFont="1" applyFill="1" applyBorder="1" applyAlignment="1">
      <alignment horizontal="center" vertical="center"/>
    </xf>
    <xf numFmtId="3" fontId="7" fillId="2" borderId="17" xfId="4" applyNumberFormat="1" applyFont="1" applyFill="1" applyBorder="1" applyAlignment="1">
      <alignment horizontal="right" vertical="center" wrapText="1"/>
    </xf>
    <xf numFmtId="3" fontId="7" fillId="2" borderId="35" xfId="4" applyNumberFormat="1" applyFont="1" applyFill="1" applyBorder="1" applyAlignment="1">
      <alignment horizontal="right" vertical="center" wrapText="1"/>
    </xf>
    <xf numFmtId="170" fontId="7" fillId="3" borderId="12" xfId="7" applyFont="1" applyFill="1" applyBorder="1" applyAlignment="1">
      <alignment vertical="top" wrapText="1"/>
    </xf>
    <xf numFmtId="170" fontId="7" fillId="3" borderId="36" xfId="7" applyFont="1" applyFill="1" applyBorder="1" applyAlignment="1">
      <alignment vertical="top" wrapText="1"/>
    </xf>
    <xf numFmtId="170" fontId="7" fillId="3" borderId="38" xfId="7" applyFont="1" applyFill="1" applyBorder="1" applyAlignment="1">
      <alignment vertical="top" wrapText="1"/>
    </xf>
    <xf numFmtId="0" fontId="7" fillId="3" borderId="14" xfId="4" applyFont="1" applyFill="1" applyBorder="1" applyAlignment="1">
      <alignment vertical="top" wrapText="1"/>
    </xf>
    <xf numFmtId="170" fontId="7" fillId="3" borderId="14" xfId="7" applyFont="1" applyFill="1" applyBorder="1" applyAlignment="1">
      <alignment vertical="top" wrapText="1"/>
    </xf>
    <xf numFmtId="170" fontId="7" fillId="4" borderId="14" xfId="7" applyFont="1" applyFill="1" applyBorder="1" applyAlignment="1">
      <alignment vertical="top" wrapText="1"/>
    </xf>
    <xf numFmtId="170" fontId="7" fillId="7" borderId="12" xfId="7" applyFont="1" applyFill="1" applyBorder="1" applyAlignment="1">
      <alignment horizontal="left" vertical="top" wrapText="1"/>
    </xf>
    <xf numFmtId="170" fontId="7" fillId="7" borderId="36" xfId="7" applyFont="1" applyFill="1" applyBorder="1" applyAlignment="1">
      <alignment horizontal="left" vertical="top" wrapText="1"/>
    </xf>
    <xf numFmtId="170" fontId="7" fillId="7" borderId="38" xfId="7" applyFont="1" applyFill="1" applyBorder="1" applyAlignment="1">
      <alignment horizontal="left" vertical="top" wrapText="1"/>
    </xf>
    <xf numFmtId="0" fontId="27" fillId="0" borderId="0" xfId="5" applyFont="1" applyAlignment="1">
      <alignment horizontal="center"/>
    </xf>
    <xf numFmtId="0" fontId="28" fillId="0" borderId="0" xfId="5" applyFont="1" applyAlignment="1"/>
    <xf numFmtId="0" fontId="27" fillId="16" borderId="14" xfId="5" applyFont="1" applyFill="1" applyBorder="1" applyAlignment="1">
      <alignment vertical="top" wrapText="1"/>
    </xf>
    <xf numFmtId="0" fontId="8" fillId="0" borderId="14" xfId="5" applyFont="1" applyBorder="1" applyAlignment="1"/>
    <xf numFmtId="3" fontId="27" fillId="16" borderId="17" xfId="5" applyNumberFormat="1" applyFont="1" applyFill="1" applyBorder="1" applyAlignment="1">
      <alignment horizontal="center" vertical="center" wrapText="1"/>
    </xf>
    <xf numFmtId="3" fontId="27" fillId="16" borderId="35" xfId="5" applyNumberFormat="1" applyFont="1" applyFill="1" applyBorder="1" applyAlignment="1">
      <alignment horizontal="center" vertical="center" wrapText="1"/>
    </xf>
    <xf numFmtId="3" fontId="27" fillId="16" borderId="14" xfId="5" applyNumberFormat="1" applyFont="1" applyFill="1" applyBorder="1" applyAlignment="1">
      <alignment horizontal="center" vertical="center" wrapText="1"/>
    </xf>
    <xf numFmtId="3" fontId="27" fillId="0" borderId="0" xfId="5" applyNumberFormat="1" applyFont="1" applyFill="1" applyBorder="1" applyAlignment="1">
      <alignment horizontal="center" vertical="center" wrapText="1"/>
    </xf>
    <xf numFmtId="3" fontId="10" fillId="16" borderId="17" xfId="5" applyNumberFormat="1" applyFont="1" applyFill="1" applyBorder="1" applyAlignment="1">
      <alignment horizontal="center" vertical="center" wrapText="1"/>
    </xf>
    <xf numFmtId="3" fontId="10" fillId="16" borderId="35" xfId="5" applyNumberFormat="1" applyFont="1" applyFill="1" applyBorder="1" applyAlignment="1">
      <alignment horizontal="center" vertical="center" wrapText="1"/>
    </xf>
    <xf numFmtId="0" fontId="7" fillId="0" borderId="19" xfId="4" applyNumberFormat="1" applyFont="1" applyFill="1" applyBorder="1" applyAlignment="1">
      <alignment horizontal="center" vertical="center"/>
    </xf>
    <xf numFmtId="0" fontId="7" fillId="0" borderId="20" xfId="4" applyNumberFormat="1" applyFont="1" applyFill="1" applyBorder="1" applyAlignment="1">
      <alignment horizontal="center" vertical="center"/>
    </xf>
    <xf numFmtId="0" fontId="7" fillId="0" borderId="21" xfId="4" applyNumberFormat="1" applyFont="1" applyFill="1" applyBorder="1" applyAlignment="1">
      <alignment horizontal="center" vertical="center"/>
    </xf>
    <xf numFmtId="0" fontId="27" fillId="19" borderId="12" xfId="5" applyFont="1" applyFill="1" applyBorder="1" applyAlignment="1">
      <alignment horizontal="center" vertical="top" wrapText="1"/>
    </xf>
    <xf numFmtId="0" fontId="27" fillId="19" borderId="36" xfId="5" applyFont="1" applyFill="1" applyBorder="1" applyAlignment="1">
      <alignment horizontal="center" vertical="top" wrapText="1"/>
    </xf>
    <xf numFmtId="0" fontId="27" fillId="19" borderId="38" xfId="5" applyFont="1" applyFill="1" applyBorder="1" applyAlignment="1">
      <alignment horizontal="center" vertical="top" wrapText="1"/>
    </xf>
    <xf numFmtId="0" fontId="27" fillId="17" borderId="14" xfId="5" applyFont="1" applyFill="1" applyBorder="1" applyAlignment="1">
      <alignment vertical="top" wrapText="1"/>
    </xf>
    <xf numFmtId="0" fontId="27" fillId="17" borderId="12" xfId="5" applyFont="1" applyFill="1" applyBorder="1" applyAlignment="1">
      <alignment vertical="top" wrapText="1"/>
    </xf>
    <xf numFmtId="0" fontId="27" fillId="17" borderId="36" xfId="5" applyFont="1" applyFill="1" applyBorder="1" applyAlignment="1">
      <alignment vertical="top" wrapText="1"/>
    </xf>
    <xf numFmtId="0" fontId="27" fillId="17" borderId="38" xfId="5" applyFont="1" applyFill="1" applyBorder="1" applyAlignment="1">
      <alignment vertical="top" wrapText="1"/>
    </xf>
    <xf numFmtId="0" fontId="27" fillId="17" borderId="12" xfId="5" applyFont="1" applyFill="1" applyBorder="1" applyAlignment="1">
      <alignment horizontal="left" vertical="top" wrapText="1"/>
    </xf>
    <xf numFmtId="0" fontId="27" fillId="17" borderId="36" xfId="5" applyFont="1" applyFill="1" applyBorder="1" applyAlignment="1">
      <alignment horizontal="left" vertical="top" wrapText="1"/>
    </xf>
    <xf numFmtId="0" fontId="27" fillId="17" borderId="38" xfId="5" applyFont="1" applyFill="1" applyBorder="1" applyAlignment="1">
      <alignment horizontal="left" vertical="top" wrapText="1"/>
    </xf>
    <xf numFmtId="0" fontId="27" fillId="17" borderId="12" xfId="5" applyFont="1" applyFill="1" applyBorder="1" applyAlignment="1">
      <alignment horizontal="center" vertical="top" wrapText="1"/>
    </xf>
    <xf numFmtId="0" fontId="27" fillId="17" borderId="36" xfId="5" applyFont="1" applyFill="1" applyBorder="1" applyAlignment="1">
      <alignment horizontal="center" vertical="top" wrapText="1"/>
    </xf>
    <xf numFmtId="0" fontId="27" fillId="17" borderId="38" xfId="5" applyFont="1" applyFill="1" applyBorder="1" applyAlignment="1">
      <alignment horizontal="center" vertical="top" wrapText="1"/>
    </xf>
    <xf numFmtId="0" fontId="27" fillId="10" borderId="14" xfId="5" applyFont="1" applyFill="1" applyBorder="1" applyAlignment="1">
      <alignment vertical="top" wrapText="1"/>
    </xf>
    <xf numFmtId="0" fontId="27" fillId="19" borderId="14" xfId="5" applyFont="1" applyFill="1" applyBorder="1" applyAlignment="1">
      <alignment horizontal="left" vertical="top" wrapText="1"/>
    </xf>
    <xf numFmtId="0" fontId="27" fillId="19" borderId="12" xfId="5" applyFont="1" applyFill="1" applyBorder="1" applyAlignment="1">
      <alignment horizontal="left" vertical="top"/>
    </xf>
    <xf numFmtId="0" fontId="27" fillId="19" borderId="36" xfId="5" applyFont="1" applyFill="1" applyBorder="1" applyAlignment="1">
      <alignment horizontal="left" vertical="top"/>
    </xf>
    <xf numFmtId="0" fontId="27" fillId="19" borderId="38" xfId="5" applyFont="1" applyFill="1" applyBorder="1" applyAlignment="1">
      <alignment horizontal="left" vertical="top"/>
    </xf>
  </cellXfs>
  <cellStyles count="11">
    <cellStyle name="Comma 2" xfId="8" xr:uid="{64E601DA-F6B0-4B9C-89E8-A332FCF02369}"/>
    <cellStyle name="Comma 2 2" xfId="10" xr:uid="{9C435172-A6B9-4BA9-8F01-C9AC3C8DD23B}"/>
    <cellStyle name="Komma" xfId="1" builtinId="3"/>
    <cellStyle name="Komma [0]" xfId="2" builtinId="6"/>
    <cellStyle name="Komma [0] 2" xfId="7" xr:uid="{9797E7F8-5E01-4589-9331-DB53924B5892}"/>
    <cellStyle name="Komma 3" xfId="9" xr:uid="{ACCF0AC4-70AE-41EE-B1F2-4AD242EB3DF2}"/>
    <cellStyle name="Normal 3" xfId="6" xr:uid="{45054F37-8583-43F7-87FC-78397EA8FD64}"/>
    <cellStyle name="Procent" xfId="3" builtinId="5"/>
    <cellStyle name="Standaard" xfId="0" builtinId="0"/>
    <cellStyle name="Standaard 2 2 2" xfId="4" xr:uid="{ACF55AAF-8BB1-42AB-A9CF-4CAF85468CAA}"/>
    <cellStyle name="Standaard 4 2" xfId="5" xr:uid="{0D3C3778-B2BF-4DF7-8171-CFE2AA034008}"/>
  </cellStyles>
  <dxfs count="2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Financien\Overleg%20Adjuncten\Koen\INTL\Rwanda\20200312%20FIN%20Annual%20financial%20report%20DP3%202019%20HNS%20(1)_audited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20220624%20V1%20FIN%20Full%20Project%20file%20Uganda_incl%20HQ%20budget%20lines_consolidated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Financien\Overleg%20Adjuncten\Koen\INTL\Uganda\2021%2003%2011%20V1%20DPIII%20Uganda%202020%20%20annual%20reporting_template%20v1_audited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Financien\Overleg%20Adjuncten\Koen\INTL\Uganda\Done\20220627%20V1%20DPIII%20Uganda%202022%20%20annual%20reporting_template%20v1_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Financien\Overleg%20Adjuncten\Koen\INTL\Rwanda\20210215%20FIN%20DP3%20RW%20annual%20reporting%202020_audited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Financien\Overleg%20Adjuncten\Koen\INTL\Rwanda\20220325%20FIN%20Financial%20annual%20report%20DP3%20RW%202021.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Financien\Overleg%20Adjuncten\Koen\INTL\Rwanda\20220623%20FIN%20Financial%20annual%20report%20DP3%20RW%202022.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20220713%20V2%20FIN%20Full%20Project%20file%20Tanzania_revNB+LK_consolidated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Financien\Overleg%20Adjuncten\Koen\INTL\Tanzania\20191210%20RAP%20projects%202019_DP3%202019%20v1_audited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Financien\Overleg%20Adjuncten\Koen\INTL\Tanzania\20191210%20RAP%20projects%20annual%20report%20DP3%20TAN%20v1%20-%20FINAL%20(dd26-02-2021)_audited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Financien\Overleg%20Adjuncten\Koen\INTL\Tanzania\2021%20DP3%20GEN%20PROJECT%20RAP%20REPORT%20FINAL%2031ST%20MARCH%202022.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Financien\Overleg%20Adjuncten\Koen\INTL\Tanzania\2022%2004%2009%20V2%20FINAL%20RAP%20REPORT%20DP3%20GEN%20FINANCIAL%20REPORT%20January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Summary"/>
      <sheetName val="Invoice list HNS"/>
      <sheetName val="Invoice list HQ"/>
      <sheetName val="Accounting dump HQ"/>
      <sheetName val="Income + exchange rate"/>
    </sheetNames>
    <sheetDataSet>
      <sheetData sheetId="0">
        <row r="10">
          <cell r="E10" t="str">
            <v>Totaal</v>
          </cell>
        </row>
        <row r="11">
          <cell r="E11" t="str">
            <v>Total</v>
          </cell>
        </row>
        <row r="12">
          <cell r="E12" t="str">
            <v>Total</v>
          </cell>
        </row>
        <row r="14">
          <cell r="C14" t="str">
            <v>Omschrijving geld transfer</v>
          </cell>
          <cell r="D14" t="str">
            <v>Datum</v>
          </cell>
          <cell r="E14" t="str">
            <v>Bedrag in lokale munt</v>
          </cell>
          <cell r="F14" t="str">
            <v>Bedrag in EUR</v>
          </cell>
          <cell r="G14" t="str">
            <v>Wisselkoers</v>
          </cell>
          <cell r="H14" t="str">
            <v>Andere inkomsten</v>
          </cell>
          <cell r="I14" t="str">
            <v>Gemiddelde wisselkoers</v>
          </cell>
        </row>
        <row r="15">
          <cell r="C15" t="str">
            <v>Description of cash transfer</v>
          </cell>
          <cell r="D15" t="str">
            <v>Date</v>
          </cell>
          <cell r="E15" t="str">
            <v>Amount in local currency</v>
          </cell>
          <cell r="F15" t="str">
            <v>Amount in EUR</v>
          </cell>
          <cell r="G15" t="str">
            <v>Exchange rate</v>
          </cell>
          <cell r="H15" t="str">
            <v>Other income</v>
          </cell>
          <cell r="I15" t="str">
            <v>Average exchange rate</v>
          </cell>
        </row>
        <row r="16">
          <cell r="C16" t="str">
            <v xml:space="preserve">Description du transfer d'argent </v>
          </cell>
          <cell r="D16" t="str">
            <v>Date</v>
          </cell>
          <cell r="E16" t="str">
            <v>Montant locale</v>
          </cell>
          <cell r="F16" t="str">
            <v>Montant EUR</v>
          </cell>
          <cell r="G16" t="str">
            <v>Taux de change</v>
          </cell>
          <cell r="H16" t="str">
            <v>Autres revenus</v>
          </cell>
          <cell r="I16" t="str">
            <v>Taux de change moyen</v>
          </cell>
        </row>
      </sheetData>
      <sheetData sheetId="1">
        <row r="1">
          <cell r="B1" t="str">
            <v>English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- Actual UGA"/>
      <sheetName val="Budget - Actual UGA (2)"/>
      <sheetName val="Consolidated invoice list"/>
      <sheetName val="Invoice List HNS"/>
      <sheetName val=" Invoice List HQ + DLG reg"/>
      <sheetName val="Income + exchange rates"/>
      <sheetName val="HNS Codes"/>
      <sheetName val=" Invoice List HQ + DLG reg (2)"/>
      <sheetName val="Data"/>
    </sheetNames>
    <sheetDataSet>
      <sheetData sheetId="0"/>
      <sheetData sheetId="1"/>
      <sheetData sheetId="2"/>
      <sheetData sheetId="3"/>
      <sheetData sheetId="4"/>
      <sheetData sheetId="5">
        <row r="15">
          <cell r="G15">
            <v>4265.8807254588892</v>
          </cell>
        </row>
        <row r="29">
          <cell r="G29">
            <v>4265.8807254588892</v>
          </cell>
        </row>
        <row r="60">
          <cell r="G60">
            <v>4194.5748799960975</v>
          </cell>
        </row>
      </sheetData>
      <sheetData sheetId="6"/>
      <sheetData sheetId="7"/>
      <sheetData sheetId="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Summary"/>
      <sheetName val="Invoice list HNS"/>
      <sheetName val="Invoice list HQ"/>
      <sheetName val="Accounting dump HQ"/>
      <sheetName val="Income + exchange rate"/>
    </sheetNames>
    <sheetDataSet>
      <sheetData sheetId="0" refreshError="1">
        <row r="10">
          <cell r="E10" t="str">
            <v>Totaal</v>
          </cell>
        </row>
        <row r="11">
          <cell r="E11" t="str">
            <v>Total</v>
          </cell>
        </row>
        <row r="12">
          <cell r="E12" t="str">
            <v>Total</v>
          </cell>
        </row>
        <row r="14">
          <cell r="C14" t="str">
            <v>Omschrijving geld transfer</v>
          </cell>
          <cell r="D14" t="str">
            <v>Datum</v>
          </cell>
          <cell r="E14" t="str">
            <v>Bedrag in lokale munt</v>
          </cell>
          <cell r="F14" t="str">
            <v>Bedrag in EUR</v>
          </cell>
          <cell r="G14" t="str">
            <v>Wisselkoers</v>
          </cell>
          <cell r="H14" t="str">
            <v>Andere inkomsten</v>
          </cell>
          <cell r="I14" t="str">
            <v>Gemiddelde wisselkoers</v>
          </cell>
        </row>
        <row r="15">
          <cell r="C15" t="str">
            <v>Description of cash transfer</v>
          </cell>
          <cell r="D15" t="str">
            <v>Date</v>
          </cell>
          <cell r="E15" t="str">
            <v>Amount in local currency</v>
          </cell>
          <cell r="F15" t="str">
            <v>Amount in EUR</v>
          </cell>
          <cell r="G15" t="str">
            <v>Exchange rate</v>
          </cell>
          <cell r="H15" t="str">
            <v>Other income</v>
          </cell>
          <cell r="I15" t="str">
            <v>Average exchange rate</v>
          </cell>
        </row>
        <row r="16">
          <cell r="C16" t="str">
            <v xml:space="preserve">Description du transfer d'argent </v>
          </cell>
          <cell r="D16" t="str">
            <v>Date</v>
          </cell>
          <cell r="E16" t="str">
            <v>Montant locale</v>
          </cell>
          <cell r="F16" t="str">
            <v>Montant EUR</v>
          </cell>
          <cell r="G16" t="str">
            <v>Taux de change</v>
          </cell>
          <cell r="H16" t="str">
            <v>Autres revenus</v>
          </cell>
          <cell r="I16" t="str">
            <v>Taux de change moyen</v>
          </cell>
        </row>
      </sheetData>
      <sheetData sheetId="1" refreshError="1">
        <row r="1">
          <cell r="B1" t="str">
            <v>English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Summary"/>
      <sheetName val="Invoice list HNS"/>
      <sheetName val="Invoice list HQ"/>
      <sheetName val="Accounting dump HQ"/>
      <sheetName val="Income + exchange rate"/>
    </sheetNames>
    <sheetDataSet>
      <sheetData sheetId="0" refreshError="1">
        <row r="10">
          <cell r="E10" t="str">
            <v>Totaal</v>
          </cell>
        </row>
        <row r="11">
          <cell r="E11" t="str">
            <v>Total</v>
          </cell>
        </row>
        <row r="12">
          <cell r="E12" t="str">
            <v>Total</v>
          </cell>
        </row>
        <row r="14">
          <cell r="C14" t="str">
            <v>Omschrijving geld transfer</v>
          </cell>
          <cell r="D14" t="str">
            <v>Datum</v>
          </cell>
          <cell r="E14" t="str">
            <v>Bedrag in lokale munt</v>
          </cell>
          <cell r="F14" t="str">
            <v>Bedrag in EUR</v>
          </cell>
          <cell r="G14" t="str">
            <v>Wisselkoers</v>
          </cell>
          <cell r="H14" t="str">
            <v>Andere inkomsten</v>
          </cell>
          <cell r="I14" t="str">
            <v>Gemiddelde wisselkoers</v>
          </cell>
        </row>
        <row r="15">
          <cell r="C15" t="str">
            <v>Description of cash transfer</v>
          </cell>
          <cell r="D15" t="str">
            <v>Date</v>
          </cell>
          <cell r="E15" t="str">
            <v>Amount in local currency</v>
          </cell>
          <cell r="F15" t="str">
            <v>Amount in EUR</v>
          </cell>
          <cell r="G15" t="str">
            <v>Exchange rate</v>
          </cell>
          <cell r="H15" t="str">
            <v>Other income</v>
          </cell>
          <cell r="I15" t="str">
            <v>Average exchange rate</v>
          </cell>
        </row>
        <row r="16">
          <cell r="C16" t="str">
            <v xml:space="preserve">Description du transfer d'argent </v>
          </cell>
          <cell r="D16" t="str">
            <v>Date</v>
          </cell>
          <cell r="E16" t="str">
            <v>Montant locale</v>
          </cell>
          <cell r="F16" t="str">
            <v>Montant EUR</v>
          </cell>
          <cell r="G16" t="str">
            <v>Taux de change</v>
          </cell>
          <cell r="H16" t="str">
            <v>Autres revenus</v>
          </cell>
          <cell r="I16" t="str">
            <v>Taux de change moyen</v>
          </cell>
        </row>
      </sheetData>
      <sheetData sheetId="1" refreshError="1">
        <row r="1">
          <cell r="B1" t="str">
            <v>English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Summary"/>
      <sheetName val="Invoice list HNS"/>
      <sheetName val="Invoice list HQ"/>
      <sheetName val="Accounting dump HQ"/>
      <sheetName val="Income + exchange rate"/>
    </sheetNames>
    <sheetDataSet>
      <sheetData sheetId="0">
        <row r="10">
          <cell r="E10" t="str">
            <v>Totaal</v>
          </cell>
        </row>
        <row r="11">
          <cell r="E11" t="str">
            <v>Total</v>
          </cell>
        </row>
        <row r="12">
          <cell r="E12" t="str">
            <v>Total</v>
          </cell>
        </row>
        <row r="14">
          <cell r="C14" t="str">
            <v>Omschrijving geld transfer</v>
          </cell>
          <cell r="D14" t="str">
            <v>Datum</v>
          </cell>
          <cell r="E14" t="str">
            <v>Bedrag in lokale munt</v>
          </cell>
          <cell r="F14" t="str">
            <v>Bedrag in EUR</v>
          </cell>
          <cell r="G14" t="str">
            <v>Wisselkoers</v>
          </cell>
          <cell r="H14" t="str">
            <v>Andere inkomsten</v>
          </cell>
          <cell r="I14" t="str">
            <v>Gemiddelde wisselkoers</v>
          </cell>
        </row>
        <row r="15">
          <cell r="C15" t="str">
            <v>Description of cash transfer</v>
          </cell>
          <cell r="D15" t="str">
            <v>Date</v>
          </cell>
          <cell r="E15" t="str">
            <v>Amount in local currency</v>
          </cell>
          <cell r="F15" t="str">
            <v>Amount in EUR</v>
          </cell>
          <cell r="G15" t="str">
            <v>Exchange rate</v>
          </cell>
          <cell r="H15" t="str">
            <v>Other income</v>
          </cell>
          <cell r="I15" t="str">
            <v>Average exchange rate</v>
          </cell>
        </row>
        <row r="16">
          <cell r="C16" t="str">
            <v xml:space="preserve">Description du transfer d'argent </v>
          </cell>
          <cell r="D16" t="str">
            <v>Date</v>
          </cell>
          <cell r="E16" t="str">
            <v>Montant locale</v>
          </cell>
          <cell r="F16" t="str">
            <v>Montant EUR</v>
          </cell>
          <cell r="G16" t="str">
            <v>Taux de change</v>
          </cell>
          <cell r="H16" t="str">
            <v>Autres revenus</v>
          </cell>
          <cell r="I16" t="str">
            <v>Taux de change moyen</v>
          </cell>
        </row>
      </sheetData>
      <sheetData sheetId="1">
        <row r="1">
          <cell r="B1" t="str">
            <v>English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Summary"/>
      <sheetName val="Invoice list HNS (2)"/>
      <sheetName val="Invoice list HQ"/>
      <sheetName val="Accounting dump HQ"/>
      <sheetName val="Income + exchange rate"/>
    </sheetNames>
    <sheetDataSet>
      <sheetData sheetId="0">
        <row r="10">
          <cell r="E10" t="str">
            <v>Totaal</v>
          </cell>
        </row>
        <row r="11">
          <cell r="E11" t="str">
            <v>Total</v>
          </cell>
        </row>
        <row r="12">
          <cell r="E12" t="str">
            <v>Total</v>
          </cell>
        </row>
        <row r="14">
          <cell r="C14" t="str">
            <v>Omschrijving geld transfer</v>
          </cell>
          <cell r="D14" t="str">
            <v>Datum</v>
          </cell>
          <cell r="E14" t="str">
            <v>Bedrag in lokale munt</v>
          </cell>
          <cell r="F14" t="str">
            <v>Bedrag in EUR</v>
          </cell>
          <cell r="G14" t="str">
            <v>Wisselkoers</v>
          </cell>
          <cell r="H14" t="str">
            <v>Andere inkomsten</v>
          </cell>
          <cell r="I14" t="str">
            <v>Gemiddelde wisselkoers</v>
          </cell>
        </row>
        <row r="15">
          <cell r="C15" t="str">
            <v>Description of cash transfer</v>
          </cell>
          <cell r="D15" t="str">
            <v>Date</v>
          </cell>
          <cell r="E15" t="str">
            <v>Amount in local currency</v>
          </cell>
          <cell r="F15" t="str">
            <v>Amount in EUR</v>
          </cell>
          <cell r="G15" t="str">
            <v>Exchange rate</v>
          </cell>
          <cell r="H15" t="str">
            <v>Other income</v>
          </cell>
          <cell r="I15" t="str">
            <v>Average exchange rate</v>
          </cell>
        </row>
        <row r="16">
          <cell r="C16" t="str">
            <v xml:space="preserve">Description du transfer d'argent </v>
          </cell>
          <cell r="D16" t="str">
            <v>Date</v>
          </cell>
          <cell r="E16" t="str">
            <v>Montant locale</v>
          </cell>
          <cell r="F16" t="str">
            <v>Montant EUR</v>
          </cell>
          <cell r="G16" t="str">
            <v>Taux de change</v>
          </cell>
          <cell r="H16" t="str">
            <v>Autres revenus</v>
          </cell>
          <cell r="I16" t="str">
            <v>Taux de change moyen</v>
          </cell>
        </row>
      </sheetData>
      <sheetData sheetId="1">
        <row r="1">
          <cell r="B1" t="str">
            <v>English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Summary"/>
      <sheetName val="Invoice list HNS"/>
      <sheetName val="Invoice list HQ"/>
      <sheetName val="Accounting dump HQ"/>
      <sheetName val="Income + exchange rate"/>
    </sheetNames>
    <sheetDataSet>
      <sheetData sheetId="0">
        <row r="10">
          <cell r="E10" t="str">
            <v>Totaal</v>
          </cell>
        </row>
        <row r="11">
          <cell r="E11" t="str">
            <v>Total</v>
          </cell>
        </row>
        <row r="12">
          <cell r="E12" t="str">
            <v>Total</v>
          </cell>
        </row>
        <row r="14">
          <cell r="C14" t="str">
            <v>Omschrijving geld transfer</v>
          </cell>
          <cell r="D14" t="str">
            <v>Datum</v>
          </cell>
          <cell r="E14" t="str">
            <v>Bedrag in lokale munt</v>
          </cell>
          <cell r="F14" t="str">
            <v>Bedrag in EUR</v>
          </cell>
          <cell r="G14" t="str">
            <v>Wisselkoers</v>
          </cell>
          <cell r="H14" t="str">
            <v>Andere inkomsten</v>
          </cell>
          <cell r="I14" t="str">
            <v>Gemiddelde wisselkoers</v>
          </cell>
        </row>
        <row r="15">
          <cell r="C15" t="str">
            <v>Description of cash transfer</v>
          </cell>
          <cell r="D15" t="str">
            <v>Date</v>
          </cell>
          <cell r="E15" t="str">
            <v>Amount in local currency</v>
          </cell>
          <cell r="F15" t="str">
            <v>Amount in EUR</v>
          </cell>
          <cell r="G15" t="str">
            <v>Exchange rate</v>
          </cell>
          <cell r="H15" t="str">
            <v>Other income</v>
          </cell>
          <cell r="I15" t="str">
            <v>Average exchange rate</v>
          </cell>
        </row>
        <row r="16">
          <cell r="C16" t="str">
            <v xml:space="preserve">Description du transfer d'argent </v>
          </cell>
          <cell r="D16" t="str">
            <v>Date</v>
          </cell>
          <cell r="E16" t="str">
            <v>Montant locale</v>
          </cell>
          <cell r="F16" t="str">
            <v>Montant EUR</v>
          </cell>
          <cell r="G16" t="str">
            <v>Taux de change</v>
          </cell>
          <cell r="H16" t="str">
            <v>Autres revenus</v>
          </cell>
          <cell r="I16" t="str">
            <v>Taux de change moyen</v>
          </cell>
        </row>
      </sheetData>
      <sheetData sheetId="1">
        <row r="1">
          <cell r="B1" t="str">
            <v>English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- actual Tan"/>
      <sheetName val="Budget - actual Tan (2)"/>
      <sheetName val="Consolidation invoice list"/>
      <sheetName val="Invoice list HNS"/>
      <sheetName val="c"/>
      <sheetName val=" Invoice List HQ + DLG reg"/>
      <sheetName val="DLG Reg"/>
      <sheetName val="Income + exchange rates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0">
          <cell r="G60">
            <v>2604.461188913162</v>
          </cell>
        </row>
        <row r="84">
          <cell r="G84">
            <v>2687.5042533027154</v>
          </cell>
        </row>
      </sheetData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Summary"/>
      <sheetName val="Invoice list HNS"/>
      <sheetName val="Invoice list HQ"/>
      <sheetName val="Accounting dump HQ"/>
      <sheetName val="Income + exchange rate"/>
    </sheetNames>
    <sheetDataSet>
      <sheetData sheetId="0" refreshError="1">
        <row r="6">
          <cell r="C6" t="str">
            <v>Budgetrubriek (incl. subrubriek)</v>
          </cell>
        </row>
        <row r="10">
          <cell r="E10" t="str">
            <v>Totaal</v>
          </cell>
        </row>
        <row r="11">
          <cell r="E11" t="str">
            <v>Total</v>
          </cell>
        </row>
        <row r="12">
          <cell r="E12" t="str">
            <v>Total</v>
          </cell>
        </row>
        <row r="14">
          <cell r="C14" t="str">
            <v>Omschrijving geld transfer</v>
          </cell>
          <cell r="D14" t="str">
            <v>Datum</v>
          </cell>
          <cell r="E14" t="str">
            <v>Bedrag in lokale munt</v>
          </cell>
          <cell r="F14" t="str">
            <v>Bedrag in EUR</v>
          </cell>
          <cell r="G14" t="str">
            <v>Wisselkoers</v>
          </cell>
          <cell r="H14" t="str">
            <v>Andere inkomsten</v>
          </cell>
          <cell r="I14" t="str">
            <v>Gemiddelde wisselkoers</v>
          </cell>
        </row>
        <row r="15">
          <cell r="C15" t="str">
            <v>Description of cash transfer</v>
          </cell>
          <cell r="D15" t="str">
            <v>Date</v>
          </cell>
          <cell r="E15" t="str">
            <v>Amount in local currency</v>
          </cell>
          <cell r="F15" t="str">
            <v>Amount in EUR</v>
          </cell>
          <cell r="G15" t="str">
            <v>Exchange rate</v>
          </cell>
          <cell r="H15" t="str">
            <v>Other income</v>
          </cell>
          <cell r="I15" t="str">
            <v>Average exchange rate</v>
          </cell>
        </row>
        <row r="16">
          <cell r="C16" t="str">
            <v xml:space="preserve">Description du transfer d'argent </v>
          </cell>
          <cell r="D16" t="str">
            <v>Date</v>
          </cell>
          <cell r="E16" t="str">
            <v>Montant locale</v>
          </cell>
          <cell r="F16" t="str">
            <v>Montant EUR</v>
          </cell>
          <cell r="G16" t="str">
            <v>Taux de change</v>
          </cell>
          <cell r="H16" t="str">
            <v>Autres revenus</v>
          </cell>
          <cell r="I16" t="str">
            <v>Taux de change moyen</v>
          </cell>
        </row>
      </sheetData>
      <sheetData sheetId="1" refreshError="1">
        <row r="1">
          <cell r="B1" t="str">
            <v>English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1.Fund Acc Statement"/>
      <sheetName val="Adjustments"/>
      <sheetName val="Invoice list HNS"/>
      <sheetName val="5. Trial Balance reconciliation"/>
      <sheetName val="FS Disclosure"/>
      <sheetName val="Income + exchange rate"/>
      <sheetName val="Summary"/>
      <sheetName val="Invoice list HQ"/>
    </sheetNames>
    <sheetDataSet>
      <sheetData sheetId="0" refreshError="1">
        <row r="10">
          <cell r="E10" t="str">
            <v>Totaal</v>
          </cell>
        </row>
        <row r="11">
          <cell r="E11" t="str">
            <v>Total</v>
          </cell>
        </row>
        <row r="12">
          <cell r="E12" t="str">
            <v>Total</v>
          </cell>
        </row>
        <row r="14">
          <cell r="C14" t="str">
            <v>Omschrijving geld transfer</v>
          </cell>
          <cell r="D14" t="str">
            <v>Datum</v>
          </cell>
          <cell r="E14" t="str">
            <v>Bedrag in lokale munt</v>
          </cell>
          <cell r="F14" t="str">
            <v>Bedrag in EUR</v>
          </cell>
          <cell r="G14" t="str">
            <v>Wisselkoers</v>
          </cell>
          <cell r="H14" t="str">
            <v>Andere inkomsten</v>
          </cell>
          <cell r="I14" t="str">
            <v>Gemiddelde wisselkoers</v>
          </cell>
        </row>
        <row r="15">
          <cell r="C15" t="str">
            <v>Description of cash transfer</v>
          </cell>
          <cell r="D15" t="str">
            <v>Date</v>
          </cell>
          <cell r="E15" t="str">
            <v>Amount in local currency</v>
          </cell>
          <cell r="F15" t="str">
            <v>Amount in EUR</v>
          </cell>
          <cell r="G15" t="str">
            <v>Exchange rate</v>
          </cell>
          <cell r="H15" t="str">
            <v>Other income</v>
          </cell>
          <cell r="I15" t="str">
            <v>Average exchange rate</v>
          </cell>
        </row>
        <row r="16">
          <cell r="C16" t="str">
            <v xml:space="preserve">Description du transfer d'argent </v>
          </cell>
          <cell r="D16" t="str">
            <v>Date</v>
          </cell>
          <cell r="E16" t="str">
            <v>Montant locale</v>
          </cell>
          <cell r="F16" t="str">
            <v>Montant EUR</v>
          </cell>
          <cell r="G16" t="str">
            <v>Taux de change</v>
          </cell>
          <cell r="H16" t="str">
            <v>Autres revenus</v>
          </cell>
          <cell r="I16" t="str">
            <v>Taux de change moyen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B1" t="str">
            <v>English</v>
          </cell>
        </row>
      </sheetData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Summary"/>
      <sheetName val="Invoice list HNS"/>
      <sheetName val="Invoice list HQ"/>
      <sheetName val="Accounting dump HQ"/>
      <sheetName val="Income + exchange rate"/>
    </sheetNames>
    <sheetDataSet>
      <sheetData sheetId="0" refreshError="1">
        <row r="10">
          <cell r="E10" t="str">
            <v>Totaal</v>
          </cell>
        </row>
        <row r="11">
          <cell r="E11" t="str">
            <v>Total</v>
          </cell>
        </row>
        <row r="12">
          <cell r="E12" t="str">
            <v>Total</v>
          </cell>
        </row>
        <row r="14">
          <cell r="C14" t="str">
            <v>Omschrijving geld transfer</v>
          </cell>
          <cell r="D14" t="str">
            <v>Datum</v>
          </cell>
          <cell r="E14" t="str">
            <v>Bedrag in lokale munt</v>
          </cell>
          <cell r="F14" t="str">
            <v>Bedrag in EUR</v>
          </cell>
          <cell r="G14" t="str">
            <v>Wisselkoers</v>
          </cell>
          <cell r="H14" t="str">
            <v>Andere inkomsten</v>
          </cell>
          <cell r="I14" t="str">
            <v>Gemiddelde wisselkoers</v>
          </cell>
        </row>
        <row r="15">
          <cell r="C15" t="str">
            <v>Description of cash transfer</v>
          </cell>
          <cell r="D15" t="str">
            <v>Date</v>
          </cell>
          <cell r="E15" t="str">
            <v>Amount in local currency</v>
          </cell>
          <cell r="F15" t="str">
            <v>Amount in EUR</v>
          </cell>
          <cell r="G15" t="str">
            <v>Exchange rate</v>
          </cell>
          <cell r="H15" t="str">
            <v>Other income</v>
          </cell>
          <cell r="I15" t="str">
            <v>Average exchange rate</v>
          </cell>
        </row>
        <row r="16">
          <cell r="C16" t="str">
            <v xml:space="preserve">Description du transfer d'argent </v>
          </cell>
          <cell r="D16" t="str">
            <v>Date</v>
          </cell>
          <cell r="E16" t="str">
            <v>Montant locale</v>
          </cell>
          <cell r="F16" t="str">
            <v>Montant EUR</v>
          </cell>
          <cell r="G16" t="str">
            <v>Taux de change</v>
          </cell>
          <cell r="H16" t="str">
            <v>Autres revenus</v>
          </cell>
          <cell r="I16" t="str">
            <v>Taux de change moyen</v>
          </cell>
        </row>
      </sheetData>
      <sheetData sheetId="1" refreshError="1">
        <row r="1">
          <cell r="B1" t="str">
            <v>English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Summary"/>
      <sheetName val="Invoice list HNS"/>
      <sheetName val="Invoice list HQ"/>
      <sheetName val="Accounting dump HQ"/>
      <sheetName val="Income + exchange rate"/>
    </sheetNames>
    <sheetDataSet>
      <sheetData sheetId="0" refreshError="1">
        <row r="10">
          <cell r="E10" t="str">
            <v>Totaal</v>
          </cell>
        </row>
        <row r="11">
          <cell r="E11" t="str">
            <v>Total</v>
          </cell>
        </row>
        <row r="12">
          <cell r="E12" t="str">
            <v>Total</v>
          </cell>
        </row>
        <row r="14">
          <cell r="C14" t="str">
            <v>Omschrijving geld transfer</v>
          </cell>
          <cell r="D14" t="str">
            <v>Datum</v>
          </cell>
          <cell r="E14" t="str">
            <v>Bedrag in lokale munt</v>
          </cell>
          <cell r="F14" t="str">
            <v>Bedrag in EUR</v>
          </cell>
          <cell r="G14" t="str">
            <v>Wisselkoers</v>
          </cell>
          <cell r="H14" t="str">
            <v>Andere inkomsten</v>
          </cell>
          <cell r="I14" t="str">
            <v>Gemiddelde wisselkoers</v>
          </cell>
        </row>
        <row r="15">
          <cell r="C15" t="str">
            <v>Description of cash transfer</v>
          </cell>
          <cell r="D15" t="str">
            <v>Date</v>
          </cell>
          <cell r="E15" t="str">
            <v>Amount in local currency</v>
          </cell>
          <cell r="F15" t="str">
            <v>Amount in EUR</v>
          </cell>
          <cell r="G15" t="str">
            <v>Exchange rate</v>
          </cell>
          <cell r="H15" t="str">
            <v>Other income</v>
          </cell>
          <cell r="I15" t="str">
            <v>Average exchange rate</v>
          </cell>
        </row>
        <row r="16">
          <cell r="C16" t="str">
            <v xml:space="preserve">Description du transfer d'argent </v>
          </cell>
          <cell r="D16" t="str">
            <v>Date</v>
          </cell>
          <cell r="E16" t="str">
            <v>Montant locale</v>
          </cell>
          <cell r="F16" t="str">
            <v>Montant EUR</v>
          </cell>
          <cell r="G16" t="str">
            <v>Taux de change</v>
          </cell>
          <cell r="H16" t="str">
            <v>Autres revenus</v>
          </cell>
          <cell r="I16" t="str">
            <v>Taux de change moyen</v>
          </cell>
        </row>
      </sheetData>
      <sheetData sheetId="1" refreshError="1">
        <row r="1">
          <cell r="B1" t="str">
            <v>English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30016-998C-4687-A429-3A7D4E1FA6CC}">
  <sheetPr>
    <pageSetUpPr fitToPage="1"/>
  </sheetPr>
  <dimension ref="B1:Q76"/>
  <sheetViews>
    <sheetView tabSelected="1" workbookViewId="0"/>
  </sheetViews>
  <sheetFormatPr defaultRowHeight="15" x14ac:dyDescent="0.35"/>
  <cols>
    <col min="2" max="2" width="25.6640625" bestFit="1" customWidth="1"/>
    <col min="3" max="3" width="17.88671875" style="1" bestFit="1" customWidth="1"/>
    <col min="4" max="4" width="11.109375" bestFit="1" customWidth="1"/>
    <col min="5" max="7" width="12.5546875" bestFit="1" customWidth="1"/>
    <col min="10" max="10" width="26.33203125" bestFit="1" customWidth="1"/>
    <col min="11" max="11" width="12.5546875" bestFit="1" customWidth="1"/>
    <col min="12" max="12" width="11.44140625" customWidth="1"/>
    <col min="13" max="13" width="12.109375" customWidth="1"/>
    <col min="14" max="14" width="13" customWidth="1"/>
    <col min="15" max="15" width="13.5546875" customWidth="1"/>
    <col min="17" max="17" width="11.6640625" bestFit="1" customWidth="1"/>
  </cols>
  <sheetData>
    <row r="1" spans="2:17" ht="15" customHeight="1" thickBot="1" x14ac:dyDescent="0.4"/>
    <row r="2" spans="2:17" ht="15" customHeight="1" thickBot="1" x14ac:dyDescent="0.4">
      <c r="B2" s="2" t="s">
        <v>0</v>
      </c>
      <c r="C2" s="791" t="s">
        <v>11447</v>
      </c>
      <c r="D2" s="792"/>
      <c r="E2" s="792"/>
      <c r="F2" s="792"/>
      <c r="G2" s="792"/>
      <c r="H2" s="792"/>
      <c r="I2" s="792"/>
      <c r="J2" s="793"/>
    </row>
    <row r="3" spans="2:17" ht="15" customHeight="1" thickBot="1" x14ac:dyDescent="0.4">
      <c r="B3" s="2" t="s">
        <v>1</v>
      </c>
      <c r="C3" s="791" t="s">
        <v>11449</v>
      </c>
      <c r="D3" s="792"/>
      <c r="E3" s="792"/>
      <c r="F3" s="792"/>
      <c r="G3" s="792"/>
      <c r="H3" s="792"/>
      <c r="I3" s="792"/>
      <c r="J3" s="793"/>
    </row>
    <row r="4" spans="2:17" ht="15" customHeight="1" thickBot="1" x14ac:dyDescent="0.4">
      <c r="B4" s="6"/>
      <c r="C4" s="7"/>
      <c r="D4" s="3"/>
      <c r="E4" s="4"/>
      <c r="F4" s="4"/>
      <c r="G4" s="5"/>
    </row>
    <row r="5" spans="2:17" ht="56.4" customHeight="1" thickBot="1" x14ac:dyDescent="0.4">
      <c r="B5" s="797" t="s">
        <v>2</v>
      </c>
      <c r="C5" s="798"/>
      <c r="D5" s="798"/>
      <c r="E5" s="798"/>
      <c r="F5" s="798"/>
      <c r="G5" s="799"/>
      <c r="J5" s="797" t="s">
        <v>30</v>
      </c>
      <c r="K5" s="798"/>
      <c r="L5" s="798"/>
      <c r="M5" s="798"/>
      <c r="N5" s="798"/>
      <c r="O5" s="799"/>
    </row>
    <row r="6" spans="2:17" ht="15" customHeight="1" thickBot="1" x14ac:dyDescent="0.4">
      <c r="B6" s="6"/>
      <c r="C6" s="7"/>
      <c r="D6" s="3"/>
      <c r="E6" s="4"/>
      <c r="F6" s="4"/>
      <c r="G6" s="5"/>
      <c r="J6" s="6"/>
      <c r="K6" s="8"/>
      <c r="L6" s="3"/>
      <c r="M6" s="4"/>
      <c r="N6" s="4"/>
      <c r="O6" s="5"/>
    </row>
    <row r="7" spans="2:17" ht="15" customHeight="1" x14ac:dyDescent="0.35">
      <c r="B7" s="9"/>
      <c r="C7" s="10"/>
      <c r="D7" s="3"/>
      <c r="E7" s="794"/>
      <c r="F7" s="795"/>
      <c r="G7" s="796"/>
      <c r="J7" s="9"/>
      <c r="K7" s="11"/>
      <c r="L7" s="3"/>
      <c r="M7" s="794"/>
      <c r="N7" s="795"/>
      <c r="O7" s="796"/>
    </row>
    <row r="8" spans="2:17" ht="15" customHeight="1" x14ac:dyDescent="0.35">
      <c r="B8" s="12"/>
      <c r="C8" s="13" t="s">
        <v>3</v>
      </c>
      <c r="D8" s="3"/>
      <c r="E8" s="14" t="s">
        <v>4</v>
      </c>
      <c r="F8" s="15" t="s">
        <v>5</v>
      </c>
      <c r="G8" s="16" t="s">
        <v>6</v>
      </c>
      <c r="J8" s="12"/>
      <c r="K8" s="17" t="s">
        <v>3</v>
      </c>
      <c r="L8" s="3"/>
      <c r="M8" s="14" t="s">
        <v>4</v>
      </c>
      <c r="N8" s="15" t="s">
        <v>5</v>
      </c>
      <c r="O8" s="16" t="s">
        <v>6</v>
      </c>
    </row>
    <row r="9" spans="2:17" ht="15" customHeight="1" x14ac:dyDescent="0.35">
      <c r="B9" s="18" t="s">
        <v>7</v>
      </c>
      <c r="C9" s="19"/>
      <c r="D9" s="3"/>
      <c r="E9" s="18"/>
      <c r="F9" s="20"/>
      <c r="G9" s="21"/>
      <c r="J9" s="18" t="s">
        <v>7</v>
      </c>
      <c r="K9" s="22"/>
      <c r="L9" s="3"/>
      <c r="M9" s="18"/>
      <c r="N9" s="20"/>
      <c r="O9" s="21"/>
    </row>
    <row r="10" spans="2:17" ht="15" customHeight="1" x14ac:dyDescent="0.35">
      <c r="B10" s="23" t="s">
        <v>8</v>
      </c>
      <c r="C10" s="24">
        <f>SUM(E10:G10)</f>
        <v>36785.291794871795</v>
      </c>
      <c r="D10" s="3"/>
      <c r="E10" s="25">
        <v>15523.753333333334</v>
      </c>
      <c r="F10" s="26">
        <v>21261.538461538461</v>
      </c>
      <c r="G10" s="27">
        <v>0</v>
      </c>
      <c r="J10" s="23" t="s">
        <v>8</v>
      </c>
      <c r="K10" s="24">
        <f>SUM(M10:O10)</f>
        <v>72261.228626183773</v>
      </c>
      <c r="L10" s="3"/>
      <c r="M10" s="25">
        <f>'Budget - actual RWA'!K10</f>
        <v>38920.103147147049</v>
      </c>
      <c r="N10" s="26">
        <f>'Budget - actual TAN '!K11</f>
        <v>33341.125479036724</v>
      </c>
      <c r="O10" s="27">
        <v>0</v>
      </c>
    </row>
    <row r="11" spans="2:17" ht="15" customHeight="1" x14ac:dyDescent="0.35">
      <c r="B11" s="28" t="s">
        <v>9</v>
      </c>
      <c r="C11" s="24">
        <f>SUM(E11:G11)</f>
        <v>551357.67557289382</v>
      </c>
      <c r="D11" s="3"/>
      <c r="E11" s="25">
        <v>374695.84761904762</v>
      </c>
      <c r="F11" s="26">
        <v>86482.82795384615</v>
      </c>
      <c r="G11" s="27">
        <v>90179</v>
      </c>
      <c r="J11" s="28" t="s">
        <v>9</v>
      </c>
      <c r="K11" s="24">
        <f>SUM(M11:O11)</f>
        <v>564310.22164238896</v>
      </c>
      <c r="L11" s="3"/>
      <c r="M11" s="25">
        <f>'Budget - actual RWA'!K39</f>
        <v>374248.36705237289</v>
      </c>
      <c r="N11" s="26">
        <f>'Budget - actual TAN '!K43</f>
        <v>90267.674968682826</v>
      </c>
      <c r="O11" s="27">
        <f>'Budget - actual UGA'!K31</f>
        <v>99794.179621333256</v>
      </c>
    </row>
    <row r="12" spans="2:17" ht="15" customHeight="1" x14ac:dyDescent="0.35">
      <c r="B12" s="29" t="s">
        <v>10</v>
      </c>
      <c r="C12" s="30">
        <f>SUM(E12:G12)</f>
        <v>588142.96736776561</v>
      </c>
      <c r="D12" s="3"/>
      <c r="E12" s="31">
        <f>SUM(E10:E11)</f>
        <v>390219.60095238098</v>
      </c>
      <c r="F12" s="32">
        <f t="shared" ref="F12:G12" si="0">SUM(F10:F11)</f>
        <v>107744.3664153846</v>
      </c>
      <c r="G12" s="33">
        <f t="shared" si="0"/>
        <v>90179</v>
      </c>
      <c r="J12" s="29" t="s">
        <v>10</v>
      </c>
      <c r="K12" s="30">
        <f>SUM(M12:O12)</f>
        <v>636571.45026857278</v>
      </c>
      <c r="L12" s="3"/>
      <c r="M12" s="31">
        <f>SUM(M10:M11)</f>
        <v>413168.47019951994</v>
      </c>
      <c r="N12" s="32">
        <f t="shared" ref="N12:O12" si="1">SUM(N10:N11)</f>
        <v>123608.80044771955</v>
      </c>
      <c r="O12" s="33">
        <f t="shared" si="1"/>
        <v>99794.179621333256</v>
      </c>
      <c r="P12" s="34"/>
      <c r="Q12" s="34"/>
    </row>
    <row r="13" spans="2:17" ht="15" customHeight="1" x14ac:dyDescent="0.35">
      <c r="B13" s="18" t="s">
        <v>11</v>
      </c>
      <c r="C13" s="22"/>
      <c r="D13" s="3"/>
      <c r="E13" s="18"/>
      <c r="F13" s="20"/>
      <c r="G13" s="21"/>
      <c r="J13" s="18" t="s">
        <v>11</v>
      </c>
      <c r="K13" s="22"/>
      <c r="L13" s="3"/>
      <c r="M13" s="18"/>
      <c r="N13" s="20"/>
      <c r="O13" s="21"/>
    </row>
    <row r="14" spans="2:17" ht="15" customHeight="1" x14ac:dyDescent="0.35">
      <c r="B14" s="23" t="s">
        <v>12</v>
      </c>
      <c r="C14" s="24">
        <f>SUM(E14:G14)</f>
        <v>633603.55837761064</v>
      </c>
      <c r="D14" s="3"/>
      <c r="E14" s="35">
        <v>195460.98207376452</v>
      </c>
      <c r="F14" s="26">
        <v>232062.61630384615</v>
      </c>
      <c r="G14" s="27">
        <v>206079.96</v>
      </c>
      <c r="J14" s="23" t="s">
        <v>12</v>
      </c>
      <c r="K14" s="24">
        <f>SUM(M14:O14)</f>
        <v>675761.60598657047</v>
      </c>
      <c r="L14" s="3"/>
      <c r="M14" s="35">
        <f>'Budget - actual RWA'!K61</f>
        <v>173405.13541274072</v>
      </c>
      <c r="N14" s="26">
        <f>'Budget - actual TAN '!K79</f>
        <v>289113.8014171464</v>
      </c>
      <c r="O14" s="27">
        <f>'Budget - actual UGA'!K65</f>
        <v>213242.66915668335</v>
      </c>
    </row>
    <row r="15" spans="2:17" ht="21" customHeight="1" x14ac:dyDescent="0.35">
      <c r="B15" s="28" t="s">
        <v>13</v>
      </c>
      <c r="C15" s="24">
        <f>SUM(E15:G15)</f>
        <v>1652289.0355281839</v>
      </c>
      <c r="D15" s="3"/>
      <c r="E15" s="25">
        <v>674943.88165895303</v>
      </c>
      <c r="F15" s="26">
        <v>728868.15386923088</v>
      </c>
      <c r="G15" s="27">
        <v>248477</v>
      </c>
      <c r="J15" s="28" t="s">
        <v>13</v>
      </c>
      <c r="K15" s="24">
        <f>SUM(M15:O15)</f>
        <v>1637548.5945656444</v>
      </c>
      <c r="L15" s="3"/>
      <c r="M15" s="25">
        <f>'Budget - actual RWA'!K125</f>
        <v>681160.16280976578</v>
      </c>
      <c r="N15" s="26">
        <f>'Budget - actual TAN '!K183</f>
        <v>646899.89098884177</v>
      </c>
      <c r="O15" s="27">
        <f>'Budget - actual UGA'!K131</f>
        <v>309488.54076703696</v>
      </c>
    </row>
    <row r="16" spans="2:17" ht="37.950000000000003" customHeight="1" x14ac:dyDescent="0.35">
      <c r="B16" s="36" t="s">
        <v>14</v>
      </c>
      <c r="C16" s="37">
        <f>SUM(E16:G16)</f>
        <v>345001.02021978027</v>
      </c>
      <c r="D16" s="3"/>
      <c r="E16" s="38">
        <v>310264.09714285715</v>
      </c>
      <c r="F16" s="39">
        <v>34736.9230769231</v>
      </c>
      <c r="G16" s="40">
        <v>0</v>
      </c>
      <c r="J16" s="36" t="s">
        <v>14</v>
      </c>
      <c r="K16" s="37">
        <f>SUM(M16:O16)</f>
        <v>328154.6208168731</v>
      </c>
      <c r="L16" s="3"/>
      <c r="M16" s="38">
        <f>'Budget - actual RWA'!K94+'Budget - actual RWA'!K124</f>
        <v>309553.86578636605</v>
      </c>
      <c r="N16" s="39">
        <f>SUM('Budget - actual TAN '!K108,'Budget - actual TAN '!K138)</f>
        <v>10509.439739598667</v>
      </c>
      <c r="O16" s="40">
        <f>'Budget - actual UGA'!K126</f>
        <v>8091.315290908401</v>
      </c>
    </row>
    <row r="17" spans="2:15" ht="15" customHeight="1" x14ac:dyDescent="0.35">
      <c r="B17" s="29" t="s">
        <v>15</v>
      </c>
      <c r="C17" s="30">
        <f>SUM(E17:G17)</f>
        <v>2285892.5939057944</v>
      </c>
      <c r="D17" s="3"/>
      <c r="E17" s="31">
        <f>SUM(E14:E15)</f>
        <v>870404.86373271758</v>
      </c>
      <c r="F17" s="32">
        <f t="shared" ref="F17" si="2">SUM(F14:F15)</f>
        <v>960930.77017307701</v>
      </c>
      <c r="G17" s="33">
        <f>SUM(G14:G15)</f>
        <v>454556.95999999996</v>
      </c>
      <c r="J17" s="29" t="s">
        <v>15</v>
      </c>
      <c r="K17" s="30">
        <f>SUM(M17:O17)</f>
        <v>2313310.2005522153</v>
      </c>
      <c r="L17" s="3"/>
      <c r="M17" s="31">
        <f>SUM(M14:M15)</f>
        <v>854565.29822250654</v>
      </c>
      <c r="N17" s="32">
        <f>SUM(N14:N15)</f>
        <v>936013.69240598823</v>
      </c>
      <c r="O17" s="33">
        <f>SUM(O14:O15)</f>
        <v>522731.20992372034</v>
      </c>
    </row>
    <row r="18" spans="2:15" ht="15" customHeight="1" x14ac:dyDescent="0.35">
      <c r="B18" s="41" t="s">
        <v>16</v>
      </c>
      <c r="C18" s="42"/>
      <c r="D18" s="3"/>
      <c r="E18" s="43"/>
      <c r="F18" s="44"/>
      <c r="G18" s="45"/>
      <c r="J18" s="41" t="s">
        <v>16</v>
      </c>
      <c r="K18" s="42"/>
      <c r="L18" s="3"/>
      <c r="M18" s="43"/>
      <c r="N18" s="44"/>
      <c r="O18" s="45"/>
    </row>
    <row r="19" spans="2:15" ht="15" customHeight="1" x14ac:dyDescent="0.35">
      <c r="B19" s="46" t="s">
        <v>17</v>
      </c>
      <c r="C19" s="47">
        <f>SUM(E19:G19)</f>
        <v>1011697.0380982163</v>
      </c>
      <c r="D19" s="3"/>
      <c r="E19" s="48">
        <v>227330.34482898546</v>
      </c>
      <c r="F19" s="49">
        <v>483360.69326923083</v>
      </c>
      <c r="G19" s="50">
        <v>301006</v>
      </c>
      <c r="J19" s="46" t="s">
        <v>17</v>
      </c>
      <c r="K19" s="47">
        <f>SUM(M19:O19)</f>
        <v>967918.68608322879</v>
      </c>
      <c r="L19" s="3"/>
      <c r="M19" s="48">
        <f>SUM('Budget - actual RWA'!K129:K149)</f>
        <v>200710.61362714879</v>
      </c>
      <c r="N19" s="49">
        <f>SUM('Budget - actual TAN '!K187:K223)</f>
        <v>476624.51345078467</v>
      </c>
      <c r="O19" s="50">
        <f>SUM('Budget - actual UGA'!K135:K145)</f>
        <v>290583.55900529539</v>
      </c>
    </row>
    <row r="20" spans="2:15" ht="15" customHeight="1" x14ac:dyDescent="0.35">
      <c r="B20" s="46" t="s">
        <v>18</v>
      </c>
      <c r="C20" s="47">
        <f>SUM(E20:G20)</f>
        <v>328333.33333333337</v>
      </c>
      <c r="D20" s="3"/>
      <c r="E20" s="48">
        <v>110000</v>
      </c>
      <c r="F20" s="49">
        <v>130000</v>
      </c>
      <c r="G20" s="50">
        <v>88333.333333333343</v>
      </c>
      <c r="J20" s="46" t="s">
        <v>18</v>
      </c>
      <c r="K20" s="47">
        <f>SUM(M20:O20)</f>
        <v>300169.64000000007</v>
      </c>
      <c r="L20" s="3"/>
      <c r="M20" s="48">
        <f>SUM('Budget - actual RWA'!K151)</f>
        <v>103600.87000000008</v>
      </c>
      <c r="N20" s="49">
        <f>SUM('Budget - actual TAN '!K225)</f>
        <v>77562.109999999971</v>
      </c>
      <c r="O20" s="50">
        <f>'Budget - actual UGA'!K147</f>
        <v>119006.66000000005</v>
      </c>
    </row>
    <row r="21" spans="2:15" ht="15" customHeight="1" x14ac:dyDescent="0.35">
      <c r="B21" s="46" t="s">
        <v>19</v>
      </c>
      <c r="C21" s="47">
        <f>SUM(E21:G21)</f>
        <v>349344.72000000009</v>
      </c>
      <c r="D21" s="3"/>
      <c r="E21" s="48">
        <v>116448.24000000002</v>
      </c>
      <c r="F21" s="49">
        <v>116448.24000000002</v>
      </c>
      <c r="G21" s="50">
        <v>116448.24000000002</v>
      </c>
      <c r="J21" s="46" t="s">
        <v>19</v>
      </c>
      <c r="K21" s="47">
        <f>SUM(M21:O21)</f>
        <v>345440.68</v>
      </c>
      <c r="L21" s="3"/>
      <c r="M21" s="48">
        <f>SUM('Budget - actual RWA'!K153:K164)</f>
        <v>120609.7</v>
      </c>
      <c r="N21" s="49">
        <f>SUM('Budget - actual TAN '!K227:K236)</f>
        <v>112415.49</v>
      </c>
      <c r="O21" s="50">
        <f>SUM('Budget - actual UGA'!K149:K159)</f>
        <v>112415.49</v>
      </c>
    </row>
    <row r="22" spans="2:15" ht="15" customHeight="1" thickBot="1" x14ac:dyDescent="0.4">
      <c r="B22" s="51" t="s">
        <v>20</v>
      </c>
      <c r="C22" s="52">
        <f>SUM(E22:G22)</f>
        <v>1689375.0914315498</v>
      </c>
      <c r="D22" s="3"/>
      <c r="E22" s="53">
        <f>SUM(E19:E21)</f>
        <v>453778.58482898551</v>
      </c>
      <c r="F22" s="54">
        <f t="shared" ref="F22" si="3">SUM(F19:F21)</f>
        <v>729808.93326923088</v>
      </c>
      <c r="G22" s="55">
        <f>SUM(G19:G21)</f>
        <v>505787.57333333336</v>
      </c>
      <c r="J22" s="51" t="s">
        <v>20</v>
      </c>
      <c r="K22" s="52">
        <f>SUM(M22:O22)</f>
        <v>1613529.0060832291</v>
      </c>
      <c r="L22" s="3"/>
      <c r="M22" s="53">
        <f>SUM(M19:M21)</f>
        <v>424921.18362714892</v>
      </c>
      <c r="N22" s="54">
        <f t="shared" ref="N22" si="4">SUM(N19:N21)</f>
        <v>666602.11345078459</v>
      </c>
      <c r="O22" s="55">
        <f>SUM(O19:O21)</f>
        <v>522005.70900529542</v>
      </c>
    </row>
    <row r="23" spans="2:15" ht="21.75" customHeight="1" thickBot="1" x14ac:dyDescent="0.4">
      <c r="B23" s="56" t="s">
        <v>21</v>
      </c>
      <c r="C23" s="57">
        <f>SUM(E23:G23)</f>
        <v>4563410.6527051097</v>
      </c>
      <c r="E23" s="58">
        <f>E12+E22+E17</f>
        <v>1714403.0495140841</v>
      </c>
      <c r="F23" s="59">
        <f>F12+F22+F17</f>
        <v>1798484.0698576923</v>
      </c>
      <c r="G23" s="60">
        <f>G12+G22+G17</f>
        <v>1050523.5333333332</v>
      </c>
      <c r="J23" s="56" t="s">
        <v>21</v>
      </c>
      <c r="K23" s="57">
        <f>SUM(M23:O23)</f>
        <v>4563410.6569040166</v>
      </c>
      <c r="L23" s="61"/>
      <c r="M23" s="58">
        <f>M12+M22+M17</f>
        <v>1692654.9520491753</v>
      </c>
      <c r="N23" s="59">
        <f>N12+N22+N17</f>
        <v>1726224.6063044923</v>
      </c>
      <c r="O23" s="60">
        <f>O12+O22+O17</f>
        <v>1144531.098550349</v>
      </c>
    </row>
    <row r="24" spans="2:15" ht="15" customHeight="1" thickBot="1" x14ac:dyDescent="0.4">
      <c r="B24" s="62" t="s">
        <v>22</v>
      </c>
      <c r="C24" s="63">
        <f>+C23*0.055</f>
        <v>250987.58589878102</v>
      </c>
      <c r="E24" s="64"/>
      <c r="F24" s="65"/>
      <c r="G24" s="65"/>
      <c r="J24" s="62" t="s">
        <v>22</v>
      </c>
      <c r="K24" s="63">
        <f>+K23*0.055</f>
        <v>250987.5861297209</v>
      </c>
      <c r="M24" s="34"/>
      <c r="N24" s="34"/>
      <c r="O24" s="34"/>
    </row>
    <row r="25" spans="2:15" ht="15" customHeight="1" thickBot="1" x14ac:dyDescent="0.4">
      <c r="B25" s="56" t="s">
        <v>23</v>
      </c>
      <c r="C25" s="66">
        <f>+C24+C23</f>
        <v>4814398.2386038909</v>
      </c>
      <c r="D25" s="61"/>
      <c r="E25" s="67"/>
      <c r="F25" s="68"/>
      <c r="G25" s="69"/>
      <c r="J25" s="56" t="s">
        <v>23</v>
      </c>
      <c r="K25" s="66">
        <f>+K24+K23</f>
        <v>4814398.2430337379</v>
      </c>
      <c r="M25" s="61"/>
      <c r="N25" s="68"/>
      <c r="O25" s="68"/>
    </row>
    <row r="26" spans="2:15" ht="15" customHeight="1" x14ac:dyDescent="0.35">
      <c r="C26" s="64"/>
      <c r="D26" s="61"/>
      <c r="F26" s="70"/>
      <c r="K26" s="71"/>
      <c r="M26" s="67"/>
      <c r="O26" s="70"/>
    </row>
    <row r="27" spans="2:15" ht="15" customHeight="1" thickBot="1" x14ac:dyDescent="0.4">
      <c r="K27" s="71"/>
    </row>
    <row r="28" spans="2:15" ht="15" customHeight="1" thickBot="1" x14ac:dyDescent="0.4">
      <c r="B28" s="72" t="s">
        <v>24</v>
      </c>
      <c r="C28" s="73" t="s">
        <v>3</v>
      </c>
      <c r="E28" s="74" t="s">
        <v>4</v>
      </c>
      <c r="F28" s="75" t="s">
        <v>5</v>
      </c>
      <c r="G28" s="76" t="s">
        <v>6</v>
      </c>
      <c r="J28" s="72" t="s">
        <v>24</v>
      </c>
      <c r="K28" s="77" t="s">
        <v>3</v>
      </c>
      <c r="M28" s="759" t="s">
        <v>4</v>
      </c>
      <c r="N28" s="760" t="s">
        <v>5</v>
      </c>
      <c r="O28" s="761" t="s">
        <v>6</v>
      </c>
    </row>
    <row r="29" spans="2:15" ht="15" customHeight="1" x14ac:dyDescent="0.35">
      <c r="B29" s="78" t="s">
        <v>25</v>
      </c>
      <c r="C29" s="79">
        <f>SUM(E29:G29)</f>
        <v>760389.34048618888</v>
      </c>
      <c r="D29" s="3"/>
      <c r="E29" s="80">
        <v>228216.00660189404</v>
      </c>
      <c r="F29" s="81">
        <v>192434.45055096154</v>
      </c>
      <c r="G29" s="82">
        <v>339738.8833333333</v>
      </c>
      <c r="J29" s="78" t="s">
        <v>25</v>
      </c>
      <c r="K29" s="83">
        <f>SUM(M29:O29)</f>
        <v>764822.22314268444</v>
      </c>
      <c r="L29" s="3"/>
      <c r="M29" s="754">
        <f>'Budget - actual RWA'!T166</f>
        <v>201306.31475443696</v>
      </c>
      <c r="N29" s="755">
        <f>'Budget - actual TAN '!U238</f>
        <v>196570.28354976838</v>
      </c>
      <c r="O29" s="756">
        <f>'Budget - actual UGA'!T161</f>
        <v>366945.62483847915</v>
      </c>
    </row>
    <row r="30" spans="2:15" ht="15" customHeight="1" x14ac:dyDescent="0.35">
      <c r="B30" s="28" t="s">
        <v>26</v>
      </c>
      <c r="C30" s="84">
        <f>SUM(E30:G30)</f>
        <v>1249560.7993798275</v>
      </c>
      <c r="D30" s="3"/>
      <c r="E30" s="80">
        <v>629559.74118014798</v>
      </c>
      <c r="F30" s="81">
        <v>324465.17486634618</v>
      </c>
      <c r="G30" s="82">
        <v>295535.8833333333</v>
      </c>
      <c r="J30" s="28" t="s">
        <v>26</v>
      </c>
      <c r="K30" s="47">
        <f>SUM(M30:O30)</f>
        <v>1328764.7161783306</v>
      </c>
      <c r="L30" s="3"/>
      <c r="M30" s="80">
        <f>'Budget - actual RWA'!U166</f>
        <v>692320.16817177867</v>
      </c>
      <c r="N30" s="750">
        <f>'Budget - actual TAN '!V238</f>
        <v>319589.06316237076</v>
      </c>
      <c r="O30" s="82">
        <f>'Budget - actual UGA'!U161</f>
        <v>316855.48484418134</v>
      </c>
    </row>
    <row r="31" spans="2:15" ht="15" customHeight="1" x14ac:dyDescent="0.35">
      <c r="B31" s="28" t="s">
        <v>27</v>
      </c>
      <c r="C31" s="84">
        <f>SUM(E31:G31)</f>
        <v>941761.00127996388</v>
      </c>
      <c r="D31" s="3"/>
      <c r="E31" s="80">
        <v>490013.53626489983</v>
      </c>
      <c r="F31" s="81">
        <v>217265.58168173078</v>
      </c>
      <c r="G31" s="82">
        <v>234481.88333333333</v>
      </c>
      <c r="J31" s="28" t="s">
        <v>27</v>
      </c>
      <c r="K31" s="47">
        <f>SUM(M31:O31)</f>
        <v>945613.92112385156</v>
      </c>
      <c r="L31" s="3"/>
      <c r="M31" s="80">
        <f>'Budget - actual RWA'!V166</f>
        <v>471057.66540406109</v>
      </c>
      <c r="N31" s="750">
        <f>'Budget - actual TAN '!W238</f>
        <v>218462.18620410122</v>
      </c>
      <c r="O31" s="82">
        <f>'Budget - actual UGA'!V161</f>
        <v>256094.06951568928</v>
      </c>
    </row>
    <row r="32" spans="2:15" ht="15" customHeight="1" x14ac:dyDescent="0.35">
      <c r="B32" s="28" t="s">
        <v>28</v>
      </c>
      <c r="C32" s="84">
        <f>SUM(E32:G32)</f>
        <v>759507.46817451413</v>
      </c>
      <c r="D32" s="3"/>
      <c r="E32" s="85">
        <v>366613.76546714234</v>
      </c>
      <c r="F32" s="86">
        <v>212126.81937403852</v>
      </c>
      <c r="G32" s="82">
        <v>180766.88333333333</v>
      </c>
      <c r="J32" s="28" t="s">
        <v>28</v>
      </c>
      <c r="K32" s="47">
        <f>SUM(M32:O32)</f>
        <v>736996.82738621999</v>
      </c>
      <c r="L32" s="3"/>
      <c r="M32" s="80">
        <f>'Budget - actual RWA'!W166</f>
        <v>327970.80371889856</v>
      </c>
      <c r="N32" s="750">
        <f>'Budget - actual TAN '!X238</f>
        <v>204390.10431532224</v>
      </c>
      <c r="O32" s="82">
        <f>'Budget - actual UGA'!W161</f>
        <v>204635.91935199918</v>
      </c>
    </row>
    <row r="33" spans="2:17" ht="15" customHeight="1" thickBot="1" x14ac:dyDescent="0.4">
      <c r="B33" s="87" t="s">
        <v>29</v>
      </c>
      <c r="C33" s="88">
        <f>SUM(E33:G33)</f>
        <v>852192.04338461533</v>
      </c>
      <c r="D33" s="3"/>
      <c r="E33" s="85">
        <v>0</v>
      </c>
      <c r="F33" s="86">
        <v>852192.04338461533</v>
      </c>
      <c r="G33" s="82">
        <v>0</v>
      </c>
      <c r="J33" s="87" t="s">
        <v>29</v>
      </c>
      <c r="K33" s="89">
        <f>SUM(M33:O33)</f>
        <v>787212.96907292958</v>
      </c>
      <c r="L33" s="3"/>
      <c r="M33" s="751">
        <v>0</v>
      </c>
      <c r="N33" s="752">
        <f>'Budget - actual TAN '!Y238</f>
        <v>787212.96907292958</v>
      </c>
      <c r="O33" s="753">
        <v>0</v>
      </c>
    </row>
    <row r="34" spans="2:17" ht="15" customHeight="1" thickBot="1" x14ac:dyDescent="0.4">
      <c r="B34" s="90" t="s">
        <v>21</v>
      </c>
      <c r="C34" s="91">
        <f>SUM(C29:C33)</f>
        <v>4563410.6527051097</v>
      </c>
      <c r="E34" s="92">
        <f>SUM(E29:E33)</f>
        <v>1714403.0495140841</v>
      </c>
      <c r="F34" s="93">
        <f>SUM(F29:F33)</f>
        <v>1798484.0698576923</v>
      </c>
      <c r="G34" s="93">
        <f>SUM(G29:G33)</f>
        <v>1050523.5333333332</v>
      </c>
      <c r="J34" s="90" t="s">
        <v>21</v>
      </c>
      <c r="K34" s="94">
        <f>SUM(K29:K33)</f>
        <v>4563410.6569040157</v>
      </c>
      <c r="M34" s="757">
        <f>SUM(M29:M33)</f>
        <v>1692654.9520491753</v>
      </c>
      <c r="N34" s="758">
        <f>SUM(N29:N33)</f>
        <v>1726224.6063044923</v>
      </c>
      <c r="O34" s="93">
        <f>SUM(O29:O33)</f>
        <v>1144531.098550349</v>
      </c>
      <c r="Q34" s="763"/>
    </row>
    <row r="35" spans="2:17" x14ac:dyDescent="0.35">
      <c r="C35" s="64"/>
      <c r="E35" s="64"/>
      <c r="Q35" s="67"/>
    </row>
    <row r="36" spans="2:17" x14ac:dyDescent="0.35">
      <c r="C36" s="64"/>
      <c r="E36" s="64"/>
      <c r="Q36" s="67"/>
    </row>
    <row r="37" spans="2:17" x14ac:dyDescent="0.35">
      <c r="C37" s="64"/>
      <c r="E37" s="64"/>
      <c r="Q37" s="67"/>
    </row>
    <row r="38" spans="2:17" x14ac:dyDescent="0.35">
      <c r="C38" s="64"/>
      <c r="E38" s="64"/>
      <c r="Q38" s="67"/>
    </row>
    <row r="39" spans="2:17" x14ac:dyDescent="0.35">
      <c r="C39" s="64"/>
      <c r="E39" s="64"/>
      <c r="Q39" s="67"/>
    </row>
    <row r="40" spans="2:17" x14ac:dyDescent="0.35">
      <c r="C40" s="64"/>
      <c r="E40" s="64"/>
      <c r="Q40" s="67"/>
    </row>
    <row r="41" spans="2:17" x14ac:dyDescent="0.35">
      <c r="C41" s="64"/>
      <c r="E41" s="64"/>
      <c r="Q41" s="67"/>
    </row>
    <row r="42" spans="2:17" x14ac:dyDescent="0.35">
      <c r="C42" s="64"/>
      <c r="E42" s="64"/>
      <c r="Q42" s="67"/>
    </row>
    <row r="43" spans="2:17" x14ac:dyDescent="0.35">
      <c r="C43" s="64"/>
      <c r="E43" s="64"/>
      <c r="Q43" s="67"/>
    </row>
    <row r="44" spans="2:17" x14ac:dyDescent="0.35">
      <c r="C44" s="64"/>
      <c r="E44" s="64"/>
      <c r="Q44" s="67"/>
    </row>
    <row r="45" spans="2:17" x14ac:dyDescent="0.35">
      <c r="C45" s="64"/>
      <c r="E45" s="64"/>
      <c r="Q45" s="67"/>
    </row>
    <row r="46" spans="2:17" ht="15.6" thickBot="1" x14ac:dyDescent="0.4"/>
    <row r="47" spans="2:17" ht="15.6" thickBot="1" x14ac:dyDescent="0.4">
      <c r="B47" s="797" t="s">
        <v>31</v>
      </c>
      <c r="C47" s="798"/>
      <c r="D47" s="798"/>
      <c r="E47" s="798"/>
      <c r="F47" s="798"/>
      <c r="G47" s="799"/>
      <c r="J47" s="797" t="s">
        <v>32</v>
      </c>
      <c r="K47" s="798"/>
      <c r="L47" s="798"/>
      <c r="M47" s="798"/>
      <c r="N47" s="798"/>
      <c r="O47" s="799"/>
    </row>
    <row r="48" spans="2:17" ht="15.6" thickBot="1" x14ac:dyDescent="0.4">
      <c r="B48" s="6"/>
      <c r="C48" s="8"/>
      <c r="D48" s="3"/>
      <c r="E48" s="4"/>
      <c r="F48" s="4"/>
      <c r="G48" s="5"/>
      <c r="J48" s="6"/>
      <c r="K48" s="8"/>
      <c r="L48" s="3"/>
      <c r="M48" s="4"/>
      <c r="N48" s="4"/>
      <c r="O48" s="5"/>
    </row>
    <row r="49" spans="2:15" ht="18" x14ac:dyDescent="0.35">
      <c r="B49" s="9"/>
      <c r="C49" s="11"/>
      <c r="D49" s="3"/>
      <c r="E49" s="794"/>
      <c r="F49" s="795"/>
      <c r="G49" s="796"/>
      <c r="J49" s="9"/>
      <c r="K49" s="11"/>
      <c r="L49" s="3"/>
      <c r="M49" s="794"/>
      <c r="N49" s="795"/>
      <c r="O49" s="796"/>
    </row>
    <row r="50" spans="2:15" ht="18" x14ac:dyDescent="0.35">
      <c r="B50" s="12"/>
      <c r="C50" s="17" t="s">
        <v>3</v>
      </c>
      <c r="D50" s="3"/>
      <c r="E50" s="14" t="s">
        <v>4</v>
      </c>
      <c r="F50" s="15" t="s">
        <v>5</v>
      </c>
      <c r="G50" s="16" t="s">
        <v>6</v>
      </c>
      <c r="J50" s="12"/>
      <c r="K50" s="17" t="s">
        <v>3</v>
      </c>
      <c r="L50" s="3"/>
      <c r="M50" s="14" t="s">
        <v>4</v>
      </c>
      <c r="N50" s="15" t="s">
        <v>5</v>
      </c>
      <c r="O50" s="16" t="s">
        <v>6</v>
      </c>
    </row>
    <row r="51" spans="2:15" x14ac:dyDescent="0.35">
      <c r="B51" s="18" t="s">
        <v>7</v>
      </c>
      <c r="C51" s="22"/>
      <c r="D51" s="3"/>
      <c r="E51" s="18"/>
      <c r="F51" s="20"/>
      <c r="G51" s="21"/>
      <c r="J51" s="18" t="s">
        <v>7</v>
      </c>
      <c r="K51" s="22"/>
      <c r="L51" s="3"/>
      <c r="M51" s="18"/>
      <c r="N51" s="20"/>
      <c r="O51" s="21"/>
    </row>
    <row r="52" spans="2:15" x14ac:dyDescent="0.35">
      <c r="B52" s="23" t="s">
        <v>8</v>
      </c>
      <c r="C52" s="47">
        <f t="shared" ref="C52:C53" si="5">SUM(E52:G52)</f>
        <v>35475.936831311978</v>
      </c>
      <c r="D52" s="3"/>
      <c r="E52" s="35">
        <f t="shared" ref="E52:G53" si="6">M10-E10</f>
        <v>23396.349813813715</v>
      </c>
      <c r="F52" s="26">
        <f t="shared" si="6"/>
        <v>12079.587017498263</v>
      </c>
      <c r="G52" s="27">
        <f t="shared" si="6"/>
        <v>0</v>
      </c>
      <c r="J52" s="23" t="s">
        <v>8</v>
      </c>
      <c r="K52" s="95">
        <f>IFERROR(C52/C10,0)</f>
        <v>0.9644054756759507</v>
      </c>
      <c r="L52" s="3"/>
      <c r="M52" s="96">
        <f t="shared" ref="M52:O54" si="7">IFERROR(E52/E10,0)</f>
        <v>1.507132283761297</v>
      </c>
      <c r="N52" s="95">
        <f t="shared" si="7"/>
        <v>0.56814266001258107</v>
      </c>
      <c r="O52" s="95">
        <f t="shared" si="7"/>
        <v>0</v>
      </c>
    </row>
    <row r="53" spans="2:15" x14ac:dyDescent="0.35">
      <c r="B53" s="28" t="s">
        <v>9</v>
      </c>
      <c r="C53" s="47">
        <f t="shared" si="5"/>
        <v>12952.546069495205</v>
      </c>
      <c r="D53" s="3"/>
      <c r="E53" s="35">
        <f t="shared" si="6"/>
        <v>-447.48056667472702</v>
      </c>
      <c r="F53" s="26">
        <f t="shared" si="6"/>
        <v>3784.847014836676</v>
      </c>
      <c r="G53" s="27">
        <f t="shared" si="6"/>
        <v>9615.1796213332564</v>
      </c>
      <c r="J53" s="28" t="s">
        <v>9</v>
      </c>
      <c r="K53" s="95">
        <f>IFERROR(C53/C11,0)</f>
        <v>2.3492093505430446E-2</v>
      </c>
      <c r="L53" s="3"/>
      <c r="M53" s="96">
        <f t="shared" si="7"/>
        <v>-1.1942501351914618E-3</v>
      </c>
      <c r="N53" s="95">
        <f t="shared" si="7"/>
        <v>4.3764144910438861E-2</v>
      </c>
      <c r="O53" s="95">
        <f t="shared" si="7"/>
        <v>0.10662326729430639</v>
      </c>
    </row>
    <row r="54" spans="2:15" x14ac:dyDescent="0.35">
      <c r="B54" s="29" t="s">
        <v>10</v>
      </c>
      <c r="C54" s="30">
        <f>SUM(E54:G54)</f>
        <v>48428.482900807183</v>
      </c>
      <c r="D54" s="3"/>
      <c r="E54" s="31">
        <f>SUM(E52:E53)</f>
        <v>22948.869247138988</v>
      </c>
      <c r="F54" s="32">
        <f t="shared" ref="F54:G54" si="8">SUM(F52:F53)</f>
        <v>15864.434032334939</v>
      </c>
      <c r="G54" s="33">
        <f t="shared" si="8"/>
        <v>9615.1796213332564</v>
      </c>
      <c r="J54" s="29" t="s">
        <v>10</v>
      </c>
      <c r="K54" s="97">
        <f>IFERROR(C54/C12,0)</f>
        <v>8.2341344856249665E-2</v>
      </c>
      <c r="L54" s="3"/>
      <c r="M54" s="98">
        <f t="shared" si="7"/>
        <v>5.8810139703718955E-2</v>
      </c>
      <c r="N54" s="97">
        <f t="shared" si="7"/>
        <v>0.14724142486645769</v>
      </c>
      <c r="O54" s="97">
        <f t="shared" si="7"/>
        <v>0.10662326729430639</v>
      </c>
    </row>
    <row r="55" spans="2:15" x14ac:dyDescent="0.35">
      <c r="B55" s="18" t="s">
        <v>11</v>
      </c>
      <c r="C55" s="22"/>
      <c r="D55" s="3"/>
      <c r="E55" s="18"/>
      <c r="F55" s="20"/>
      <c r="G55" s="21"/>
      <c r="J55" s="18" t="s">
        <v>11</v>
      </c>
      <c r="K55" s="99"/>
      <c r="L55" s="3"/>
      <c r="M55" s="100"/>
      <c r="N55" s="99"/>
      <c r="O55" s="99"/>
    </row>
    <row r="56" spans="2:15" x14ac:dyDescent="0.35">
      <c r="B56" s="23" t="s">
        <v>12</v>
      </c>
      <c r="C56" s="47">
        <f t="shared" ref="C56:C58" si="9">SUM(E56:G56)</f>
        <v>42158.047608959809</v>
      </c>
      <c r="D56" s="3"/>
      <c r="E56" s="35">
        <f t="shared" ref="E56:G58" si="10">M14-E14</f>
        <v>-22055.846661023796</v>
      </c>
      <c r="F56" s="26">
        <f t="shared" si="10"/>
        <v>57051.185113300249</v>
      </c>
      <c r="G56" s="27">
        <f t="shared" si="10"/>
        <v>7162.7091566833551</v>
      </c>
      <c r="J56" s="23" t="s">
        <v>12</v>
      </c>
      <c r="K56" s="95">
        <f>IFERROR(C56/C14,0)</f>
        <v>6.6536948935243742E-2</v>
      </c>
      <c r="L56" s="3"/>
      <c r="M56" s="96">
        <f t="shared" ref="M56:O59" si="11">IFERROR(E56/E14,0)</f>
        <v>-0.11284015063784032</v>
      </c>
      <c r="N56" s="95">
        <f t="shared" si="11"/>
        <v>0.24584392791039431</v>
      </c>
      <c r="O56" s="95">
        <f t="shared" si="11"/>
        <v>3.4756941706914908E-2</v>
      </c>
    </row>
    <row r="57" spans="2:15" x14ac:dyDescent="0.35">
      <c r="B57" s="28" t="s">
        <v>13</v>
      </c>
      <c r="C57" s="47">
        <f t="shared" si="9"/>
        <v>-14740.440962539404</v>
      </c>
      <c r="D57" s="3"/>
      <c r="E57" s="35">
        <f t="shared" si="10"/>
        <v>6216.2811508127488</v>
      </c>
      <c r="F57" s="26">
        <f t="shared" si="10"/>
        <v>-81968.262880389113</v>
      </c>
      <c r="G57" s="27">
        <f t="shared" si="10"/>
        <v>61011.54076703696</v>
      </c>
      <c r="J57" s="28" t="s">
        <v>13</v>
      </c>
      <c r="K57" s="95">
        <f>IFERROR(C57/C15,0)</f>
        <v>-8.9212242202087576E-3</v>
      </c>
      <c r="L57" s="3"/>
      <c r="M57" s="96">
        <f t="shared" si="11"/>
        <v>9.2100711181108477E-3</v>
      </c>
      <c r="N57" s="95">
        <f t="shared" si="11"/>
        <v>-0.11245965740889725</v>
      </c>
      <c r="O57" s="95">
        <f t="shared" si="11"/>
        <v>0.24554200496237866</v>
      </c>
    </row>
    <row r="58" spans="2:15" ht="28.8" x14ac:dyDescent="0.35">
      <c r="B58" s="36" t="s">
        <v>14</v>
      </c>
      <c r="C58" s="47">
        <f t="shared" si="9"/>
        <v>-16846.399402907133</v>
      </c>
      <c r="D58" s="3"/>
      <c r="E58" s="35">
        <f t="shared" si="10"/>
        <v>-710.23135649110191</v>
      </c>
      <c r="F58" s="26">
        <f t="shared" si="10"/>
        <v>-24227.483337324433</v>
      </c>
      <c r="G58" s="27">
        <f t="shared" si="10"/>
        <v>8091.315290908401</v>
      </c>
      <c r="J58" s="36" t="s">
        <v>14</v>
      </c>
      <c r="K58" s="95">
        <f>IFERROR(C58/C16,0)</f>
        <v>-4.882999879877243E-2</v>
      </c>
      <c r="L58" s="3"/>
      <c r="M58" s="96">
        <f t="shared" si="11"/>
        <v>-2.2891187315304644E-3</v>
      </c>
      <c r="N58" s="95">
        <f t="shared" si="11"/>
        <v>-0.69745622787815542</v>
      </c>
      <c r="O58" s="95">
        <f t="shared" si="11"/>
        <v>0</v>
      </c>
    </row>
    <row r="59" spans="2:15" x14ac:dyDescent="0.35">
      <c r="B59" s="29" t="s">
        <v>15</v>
      </c>
      <c r="C59" s="30">
        <f>SUM(E59:G59)</f>
        <v>27417.606646420405</v>
      </c>
      <c r="D59" s="3"/>
      <c r="E59" s="31">
        <f>SUM(E56:E57)</f>
        <v>-15839.565510211047</v>
      </c>
      <c r="F59" s="32">
        <f t="shared" ref="F59" si="12">SUM(F56:F57)</f>
        <v>-24917.077767088864</v>
      </c>
      <c r="G59" s="33">
        <f>SUM(G56:G57)</f>
        <v>68174.249923720316</v>
      </c>
      <c r="J59" s="29" t="s">
        <v>15</v>
      </c>
      <c r="K59" s="97">
        <f>IFERROR(C59/C17,0)</f>
        <v>1.1994267237015395E-2</v>
      </c>
      <c r="L59" s="3"/>
      <c r="M59" s="98">
        <f t="shared" si="11"/>
        <v>-1.8197928539005766E-2</v>
      </c>
      <c r="N59" s="97">
        <f t="shared" si="11"/>
        <v>-2.5930148706343279E-2</v>
      </c>
      <c r="O59" s="762">
        <f t="shared" si="11"/>
        <v>0.14997955354972525</v>
      </c>
    </row>
    <row r="60" spans="2:15" x14ac:dyDescent="0.35">
      <c r="B60" s="41" t="s">
        <v>16</v>
      </c>
      <c r="C60" s="42"/>
      <c r="D60" s="3"/>
      <c r="E60" s="43"/>
      <c r="F60" s="44"/>
      <c r="G60" s="45"/>
      <c r="J60" s="41" t="s">
        <v>16</v>
      </c>
      <c r="K60" s="101"/>
      <c r="L60" s="3"/>
      <c r="M60" s="102"/>
      <c r="N60" s="101"/>
      <c r="O60" s="101"/>
    </row>
    <row r="61" spans="2:15" x14ac:dyDescent="0.35">
      <c r="B61" s="46" t="s">
        <v>17</v>
      </c>
      <c r="C61" s="47">
        <f t="shared" ref="C61:C63" si="13">SUM(E61:G61)</f>
        <v>-43778.352014987438</v>
      </c>
      <c r="D61" s="3"/>
      <c r="E61" s="103">
        <f t="shared" ref="E61:G63" si="14">M19-E19</f>
        <v>-26619.731201836665</v>
      </c>
      <c r="F61" s="26">
        <f t="shared" si="14"/>
        <v>-6736.1798184461659</v>
      </c>
      <c r="G61" s="27">
        <f t="shared" si="14"/>
        <v>-10422.440994704608</v>
      </c>
      <c r="J61" s="46" t="s">
        <v>17</v>
      </c>
      <c r="K61" s="95">
        <f t="shared" ref="K61:K67" si="15">IFERROR(C61/C19,0)</f>
        <v>-4.3272195495680996E-2</v>
      </c>
      <c r="L61" s="3"/>
      <c r="M61" s="96">
        <f t="shared" ref="M61:O65" si="16">IFERROR(E61/E19,0)</f>
        <v>-0.1170971311456989</v>
      </c>
      <c r="N61" s="95">
        <f t="shared" si="16"/>
        <v>-1.3936134882805063E-2</v>
      </c>
      <c r="O61" s="95">
        <f t="shared" si="16"/>
        <v>-3.4625359609790532E-2</v>
      </c>
    </row>
    <row r="62" spans="2:15" x14ac:dyDescent="0.35">
      <c r="B62" s="46" t="s">
        <v>18</v>
      </c>
      <c r="C62" s="47">
        <f t="shared" si="13"/>
        <v>-28163.693333333242</v>
      </c>
      <c r="D62" s="3"/>
      <c r="E62" s="103">
        <f t="shared" si="14"/>
        <v>-6399.1299999999173</v>
      </c>
      <c r="F62" s="26">
        <f t="shared" si="14"/>
        <v>-52437.890000000029</v>
      </c>
      <c r="G62" s="27">
        <f t="shared" si="14"/>
        <v>30673.326666666704</v>
      </c>
      <c r="J62" s="46" t="s">
        <v>18</v>
      </c>
      <c r="K62" s="95">
        <f t="shared" si="15"/>
        <v>-8.5777746192893106E-2</v>
      </c>
      <c r="L62" s="3"/>
      <c r="M62" s="96">
        <f t="shared" si="16"/>
        <v>-5.8173909090908339E-2</v>
      </c>
      <c r="N62" s="95">
        <f t="shared" si="16"/>
        <v>-0.40336838461538482</v>
      </c>
      <c r="O62" s="95">
        <f t="shared" si="16"/>
        <v>0.3472452075471702</v>
      </c>
    </row>
    <row r="63" spans="2:15" x14ac:dyDescent="0.35">
      <c r="B63" s="46" t="s">
        <v>19</v>
      </c>
      <c r="C63" s="47">
        <f t="shared" si="13"/>
        <v>-3904.0400000000518</v>
      </c>
      <c r="D63" s="3"/>
      <c r="E63" s="103">
        <f t="shared" si="14"/>
        <v>4161.4599999999773</v>
      </c>
      <c r="F63" s="26">
        <f t="shared" si="14"/>
        <v>-4032.7500000000146</v>
      </c>
      <c r="G63" s="27">
        <f t="shared" si="14"/>
        <v>-4032.7500000000146</v>
      </c>
      <c r="J63" s="46" t="s">
        <v>19</v>
      </c>
      <c r="K63" s="95">
        <f t="shared" si="15"/>
        <v>-1.1175322758563665E-2</v>
      </c>
      <c r="L63" s="3"/>
      <c r="M63" s="96">
        <f t="shared" si="16"/>
        <v>3.5736564159320715E-2</v>
      </c>
      <c r="N63" s="95">
        <f t="shared" si="16"/>
        <v>-3.4631266217505854E-2</v>
      </c>
      <c r="O63" s="95">
        <f t="shared" si="16"/>
        <v>-3.4631266217505854E-2</v>
      </c>
    </row>
    <row r="64" spans="2:15" ht="15.6" thickBot="1" x14ac:dyDescent="0.4">
      <c r="B64" s="51" t="s">
        <v>20</v>
      </c>
      <c r="C64" s="52">
        <f>SUM(E64:G64)</f>
        <v>-75846.085348320732</v>
      </c>
      <c r="D64" s="3"/>
      <c r="E64" s="53">
        <f>SUM(E61:E63)</f>
        <v>-28857.401201836605</v>
      </c>
      <c r="F64" s="54">
        <f t="shared" ref="F64" si="17">SUM(F61:F63)</f>
        <v>-63206.819818446209</v>
      </c>
      <c r="G64" s="55">
        <f>SUM(G61:G63)</f>
        <v>16218.135671962082</v>
      </c>
      <c r="J64" s="51" t="s">
        <v>20</v>
      </c>
      <c r="K64" s="104">
        <f t="shared" si="15"/>
        <v>-4.4895941542532132E-2</v>
      </c>
      <c r="L64" s="3"/>
      <c r="M64" s="105">
        <f t="shared" si="16"/>
        <v>-6.3593572210358995E-2</v>
      </c>
      <c r="N64" s="104">
        <f t="shared" si="16"/>
        <v>-8.6607352879755489E-2</v>
      </c>
      <c r="O64" s="104">
        <f t="shared" si="16"/>
        <v>3.2065112958545763E-2</v>
      </c>
    </row>
    <row r="65" spans="2:15" ht="15.6" thickBot="1" x14ac:dyDescent="0.4">
      <c r="B65" s="56" t="s">
        <v>21</v>
      </c>
      <c r="C65" s="57">
        <f>SUM(E65:G65)</f>
        <v>4.1989068558905274E-3</v>
      </c>
      <c r="E65" s="58">
        <f>E54+E64+E59</f>
        <v>-21748.097464908664</v>
      </c>
      <c r="F65" s="59">
        <f>F54+F64+F59</f>
        <v>-72259.463553200127</v>
      </c>
      <c r="G65" s="60">
        <f>G54+G64+G59</f>
        <v>94007.565217015654</v>
      </c>
      <c r="J65" s="56" t="s">
        <v>21</v>
      </c>
      <c r="K65" s="106">
        <f t="shared" si="15"/>
        <v>9.2012469958220593E-10</v>
      </c>
      <c r="M65" s="106">
        <f t="shared" si="16"/>
        <v>-1.2685521920340004E-2</v>
      </c>
      <c r="N65" s="107">
        <f t="shared" si="16"/>
        <v>-4.0177983649817797E-2</v>
      </c>
      <c r="O65" s="107">
        <f t="shared" si="16"/>
        <v>8.9486396291121317E-2</v>
      </c>
    </row>
    <row r="66" spans="2:15" ht="15.6" thickBot="1" x14ac:dyDescent="0.4">
      <c r="B66" s="62" t="s">
        <v>22</v>
      </c>
      <c r="C66" s="63">
        <f>+C65*0.055</f>
        <v>2.30939877073979E-4</v>
      </c>
      <c r="E66" s="34"/>
      <c r="F66" s="65"/>
      <c r="G66" s="108"/>
      <c r="J66" s="62" t="s">
        <v>22</v>
      </c>
      <c r="K66" s="109">
        <f t="shared" si="15"/>
        <v>9.2012469958220593E-10</v>
      </c>
      <c r="M66" s="34"/>
      <c r="N66" s="65"/>
      <c r="O66" s="108"/>
    </row>
    <row r="67" spans="2:15" ht="15.6" thickBot="1" x14ac:dyDescent="0.4">
      <c r="B67" s="56" t="s">
        <v>23</v>
      </c>
      <c r="C67" s="66">
        <f>+C66+C65</f>
        <v>4.4298467329645062E-3</v>
      </c>
      <c r="E67" s="61"/>
      <c r="F67" s="68"/>
      <c r="G67" s="68"/>
      <c r="J67" s="56" t="s">
        <v>23</v>
      </c>
      <c r="K67" s="110">
        <f t="shared" si="15"/>
        <v>9.2012469958220583E-10</v>
      </c>
      <c r="M67" s="61"/>
      <c r="N67" s="68"/>
      <c r="O67" s="68"/>
    </row>
    <row r="68" spans="2:15" x14ac:dyDescent="0.35">
      <c r="C68" s="71"/>
      <c r="G68" s="70"/>
      <c r="K68" s="71"/>
      <c r="O68" s="70"/>
    </row>
    <row r="69" spans="2:15" ht="15.6" thickBot="1" x14ac:dyDescent="0.4">
      <c r="C69" s="71"/>
      <c r="K69" s="71"/>
    </row>
    <row r="70" spans="2:15" ht="16.2" thickBot="1" x14ac:dyDescent="0.4">
      <c r="B70" s="72" t="s">
        <v>24</v>
      </c>
      <c r="C70" s="77" t="s">
        <v>3</v>
      </c>
      <c r="E70" s="74" t="s">
        <v>4</v>
      </c>
      <c r="F70" s="75" t="s">
        <v>5</v>
      </c>
      <c r="G70" s="76" t="s">
        <v>6</v>
      </c>
      <c r="J70" s="72" t="s">
        <v>24</v>
      </c>
      <c r="K70" s="77"/>
      <c r="M70" s="74"/>
      <c r="N70" s="75"/>
      <c r="O70" s="76"/>
    </row>
    <row r="71" spans="2:15" x14ac:dyDescent="0.35">
      <c r="B71" s="78" t="s">
        <v>25</v>
      </c>
      <c r="C71" s="83">
        <f>SUM(E71:G71)</f>
        <v>4432.8826564956107</v>
      </c>
      <c r="D71" s="3"/>
      <c r="E71" s="35">
        <f t="shared" ref="E71:G75" si="18">M29-E29</f>
        <v>-26909.691847457085</v>
      </c>
      <c r="F71" s="26">
        <f t="shared" si="18"/>
        <v>4135.8329988068435</v>
      </c>
      <c r="G71" s="27">
        <f t="shared" si="18"/>
        <v>27206.741505145852</v>
      </c>
      <c r="J71" s="78" t="s">
        <v>25</v>
      </c>
      <c r="K71" s="111">
        <f t="shared" ref="K71:K76" si="19">IFERROR(C71/C29,0)</f>
        <v>5.8297538122526141E-3</v>
      </c>
      <c r="L71" s="34"/>
      <c r="M71" s="112">
        <f t="shared" ref="M71:O76" si="20">IFERROR(E71/E29,0)</f>
        <v>-0.11791325353615119</v>
      </c>
      <c r="N71" s="113">
        <f t="shared" si="20"/>
        <v>2.1492165186459529E-2</v>
      </c>
      <c r="O71" s="114">
        <f t="shared" si="20"/>
        <v>8.0081329632357909E-2</v>
      </c>
    </row>
    <row r="72" spans="2:15" x14ac:dyDescent="0.35">
      <c r="B72" s="28" t="s">
        <v>26</v>
      </c>
      <c r="C72" s="47">
        <f>SUM(E72:G72)</f>
        <v>79203.916798503313</v>
      </c>
      <c r="D72" s="3"/>
      <c r="E72" s="35">
        <f t="shared" si="18"/>
        <v>62760.426991630695</v>
      </c>
      <c r="F72" s="26">
        <f t="shared" si="18"/>
        <v>-4876.1117039754172</v>
      </c>
      <c r="G72" s="27">
        <f t="shared" si="18"/>
        <v>21319.601510848035</v>
      </c>
      <c r="J72" s="28" t="s">
        <v>26</v>
      </c>
      <c r="K72" s="95">
        <f t="shared" si="19"/>
        <v>6.3385404565998865E-2</v>
      </c>
      <c r="L72" s="34"/>
      <c r="M72" s="112">
        <f t="shared" si="20"/>
        <v>9.9689390674795153E-2</v>
      </c>
      <c r="N72" s="113">
        <f t="shared" si="20"/>
        <v>-1.5028151190598459E-2</v>
      </c>
      <c r="O72" s="114">
        <f t="shared" si="20"/>
        <v>7.2138791643117581E-2</v>
      </c>
    </row>
    <row r="73" spans="2:15" x14ac:dyDescent="0.35">
      <c r="B73" s="28" t="s">
        <v>27</v>
      </c>
      <c r="C73" s="47">
        <f>SUM(E73:G73)</f>
        <v>3852.9198438876483</v>
      </c>
      <c r="D73" s="3"/>
      <c r="E73" s="35">
        <f t="shared" si="18"/>
        <v>-18955.870860838739</v>
      </c>
      <c r="F73" s="26">
        <f t="shared" si="18"/>
        <v>1196.6045223704423</v>
      </c>
      <c r="G73" s="27">
        <f t="shared" si="18"/>
        <v>21612.186182355945</v>
      </c>
      <c r="J73" s="28" t="s">
        <v>27</v>
      </c>
      <c r="K73" s="95">
        <f t="shared" si="19"/>
        <v>4.0911864460845982E-3</v>
      </c>
      <c r="L73" s="34"/>
      <c r="M73" s="112">
        <f t="shared" si="20"/>
        <v>-3.8684382079174344E-2</v>
      </c>
      <c r="N73" s="113">
        <f t="shared" si="20"/>
        <v>5.5075659619356144E-3</v>
      </c>
      <c r="O73" s="114">
        <f t="shared" si="20"/>
        <v>9.216996159840897E-2</v>
      </c>
    </row>
    <row r="74" spans="2:15" x14ac:dyDescent="0.35">
      <c r="B74" s="28" t="s">
        <v>28</v>
      </c>
      <c r="C74" s="47">
        <f>SUM(E74:G74)</f>
        <v>-22510.6407882942</v>
      </c>
      <c r="D74" s="3"/>
      <c r="E74" s="35">
        <f t="shared" si="18"/>
        <v>-38642.961748243775</v>
      </c>
      <c r="F74" s="26">
        <f t="shared" si="18"/>
        <v>-7736.715058716276</v>
      </c>
      <c r="G74" s="27">
        <f t="shared" si="18"/>
        <v>23869.036018665851</v>
      </c>
      <c r="J74" s="28" t="s">
        <v>28</v>
      </c>
      <c r="K74" s="95">
        <f t="shared" si="19"/>
        <v>-2.9638471946034726E-2</v>
      </c>
      <c r="L74" s="34"/>
      <c r="M74" s="112">
        <f t="shared" si="20"/>
        <v>-0.1054051031035471</v>
      </c>
      <c r="N74" s="113">
        <f t="shared" si="20"/>
        <v>-3.6472121165755558E-2</v>
      </c>
      <c r="O74" s="114">
        <f t="shared" si="20"/>
        <v>0.13204319053646266</v>
      </c>
    </row>
    <row r="75" spans="2:15" ht="15.6" thickBot="1" x14ac:dyDescent="0.4">
      <c r="B75" s="87" t="s">
        <v>29</v>
      </c>
      <c r="C75" s="89">
        <f>SUM(E75:G75)</f>
        <v>-64979.074311685748</v>
      </c>
      <c r="D75" s="3"/>
      <c r="E75" s="35">
        <f t="shared" si="18"/>
        <v>0</v>
      </c>
      <c r="F75" s="26">
        <f t="shared" si="18"/>
        <v>-64979.074311685748</v>
      </c>
      <c r="G75" s="27">
        <f t="shared" si="18"/>
        <v>0</v>
      </c>
      <c r="J75" s="87" t="s">
        <v>29</v>
      </c>
      <c r="K75" s="115">
        <f t="shared" si="19"/>
        <v>-7.6249332314358501E-2</v>
      </c>
      <c r="L75" s="34"/>
      <c r="M75" s="112">
        <f t="shared" si="20"/>
        <v>0</v>
      </c>
      <c r="N75" s="113">
        <f t="shared" si="20"/>
        <v>-7.6249332314358501E-2</v>
      </c>
      <c r="O75" s="114">
        <f t="shared" si="20"/>
        <v>0</v>
      </c>
    </row>
    <row r="76" spans="2:15" ht="15.6" thickBot="1" x14ac:dyDescent="0.4">
      <c r="B76" s="90" t="s">
        <v>21</v>
      </c>
      <c r="C76" s="94">
        <f>SUM(C71:C75)</f>
        <v>4.1989066230598837E-3</v>
      </c>
      <c r="E76" s="92">
        <f>SUM(E71:E75)</f>
        <v>-21748.097464908904</v>
      </c>
      <c r="F76" s="93">
        <f>SUM(F71:F75)</f>
        <v>-72259.463553200156</v>
      </c>
      <c r="G76" s="93">
        <f>SUM(G71:G75)</f>
        <v>94007.565217015683</v>
      </c>
      <c r="J76" s="90" t="s">
        <v>21</v>
      </c>
      <c r="K76" s="116">
        <f t="shared" si="19"/>
        <v>9.2012464856101557E-10</v>
      </c>
      <c r="M76" s="106">
        <f t="shared" si="20"/>
        <v>-1.2685521920340144E-2</v>
      </c>
      <c r="N76" s="107">
        <f t="shared" si="20"/>
        <v>-4.0177983649817811E-2</v>
      </c>
      <c r="O76" s="107">
        <f t="shared" si="20"/>
        <v>8.9486396291121345E-2</v>
      </c>
    </row>
  </sheetData>
  <mergeCells count="10">
    <mergeCell ref="C3:J3"/>
    <mergeCell ref="C2:J2"/>
    <mergeCell ref="E49:G49"/>
    <mergeCell ref="M49:O49"/>
    <mergeCell ref="B5:G5"/>
    <mergeCell ref="J5:O5"/>
    <mergeCell ref="E7:G7"/>
    <mergeCell ref="M7:O7"/>
    <mergeCell ref="B47:G47"/>
    <mergeCell ref="J47:O47"/>
  </mergeCells>
  <pageMargins left="0.7" right="0.7" top="0.75" bottom="0.75" header="0.3" footer="0.3"/>
  <pageSetup paperSize="9" scale="66" fitToHeight="0" orientation="landscape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E05EE-100A-445F-A0C0-31EF0814B05A}">
  <dimension ref="B2:G60"/>
  <sheetViews>
    <sheetView topLeftCell="A16" workbookViewId="0">
      <selection activeCell="K44" sqref="K44"/>
    </sheetView>
  </sheetViews>
  <sheetFormatPr defaultRowHeight="15" x14ac:dyDescent="0.35"/>
  <cols>
    <col min="1" max="1" width="1.44140625" customWidth="1"/>
    <col min="2" max="2" width="8.44140625" customWidth="1"/>
    <col min="3" max="3" width="27.88671875" customWidth="1"/>
    <col min="4" max="4" width="11.109375" customWidth="1"/>
    <col min="5" max="5" width="24.88671875" customWidth="1"/>
    <col min="6" max="6" width="16.109375" customWidth="1"/>
    <col min="7" max="7" width="15" customWidth="1"/>
  </cols>
  <sheetData>
    <row r="2" spans="2:7" x14ac:dyDescent="0.35">
      <c r="B2" t="s">
        <v>1</v>
      </c>
      <c r="F2" t="s">
        <v>3784</v>
      </c>
    </row>
    <row r="3" spans="2:7" x14ac:dyDescent="0.35">
      <c r="B3" t="s">
        <v>3785</v>
      </c>
      <c r="F3" t="s">
        <v>3786</v>
      </c>
      <c r="G3" s="362">
        <v>2020</v>
      </c>
    </row>
    <row r="4" spans="2:7" ht="15.6" thickBot="1" x14ac:dyDescent="0.4"/>
    <row r="5" spans="2:7" ht="15.6" thickBot="1" x14ac:dyDescent="0.4">
      <c r="C5" s="323" t="str">
        <f>IF([11]Summary!$B$1="Nederlands",[11]Parameters!C$14,IF([11]Summary!$B$1="English",[11]Parameters!C$15,IF([11]Summary!$B$1="Français",[11]Parameters!C$16,"")))</f>
        <v>Description of cash transfer</v>
      </c>
      <c r="D5" s="323" t="str">
        <f>IF([11]Summary!$B$1="Nederlands",[11]Parameters!D$14,IF([11]Summary!$B$1="English",[11]Parameters!D$15,IF([11]Summary!$B$1="Français",[11]Parameters!D$16,"")))</f>
        <v>Date</v>
      </c>
      <c r="E5" s="323" t="str">
        <f>IF([11]Summary!$B$1="Nederlands",[11]Parameters!E$14,IF([11]Summary!$B$1="English",[11]Parameters!E$15,IF([11]Summary!$B$1="Français",[11]Parameters!E$16,"")))</f>
        <v>Amount in local currency</v>
      </c>
      <c r="F5" s="323" t="str">
        <f>IF([11]Summary!$B$1="Nederlands",[11]Parameters!F$14,IF([11]Summary!$B$1="English",[11]Parameters!F$15,IF([11]Summary!$B$1="Français",[11]Parameters!F$16,"")))</f>
        <v>Amount in EUR</v>
      </c>
      <c r="G5" s="323" t="str">
        <f>IF([11]Summary!$B$1="Nederlands",[11]Parameters!G$14,IF([11]Summary!$B$1="English",[11]Parameters!G$15,IF([11]Summary!$B$1="Français",[11]Parameters!G$16,"")))</f>
        <v>Exchange rate</v>
      </c>
    </row>
    <row r="6" spans="2:7" ht="15.6" thickBot="1" x14ac:dyDescent="0.4">
      <c r="C6" s="363"/>
      <c r="D6" s="363"/>
      <c r="E6" s="363"/>
      <c r="F6" s="363"/>
      <c r="G6" s="363"/>
    </row>
    <row r="7" spans="2:7" ht="15.6" thickBot="1" x14ac:dyDescent="0.4">
      <c r="C7" s="364" t="s">
        <v>3788</v>
      </c>
      <c r="D7" s="365"/>
      <c r="E7" s="366"/>
      <c r="F7" s="366"/>
      <c r="G7" s="367"/>
    </row>
    <row r="8" spans="2:7" x14ac:dyDescent="0.35">
      <c r="C8" s="335" t="s">
        <v>11441</v>
      </c>
      <c r="D8" s="371">
        <v>43895</v>
      </c>
      <c r="E8" s="336">
        <v>138876373</v>
      </c>
      <c r="F8" s="336">
        <v>34156.18</v>
      </c>
      <c r="G8" s="372">
        <f>IFERROR(E8/F8,0)</f>
        <v>4065.9222723384173</v>
      </c>
    </row>
    <row r="9" spans="2:7" x14ac:dyDescent="0.35">
      <c r="C9" s="335" t="s">
        <v>11442</v>
      </c>
      <c r="D9" s="371">
        <v>44057</v>
      </c>
      <c r="E9" s="336">
        <v>701496243</v>
      </c>
      <c r="F9" s="336">
        <v>162842.44</v>
      </c>
      <c r="G9" s="372">
        <f t="shared" ref="G9:G14" si="0">IFERROR(E9/F9,0)</f>
        <v>4307.8219842444023</v>
      </c>
    </row>
    <row r="10" spans="2:7" x14ac:dyDescent="0.35">
      <c r="C10" s="335"/>
      <c r="D10" s="371"/>
      <c r="E10" s="336"/>
      <c r="F10" s="336"/>
      <c r="G10" s="372">
        <f t="shared" si="0"/>
        <v>0</v>
      </c>
    </row>
    <row r="11" spans="2:7" x14ac:dyDescent="0.35">
      <c r="C11" s="335"/>
      <c r="D11" s="371"/>
      <c r="E11" s="336"/>
      <c r="F11" s="336"/>
      <c r="G11" s="372">
        <f t="shared" si="0"/>
        <v>0</v>
      </c>
    </row>
    <row r="12" spans="2:7" x14ac:dyDescent="0.35">
      <c r="C12" s="335"/>
      <c r="D12" s="371"/>
      <c r="E12" s="336"/>
      <c r="F12" s="336"/>
      <c r="G12" s="372">
        <f t="shared" si="0"/>
        <v>0</v>
      </c>
    </row>
    <row r="13" spans="2:7" x14ac:dyDescent="0.35">
      <c r="C13" s="335"/>
      <c r="D13" s="371"/>
      <c r="E13" s="336"/>
      <c r="F13" s="336"/>
      <c r="G13" s="372">
        <f t="shared" si="0"/>
        <v>0</v>
      </c>
    </row>
    <row r="14" spans="2:7" ht="15.6" thickBot="1" x14ac:dyDescent="0.4">
      <c r="C14" s="347"/>
      <c r="D14" s="373"/>
      <c r="E14" s="346"/>
      <c r="F14" s="346"/>
      <c r="G14" s="372">
        <f t="shared" si="0"/>
        <v>0</v>
      </c>
    </row>
    <row r="15" spans="2:7" ht="15.6" thickBot="1" x14ac:dyDescent="0.4">
      <c r="C15" s="374"/>
      <c r="D15" s="375"/>
      <c r="E15" s="386">
        <f>SUM(E8:E14)</f>
        <v>840372616</v>
      </c>
      <c r="F15" s="376">
        <f>SUM(F8:F14)</f>
        <v>196998.62</v>
      </c>
      <c r="G15" s="377">
        <f>IFERROR(E15/F15,0)</f>
        <v>4265.8807254588892</v>
      </c>
    </row>
    <row r="16" spans="2:7" ht="15.6" thickBot="1" x14ac:dyDescent="0.4"/>
    <row r="17" spans="3:7" ht="15.6" thickBot="1" x14ac:dyDescent="0.4">
      <c r="C17" s="364" t="str">
        <f>IF([11]Summary!$B$1="Nederlands",[11]Parameters!H$14,IF([11]Summary!$B$1="English",[11]Parameters!H$15,IF([11]Summary!$B$1="Français",[11]Parameters!H$16,"")))</f>
        <v>Other income</v>
      </c>
      <c r="D17" s="365"/>
      <c r="E17" s="366"/>
      <c r="F17" s="366"/>
      <c r="G17" s="367"/>
    </row>
    <row r="18" spans="3:7" x14ac:dyDescent="0.35">
      <c r="C18" s="368"/>
      <c r="D18" s="369"/>
      <c r="E18" s="378"/>
      <c r="F18" s="378"/>
      <c r="G18" s="370"/>
    </row>
    <row r="19" spans="3:7" x14ac:dyDescent="0.35">
      <c r="C19" s="335"/>
      <c r="D19" s="371"/>
      <c r="E19" s="336"/>
      <c r="F19" s="336"/>
      <c r="G19" s="372"/>
    </row>
    <row r="20" spans="3:7" x14ac:dyDescent="0.35">
      <c r="C20" s="335"/>
      <c r="D20" s="371"/>
      <c r="E20" s="336"/>
      <c r="F20" s="336"/>
      <c r="G20" s="372"/>
    </row>
    <row r="21" spans="3:7" x14ac:dyDescent="0.35">
      <c r="C21" s="335"/>
      <c r="D21" s="371"/>
      <c r="E21" s="336"/>
      <c r="F21" s="336"/>
      <c r="G21" s="372"/>
    </row>
    <row r="22" spans="3:7" x14ac:dyDescent="0.35">
      <c r="C22" s="335"/>
      <c r="D22" s="371"/>
      <c r="E22" s="336"/>
      <c r="F22" s="336"/>
      <c r="G22" s="372"/>
    </row>
    <row r="23" spans="3:7" x14ac:dyDescent="0.35">
      <c r="C23" s="335"/>
      <c r="D23" s="371"/>
      <c r="E23" s="336"/>
      <c r="F23" s="336"/>
      <c r="G23" s="372"/>
    </row>
    <row r="24" spans="3:7" ht="15.6" thickBot="1" x14ac:dyDescent="0.4">
      <c r="C24" s="347"/>
      <c r="D24" s="373"/>
      <c r="E24" s="346"/>
      <c r="F24" s="346"/>
      <c r="G24" s="379"/>
    </row>
    <row r="25" spans="3:7" ht="15.6" thickBot="1" x14ac:dyDescent="0.4">
      <c r="C25" s="374"/>
      <c r="D25" s="375"/>
      <c r="E25" s="376">
        <f>SUM(E18:E24)</f>
        <v>0</v>
      </c>
      <c r="F25" s="376">
        <f>SUM(F18:F24)</f>
        <v>0</v>
      </c>
      <c r="G25" s="380"/>
    </row>
    <row r="26" spans="3:7" ht="15.6" thickBot="1" x14ac:dyDescent="0.4"/>
    <row r="27" spans="3:7" ht="15.6" thickBot="1" x14ac:dyDescent="0.4">
      <c r="C27" s="381" t="str">
        <f>CONCATENATE(IF([11]Summary!$B$1="Nederlands",[11]Parameters!E$10,IF([11]Summary!$B$1="English",[11]Parameters!E$11,IF([11]Summary!$B$1="Français",[11]Parameters!E$12,"")))," ",$C$2)</f>
        <v xml:space="preserve">Total </v>
      </c>
      <c r="D27" s="382"/>
      <c r="E27" s="383">
        <f>E25+E15</f>
        <v>840372616</v>
      </c>
      <c r="F27" s="383">
        <f>F25+F15</f>
        <v>196998.62</v>
      </c>
      <c r="G27" s="384"/>
    </row>
    <row r="28" spans="3:7" ht="15.6" thickBot="1" x14ac:dyDescent="0.4">
      <c r="G28" s="385"/>
    </row>
    <row r="29" spans="3:7" ht="15.6" thickBot="1" x14ac:dyDescent="0.4">
      <c r="C29" s="381" t="str">
        <f>IF([11]Summary!$B$1="Nederlands",[11]Parameters!I$14,IF([11]Summary!$B$1="English",[11]Parameters!I$15,IF([11]Summary!$B$1="Français",[11]Parameters!I$16,"")))</f>
        <v>Average exchange rate</v>
      </c>
      <c r="D29" s="382"/>
      <c r="E29" s="383"/>
      <c r="F29" s="383"/>
      <c r="G29" s="384">
        <f>G15</f>
        <v>4265.8807254588892</v>
      </c>
    </row>
    <row r="33" spans="2:7" x14ac:dyDescent="0.35">
      <c r="B33" t="s">
        <v>1</v>
      </c>
      <c r="C33" t="s">
        <v>3783</v>
      </c>
      <c r="F33" t="s">
        <v>3784</v>
      </c>
      <c r="G33" s="362" t="s">
        <v>11446</v>
      </c>
    </row>
    <row r="34" spans="2:7" x14ac:dyDescent="0.35">
      <c r="B34" t="s">
        <v>3785</v>
      </c>
      <c r="C34" t="s">
        <v>7820</v>
      </c>
      <c r="F34" t="s">
        <v>3786</v>
      </c>
      <c r="G34" t="s">
        <v>11443</v>
      </c>
    </row>
    <row r="35" spans="2:7" ht="15.6" thickBot="1" x14ac:dyDescent="0.4"/>
    <row r="36" spans="2:7" ht="15.6" thickBot="1" x14ac:dyDescent="0.4">
      <c r="C36" s="323" t="str">
        <f>IF([12]Summary!$B$1="Nederlands",[12]Parameters!C$14,IF([12]Summary!$B$1="English",[12]Parameters!C$15,IF([12]Summary!$B$1="Français",[12]Parameters!C$16,"")))</f>
        <v>Description of cash transfer</v>
      </c>
      <c r="D36" s="323" t="str">
        <f>IF([12]Summary!$B$1="Nederlands",[12]Parameters!D$14,IF([12]Summary!$B$1="English",[12]Parameters!D$15,IF([12]Summary!$B$1="Français",[12]Parameters!D$16,"")))</f>
        <v>Date</v>
      </c>
      <c r="E36" s="323" t="str">
        <f>IF([12]Summary!$B$1="Nederlands",[12]Parameters!E$14,IF([12]Summary!$B$1="English",[12]Parameters!E$15,IF([12]Summary!$B$1="Français",[12]Parameters!E$16,"")))</f>
        <v>Amount in local currency</v>
      </c>
      <c r="F36" s="323" t="str">
        <f>IF([12]Summary!$B$1="Nederlands",[12]Parameters!F$14,IF([12]Summary!$B$1="English",[12]Parameters!F$15,IF([12]Summary!$B$1="Français",[12]Parameters!F$16,"")))</f>
        <v>Amount in EUR</v>
      </c>
      <c r="G36" s="323" t="str">
        <f>IF([12]Summary!$B$1="Nederlands",[12]Parameters!G$14,IF([12]Summary!$B$1="English",[12]Parameters!G$15,IF([12]Summary!$B$1="Français",[12]Parameters!G$16,"")))</f>
        <v>Exchange rate</v>
      </c>
    </row>
    <row r="37" spans="2:7" ht="15.6" thickBot="1" x14ac:dyDescent="0.4">
      <c r="C37" s="363"/>
      <c r="D37" s="363"/>
      <c r="E37" s="363"/>
      <c r="F37" s="363"/>
      <c r="G37" s="363"/>
    </row>
    <row r="38" spans="2:7" ht="15.6" thickBot="1" x14ac:dyDescent="0.4">
      <c r="C38" s="364" t="s">
        <v>3788</v>
      </c>
      <c r="D38" s="365"/>
      <c r="E38" s="366"/>
      <c r="F38" s="366"/>
      <c r="G38" s="367"/>
    </row>
    <row r="39" spans="2:7" x14ac:dyDescent="0.35">
      <c r="C39" s="335" t="s">
        <v>11441</v>
      </c>
      <c r="D39" s="371">
        <v>44280</v>
      </c>
      <c r="E39" s="336">
        <v>892924989</v>
      </c>
      <c r="F39" s="336">
        <v>208852.8</v>
      </c>
      <c r="G39" s="372">
        <f>IFERROR(E39/F39,0)</f>
        <v>4275.3795448277451</v>
      </c>
    </row>
    <row r="40" spans="2:7" x14ac:dyDescent="0.35">
      <c r="C40" s="335" t="s">
        <v>11442</v>
      </c>
      <c r="D40" s="371">
        <v>44292</v>
      </c>
      <c r="E40" s="336">
        <v>509095141</v>
      </c>
      <c r="F40" s="336">
        <v>119176.99</v>
      </c>
      <c r="G40" s="372">
        <f t="shared" ref="G40:G42" si="1">IFERROR(E40/F40,0)</f>
        <v>4271.756997722463</v>
      </c>
    </row>
    <row r="41" spans="2:7" x14ac:dyDescent="0.35">
      <c r="C41" s="335" t="s">
        <v>11444</v>
      </c>
      <c r="D41" s="371">
        <v>44432</v>
      </c>
      <c r="E41" s="336">
        <v>167727351</v>
      </c>
      <c r="F41" s="336">
        <v>40801</v>
      </c>
      <c r="G41" s="372">
        <f t="shared" si="1"/>
        <v>4110.8637288301761</v>
      </c>
    </row>
    <row r="42" spans="2:7" x14ac:dyDescent="0.35">
      <c r="C42" s="335" t="s">
        <v>11445</v>
      </c>
      <c r="D42" s="371">
        <v>44513</v>
      </c>
      <c r="E42" s="336">
        <v>583502467</v>
      </c>
      <c r="F42" s="336">
        <v>144510.85</v>
      </c>
      <c r="G42" s="372">
        <f t="shared" si="1"/>
        <v>4037.7761738997451</v>
      </c>
    </row>
    <row r="43" spans="2:7" x14ac:dyDescent="0.35">
      <c r="C43" s="335"/>
      <c r="D43" s="371"/>
      <c r="E43" s="336"/>
      <c r="F43" s="336"/>
      <c r="G43" s="372">
        <f t="shared" ref="G43:G45" si="2">IFERROR(E43/F43,0)</f>
        <v>0</v>
      </c>
    </row>
    <row r="44" spans="2:7" x14ac:dyDescent="0.35">
      <c r="C44" s="335"/>
      <c r="D44" s="371"/>
      <c r="E44" s="336"/>
      <c r="F44" s="336"/>
      <c r="G44" s="372">
        <f t="shared" si="2"/>
        <v>0</v>
      </c>
    </row>
    <row r="45" spans="2:7" ht="15.6" thickBot="1" x14ac:dyDescent="0.4">
      <c r="C45" s="347"/>
      <c r="D45" s="373"/>
      <c r="E45" s="346"/>
      <c r="F45" s="346"/>
      <c r="G45" s="372">
        <f t="shared" si="2"/>
        <v>0</v>
      </c>
    </row>
    <row r="46" spans="2:7" ht="15.6" thickBot="1" x14ac:dyDescent="0.4">
      <c r="C46" s="374"/>
      <c r="D46" s="375"/>
      <c r="E46" s="376">
        <f>SUM(E39:E45)</f>
        <v>2153249948</v>
      </c>
      <c r="F46" s="376">
        <f>SUM(F39:F45)</f>
        <v>513341.64</v>
      </c>
      <c r="G46" s="377">
        <f>IFERROR(E46/F46,0)</f>
        <v>4194.5748799960975</v>
      </c>
    </row>
    <row r="47" spans="2:7" ht="15.6" thickBot="1" x14ac:dyDescent="0.4"/>
    <row r="48" spans="2:7" ht="15.6" thickBot="1" x14ac:dyDescent="0.4">
      <c r="C48" s="364" t="str">
        <f>IF([12]Summary!$B$1="Nederlands",[12]Parameters!H$14,IF([12]Summary!$B$1="English",[12]Parameters!H$15,IF([12]Summary!$B$1="Français",[12]Parameters!H$16,"")))</f>
        <v>Other income</v>
      </c>
      <c r="D48" s="365"/>
      <c r="E48" s="366"/>
      <c r="F48" s="366"/>
      <c r="G48" s="367"/>
    </row>
    <row r="49" spans="3:7" x14ac:dyDescent="0.35">
      <c r="C49" s="368"/>
      <c r="D49" s="369"/>
      <c r="E49" s="378"/>
      <c r="F49" s="378"/>
      <c r="G49" s="370"/>
    </row>
    <row r="50" spans="3:7" x14ac:dyDescent="0.35">
      <c r="C50" s="335"/>
      <c r="D50" s="371"/>
      <c r="E50" s="336"/>
      <c r="F50" s="336"/>
      <c r="G50" s="372"/>
    </row>
    <row r="51" spans="3:7" x14ac:dyDescent="0.35">
      <c r="C51" s="335"/>
      <c r="D51" s="371"/>
      <c r="E51" s="336"/>
      <c r="F51" s="336"/>
      <c r="G51" s="372"/>
    </row>
    <row r="52" spans="3:7" x14ac:dyDescent="0.35">
      <c r="C52" s="335"/>
      <c r="D52" s="371"/>
      <c r="E52" s="336"/>
      <c r="F52" s="336"/>
      <c r="G52" s="372"/>
    </row>
    <row r="53" spans="3:7" x14ac:dyDescent="0.35">
      <c r="C53" s="335"/>
      <c r="D53" s="371"/>
      <c r="E53" s="336"/>
      <c r="F53" s="336"/>
      <c r="G53" s="372"/>
    </row>
    <row r="54" spans="3:7" x14ac:dyDescent="0.35">
      <c r="C54" s="335"/>
      <c r="D54" s="371"/>
      <c r="E54" s="336"/>
      <c r="F54" s="336"/>
      <c r="G54" s="372"/>
    </row>
    <row r="55" spans="3:7" ht="15.6" thickBot="1" x14ac:dyDescent="0.4">
      <c r="C55" s="347"/>
      <c r="D55" s="373"/>
      <c r="E55" s="346"/>
      <c r="F55" s="346"/>
      <c r="G55" s="379"/>
    </row>
    <row r="56" spans="3:7" ht="15.6" thickBot="1" x14ac:dyDescent="0.4">
      <c r="C56" s="374"/>
      <c r="D56" s="375"/>
      <c r="E56" s="376">
        <f>SUM(E49:E55)</f>
        <v>0</v>
      </c>
      <c r="F56" s="376">
        <f>SUM(F49:F55)</f>
        <v>0</v>
      </c>
      <c r="G56" s="380"/>
    </row>
    <row r="57" spans="3:7" ht="15.6" thickBot="1" x14ac:dyDescent="0.4"/>
    <row r="58" spans="3:7" ht="15.6" thickBot="1" x14ac:dyDescent="0.4">
      <c r="C58" s="381" t="str">
        <f>CONCATENATE(IF([12]Summary!$B$1="Nederlands",[12]Parameters!E$10,IF([12]Summary!$B$1="English",[12]Parameters!E$11,IF([12]Summary!$B$1="Français",[12]Parameters!E$12,"")))," ",$C$2)</f>
        <v xml:space="preserve">Total </v>
      </c>
      <c r="D58" s="382"/>
      <c r="E58" s="383">
        <f>E56+E46</f>
        <v>2153249948</v>
      </c>
      <c r="F58" s="383">
        <f>F56+F46</f>
        <v>513341.64</v>
      </c>
      <c r="G58" s="384"/>
    </row>
    <row r="59" spans="3:7" ht="15.6" thickBot="1" x14ac:dyDescent="0.4">
      <c r="G59" s="385"/>
    </row>
    <row r="60" spans="3:7" ht="15.6" thickBot="1" x14ac:dyDescent="0.4">
      <c r="C60" s="381" t="str">
        <f>IF([12]Summary!$B$1="Nederlands",[12]Parameters!I$14,IF([12]Summary!$B$1="English",[12]Parameters!I$15,IF([12]Summary!$B$1="Français",[12]Parameters!I$16,"")))</f>
        <v>Average exchange rate</v>
      </c>
      <c r="D60" s="382"/>
      <c r="E60" s="383"/>
      <c r="F60" s="383"/>
      <c r="G60" s="384">
        <v>4194.5748799960975</v>
      </c>
    </row>
  </sheetData>
  <protectedRanges>
    <protectedRange sqref="F39" name="Bereik1_2_1"/>
  </protectedRange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52B57-55F0-4FD6-B2C0-18F6EF6E56E3}">
  <dimension ref="A1:AG176"/>
  <sheetViews>
    <sheetView workbookViewId="0">
      <selection activeCell="B168" sqref="B168"/>
    </sheetView>
  </sheetViews>
  <sheetFormatPr defaultColWidth="9.44140625" defaultRowHeight="14.4" x14ac:dyDescent="0.3"/>
  <cols>
    <col min="1" max="1" width="11.44140625" style="314" customWidth="1"/>
    <col min="2" max="2" width="63.109375" style="315" customWidth="1"/>
    <col min="3" max="3" width="14.5546875" style="316" customWidth="1"/>
    <col min="4" max="4" width="13.5546875" style="316" customWidth="1"/>
    <col min="5" max="5" width="14.44140625" style="316" customWidth="1"/>
    <col min="6" max="6" width="20.5546875" style="318" customWidth="1"/>
    <col min="7" max="7" width="10.5546875" style="318" customWidth="1"/>
    <col min="8" max="8" width="21.44140625" style="318" customWidth="1"/>
    <col min="9" max="9" width="22.88671875" style="318" customWidth="1"/>
    <col min="10" max="10" width="5.44140625" style="121" customWidth="1"/>
    <col min="11" max="11" width="22.88671875" style="318" customWidth="1"/>
    <col min="12" max="12" width="18.88671875" style="318" customWidth="1"/>
    <col min="13" max="13" width="21.5546875" style="318" customWidth="1"/>
    <col min="14" max="14" width="6" style="121" customWidth="1"/>
    <col min="15" max="15" width="13.109375" style="318" customWidth="1"/>
    <col min="16" max="17" width="14.5546875" style="318" customWidth="1"/>
    <col min="18" max="18" width="15.5546875" style="318" customWidth="1"/>
    <col min="19" max="19" width="4.5546875" style="320" customWidth="1"/>
    <col min="20" max="20" width="21.33203125" style="316" bestFit="1" customWidth="1"/>
    <col min="21" max="21" width="11.5546875" style="316" customWidth="1"/>
    <col min="22" max="22" width="15.44140625" style="316" customWidth="1"/>
    <col min="23" max="23" width="14.44140625" style="316" customWidth="1"/>
    <col min="24" max="24" width="6.44140625" style="316" customWidth="1"/>
    <col min="25" max="25" width="15.109375" style="316" customWidth="1"/>
    <col min="26" max="26" width="15.44140625" style="316" customWidth="1"/>
    <col min="27" max="27" width="13.5546875" style="316" customWidth="1"/>
    <col min="28" max="28" width="19.109375" style="316" customWidth="1"/>
    <col min="29" max="29" width="6.5546875" style="316" customWidth="1"/>
    <col min="30" max="30" width="17.5546875" style="316" customWidth="1"/>
    <col min="31" max="31" width="12.44140625" style="316" customWidth="1"/>
    <col min="32" max="32" width="12.88671875" style="316" customWidth="1"/>
    <col min="33" max="33" width="15.5546875" style="316" customWidth="1"/>
    <col min="34" max="16384" width="9.44140625" style="316"/>
  </cols>
  <sheetData>
    <row r="1" spans="1:33" s="124" customFormat="1" ht="15" thickBot="1" x14ac:dyDescent="0.35">
      <c r="A1" s="117"/>
      <c r="B1" s="118" t="s">
        <v>0</v>
      </c>
      <c r="C1" s="800" t="s">
        <v>33</v>
      </c>
      <c r="D1" s="801"/>
      <c r="E1" s="119"/>
      <c r="F1" s="802"/>
      <c r="G1" s="803"/>
      <c r="H1" s="120"/>
      <c r="I1" s="120"/>
      <c r="J1" s="121"/>
      <c r="K1" s="120"/>
      <c r="L1" s="120"/>
      <c r="M1" s="120"/>
      <c r="N1" s="122"/>
      <c r="O1" s="120"/>
      <c r="P1" s="120"/>
      <c r="Q1" s="120"/>
      <c r="R1" s="120"/>
      <c r="S1" s="123"/>
    </row>
    <row r="2" spans="1:33" s="124" customFormat="1" ht="20.25" customHeight="1" thickBot="1" x14ac:dyDescent="0.35">
      <c r="A2" s="117"/>
      <c r="B2" s="118" t="s">
        <v>34</v>
      </c>
      <c r="C2" s="804" t="s">
        <v>35</v>
      </c>
      <c r="D2" s="805"/>
      <c r="E2" s="125"/>
      <c r="F2" s="802"/>
      <c r="G2" s="803"/>
      <c r="H2" s="120"/>
      <c r="I2" s="120"/>
      <c r="J2" s="121"/>
      <c r="K2" s="120"/>
      <c r="L2" s="120"/>
      <c r="M2" s="120"/>
      <c r="N2" s="122"/>
      <c r="O2" s="806" t="s">
        <v>36</v>
      </c>
      <c r="P2" s="807"/>
      <c r="Q2" s="807"/>
      <c r="R2" s="808"/>
      <c r="S2" s="123"/>
      <c r="T2" s="806" t="s">
        <v>37</v>
      </c>
      <c r="U2" s="807"/>
      <c r="V2" s="807"/>
      <c r="W2" s="808"/>
      <c r="Y2" s="809" t="s">
        <v>38</v>
      </c>
      <c r="Z2" s="810"/>
      <c r="AA2" s="810"/>
      <c r="AB2" s="811"/>
      <c r="AD2" s="809" t="s">
        <v>39</v>
      </c>
      <c r="AE2" s="810"/>
      <c r="AF2" s="810"/>
      <c r="AG2" s="811"/>
    </row>
    <row r="3" spans="1:33" s="124" customFormat="1" ht="38.4" x14ac:dyDescent="0.3">
      <c r="A3" s="117"/>
      <c r="B3" s="126"/>
      <c r="C3" s="127"/>
      <c r="D3" s="127"/>
      <c r="E3" s="127"/>
      <c r="F3" s="120"/>
      <c r="G3" s="120"/>
      <c r="H3" s="128" t="s">
        <v>40</v>
      </c>
      <c r="I3" s="129" t="s">
        <v>41</v>
      </c>
      <c r="J3" s="130"/>
      <c r="K3" s="131" t="s">
        <v>42</v>
      </c>
      <c r="L3" s="131" t="s">
        <v>43</v>
      </c>
      <c r="M3" s="131" t="s">
        <v>44</v>
      </c>
      <c r="N3" s="130"/>
      <c r="O3" s="132"/>
      <c r="P3" s="132"/>
      <c r="Q3" s="132"/>
      <c r="R3" s="132"/>
      <c r="S3" s="123"/>
    </row>
    <row r="4" spans="1:33" s="124" customFormat="1" x14ac:dyDescent="0.3">
      <c r="A4" s="133"/>
      <c r="B4" s="134"/>
      <c r="C4" s="135" t="s">
        <v>45</v>
      </c>
      <c r="D4" s="135" t="s">
        <v>46</v>
      </c>
      <c r="E4" s="135" t="s">
        <v>47</v>
      </c>
      <c r="F4" s="135" t="s">
        <v>48</v>
      </c>
      <c r="G4" s="136" t="s">
        <v>49</v>
      </c>
      <c r="H4" s="136"/>
      <c r="I4" s="136"/>
      <c r="J4" s="137"/>
      <c r="K4" s="136"/>
      <c r="L4" s="136"/>
      <c r="M4" s="136"/>
      <c r="N4" s="137"/>
      <c r="O4" s="136" t="s">
        <v>50</v>
      </c>
      <c r="P4" s="136" t="s">
        <v>51</v>
      </c>
      <c r="Q4" s="136" t="s">
        <v>52</v>
      </c>
      <c r="R4" s="136" t="s">
        <v>53</v>
      </c>
      <c r="S4" s="123"/>
      <c r="T4" s="136" t="s">
        <v>50</v>
      </c>
      <c r="U4" s="136" t="s">
        <v>51</v>
      </c>
      <c r="V4" s="136" t="s">
        <v>52</v>
      </c>
      <c r="W4" s="136" t="s">
        <v>53</v>
      </c>
      <c r="Y4" s="136" t="s">
        <v>50</v>
      </c>
      <c r="Z4" s="136" t="s">
        <v>51</v>
      </c>
      <c r="AA4" s="136" t="s">
        <v>52</v>
      </c>
      <c r="AB4" s="136" t="s">
        <v>53</v>
      </c>
      <c r="AD4" s="136" t="s">
        <v>50</v>
      </c>
      <c r="AE4" s="136" t="s">
        <v>51</v>
      </c>
      <c r="AF4" s="136" t="s">
        <v>52</v>
      </c>
      <c r="AG4" s="136" t="s">
        <v>53</v>
      </c>
    </row>
    <row r="5" spans="1:33" s="124" customFormat="1" ht="15" customHeight="1" x14ac:dyDescent="0.3">
      <c r="A5" s="812" t="s">
        <v>54</v>
      </c>
      <c r="B5" s="814" t="s">
        <v>55</v>
      </c>
      <c r="C5" s="815"/>
      <c r="D5" s="815"/>
      <c r="E5" s="815"/>
      <c r="F5" s="816"/>
      <c r="G5" s="816">
        <v>1050</v>
      </c>
      <c r="H5" s="816" t="s">
        <v>56</v>
      </c>
      <c r="I5" s="816" t="s">
        <v>56</v>
      </c>
      <c r="J5" s="137"/>
      <c r="K5" s="816" t="s">
        <v>56</v>
      </c>
      <c r="L5" s="817" t="s">
        <v>56</v>
      </c>
      <c r="M5" s="817" t="s">
        <v>56</v>
      </c>
      <c r="N5" s="137"/>
      <c r="O5" s="817" t="s">
        <v>56</v>
      </c>
      <c r="P5" s="817" t="s">
        <v>56</v>
      </c>
      <c r="Q5" s="817" t="s">
        <v>56</v>
      </c>
      <c r="R5" s="817" t="s">
        <v>56</v>
      </c>
      <c r="S5" s="123"/>
      <c r="T5" s="817" t="s">
        <v>56</v>
      </c>
      <c r="U5" s="817" t="s">
        <v>56</v>
      </c>
      <c r="V5" s="817" t="s">
        <v>56</v>
      </c>
      <c r="W5" s="817" t="s">
        <v>56</v>
      </c>
      <c r="Y5" s="138"/>
      <c r="Z5" s="138"/>
      <c r="AA5" s="138"/>
      <c r="AB5" s="138"/>
      <c r="AD5" s="138"/>
      <c r="AE5" s="138"/>
      <c r="AF5" s="138"/>
      <c r="AG5" s="138"/>
    </row>
    <row r="6" spans="1:33" s="124" customFormat="1" ht="15" customHeight="1" x14ac:dyDescent="0.3">
      <c r="A6" s="813"/>
      <c r="B6" s="814"/>
      <c r="C6" s="815"/>
      <c r="D6" s="815"/>
      <c r="E6" s="815"/>
      <c r="F6" s="816"/>
      <c r="G6" s="816"/>
      <c r="H6" s="816"/>
      <c r="I6" s="816"/>
      <c r="J6" s="137"/>
      <c r="K6" s="816"/>
      <c r="L6" s="818"/>
      <c r="M6" s="818"/>
      <c r="N6" s="137"/>
      <c r="O6" s="818"/>
      <c r="P6" s="818"/>
      <c r="Q6" s="818"/>
      <c r="R6" s="818"/>
      <c r="S6" s="123"/>
      <c r="T6" s="818"/>
      <c r="U6" s="818"/>
      <c r="V6" s="818"/>
      <c r="W6" s="818"/>
      <c r="Y6" s="136" t="s">
        <v>56</v>
      </c>
      <c r="Z6" s="136" t="s">
        <v>56</v>
      </c>
      <c r="AA6" s="136" t="s">
        <v>56</v>
      </c>
      <c r="AB6" s="136" t="s">
        <v>56</v>
      </c>
      <c r="AD6" s="136" t="s">
        <v>56</v>
      </c>
      <c r="AE6" s="136" t="s">
        <v>56</v>
      </c>
      <c r="AF6" s="136" t="s">
        <v>56</v>
      </c>
      <c r="AG6" s="136" t="s">
        <v>56</v>
      </c>
    </row>
    <row r="7" spans="1:33" s="146" customFormat="1" ht="18" customHeight="1" x14ac:dyDescent="0.3">
      <c r="A7" s="139"/>
      <c r="B7" s="140" t="s">
        <v>57</v>
      </c>
      <c r="C7" s="141"/>
      <c r="D7" s="141"/>
      <c r="E7" s="141"/>
      <c r="F7" s="141"/>
      <c r="G7" s="141"/>
      <c r="H7" s="141"/>
      <c r="I7" s="142"/>
      <c r="J7" s="143"/>
      <c r="K7" s="142"/>
      <c r="L7" s="142"/>
      <c r="M7" s="142"/>
      <c r="N7" s="143"/>
      <c r="O7" s="144"/>
      <c r="P7" s="144"/>
      <c r="Q7" s="144"/>
      <c r="R7" s="144"/>
      <c r="S7" s="145"/>
      <c r="T7" s="144"/>
      <c r="U7" s="144"/>
      <c r="V7" s="144"/>
      <c r="W7" s="144"/>
      <c r="Y7" s="144"/>
      <c r="Z7" s="144"/>
      <c r="AA7" s="144"/>
      <c r="AB7" s="144"/>
      <c r="AD7" s="144"/>
      <c r="AE7" s="144"/>
      <c r="AF7" s="144"/>
      <c r="AG7" s="144"/>
    </row>
    <row r="8" spans="1:33" s="146" customFormat="1" x14ac:dyDescent="0.3">
      <c r="A8" s="139"/>
      <c r="B8" s="147" t="s">
        <v>8</v>
      </c>
      <c r="C8" s="147"/>
      <c r="D8" s="147"/>
      <c r="E8" s="147"/>
      <c r="F8" s="147"/>
      <c r="G8" s="147"/>
      <c r="H8" s="147"/>
      <c r="I8" s="142"/>
      <c r="J8" s="143"/>
      <c r="K8" s="142"/>
      <c r="L8" s="142"/>
      <c r="M8" s="142"/>
      <c r="N8" s="143"/>
      <c r="O8" s="142"/>
      <c r="P8" s="142"/>
      <c r="Q8" s="142"/>
      <c r="R8" s="142"/>
      <c r="S8" s="145"/>
      <c r="T8" s="142"/>
      <c r="U8" s="142"/>
      <c r="V8" s="142"/>
      <c r="W8" s="142"/>
      <c r="Y8" s="142"/>
      <c r="Z8" s="142"/>
      <c r="AA8" s="142"/>
      <c r="AB8" s="142"/>
      <c r="AD8" s="142"/>
      <c r="AE8" s="142"/>
      <c r="AF8" s="142"/>
      <c r="AG8" s="142"/>
    </row>
    <row r="9" spans="1:33" s="159" customFormat="1" x14ac:dyDescent="0.3">
      <c r="A9" s="148"/>
      <c r="B9" s="149" t="s">
        <v>58</v>
      </c>
      <c r="C9" s="150" t="s">
        <v>59</v>
      </c>
      <c r="D9" s="151">
        <v>1</v>
      </c>
      <c r="E9" s="151">
        <v>16299941</v>
      </c>
      <c r="F9" s="151">
        <v>16299941</v>
      </c>
      <c r="G9" s="152">
        <f t="shared" ref="G9" si="0">$G$5</f>
        <v>1050</v>
      </c>
      <c r="H9" s="152">
        <f t="shared" ref="H9" si="1">IF($G$5=0,0,F9/G9)</f>
        <v>15523.753333333334</v>
      </c>
      <c r="I9" s="153">
        <v>15523.753333333334</v>
      </c>
      <c r="J9" s="154"/>
      <c r="K9" s="153">
        <f>SUM(T9:W9)</f>
        <v>38920.103147147049</v>
      </c>
      <c r="L9" s="155">
        <f>K9-I9</f>
        <v>23396.349813813715</v>
      </c>
      <c r="M9" s="156">
        <f>IFERROR(L9/I9,0)</f>
        <v>1.507132283761297</v>
      </c>
      <c r="N9" s="157"/>
      <c r="O9" s="158">
        <v>3880.9383333333335</v>
      </c>
      <c r="P9" s="158">
        <v>3880.9383333333335</v>
      </c>
      <c r="Q9" s="158">
        <v>3880.9383333333335</v>
      </c>
      <c r="R9" s="158">
        <v>3880.9383333333335</v>
      </c>
      <c r="T9" s="158">
        <v>9730.0257867867622</v>
      </c>
      <c r="U9" s="158">
        <v>9730.0257867867622</v>
      </c>
      <c r="V9" s="158">
        <v>9730.0257867867622</v>
      </c>
      <c r="W9" s="158">
        <v>9730.0257867867622</v>
      </c>
      <c r="Y9" s="155">
        <f t="shared" ref="Y9:AB24" si="2">T9-O9</f>
        <v>5849.0874534534287</v>
      </c>
      <c r="Z9" s="155">
        <f t="shared" si="2"/>
        <v>5849.0874534534287</v>
      </c>
      <c r="AA9" s="155">
        <f t="shared" si="2"/>
        <v>5849.0874534534287</v>
      </c>
      <c r="AB9" s="155">
        <f t="shared" si="2"/>
        <v>5849.0874534534287</v>
      </c>
      <c r="AD9" s="156">
        <f>IFERROR(Y9/O9,0)</f>
        <v>1.507132283761297</v>
      </c>
      <c r="AE9" s="156">
        <f>IFERROR(Z9/P9,0)</f>
        <v>1.507132283761297</v>
      </c>
      <c r="AF9" s="156">
        <f>IFERROR(AA9/Q9,0)</f>
        <v>1.507132283761297</v>
      </c>
      <c r="AG9" s="156">
        <f>IFERROR(AB9/R9,0)</f>
        <v>1.507132283761297</v>
      </c>
    </row>
    <row r="10" spans="1:33" s="167" customFormat="1" ht="15" customHeight="1" x14ac:dyDescent="0.3">
      <c r="A10" s="160"/>
      <c r="B10" s="161" t="s">
        <v>11448</v>
      </c>
      <c r="C10" s="162"/>
      <c r="D10" s="162"/>
      <c r="E10" s="162"/>
      <c r="F10" s="162">
        <f>F9</f>
        <v>16299941</v>
      </c>
      <c r="G10" s="162"/>
      <c r="H10" s="162">
        <f>H9</f>
        <v>15523.753333333334</v>
      </c>
      <c r="I10" s="163">
        <f>I9</f>
        <v>15523.753333333334</v>
      </c>
      <c r="J10" s="164"/>
      <c r="K10" s="163">
        <f>K9</f>
        <v>38920.103147147049</v>
      </c>
      <c r="L10" s="163">
        <f>K10-I10</f>
        <v>23396.349813813715</v>
      </c>
      <c r="M10" s="443">
        <f>IFERROR(L10/I10,0)</f>
        <v>1.507132283761297</v>
      </c>
      <c r="N10" s="165"/>
      <c r="O10" s="163">
        <f>O9</f>
        <v>3880.9383333333335</v>
      </c>
      <c r="P10" s="163">
        <f>P9</f>
        <v>3880.9383333333335</v>
      </c>
      <c r="Q10" s="163">
        <f>Q9</f>
        <v>3880.9383333333335</v>
      </c>
      <c r="R10" s="163">
        <f>R9</f>
        <v>3880.9383333333335</v>
      </c>
      <c r="S10" s="166"/>
      <c r="T10" s="163">
        <f>T9</f>
        <v>9730.0257867867622</v>
      </c>
      <c r="U10" s="163">
        <f>U9</f>
        <v>9730.0257867867622</v>
      </c>
      <c r="V10" s="163">
        <f>V9</f>
        <v>9730.0257867867622</v>
      </c>
      <c r="W10" s="163">
        <f>W9</f>
        <v>9730.0257867867622</v>
      </c>
      <c r="Y10" s="168">
        <f t="shared" si="2"/>
        <v>5849.0874534534287</v>
      </c>
      <c r="Z10" s="168">
        <f t="shared" si="2"/>
        <v>5849.0874534534287</v>
      </c>
      <c r="AA10" s="168">
        <f t="shared" si="2"/>
        <v>5849.0874534534287</v>
      </c>
      <c r="AB10" s="168">
        <f t="shared" si="2"/>
        <v>5849.0874534534287</v>
      </c>
      <c r="AD10" s="169">
        <f>IFERROR(Y10/O10,0)</f>
        <v>1.507132283761297</v>
      </c>
      <c r="AE10" s="169">
        <f t="shared" ref="AE10:AG10" si="3">IFERROR(Z10/P10,0)</f>
        <v>1.507132283761297</v>
      </c>
      <c r="AF10" s="169">
        <f t="shared" si="3"/>
        <v>1.507132283761297</v>
      </c>
      <c r="AG10" s="169">
        <f t="shared" si="3"/>
        <v>1.507132283761297</v>
      </c>
    </row>
    <row r="11" spans="1:33" s="146" customFormat="1" x14ac:dyDescent="0.3">
      <c r="A11" s="139"/>
      <c r="B11" s="170" t="s">
        <v>60</v>
      </c>
      <c r="C11" s="171"/>
      <c r="D11" s="170"/>
      <c r="E11" s="170"/>
      <c r="F11" s="170"/>
      <c r="G11" s="170"/>
      <c r="H11" s="170"/>
      <c r="I11" s="172"/>
      <c r="J11" s="164"/>
      <c r="K11" s="172"/>
      <c r="L11" s="172"/>
      <c r="M11" s="172"/>
      <c r="N11" s="164"/>
      <c r="O11" s="172"/>
      <c r="P11" s="172"/>
      <c r="Q11" s="172"/>
      <c r="R11" s="172"/>
      <c r="S11" s="145"/>
      <c r="T11" s="172"/>
      <c r="U11" s="172"/>
      <c r="V11" s="172"/>
      <c r="W11" s="172"/>
      <c r="Y11" s="172"/>
      <c r="Z11" s="172"/>
      <c r="AA11" s="172"/>
      <c r="AB11" s="172"/>
      <c r="AD11" s="172"/>
      <c r="AE11" s="172"/>
      <c r="AF11" s="172"/>
      <c r="AG11" s="172"/>
    </row>
    <row r="12" spans="1:33" s="159" customFormat="1" x14ac:dyDescent="0.3">
      <c r="A12" s="148"/>
      <c r="B12" s="173" t="s">
        <v>61</v>
      </c>
      <c r="C12" s="150" t="s">
        <v>59</v>
      </c>
      <c r="D12" s="151">
        <v>22</v>
      </c>
      <c r="E12" s="151">
        <v>526000</v>
      </c>
      <c r="F12" s="152">
        <f t="shared" ref="F12:F37" si="4">D12*E12</f>
        <v>11572000</v>
      </c>
      <c r="G12" s="152">
        <f t="shared" ref="G12:G37" si="5">$G$5</f>
        <v>1050</v>
      </c>
      <c r="H12" s="152">
        <f t="shared" ref="H12:H37" si="6">IF($G$5=0,0,F12/G12)</f>
        <v>11020.952380952382</v>
      </c>
      <c r="I12" s="153">
        <v>11020.952380952382</v>
      </c>
      <c r="J12" s="154"/>
      <c r="K12" s="153">
        <f>SUM(T12:W12)</f>
        <v>11564.665526389483</v>
      </c>
      <c r="L12" s="155">
        <f>K12-I12</f>
        <v>543.71314543710105</v>
      </c>
      <c r="M12" s="156">
        <f>IFERROR(L12/I12,0)</f>
        <v>4.933449729596924E-2</v>
      </c>
      <c r="N12" s="157"/>
      <c r="O12" s="158">
        <v>11020.952380952382</v>
      </c>
      <c r="P12" s="156"/>
      <c r="Q12" s="156"/>
      <c r="R12" s="156"/>
      <c r="T12" s="158">
        <v>11564.665526389483</v>
      </c>
      <c r="U12" s="158">
        <v>0</v>
      </c>
      <c r="V12" s="158">
        <v>0</v>
      </c>
      <c r="W12" s="158">
        <v>0</v>
      </c>
      <c r="Y12" s="155">
        <f t="shared" si="2"/>
        <v>543.71314543710105</v>
      </c>
      <c r="Z12" s="155">
        <f t="shared" si="2"/>
        <v>0</v>
      </c>
      <c r="AA12" s="155">
        <f t="shared" si="2"/>
        <v>0</v>
      </c>
      <c r="AB12" s="155">
        <f t="shared" si="2"/>
        <v>0</v>
      </c>
      <c r="AD12" s="156">
        <f>IFERROR(Y12/O12,0)</f>
        <v>4.933449729596924E-2</v>
      </c>
      <c r="AE12" s="156">
        <f t="shared" ref="AE12:AG27" si="7">IFERROR(Z12/P12,0)</f>
        <v>0</v>
      </c>
      <c r="AF12" s="156">
        <f t="shared" si="7"/>
        <v>0</v>
      </c>
      <c r="AG12" s="156">
        <f t="shared" si="7"/>
        <v>0</v>
      </c>
    </row>
    <row r="13" spans="1:33" s="159" customFormat="1" x14ac:dyDescent="0.3">
      <c r="A13" s="148"/>
      <c r="B13" s="173" t="s">
        <v>62</v>
      </c>
      <c r="C13" s="150" t="s">
        <v>59</v>
      </c>
      <c r="D13" s="151">
        <v>95</v>
      </c>
      <c r="E13" s="151">
        <v>10000</v>
      </c>
      <c r="F13" s="152">
        <f t="shared" si="4"/>
        <v>950000</v>
      </c>
      <c r="G13" s="152">
        <f t="shared" si="5"/>
        <v>1050</v>
      </c>
      <c r="H13" s="152">
        <f t="shared" si="6"/>
        <v>904.76190476190482</v>
      </c>
      <c r="I13" s="153">
        <v>904.76190476190482</v>
      </c>
      <c r="J13" s="154"/>
      <c r="K13" s="153">
        <f t="shared" ref="K13:K38" si="8">SUM(T13:W13)</f>
        <v>930.64346248682523</v>
      </c>
      <c r="L13" s="155">
        <f t="shared" ref="L13:L40" si="9">K13-I13</f>
        <v>25.881557724920413</v>
      </c>
      <c r="M13" s="156">
        <f t="shared" ref="M13:M78" si="10">IFERROR(L13/I13,0)</f>
        <v>2.8605932222280455E-2</v>
      </c>
      <c r="N13" s="157"/>
      <c r="O13" s="158">
        <v>904.76190476190482</v>
      </c>
      <c r="P13" s="156"/>
      <c r="Q13" s="156"/>
      <c r="R13" s="156"/>
      <c r="T13" s="158">
        <v>930.64346248682523</v>
      </c>
      <c r="U13" s="158">
        <v>0</v>
      </c>
      <c r="V13" s="158">
        <v>0</v>
      </c>
      <c r="W13" s="158">
        <v>0</v>
      </c>
      <c r="Y13" s="155">
        <f t="shared" si="2"/>
        <v>25.881557724920413</v>
      </c>
      <c r="Z13" s="155">
        <f t="shared" si="2"/>
        <v>0</v>
      </c>
      <c r="AA13" s="155">
        <f t="shared" si="2"/>
        <v>0</v>
      </c>
      <c r="AB13" s="155">
        <f t="shared" si="2"/>
        <v>0</v>
      </c>
      <c r="AD13" s="156">
        <f t="shared" ref="AD13:AG39" si="11">IFERROR(Y13/O13,0)</f>
        <v>2.8605932222280455E-2</v>
      </c>
      <c r="AE13" s="156">
        <f t="shared" si="7"/>
        <v>0</v>
      </c>
      <c r="AF13" s="156">
        <f t="shared" si="7"/>
        <v>0</v>
      </c>
      <c r="AG13" s="156">
        <f t="shared" si="7"/>
        <v>0</v>
      </c>
    </row>
    <row r="14" spans="1:33" s="159" customFormat="1" x14ac:dyDescent="0.3">
      <c r="A14" s="148"/>
      <c r="B14" s="173" t="s">
        <v>63</v>
      </c>
      <c r="C14" s="150" t="s">
        <v>59</v>
      </c>
      <c r="D14" s="151">
        <v>95</v>
      </c>
      <c r="E14" s="151">
        <v>5000</v>
      </c>
      <c r="F14" s="152">
        <f t="shared" si="4"/>
        <v>475000</v>
      </c>
      <c r="G14" s="152">
        <f t="shared" si="5"/>
        <v>1050</v>
      </c>
      <c r="H14" s="152">
        <f t="shared" si="6"/>
        <v>452.38095238095241</v>
      </c>
      <c r="I14" s="153">
        <v>452.38095238095241</v>
      </c>
      <c r="J14" s="154"/>
      <c r="K14" s="153">
        <f t="shared" si="8"/>
        <v>374.12802512033176</v>
      </c>
      <c r="L14" s="155">
        <f t="shared" si="9"/>
        <v>-78.252927260620652</v>
      </c>
      <c r="M14" s="156">
        <f t="shared" si="10"/>
        <v>-0.17298015499716143</v>
      </c>
      <c r="N14" s="157"/>
      <c r="O14" s="158">
        <v>452.38095238095241</v>
      </c>
      <c r="P14" s="156"/>
      <c r="Q14" s="156"/>
      <c r="R14" s="156"/>
      <c r="T14" s="158">
        <v>374.12802512033176</v>
      </c>
      <c r="U14" s="158">
        <v>0</v>
      </c>
      <c r="V14" s="158">
        <v>0</v>
      </c>
      <c r="W14" s="158">
        <v>0</v>
      </c>
      <c r="Y14" s="155">
        <f t="shared" si="2"/>
        <v>-78.252927260620652</v>
      </c>
      <c r="Z14" s="155">
        <f t="shared" si="2"/>
        <v>0</v>
      </c>
      <c r="AA14" s="155">
        <f t="shared" si="2"/>
        <v>0</v>
      </c>
      <c r="AB14" s="155">
        <f t="shared" si="2"/>
        <v>0</v>
      </c>
      <c r="AD14" s="156">
        <f t="shared" si="11"/>
        <v>-0.17298015499716143</v>
      </c>
      <c r="AE14" s="156">
        <f t="shared" si="7"/>
        <v>0</v>
      </c>
      <c r="AF14" s="156">
        <f t="shared" si="7"/>
        <v>0</v>
      </c>
      <c r="AG14" s="156">
        <f t="shared" si="7"/>
        <v>0</v>
      </c>
    </row>
    <row r="15" spans="1:33" s="159" customFormat="1" x14ac:dyDescent="0.3">
      <c r="A15" s="148"/>
      <c r="B15" s="173" t="s">
        <v>64</v>
      </c>
      <c r="C15" s="150" t="s">
        <v>65</v>
      </c>
      <c r="D15" s="151">
        <v>87</v>
      </c>
      <c r="E15" s="151">
        <v>250000</v>
      </c>
      <c r="F15" s="152">
        <f t="shared" si="4"/>
        <v>21750000</v>
      </c>
      <c r="G15" s="152">
        <f t="shared" si="5"/>
        <v>1050</v>
      </c>
      <c r="H15" s="152">
        <f>IF($G$5=0,0,F15/G15)</f>
        <v>20714.285714285714</v>
      </c>
      <c r="I15" s="174">
        <v>0</v>
      </c>
      <c r="J15" s="175"/>
      <c r="K15" s="153">
        <f t="shared" si="8"/>
        <v>0</v>
      </c>
      <c r="L15" s="155">
        <f t="shared" si="9"/>
        <v>0</v>
      </c>
      <c r="M15" s="156">
        <f t="shared" si="10"/>
        <v>0</v>
      </c>
      <c r="N15" s="157"/>
      <c r="O15" s="156"/>
      <c r="P15" s="156"/>
      <c r="Q15" s="156"/>
      <c r="R15" s="156"/>
      <c r="T15" s="156"/>
      <c r="U15" s="156"/>
      <c r="V15" s="156"/>
      <c r="W15" s="156"/>
      <c r="Y15" s="155">
        <f t="shared" si="2"/>
        <v>0</v>
      </c>
      <c r="Z15" s="155">
        <f t="shared" si="2"/>
        <v>0</v>
      </c>
      <c r="AA15" s="155">
        <f t="shared" si="2"/>
        <v>0</v>
      </c>
      <c r="AB15" s="155">
        <f t="shared" si="2"/>
        <v>0</v>
      </c>
      <c r="AD15" s="156">
        <f t="shared" si="11"/>
        <v>0</v>
      </c>
      <c r="AE15" s="156">
        <f t="shared" si="7"/>
        <v>0</v>
      </c>
      <c r="AF15" s="156">
        <f t="shared" si="7"/>
        <v>0</v>
      </c>
      <c r="AG15" s="156">
        <f t="shared" si="7"/>
        <v>0</v>
      </c>
    </row>
    <row r="16" spans="1:33" s="159" customFormat="1" x14ac:dyDescent="0.3">
      <c r="A16" s="148"/>
      <c r="B16" s="173" t="s">
        <v>66</v>
      </c>
      <c r="C16" s="150" t="s">
        <v>67</v>
      </c>
      <c r="D16" s="151">
        <v>1</v>
      </c>
      <c r="E16" s="151">
        <v>8712000</v>
      </c>
      <c r="F16" s="152">
        <f t="shared" si="4"/>
        <v>8712000</v>
      </c>
      <c r="G16" s="152">
        <f t="shared" si="5"/>
        <v>1050</v>
      </c>
      <c r="H16" s="152">
        <f t="shared" si="6"/>
        <v>8297.1428571428569</v>
      </c>
      <c r="I16" s="174">
        <v>5440</v>
      </c>
      <c r="J16" s="175"/>
      <c r="K16" s="153">
        <f t="shared" si="8"/>
        <v>4951.1603440101826</v>
      </c>
      <c r="L16" s="155">
        <f t="shared" si="9"/>
        <v>-488.8396559898174</v>
      </c>
      <c r="M16" s="156">
        <f t="shared" si="10"/>
        <v>-8.9860230880481146E-2</v>
      </c>
      <c r="N16" s="157"/>
      <c r="O16" s="158">
        <v>5440</v>
      </c>
      <c r="P16" s="156"/>
      <c r="Q16" s="156"/>
      <c r="R16" s="156"/>
      <c r="T16" s="158">
        <v>4951.1603440101826</v>
      </c>
      <c r="U16" s="158">
        <v>0</v>
      </c>
      <c r="V16" s="158">
        <v>0</v>
      </c>
      <c r="W16" s="158">
        <v>0</v>
      </c>
      <c r="Y16" s="155">
        <f t="shared" si="2"/>
        <v>-488.8396559898174</v>
      </c>
      <c r="Z16" s="155">
        <f t="shared" si="2"/>
        <v>0</v>
      </c>
      <c r="AA16" s="155">
        <f t="shared" si="2"/>
        <v>0</v>
      </c>
      <c r="AB16" s="155">
        <f t="shared" si="2"/>
        <v>0</v>
      </c>
      <c r="AD16" s="156">
        <f t="shared" si="11"/>
        <v>-8.9860230880481146E-2</v>
      </c>
      <c r="AE16" s="156">
        <f t="shared" si="7"/>
        <v>0</v>
      </c>
      <c r="AF16" s="156">
        <f t="shared" si="7"/>
        <v>0</v>
      </c>
      <c r="AG16" s="156">
        <f t="shared" si="7"/>
        <v>0</v>
      </c>
    </row>
    <row r="17" spans="1:33" s="159" customFormat="1" x14ac:dyDescent="0.3">
      <c r="A17" s="148"/>
      <c r="B17" s="173" t="s">
        <v>68</v>
      </c>
      <c r="C17" s="150" t="s">
        <v>65</v>
      </c>
      <c r="D17" s="151">
        <v>56</v>
      </c>
      <c r="E17" s="151">
        <v>60000</v>
      </c>
      <c r="F17" s="152">
        <f t="shared" si="4"/>
        <v>3360000</v>
      </c>
      <c r="G17" s="152">
        <f t="shared" si="5"/>
        <v>1050</v>
      </c>
      <c r="H17" s="152">
        <f t="shared" si="6"/>
        <v>3200</v>
      </c>
      <c r="I17" s="153">
        <v>3200</v>
      </c>
      <c r="J17" s="154"/>
      <c r="K17" s="153">
        <f t="shared" si="8"/>
        <v>3276.1800431326733</v>
      </c>
      <c r="L17" s="155">
        <f t="shared" si="9"/>
        <v>76.180043132673291</v>
      </c>
      <c r="M17" s="156">
        <f t="shared" si="10"/>
        <v>2.3806263478960404E-2</v>
      </c>
      <c r="N17" s="157"/>
      <c r="O17" s="158">
        <v>3200</v>
      </c>
      <c r="P17" s="156"/>
      <c r="Q17" s="156"/>
      <c r="R17" s="156"/>
      <c r="T17" s="158">
        <v>3276.1800431326733</v>
      </c>
      <c r="U17" s="158">
        <v>0</v>
      </c>
      <c r="V17" s="158">
        <v>0</v>
      </c>
      <c r="W17" s="158">
        <v>0</v>
      </c>
      <c r="Y17" s="155">
        <f t="shared" si="2"/>
        <v>76.180043132673291</v>
      </c>
      <c r="Z17" s="155">
        <f t="shared" si="2"/>
        <v>0</v>
      </c>
      <c r="AA17" s="155">
        <f t="shared" si="2"/>
        <v>0</v>
      </c>
      <c r="AB17" s="155">
        <f t="shared" si="2"/>
        <v>0</v>
      </c>
      <c r="AD17" s="156">
        <f t="shared" si="11"/>
        <v>2.3806263478960404E-2</v>
      </c>
      <c r="AE17" s="156">
        <f t="shared" si="7"/>
        <v>0</v>
      </c>
      <c r="AF17" s="156">
        <f t="shared" si="7"/>
        <v>0</v>
      </c>
      <c r="AG17" s="156">
        <f t="shared" si="7"/>
        <v>0</v>
      </c>
    </row>
    <row r="18" spans="1:33" s="159" customFormat="1" x14ac:dyDescent="0.3">
      <c r="A18" s="148"/>
      <c r="B18" s="173" t="s">
        <v>69</v>
      </c>
      <c r="C18" s="150" t="s">
        <v>67</v>
      </c>
      <c r="D18" s="151">
        <v>280</v>
      </c>
      <c r="E18" s="151">
        <v>9000</v>
      </c>
      <c r="F18" s="152">
        <f t="shared" si="4"/>
        <v>2520000</v>
      </c>
      <c r="G18" s="152">
        <f t="shared" si="5"/>
        <v>1050</v>
      </c>
      <c r="H18" s="152">
        <f t="shared" si="6"/>
        <v>2400</v>
      </c>
      <c r="I18" s="174">
        <v>1754.4761904761904</v>
      </c>
      <c r="J18" s="175"/>
      <c r="K18" s="153">
        <f t="shared" si="8"/>
        <v>1813.7332838859872</v>
      </c>
      <c r="L18" s="155">
        <f t="shared" si="9"/>
        <v>59.25709340979688</v>
      </c>
      <c r="M18" s="156">
        <f t="shared" si="10"/>
        <v>3.3774806253548326E-2</v>
      </c>
      <c r="N18" s="157"/>
      <c r="O18" s="158">
        <v>1754.4761904761904</v>
      </c>
      <c r="P18" s="156"/>
      <c r="Q18" s="156"/>
      <c r="R18" s="156"/>
      <c r="T18" s="158">
        <v>1813.7332838859872</v>
      </c>
      <c r="U18" s="158">
        <v>0</v>
      </c>
      <c r="V18" s="158">
        <v>0</v>
      </c>
      <c r="W18" s="158">
        <v>0</v>
      </c>
      <c r="Y18" s="155">
        <f t="shared" si="2"/>
        <v>59.25709340979688</v>
      </c>
      <c r="Z18" s="155">
        <f t="shared" si="2"/>
        <v>0</v>
      </c>
      <c r="AA18" s="155">
        <f t="shared" si="2"/>
        <v>0</v>
      </c>
      <c r="AB18" s="155">
        <f t="shared" si="2"/>
        <v>0</v>
      </c>
      <c r="AD18" s="156">
        <f t="shared" si="11"/>
        <v>3.3774806253548326E-2</v>
      </c>
      <c r="AE18" s="156">
        <f t="shared" si="7"/>
        <v>0</v>
      </c>
      <c r="AF18" s="156">
        <f t="shared" si="7"/>
        <v>0</v>
      </c>
      <c r="AG18" s="156">
        <f t="shared" si="7"/>
        <v>0</v>
      </c>
    </row>
    <row r="19" spans="1:33" s="159" customFormat="1" x14ac:dyDescent="0.3">
      <c r="A19" s="148"/>
      <c r="B19" s="173" t="s">
        <v>70</v>
      </c>
      <c r="C19" s="150" t="s">
        <v>67</v>
      </c>
      <c r="D19" s="151">
        <v>280</v>
      </c>
      <c r="E19" s="151">
        <v>15000</v>
      </c>
      <c r="F19" s="152">
        <f t="shared" si="4"/>
        <v>4200000</v>
      </c>
      <c r="G19" s="152">
        <f t="shared" si="5"/>
        <v>1050</v>
      </c>
      <c r="H19" s="152">
        <f t="shared" si="6"/>
        <v>4000</v>
      </c>
      <c r="I19" s="174">
        <v>0</v>
      </c>
      <c r="J19" s="175"/>
      <c r="K19" s="153">
        <f t="shared" si="8"/>
        <v>0</v>
      </c>
      <c r="L19" s="155">
        <f t="shared" si="9"/>
        <v>0</v>
      </c>
      <c r="M19" s="156">
        <f t="shared" si="10"/>
        <v>0</v>
      </c>
      <c r="N19" s="157"/>
      <c r="O19" s="156"/>
      <c r="P19" s="156"/>
      <c r="Q19" s="156"/>
      <c r="R19" s="156"/>
      <c r="T19" s="158"/>
      <c r="U19" s="158"/>
      <c r="V19" s="158"/>
      <c r="W19" s="158"/>
      <c r="Y19" s="155">
        <f t="shared" si="2"/>
        <v>0</v>
      </c>
      <c r="Z19" s="155">
        <f t="shared" si="2"/>
        <v>0</v>
      </c>
      <c r="AA19" s="155">
        <f t="shared" si="2"/>
        <v>0</v>
      </c>
      <c r="AB19" s="155">
        <f t="shared" si="2"/>
        <v>0</v>
      </c>
      <c r="AD19" s="156">
        <f t="shared" si="11"/>
        <v>0</v>
      </c>
      <c r="AE19" s="156">
        <f t="shared" si="7"/>
        <v>0</v>
      </c>
      <c r="AF19" s="156">
        <f t="shared" si="7"/>
        <v>0</v>
      </c>
      <c r="AG19" s="156">
        <f t="shared" si="7"/>
        <v>0</v>
      </c>
    </row>
    <row r="20" spans="1:33" s="159" customFormat="1" x14ac:dyDescent="0.3">
      <c r="A20" s="148"/>
      <c r="B20" s="173" t="s">
        <v>71</v>
      </c>
      <c r="C20" s="150" t="s">
        <v>72</v>
      </c>
      <c r="D20" s="151">
        <v>95</v>
      </c>
      <c r="E20" s="151">
        <v>100000</v>
      </c>
      <c r="F20" s="152">
        <f t="shared" si="4"/>
        <v>9500000</v>
      </c>
      <c r="G20" s="152">
        <f t="shared" si="5"/>
        <v>1050</v>
      </c>
      <c r="H20" s="152">
        <f t="shared" si="6"/>
        <v>9047.6190476190477</v>
      </c>
      <c r="I20" s="174">
        <v>0</v>
      </c>
      <c r="J20" s="175"/>
      <c r="K20" s="153">
        <f t="shared" si="8"/>
        <v>0</v>
      </c>
      <c r="L20" s="155">
        <f t="shared" si="9"/>
        <v>0</v>
      </c>
      <c r="M20" s="156">
        <f t="shared" si="10"/>
        <v>0</v>
      </c>
      <c r="N20" s="157"/>
      <c r="O20" s="156"/>
      <c r="P20" s="156"/>
      <c r="Q20" s="156"/>
      <c r="R20" s="156"/>
      <c r="T20" s="158"/>
      <c r="U20" s="158"/>
      <c r="V20" s="158"/>
      <c r="W20" s="158"/>
      <c r="Y20" s="155">
        <f t="shared" si="2"/>
        <v>0</v>
      </c>
      <c r="Z20" s="155">
        <f t="shared" si="2"/>
        <v>0</v>
      </c>
      <c r="AA20" s="155">
        <f t="shared" si="2"/>
        <v>0</v>
      </c>
      <c r="AB20" s="155">
        <f t="shared" si="2"/>
        <v>0</v>
      </c>
      <c r="AD20" s="156">
        <f t="shared" si="11"/>
        <v>0</v>
      </c>
      <c r="AE20" s="156">
        <f t="shared" si="7"/>
        <v>0</v>
      </c>
      <c r="AF20" s="156">
        <f t="shared" si="7"/>
        <v>0</v>
      </c>
      <c r="AG20" s="156">
        <f t="shared" si="7"/>
        <v>0</v>
      </c>
    </row>
    <row r="21" spans="1:33" s="159" customFormat="1" x14ac:dyDescent="0.3">
      <c r="A21" s="148"/>
      <c r="B21" s="173" t="s">
        <v>73</v>
      </c>
      <c r="C21" s="150" t="s">
        <v>72</v>
      </c>
      <c r="D21" s="151">
        <v>95</v>
      </c>
      <c r="E21" s="151">
        <v>100000</v>
      </c>
      <c r="F21" s="152">
        <f t="shared" si="4"/>
        <v>9500000</v>
      </c>
      <c r="G21" s="152">
        <f t="shared" si="5"/>
        <v>1050</v>
      </c>
      <c r="H21" s="152">
        <f t="shared" si="6"/>
        <v>9047.6190476190477</v>
      </c>
      <c r="I21" s="174">
        <v>0</v>
      </c>
      <c r="J21" s="175"/>
      <c r="K21" s="153">
        <f t="shared" si="8"/>
        <v>0</v>
      </c>
      <c r="L21" s="155">
        <f t="shared" si="9"/>
        <v>0</v>
      </c>
      <c r="M21" s="156">
        <f t="shared" si="10"/>
        <v>0</v>
      </c>
      <c r="N21" s="157"/>
      <c r="O21" s="156"/>
      <c r="P21" s="156"/>
      <c r="Q21" s="156"/>
      <c r="R21" s="156"/>
      <c r="T21" s="158"/>
      <c r="U21" s="158"/>
      <c r="V21" s="158"/>
      <c r="W21" s="158"/>
      <c r="Y21" s="155">
        <f t="shared" si="2"/>
        <v>0</v>
      </c>
      <c r="Z21" s="155">
        <f t="shared" si="2"/>
        <v>0</v>
      </c>
      <c r="AA21" s="155">
        <f t="shared" si="2"/>
        <v>0</v>
      </c>
      <c r="AB21" s="155">
        <f t="shared" si="2"/>
        <v>0</v>
      </c>
      <c r="AD21" s="156">
        <f t="shared" si="11"/>
        <v>0</v>
      </c>
      <c r="AE21" s="156">
        <f t="shared" si="7"/>
        <v>0</v>
      </c>
      <c r="AF21" s="156">
        <f t="shared" si="7"/>
        <v>0</v>
      </c>
      <c r="AG21" s="156">
        <f t="shared" si="7"/>
        <v>0</v>
      </c>
    </row>
    <row r="22" spans="1:33" s="159" customFormat="1" x14ac:dyDescent="0.3">
      <c r="A22" s="148"/>
      <c r="B22" s="173" t="s">
        <v>74</v>
      </c>
      <c r="C22" s="150" t="s">
        <v>65</v>
      </c>
      <c r="D22" s="151">
        <v>2</v>
      </c>
      <c r="E22" s="151">
        <v>3009000</v>
      </c>
      <c r="F22" s="152">
        <f t="shared" si="4"/>
        <v>6018000</v>
      </c>
      <c r="G22" s="152">
        <f t="shared" si="5"/>
        <v>1050</v>
      </c>
      <c r="H22" s="152">
        <f t="shared" si="6"/>
        <v>5731.4285714285716</v>
      </c>
      <c r="I22" s="174">
        <v>4779.0476190476193</v>
      </c>
      <c r="J22" s="175"/>
      <c r="K22" s="153">
        <f t="shared" si="8"/>
        <v>4867.7994257893261</v>
      </c>
      <c r="L22" s="155">
        <f t="shared" si="9"/>
        <v>88.751806741706787</v>
      </c>
      <c r="M22" s="156">
        <f t="shared" si="10"/>
        <v>1.8571023730329241E-2</v>
      </c>
      <c r="N22" s="157"/>
      <c r="O22" s="156"/>
      <c r="P22" s="158">
        <v>4779.0476190476193</v>
      </c>
      <c r="Q22" s="156"/>
      <c r="R22" s="156"/>
      <c r="T22" s="158">
        <v>0</v>
      </c>
      <c r="U22" s="158">
        <v>4867.7994257893261</v>
      </c>
      <c r="V22" s="158">
        <v>0</v>
      </c>
      <c r="W22" s="158">
        <v>0</v>
      </c>
      <c r="Y22" s="155">
        <f t="shared" si="2"/>
        <v>0</v>
      </c>
      <c r="Z22" s="155">
        <f t="shared" si="2"/>
        <v>88.751806741706787</v>
      </c>
      <c r="AA22" s="155">
        <f t="shared" si="2"/>
        <v>0</v>
      </c>
      <c r="AB22" s="155">
        <f t="shared" si="2"/>
        <v>0</v>
      </c>
      <c r="AD22" s="156">
        <f t="shared" si="11"/>
        <v>0</v>
      </c>
      <c r="AE22" s="156">
        <f t="shared" si="7"/>
        <v>1.8571023730329241E-2</v>
      </c>
      <c r="AF22" s="156">
        <f t="shared" si="7"/>
        <v>0</v>
      </c>
      <c r="AG22" s="156">
        <f t="shared" si="7"/>
        <v>0</v>
      </c>
    </row>
    <row r="23" spans="1:33" s="159" customFormat="1" x14ac:dyDescent="0.3">
      <c r="A23" s="148"/>
      <c r="B23" s="173" t="s">
        <v>75</v>
      </c>
      <c r="C23" s="150" t="s">
        <v>67</v>
      </c>
      <c r="D23" s="151">
        <v>210</v>
      </c>
      <c r="E23" s="151">
        <v>25000</v>
      </c>
      <c r="F23" s="152">
        <f>D23*E23</f>
        <v>5250000</v>
      </c>
      <c r="G23" s="152">
        <f t="shared" si="5"/>
        <v>1050</v>
      </c>
      <c r="H23" s="152">
        <f t="shared" si="6"/>
        <v>5000</v>
      </c>
      <c r="I23" s="153">
        <v>5000</v>
      </c>
      <c r="J23" s="154"/>
      <c r="K23" s="153">
        <f t="shared" si="8"/>
        <v>6893.8332717426656</v>
      </c>
      <c r="L23" s="155">
        <f t="shared" si="9"/>
        <v>1893.8332717426656</v>
      </c>
      <c r="M23" s="156">
        <f t="shared" si="10"/>
        <v>0.37876665434853313</v>
      </c>
      <c r="N23" s="157"/>
      <c r="O23" s="156"/>
      <c r="P23" s="158">
        <v>5000</v>
      </c>
      <c r="Q23" s="156"/>
      <c r="R23" s="156"/>
      <c r="T23" s="158">
        <v>0</v>
      </c>
      <c r="U23" s="158">
        <v>6893.8332717426656</v>
      </c>
      <c r="V23" s="158">
        <v>0</v>
      </c>
      <c r="W23" s="158">
        <v>0</v>
      </c>
      <c r="Y23" s="155">
        <f t="shared" si="2"/>
        <v>0</v>
      </c>
      <c r="Z23" s="155">
        <f t="shared" si="2"/>
        <v>1893.8332717426656</v>
      </c>
      <c r="AA23" s="155">
        <f t="shared" si="2"/>
        <v>0</v>
      </c>
      <c r="AB23" s="155">
        <f t="shared" si="2"/>
        <v>0</v>
      </c>
      <c r="AD23" s="156">
        <f t="shared" si="11"/>
        <v>0</v>
      </c>
      <c r="AE23" s="156">
        <f t="shared" si="7"/>
        <v>0.37876665434853313</v>
      </c>
      <c r="AF23" s="156">
        <f t="shared" si="7"/>
        <v>0</v>
      </c>
      <c r="AG23" s="156">
        <f t="shared" si="7"/>
        <v>0</v>
      </c>
    </row>
    <row r="24" spans="1:33" s="159" customFormat="1" x14ac:dyDescent="0.3">
      <c r="A24" s="148"/>
      <c r="B24" s="173" t="s">
        <v>76</v>
      </c>
      <c r="C24" s="150" t="s">
        <v>67</v>
      </c>
      <c r="D24" s="151">
        <v>1</v>
      </c>
      <c r="E24" s="151">
        <v>650000</v>
      </c>
      <c r="F24" s="152">
        <f>D24*E24</f>
        <v>650000</v>
      </c>
      <c r="G24" s="152">
        <f t="shared" si="5"/>
        <v>1050</v>
      </c>
      <c r="H24" s="152">
        <f t="shared" si="6"/>
        <v>619.04761904761904</v>
      </c>
      <c r="I24" s="174">
        <v>0</v>
      </c>
      <c r="J24" s="175"/>
      <c r="K24" s="153">
        <f t="shared" si="8"/>
        <v>0</v>
      </c>
      <c r="L24" s="155">
        <f t="shared" si="9"/>
        <v>0</v>
      </c>
      <c r="M24" s="156">
        <f t="shared" si="10"/>
        <v>0</v>
      </c>
      <c r="N24" s="157"/>
      <c r="O24" s="156"/>
      <c r="P24" s="156"/>
      <c r="Q24" s="156"/>
      <c r="R24" s="156"/>
      <c r="T24" s="158"/>
      <c r="U24" s="158"/>
      <c r="V24" s="158"/>
      <c r="W24" s="158"/>
      <c r="Y24" s="155">
        <f t="shared" si="2"/>
        <v>0</v>
      </c>
      <c r="Z24" s="155">
        <f t="shared" si="2"/>
        <v>0</v>
      </c>
      <c r="AA24" s="155">
        <f t="shared" si="2"/>
        <v>0</v>
      </c>
      <c r="AB24" s="155">
        <f t="shared" si="2"/>
        <v>0</v>
      </c>
      <c r="AD24" s="156">
        <f t="shared" si="11"/>
        <v>0</v>
      </c>
      <c r="AE24" s="156">
        <f t="shared" si="7"/>
        <v>0</v>
      </c>
      <c r="AF24" s="156">
        <f t="shared" si="7"/>
        <v>0</v>
      </c>
      <c r="AG24" s="156">
        <f t="shared" si="7"/>
        <v>0</v>
      </c>
    </row>
    <row r="25" spans="1:33" s="159" customFormat="1" x14ac:dyDescent="0.3">
      <c r="A25" s="148"/>
      <c r="B25" s="173" t="s">
        <v>77</v>
      </c>
      <c r="C25" s="150" t="s">
        <v>67</v>
      </c>
      <c r="D25" s="151">
        <v>3</v>
      </c>
      <c r="E25" s="151">
        <v>290630</v>
      </c>
      <c r="F25" s="152">
        <f>D25*E25</f>
        <v>871890</v>
      </c>
      <c r="G25" s="152">
        <f t="shared" si="5"/>
        <v>1050</v>
      </c>
      <c r="H25" s="152">
        <f t="shared" si="6"/>
        <v>830.37142857142862</v>
      </c>
      <c r="I25" s="153">
        <v>830.37142857142862</v>
      </c>
      <c r="J25" s="154"/>
      <c r="K25" s="153">
        <f t="shared" si="8"/>
        <v>852.61807830054556</v>
      </c>
      <c r="L25" s="155">
        <f t="shared" si="9"/>
        <v>22.246649729116939</v>
      </c>
      <c r="M25" s="156">
        <f t="shared" si="10"/>
        <v>2.6791203265977111E-2</v>
      </c>
      <c r="N25" s="157"/>
      <c r="O25" s="156"/>
      <c r="P25" s="156"/>
      <c r="Q25" s="158">
        <v>830.37142857142862</v>
      </c>
      <c r="R25" s="156"/>
      <c r="T25" s="158">
        <v>0</v>
      </c>
      <c r="U25" s="158">
        <v>0</v>
      </c>
      <c r="V25" s="158">
        <v>852.61807830054556</v>
      </c>
      <c r="W25" s="158">
        <v>0</v>
      </c>
      <c r="Y25" s="155">
        <f t="shared" ref="Y25:AB40" si="12">T25-O25</f>
        <v>0</v>
      </c>
      <c r="Z25" s="155">
        <f t="shared" si="12"/>
        <v>0</v>
      </c>
      <c r="AA25" s="155">
        <f t="shared" si="12"/>
        <v>22.246649729116939</v>
      </c>
      <c r="AB25" s="155">
        <f t="shared" si="12"/>
        <v>0</v>
      </c>
      <c r="AD25" s="156">
        <f t="shared" si="11"/>
        <v>0</v>
      </c>
      <c r="AE25" s="156">
        <f t="shared" si="7"/>
        <v>0</v>
      </c>
      <c r="AF25" s="156">
        <f t="shared" si="7"/>
        <v>2.6791203265977111E-2</v>
      </c>
      <c r="AG25" s="156">
        <f t="shared" si="7"/>
        <v>0</v>
      </c>
    </row>
    <row r="26" spans="1:33" s="159" customFormat="1" x14ac:dyDescent="0.3">
      <c r="A26" s="148"/>
      <c r="B26" s="173" t="s">
        <v>78</v>
      </c>
      <c r="C26" s="150" t="s">
        <v>67</v>
      </c>
      <c r="D26" s="151">
        <v>3</v>
      </c>
      <c r="E26" s="151">
        <v>1555590</v>
      </c>
      <c r="F26" s="152">
        <f>D26*E26</f>
        <v>4666770</v>
      </c>
      <c r="G26" s="152">
        <f t="shared" si="5"/>
        <v>1050</v>
      </c>
      <c r="H26" s="152">
        <f t="shared" si="6"/>
        <v>4444.5428571428574</v>
      </c>
      <c r="I26" s="153">
        <v>4444.5428571428574</v>
      </c>
      <c r="J26" s="154"/>
      <c r="K26" s="153">
        <f t="shared" si="8"/>
        <v>14184.335871096664</v>
      </c>
      <c r="L26" s="155">
        <f t="shared" si="9"/>
        <v>9739.7930139538075</v>
      </c>
      <c r="M26" s="156">
        <f t="shared" si="10"/>
        <v>2.1914049041738712</v>
      </c>
      <c r="N26" s="157"/>
      <c r="O26" s="156"/>
      <c r="P26" s="156"/>
      <c r="Q26" s="158">
        <v>4444.5428571428574</v>
      </c>
      <c r="R26" s="156"/>
      <c r="T26" s="158">
        <v>0</v>
      </c>
      <c r="U26" s="158">
        <v>0</v>
      </c>
      <c r="V26" s="158">
        <v>14184.335871096664</v>
      </c>
      <c r="W26" s="158">
        <v>0</v>
      </c>
      <c r="Y26" s="155">
        <f t="shared" si="12"/>
        <v>0</v>
      </c>
      <c r="Z26" s="155">
        <f t="shared" si="12"/>
        <v>0</v>
      </c>
      <c r="AA26" s="155">
        <f t="shared" si="12"/>
        <v>9739.7930139538075</v>
      </c>
      <c r="AB26" s="155">
        <f t="shared" si="12"/>
        <v>0</v>
      </c>
      <c r="AD26" s="156">
        <f t="shared" si="11"/>
        <v>0</v>
      </c>
      <c r="AE26" s="156">
        <f t="shared" si="7"/>
        <v>0</v>
      </c>
      <c r="AF26" s="156">
        <f t="shared" si="7"/>
        <v>2.1914049041738712</v>
      </c>
      <c r="AG26" s="156">
        <f t="shared" si="7"/>
        <v>0</v>
      </c>
    </row>
    <row r="27" spans="1:33" s="145" customFormat="1" ht="15" x14ac:dyDescent="0.3">
      <c r="A27" s="148"/>
      <c r="B27" s="176" t="s">
        <v>79</v>
      </c>
      <c r="C27" s="177" t="s">
        <v>72</v>
      </c>
      <c r="D27" s="178">
        <v>30</v>
      </c>
      <c r="E27" s="178">
        <v>100000</v>
      </c>
      <c r="F27" s="179">
        <f t="shared" si="4"/>
        <v>3000000</v>
      </c>
      <c r="G27" s="179">
        <f t="shared" si="5"/>
        <v>1050</v>
      </c>
      <c r="H27" s="179">
        <f t="shared" si="6"/>
        <v>2857.1428571428573</v>
      </c>
      <c r="I27" s="153">
        <v>2857.1428571428573</v>
      </c>
      <c r="J27" s="154"/>
      <c r="K27" s="153">
        <f t="shared" si="8"/>
        <v>2904.4149318552068</v>
      </c>
      <c r="L27" s="155">
        <f t="shared" si="9"/>
        <v>47.272074712349422</v>
      </c>
      <c r="M27" s="156">
        <f t="shared" si="10"/>
        <v>1.6545226149322297E-2</v>
      </c>
      <c r="N27" s="157"/>
      <c r="O27" s="156"/>
      <c r="P27" s="156"/>
      <c r="Q27" s="158">
        <v>2857.1428571428573</v>
      </c>
      <c r="R27" s="156"/>
      <c r="T27" s="158">
        <v>0</v>
      </c>
      <c r="U27" s="158">
        <v>0</v>
      </c>
      <c r="V27" s="158">
        <v>2904.4149318552068</v>
      </c>
      <c r="W27" s="158">
        <v>0</v>
      </c>
      <c r="Y27" s="155">
        <f t="shared" si="12"/>
        <v>0</v>
      </c>
      <c r="Z27" s="155">
        <f t="shared" si="12"/>
        <v>0</v>
      </c>
      <c r="AA27" s="155">
        <f t="shared" si="12"/>
        <v>47.272074712349422</v>
      </c>
      <c r="AB27" s="155">
        <f t="shared" si="12"/>
        <v>0</v>
      </c>
      <c r="AD27" s="156">
        <f t="shared" si="11"/>
        <v>0</v>
      </c>
      <c r="AE27" s="156">
        <f t="shared" si="7"/>
        <v>0</v>
      </c>
      <c r="AF27" s="156">
        <f t="shared" si="7"/>
        <v>1.6545226149322297E-2</v>
      </c>
      <c r="AG27" s="156">
        <f t="shared" si="7"/>
        <v>0</v>
      </c>
    </row>
    <row r="28" spans="1:33" s="159" customFormat="1" x14ac:dyDescent="0.3">
      <c r="A28" s="148"/>
      <c r="B28" s="173" t="s">
        <v>80</v>
      </c>
      <c r="C28" s="150" t="s">
        <v>67</v>
      </c>
      <c r="D28" s="151">
        <v>1800</v>
      </c>
      <c r="E28" s="151">
        <v>89070</v>
      </c>
      <c r="F28" s="152">
        <f t="shared" si="4"/>
        <v>160326000</v>
      </c>
      <c r="G28" s="152">
        <f t="shared" si="5"/>
        <v>1050</v>
      </c>
      <c r="H28" s="152">
        <f t="shared" si="6"/>
        <v>152691.42857142858</v>
      </c>
      <c r="I28" s="153">
        <v>152691.42857142858</v>
      </c>
      <c r="J28" s="154"/>
      <c r="K28" s="153">
        <f t="shared" si="8"/>
        <v>146851.16033989892</v>
      </c>
      <c r="L28" s="155">
        <f t="shared" si="9"/>
        <v>-5840.2682315296552</v>
      </c>
      <c r="M28" s="156">
        <f t="shared" si="10"/>
        <v>-3.8248828281789216E-2</v>
      </c>
      <c r="N28" s="157"/>
      <c r="O28" s="156"/>
      <c r="P28" s="156"/>
      <c r="Q28" s="158">
        <v>152691.42857142858</v>
      </c>
      <c r="R28" s="156"/>
      <c r="T28" s="158">
        <v>0</v>
      </c>
      <c r="U28" s="158">
        <v>0</v>
      </c>
      <c r="V28" s="158">
        <v>146851.16033989892</v>
      </c>
      <c r="W28" s="158">
        <v>0</v>
      </c>
      <c r="Y28" s="155">
        <f t="shared" si="12"/>
        <v>0</v>
      </c>
      <c r="Z28" s="155">
        <f t="shared" si="12"/>
        <v>0</v>
      </c>
      <c r="AA28" s="155">
        <f t="shared" si="12"/>
        <v>-5840.2682315296552</v>
      </c>
      <c r="AB28" s="155">
        <f t="shared" si="12"/>
        <v>0</v>
      </c>
      <c r="AD28" s="156">
        <f t="shared" si="11"/>
        <v>0</v>
      </c>
      <c r="AE28" s="156">
        <f t="shared" si="11"/>
        <v>0</v>
      </c>
      <c r="AF28" s="156">
        <f t="shared" si="11"/>
        <v>-3.8248828281789216E-2</v>
      </c>
      <c r="AG28" s="156">
        <f t="shared" si="11"/>
        <v>0</v>
      </c>
    </row>
    <row r="29" spans="1:33" s="159" customFormat="1" x14ac:dyDescent="0.3">
      <c r="A29" s="148"/>
      <c r="B29" s="173" t="s">
        <v>81</v>
      </c>
      <c r="C29" s="150" t="s">
        <v>65</v>
      </c>
      <c r="D29" s="151">
        <v>45000</v>
      </c>
      <c r="E29" s="151">
        <v>372</v>
      </c>
      <c r="F29" s="152">
        <f t="shared" si="4"/>
        <v>16740000</v>
      </c>
      <c r="G29" s="152">
        <f t="shared" si="5"/>
        <v>1050</v>
      </c>
      <c r="H29" s="152">
        <f t="shared" si="6"/>
        <v>15942.857142857143</v>
      </c>
      <c r="I29" s="153">
        <v>8945.2847619047625</v>
      </c>
      <c r="J29" s="154"/>
      <c r="K29" s="153">
        <f t="shared" si="8"/>
        <v>9376.7166485044399</v>
      </c>
      <c r="L29" s="155">
        <f t="shared" si="9"/>
        <v>431.43188659967745</v>
      </c>
      <c r="M29" s="156">
        <f t="shared" si="10"/>
        <v>4.8230089715758873E-2</v>
      </c>
      <c r="N29" s="157"/>
      <c r="O29" s="156"/>
      <c r="P29" s="156"/>
      <c r="Q29" s="158">
        <v>8945.2847619047625</v>
      </c>
      <c r="R29" s="156"/>
      <c r="T29" s="158">
        <v>0</v>
      </c>
      <c r="U29" s="158">
        <v>0</v>
      </c>
      <c r="V29" s="158">
        <v>9376.7166485044399</v>
      </c>
      <c r="W29" s="158">
        <v>0</v>
      </c>
      <c r="Y29" s="155">
        <f t="shared" si="12"/>
        <v>0</v>
      </c>
      <c r="Z29" s="155">
        <f t="shared" si="12"/>
        <v>0</v>
      </c>
      <c r="AA29" s="155">
        <f t="shared" si="12"/>
        <v>431.43188659967745</v>
      </c>
      <c r="AB29" s="155">
        <f t="shared" si="12"/>
        <v>0</v>
      </c>
      <c r="AD29" s="156">
        <f t="shared" si="11"/>
        <v>0</v>
      </c>
      <c r="AE29" s="156">
        <f t="shared" si="11"/>
        <v>0</v>
      </c>
      <c r="AF29" s="156">
        <f t="shared" si="11"/>
        <v>4.8230089715758873E-2</v>
      </c>
      <c r="AG29" s="156">
        <f t="shared" si="11"/>
        <v>0</v>
      </c>
    </row>
    <row r="30" spans="1:33" s="159" customFormat="1" x14ac:dyDescent="0.3">
      <c r="A30" s="148"/>
      <c r="B30" s="173" t="s">
        <v>82</v>
      </c>
      <c r="C30" s="150" t="s">
        <v>65</v>
      </c>
      <c r="D30" s="151">
        <v>140</v>
      </c>
      <c r="E30" s="151">
        <v>65000</v>
      </c>
      <c r="F30" s="152">
        <f t="shared" si="4"/>
        <v>9100000</v>
      </c>
      <c r="G30" s="152">
        <f t="shared" si="5"/>
        <v>1050</v>
      </c>
      <c r="H30" s="152">
        <f t="shared" si="6"/>
        <v>8666.6666666666661</v>
      </c>
      <c r="I30" s="153">
        <v>8666.6666666666661</v>
      </c>
      <c r="J30" s="154"/>
      <c r="K30" s="153">
        <f t="shared" si="8"/>
        <v>8402.7754318046482</v>
      </c>
      <c r="L30" s="155">
        <f t="shared" si="9"/>
        <v>-263.89123486201788</v>
      </c>
      <c r="M30" s="156">
        <f t="shared" si="10"/>
        <v>-3.0448988637925143E-2</v>
      </c>
      <c r="N30" s="157"/>
      <c r="O30" s="156"/>
      <c r="P30" s="156"/>
      <c r="Q30" s="158">
        <v>8666.6666666666661</v>
      </c>
      <c r="R30" s="156"/>
      <c r="T30" s="158">
        <v>0</v>
      </c>
      <c r="U30" s="158">
        <v>0</v>
      </c>
      <c r="V30" s="158">
        <v>8402.7754318046482</v>
      </c>
      <c r="W30" s="158">
        <v>0</v>
      </c>
      <c r="Y30" s="155">
        <f t="shared" si="12"/>
        <v>0</v>
      </c>
      <c r="Z30" s="155">
        <f t="shared" si="12"/>
        <v>0</v>
      </c>
      <c r="AA30" s="155">
        <f t="shared" si="12"/>
        <v>-263.89123486201788</v>
      </c>
      <c r="AB30" s="155">
        <f t="shared" si="12"/>
        <v>0</v>
      </c>
      <c r="AD30" s="156">
        <f t="shared" si="11"/>
        <v>0</v>
      </c>
      <c r="AE30" s="156">
        <f t="shared" si="11"/>
        <v>0</v>
      </c>
      <c r="AF30" s="156">
        <f t="shared" si="11"/>
        <v>-3.0448988637925143E-2</v>
      </c>
      <c r="AG30" s="156">
        <f t="shared" si="11"/>
        <v>0</v>
      </c>
    </row>
    <row r="31" spans="1:33" s="159" customFormat="1" x14ac:dyDescent="0.3">
      <c r="A31" s="148"/>
      <c r="B31" s="173" t="s">
        <v>83</v>
      </c>
      <c r="C31" s="150" t="s">
        <v>65</v>
      </c>
      <c r="D31" s="151">
        <v>87</v>
      </c>
      <c r="E31" s="151">
        <v>150000</v>
      </c>
      <c r="F31" s="152">
        <f t="shared" si="4"/>
        <v>13050000</v>
      </c>
      <c r="G31" s="152">
        <f t="shared" si="5"/>
        <v>1050</v>
      </c>
      <c r="H31" s="152">
        <f t="shared" si="6"/>
        <v>12428.571428571429</v>
      </c>
      <c r="I31" s="153">
        <v>10000</v>
      </c>
      <c r="J31" s="154"/>
      <c r="K31" s="153">
        <f t="shared" si="8"/>
        <v>3614.3174436073496</v>
      </c>
      <c r="L31" s="155">
        <f t="shared" si="9"/>
        <v>-6385.6825563926504</v>
      </c>
      <c r="M31" s="156">
        <f t="shared" si="10"/>
        <v>-0.638568255639265</v>
      </c>
      <c r="N31" s="157"/>
      <c r="O31" s="156"/>
      <c r="P31" s="156"/>
      <c r="Q31" s="158">
        <v>10000</v>
      </c>
      <c r="R31" s="156"/>
      <c r="T31" s="158">
        <v>0</v>
      </c>
      <c r="U31" s="158">
        <v>0</v>
      </c>
      <c r="V31" s="158">
        <v>3614.3174436073496</v>
      </c>
      <c r="W31" s="158">
        <v>0</v>
      </c>
      <c r="Y31" s="155">
        <f t="shared" si="12"/>
        <v>0</v>
      </c>
      <c r="Z31" s="155">
        <f t="shared" si="12"/>
        <v>0</v>
      </c>
      <c r="AA31" s="155">
        <f t="shared" si="12"/>
        <v>-6385.6825563926504</v>
      </c>
      <c r="AB31" s="155">
        <f t="shared" si="12"/>
        <v>0</v>
      </c>
      <c r="AD31" s="156">
        <f t="shared" si="11"/>
        <v>0</v>
      </c>
      <c r="AE31" s="156">
        <f t="shared" si="11"/>
        <v>0</v>
      </c>
      <c r="AF31" s="156">
        <f t="shared" si="11"/>
        <v>-0.638568255639265</v>
      </c>
      <c r="AG31" s="156">
        <f t="shared" si="11"/>
        <v>0</v>
      </c>
    </row>
    <row r="32" spans="1:33" s="159" customFormat="1" x14ac:dyDescent="0.3">
      <c r="A32" s="148"/>
      <c r="B32" s="173" t="s">
        <v>84</v>
      </c>
      <c r="C32" s="150" t="s">
        <v>65</v>
      </c>
      <c r="D32" s="151">
        <v>87</v>
      </c>
      <c r="E32" s="151">
        <v>39000</v>
      </c>
      <c r="F32" s="152">
        <f t="shared" si="4"/>
        <v>3393000</v>
      </c>
      <c r="G32" s="152">
        <f t="shared" si="5"/>
        <v>1050</v>
      </c>
      <c r="H32" s="152">
        <f t="shared" si="6"/>
        <v>3231.4285714285716</v>
      </c>
      <c r="I32" s="153">
        <v>3231.4285714285716</v>
      </c>
      <c r="J32" s="154"/>
      <c r="K32" s="153">
        <f t="shared" si="8"/>
        <v>3092.460340062451</v>
      </c>
      <c r="L32" s="155">
        <f t="shared" si="9"/>
        <v>-138.96823136612056</v>
      </c>
      <c r="M32" s="156">
        <f t="shared" si="10"/>
        <v>-4.3005199803839253E-2</v>
      </c>
      <c r="N32" s="157"/>
      <c r="O32" s="180">
        <v>189.07294832826747</v>
      </c>
      <c r="P32" s="156"/>
      <c r="Q32" s="156"/>
      <c r="R32" s="181">
        <v>3042.355623100304</v>
      </c>
      <c r="T32" s="158">
        <v>141.87935426767325</v>
      </c>
      <c r="U32" s="158">
        <v>0</v>
      </c>
      <c r="V32" s="158">
        <v>0</v>
      </c>
      <c r="W32" s="158">
        <v>2950.5809857947779</v>
      </c>
      <c r="Y32" s="155">
        <f t="shared" si="12"/>
        <v>-47.193594060594222</v>
      </c>
      <c r="Z32" s="155">
        <f t="shared" si="12"/>
        <v>0</v>
      </c>
      <c r="AA32" s="155">
        <f t="shared" si="12"/>
        <v>0</v>
      </c>
      <c r="AB32" s="155">
        <f t="shared" si="12"/>
        <v>-91.774637305526085</v>
      </c>
      <c r="AD32" s="156">
        <f t="shared" si="11"/>
        <v>-0.24960521575332367</v>
      </c>
      <c r="AE32" s="156">
        <f t="shared" si="11"/>
        <v>0</v>
      </c>
      <c r="AF32" s="156">
        <f t="shared" si="11"/>
        <v>0</v>
      </c>
      <c r="AG32" s="156">
        <f t="shared" si="11"/>
        <v>-3.0165650790029405E-2</v>
      </c>
    </row>
    <row r="33" spans="1:33" s="145" customFormat="1" ht="15" x14ac:dyDescent="0.3">
      <c r="A33" s="148"/>
      <c r="B33" s="176" t="s">
        <v>85</v>
      </c>
      <c r="C33" s="182" t="s">
        <v>65</v>
      </c>
      <c r="D33" s="178">
        <v>20</v>
      </c>
      <c r="E33" s="178">
        <v>83000</v>
      </c>
      <c r="F33" s="179">
        <f t="shared" si="4"/>
        <v>1660000</v>
      </c>
      <c r="G33" s="179">
        <f t="shared" si="5"/>
        <v>1050</v>
      </c>
      <c r="H33" s="179">
        <f t="shared" si="6"/>
        <v>1580.952380952381</v>
      </c>
      <c r="I33" s="153">
        <v>1580.952380952381</v>
      </c>
      <c r="J33" s="154"/>
      <c r="K33" s="153">
        <f t="shared" si="8"/>
        <v>1523.6587428703942</v>
      </c>
      <c r="L33" s="155">
        <f t="shared" si="9"/>
        <v>-57.293638081986728</v>
      </c>
      <c r="M33" s="156">
        <f t="shared" si="10"/>
        <v>-3.623995179884703E-2</v>
      </c>
      <c r="N33" s="157"/>
      <c r="O33" s="156"/>
      <c r="P33" s="156"/>
      <c r="Q33" s="156"/>
      <c r="R33" s="158">
        <v>1580.952380952381</v>
      </c>
      <c r="T33" s="158">
        <v>0</v>
      </c>
      <c r="U33" s="158">
        <v>0</v>
      </c>
      <c r="V33" s="158">
        <v>0</v>
      </c>
      <c r="W33" s="158">
        <v>1523.6587428703942</v>
      </c>
      <c r="Y33" s="155">
        <f t="shared" si="12"/>
        <v>0</v>
      </c>
      <c r="Z33" s="155">
        <f t="shared" si="12"/>
        <v>0</v>
      </c>
      <c r="AA33" s="155">
        <f t="shared" si="12"/>
        <v>0</v>
      </c>
      <c r="AB33" s="155">
        <f t="shared" si="12"/>
        <v>-57.293638081986728</v>
      </c>
      <c r="AD33" s="156">
        <f t="shared" si="11"/>
        <v>0</v>
      </c>
      <c r="AE33" s="156">
        <f t="shared" si="11"/>
        <v>0</v>
      </c>
      <c r="AF33" s="156">
        <f t="shared" si="11"/>
        <v>0</v>
      </c>
      <c r="AG33" s="156">
        <f t="shared" si="11"/>
        <v>-3.623995179884703E-2</v>
      </c>
    </row>
    <row r="34" spans="1:33" s="145" customFormat="1" ht="15" x14ac:dyDescent="0.3">
      <c r="A34" s="148"/>
      <c r="B34" s="176" t="s">
        <v>86</v>
      </c>
      <c r="C34" s="182" t="s">
        <v>65</v>
      </c>
      <c r="D34" s="178">
        <v>870</v>
      </c>
      <c r="E34" s="178">
        <v>10000</v>
      </c>
      <c r="F34" s="179">
        <f t="shared" si="4"/>
        <v>8700000</v>
      </c>
      <c r="G34" s="179">
        <f t="shared" si="5"/>
        <v>1050</v>
      </c>
      <c r="H34" s="179">
        <f t="shared" si="6"/>
        <v>8285.7142857142862</v>
      </c>
      <c r="I34" s="153">
        <v>8285.7142857142862</v>
      </c>
      <c r="J34" s="154"/>
      <c r="K34" s="153">
        <f t="shared" si="8"/>
        <v>8041.0161094775995</v>
      </c>
      <c r="L34" s="155">
        <f t="shared" si="9"/>
        <v>-244.69817623668678</v>
      </c>
      <c r="M34" s="156">
        <f t="shared" si="10"/>
        <v>-2.9532538511324265E-2</v>
      </c>
      <c r="N34" s="157"/>
      <c r="O34" s="156"/>
      <c r="P34" s="156"/>
      <c r="Q34" s="156"/>
      <c r="R34" s="158">
        <v>8285.7142857142862</v>
      </c>
      <c r="T34" s="158">
        <v>0</v>
      </c>
      <c r="U34" s="158">
        <v>0</v>
      </c>
      <c r="V34" s="158">
        <v>0</v>
      </c>
      <c r="W34" s="158">
        <v>8041.0161094775995</v>
      </c>
      <c r="Y34" s="155">
        <f t="shared" si="12"/>
        <v>0</v>
      </c>
      <c r="Z34" s="155">
        <f t="shared" si="12"/>
        <v>0</v>
      </c>
      <c r="AA34" s="155">
        <f t="shared" si="12"/>
        <v>0</v>
      </c>
      <c r="AB34" s="155">
        <f t="shared" si="12"/>
        <v>-244.69817623668678</v>
      </c>
      <c r="AD34" s="156">
        <f t="shared" si="11"/>
        <v>0</v>
      </c>
      <c r="AE34" s="156">
        <f t="shared" si="11"/>
        <v>0</v>
      </c>
      <c r="AF34" s="156">
        <f t="shared" si="11"/>
        <v>0</v>
      </c>
      <c r="AG34" s="156">
        <f t="shared" si="11"/>
        <v>-2.9532538511324265E-2</v>
      </c>
    </row>
    <row r="35" spans="1:33" s="145" customFormat="1" ht="15" x14ac:dyDescent="0.3">
      <c r="A35" s="148"/>
      <c r="B35" s="176" t="s">
        <v>87</v>
      </c>
      <c r="C35" s="177" t="s">
        <v>59</v>
      </c>
      <c r="D35" s="178">
        <v>1</v>
      </c>
      <c r="E35" s="178">
        <v>6000000</v>
      </c>
      <c r="F35" s="179">
        <f t="shared" si="4"/>
        <v>6000000</v>
      </c>
      <c r="G35" s="179">
        <f t="shared" si="5"/>
        <v>1050</v>
      </c>
      <c r="H35" s="179">
        <f t="shared" si="6"/>
        <v>5714.2857142857147</v>
      </c>
      <c r="I35" s="174">
        <v>2857.1428571428573</v>
      </c>
      <c r="J35" s="175"/>
      <c r="K35" s="153">
        <f t="shared" si="8"/>
        <v>1651.9461808632859</v>
      </c>
      <c r="L35" s="155">
        <f t="shared" si="9"/>
        <v>-1205.1966762795714</v>
      </c>
      <c r="M35" s="156">
        <f t="shared" si="10"/>
        <v>-0.42181883669784997</v>
      </c>
      <c r="N35" s="157"/>
      <c r="O35" s="156"/>
      <c r="P35" s="156"/>
      <c r="Q35" s="183">
        <v>952.38095238095241</v>
      </c>
      <c r="R35" s="183">
        <v>1904.7619047619048</v>
      </c>
      <c r="T35" s="158">
        <v>0</v>
      </c>
      <c r="U35" s="158">
        <v>0</v>
      </c>
      <c r="V35" s="158">
        <v>550.64872695442864</v>
      </c>
      <c r="W35" s="158">
        <v>1101.2974539088573</v>
      </c>
      <c r="Y35" s="155">
        <f t="shared" si="12"/>
        <v>0</v>
      </c>
      <c r="Z35" s="155">
        <f t="shared" si="12"/>
        <v>0</v>
      </c>
      <c r="AA35" s="155">
        <f t="shared" si="12"/>
        <v>-401.73222542652377</v>
      </c>
      <c r="AB35" s="155">
        <f t="shared" si="12"/>
        <v>-803.46445085304754</v>
      </c>
      <c r="AD35" s="156">
        <f t="shared" si="11"/>
        <v>0</v>
      </c>
      <c r="AE35" s="156">
        <f t="shared" si="11"/>
        <v>0</v>
      </c>
      <c r="AF35" s="156">
        <f t="shared" si="11"/>
        <v>-0.42181883669784992</v>
      </c>
      <c r="AG35" s="156">
        <f t="shared" si="11"/>
        <v>-0.42181883669784992</v>
      </c>
    </row>
    <row r="36" spans="1:33" s="145" customFormat="1" ht="15" x14ac:dyDescent="0.3">
      <c r="A36" s="148"/>
      <c r="B36" s="176" t="s">
        <v>88</v>
      </c>
      <c r="C36" s="177" t="s">
        <v>65</v>
      </c>
      <c r="D36" s="178">
        <v>28</v>
      </c>
      <c r="E36" s="178">
        <v>1102000</v>
      </c>
      <c r="F36" s="179">
        <f t="shared" si="4"/>
        <v>30856000</v>
      </c>
      <c r="G36" s="179">
        <f t="shared" si="5"/>
        <v>1050</v>
      </c>
      <c r="H36" s="179">
        <f t="shared" si="6"/>
        <v>29386.666666666668</v>
      </c>
      <c r="I36" s="153">
        <v>0</v>
      </c>
      <c r="J36" s="154"/>
      <c r="K36" s="153">
        <f t="shared" si="8"/>
        <v>0</v>
      </c>
      <c r="L36" s="155">
        <f t="shared" si="9"/>
        <v>0</v>
      </c>
      <c r="M36" s="156">
        <f t="shared" si="10"/>
        <v>0</v>
      </c>
      <c r="N36" s="157"/>
      <c r="O36" s="156"/>
      <c r="P36" s="156"/>
      <c r="Q36" s="156"/>
      <c r="R36" s="158">
        <v>0</v>
      </c>
      <c r="T36" s="158"/>
      <c r="U36" s="158"/>
      <c r="V36" s="158"/>
      <c r="W36" s="158"/>
      <c r="Y36" s="155">
        <f t="shared" si="12"/>
        <v>0</v>
      </c>
      <c r="Z36" s="155">
        <f t="shared" si="12"/>
        <v>0</v>
      </c>
      <c r="AA36" s="155">
        <f t="shared" si="12"/>
        <v>0</v>
      </c>
      <c r="AB36" s="155">
        <f t="shared" si="12"/>
        <v>0</v>
      </c>
      <c r="AD36" s="156">
        <f t="shared" si="11"/>
        <v>0</v>
      </c>
      <c r="AE36" s="156">
        <f t="shared" si="11"/>
        <v>0</v>
      </c>
      <c r="AF36" s="156">
        <f t="shared" si="11"/>
        <v>0</v>
      </c>
      <c r="AG36" s="156">
        <f t="shared" si="11"/>
        <v>0</v>
      </c>
    </row>
    <row r="37" spans="1:33" s="145" customFormat="1" ht="15" x14ac:dyDescent="0.3">
      <c r="A37" s="148"/>
      <c r="B37" s="176" t="s">
        <v>89</v>
      </c>
      <c r="C37" s="177" t="s">
        <v>67</v>
      </c>
      <c r="D37" s="178">
        <v>28</v>
      </c>
      <c r="E37" s="178">
        <v>178190</v>
      </c>
      <c r="F37" s="179">
        <f t="shared" si="4"/>
        <v>4989320</v>
      </c>
      <c r="G37" s="179">
        <f t="shared" si="5"/>
        <v>1050</v>
      </c>
      <c r="H37" s="179">
        <f t="shared" si="6"/>
        <v>4751.7333333333336</v>
      </c>
      <c r="I37" s="153">
        <v>4751.7333333333336</v>
      </c>
      <c r="J37" s="154"/>
      <c r="K37" s="153">
        <f t="shared" si="8"/>
        <v>4367.1111371402058</v>
      </c>
      <c r="L37" s="155">
        <f t="shared" si="9"/>
        <v>-384.62219619312782</v>
      </c>
      <c r="M37" s="156">
        <f t="shared" si="10"/>
        <v>-8.0943556637534608E-2</v>
      </c>
      <c r="N37" s="157"/>
      <c r="O37" s="156"/>
      <c r="P37" s="156"/>
      <c r="Q37" s="156"/>
      <c r="R37" s="158">
        <v>4751.7333333333336</v>
      </c>
      <c r="T37" s="158">
        <v>0</v>
      </c>
      <c r="U37" s="158">
        <v>0</v>
      </c>
      <c r="V37" s="158">
        <v>0</v>
      </c>
      <c r="W37" s="158">
        <v>4367.1111371402058</v>
      </c>
      <c r="Y37" s="155">
        <f t="shared" si="12"/>
        <v>0</v>
      </c>
      <c r="Z37" s="155">
        <f t="shared" si="12"/>
        <v>0</v>
      </c>
      <c r="AA37" s="155">
        <f t="shared" si="12"/>
        <v>0</v>
      </c>
      <c r="AB37" s="155">
        <f t="shared" si="12"/>
        <v>-384.62219619312782</v>
      </c>
      <c r="AD37" s="156">
        <f t="shared" si="11"/>
        <v>0</v>
      </c>
      <c r="AE37" s="156">
        <f t="shared" si="11"/>
        <v>0</v>
      </c>
      <c r="AF37" s="156">
        <f t="shared" si="11"/>
        <v>0</v>
      </c>
      <c r="AG37" s="156">
        <f t="shared" si="11"/>
        <v>-8.0943556637534608E-2</v>
      </c>
    </row>
    <row r="38" spans="1:33" s="145" customFormat="1" ht="15" x14ac:dyDescent="0.3">
      <c r="A38" s="148"/>
      <c r="B38" s="176" t="s">
        <v>90</v>
      </c>
      <c r="C38" s="177" t="s">
        <v>65</v>
      </c>
      <c r="D38" s="178">
        <v>1</v>
      </c>
      <c r="E38" s="178"/>
      <c r="F38" s="179"/>
      <c r="G38" s="179"/>
      <c r="H38" s="179"/>
      <c r="I38" s="153">
        <v>133001.82</v>
      </c>
      <c r="J38" s="184"/>
      <c r="K38" s="153">
        <f t="shared" si="8"/>
        <v>134713.69241433372</v>
      </c>
      <c r="L38" s="155">
        <f t="shared" si="9"/>
        <v>1711.8724143337167</v>
      </c>
      <c r="M38" s="156">
        <f t="shared" si="10"/>
        <v>1.2871045030313995E-2</v>
      </c>
      <c r="N38" s="157"/>
      <c r="O38" s="156"/>
      <c r="P38" s="158">
        <v>133001.82</v>
      </c>
      <c r="Q38" s="156"/>
      <c r="R38" s="156"/>
      <c r="T38" s="158">
        <v>0</v>
      </c>
      <c r="U38" s="158">
        <v>134713.69241433372</v>
      </c>
      <c r="V38" s="158">
        <v>0</v>
      </c>
      <c r="W38" s="158">
        <v>0</v>
      </c>
      <c r="Y38" s="155">
        <f t="shared" si="12"/>
        <v>0</v>
      </c>
      <c r="Z38" s="155">
        <f t="shared" si="12"/>
        <v>1711.8724143337167</v>
      </c>
      <c r="AA38" s="155">
        <f t="shared" si="12"/>
        <v>0</v>
      </c>
      <c r="AB38" s="155">
        <f t="shared" si="12"/>
        <v>0</v>
      </c>
      <c r="AD38" s="156">
        <f t="shared" si="11"/>
        <v>0</v>
      </c>
      <c r="AE38" s="156">
        <f t="shared" si="11"/>
        <v>1.2871045030313995E-2</v>
      </c>
      <c r="AF38" s="156">
        <f t="shared" si="11"/>
        <v>0</v>
      </c>
      <c r="AG38" s="156">
        <f t="shared" si="11"/>
        <v>0</v>
      </c>
    </row>
    <row r="39" spans="1:33" s="167" customFormat="1" ht="15" customHeight="1" x14ac:dyDescent="0.3">
      <c r="A39" s="160"/>
      <c r="B39" s="162" t="s">
        <v>91</v>
      </c>
      <c r="C39" s="162"/>
      <c r="D39" s="162"/>
      <c r="E39" s="162"/>
      <c r="F39" s="162">
        <f>SUM(F12:F38)</f>
        <v>347809980</v>
      </c>
      <c r="G39" s="162"/>
      <c r="H39" s="162">
        <f>SUM(H12:H38)</f>
        <v>331247.59999999998</v>
      </c>
      <c r="I39" s="163">
        <f>SUM(I12:I38)</f>
        <v>374695.84761904762</v>
      </c>
      <c r="J39" s="164"/>
      <c r="K39" s="163">
        <f>SUM(K12:K38)</f>
        <v>374248.36705237289</v>
      </c>
      <c r="L39" s="163">
        <f t="shared" si="9"/>
        <v>-447.48056667472702</v>
      </c>
      <c r="M39" s="169">
        <f t="shared" si="10"/>
        <v>-1.1942501351914618E-3</v>
      </c>
      <c r="N39" s="165"/>
      <c r="O39" s="163">
        <f>SUM(O12:O38)</f>
        <v>22961.644376899694</v>
      </c>
      <c r="P39" s="163">
        <f>SUM(P12:P38)</f>
        <v>142780.86761904764</v>
      </c>
      <c r="Q39" s="163">
        <f>SUM(Q12:Q38)</f>
        <v>189387.81809523809</v>
      </c>
      <c r="R39" s="163">
        <f>SUM(R12:R38)</f>
        <v>19565.517527862208</v>
      </c>
      <c r="S39" s="166"/>
      <c r="T39" s="163">
        <f t="shared" ref="T39:W39" si="13">SUM(T12:T38)</f>
        <v>23052.390039293157</v>
      </c>
      <c r="U39" s="163">
        <f t="shared" si="13"/>
        <v>146475.32511186571</v>
      </c>
      <c r="V39" s="163">
        <f t="shared" si="13"/>
        <v>186736.98747202219</v>
      </c>
      <c r="W39" s="163">
        <f t="shared" si="13"/>
        <v>17983.664429191835</v>
      </c>
      <c r="Y39" s="168">
        <f t="shared" si="12"/>
        <v>90.745662393463135</v>
      </c>
      <c r="Z39" s="168">
        <f t="shared" si="12"/>
        <v>3694.4574928180664</v>
      </c>
      <c r="AA39" s="168">
        <f t="shared" si="12"/>
        <v>-2650.8306232159084</v>
      </c>
      <c r="AB39" s="168">
        <f t="shared" si="12"/>
        <v>-1581.8530986703736</v>
      </c>
      <c r="AD39" s="169">
        <f t="shared" si="11"/>
        <v>3.9520541692892345E-3</v>
      </c>
      <c r="AE39" s="169">
        <f t="shared" si="11"/>
        <v>2.5875017811736623E-2</v>
      </c>
      <c r="AF39" s="169">
        <f t="shared" si="11"/>
        <v>-1.3996838074785129E-2</v>
      </c>
      <c r="AG39" s="169">
        <f t="shared" si="11"/>
        <v>-8.0849029238186057E-2</v>
      </c>
    </row>
    <row r="40" spans="1:33" s="146" customFormat="1" x14ac:dyDescent="0.3">
      <c r="A40" s="139"/>
      <c r="B40" s="161" t="s">
        <v>92</v>
      </c>
      <c r="C40" s="162"/>
      <c r="D40" s="162"/>
      <c r="E40" s="162"/>
      <c r="F40" s="162">
        <f>SUM(F10+F39)</f>
        <v>364109921</v>
      </c>
      <c r="G40" s="162"/>
      <c r="H40" s="162">
        <f>SUM(H10+H39)</f>
        <v>346771.35333333333</v>
      </c>
      <c r="I40" s="163">
        <f>SUM(I10+I39)</f>
        <v>390219.60095238098</v>
      </c>
      <c r="J40" s="164"/>
      <c r="K40" s="163">
        <f>SUM(K10+K39)</f>
        <v>413168.47019951994</v>
      </c>
      <c r="L40" s="163">
        <f t="shared" si="9"/>
        <v>22948.869247138966</v>
      </c>
      <c r="M40" s="169">
        <f t="shared" si="10"/>
        <v>5.88101397037189E-2</v>
      </c>
      <c r="N40" s="165"/>
      <c r="O40" s="163">
        <f>SUM(O10+O39)</f>
        <v>26842.58271023303</v>
      </c>
      <c r="P40" s="163">
        <f>SUM(P10+P39)</f>
        <v>146661.80595238096</v>
      </c>
      <c r="Q40" s="163">
        <f>SUM(Q10+Q39)</f>
        <v>193268.75642857142</v>
      </c>
      <c r="R40" s="163">
        <f>SUM(R10+R39)</f>
        <v>23446.455861195544</v>
      </c>
      <c r="S40" s="145"/>
      <c r="T40" s="163">
        <f>SUM(T10+T39)</f>
        <v>32782.415826079916</v>
      </c>
      <c r="U40" s="163">
        <f>SUM(U10+U39)</f>
        <v>156205.35089865245</v>
      </c>
      <c r="V40" s="163">
        <f>SUM(V10+V39)</f>
        <v>196467.01325880893</v>
      </c>
      <c r="W40" s="163">
        <f>SUM(W10+W39)</f>
        <v>27713.690215978597</v>
      </c>
      <c r="Y40" s="168">
        <f>T40-O40</f>
        <v>5939.8331158468864</v>
      </c>
      <c r="Z40" s="168">
        <f t="shared" si="12"/>
        <v>9543.5449462714896</v>
      </c>
      <c r="AA40" s="168">
        <f t="shared" si="12"/>
        <v>3198.2568302375148</v>
      </c>
      <c r="AB40" s="168">
        <f t="shared" si="12"/>
        <v>4267.2343547830533</v>
      </c>
      <c r="AD40" s="169">
        <f t="shared" ref="AD40:AG40" si="14">IFERROR(Y40/O40,0)</f>
        <v>0.22128396436243375</v>
      </c>
      <c r="AE40" s="169">
        <f t="shared" si="14"/>
        <v>6.5071781192781342E-2</v>
      </c>
      <c r="AF40" s="169">
        <f t="shared" si="14"/>
        <v>1.654823515884489E-2</v>
      </c>
      <c r="AG40" s="169">
        <f t="shared" si="14"/>
        <v>0.18199912089252818</v>
      </c>
    </row>
    <row r="41" spans="1:33" s="146" customFormat="1" ht="15" customHeight="1" x14ac:dyDescent="0.3">
      <c r="A41" s="185"/>
      <c r="B41" s="825" t="s">
        <v>11</v>
      </c>
      <c r="C41" s="825"/>
      <c r="D41" s="825"/>
      <c r="E41" s="825"/>
      <c r="F41" s="825"/>
      <c r="G41" s="170"/>
      <c r="H41" s="170"/>
      <c r="I41" s="172"/>
      <c r="J41" s="164"/>
      <c r="K41" s="172"/>
      <c r="L41" s="186"/>
      <c r="M41" s="187"/>
      <c r="N41" s="165"/>
      <c r="O41" s="187"/>
      <c r="P41" s="187"/>
      <c r="Q41" s="187"/>
      <c r="R41" s="187"/>
      <c r="S41" s="145"/>
      <c r="T41" s="187"/>
      <c r="U41" s="187"/>
      <c r="V41" s="187"/>
      <c r="W41" s="187"/>
      <c r="Y41" s="187"/>
      <c r="Z41" s="187"/>
      <c r="AA41" s="187"/>
      <c r="AB41" s="187"/>
      <c r="AD41" s="187"/>
      <c r="AE41" s="187"/>
      <c r="AF41" s="187"/>
      <c r="AG41" s="187"/>
    </row>
    <row r="42" spans="1:33" s="146" customFormat="1" ht="15" customHeight="1" x14ac:dyDescent="0.3">
      <c r="A42" s="185"/>
      <c r="B42" s="826" t="s">
        <v>12</v>
      </c>
      <c r="C42" s="826"/>
      <c r="D42" s="826"/>
      <c r="E42" s="826"/>
      <c r="F42" s="826"/>
      <c r="G42" s="188"/>
      <c r="H42" s="188"/>
      <c r="I42" s="189"/>
      <c r="J42" s="164"/>
      <c r="K42" s="189"/>
      <c r="L42" s="190"/>
      <c r="M42" s="191"/>
      <c r="N42" s="165"/>
      <c r="O42" s="191"/>
      <c r="P42" s="191"/>
      <c r="Q42" s="191"/>
      <c r="R42" s="191"/>
      <c r="S42" s="145"/>
      <c r="T42" s="191"/>
      <c r="U42" s="191"/>
      <c r="V42" s="191"/>
      <c r="W42" s="191"/>
      <c r="Y42" s="191"/>
      <c r="Z42" s="191"/>
      <c r="AA42" s="191"/>
      <c r="AB42" s="191"/>
      <c r="AD42" s="191"/>
      <c r="AE42" s="191"/>
      <c r="AF42" s="191"/>
      <c r="AG42" s="191"/>
    </row>
    <row r="43" spans="1:33" s="145" customFormat="1" ht="15" customHeight="1" x14ac:dyDescent="0.3">
      <c r="A43" s="192"/>
      <c r="B43" s="151" t="s">
        <v>93</v>
      </c>
      <c r="C43" s="150" t="s">
        <v>59</v>
      </c>
      <c r="D43" s="151">
        <v>1</v>
      </c>
      <c r="E43" s="151">
        <v>12000000</v>
      </c>
      <c r="F43" s="151">
        <v>12000000</v>
      </c>
      <c r="G43" s="151">
        <f t="shared" ref="G43:G51" si="15">$G$5</f>
        <v>1050</v>
      </c>
      <c r="H43" s="151">
        <f>IF($G$5=0,0,F43/G43)</f>
        <v>11428.571428571429</v>
      </c>
      <c r="I43" s="151">
        <v>7195.7251076667471</v>
      </c>
      <c r="J43" s="193"/>
      <c r="K43" s="153">
        <f t="shared" ref="K43:K60" si="16">SUM(T43:W43)</f>
        <v>11477.436739749144</v>
      </c>
      <c r="L43" s="155">
        <f t="shared" ref="L43:L61" si="17">K43-I43</f>
        <v>4281.711632082397</v>
      </c>
      <c r="M43" s="194">
        <f t="shared" si="10"/>
        <v>0.59503546453163014</v>
      </c>
      <c r="N43" s="195"/>
      <c r="O43" s="196">
        <v>1798.9312769166868</v>
      </c>
      <c r="P43" s="196">
        <v>1798.9312769166868</v>
      </c>
      <c r="Q43" s="196">
        <v>1798.9312769166868</v>
      </c>
      <c r="R43" s="196">
        <v>1798.9312769166868</v>
      </c>
      <c r="T43" s="196">
        <v>2869.359184937286</v>
      </c>
      <c r="U43" s="196">
        <v>2869.359184937286</v>
      </c>
      <c r="V43" s="196">
        <v>2869.359184937286</v>
      </c>
      <c r="W43" s="196">
        <v>2869.359184937286</v>
      </c>
      <c r="Y43" s="155">
        <f t="shared" ref="Y43:AB61" si="18">T43-O43</f>
        <v>1070.4279080205993</v>
      </c>
      <c r="Z43" s="155">
        <f t="shared" si="18"/>
        <v>1070.4279080205993</v>
      </c>
      <c r="AA43" s="155">
        <f t="shared" si="18"/>
        <v>1070.4279080205993</v>
      </c>
      <c r="AB43" s="155">
        <f t="shared" si="18"/>
        <v>1070.4279080205993</v>
      </c>
      <c r="AD43" s="156">
        <f t="shared" ref="AD43:AG58" si="19">IFERROR(Y43/O43,0)</f>
        <v>0.59503546453163014</v>
      </c>
      <c r="AE43" s="156">
        <f t="shared" si="19"/>
        <v>0.59503546453163014</v>
      </c>
      <c r="AF43" s="156">
        <f t="shared" si="19"/>
        <v>0.59503546453163014</v>
      </c>
      <c r="AG43" s="156">
        <f t="shared" si="19"/>
        <v>0.59503546453163014</v>
      </c>
    </row>
    <row r="44" spans="1:33" s="145" customFormat="1" ht="15" customHeight="1" x14ac:dyDescent="0.3">
      <c r="A44" s="192"/>
      <c r="B44" s="151" t="s">
        <v>94</v>
      </c>
      <c r="C44" s="152" t="s">
        <v>59</v>
      </c>
      <c r="D44" s="151">
        <v>1</v>
      </c>
      <c r="E44" s="151">
        <v>20000000</v>
      </c>
      <c r="F44" s="151">
        <f t="shared" ref="F44:F51" si="20">D44*E44</f>
        <v>20000000</v>
      </c>
      <c r="G44" s="151">
        <f t="shared" si="15"/>
        <v>1050</v>
      </c>
      <c r="H44" s="151">
        <f t="shared" ref="H44:H51" si="21">IF($G$5=0,0,F44/G44)</f>
        <v>19047.619047619046</v>
      </c>
      <c r="I44" s="174">
        <v>14396.154522463741</v>
      </c>
      <c r="J44" s="175"/>
      <c r="K44" s="153">
        <f t="shared" si="16"/>
        <v>14657.18425532983</v>
      </c>
      <c r="L44" s="155">
        <f t="shared" si="17"/>
        <v>261.02973286608903</v>
      </c>
      <c r="M44" s="156">
        <f t="shared" si="10"/>
        <v>1.813190685462417E-2</v>
      </c>
      <c r="N44" s="157"/>
      <c r="O44" s="196">
        <v>3599.0386306159353</v>
      </c>
      <c r="P44" s="196">
        <v>3599.0386306159353</v>
      </c>
      <c r="Q44" s="196">
        <v>3599.0386306159353</v>
      </c>
      <c r="R44" s="196">
        <v>3599.0386306159353</v>
      </c>
      <c r="T44" s="196">
        <v>3664.2960638324575</v>
      </c>
      <c r="U44" s="196">
        <v>3664.2960638324575</v>
      </c>
      <c r="V44" s="196">
        <v>3664.2960638324575</v>
      </c>
      <c r="W44" s="196">
        <v>3664.2960638324575</v>
      </c>
      <c r="Y44" s="155">
        <f t="shared" si="18"/>
        <v>65.257433216522259</v>
      </c>
      <c r="Z44" s="155">
        <f t="shared" si="18"/>
        <v>65.257433216522259</v>
      </c>
      <c r="AA44" s="155">
        <f t="shared" si="18"/>
        <v>65.257433216522259</v>
      </c>
      <c r="AB44" s="155">
        <f t="shared" si="18"/>
        <v>65.257433216522259</v>
      </c>
      <c r="AD44" s="156">
        <f t="shared" si="19"/>
        <v>1.813190685462417E-2</v>
      </c>
      <c r="AE44" s="156">
        <f t="shared" si="19"/>
        <v>1.813190685462417E-2</v>
      </c>
      <c r="AF44" s="156">
        <f t="shared" si="19"/>
        <v>1.813190685462417E-2</v>
      </c>
      <c r="AG44" s="156">
        <f t="shared" si="19"/>
        <v>1.813190685462417E-2</v>
      </c>
    </row>
    <row r="45" spans="1:33" s="145" customFormat="1" ht="15" customHeight="1" x14ac:dyDescent="0.3">
      <c r="A45" s="192"/>
      <c r="B45" s="151" t="s">
        <v>95</v>
      </c>
      <c r="C45" s="152" t="s">
        <v>59</v>
      </c>
      <c r="D45" s="151">
        <v>1</v>
      </c>
      <c r="E45" s="151">
        <v>10000000</v>
      </c>
      <c r="F45" s="151">
        <f t="shared" si="20"/>
        <v>10000000</v>
      </c>
      <c r="G45" s="151">
        <f t="shared" si="15"/>
        <v>1050</v>
      </c>
      <c r="H45" s="151">
        <f t="shared" si="21"/>
        <v>9523.8095238095229</v>
      </c>
      <c r="I45" s="151">
        <v>8429.8154603231269</v>
      </c>
      <c r="J45" s="193"/>
      <c r="K45" s="153">
        <f t="shared" si="16"/>
        <v>6627.81200773402</v>
      </c>
      <c r="L45" s="155">
        <f t="shared" si="17"/>
        <v>-1802.0034525891069</v>
      </c>
      <c r="M45" s="194">
        <f t="shared" si="10"/>
        <v>-0.21376546865950416</v>
      </c>
      <c r="N45" s="195"/>
      <c r="O45" s="196">
        <v>2107.4538650807817</v>
      </c>
      <c r="P45" s="196">
        <v>2107.4538650807817</v>
      </c>
      <c r="Q45" s="196">
        <v>2107.4538650807817</v>
      </c>
      <c r="R45" s="196">
        <v>2107.4538650807817</v>
      </c>
      <c r="T45" s="196">
        <v>1656.953001933505</v>
      </c>
      <c r="U45" s="196">
        <v>1656.953001933505</v>
      </c>
      <c r="V45" s="196">
        <v>1656.953001933505</v>
      </c>
      <c r="W45" s="196">
        <v>1656.953001933505</v>
      </c>
      <c r="Y45" s="155">
        <f t="shared" si="18"/>
        <v>-450.50086314727673</v>
      </c>
      <c r="Z45" s="155">
        <f t="shared" si="18"/>
        <v>-450.50086314727673</v>
      </c>
      <c r="AA45" s="155">
        <f t="shared" si="18"/>
        <v>-450.50086314727673</v>
      </c>
      <c r="AB45" s="155">
        <f t="shared" si="18"/>
        <v>-450.50086314727673</v>
      </c>
      <c r="AD45" s="156">
        <f t="shared" si="19"/>
        <v>-0.21376546865950416</v>
      </c>
      <c r="AE45" s="156">
        <f t="shared" si="19"/>
        <v>-0.21376546865950416</v>
      </c>
      <c r="AF45" s="156">
        <f t="shared" si="19"/>
        <v>-0.21376546865950416</v>
      </c>
      <c r="AG45" s="156">
        <f t="shared" si="19"/>
        <v>-0.21376546865950416</v>
      </c>
    </row>
    <row r="46" spans="1:33" s="145" customFormat="1" ht="15" customHeight="1" x14ac:dyDescent="0.3">
      <c r="A46" s="192"/>
      <c r="B46" s="173" t="s">
        <v>96</v>
      </c>
      <c r="C46" s="152" t="s">
        <v>59</v>
      </c>
      <c r="D46" s="151">
        <v>1</v>
      </c>
      <c r="E46" s="151">
        <v>1500000</v>
      </c>
      <c r="F46" s="151">
        <f t="shared" si="20"/>
        <v>1500000</v>
      </c>
      <c r="G46" s="151">
        <f t="shared" si="15"/>
        <v>1050</v>
      </c>
      <c r="H46" s="151">
        <f t="shared" si="21"/>
        <v>1428.5714285714287</v>
      </c>
      <c r="I46" s="151">
        <v>1428.5714285714287</v>
      </c>
      <c r="J46" s="193"/>
      <c r="K46" s="153">
        <f t="shared" si="16"/>
        <v>509.64477761282978</v>
      </c>
      <c r="L46" s="155">
        <f t="shared" si="17"/>
        <v>-918.92665095859888</v>
      </c>
      <c r="M46" s="194">
        <f t="shared" si="10"/>
        <v>-0.64324865567101919</v>
      </c>
      <c r="N46" s="195"/>
      <c r="O46" s="196">
        <v>357.14285714285717</v>
      </c>
      <c r="P46" s="196">
        <v>357.14285714285717</v>
      </c>
      <c r="Q46" s="196">
        <v>357.14285714285717</v>
      </c>
      <c r="R46" s="196">
        <v>357.14285714285717</v>
      </c>
      <c r="T46" s="196">
        <v>127.41119440320745</v>
      </c>
      <c r="U46" s="196">
        <v>127.41119440320745</v>
      </c>
      <c r="V46" s="196">
        <v>127.41119440320745</v>
      </c>
      <c r="W46" s="196">
        <v>127.41119440320745</v>
      </c>
      <c r="Y46" s="155">
        <f t="shared" si="18"/>
        <v>-229.73166273964972</v>
      </c>
      <c r="Z46" s="155">
        <f t="shared" si="18"/>
        <v>-229.73166273964972</v>
      </c>
      <c r="AA46" s="155">
        <f t="shared" si="18"/>
        <v>-229.73166273964972</v>
      </c>
      <c r="AB46" s="155">
        <f t="shared" si="18"/>
        <v>-229.73166273964972</v>
      </c>
      <c r="AD46" s="156">
        <f t="shared" si="19"/>
        <v>-0.64324865567101919</v>
      </c>
      <c r="AE46" s="156">
        <f t="shared" si="19"/>
        <v>-0.64324865567101919</v>
      </c>
      <c r="AF46" s="156">
        <f t="shared" si="19"/>
        <v>-0.64324865567101919</v>
      </c>
      <c r="AG46" s="156">
        <f t="shared" si="19"/>
        <v>-0.64324865567101919</v>
      </c>
    </row>
    <row r="47" spans="1:33" s="145" customFormat="1" ht="15" customHeight="1" x14ac:dyDescent="0.3">
      <c r="A47" s="192"/>
      <c r="B47" s="151" t="s">
        <v>97</v>
      </c>
      <c r="C47" s="152" t="s">
        <v>59</v>
      </c>
      <c r="D47" s="151">
        <v>1</v>
      </c>
      <c r="E47" s="151">
        <v>4400000</v>
      </c>
      <c r="F47" s="151">
        <v>4400000</v>
      </c>
      <c r="G47" s="151">
        <f t="shared" si="15"/>
        <v>1050</v>
      </c>
      <c r="H47" s="151">
        <f t="shared" si="21"/>
        <v>4190.4761904761908</v>
      </c>
      <c r="I47" s="174">
        <v>3714</v>
      </c>
      <c r="J47" s="175"/>
      <c r="K47" s="153">
        <f t="shared" si="16"/>
        <v>5788.0625772223639</v>
      </c>
      <c r="L47" s="155">
        <f t="shared" si="17"/>
        <v>2074.0625772223639</v>
      </c>
      <c r="M47" s="156">
        <f t="shared" si="10"/>
        <v>0.55844442036143349</v>
      </c>
      <c r="N47" s="157"/>
      <c r="O47" s="196">
        <v>928.5</v>
      </c>
      <c r="P47" s="196">
        <v>928.5</v>
      </c>
      <c r="Q47" s="196">
        <v>928.5</v>
      </c>
      <c r="R47" s="196">
        <v>928.5</v>
      </c>
      <c r="T47" s="196">
        <v>1447.015644305591</v>
      </c>
      <c r="U47" s="196">
        <v>1447.015644305591</v>
      </c>
      <c r="V47" s="196">
        <v>1447.015644305591</v>
      </c>
      <c r="W47" s="196">
        <v>1447.015644305591</v>
      </c>
      <c r="Y47" s="155">
        <f t="shared" si="18"/>
        <v>518.51564430559097</v>
      </c>
      <c r="Z47" s="155">
        <f t="shared" si="18"/>
        <v>518.51564430559097</v>
      </c>
      <c r="AA47" s="155">
        <f t="shared" si="18"/>
        <v>518.51564430559097</v>
      </c>
      <c r="AB47" s="155">
        <f t="shared" si="18"/>
        <v>518.51564430559097</v>
      </c>
      <c r="AD47" s="156">
        <f t="shared" si="19"/>
        <v>0.55844442036143349</v>
      </c>
      <c r="AE47" s="156">
        <f t="shared" si="19"/>
        <v>0.55844442036143349</v>
      </c>
      <c r="AF47" s="156">
        <f t="shared" si="19"/>
        <v>0.55844442036143349</v>
      </c>
      <c r="AG47" s="156">
        <f t="shared" si="19"/>
        <v>0.55844442036143349</v>
      </c>
    </row>
    <row r="48" spans="1:33" s="159" customFormat="1" ht="15" customHeight="1" x14ac:dyDescent="0.3">
      <c r="A48" s="192"/>
      <c r="B48" s="151" t="s">
        <v>98</v>
      </c>
      <c r="C48" s="152" t="s">
        <v>59</v>
      </c>
      <c r="D48" s="151">
        <v>1</v>
      </c>
      <c r="E48" s="151">
        <v>7000000</v>
      </c>
      <c r="F48" s="151">
        <f t="shared" si="20"/>
        <v>7000000</v>
      </c>
      <c r="G48" s="151">
        <f t="shared" si="15"/>
        <v>1050</v>
      </c>
      <c r="H48" s="151">
        <f t="shared" si="21"/>
        <v>6666.666666666667</v>
      </c>
      <c r="I48" s="151">
        <v>6666.666666666667</v>
      </c>
      <c r="J48" s="193"/>
      <c r="K48" s="153">
        <f t="shared" si="16"/>
        <v>6984.57268330019</v>
      </c>
      <c r="L48" s="155">
        <f t="shared" si="17"/>
        <v>317.906016633523</v>
      </c>
      <c r="M48" s="194">
        <f t="shared" si="10"/>
        <v>4.7685902495028444E-2</v>
      </c>
      <c r="N48" s="195"/>
      <c r="O48" s="196">
        <v>1666.6666666666667</v>
      </c>
      <c r="P48" s="196">
        <v>1666.6666666666667</v>
      </c>
      <c r="Q48" s="196">
        <v>1666.6666666666667</v>
      </c>
      <c r="R48" s="196">
        <v>1666.6666666666667</v>
      </c>
      <c r="T48" s="196">
        <v>1746.1431708250475</v>
      </c>
      <c r="U48" s="196">
        <v>1746.1431708250475</v>
      </c>
      <c r="V48" s="196">
        <v>1746.1431708250475</v>
      </c>
      <c r="W48" s="196">
        <v>1746.1431708250475</v>
      </c>
      <c r="Y48" s="155">
        <f t="shared" si="18"/>
        <v>79.476504158380749</v>
      </c>
      <c r="Z48" s="155">
        <f t="shared" si="18"/>
        <v>79.476504158380749</v>
      </c>
      <c r="AA48" s="155">
        <f t="shared" si="18"/>
        <v>79.476504158380749</v>
      </c>
      <c r="AB48" s="155">
        <f t="shared" si="18"/>
        <v>79.476504158380749</v>
      </c>
      <c r="AD48" s="156">
        <f t="shared" si="19"/>
        <v>4.7685902495028444E-2</v>
      </c>
      <c r="AE48" s="156">
        <f t="shared" si="19"/>
        <v>4.7685902495028444E-2</v>
      </c>
      <c r="AF48" s="156">
        <f t="shared" si="19"/>
        <v>4.7685902495028444E-2</v>
      </c>
      <c r="AG48" s="156">
        <f t="shared" si="19"/>
        <v>4.7685902495028444E-2</v>
      </c>
    </row>
    <row r="49" spans="1:33" s="159" customFormat="1" ht="15" customHeight="1" x14ac:dyDescent="0.3">
      <c r="A49" s="192"/>
      <c r="B49" s="151" t="s">
        <v>99</v>
      </c>
      <c r="C49" s="152" t="s">
        <v>59</v>
      </c>
      <c r="D49" s="151">
        <v>1</v>
      </c>
      <c r="E49" s="151">
        <v>6000000</v>
      </c>
      <c r="F49" s="151">
        <f t="shared" si="20"/>
        <v>6000000</v>
      </c>
      <c r="G49" s="151">
        <f t="shared" si="15"/>
        <v>1050</v>
      </c>
      <c r="H49" s="151">
        <f t="shared" si="21"/>
        <v>5714.2857142857147</v>
      </c>
      <c r="I49" s="151">
        <v>0</v>
      </c>
      <c r="J49" s="193"/>
      <c r="K49" s="153">
        <f t="shared" si="16"/>
        <v>0</v>
      </c>
      <c r="L49" s="155">
        <f t="shared" si="17"/>
        <v>0</v>
      </c>
      <c r="M49" s="194">
        <f t="shared" si="10"/>
        <v>0</v>
      </c>
      <c r="N49" s="195"/>
      <c r="O49" s="196">
        <v>0</v>
      </c>
      <c r="P49" s="196">
        <v>0</v>
      </c>
      <c r="Q49" s="196">
        <v>0</v>
      </c>
      <c r="R49" s="196">
        <v>0</v>
      </c>
      <c r="T49" s="196"/>
      <c r="U49" s="196"/>
      <c r="V49" s="196"/>
      <c r="W49" s="196"/>
      <c r="Y49" s="155">
        <f t="shared" si="18"/>
        <v>0</v>
      </c>
      <c r="Z49" s="155">
        <f>U49-P49</f>
        <v>0</v>
      </c>
      <c r="AA49" s="155">
        <f t="shared" si="18"/>
        <v>0</v>
      </c>
      <c r="AB49" s="155">
        <f t="shared" si="18"/>
        <v>0</v>
      </c>
      <c r="AD49" s="156">
        <f t="shared" si="19"/>
        <v>0</v>
      </c>
      <c r="AE49" s="156">
        <f t="shared" si="19"/>
        <v>0</v>
      </c>
      <c r="AF49" s="156">
        <f t="shared" si="19"/>
        <v>0</v>
      </c>
      <c r="AG49" s="156">
        <f t="shared" si="19"/>
        <v>0</v>
      </c>
    </row>
    <row r="50" spans="1:33" s="159" customFormat="1" ht="15" customHeight="1" x14ac:dyDescent="0.3">
      <c r="A50" s="192"/>
      <c r="B50" s="151" t="s">
        <v>100</v>
      </c>
      <c r="C50" s="152" t="s">
        <v>59</v>
      </c>
      <c r="D50" s="151">
        <v>8</v>
      </c>
      <c r="E50" s="151">
        <v>603000</v>
      </c>
      <c r="F50" s="151">
        <f t="shared" si="20"/>
        <v>4824000</v>
      </c>
      <c r="G50" s="151">
        <f t="shared" si="15"/>
        <v>1050</v>
      </c>
      <c r="H50" s="151">
        <f t="shared" si="21"/>
        <v>4594.2857142857147</v>
      </c>
      <c r="I50" s="151">
        <v>4594.2857142857147</v>
      </c>
      <c r="J50" s="193"/>
      <c r="K50" s="153">
        <f t="shared" si="16"/>
        <v>5761.2688373546134</v>
      </c>
      <c r="L50" s="155">
        <f t="shared" si="17"/>
        <v>1166.9831230688987</v>
      </c>
      <c r="M50" s="194">
        <f t="shared" si="10"/>
        <v>0.25400752056847919</v>
      </c>
      <c r="N50" s="195"/>
      <c r="O50" s="196">
        <v>1148.5714285714287</v>
      </c>
      <c r="P50" s="196">
        <v>1148.5714285714287</v>
      </c>
      <c r="Q50" s="196">
        <v>1148.5714285714287</v>
      </c>
      <c r="R50" s="196">
        <v>1148.5714285714287</v>
      </c>
      <c r="T50" s="196">
        <v>1440.3172093386534</v>
      </c>
      <c r="U50" s="196">
        <v>1440.3172093386534</v>
      </c>
      <c r="V50" s="196">
        <v>1440.3172093386534</v>
      </c>
      <c r="W50" s="196">
        <v>1440.3172093386534</v>
      </c>
      <c r="Y50" s="155">
        <f t="shared" si="18"/>
        <v>291.74578076722469</v>
      </c>
      <c r="Z50" s="155">
        <f t="shared" si="18"/>
        <v>291.74578076722469</v>
      </c>
      <c r="AA50" s="155">
        <f t="shared" si="18"/>
        <v>291.74578076722469</v>
      </c>
      <c r="AB50" s="155">
        <f t="shared" si="18"/>
        <v>291.74578076722469</v>
      </c>
      <c r="AD50" s="156">
        <f t="shared" si="19"/>
        <v>0.25400752056847919</v>
      </c>
      <c r="AE50" s="156">
        <f t="shared" si="19"/>
        <v>0.25400752056847919</v>
      </c>
      <c r="AF50" s="156">
        <f t="shared" si="19"/>
        <v>0.25400752056847919</v>
      </c>
      <c r="AG50" s="156">
        <f t="shared" si="19"/>
        <v>0.25400752056847919</v>
      </c>
    </row>
    <row r="51" spans="1:33" s="159" customFormat="1" ht="15" customHeight="1" x14ac:dyDescent="0.3">
      <c r="A51" s="192"/>
      <c r="B51" s="151" t="s">
        <v>101</v>
      </c>
      <c r="C51" s="152" t="s">
        <v>59</v>
      </c>
      <c r="D51" s="151">
        <v>1</v>
      </c>
      <c r="E51" s="151">
        <v>10000000</v>
      </c>
      <c r="F51" s="151">
        <f t="shared" si="20"/>
        <v>10000000</v>
      </c>
      <c r="G51" s="151">
        <f t="shared" si="15"/>
        <v>1050</v>
      </c>
      <c r="H51" s="151">
        <f t="shared" si="21"/>
        <v>9523.8095238095229</v>
      </c>
      <c r="I51" s="151">
        <v>9523.8095238095229</v>
      </c>
      <c r="J51" s="193"/>
      <c r="K51" s="153">
        <f t="shared" si="16"/>
        <v>6051.0969315902357</v>
      </c>
      <c r="L51" s="155">
        <f t="shared" si="17"/>
        <v>-3472.7125922192872</v>
      </c>
      <c r="M51" s="194">
        <f t="shared" si="10"/>
        <v>-0.36463482218302518</v>
      </c>
      <c r="N51" s="195"/>
      <c r="O51" s="196">
        <v>2380.9523809523807</v>
      </c>
      <c r="P51" s="196">
        <v>2380.9523809523807</v>
      </c>
      <c r="Q51" s="196">
        <v>2380.9523809523807</v>
      </c>
      <c r="R51" s="196">
        <v>2380.9523809523807</v>
      </c>
      <c r="T51" s="196">
        <v>1512.7742328975589</v>
      </c>
      <c r="U51" s="196">
        <v>1512.7742328975589</v>
      </c>
      <c r="V51" s="196">
        <v>1512.7742328975589</v>
      </c>
      <c r="W51" s="196">
        <v>1512.7742328975589</v>
      </c>
      <c r="Y51" s="155">
        <f t="shared" si="18"/>
        <v>-868.1781480548218</v>
      </c>
      <c r="Z51" s="155">
        <f t="shared" si="18"/>
        <v>-868.1781480548218</v>
      </c>
      <c r="AA51" s="155">
        <f t="shared" si="18"/>
        <v>-868.1781480548218</v>
      </c>
      <c r="AB51" s="155">
        <f t="shared" si="18"/>
        <v>-868.1781480548218</v>
      </c>
      <c r="AD51" s="156">
        <f t="shared" si="19"/>
        <v>-0.36463482218302518</v>
      </c>
      <c r="AE51" s="156">
        <f t="shared" si="19"/>
        <v>-0.36463482218302518</v>
      </c>
      <c r="AF51" s="156">
        <f t="shared" si="19"/>
        <v>-0.36463482218302518</v>
      </c>
      <c r="AG51" s="156">
        <f t="shared" si="19"/>
        <v>-0.36463482218302518</v>
      </c>
    </row>
    <row r="52" spans="1:33" s="159" customFormat="1" ht="15" customHeight="1" x14ac:dyDescent="0.3">
      <c r="A52" s="192"/>
      <c r="B52" s="151" t="s">
        <v>102</v>
      </c>
      <c r="C52" s="152" t="s">
        <v>59</v>
      </c>
      <c r="D52" s="151">
        <v>1</v>
      </c>
      <c r="E52" s="151">
        <v>21999600</v>
      </c>
      <c r="F52" s="151">
        <v>21999600</v>
      </c>
      <c r="G52" s="151">
        <v>1050</v>
      </c>
      <c r="H52" s="151"/>
      <c r="I52" s="151">
        <v>15504.243070267425</v>
      </c>
      <c r="J52" s="193"/>
      <c r="K52" s="153">
        <f t="shared" si="16"/>
        <v>4985.3370818552048</v>
      </c>
      <c r="L52" s="155">
        <f t="shared" si="17"/>
        <v>-10518.90598841222</v>
      </c>
      <c r="M52" s="194">
        <f t="shared" si="10"/>
        <v>-0.67845337181177101</v>
      </c>
      <c r="N52" s="195"/>
      <c r="O52" s="194"/>
      <c r="P52" s="197">
        <v>15504.243070267425</v>
      </c>
      <c r="Q52" s="194"/>
      <c r="R52" s="194"/>
      <c r="T52" s="196">
        <v>0</v>
      </c>
      <c r="U52" s="196">
        <v>4985.3370818552048</v>
      </c>
      <c r="V52" s="196">
        <v>0</v>
      </c>
      <c r="W52" s="196">
        <v>0</v>
      </c>
      <c r="Y52" s="155">
        <f t="shared" si="18"/>
        <v>0</v>
      </c>
      <c r="Z52" s="155">
        <f t="shared" si="18"/>
        <v>-10518.90598841222</v>
      </c>
      <c r="AA52" s="155">
        <f t="shared" si="18"/>
        <v>0</v>
      </c>
      <c r="AB52" s="155">
        <f t="shared" si="18"/>
        <v>0</v>
      </c>
      <c r="AD52" s="156">
        <f t="shared" si="19"/>
        <v>0</v>
      </c>
      <c r="AE52" s="156">
        <f t="shared" si="19"/>
        <v>-0.67845337181177101</v>
      </c>
      <c r="AF52" s="156">
        <f t="shared" si="19"/>
        <v>0</v>
      </c>
      <c r="AG52" s="156">
        <f t="shared" si="19"/>
        <v>0</v>
      </c>
    </row>
    <row r="53" spans="1:33" s="159" customFormat="1" ht="15" customHeight="1" x14ac:dyDescent="0.3">
      <c r="A53" s="192"/>
      <c r="B53" s="387" t="s">
        <v>103</v>
      </c>
      <c r="C53" s="152" t="s">
        <v>59</v>
      </c>
      <c r="D53" s="151">
        <v>1</v>
      </c>
      <c r="E53" s="151">
        <f>12200000+7330282</f>
        <v>19530282</v>
      </c>
      <c r="F53" s="151">
        <f>D53*E53</f>
        <v>19530282</v>
      </c>
      <c r="G53" s="151">
        <v>1150</v>
      </c>
      <c r="H53" s="151"/>
      <c r="I53" s="151">
        <v>16982.853913043476</v>
      </c>
      <c r="J53" s="193"/>
      <c r="K53" s="153">
        <f t="shared" si="16"/>
        <v>23662.071206326757</v>
      </c>
      <c r="L53" s="155">
        <f t="shared" si="17"/>
        <v>6679.21729328328</v>
      </c>
      <c r="M53" s="194">
        <f t="shared" si="10"/>
        <v>0.39329180639971162</v>
      </c>
      <c r="N53" s="195"/>
      <c r="O53" s="194"/>
      <c r="P53" s="197">
        <v>16982.853913043476</v>
      </c>
      <c r="Q53" s="194"/>
      <c r="R53" s="194"/>
      <c r="T53" s="196">
        <v>0</v>
      </c>
      <c r="U53" s="196">
        <v>23662.071206326757</v>
      </c>
      <c r="V53" s="196">
        <v>0</v>
      </c>
      <c r="W53" s="196">
        <v>0</v>
      </c>
      <c r="Y53" s="155">
        <f t="shared" si="18"/>
        <v>0</v>
      </c>
      <c r="Z53" s="155">
        <f t="shared" si="18"/>
        <v>6679.21729328328</v>
      </c>
      <c r="AA53" s="155">
        <f t="shared" si="18"/>
        <v>0</v>
      </c>
      <c r="AB53" s="155">
        <f t="shared" si="18"/>
        <v>0</v>
      </c>
      <c r="AD53" s="156">
        <f t="shared" si="19"/>
        <v>0</v>
      </c>
      <c r="AE53" s="156">
        <f t="shared" si="19"/>
        <v>0.39329180639971162</v>
      </c>
      <c r="AF53" s="156">
        <f t="shared" si="19"/>
        <v>0</v>
      </c>
      <c r="AG53" s="156">
        <f t="shared" si="19"/>
        <v>0</v>
      </c>
    </row>
    <row r="54" spans="1:33" s="159" customFormat="1" ht="15" customHeight="1" x14ac:dyDescent="0.3">
      <c r="A54" s="192"/>
      <c r="B54" s="198" t="s">
        <v>104</v>
      </c>
      <c r="C54" s="152" t="s">
        <v>59</v>
      </c>
      <c r="D54" s="199">
        <v>12</v>
      </c>
      <c r="E54" s="199">
        <v>2800</v>
      </c>
      <c r="F54" s="199"/>
      <c r="G54" s="199"/>
      <c r="H54" s="199">
        <f>D54*E54</f>
        <v>33600</v>
      </c>
      <c r="I54" s="200">
        <v>18891.526666666668</v>
      </c>
      <c r="J54" s="175"/>
      <c r="K54" s="153">
        <f t="shared" si="16"/>
        <v>19045.143333333337</v>
      </c>
      <c r="L54" s="155">
        <f t="shared" si="17"/>
        <v>153.61666666666861</v>
      </c>
      <c r="M54" s="156">
        <f t="shared" si="10"/>
        <v>8.1315115171564714E-3</v>
      </c>
      <c r="N54" s="157"/>
      <c r="O54" s="196">
        <v>4722.8816666666671</v>
      </c>
      <c r="P54" s="196">
        <v>4722.8816666666671</v>
      </c>
      <c r="Q54" s="196">
        <v>4722.8816666666671</v>
      </c>
      <c r="R54" s="196">
        <v>4722.8816666666671</v>
      </c>
      <c r="T54" s="196">
        <f>'Budget - actual UGA'!T49</f>
        <v>4761.2858333333343</v>
      </c>
      <c r="U54" s="196">
        <f>'Budget - actual UGA'!U49</f>
        <v>4761.2858333333343</v>
      </c>
      <c r="V54" s="196">
        <f>'Budget - actual UGA'!V49</f>
        <v>4761.2858333333343</v>
      </c>
      <c r="W54" s="196">
        <f>'Budget - actual UGA'!W49</f>
        <v>4761.2858333333343</v>
      </c>
      <c r="Y54" s="155">
        <f t="shared" si="18"/>
        <v>38.404166666667152</v>
      </c>
      <c r="Z54" s="155">
        <f t="shared" si="18"/>
        <v>38.404166666667152</v>
      </c>
      <c r="AA54" s="155">
        <f t="shared" si="18"/>
        <v>38.404166666667152</v>
      </c>
      <c r="AB54" s="155">
        <f t="shared" si="18"/>
        <v>38.404166666667152</v>
      </c>
      <c r="AD54" s="156">
        <f t="shared" si="19"/>
        <v>8.1315115171564714E-3</v>
      </c>
      <c r="AE54" s="156">
        <f t="shared" si="19"/>
        <v>8.1315115171564714E-3</v>
      </c>
      <c r="AF54" s="156">
        <f t="shared" si="19"/>
        <v>8.1315115171564714E-3</v>
      </c>
      <c r="AG54" s="156">
        <f t="shared" si="19"/>
        <v>8.1315115171564714E-3</v>
      </c>
    </row>
    <row r="55" spans="1:33" s="159" customFormat="1" ht="15" customHeight="1" x14ac:dyDescent="0.3">
      <c r="A55" s="192"/>
      <c r="B55" s="198" t="s">
        <v>105</v>
      </c>
      <c r="C55" s="152" t="s">
        <v>59</v>
      </c>
      <c r="D55" s="151">
        <v>24</v>
      </c>
      <c r="E55" s="151">
        <v>2500</v>
      </c>
      <c r="F55" s="151"/>
      <c r="G55" s="151"/>
      <c r="H55" s="151">
        <f>D55*E55</f>
        <v>60000</v>
      </c>
      <c r="I55" s="151">
        <v>60000</v>
      </c>
      <c r="J55" s="193"/>
      <c r="K55" s="153">
        <f t="shared" si="16"/>
        <v>44659.544054116566</v>
      </c>
      <c r="L55" s="155">
        <f t="shared" si="17"/>
        <v>-15340.455945883434</v>
      </c>
      <c r="M55" s="194">
        <f t="shared" si="10"/>
        <v>-0.25567426576472391</v>
      </c>
      <c r="N55" s="157"/>
      <c r="O55" s="196">
        <v>15000</v>
      </c>
      <c r="P55" s="196">
        <v>15000</v>
      </c>
      <c r="Q55" s="196">
        <v>15000</v>
      </c>
      <c r="R55" s="196">
        <v>15000</v>
      </c>
      <c r="T55" s="196">
        <v>11164.886013529142</v>
      </c>
      <c r="U55" s="196">
        <v>11164.886013529142</v>
      </c>
      <c r="V55" s="196">
        <v>11164.886013529142</v>
      </c>
      <c r="W55" s="196">
        <v>11164.886013529142</v>
      </c>
      <c r="Y55" s="155">
        <f t="shared" si="18"/>
        <v>-3835.1139864708584</v>
      </c>
      <c r="Z55" s="155">
        <f t="shared" si="18"/>
        <v>-3835.1139864708584</v>
      </c>
      <c r="AA55" s="155">
        <f t="shared" si="18"/>
        <v>-3835.1139864708584</v>
      </c>
      <c r="AB55" s="155">
        <f t="shared" si="18"/>
        <v>-3835.1139864708584</v>
      </c>
      <c r="AD55" s="156">
        <f t="shared" si="19"/>
        <v>-0.25567426576472391</v>
      </c>
      <c r="AE55" s="156">
        <f t="shared" si="19"/>
        <v>-0.25567426576472391</v>
      </c>
      <c r="AF55" s="156">
        <f t="shared" si="19"/>
        <v>-0.25567426576472391</v>
      </c>
      <c r="AG55" s="156">
        <f t="shared" si="19"/>
        <v>-0.25567426576472391</v>
      </c>
    </row>
    <row r="56" spans="1:33" s="202" customFormat="1" x14ac:dyDescent="0.3">
      <c r="A56" s="192"/>
      <c r="B56" s="198" t="s">
        <v>106</v>
      </c>
      <c r="C56" s="152" t="s">
        <v>59</v>
      </c>
      <c r="D56" s="199">
        <v>1</v>
      </c>
      <c r="E56" s="199">
        <v>12000</v>
      </c>
      <c r="F56" s="199"/>
      <c r="G56" s="199"/>
      <c r="H56" s="199">
        <f>E56</f>
        <v>12000</v>
      </c>
      <c r="I56" s="151">
        <v>0</v>
      </c>
      <c r="J56" s="193"/>
      <c r="K56" s="153">
        <f t="shared" si="16"/>
        <v>0</v>
      </c>
      <c r="L56" s="155">
        <f t="shared" si="17"/>
        <v>0</v>
      </c>
      <c r="M56" s="194">
        <f t="shared" si="10"/>
        <v>0</v>
      </c>
      <c r="N56" s="157"/>
      <c r="O56" s="196">
        <v>0</v>
      </c>
      <c r="P56" s="196">
        <v>0</v>
      </c>
      <c r="Q56" s="196">
        <v>0</v>
      </c>
      <c r="R56" s="196">
        <v>0</v>
      </c>
      <c r="S56" s="201"/>
      <c r="T56" s="196"/>
      <c r="U56" s="196"/>
      <c r="V56" s="196"/>
      <c r="W56" s="196"/>
      <c r="X56" s="201"/>
      <c r="Y56" s="155">
        <f t="shared" si="18"/>
        <v>0</v>
      </c>
      <c r="Z56" s="155">
        <f t="shared" si="18"/>
        <v>0</v>
      </c>
      <c r="AA56" s="155">
        <f t="shared" si="18"/>
        <v>0</v>
      </c>
      <c r="AB56" s="155">
        <f t="shared" si="18"/>
        <v>0</v>
      </c>
      <c r="AC56" s="201"/>
      <c r="AD56" s="156">
        <f t="shared" si="19"/>
        <v>0</v>
      </c>
      <c r="AE56" s="156">
        <f t="shared" si="19"/>
        <v>0</v>
      </c>
      <c r="AF56" s="156">
        <f t="shared" si="19"/>
        <v>0</v>
      </c>
      <c r="AG56" s="156">
        <f t="shared" si="19"/>
        <v>0</v>
      </c>
    </row>
    <row r="57" spans="1:33" s="202" customFormat="1" ht="15" customHeight="1" x14ac:dyDescent="0.3">
      <c r="A57" s="192"/>
      <c r="B57" s="198" t="s">
        <v>107</v>
      </c>
      <c r="C57" s="152" t="s">
        <v>59</v>
      </c>
      <c r="D57" s="199">
        <v>1</v>
      </c>
      <c r="E57" s="203">
        <v>4800</v>
      </c>
      <c r="F57" s="199"/>
      <c r="G57" s="199"/>
      <c r="H57" s="199">
        <v>4800</v>
      </c>
      <c r="I57" s="151">
        <v>4800</v>
      </c>
      <c r="J57" s="193"/>
      <c r="K57" s="153">
        <f t="shared" si="16"/>
        <v>15221.897236104121</v>
      </c>
      <c r="L57" s="155">
        <f t="shared" si="17"/>
        <v>10421.897236104121</v>
      </c>
      <c r="M57" s="194">
        <f t="shared" si="10"/>
        <v>2.1712285908550255</v>
      </c>
      <c r="N57" s="157"/>
      <c r="O57" s="196">
        <v>1200</v>
      </c>
      <c r="P57" s="196">
        <v>1200</v>
      </c>
      <c r="Q57" s="196">
        <v>1200</v>
      </c>
      <c r="R57" s="196">
        <v>1200</v>
      </c>
      <c r="T57" s="196">
        <v>1281.8974999999998</v>
      </c>
      <c r="U57" s="196">
        <v>11376.204736104124</v>
      </c>
      <c r="V57" s="196">
        <v>1281.8974999999998</v>
      </c>
      <c r="W57" s="196">
        <v>1281.8974999999998</v>
      </c>
      <c r="X57" s="201"/>
      <c r="Y57" s="155">
        <f t="shared" si="18"/>
        <v>81.897499999999809</v>
      </c>
      <c r="Z57" s="155">
        <f t="shared" si="18"/>
        <v>10176.204736104124</v>
      </c>
      <c r="AA57" s="155">
        <f t="shared" si="18"/>
        <v>81.897499999999809</v>
      </c>
      <c r="AB57" s="155">
        <f t="shared" si="18"/>
        <v>81.897499999999809</v>
      </c>
      <c r="AC57" s="201"/>
      <c r="AD57" s="156">
        <f t="shared" si="19"/>
        <v>6.8247916666666505E-2</v>
      </c>
      <c r="AE57" s="156">
        <f t="shared" si="19"/>
        <v>8.4801706134201034</v>
      </c>
      <c r="AF57" s="156">
        <f t="shared" si="19"/>
        <v>6.8247916666666505E-2</v>
      </c>
      <c r="AG57" s="156">
        <f t="shared" si="19"/>
        <v>6.8247916666666505E-2</v>
      </c>
    </row>
    <row r="58" spans="1:33" s="202" customFormat="1" ht="15" customHeight="1" x14ac:dyDescent="0.3">
      <c r="A58" s="192"/>
      <c r="B58" s="198" t="s">
        <v>108</v>
      </c>
      <c r="C58" s="152" t="s">
        <v>59</v>
      </c>
      <c r="D58" s="199">
        <v>1</v>
      </c>
      <c r="E58" s="203">
        <v>30000</v>
      </c>
      <c r="F58" s="199"/>
      <c r="G58" s="199"/>
      <c r="H58" s="199">
        <f>D58*E58</f>
        <v>30000</v>
      </c>
      <c r="I58" s="174">
        <v>20000</v>
      </c>
      <c r="J58" s="175"/>
      <c r="K58" s="153">
        <f t="shared" si="16"/>
        <v>7367.6850000000004</v>
      </c>
      <c r="L58" s="155">
        <f t="shared" si="17"/>
        <v>-12632.314999999999</v>
      </c>
      <c r="M58" s="156">
        <f t="shared" si="10"/>
        <v>-0.63161574999999992</v>
      </c>
      <c r="N58" s="157"/>
      <c r="O58" s="196">
        <v>5000</v>
      </c>
      <c r="P58" s="196">
        <v>5000</v>
      </c>
      <c r="Q58" s="196">
        <v>5000</v>
      </c>
      <c r="R58" s="196">
        <v>5000</v>
      </c>
      <c r="T58" s="196">
        <f>'Invoice list TAN'!J2958/4</f>
        <v>1841.9212500000001</v>
      </c>
      <c r="U58" s="196">
        <f>'Invoice list TAN'!K2958/4</f>
        <v>1841.9212500000001</v>
      </c>
      <c r="V58" s="196">
        <f>'Invoice list TAN'!L2958/4</f>
        <v>1841.9212500000001</v>
      </c>
      <c r="W58" s="196">
        <f>'Invoice list TAN'!M2958/4</f>
        <v>1841.9212500000001</v>
      </c>
      <c r="X58" s="201"/>
      <c r="Y58" s="155">
        <f t="shared" si="18"/>
        <v>-3158.0787499999997</v>
      </c>
      <c r="Z58" s="155">
        <f t="shared" si="18"/>
        <v>-3158.0787499999997</v>
      </c>
      <c r="AA58" s="155">
        <f t="shared" si="18"/>
        <v>-3158.0787499999997</v>
      </c>
      <c r="AB58" s="155">
        <f t="shared" si="18"/>
        <v>-3158.0787499999997</v>
      </c>
      <c r="AC58" s="201"/>
      <c r="AD58" s="156">
        <f t="shared" si="19"/>
        <v>-0.63161574999999992</v>
      </c>
      <c r="AE58" s="156">
        <f t="shared" si="19"/>
        <v>-0.63161574999999992</v>
      </c>
      <c r="AF58" s="156">
        <f t="shared" si="19"/>
        <v>-0.63161574999999992</v>
      </c>
      <c r="AG58" s="156">
        <f t="shared" si="19"/>
        <v>-0.63161574999999992</v>
      </c>
    </row>
    <row r="59" spans="1:33" s="202" customFormat="1" ht="15" customHeight="1" x14ac:dyDescent="0.3">
      <c r="A59" s="192"/>
      <c r="B59" s="198" t="s">
        <v>109</v>
      </c>
      <c r="C59" s="152" t="s">
        <v>59</v>
      </c>
      <c r="D59" s="199">
        <v>1</v>
      </c>
      <c r="E59" s="203">
        <v>3333.33</v>
      </c>
      <c r="F59" s="199"/>
      <c r="G59" s="199"/>
      <c r="H59" s="199">
        <f>D59*E59</f>
        <v>3333.33</v>
      </c>
      <c r="I59" s="151">
        <v>3333.33</v>
      </c>
      <c r="J59" s="193"/>
      <c r="K59" s="153">
        <f t="shared" si="16"/>
        <v>85.77</v>
      </c>
      <c r="L59" s="155">
        <f t="shared" si="17"/>
        <v>-3247.56</v>
      </c>
      <c r="M59" s="194">
        <f t="shared" si="10"/>
        <v>-0.9742689742689743</v>
      </c>
      <c r="N59" s="157"/>
      <c r="O59" s="196">
        <v>833.33249999999998</v>
      </c>
      <c r="P59" s="196">
        <v>833.33249999999998</v>
      </c>
      <c r="Q59" s="196">
        <v>833.33249999999998</v>
      </c>
      <c r="R59" s="196">
        <v>833.33249999999998</v>
      </c>
      <c r="T59" s="196">
        <v>21.442499999999999</v>
      </c>
      <c r="U59" s="196">
        <v>21.442499999999999</v>
      </c>
      <c r="V59" s="196">
        <v>21.442499999999999</v>
      </c>
      <c r="W59" s="196">
        <v>21.442499999999999</v>
      </c>
      <c r="X59" s="201"/>
      <c r="Y59" s="155">
        <f t="shared" si="18"/>
        <v>-811.89</v>
      </c>
      <c r="Z59" s="155">
        <f t="shared" si="18"/>
        <v>-811.89</v>
      </c>
      <c r="AA59" s="155">
        <f t="shared" si="18"/>
        <v>-811.89</v>
      </c>
      <c r="AB59" s="155">
        <f t="shared" si="18"/>
        <v>-811.89</v>
      </c>
      <c r="AC59" s="201"/>
      <c r="AD59" s="156">
        <f t="shared" ref="AD59:AG61" si="22">IFERROR(Y59/O59,0)</f>
        <v>-0.9742689742689743</v>
      </c>
      <c r="AE59" s="156">
        <f t="shared" si="22"/>
        <v>-0.9742689742689743</v>
      </c>
      <c r="AF59" s="156">
        <f t="shared" si="22"/>
        <v>-0.9742689742689743</v>
      </c>
      <c r="AG59" s="156">
        <f t="shared" si="22"/>
        <v>-0.9742689742689743</v>
      </c>
    </row>
    <row r="60" spans="1:33" s="207" customFormat="1" ht="15" customHeight="1" x14ac:dyDescent="0.3">
      <c r="A60" s="205"/>
      <c r="B60" s="198" t="s">
        <v>110</v>
      </c>
      <c r="C60" s="152" t="s">
        <v>59</v>
      </c>
      <c r="D60" s="199">
        <v>1</v>
      </c>
      <c r="E60" s="203">
        <v>6300</v>
      </c>
      <c r="F60" s="199"/>
      <c r="G60" s="199"/>
      <c r="H60" s="199">
        <v>6300</v>
      </c>
      <c r="I60" s="174">
        <v>0</v>
      </c>
      <c r="J60" s="175"/>
      <c r="K60" s="153">
        <f t="shared" si="16"/>
        <v>520.60869111153352</v>
      </c>
      <c r="L60" s="155">
        <f t="shared" si="17"/>
        <v>520.60869111153352</v>
      </c>
      <c r="M60" s="156">
        <f t="shared" si="10"/>
        <v>0</v>
      </c>
      <c r="N60" s="157"/>
      <c r="O60" s="206">
        <v>0</v>
      </c>
      <c r="P60" s="206">
        <v>0</v>
      </c>
      <c r="Q60" s="206">
        <v>0</v>
      </c>
      <c r="R60" s="206">
        <v>0</v>
      </c>
      <c r="T60" s="206">
        <v>130.15217277788338</v>
      </c>
      <c r="U60" s="206">
        <v>130.15217277788338</v>
      </c>
      <c r="V60" s="206">
        <v>130.15217277788338</v>
      </c>
      <c r="W60" s="206">
        <v>130.15217277788338</v>
      </c>
      <c r="X60" s="208"/>
      <c r="Y60" s="155">
        <f t="shared" si="18"/>
        <v>130.15217277788338</v>
      </c>
      <c r="Z60" s="155">
        <f t="shared" si="18"/>
        <v>130.15217277788338</v>
      </c>
      <c r="AA60" s="155">
        <f t="shared" si="18"/>
        <v>130.15217277788338</v>
      </c>
      <c r="AB60" s="155">
        <f t="shared" si="18"/>
        <v>130.15217277788338</v>
      </c>
      <c r="AC60" s="208"/>
      <c r="AD60" s="156">
        <f t="shared" si="22"/>
        <v>0</v>
      </c>
      <c r="AE60" s="156">
        <f t="shared" si="22"/>
        <v>0</v>
      </c>
      <c r="AF60" s="156">
        <f t="shared" si="22"/>
        <v>0</v>
      </c>
      <c r="AG60" s="156">
        <f t="shared" si="22"/>
        <v>0</v>
      </c>
    </row>
    <row r="61" spans="1:33" s="167" customFormat="1" ht="15" customHeight="1" x14ac:dyDescent="0.3">
      <c r="A61" s="160"/>
      <c r="B61" s="162" t="s">
        <v>111</v>
      </c>
      <c r="C61" s="162"/>
      <c r="D61" s="162"/>
      <c r="E61" s="162"/>
      <c r="F61" s="162">
        <f>SUM(F43:F60)</f>
        <v>117253882</v>
      </c>
      <c r="G61" s="162"/>
      <c r="H61" s="162">
        <f>SUM(H43:H60)</f>
        <v>222151.42523809522</v>
      </c>
      <c r="I61" s="163">
        <f>SUM(I43:I60)</f>
        <v>195460.98207376452</v>
      </c>
      <c r="J61" s="164"/>
      <c r="K61" s="163">
        <f>SUM(K43:K60)</f>
        <v>173405.13541274072</v>
      </c>
      <c r="L61" s="163">
        <f t="shared" si="17"/>
        <v>-22055.846661023796</v>
      </c>
      <c r="M61" s="169">
        <f t="shared" si="10"/>
        <v>-0.11284015063784032</v>
      </c>
      <c r="N61" s="157"/>
      <c r="O61" s="209">
        <f>SUM(O43:O60)</f>
        <v>40743.471272613402</v>
      </c>
      <c r="P61" s="209">
        <f>SUM(P43:P60)</f>
        <v>73230.568255924314</v>
      </c>
      <c r="Q61" s="209">
        <f>SUM(Q43:Q60)</f>
        <v>40743.471272613402</v>
      </c>
      <c r="R61" s="209">
        <f>SUM(R43:R60)</f>
        <v>40743.471272613402</v>
      </c>
      <c r="S61" s="166"/>
      <c r="T61" s="209">
        <f>SUM(T43:T60)</f>
        <v>33665.854972113659</v>
      </c>
      <c r="U61" s="209">
        <f>SUM(U43:U60)</f>
        <v>72407.570496399756</v>
      </c>
      <c r="V61" s="209">
        <f>SUM(V43:V60)</f>
        <v>33665.854972113659</v>
      </c>
      <c r="W61" s="209">
        <f>SUM(W43:W60)</f>
        <v>33665.854972113659</v>
      </c>
      <c r="Y61" s="168">
        <f t="shared" si="18"/>
        <v>-7077.6163004997434</v>
      </c>
      <c r="Z61" s="168">
        <f t="shared" si="18"/>
        <v>-822.99775952455821</v>
      </c>
      <c r="AA61" s="168">
        <f t="shared" si="18"/>
        <v>-7077.6163004997434</v>
      </c>
      <c r="AB61" s="168">
        <f t="shared" si="18"/>
        <v>-7077.6163004997434</v>
      </c>
      <c r="AD61" s="169">
        <f t="shared" si="22"/>
        <v>-0.1737116666654055</v>
      </c>
      <c r="AE61" s="169">
        <f t="shared" si="22"/>
        <v>-1.1238445626263157E-2</v>
      </c>
      <c r="AF61" s="169">
        <f t="shared" si="22"/>
        <v>-0.1737116666654055</v>
      </c>
      <c r="AG61" s="169">
        <f t="shared" si="22"/>
        <v>-0.1737116666654055</v>
      </c>
    </row>
    <row r="62" spans="1:33" s="146" customFormat="1" ht="15" customHeight="1" x14ac:dyDescent="0.3">
      <c r="A62" s="185"/>
      <c r="B62" s="826" t="s">
        <v>13</v>
      </c>
      <c r="C62" s="826"/>
      <c r="D62" s="826"/>
      <c r="E62" s="826"/>
      <c r="F62" s="826"/>
      <c r="G62" s="188"/>
      <c r="H62" s="188"/>
      <c r="I62" s="189"/>
      <c r="J62" s="164"/>
      <c r="K62" s="189"/>
      <c r="L62" s="190"/>
      <c r="M62" s="191"/>
      <c r="N62" s="157"/>
      <c r="O62" s="191"/>
      <c r="P62" s="191"/>
      <c r="Q62" s="191"/>
      <c r="R62" s="191"/>
      <c r="S62" s="145"/>
      <c r="T62" s="191"/>
      <c r="U62" s="191"/>
      <c r="V62" s="191"/>
      <c r="W62" s="191"/>
      <c r="Y62" s="191"/>
      <c r="Z62" s="191"/>
      <c r="AA62" s="191"/>
      <c r="AB62" s="191"/>
      <c r="AD62" s="191"/>
      <c r="AE62" s="191"/>
      <c r="AF62" s="191"/>
      <c r="AG62" s="191"/>
    </row>
    <row r="63" spans="1:33" s="146" customFormat="1" ht="15" customHeight="1" x14ac:dyDescent="0.3">
      <c r="A63" s="210"/>
      <c r="B63" s="819" t="s">
        <v>112</v>
      </c>
      <c r="C63" s="820"/>
      <c r="D63" s="820"/>
      <c r="E63" s="820"/>
      <c r="F63" s="820"/>
      <c r="G63" s="820"/>
      <c r="H63" s="821"/>
      <c r="I63" s="211"/>
      <c r="J63" s="212"/>
      <c r="K63" s="211"/>
      <c r="L63" s="213"/>
      <c r="M63" s="214"/>
      <c r="N63" s="165"/>
      <c r="O63" s="214"/>
      <c r="P63" s="214"/>
      <c r="Q63" s="214"/>
      <c r="R63" s="214"/>
      <c r="S63" s="145"/>
      <c r="T63" s="214"/>
      <c r="U63" s="214"/>
      <c r="V63" s="214"/>
      <c r="W63" s="214"/>
      <c r="Y63" s="214"/>
      <c r="Z63" s="214"/>
      <c r="AA63" s="214"/>
      <c r="AB63" s="214"/>
      <c r="AD63" s="214"/>
      <c r="AE63" s="214"/>
      <c r="AF63" s="214"/>
      <c r="AG63" s="214"/>
    </row>
    <row r="64" spans="1:33" s="225" customFormat="1" ht="15" customHeight="1" x14ac:dyDescent="0.3">
      <c r="A64" s="215"/>
      <c r="B64" s="216" t="s">
        <v>113</v>
      </c>
      <c r="C64" s="217" t="s">
        <v>114</v>
      </c>
      <c r="D64" s="216">
        <v>1</v>
      </c>
      <c r="E64" s="218">
        <v>6656670</v>
      </c>
      <c r="F64" s="218">
        <f>D64*E64</f>
        <v>6656670</v>
      </c>
      <c r="G64" s="218">
        <f t="shared" ref="G64:G72" si="23">$G$5</f>
        <v>1050</v>
      </c>
      <c r="H64" s="219">
        <f>IF($G$5=0,0,F64/G64)</f>
        <v>6339.6857142857143</v>
      </c>
      <c r="I64" s="220">
        <v>6339.6857142857143</v>
      </c>
      <c r="J64" s="221"/>
      <c r="K64" s="153">
        <f t="shared" ref="K64:K124" si="24">SUM(T64:W64)</f>
        <v>7067.7779298445121</v>
      </c>
      <c r="L64" s="155">
        <f t="shared" ref="L64:L72" si="25">K64-I64</f>
        <v>728.09221555879776</v>
      </c>
      <c r="M64" s="222">
        <f t="shared" si="10"/>
        <v>0.11484673663209047</v>
      </c>
      <c r="N64" s="223"/>
      <c r="O64" s="224">
        <v>6339.6857142857143</v>
      </c>
      <c r="P64" s="222"/>
      <c r="Q64" s="222"/>
      <c r="R64" s="222"/>
      <c r="S64" s="159"/>
      <c r="T64" s="224">
        <v>7067.7779298445121</v>
      </c>
      <c r="U64" s="224">
        <v>0</v>
      </c>
      <c r="V64" s="224">
        <v>0</v>
      </c>
      <c r="W64" s="224">
        <v>0</v>
      </c>
      <c r="Y64" s="155">
        <f t="shared" ref="Y64:AB72" si="26">T64-O64</f>
        <v>728.09221555879776</v>
      </c>
      <c r="Z64" s="155">
        <f t="shared" si="26"/>
        <v>0</v>
      </c>
      <c r="AA64" s="155">
        <f t="shared" si="26"/>
        <v>0</v>
      </c>
      <c r="AB64" s="155">
        <f t="shared" si="26"/>
        <v>0</v>
      </c>
      <c r="AD64" s="156">
        <f t="shared" ref="AD64:AG72" si="27">IFERROR(Y64/O64,0)</f>
        <v>0.11484673663209047</v>
      </c>
      <c r="AE64" s="156">
        <f t="shared" si="27"/>
        <v>0</v>
      </c>
      <c r="AF64" s="156">
        <f t="shared" si="27"/>
        <v>0</v>
      </c>
      <c r="AG64" s="156">
        <f t="shared" si="27"/>
        <v>0</v>
      </c>
    </row>
    <row r="65" spans="1:33" s="225" customFormat="1" ht="15" customHeight="1" x14ac:dyDescent="0.3">
      <c r="A65" s="215"/>
      <c r="B65" s="216" t="s">
        <v>115</v>
      </c>
      <c r="C65" s="217" t="s">
        <v>114</v>
      </c>
      <c r="D65" s="216">
        <v>3</v>
      </c>
      <c r="E65" s="218">
        <v>7117460</v>
      </c>
      <c r="F65" s="218">
        <f t="shared" ref="F65:F72" si="28">D65*E65</f>
        <v>21352380</v>
      </c>
      <c r="G65" s="218">
        <f t="shared" si="23"/>
        <v>1050</v>
      </c>
      <c r="H65" s="219">
        <f t="shared" ref="H65:H72" si="29">IF($G$5=0,0,F65/G65)</f>
        <v>20335.599999999999</v>
      </c>
      <c r="I65" s="220">
        <v>20335.599999999999</v>
      </c>
      <c r="J65" s="221"/>
      <c r="K65" s="153">
        <f t="shared" si="24"/>
        <v>13592.112914658946</v>
      </c>
      <c r="L65" s="155">
        <f t="shared" si="25"/>
        <v>-6743.4870853410521</v>
      </c>
      <c r="M65" s="222">
        <f t="shared" si="10"/>
        <v>-0.3316099394825357</v>
      </c>
      <c r="N65" s="223"/>
      <c r="O65" s="224">
        <v>20335.599999999999</v>
      </c>
      <c r="P65" s="222"/>
      <c r="Q65" s="222"/>
      <c r="R65" s="222"/>
      <c r="S65" s="159"/>
      <c r="T65" s="224">
        <v>13592.112914658946</v>
      </c>
      <c r="U65" s="224">
        <v>0</v>
      </c>
      <c r="V65" s="224">
        <v>0</v>
      </c>
      <c r="W65" s="224">
        <v>0</v>
      </c>
      <c r="Y65" s="155">
        <f t="shared" si="26"/>
        <v>-6743.4870853410521</v>
      </c>
      <c r="Z65" s="155">
        <f t="shared" si="26"/>
        <v>0</v>
      </c>
      <c r="AA65" s="155">
        <f t="shared" si="26"/>
        <v>0</v>
      </c>
      <c r="AB65" s="155">
        <f t="shared" si="26"/>
        <v>0</v>
      </c>
      <c r="AD65" s="156">
        <f t="shared" si="27"/>
        <v>-0.3316099394825357</v>
      </c>
      <c r="AE65" s="156">
        <f t="shared" si="27"/>
        <v>0</v>
      </c>
      <c r="AF65" s="156">
        <f t="shared" si="27"/>
        <v>0</v>
      </c>
      <c r="AG65" s="156">
        <f t="shared" si="27"/>
        <v>0</v>
      </c>
    </row>
    <row r="66" spans="1:33" s="225" customFormat="1" ht="15" customHeight="1" x14ac:dyDescent="0.3">
      <c r="A66" s="215"/>
      <c r="B66" s="216" t="s">
        <v>116</v>
      </c>
      <c r="C66" s="217" t="s">
        <v>114</v>
      </c>
      <c r="D66" s="216">
        <v>1</v>
      </c>
      <c r="E66" s="218">
        <v>3634710</v>
      </c>
      <c r="F66" s="218">
        <f t="shared" si="28"/>
        <v>3634710</v>
      </c>
      <c r="G66" s="218">
        <f t="shared" si="23"/>
        <v>1050</v>
      </c>
      <c r="H66" s="219">
        <f t="shared" si="29"/>
        <v>3461.6285714285714</v>
      </c>
      <c r="I66" s="220">
        <v>3461.6285714285714</v>
      </c>
      <c r="J66" s="221"/>
      <c r="K66" s="153">
        <f t="shared" si="24"/>
        <v>3481.0840552064719</v>
      </c>
      <c r="L66" s="155">
        <f t="shared" si="25"/>
        <v>19.455483777900554</v>
      </c>
      <c r="M66" s="222">
        <f t="shared" si="10"/>
        <v>5.6203267844740249E-3</v>
      </c>
      <c r="N66" s="223"/>
      <c r="O66" s="224">
        <v>3461.6285714285714</v>
      </c>
      <c r="P66" s="222"/>
      <c r="Q66" s="222"/>
      <c r="R66" s="222"/>
      <c r="S66" s="159"/>
      <c r="T66" s="224">
        <v>3481.0840552064719</v>
      </c>
      <c r="U66" s="224">
        <v>0</v>
      </c>
      <c r="V66" s="224">
        <v>0</v>
      </c>
      <c r="W66" s="224">
        <v>0</v>
      </c>
      <c r="Y66" s="155">
        <f t="shared" si="26"/>
        <v>19.455483777900554</v>
      </c>
      <c r="Z66" s="155">
        <f t="shared" si="26"/>
        <v>0</v>
      </c>
      <c r="AA66" s="155">
        <f t="shared" si="26"/>
        <v>0</v>
      </c>
      <c r="AB66" s="155">
        <f t="shared" si="26"/>
        <v>0</v>
      </c>
      <c r="AD66" s="156">
        <f t="shared" si="27"/>
        <v>5.6203267844740249E-3</v>
      </c>
      <c r="AE66" s="156">
        <f t="shared" si="27"/>
        <v>0</v>
      </c>
      <c r="AF66" s="156">
        <f t="shared" si="27"/>
        <v>0</v>
      </c>
      <c r="AG66" s="156">
        <f t="shared" si="27"/>
        <v>0</v>
      </c>
    </row>
    <row r="67" spans="1:33" s="225" customFormat="1" ht="15" customHeight="1" x14ac:dyDescent="0.3">
      <c r="A67" s="215"/>
      <c r="B67" s="216" t="s">
        <v>117</v>
      </c>
      <c r="C67" s="217" t="s">
        <v>114</v>
      </c>
      <c r="D67" s="216">
        <v>3</v>
      </c>
      <c r="E67" s="218">
        <v>3983690</v>
      </c>
      <c r="F67" s="218">
        <f t="shared" si="28"/>
        <v>11951070</v>
      </c>
      <c r="G67" s="218">
        <f t="shared" si="23"/>
        <v>1050</v>
      </c>
      <c r="H67" s="219">
        <f t="shared" si="29"/>
        <v>11381.971428571429</v>
      </c>
      <c r="I67" s="220">
        <v>5000</v>
      </c>
      <c r="J67" s="221"/>
      <c r="K67" s="153">
        <f t="shared" si="24"/>
        <v>4704.1185260777511</v>
      </c>
      <c r="L67" s="155">
        <f t="shared" si="25"/>
        <v>-295.88147392224892</v>
      </c>
      <c r="M67" s="222">
        <f t="shared" si="10"/>
        <v>-5.917629478444978E-2</v>
      </c>
      <c r="N67" s="223"/>
      <c r="O67" s="224">
        <v>5000</v>
      </c>
      <c r="P67" s="222"/>
      <c r="Q67" s="222"/>
      <c r="R67" s="222"/>
      <c r="S67" s="159"/>
      <c r="T67" s="224">
        <v>4704.1185260777511</v>
      </c>
      <c r="U67" s="224">
        <v>0</v>
      </c>
      <c r="V67" s="224">
        <v>0</v>
      </c>
      <c r="W67" s="224">
        <v>0</v>
      </c>
      <c r="Y67" s="155">
        <f t="shared" si="26"/>
        <v>-295.88147392224892</v>
      </c>
      <c r="Z67" s="155">
        <f t="shared" si="26"/>
        <v>0</v>
      </c>
      <c r="AA67" s="155">
        <f t="shared" si="26"/>
        <v>0</v>
      </c>
      <c r="AB67" s="155">
        <f t="shared" si="26"/>
        <v>0</v>
      </c>
      <c r="AD67" s="156">
        <f t="shared" si="27"/>
        <v>-5.917629478444978E-2</v>
      </c>
      <c r="AE67" s="156">
        <f t="shared" si="27"/>
        <v>0</v>
      </c>
      <c r="AF67" s="156">
        <f t="shared" si="27"/>
        <v>0</v>
      </c>
      <c r="AG67" s="156">
        <f t="shared" si="27"/>
        <v>0</v>
      </c>
    </row>
    <row r="68" spans="1:33" s="225" customFormat="1" ht="15" customHeight="1" x14ac:dyDescent="0.3">
      <c r="A68" s="226"/>
      <c r="B68" s="227" t="s">
        <v>118</v>
      </c>
      <c r="C68" s="217" t="s">
        <v>114</v>
      </c>
      <c r="D68" s="216">
        <v>20</v>
      </c>
      <c r="E68" s="228">
        <v>160000</v>
      </c>
      <c r="F68" s="218">
        <f t="shared" si="28"/>
        <v>3200000</v>
      </c>
      <c r="G68" s="218">
        <f t="shared" si="23"/>
        <v>1050</v>
      </c>
      <c r="H68" s="219">
        <f t="shared" si="29"/>
        <v>3047.6190476190477</v>
      </c>
      <c r="I68" s="220">
        <v>0</v>
      </c>
      <c r="J68" s="221"/>
      <c r="K68" s="153">
        <f t="shared" si="24"/>
        <v>0</v>
      </c>
      <c r="L68" s="155">
        <f t="shared" si="25"/>
        <v>0</v>
      </c>
      <c r="M68" s="222">
        <f t="shared" si="10"/>
        <v>0</v>
      </c>
      <c r="N68" s="223"/>
      <c r="O68" s="224">
        <v>0</v>
      </c>
      <c r="P68" s="222"/>
      <c r="Q68" s="222"/>
      <c r="R68" s="222"/>
      <c r="S68" s="159"/>
      <c r="T68" s="224"/>
      <c r="U68" s="224"/>
      <c r="V68" s="224"/>
      <c r="W68" s="224"/>
      <c r="Y68" s="155">
        <f t="shared" si="26"/>
        <v>0</v>
      </c>
      <c r="Z68" s="155">
        <f t="shared" si="26"/>
        <v>0</v>
      </c>
      <c r="AA68" s="155">
        <f t="shared" si="26"/>
        <v>0</v>
      </c>
      <c r="AB68" s="155">
        <f t="shared" si="26"/>
        <v>0</v>
      </c>
      <c r="AD68" s="156">
        <f t="shared" si="27"/>
        <v>0</v>
      </c>
      <c r="AE68" s="156">
        <f t="shared" si="27"/>
        <v>0</v>
      </c>
      <c r="AF68" s="156">
        <f t="shared" si="27"/>
        <v>0</v>
      </c>
      <c r="AG68" s="156">
        <f t="shared" si="27"/>
        <v>0</v>
      </c>
    </row>
    <row r="69" spans="1:33" s="225" customFormat="1" ht="15" customHeight="1" x14ac:dyDescent="0.3">
      <c r="A69" s="226"/>
      <c r="B69" s="216" t="s">
        <v>119</v>
      </c>
      <c r="C69" s="217" t="s">
        <v>120</v>
      </c>
      <c r="D69" s="216">
        <v>2</v>
      </c>
      <c r="E69" s="218">
        <v>1250000</v>
      </c>
      <c r="F69" s="218">
        <f t="shared" si="28"/>
        <v>2500000</v>
      </c>
      <c r="G69" s="218">
        <f t="shared" si="23"/>
        <v>1050</v>
      </c>
      <c r="H69" s="219">
        <f t="shared" si="29"/>
        <v>2380.9523809523807</v>
      </c>
      <c r="I69" s="220">
        <v>0</v>
      </c>
      <c r="J69" s="221"/>
      <c r="K69" s="153">
        <f t="shared" si="24"/>
        <v>0</v>
      </c>
      <c r="L69" s="155">
        <f t="shared" si="25"/>
        <v>0</v>
      </c>
      <c r="M69" s="222">
        <f t="shared" si="10"/>
        <v>0</v>
      </c>
      <c r="N69" s="223"/>
      <c r="O69" s="224">
        <v>0</v>
      </c>
      <c r="P69" s="222"/>
      <c r="Q69" s="222"/>
      <c r="R69" s="222"/>
      <c r="S69" s="159"/>
      <c r="T69" s="224"/>
      <c r="U69" s="224"/>
      <c r="V69" s="224"/>
      <c r="W69" s="224"/>
      <c r="Y69" s="155">
        <f t="shared" si="26"/>
        <v>0</v>
      </c>
      <c r="Z69" s="155">
        <f t="shared" si="26"/>
        <v>0</v>
      </c>
      <c r="AA69" s="155">
        <f t="shared" si="26"/>
        <v>0</v>
      </c>
      <c r="AB69" s="155">
        <f t="shared" si="26"/>
        <v>0</v>
      </c>
      <c r="AD69" s="156">
        <f t="shared" si="27"/>
        <v>0</v>
      </c>
      <c r="AE69" s="156">
        <f t="shared" si="27"/>
        <v>0</v>
      </c>
      <c r="AF69" s="156">
        <f t="shared" si="27"/>
        <v>0</v>
      </c>
      <c r="AG69" s="156">
        <f t="shared" si="27"/>
        <v>0</v>
      </c>
    </row>
    <row r="70" spans="1:33" s="225" customFormat="1" ht="15" customHeight="1" x14ac:dyDescent="0.3">
      <c r="A70" s="226"/>
      <c r="B70" s="216" t="s">
        <v>121</v>
      </c>
      <c r="C70" s="217" t="s">
        <v>114</v>
      </c>
      <c r="D70" s="216">
        <v>56</v>
      </c>
      <c r="E70" s="218">
        <v>300000</v>
      </c>
      <c r="F70" s="218">
        <f t="shared" si="28"/>
        <v>16800000</v>
      </c>
      <c r="G70" s="218">
        <f t="shared" si="23"/>
        <v>1050</v>
      </c>
      <c r="H70" s="219">
        <f t="shared" si="29"/>
        <v>16000</v>
      </c>
      <c r="I70" s="220">
        <v>16000</v>
      </c>
      <c r="J70" s="221"/>
      <c r="K70" s="153">
        <f t="shared" si="24"/>
        <v>8820.2025920296492</v>
      </c>
      <c r="L70" s="155">
        <f t="shared" si="25"/>
        <v>-7179.7974079703508</v>
      </c>
      <c r="M70" s="222">
        <f t="shared" si="10"/>
        <v>-0.44873733799814691</v>
      </c>
      <c r="N70" s="223"/>
      <c r="O70" s="224">
        <v>16000</v>
      </c>
      <c r="P70" s="222"/>
      <c r="Q70" s="222"/>
      <c r="R70" s="222"/>
      <c r="S70" s="159"/>
      <c r="T70" s="224">
        <v>8820.2025920296492</v>
      </c>
      <c r="U70" s="224">
        <v>0</v>
      </c>
      <c r="V70" s="224">
        <v>0</v>
      </c>
      <c r="W70" s="224">
        <v>0</v>
      </c>
      <c r="Y70" s="155">
        <f t="shared" si="26"/>
        <v>-7179.7974079703508</v>
      </c>
      <c r="Z70" s="155">
        <f t="shared" si="26"/>
        <v>0</v>
      </c>
      <c r="AA70" s="155">
        <f t="shared" si="26"/>
        <v>0</v>
      </c>
      <c r="AB70" s="155">
        <f t="shared" si="26"/>
        <v>0</v>
      </c>
      <c r="AD70" s="156">
        <f t="shared" si="27"/>
        <v>-0.44873733799814691</v>
      </c>
      <c r="AE70" s="156">
        <f t="shared" si="27"/>
        <v>0</v>
      </c>
      <c r="AF70" s="156">
        <f t="shared" si="27"/>
        <v>0</v>
      </c>
      <c r="AG70" s="156">
        <f t="shared" si="27"/>
        <v>0</v>
      </c>
    </row>
    <row r="71" spans="1:33" s="225" customFormat="1" ht="15" customHeight="1" x14ac:dyDescent="0.3">
      <c r="A71" s="226"/>
      <c r="B71" s="216" t="s">
        <v>122</v>
      </c>
      <c r="C71" s="217" t="s">
        <v>114</v>
      </c>
      <c r="D71" s="216">
        <v>1</v>
      </c>
      <c r="E71" s="218">
        <v>7444000</v>
      </c>
      <c r="F71" s="218">
        <f t="shared" si="28"/>
        <v>7444000</v>
      </c>
      <c r="G71" s="218">
        <f t="shared" si="23"/>
        <v>1050</v>
      </c>
      <c r="H71" s="219">
        <f t="shared" si="29"/>
        <v>7089.5238095238092</v>
      </c>
      <c r="I71" s="220">
        <v>2000</v>
      </c>
      <c r="J71" s="221"/>
      <c r="K71" s="153">
        <f t="shared" si="24"/>
        <v>0</v>
      </c>
      <c r="L71" s="155">
        <f t="shared" si="25"/>
        <v>-2000</v>
      </c>
      <c r="M71" s="222">
        <f t="shared" si="10"/>
        <v>-1</v>
      </c>
      <c r="N71" s="223"/>
      <c r="O71" s="224">
        <v>2000</v>
      </c>
      <c r="P71" s="222"/>
      <c r="Q71" s="222"/>
      <c r="R71" s="222"/>
      <c r="S71" s="159"/>
      <c r="T71" s="224"/>
      <c r="U71" s="224"/>
      <c r="V71" s="224"/>
      <c r="W71" s="224"/>
      <c r="Y71" s="155">
        <f t="shared" si="26"/>
        <v>-2000</v>
      </c>
      <c r="Z71" s="155">
        <f t="shared" si="26"/>
        <v>0</v>
      </c>
      <c r="AA71" s="155">
        <f t="shared" si="26"/>
        <v>0</v>
      </c>
      <c r="AB71" s="155">
        <f t="shared" si="26"/>
        <v>0</v>
      </c>
      <c r="AD71" s="156">
        <f t="shared" si="27"/>
        <v>-1</v>
      </c>
      <c r="AE71" s="156">
        <f t="shared" si="27"/>
        <v>0</v>
      </c>
      <c r="AF71" s="156">
        <f t="shared" si="27"/>
        <v>0</v>
      </c>
      <c r="AG71" s="156">
        <f t="shared" si="27"/>
        <v>0</v>
      </c>
    </row>
    <row r="72" spans="1:33" s="225" customFormat="1" ht="15" customHeight="1" x14ac:dyDescent="0.3">
      <c r="A72" s="226"/>
      <c r="B72" s="216" t="s">
        <v>123</v>
      </c>
      <c r="C72" s="217" t="s">
        <v>114</v>
      </c>
      <c r="D72" s="216">
        <v>2832</v>
      </c>
      <c r="E72" s="218">
        <v>3000</v>
      </c>
      <c r="F72" s="218">
        <f t="shared" si="28"/>
        <v>8496000</v>
      </c>
      <c r="G72" s="218">
        <f t="shared" si="23"/>
        <v>1050</v>
      </c>
      <c r="H72" s="219">
        <f t="shared" si="29"/>
        <v>8091.4285714285716</v>
      </c>
      <c r="I72" s="220">
        <v>5000</v>
      </c>
      <c r="J72" s="221"/>
      <c r="K72" s="153">
        <f t="shared" si="24"/>
        <v>1973.6274969710926</v>
      </c>
      <c r="L72" s="155">
        <f t="shared" si="25"/>
        <v>-3026.3725030289074</v>
      </c>
      <c r="M72" s="222">
        <f t="shared" si="10"/>
        <v>-0.60527450060578147</v>
      </c>
      <c r="N72" s="223"/>
      <c r="O72" s="224">
        <v>5000</v>
      </c>
      <c r="P72" s="222"/>
      <c r="Q72" s="222"/>
      <c r="R72" s="222"/>
      <c r="S72" s="159"/>
      <c r="T72" s="224">
        <v>1973.6274969710926</v>
      </c>
      <c r="U72" s="224">
        <v>0</v>
      </c>
      <c r="V72" s="224">
        <v>0</v>
      </c>
      <c r="W72" s="224">
        <v>0</v>
      </c>
      <c r="Y72" s="155">
        <f t="shared" si="26"/>
        <v>-3026.3725030289074</v>
      </c>
      <c r="Z72" s="155">
        <f t="shared" si="26"/>
        <v>0</v>
      </c>
      <c r="AA72" s="155">
        <f t="shared" si="26"/>
        <v>0</v>
      </c>
      <c r="AB72" s="155">
        <f t="shared" si="26"/>
        <v>0</v>
      </c>
      <c r="AD72" s="156">
        <f t="shared" si="27"/>
        <v>-0.60527450060578147</v>
      </c>
      <c r="AE72" s="156">
        <f t="shared" si="27"/>
        <v>0</v>
      </c>
      <c r="AF72" s="156">
        <f t="shared" si="27"/>
        <v>0</v>
      </c>
      <c r="AG72" s="156">
        <f t="shared" si="27"/>
        <v>0</v>
      </c>
    </row>
    <row r="73" spans="1:33" s="146" customFormat="1" ht="15.75" customHeight="1" x14ac:dyDescent="0.3">
      <c r="A73" s="229"/>
      <c r="B73" s="819" t="s">
        <v>124</v>
      </c>
      <c r="C73" s="820"/>
      <c r="D73" s="820"/>
      <c r="E73" s="820"/>
      <c r="F73" s="820"/>
      <c r="G73" s="820" t="s">
        <v>125</v>
      </c>
      <c r="H73" s="821" t="s">
        <v>125</v>
      </c>
      <c r="I73" s="211"/>
      <c r="J73" s="212"/>
      <c r="K73" s="211"/>
      <c r="L73" s="213"/>
      <c r="M73" s="214"/>
      <c r="N73" s="165"/>
      <c r="O73" s="214"/>
      <c r="P73" s="214"/>
      <c r="Q73" s="214"/>
      <c r="R73" s="214"/>
      <c r="S73" s="145"/>
      <c r="T73" s="214"/>
      <c r="U73" s="214"/>
      <c r="V73" s="214"/>
      <c r="W73" s="214"/>
      <c r="Y73" s="214"/>
      <c r="Z73" s="214"/>
      <c r="AA73" s="214"/>
      <c r="AB73" s="214"/>
      <c r="AD73" s="214"/>
      <c r="AE73" s="214"/>
      <c r="AF73" s="214"/>
      <c r="AG73" s="214"/>
    </row>
    <row r="74" spans="1:33" s="159" customFormat="1" ht="15" customHeight="1" x14ac:dyDescent="0.3">
      <c r="A74" s="215"/>
      <c r="B74" s="230" t="s">
        <v>126</v>
      </c>
      <c r="C74" s="150" t="s">
        <v>114</v>
      </c>
      <c r="D74" s="151">
        <v>1</v>
      </c>
      <c r="E74" s="151">
        <v>4390200</v>
      </c>
      <c r="F74" s="151">
        <f t="shared" ref="F74:F86" si="30">D74*E74</f>
        <v>4390200</v>
      </c>
      <c r="G74" s="151">
        <f t="shared" ref="G74:G86" si="31">$G$5</f>
        <v>1050</v>
      </c>
      <c r="H74" s="151">
        <f t="shared" ref="H74:H86" si="32">IF($G$5=0,0,F74/G74)</f>
        <v>4181.1428571428569</v>
      </c>
      <c r="I74" s="174">
        <v>0</v>
      </c>
      <c r="J74" s="175"/>
      <c r="K74" s="153">
        <f t="shared" si="24"/>
        <v>0</v>
      </c>
      <c r="L74" s="155">
        <f t="shared" ref="L74:L126" si="33">K74-I74</f>
        <v>0</v>
      </c>
      <c r="M74" s="156">
        <f t="shared" si="10"/>
        <v>0</v>
      </c>
      <c r="N74" s="157"/>
      <c r="O74" s="156"/>
      <c r="P74" s="158">
        <v>0</v>
      </c>
      <c r="Q74" s="156"/>
      <c r="R74" s="156"/>
      <c r="T74" s="158"/>
      <c r="U74" s="158"/>
      <c r="V74" s="158"/>
      <c r="W74" s="158"/>
      <c r="Y74" s="155">
        <f t="shared" ref="Y74:AB94" si="34">T74-O74</f>
        <v>0</v>
      </c>
      <c r="Z74" s="155">
        <f t="shared" si="34"/>
        <v>0</v>
      </c>
      <c r="AA74" s="155">
        <f t="shared" si="34"/>
        <v>0</v>
      </c>
      <c r="AB74" s="155">
        <f t="shared" si="34"/>
        <v>0</v>
      </c>
      <c r="AD74" s="156">
        <f t="shared" ref="AD74:AG94" si="35">IFERROR(Y74/O74,0)</f>
        <v>0</v>
      </c>
      <c r="AE74" s="156">
        <f t="shared" si="35"/>
        <v>0</v>
      </c>
      <c r="AF74" s="156">
        <f t="shared" si="35"/>
        <v>0</v>
      </c>
      <c r="AG74" s="156">
        <f t="shared" si="35"/>
        <v>0</v>
      </c>
    </row>
    <row r="75" spans="1:33" s="159" customFormat="1" ht="15" customHeight="1" x14ac:dyDescent="0.3">
      <c r="A75" s="215"/>
      <c r="B75" s="230" t="s">
        <v>127</v>
      </c>
      <c r="C75" s="150" t="s">
        <v>114</v>
      </c>
      <c r="D75" s="151">
        <v>1</v>
      </c>
      <c r="E75" s="151">
        <v>3634710</v>
      </c>
      <c r="F75" s="151">
        <f t="shared" si="30"/>
        <v>3634710</v>
      </c>
      <c r="G75" s="151">
        <f t="shared" si="31"/>
        <v>1050</v>
      </c>
      <c r="H75" s="151">
        <f t="shared" si="32"/>
        <v>3461.6285714285714</v>
      </c>
      <c r="I75" s="174">
        <v>0</v>
      </c>
      <c r="J75" s="175"/>
      <c r="K75" s="153">
        <f t="shared" si="24"/>
        <v>0</v>
      </c>
      <c r="L75" s="155">
        <f t="shared" si="33"/>
        <v>0</v>
      </c>
      <c r="M75" s="156">
        <f t="shared" si="10"/>
        <v>0</v>
      </c>
      <c r="N75" s="157"/>
      <c r="O75" s="156"/>
      <c r="P75" s="158">
        <v>0</v>
      </c>
      <c r="Q75" s="156"/>
      <c r="R75" s="156"/>
      <c r="T75" s="158"/>
      <c r="U75" s="158"/>
      <c r="V75" s="158"/>
      <c r="W75" s="158"/>
      <c r="Y75" s="155">
        <f t="shared" si="34"/>
        <v>0</v>
      </c>
      <c r="Z75" s="155">
        <f t="shared" si="34"/>
        <v>0</v>
      </c>
      <c r="AA75" s="155">
        <f t="shared" si="34"/>
        <v>0</v>
      </c>
      <c r="AB75" s="155">
        <f t="shared" si="34"/>
        <v>0</v>
      </c>
      <c r="AD75" s="156">
        <f t="shared" si="35"/>
        <v>0</v>
      </c>
      <c r="AE75" s="156">
        <f t="shared" si="35"/>
        <v>0</v>
      </c>
      <c r="AF75" s="156">
        <f t="shared" si="35"/>
        <v>0</v>
      </c>
      <c r="AG75" s="156">
        <f t="shared" si="35"/>
        <v>0</v>
      </c>
    </row>
    <row r="76" spans="1:33" s="159" customFormat="1" ht="15" customHeight="1" x14ac:dyDescent="0.3">
      <c r="A76" s="215"/>
      <c r="B76" s="230" t="s">
        <v>128</v>
      </c>
      <c r="C76" s="150" t="s">
        <v>114</v>
      </c>
      <c r="D76" s="151">
        <v>5</v>
      </c>
      <c r="E76" s="151">
        <v>5028280</v>
      </c>
      <c r="F76" s="151">
        <f t="shared" si="30"/>
        <v>25141400</v>
      </c>
      <c r="G76" s="151">
        <f t="shared" si="31"/>
        <v>1050</v>
      </c>
      <c r="H76" s="151">
        <f t="shared" si="32"/>
        <v>23944.190476190477</v>
      </c>
      <c r="I76" s="174">
        <v>0</v>
      </c>
      <c r="J76" s="175"/>
      <c r="K76" s="153">
        <f t="shared" si="24"/>
        <v>0</v>
      </c>
      <c r="L76" s="155">
        <f t="shared" si="33"/>
        <v>0</v>
      </c>
      <c r="M76" s="156">
        <f t="shared" si="10"/>
        <v>0</v>
      </c>
      <c r="N76" s="157"/>
      <c r="O76" s="156"/>
      <c r="P76" s="158">
        <v>0</v>
      </c>
      <c r="Q76" s="156"/>
      <c r="R76" s="156"/>
      <c r="T76" s="158"/>
      <c r="U76" s="158"/>
      <c r="V76" s="158"/>
      <c r="W76" s="158"/>
      <c r="Y76" s="155">
        <f t="shared" si="34"/>
        <v>0</v>
      </c>
      <c r="Z76" s="155">
        <f t="shared" si="34"/>
        <v>0</v>
      </c>
      <c r="AA76" s="155">
        <f t="shared" si="34"/>
        <v>0</v>
      </c>
      <c r="AB76" s="155">
        <f t="shared" si="34"/>
        <v>0</v>
      </c>
      <c r="AD76" s="156">
        <f t="shared" si="35"/>
        <v>0</v>
      </c>
      <c r="AE76" s="156">
        <f t="shared" si="35"/>
        <v>0</v>
      </c>
      <c r="AF76" s="156">
        <f t="shared" si="35"/>
        <v>0</v>
      </c>
      <c r="AG76" s="156">
        <f t="shared" si="35"/>
        <v>0</v>
      </c>
    </row>
    <row r="77" spans="1:33" s="159" customFormat="1" ht="15" customHeight="1" x14ac:dyDescent="0.3">
      <c r="A77" s="215"/>
      <c r="B77" s="230" t="s">
        <v>129</v>
      </c>
      <c r="C77" s="150" t="s">
        <v>114</v>
      </c>
      <c r="D77" s="151">
        <v>1</v>
      </c>
      <c r="E77" s="151">
        <v>5028280</v>
      </c>
      <c r="F77" s="151">
        <f t="shared" si="30"/>
        <v>5028280</v>
      </c>
      <c r="G77" s="151">
        <f t="shared" si="31"/>
        <v>1050</v>
      </c>
      <c r="H77" s="151">
        <f t="shared" si="32"/>
        <v>4788.8380952380949</v>
      </c>
      <c r="I77" s="231">
        <v>4788.8380952380949</v>
      </c>
      <c r="J77" s="221"/>
      <c r="K77" s="153">
        <f t="shared" si="24"/>
        <v>9561.6300049907968</v>
      </c>
      <c r="L77" s="155">
        <f t="shared" si="33"/>
        <v>4772.7919097527019</v>
      </c>
      <c r="M77" s="232">
        <f t="shared" si="10"/>
        <v>0.99664925287381323</v>
      </c>
      <c r="N77" s="223"/>
      <c r="O77" s="232"/>
      <c r="P77" s="158">
        <v>4788.8380952380949</v>
      </c>
      <c r="Q77" s="232"/>
      <c r="R77" s="232"/>
      <c r="T77" s="158">
        <v>0</v>
      </c>
      <c r="U77" s="158">
        <v>9561.6300049907968</v>
      </c>
      <c r="V77" s="158">
        <v>0</v>
      </c>
      <c r="W77" s="158">
        <v>0</v>
      </c>
      <c r="Y77" s="155">
        <f t="shared" si="34"/>
        <v>0</v>
      </c>
      <c r="Z77" s="155">
        <f t="shared" si="34"/>
        <v>4772.7919097527019</v>
      </c>
      <c r="AA77" s="155">
        <f t="shared" si="34"/>
        <v>0</v>
      </c>
      <c r="AB77" s="155">
        <f t="shared" si="34"/>
        <v>0</v>
      </c>
      <c r="AD77" s="156">
        <f t="shared" si="35"/>
        <v>0</v>
      </c>
      <c r="AE77" s="156">
        <f t="shared" si="35"/>
        <v>0.99664925287381323</v>
      </c>
      <c r="AF77" s="156">
        <f t="shared" si="35"/>
        <v>0</v>
      </c>
      <c r="AG77" s="156">
        <f t="shared" si="35"/>
        <v>0</v>
      </c>
    </row>
    <row r="78" spans="1:33" s="159" customFormat="1" ht="15" customHeight="1" x14ac:dyDescent="0.3">
      <c r="A78" s="226"/>
      <c r="B78" s="230" t="s">
        <v>130</v>
      </c>
      <c r="C78" s="150" t="s">
        <v>131</v>
      </c>
      <c r="D78" s="151">
        <v>8</v>
      </c>
      <c r="E78" s="151">
        <v>250000</v>
      </c>
      <c r="F78" s="151">
        <f t="shared" si="30"/>
        <v>2000000</v>
      </c>
      <c r="G78" s="151">
        <f t="shared" si="31"/>
        <v>1050</v>
      </c>
      <c r="H78" s="151">
        <f t="shared" si="32"/>
        <v>1904.7619047619048</v>
      </c>
      <c r="I78" s="174">
        <v>0</v>
      </c>
      <c r="J78" s="175"/>
      <c r="K78" s="153">
        <f t="shared" si="24"/>
        <v>0</v>
      </c>
      <c r="L78" s="155">
        <f t="shared" si="33"/>
        <v>0</v>
      </c>
      <c r="M78" s="156">
        <f t="shared" si="10"/>
        <v>0</v>
      </c>
      <c r="N78" s="157"/>
      <c r="O78" s="156"/>
      <c r="P78" s="158">
        <v>0</v>
      </c>
      <c r="Q78" s="156"/>
      <c r="R78" s="156"/>
      <c r="T78" s="158"/>
      <c r="U78" s="158"/>
      <c r="V78" s="158"/>
      <c r="W78" s="158"/>
      <c r="Y78" s="155">
        <f t="shared" si="34"/>
        <v>0</v>
      </c>
      <c r="Z78" s="155">
        <f t="shared" si="34"/>
        <v>0</v>
      </c>
      <c r="AA78" s="155">
        <f t="shared" si="34"/>
        <v>0</v>
      </c>
      <c r="AB78" s="155">
        <f t="shared" si="34"/>
        <v>0</v>
      </c>
      <c r="AD78" s="156">
        <f t="shared" si="35"/>
        <v>0</v>
      </c>
      <c r="AE78" s="156">
        <f t="shared" si="35"/>
        <v>0</v>
      </c>
      <c r="AF78" s="156">
        <f t="shared" si="35"/>
        <v>0</v>
      </c>
      <c r="AG78" s="156">
        <f t="shared" si="35"/>
        <v>0</v>
      </c>
    </row>
    <row r="79" spans="1:33" s="159" customFormat="1" ht="15" customHeight="1" x14ac:dyDescent="0.3">
      <c r="A79" s="226"/>
      <c r="B79" s="230" t="s">
        <v>132</v>
      </c>
      <c r="C79" s="150" t="s">
        <v>131</v>
      </c>
      <c r="D79" s="151">
        <v>24</v>
      </c>
      <c r="E79" s="151">
        <v>250000</v>
      </c>
      <c r="F79" s="151">
        <f t="shared" si="30"/>
        <v>6000000</v>
      </c>
      <c r="G79" s="151">
        <f t="shared" si="31"/>
        <v>1050</v>
      </c>
      <c r="H79" s="151">
        <f t="shared" si="32"/>
        <v>5714.2857142857147</v>
      </c>
      <c r="I79" s="174">
        <v>1428.2857142857147</v>
      </c>
      <c r="J79" s="175"/>
      <c r="K79" s="153">
        <f t="shared" si="24"/>
        <v>1693.1448060560206</v>
      </c>
      <c r="L79" s="155">
        <f t="shared" si="33"/>
        <v>264.85909177030589</v>
      </c>
      <c r="M79" s="156">
        <f t="shared" ref="M79:M142" si="36">IFERROR(L79/I79,0)</f>
        <v>0.18543845192959998</v>
      </c>
      <c r="N79" s="157"/>
      <c r="O79" s="156"/>
      <c r="P79" s="158">
        <v>1428.2857142857147</v>
      </c>
      <c r="Q79" s="156"/>
      <c r="R79" s="156"/>
      <c r="T79" s="158">
        <v>0</v>
      </c>
      <c r="U79" s="158">
        <v>1693.1448060560206</v>
      </c>
      <c r="V79" s="158">
        <v>0</v>
      </c>
      <c r="W79" s="158">
        <v>0</v>
      </c>
      <c r="Y79" s="155">
        <f t="shared" si="34"/>
        <v>0</v>
      </c>
      <c r="Z79" s="155">
        <f t="shared" si="34"/>
        <v>264.85909177030589</v>
      </c>
      <c r="AA79" s="155">
        <f t="shared" si="34"/>
        <v>0</v>
      </c>
      <c r="AB79" s="155">
        <f t="shared" si="34"/>
        <v>0</v>
      </c>
      <c r="AD79" s="156">
        <f t="shared" si="35"/>
        <v>0</v>
      </c>
      <c r="AE79" s="156">
        <f t="shared" si="35"/>
        <v>0.18543845192959998</v>
      </c>
      <c r="AF79" s="156">
        <f t="shared" si="35"/>
        <v>0</v>
      </c>
      <c r="AG79" s="156">
        <f t="shared" si="35"/>
        <v>0</v>
      </c>
    </row>
    <row r="80" spans="1:33" s="159" customFormat="1" ht="15" customHeight="1" x14ac:dyDescent="0.3">
      <c r="A80" s="226"/>
      <c r="B80" s="230" t="s">
        <v>133</v>
      </c>
      <c r="C80" s="150" t="s">
        <v>131</v>
      </c>
      <c r="D80" s="151">
        <v>8</v>
      </c>
      <c r="E80" s="151">
        <v>1000000</v>
      </c>
      <c r="F80" s="151">
        <f t="shared" si="30"/>
        <v>8000000</v>
      </c>
      <c r="G80" s="151">
        <f t="shared" si="31"/>
        <v>1050</v>
      </c>
      <c r="H80" s="151">
        <f>IF($G$5=0,0,F80/G80)</f>
        <v>7619.0476190476193</v>
      </c>
      <c r="I80" s="174">
        <v>0</v>
      </c>
      <c r="J80" s="175"/>
      <c r="K80" s="153">
        <f t="shared" si="24"/>
        <v>0</v>
      </c>
      <c r="L80" s="155">
        <f t="shared" si="33"/>
        <v>0</v>
      </c>
      <c r="M80" s="156">
        <f t="shared" si="36"/>
        <v>0</v>
      </c>
      <c r="N80" s="157"/>
      <c r="O80" s="156"/>
      <c r="P80" s="158">
        <v>0</v>
      </c>
      <c r="Q80" s="156"/>
      <c r="R80" s="156"/>
      <c r="T80" s="158"/>
      <c r="U80" s="158"/>
      <c r="V80" s="158"/>
      <c r="W80" s="158"/>
      <c r="Y80" s="155">
        <f t="shared" si="34"/>
        <v>0</v>
      </c>
      <c r="Z80" s="155">
        <f t="shared" si="34"/>
        <v>0</v>
      </c>
      <c r="AA80" s="155">
        <f t="shared" si="34"/>
        <v>0</v>
      </c>
      <c r="AB80" s="155">
        <f t="shared" si="34"/>
        <v>0</v>
      </c>
      <c r="AD80" s="156">
        <f t="shared" si="35"/>
        <v>0</v>
      </c>
      <c r="AE80" s="156">
        <f t="shared" si="35"/>
        <v>0</v>
      </c>
      <c r="AF80" s="156">
        <f t="shared" si="35"/>
        <v>0</v>
      </c>
      <c r="AG80" s="156">
        <f t="shared" si="35"/>
        <v>0</v>
      </c>
    </row>
    <row r="81" spans="1:33" s="159" customFormat="1" ht="15" customHeight="1" x14ac:dyDescent="0.3">
      <c r="A81" s="215"/>
      <c r="B81" s="230" t="s">
        <v>134</v>
      </c>
      <c r="C81" s="150" t="s">
        <v>114</v>
      </c>
      <c r="D81" s="151">
        <v>1</v>
      </c>
      <c r="E81" s="151">
        <v>7117460</v>
      </c>
      <c r="F81" s="151">
        <f>D81*E81</f>
        <v>7117460</v>
      </c>
      <c r="G81" s="151">
        <f t="shared" si="31"/>
        <v>1050</v>
      </c>
      <c r="H81" s="151">
        <f t="shared" si="32"/>
        <v>6778.5333333333338</v>
      </c>
      <c r="I81" s="174">
        <v>0</v>
      </c>
      <c r="J81" s="175"/>
      <c r="K81" s="153">
        <f t="shared" si="24"/>
        <v>0</v>
      </c>
      <c r="L81" s="155">
        <f t="shared" si="33"/>
        <v>0</v>
      </c>
      <c r="M81" s="156">
        <f t="shared" si="36"/>
        <v>0</v>
      </c>
      <c r="N81" s="157"/>
      <c r="O81" s="156"/>
      <c r="P81" s="158">
        <v>0</v>
      </c>
      <c r="Q81" s="156"/>
      <c r="R81" s="156"/>
      <c r="T81" s="158"/>
      <c r="U81" s="158"/>
      <c r="V81" s="158"/>
      <c r="W81" s="158"/>
      <c r="Y81" s="155">
        <f t="shared" si="34"/>
        <v>0</v>
      </c>
      <c r="Z81" s="155">
        <f t="shared" si="34"/>
        <v>0</v>
      </c>
      <c r="AA81" s="155">
        <f t="shared" si="34"/>
        <v>0</v>
      </c>
      <c r="AB81" s="155">
        <f t="shared" si="34"/>
        <v>0</v>
      </c>
      <c r="AD81" s="156">
        <f t="shared" si="35"/>
        <v>0</v>
      </c>
      <c r="AE81" s="156">
        <f t="shared" si="35"/>
        <v>0</v>
      </c>
      <c r="AF81" s="156">
        <f t="shared" si="35"/>
        <v>0</v>
      </c>
      <c r="AG81" s="156">
        <f t="shared" si="35"/>
        <v>0</v>
      </c>
    </row>
    <row r="82" spans="1:33" s="159" customFormat="1" ht="15" customHeight="1" x14ac:dyDescent="0.3">
      <c r="A82" s="215"/>
      <c r="B82" s="230" t="s">
        <v>135</v>
      </c>
      <c r="C82" s="150" t="s">
        <v>114</v>
      </c>
      <c r="D82" s="151">
        <v>1</v>
      </c>
      <c r="E82" s="151">
        <v>7117460</v>
      </c>
      <c r="F82" s="151">
        <f t="shared" si="30"/>
        <v>7117460</v>
      </c>
      <c r="G82" s="151">
        <f t="shared" si="31"/>
        <v>1050</v>
      </c>
      <c r="H82" s="151">
        <f t="shared" si="32"/>
        <v>6778.5333333333338</v>
      </c>
      <c r="I82" s="231">
        <v>6778.5333333333338</v>
      </c>
      <c r="J82" s="221"/>
      <c r="K82" s="153">
        <f t="shared" si="24"/>
        <v>5435.6446401126886</v>
      </c>
      <c r="L82" s="155">
        <f t="shared" si="33"/>
        <v>-1342.8886932206451</v>
      </c>
      <c r="M82" s="232">
        <f t="shared" si="36"/>
        <v>-0.19810903438609803</v>
      </c>
      <c r="N82" s="223"/>
      <c r="O82" s="232"/>
      <c r="P82" s="158">
        <v>6778.5333333333338</v>
      </c>
      <c r="Q82" s="232"/>
      <c r="R82" s="232"/>
      <c r="T82" s="158">
        <v>0</v>
      </c>
      <c r="U82" s="158">
        <v>5435.6446401126886</v>
      </c>
      <c r="V82" s="158">
        <v>0</v>
      </c>
      <c r="W82" s="158">
        <v>0</v>
      </c>
      <c r="Y82" s="155">
        <f t="shared" si="34"/>
        <v>0</v>
      </c>
      <c r="Z82" s="155">
        <f t="shared" si="34"/>
        <v>-1342.8886932206451</v>
      </c>
      <c r="AA82" s="155">
        <f t="shared" si="34"/>
        <v>0</v>
      </c>
      <c r="AB82" s="155">
        <f t="shared" si="34"/>
        <v>0</v>
      </c>
      <c r="AD82" s="156">
        <f t="shared" si="35"/>
        <v>0</v>
      </c>
      <c r="AE82" s="156">
        <f t="shared" si="35"/>
        <v>-0.19810903438609803</v>
      </c>
      <c r="AF82" s="156">
        <f t="shared" si="35"/>
        <v>0</v>
      </c>
      <c r="AG82" s="156">
        <f t="shared" si="35"/>
        <v>0</v>
      </c>
    </row>
    <row r="83" spans="1:33" s="159" customFormat="1" ht="15" customHeight="1" x14ac:dyDescent="0.3">
      <c r="A83" s="226"/>
      <c r="B83" s="230" t="s">
        <v>136</v>
      </c>
      <c r="C83" s="150" t="s">
        <v>137</v>
      </c>
      <c r="D83" s="151">
        <v>11</v>
      </c>
      <c r="E83" s="151">
        <v>1000000</v>
      </c>
      <c r="F83" s="151">
        <f t="shared" si="30"/>
        <v>11000000</v>
      </c>
      <c r="G83" s="151">
        <f t="shared" si="31"/>
        <v>1050</v>
      </c>
      <c r="H83" s="151">
        <f t="shared" si="32"/>
        <v>10476.190476190477</v>
      </c>
      <c r="I83" s="174">
        <v>0</v>
      </c>
      <c r="J83" s="175"/>
      <c r="K83" s="153">
        <f t="shared" si="24"/>
        <v>0</v>
      </c>
      <c r="L83" s="155">
        <f t="shared" si="33"/>
        <v>0</v>
      </c>
      <c r="M83" s="156">
        <f t="shared" si="36"/>
        <v>0</v>
      </c>
      <c r="N83" s="157"/>
      <c r="O83" s="156"/>
      <c r="P83" s="158">
        <v>0</v>
      </c>
      <c r="Q83" s="156"/>
      <c r="R83" s="156"/>
      <c r="T83" s="158"/>
      <c r="U83" s="158"/>
      <c r="V83" s="158"/>
      <c r="W83" s="158"/>
      <c r="Y83" s="155">
        <f t="shared" si="34"/>
        <v>0</v>
      </c>
      <c r="Z83" s="155">
        <f t="shared" si="34"/>
        <v>0</v>
      </c>
      <c r="AA83" s="155">
        <f t="shared" si="34"/>
        <v>0</v>
      </c>
      <c r="AB83" s="155">
        <f t="shared" si="34"/>
        <v>0</v>
      </c>
      <c r="AD83" s="156">
        <f t="shared" si="35"/>
        <v>0</v>
      </c>
      <c r="AE83" s="156">
        <f t="shared" si="35"/>
        <v>0</v>
      </c>
      <c r="AF83" s="156">
        <f t="shared" si="35"/>
        <v>0</v>
      </c>
      <c r="AG83" s="156">
        <f t="shared" si="35"/>
        <v>0</v>
      </c>
    </row>
    <row r="84" spans="1:33" s="159" customFormat="1" ht="15" customHeight="1" x14ac:dyDescent="0.3">
      <c r="A84" s="226"/>
      <c r="B84" s="233" t="s">
        <v>138</v>
      </c>
      <c r="C84" s="150" t="s">
        <v>114</v>
      </c>
      <c r="D84" s="151">
        <v>2</v>
      </c>
      <c r="E84" s="151">
        <v>6711550</v>
      </c>
      <c r="F84" s="151">
        <f t="shared" si="30"/>
        <v>13423100</v>
      </c>
      <c r="G84" s="151">
        <f t="shared" si="31"/>
        <v>1050</v>
      </c>
      <c r="H84" s="151">
        <f t="shared" si="32"/>
        <v>12783.904761904761</v>
      </c>
      <c r="I84" s="174">
        <v>0</v>
      </c>
      <c r="J84" s="175"/>
      <c r="K84" s="153">
        <f t="shared" si="24"/>
        <v>0</v>
      </c>
      <c r="L84" s="155">
        <f t="shared" si="33"/>
        <v>0</v>
      </c>
      <c r="M84" s="156">
        <f t="shared" si="36"/>
        <v>0</v>
      </c>
      <c r="N84" s="157"/>
      <c r="O84" s="156"/>
      <c r="P84" s="158">
        <v>0</v>
      </c>
      <c r="Q84" s="156"/>
      <c r="R84" s="156"/>
      <c r="T84" s="158"/>
      <c r="U84" s="158"/>
      <c r="V84" s="158"/>
      <c r="W84" s="158"/>
      <c r="Y84" s="155">
        <f t="shared" si="34"/>
        <v>0</v>
      </c>
      <c r="Z84" s="155">
        <f t="shared" si="34"/>
        <v>0</v>
      </c>
      <c r="AA84" s="155">
        <f t="shared" si="34"/>
        <v>0</v>
      </c>
      <c r="AB84" s="155">
        <f t="shared" si="34"/>
        <v>0</v>
      </c>
      <c r="AD84" s="156">
        <f t="shared" si="35"/>
        <v>0</v>
      </c>
      <c r="AE84" s="156">
        <f t="shared" si="35"/>
        <v>0</v>
      </c>
      <c r="AF84" s="156">
        <f t="shared" si="35"/>
        <v>0</v>
      </c>
      <c r="AG84" s="156">
        <f t="shared" si="35"/>
        <v>0</v>
      </c>
    </row>
    <row r="85" spans="1:33" s="159" customFormat="1" ht="15" customHeight="1" x14ac:dyDescent="0.3">
      <c r="A85" s="226"/>
      <c r="B85" s="173" t="s">
        <v>139</v>
      </c>
      <c r="C85" s="150" t="s">
        <v>114</v>
      </c>
      <c r="D85" s="151">
        <v>3</v>
      </c>
      <c r="E85" s="151">
        <v>1255250</v>
      </c>
      <c r="F85" s="151">
        <f t="shared" si="30"/>
        <v>3765750</v>
      </c>
      <c r="G85" s="151">
        <f t="shared" si="31"/>
        <v>1050</v>
      </c>
      <c r="H85" s="151">
        <f t="shared" si="32"/>
        <v>3586.4285714285716</v>
      </c>
      <c r="I85" s="174">
        <v>0</v>
      </c>
      <c r="J85" s="175"/>
      <c r="K85" s="153">
        <f t="shared" si="24"/>
        <v>0</v>
      </c>
      <c r="L85" s="155">
        <f t="shared" si="33"/>
        <v>0</v>
      </c>
      <c r="M85" s="156">
        <f t="shared" si="36"/>
        <v>0</v>
      </c>
      <c r="N85" s="157"/>
      <c r="O85" s="156"/>
      <c r="P85" s="158">
        <v>0</v>
      </c>
      <c r="Q85" s="156"/>
      <c r="R85" s="156"/>
      <c r="T85" s="158"/>
      <c r="U85" s="158"/>
      <c r="V85" s="158"/>
      <c r="W85" s="158"/>
      <c r="Y85" s="155">
        <f t="shared" si="34"/>
        <v>0</v>
      </c>
      <c r="Z85" s="155">
        <f t="shared" si="34"/>
        <v>0</v>
      </c>
      <c r="AA85" s="155">
        <f t="shared" si="34"/>
        <v>0</v>
      </c>
      <c r="AB85" s="155">
        <f t="shared" si="34"/>
        <v>0</v>
      </c>
      <c r="AD85" s="156">
        <f t="shared" si="35"/>
        <v>0</v>
      </c>
      <c r="AE85" s="156">
        <f t="shared" si="35"/>
        <v>0</v>
      </c>
      <c r="AF85" s="156">
        <f t="shared" si="35"/>
        <v>0</v>
      </c>
      <c r="AG85" s="156">
        <f t="shared" si="35"/>
        <v>0</v>
      </c>
    </row>
    <row r="86" spans="1:33" s="159" customFormat="1" x14ac:dyDescent="0.3">
      <c r="A86" s="215"/>
      <c r="B86" s="173" t="s">
        <v>140</v>
      </c>
      <c r="C86" s="150" t="s">
        <v>131</v>
      </c>
      <c r="D86" s="151">
        <v>4</v>
      </c>
      <c r="E86" s="151">
        <v>929580</v>
      </c>
      <c r="F86" s="151">
        <f t="shared" si="30"/>
        <v>3718320</v>
      </c>
      <c r="G86" s="151">
        <f t="shared" si="31"/>
        <v>1050</v>
      </c>
      <c r="H86" s="151">
        <f t="shared" si="32"/>
        <v>3541.2571428571428</v>
      </c>
      <c r="I86" s="174">
        <v>0</v>
      </c>
      <c r="J86" s="175"/>
      <c r="K86" s="153">
        <f t="shared" si="24"/>
        <v>0</v>
      </c>
      <c r="L86" s="155">
        <f t="shared" si="33"/>
        <v>0</v>
      </c>
      <c r="M86" s="156">
        <f t="shared" si="36"/>
        <v>0</v>
      </c>
      <c r="N86" s="157"/>
      <c r="O86" s="156"/>
      <c r="P86" s="158">
        <v>0</v>
      </c>
      <c r="Q86" s="156"/>
      <c r="R86" s="156"/>
      <c r="T86" s="158"/>
      <c r="U86" s="158"/>
      <c r="V86" s="158"/>
      <c r="W86" s="158"/>
      <c r="Y86" s="155">
        <f t="shared" si="34"/>
        <v>0</v>
      </c>
      <c r="Z86" s="155">
        <f t="shared" si="34"/>
        <v>0</v>
      </c>
      <c r="AA86" s="155">
        <f t="shared" si="34"/>
        <v>0</v>
      </c>
      <c r="AB86" s="155">
        <f t="shared" si="34"/>
        <v>0</v>
      </c>
      <c r="AD86" s="156">
        <f t="shared" si="35"/>
        <v>0</v>
      </c>
      <c r="AE86" s="156">
        <f t="shared" si="35"/>
        <v>0</v>
      </c>
      <c r="AF86" s="156">
        <f t="shared" si="35"/>
        <v>0</v>
      </c>
      <c r="AG86" s="156">
        <f t="shared" si="35"/>
        <v>0</v>
      </c>
    </row>
    <row r="87" spans="1:33" s="159" customFormat="1" x14ac:dyDescent="0.3">
      <c r="A87" s="229"/>
      <c r="B87" s="230" t="s">
        <v>141</v>
      </c>
      <c r="C87" s="150" t="s">
        <v>59</v>
      </c>
      <c r="D87" s="151">
        <v>1</v>
      </c>
      <c r="E87" s="151">
        <f>F87</f>
        <v>0</v>
      </c>
      <c r="F87" s="151"/>
      <c r="G87" s="151"/>
      <c r="H87" s="234"/>
      <c r="I87" s="231">
        <v>1905</v>
      </c>
      <c r="J87" s="221"/>
      <c r="K87" s="153">
        <f t="shared" si="24"/>
        <v>1834.256577604524</v>
      </c>
      <c r="L87" s="155">
        <f t="shared" si="33"/>
        <v>-70.743422395476045</v>
      </c>
      <c r="M87" s="232">
        <f t="shared" si="36"/>
        <v>-3.7135654800774826E-2</v>
      </c>
      <c r="N87" s="223"/>
      <c r="O87" s="232"/>
      <c r="P87" s="158">
        <v>1905</v>
      </c>
      <c r="Q87" s="232"/>
      <c r="R87" s="232"/>
      <c r="T87" s="158">
        <v>0</v>
      </c>
      <c r="U87" s="158">
        <v>1834.256577604524</v>
      </c>
      <c r="V87" s="158">
        <v>0</v>
      </c>
      <c r="W87" s="158">
        <v>0</v>
      </c>
      <c r="Y87" s="155">
        <f t="shared" si="34"/>
        <v>0</v>
      </c>
      <c r="Z87" s="155">
        <f t="shared" si="34"/>
        <v>-70.743422395476045</v>
      </c>
      <c r="AA87" s="155">
        <f t="shared" si="34"/>
        <v>0</v>
      </c>
      <c r="AB87" s="155">
        <f t="shared" si="34"/>
        <v>0</v>
      </c>
      <c r="AD87" s="156">
        <f t="shared" si="35"/>
        <v>0</v>
      </c>
      <c r="AE87" s="156">
        <f t="shared" si="35"/>
        <v>-3.7135654800774826E-2</v>
      </c>
      <c r="AF87" s="156">
        <f t="shared" si="35"/>
        <v>0</v>
      </c>
      <c r="AG87" s="156">
        <f t="shared" si="35"/>
        <v>0</v>
      </c>
    </row>
    <row r="88" spans="1:33" s="159" customFormat="1" x14ac:dyDescent="0.3">
      <c r="A88" s="229"/>
      <c r="B88" s="235" t="s">
        <v>142</v>
      </c>
      <c r="C88" s="150" t="s">
        <v>59</v>
      </c>
      <c r="D88" s="151">
        <v>1</v>
      </c>
      <c r="E88" s="151">
        <f t="shared" ref="E88:E93" si="37">F88</f>
        <v>0</v>
      </c>
      <c r="F88" s="151"/>
      <c r="G88" s="151"/>
      <c r="H88" s="234"/>
      <c r="I88" s="231">
        <v>68719</v>
      </c>
      <c r="J88" s="221"/>
      <c r="K88" s="153">
        <f t="shared" si="24"/>
        <v>87984.198607680621</v>
      </c>
      <c r="L88" s="155">
        <f t="shared" si="33"/>
        <v>19265.198607680621</v>
      </c>
      <c r="M88" s="232">
        <f t="shared" si="36"/>
        <v>0.28034748188536823</v>
      </c>
      <c r="N88" s="223"/>
      <c r="O88" s="232"/>
      <c r="P88" s="158">
        <v>68719</v>
      </c>
      <c r="Q88" s="232"/>
      <c r="R88" s="232"/>
      <c r="T88" s="158">
        <v>0</v>
      </c>
      <c r="U88" s="158">
        <v>87984.198607680621</v>
      </c>
      <c r="V88" s="158">
        <v>0</v>
      </c>
      <c r="W88" s="158">
        <v>0</v>
      </c>
      <c r="Y88" s="155">
        <f t="shared" si="34"/>
        <v>0</v>
      </c>
      <c r="Z88" s="155">
        <f t="shared" si="34"/>
        <v>19265.198607680621</v>
      </c>
      <c r="AA88" s="155">
        <f t="shared" si="34"/>
        <v>0</v>
      </c>
      <c r="AB88" s="155">
        <f t="shared" si="34"/>
        <v>0</v>
      </c>
      <c r="AD88" s="156">
        <f t="shared" si="35"/>
        <v>0</v>
      </c>
      <c r="AE88" s="156">
        <f t="shared" si="35"/>
        <v>0.28034748188536823</v>
      </c>
      <c r="AF88" s="156">
        <f t="shared" si="35"/>
        <v>0</v>
      </c>
      <c r="AG88" s="156">
        <f t="shared" si="35"/>
        <v>0</v>
      </c>
    </row>
    <row r="89" spans="1:33" s="159" customFormat="1" x14ac:dyDescent="0.3">
      <c r="A89" s="229"/>
      <c r="B89" s="230" t="s">
        <v>143</v>
      </c>
      <c r="C89" s="150" t="s">
        <v>59</v>
      </c>
      <c r="D89" s="151">
        <v>1</v>
      </c>
      <c r="E89" s="151">
        <f t="shared" si="37"/>
        <v>0</v>
      </c>
      <c r="F89" s="151"/>
      <c r="G89" s="151"/>
      <c r="H89" s="234"/>
      <c r="I89" s="231">
        <v>9524</v>
      </c>
      <c r="J89" s="221"/>
      <c r="K89" s="153">
        <f t="shared" si="24"/>
        <v>9289.6730304640696</v>
      </c>
      <c r="L89" s="155">
        <f t="shared" si="33"/>
        <v>-234.3269695359304</v>
      </c>
      <c r="M89" s="232">
        <f t="shared" si="36"/>
        <v>-2.4603839724478202E-2</v>
      </c>
      <c r="N89" s="223"/>
      <c r="O89" s="232"/>
      <c r="P89" s="158">
        <v>9524</v>
      </c>
      <c r="Q89" s="232"/>
      <c r="R89" s="232"/>
      <c r="T89" s="158">
        <v>0</v>
      </c>
      <c r="U89" s="158">
        <v>9289.6730304640696</v>
      </c>
      <c r="V89" s="158">
        <v>0</v>
      </c>
      <c r="W89" s="158">
        <v>0</v>
      </c>
      <c r="Y89" s="155">
        <f t="shared" si="34"/>
        <v>0</v>
      </c>
      <c r="Z89" s="155">
        <f t="shared" si="34"/>
        <v>-234.3269695359304</v>
      </c>
      <c r="AA89" s="155">
        <f t="shared" si="34"/>
        <v>0</v>
      </c>
      <c r="AB89" s="155">
        <f t="shared" si="34"/>
        <v>0</v>
      </c>
      <c r="AD89" s="156">
        <f t="shared" si="35"/>
        <v>0</v>
      </c>
      <c r="AE89" s="156">
        <f t="shared" si="35"/>
        <v>-2.4603839724478202E-2</v>
      </c>
      <c r="AF89" s="156">
        <f t="shared" si="35"/>
        <v>0</v>
      </c>
      <c r="AG89" s="156">
        <f t="shared" si="35"/>
        <v>0</v>
      </c>
    </row>
    <row r="90" spans="1:33" s="159" customFormat="1" x14ac:dyDescent="0.3">
      <c r="A90" s="229"/>
      <c r="B90" s="230" t="s">
        <v>144</v>
      </c>
      <c r="C90" s="150" t="s">
        <v>59</v>
      </c>
      <c r="D90" s="151">
        <v>1</v>
      </c>
      <c r="E90" s="151">
        <f t="shared" si="37"/>
        <v>0</v>
      </c>
      <c r="F90" s="151"/>
      <c r="G90" s="151"/>
      <c r="H90" s="234"/>
      <c r="I90" s="231">
        <v>12381</v>
      </c>
      <c r="J90" s="221"/>
      <c r="K90" s="153">
        <f t="shared" si="24"/>
        <v>11918.600789955135</v>
      </c>
      <c r="L90" s="155">
        <f t="shared" si="33"/>
        <v>-462.39921004486496</v>
      </c>
      <c r="M90" s="232">
        <f t="shared" si="36"/>
        <v>-3.734748485945117E-2</v>
      </c>
      <c r="N90" s="223"/>
      <c r="O90" s="232"/>
      <c r="P90" s="158">
        <v>12381</v>
      </c>
      <c r="Q90" s="232"/>
      <c r="R90" s="232"/>
      <c r="T90" s="158">
        <v>0</v>
      </c>
      <c r="U90" s="158">
        <v>11918.600789955135</v>
      </c>
      <c r="V90" s="158">
        <v>0</v>
      </c>
      <c r="W90" s="158">
        <v>0</v>
      </c>
      <c r="Y90" s="155">
        <f t="shared" si="34"/>
        <v>0</v>
      </c>
      <c r="Z90" s="155">
        <f t="shared" si="34"/>
        <v>-462.39921004486496</v>
      </c>
      <c r="AA90" s="155">
        <f t="shared" si="34"/>
        <v>0</v>
      </c>
      <c r="AB90" s="155">
        <f t="shared" si="34"/>
        <v>0</v>
      </c>
      <c r="AD90" s="156">
        <f t="shared" si="35"/>
        <v>0</v>
      </c>
      <c r="AE90" s="156">
        <f t="shared" si="35"/>
        <v>-3.734748485945117E-2</v>
      </c>
      <c r="AF90" s="156">
        <f t="shared" si="35"/>
        <v>0</v>
      </c>
      <c r="AG90" s="156">
        <f t="shared" si="35"/>
        <v>0</v>
      </c>
    </row>
    <row r="91" spans="1:33" s="159" customFormat="1" x14ac:dyDescent="0.3">
      <c r="A91" s="229"/>
      <c r="B91" s="230" t="s">
        <v>145</v>
      </c>
      <c r="C91" s="150" t="s">
        <v>59</v>
      </c>
      <c r="D91" s="151">
        <v>1</v>
      </c>
      <c r="E91" s="151">
        <f t="shared" si="37"/>
        <v>0</v>
      </c>
      <c r="F91" s="151"/>
      <c r="G91" s="151"/>
      <c r="H91" s="234"/>
      <c r="I91" s="231">
        <v>5457</v>
      </c>
      <c r="J91" s="221"/>
      <c r="K91" s="153">
        <f t="shared" si="24"/>
        <v>6225.2503348470227</v>
      </c>
      <c r="L91" s="155">
        <f t="shared" si="33"/>
        <v>768.25033484702271</v>
      </c>
      <c r="M91" s="232">
        <f t="shared" si="36"/>
        <v>0.14078254257779416</v>
      </c>
      <c r="N91" s="223"/>
      <c r="O91" s="232"/>
      <c r="P91" s="158">
        <v>5457</v>
      </c>
      <c r="Q91" s="232"/>
      <c r="R91" s="232"/>
      <c r="T91" s="158">
        <v>0</v>
      </c>
      <c r="U91" s="158">
        <v>6225.2503348470227</v>
      </c>
      <c r="V91" s="158">
        <v>0</v>
      </c>
      <c r="W91" s="158">
        <v>0</v>
      </c>
      <c r="Y91" s="155">
        <f t="shared" si="34"/>
        <v>0</v>
      </c>
      <c r="Z91" s="155">
        <f t="shared" si="34"/>
        <v>768.25033484702271</v>
      </c>
      <c r="AA91" s="155">
        <f t="shared" si="34"/>
        <v>0</v>
      </c>
      <c r="AB91" s="155">
        <f t="shared" si="34"/>
        <v>0</v>
      </c>
      <c r="AD91" s="156">
        <f t="shared" si="35"/>
        <v>0</v>
      </c>
      <c r="AE91" s="156">
        <f t="shared" si="35"/>
        <v>0.14078254257779416</v>
      </c>
      <c r="AF91" s="156">
        <f t="shared" si="35"/>
        <v>0</v>
      </c>
      <c r="AG91" s="156">
        <f t="shared" si="35"/>
        <v>0</v>
      </c>
    </row>
    <row r="92" spans="1:33" s="159" customFormat="1" x14ac:dyDescent="0.3">
      <c r="A92" s="229"/>
      <c r="B92" s="230" t="s">
        <v>146</v>
      </c>
      <c r="C92" s="150" t="s">
        <v>59</v>
      </c>
      <c r="D92" s="151">
        <v>1</v>
      </c>
      <c r="E92" s="151">
        <f t="shared" si="37"/>
        <v>0</v>
      </c>
      <c r="F92" s="151"/>
      <c r="G92" s="151"/>
      <c r="H92" s="234"/>
      <c r="I92" s="231">
        <v>22857</v>
      </c>
      <c r="J92" s="221"/>
      <c r="K92" s="153">
        <f t="shared" si="24"/>
        <v>46068.473192521618</v>
      </c>
      <c r="L92" s="155">
        <f t="shared" si="33"/>
        <v>23211.473192521618</v>
      </c>
      <c r="M92" s="232">
        <f t="shared" si="36"/>
        <v>1.0155082990996902</v>
      </c>
      <c r="N92" s="223"/>
      <c r="O92" s="232"/>
      <c r="P92" s="158">
        <v>22857</v>
      </c>
      <c r="Q92" s="232"/>
      <c r="R92" s="232"/>
      <c r="T92" s="158">
        <v>0</v>
      </c>
      <c r="U92" s="158">
        <v>46068.473192521618</v>
      </c>
      <c r="V92" s="158">
        <v>0</v>
      </c>
      <c r="W92" s="158">
        <v>0</v>
      </c>
      <c r="Y92" s="155">
        <f t="shared" si="34"/>
        <v>0</v>
      </c>
      <c r="Z92" s="155">
        <f t="shared" si="34"/>
        <v>23211.473192521618</v>
      </c>
      <c r="AA92" s="155">
        <f t="shared" si="34"/>
        <v>0</v>
      </c>
      <c r="AB92" s="155">
        <f t="shared" si="34"/>
        <v>0</v>
      </c>
      <c r="AD92" s="156">
        <f t="shared" si="35"/>
        <v>0</v>
      </c>
      <c r="AE92" s="156">
        <f t="shared" si="35"/>
        <v>1.0155082990996902</v>
      </c>
      <c r="AF92" s="156">
        <f t="shared" si="35"/>
        <v>0</v>
      </c>
      <c r="AG92" s="156">
        <f t="shared" si="35"/>
        <v>0</v>
      </c>
    </row>
    <row r="93" spans="1:33" s="159" customFormat="1" x14ac:dyDescent="0.3">
      <c r="A93" s="229"/>
      <c r="B93" s="230" t="s">
        <v>147</v>
      </c>
      <c r="C93" s="150" t="s">
        <v>59</v>
      </c>
      <c r="D93" s="151">
        <v>1</v>
      </c>
      <c r="E93" s="151">
        <f t="shared" si="37"/>
        <v>0</v>
      </c>
      <c r="F93" s="151"/>
      <c r="G93" s="151"/>
      <c r="H93" s="234"/>
      <c r="I93" s="231">
        <v>0</v>
      </c>
      <c r="J93" s="221"/>
      <c r="K93" s="153">
        <f t="shared" si="24"/>
        <v>0</v>
      </c>
      <c r="L93" s="155">
        <f t="shared" si="33"/>
        <v>0</v>
      </c>
      <c r="M93" s="232">
        <f t="shared" si="36"/>
        <v>0</v>
      </c>
      <c r="N93" s="223"/>
      <c r="O93" s="232"/>
      <c r="P93" s="158">
        <v>0</v>
      </c>
      <c r="Q93" s="232"/>
      <c r="R93" s="232"/>
      <c r="T93" s="158"/>
      <c r="U93" s="158"/>
      <c r="V93" s="158"/>
      <c r="W93" s="158"/>
      <c r="Y93" s="155">
        <f t="shared" si="34"/>
        <v>0</v>
      </c>
      <c r="Z93" s="155">
        <f t="shared" si="34"/>
        <v>0</v>
      </c>
      <c r="AA93" s="155">
        <f t="shared" si="34"/>
        <v>0</v>
      </c>
      <c r="AB93" s="155">
        <f t="shared" si="34"/>
        <v>0</v>
      </c>
      <c r="AD93" s="156">
        <f t="shared" si="35"/>
        <v>0</v>
      </c>
      <c r="AE93" s="156">
        <f t="shared" si="35"/>
        <v>0</v>
      </c>
      <c r="AF93" s="156">
        <f t="shared" si="35"/>
        <v>0</v>
      </c>
      <c r="AG93" s="156">
        <f t="shared" si="35"/>
        <v>0</v>
      </c>
    </row>
    <row r="94" spans="1:33" s="159" customFormat="1" x14ac:dyDescent="0.3">
      <c r="A94" s="229"/>
      <c r="B94" s="235" t="s">
        <v>148</v>
      </c>
      <c r="C94" s="150" t="s">
        <v>59</v>
      </c>
      <c r="D94" s="151">
        <v>1</v>
      </c>
      <c r="E94" s="151">
        <f>F94</f>
        <v>0</v>
      </c>
      <c r="F94" s="151"/>
      <c r="G94" s="151"/>
      <c r="H94" s="234"/>
      <c r="I94" s="231">
        <v>129529.24</v>
      </c>
      <c r="J94" s="221"/>
      <c r="K94" s="153">
        <f t="shared" si="24"/>
        <v>143916.09906821192</v>
      </c>
      <c r="L94" s="155">
        <f t="shared" si="33"/>
        <v>14386.85906821191</v>
      </c>
      <c r="M94" s="232">
        <f t="shared" si="36"/>
        <v>0.11107035807677024</v>
      </c>
      <c r="N94" s="223"/>
      <c r="O94" s="232"/>
      <c r="P94" s="158">
        <v>129529.24</v>
      </c>
      <c r="Q94" s="232"/>
      <c r="R94" s="232"/>
      <c r="T94" s="158">
        <v>0</v>
      </c>
      <c r="U94" s="158">
        <v>143916.09906821192</v>
      </c>
      <c r="V94" s="158">
        <v>0</v>
      </c>
      <c r="W94" s="158">
        <v>0</v>
      </c>
      <c r="Y94" s="155">
        <f t="shared" si="34"/>
        <v>0</v>
      </c>
      <c r="Z94" s="155">
        <f t="shared" si="34"/>
        <v>14386.85906821191</v>
      </c>
      <c r="AA94" s="155">
        <f t="shared" si="34"/>
        <v>0</v>
      </c>
      <c r="AB94" s="155">
        <f t="shared" si="34"/>
        <v>0</v>
      </c>
      <c r="AD94" s="156">
        <f t="shared" si="35"/>
        <v>0</v>
      </c>
      <c r="AE94" s="156">
        <f t="shared" si="35"/>
        <v>0.11107035807677024</v>
      </c>
      <c r="AF94" s="156">
        <f t="shared" si="35"/>
        <v>0</v>
      </c>
      <c r="AG94" s="156">
        <f t="shared" si="35"/>
        <v>0</v>
      </c>
    </row>
    <row r="95" spans="1:33" s="146" customFormat="1" x14ac:dyDescent="0.3">
      <c r="A95" s="210"/>
      <c r="B95" s="819" t="s">
        <v>149</v>
      </c>
      <c r="C95" s="820"/>
      <c r="D95" s="820"/>
      <c r="E95" s="820"/>
      <c r="F95" s="820" t="s">
        <v>125</v>
      </c>
      <c r="G95" s="820" t="s">
        <v>125</v>
      </c>
      <c r="H95" s="821" t="s">
        <v>125</v>
      </c>
      <c r="I95" s="211"/>
      <c r="J95" s="212"/>
      <c r="K95" s="211"/>
      <c r="L95" s="213"/>
      <c r="M95" s="214"/>
      <c r="N95" s="165"/>
      <c r="O95" s="214"/>
      <c r="P95" s="214"/>
      <c r="Q95" s="214"/>
      <c r="R95" s="214"/>
      <c r="S95" s="145"/>
      <c r="T95" s="214"/>
      <c r="U95" s="214"/>
      <c r="V95" s="214"/>
      <c r="W95" s="214"/>
      <c r="Y95" s="214"/>
      <c r="Z95" s="214"/>
      <c r="AA95" s="214"/>
      <c r="AB95" s="214"/>
      <c r="AD95" s="214"/>
      <c r="AE95" s="214"/>
      <c r="AF95" s="214"/>
      <c r="AG95" s="214"/>
    </row>
    <row r="96" spans="1:33" s="146" customFormat="1" ht="15" customHeight="1" x14ac:dyDescent="0.35">
      <c r="A96" s="226"/>
      <c r="B96" s="236" t="s">
        <v>150</v>
      </c>
      <c r="C96" s="237" t="s">
        <v>114</v>
      </c>
      <c r="D96" s="238">
        <v>28</v>
      </c>
      <c r="E96" s="238">
        <v>3634710</v>
      </c>
      <c r="F96" s="238">
        <f t="shared" ref="F96:F109" si="38">D96*E96</f>
        <v>101771880</v>
      </c>
      <c r="G96" s="238">
        <f t="shared" ref="G96:G109" si="39">$G$5</f>
        <v>1050</v>
      </c>
      <c r="H96" s="238">
        <f>IF($G$5=0,0,F96/G96)</f>
        <v>96925.6</v>
      </c>
      <c r="I96" s="239">
        <v>34782.608695652176</v>
      </c>
      <c r="J96" s="240"/>
      <c r="K96" s="153">
        <f t="shared" si="24"/>
        <v>28116.739430226349</v>
      </c>
      <c r="L96" s="155">
        <f t="shared" si="33"/>
        <v>-6665.8692654258266</v>
      </c>
      <c r="M96" s="241">
        <f t="shared" si="36"/>
        <v>-0.19164374138099249</v>
      </c>
      <c r="N96" s="242"/>
      <c r="O96" s="241"/>
      <c r="P96" s="241"/>
      <c r="Q96" s="243">
        <v>34782.608695652176</v>
      </c>
      <c r="R96" s="241"/>
      <c r="S96" s="145"/>
      <c r="T96" s="158">
        <v>0</v>
      </c>
      <c r="U96" s="158">
        <v>0</v>
      </c>
      <c r="V96" s="158">
        <v>28116.739430226349</v>
      </c>
      <c r="W96" s="158">
        <v>0</v>
      </c>
      <c r="Y96" s="155">
        <f t="shared" ref="Y96:AB109" si="40">T96-O96</f>
        <v>0</v>
      </c>
      <c r="Z96" s="155">
        <f t="shared" si="40"/>
        <v>0</v>
      </c>
      <c r="AA96" s="155">
        <f t="shared" si="40"/>
        <v>-6665.8692654258266</v>
      </c>
      <c r="AB96" s="155">
        <f t="shared" si="40"/>
        <v>0</v>
      </c>
      <c r="AD96" s="156">
        <f t="shared" ref="AD96:AG109" si="41">IFERROR(Y96/O96,0)</f>
        <v>0</v>
      </c>
      <c r="AE96" s="156">
        <f t="shared" si="41"/>
        <v>0</v>
      </c>
      <c r="AF96" s="156">
        <f t="shared" si="41"/>
        <v>-0.19164374138099249</v>
      </c>
      <c r="AG96" s="156">
        <f t="shared" si="41"/>
        <v>0</v>
      </c>
    </row>
    <row r="97" spans="1:33" s="146" customFormat="1" ht="15" customHeight="1" x14ac:dyDescent="0.35">
      <c r="A97" s="226"/>
      <c r="B97" s="236" t="s">
        <v>151</v>
      </c>
      <c r="C97" s="237" t="s">
        <v>131</v>
      </c>
      <c r="D97" s="238">
        <v>112</v>
      </c>
      <c r="E97" s="238">
        <v>250000</v>
      </c>
      <c r="F97" s="238">
        <f t="shared" si="38"/>
        <v>28000000</v>
      </c>
      <c r="G97" s="238">
        <f t="shared" si="39"/>
        <v>1050</v>
      </c>
      <c r="H97" s="238">
        <f t="shared" ref="H97:H109" si="42">IF($G$5=0,0,F97/G97)</f>
        <v>26666.666666666668</v>
      </c>
      <c r="I97" s="239">
        <v>5835</v>
      </c>
      <c r="J97" s="240"/>
      <c r="K97" s="153">
        <f t="shared" si="24"/>
        <v>0</v>
      </c>
      <c r="L97" s="155">
        <f t="shared" si="33"/>
        <v>-5835</v>
      </c>
      <c r="M97" s="241">
        <f t="shared" si="36"/>
        <v>-1</v>
      </c>
      <c r="N97" s="242"/>
      <c r="O97" s="241"/>
      <c r="P97" s="241"/>
      <c r="Q97" s="243">
        <v>5835</v>
      </c>
      <c r="R97" s="241"/>
      <c r="S97" s="145"/>
      <c r="T97" s="158"/>
      <c r="U97" s="158"/>
      <c r="V97" s="158"/>
      <c r="W97" s="158"/>
      <c r="Y97" s="155">
        <f t="shared" si="40"/>
        <v>0</v>
      </c>
      <c r="Z97" s="155">
        <f t="shared" si="40"/>
        <v>0</v>
      </c>
      <c r="AA97" s="155">
        <f t="shared" si="40"/>
        <v>-5835</v>
      </c>
      <c r="AB97" s="155">
        <f t="shared" si="40"/>
        <v>0</v>
      </c>
      <c r="AD97" s="156">
        <f t="shared" si="41"/>
        <v>0</v>
      </c>
      <c r="AE97" s="156">
        <f t="shared" si="41"/>
        <v>0</v>
      </c>
      <c r="AF97" s="156">
        <f t="shared" si="41"/>
        <v>-1</v>
      </c>
      <c r="AG97" s="156">
        <f t="shared" si="41"/>
        <v>0</v>
      </c>
    </row>
    <row r="98" spans="1:33" s="146" customFormat="1" ht="15" customHeight="1" x14ac:dyDescent="0.3">
      <c r="A98" s="226"/>
      <c r="B98" s="244" t="s">
        <v>152</v>
      </c>
      <c r="C98" s="237" t="s">
        <v>131</v>
      </c>
      <c r="D98" s="238">
        <v>28</v>
      </c>
      <c r="E98" s="238">
        <v>250000</v>
      </c>
      <c r="F98" s="238">
        <f t="shared" si="38"/>
        <v>7000000</v>
      </c>
      <c r="G98" s="238">
        <f t="shared" si="39"/>
        <v>1050</v>
      </c>
      <c r="H98" s="238">
        <f t="shared" si="42"/>
        <v>6666.666666666667</v>
      </c>
      <c r="I98" s="239">
        <v>0</v>
      </c>
      <c r="J98" s="240"/>
      <c r="K98" s="153">
        <f t="shared" si="24"/>
        <v>0</v>
      </c>
      <c r="L98" s="155">
        <f t="shared" si="33"/>
        <v>0</v>
      </c>
      <c r="M98" s="241">
        <f t="shared" si="36"/>
        <v>0</v>
      </c>
      <c r="N98" s="242"/>
      <c r="O98" s="241"/>
      <c r="P98" s="241"/>
      <c r="Q98" s="243">
        <v>0</v>
      </c>
      <c r="R98" s="241"/>
      <c r="S98" s="145"/>
      <c r="T98" s="158"/>
      <c r="U98" s="158"/>
      <c r="V98" s="158"/>
      <c r="W98" s="158"/>
      <c r="Y98" s="155">
        <f t="shared" si="40"/>
        <v>0</v>
      </c>
      <c r="Z98" s="155">
        <f t="shared" si="40"/>
        <v>0</v>
      </c>
      <c r="AA98" s="155">
        <f t="shared" si="40"/>
        <v>0</v>
      </c>
      <c r="AB98" s="155">
        <f t="shared" si="40"/>
        <v>0</v>
      </c>
      <c r="AD98" s="156">
        <f t="shared" si="41"/>
        <v>0</v>
      </c>
      <c r="AE98" s="156">
        <f t="shared" si="41"/>
        <v>0</v>
      </c>
      <c r="AF98" s="156">
        <f t="shared" si="41"/>
        <v>0</v>
      </c>
      <c r="AG98" s="156">
        <f t="shared" si="41"/>
        <v>0</v>
      </c>
    </row>
    <row r="99" spans="1:33" s="146" customFormat="1" ht="15" customHeight="1" x14ac:dyDescent="0.35">
      <c r="A99" s="226"/>
      <c r="B99" s="236" t="s">
        <v>153</v>
      </c>
      <c r="C99" s="237" t="s">
        <v>154</v>
      </c>
      <c r="D99" s="238">
        <v>2</v>
      </c>
      <c r="E99" s="238">
        <v>6000000</v>
      </c>
      <c r="F99" s="238">
        <f t="shared" si="38"/>
        <v>12000000</v>
      </c>
      <c r="G99" s="238">
        <f t="shared" si="39"/>
        <v>1050</v>
      </c>
      <c r="H99" s="238">
        <f t="shared" si="42"/>
        <v>11428.571428571429</v>
      </c>
      <c r="I99" s="239">
        <v>8000</v>
      </c>
      <c r="J99" s="240"/>
      <c r="K99" s="153">
        <f t="shared" si="24"/>
        <v>6940.5478489390989</v>
      </c>
      <c r="L99" s="155">
        <f t="shared" si="33"/>
        <v>-1059.4521510609011</v>
      </c>
      <c r="M99" s="241">
        <f t="shared" si="36"/>
        <v>-0.13243151888261265</v>
      </c>
      <c r="N99" s="242"/>
      <c r="O99" s="241"/>
      <c r="P99" s="241"/>
      <c r="Q99" s="243">
        <v>8000</v>
      </c>
      <c r="R99" s="241"/>
      <c r="S99" s="145"/>
      <c r="T99" s="158">
        <v>0</v>
      </c>
      <c r="U99" s="158">
        <v>516.45342149801081</v>
      </c>
      <c r="V99" s="158">
        <v>6424.0944274410876</v>
      </c>
      <c r="W99" s="158">
        <v>0</v>
      </c>
      <c r="Y99" s="155">
        <f t="shared" si="40"/>
        <v>0</v>
      </c>
      <c r="Z99" s="155">
        <f t="shared" si="40"/>
        <v>516.45342149801081</v>
      </c>
      <c r="AA99" s="155">
        <f t="shared" si="40"/>
        <v>-1575.9055725589124</v>
      </c>
      <c r="AB99" s="155">
        <f t="shared" si="40"/>
        <v>0</v>
      </c>
      <c r="AD99" s="156">
        <f t="shared" si="41"/>
        <v>0</v>
      </c>
      <c r="AE99" s="156">
        <f t="shared" si="41"/>
        <v>0</v>
      </c>
      <c r="AF99" s="156">
        <f t="shared" si="41"/>
        <v>-0.19698819656986405</v>
      </c>
      <c r="AG99" s="156">
        <f t="shared" si="41"/>
        <v>0</v>
      </c>
    </row>
    <row r="100" spans="1:33" s="146" customFormat="1" ht="15" customHeight="1" x14ac:dyDescent="0.35">
      <c r="A100" s="226"/>
      <c r="B100" s="236" t="s">
        <v>155</v>
      </c>
      <c r="C100" s="237" t="s">
        <v>114</v>
      </c>
      <c r="D100" s="238">
        <v>174</v>
      </c>
      <c r="E100" s="238">
        <v>135500</v>
      </c>
      <c r="F100" s="238">
        <f>D100*E100</f>
        <v>23577000</v>
      </c>
      <c r="G100" s="238">
        <f t="shared" si="39"/>
        <v>1050</v>
      </c>
      <c r="H100" s="238">
        <f t="shared" si="42"/>
        <v>22454.285714285714</v>
      </c>
      <c r="I100" s="239">
        <v>15652.173913043478</v>
      </c>
      <c r="J100" s="240"/>
      <c r="K100" s="153">
        <f t="shared" si="24"/>
        <v>9021.4193703777382</v>
      </c>
      <c r="L100" s="155">
        <f t="shared" si="33"/>
        <v>-6630.7545426657398</v>
      </c>
      <c r="M100" s="241">
        <f t="shared" si="36"/>
        <v>-0.42363154022586674</v>
      </c>
      <c r="N100" s="242"/>
      <c r="O100" s="241"/>
      <c r="P100" s="241"/>
      <c r="Q100" s="243">
        <v>15652.173913043478</v>
      </c>
      <c r="R100" s="241"/>
      <c r="S100" s="145"/>
      <c r="T100" s="158">
        <v>0</v>
      </c>
      <c r="U100" s="158">
        <v>0</v>
      </c>
      <c r="V100" s="158">
        <v>9021.4193703777382</v>
      </c>
      <c r="W100" s="158">
        <v>0</v>
      </c>
      <c r="Y100" s="155">
        <f t="shared" si="40"/>
        <v>0</v>
      </c>
      <c r="Z100" s="155">
        <f t="shared" si="40"/>
        <v>0</v>
      </c>
      <c r="AA100" s="155">
        <f t="shared" si="40"/>
        <v>-6630.7545426657398</v>
      </c>
      <c r="AB100" s="155">
        <f t="shared" si="40"/>
        <v>0</v>
      </c>
      <c r="AD100" s="156">
        <f t="shared" si="41"/>
        <v>0</v>
      </c>
      <c r="AE100" s="156">
        <f t="shared" si="41"/>
        <v>0</v>
      </c>
      <c r="AF100" s="156">
        <f t="shared" si="41"/>
        <v>-0.42363154022586674</v>
      </c>
      <c r="AG100" s="156">
        <f t="shared" si="41"/>
        <v>0</v>
      </c>
    </row>
    <row r="101" spans="1:33" s="146" customFormat="1" ht="15" customHeight="1" x14ac:dyDescent="0.35">
      <c r="A101" s="226"/>
      <c r="B101" s="236" t="s">
        <v>156</v>
      </c>
      <c r="C101" s="237" t="s">
        <v>114</v>
      </c>
      <c r="D101" s="238">
        <v>1</v>
      </c>
      <c r="E101" s="238">
        <v>61086000</v>
      </c>
      <c r="F101" s="238">
        <f>D101*E101</f>
        <v>61086000</v>
      </c>
      <c r="G101" s="238">
        <f t="shared" si="39"/>
        <v>1050</v>
      </c>
      <c r="H101" s="238">
        <f t="shared" si="42"/>
        <v>58177.142857142855</v>
      </c>
      <c r="I101" s="239">
        <v>13043.478260869566</v>
      </c>
      <c r="J101" s="240"/>
      <c r="K101" s="153">
        <f t="shared" si="24"/>
        <v>0</v>
      </c>
      <c r="L101" s="155">
        <f t="shared" si="33"/>
        <v>-13043.478260869566</v>
      </c>
      <c r="M101" s="241">
        <f t="shared" si="36"/>
        <v>-1</v>
      </c>
      <c r="N101" s="242"/>
      <c r="O101" s="241"/>
      <c r="P101" s="241"/>
      <c r="Q101" s="243">
        <v>13043.478260869566</v>
      </c>
      <c r="R101" s="241"/>
      <c r="S101" s="145"/>
      <c r="T101" s="158"/>
      <c r="U101" s="158"/>
      <c r="V101" s="158"/>
      <c r="W101" s="158"/>
      <c r="Y101" s="155">
        <f t="shared" si="40"/>
        <v>0</v>
      </c>
      <c r="Z101" s="155">
        <f t="shared" si="40"/>
        <v>0</v>
      </c>
      <c r="AA101" s="155">
        <f t="shared" si="40"/>
        <v>-13043.478260869566</v>
      </c>
      <c r="AB101" s="155">
        <f t="shared" si="40"/>
        <v>0</v>
      </c>
      <c r="AD101" s="156">
        <f t="shared" si="41"/>
        <v>0</v>
      </c>
      <c r="AE101" s="156">
        <f t="shared" si="41"/>
        <v>0</v>
      </c>
      <c r="AF101" s="156">
        <f t="shared" si="41"/>
        <v>-1</v>
      </c>
      <c r="AG101" s="156">
        <f t="shared" si="41"/>
        <v>0</v>
      </c>
    </row>
    <row r="102" spans="1:33" s="146" customFormat="1" ht="15" customHeight="1" x14ac:dyDescent="0.35">
      <c r="A102" s="226"/>
      <c r="B102" s="236" t="s">
        <v>157</v>
      </c>
      <c r="C102" s="237" t="s">
        <v>120</v>
      </c>
      <c r="D102" s="238">
        <v>87</v>
      </c>
      <c r="E102" s="238">
        <v>150000</v>
      </c>
      <c r="F102" s="238">
        <f t="shared" si="38"/>
        <v>13050000</v>
      </c>
      <c r="G102" s="238">
        <f t="shared" si="39"/>
        <v>1050</v>
      </c>
      <c r="H102" s="238">
        <f t="shared" si="42"/>
        <v>12428.571428571429</v>
      </c>
      <c r="I102" s="239">
        <v>0</v>
      </c>
      <c r="J102" s="240"/>
      <c r="K102" s="153">
        <f t="shared" si="24"/>
        <v>5564.4988058733252</v>
      </c>
      <c r="L102" s="155">
        <f t="shared" si="33"/>
        <v>5564.4988058733252</v>
      </c>
      <c r="M102" s="241">
        <f t="shared" si="36"/>
        <v>0</v>
      </c>
      <c r="N102" s="242"/>
      <c r="O102" s="241"/>
      <c r="P102" s="241"/>
      <c r="Q102" s="243">
        <v>0</v>
      </c>
      <c r="R102" s="241"/>
      <c r="S102" s="145"/>
      <c r="T102" s="158">
        <v>0</v>
      </c>
      <c r="U102" s="158">
        <v>0</v>
      </c>
      <c r="V102" s="158">
        <v>5564.4988058733252</v>
      </c>
      <c r="W102" s="158">
        <v>0</v>
      </c>
      <c r="Y102" s="155">
        <f t="shared" si="40"/>
        <v>0</v>
      </c>
      <c r="Z102" s="155">
        <f t="shared" si="40"/>
        <v>0</v>
      </c>
      <c r="AA102" s="155">
        <f t="shared" si="40"/>
        <v>5564.4988058733252</v>
      </c>
      <c r="AB102" s="155">
        <f t="shared" si="40"/>
        <v>0</v>
      </c>
      <c r="AD102" s="156">
        <f t="shared" si="41"/>
        <v>0</v>
      </c>
      <c r="AE102" s="156">
        <f t="shared" si="41"/>
        <v>0</v>
      </c>
      <c r="AF102" s="156">
        <f t="shared" si="41"/>
        <v>0</v>
      </c>
      <c r="AG102" s="156">
        <f t="shared" si="41"/>
        <v>0</v>
      </c>
    </row>
    <row r="103" spans="1:33" s="146" customFormat="1" ht="15" customHeight="1" x14ac:dyDescent="0.35">
      <c r="A103" s="215"/>
      <c r="B103" s="236" t="s">
        <v>158</v>
      </c>
      <c r="C103" s="237" t="s">
        <v>114</v>
      </c>
      <c r="D103" s="238">
        <v>1</v>
      </c>
      <c r="E103" s="238">
        <v>7117460</v>
      </c>
      <c r="F103" s="238">
        <f t="shared" si="38"/>
        <v>7117460</v>
      </c>
      <c r="G103" s="238">
        <f t="shared" si="39"/>
        <v>1050</v>
      </c>
      <c r="H103" s="238">
        <f t="shared" si="42"/>
        <v>6778.5333333333338</v>
      </c>
      <c r="I103" s="239">
        <v>6778.5333333333338</v>
      </c>
      <c r="J103" s="240"/>
      <c r="K103" s="153">
        <f t="shared" si="24"/>
        <v>9562.1449370188948</v>
      </c>
      <c r="L103" s="155">
        <f t="shared" si="33"/>
        <v>2783.611603685561</v>
      </c>
      <c r="M103" s="241">
        <f t="shared" si="36"/>
        <v>0.41065101649603075</v>
      </c>
      <c r="N103" s="242"/>
      <c r="O103" s="241"/>
      <c r="P103" s="241"/>
      <c r="Q103" s="243">
        <v>6778.5333333333338</v>
      </c>
      <c r="R103" s="241"/>
      <c r="S103" s="145"/>
      <c r="T103" s="158">
        <v>0</v>
      </c>
      <c r="U103" s="158">
        <v>0</v>
      </c>
      <c r="V103" s="158">
        <v>9562.1449370188948</v>
      </c>
      <c r="W103" s="158">
        <v>0</v>
      </c>
      <c r="Y103" s="155">
        <f t="shared" si="40"/>
        <v>0</v>
      </c>
      <c r="Z103" s="155">
        <f t="shared" si="40"/>
        <v>0</v>
      </c>
      <c r="AA103" s="155">
        <f t="shared" si="40"/>
        <v>2783.611603685561</v>
      </c>
      <c r="AB103" s="155">
        <f t="shared" si="40"/>
        <v>0</v>
      </c>
      <c r="AD103" s="156">
        <f t="shared" si="41"/>
        <v>0</v>
      </c>
      <c r="AE103" s="156">
        <f t="shared" si="41"/>
        <v>0</v>
      </c>
      <c r="AF103" s="156">
        <f t="shared" si="41"/>
        <v>0.41065101649603075</v>
      </c>
      <c r="AG103" s="156">
        <f t="shared" si="41"/>
        <v>0</v>
      </c>
    </row>
    <row r="104" spans="1:33" s="146" customFormat="1" ht="15" customHeight="1" x14ac:dyDescent="0.35">
      <c r="A104" s="226"/>
      <c r="B104" s="236" t="s">
        <v>159</v>
      </c>
      <c r="C104" s="237" t="s">
        <v>160</v>
      </c>
      <c r="D104" s="238">
        <v>28</v>
      </c>
      <c r="E104" s="238">
        <v>1250000</v>
      </c>
      <c r="F104" s="238">
        <f t="shared" si="38"/>
        <v>35000000</v>
      </c>
      <c r="G104" s="238">
        <f t="shared" si="39"/>
        <v>1050</v>
      </c>
      <c r="H104" s="238">
        <f t="shared" si="42"/>
        <v>33333.333333333336</v>
      </c>
      <c r="I104" s="239">
        <v>30000</v>
      </c>
      <c r="J104" s="240"/>
      <c r="K104" s="153">
        <f t="shared" si="24"/>
        <v>18021.212208037072</v>
      </c>
      <c r="L104" s="155">
        <f t="shared" si="33"/>
        <v>-11978.787791962928</v>
      </c>
      <c r="M104" s="241">
        <f t="shared" si="36"/>
        <v>-0.39929292639876429</v>
      </c>
      <c r="N104" s="242"/>
      <c r="O104" s="241"/>
      <c r="P104" s="241"/>
      <c r="Q104" s="243">
        <v>30000</v>
      </c>
      <c r="R104" s="241"/>
      <c r="S104" s="145"/>
      <c r="T104" s="158">
        <v>0</v>
      </c>
      <c r="U104" s="158">
        <v>0</v>
      </c>
      <c r="V104" s="158">
        <v>18021.212208037072</v>
      </c>
      <c r="W104" s="158">
        <v>0</v>
      </c>
      <c r="Y104" s="155">
        <f t="shared" si="40"/>
        <v>0</v>
      </c>
      <c r="Z104" s="155">
        <f t="shared" si="40"/>
        <v>0</v>
      </c>
      <c r="AA104" s="155">
        <f t="shared" si="40"/>
        <v>-11978.787791962928</v>
      </c>
      <c r="AB104" s="155">
        <f t="shared" si="40"/>
        <v>0</v>
      </c>
      <c r="AD104" s="156">
        <f t="shared" si="41"/>
        <v>0</v>
      </c>
      <c r="AE104" s="156">
        <f t="shared" si="41"/>
        <v>0</v>
      </c>
      <c r="AF104" s="156">
        <f t="shared" si="41"/>
        <v>-0.39929292639876429</v>
      </c>
      <c r="AG104" s="156">
        <f t="shared" si="41"/>
        <v>0</v>
      </c>
    </row>
    <row r="105" spans="1:33" s="146" customFormat="1" ht="15" customHeight="1" x14ac:dyDescent="0.35">
      <c r="A105" s="226"/>
      <c r="B105" s="236" t="s">
        <v>161</v>
      </c>
      <c r="C105" s="237" t="s">
        <v>162</v>
      </c>
      <c r="D105" s="238">
        <v>3</v>
      </c>
      <c r="E105" s="238">
        <v>1250000</v>
      </c>
      <c r="F105" s="238">
        <f t="shared" si="38"/>
        <v>3750000</v>
      </c>
      <c r="G105" s="238">
        <f t="shared" si="39"/>
        <v>1050</v>
      </c>
      <c r="H105" s="238">
        <f t="shared" si="42"/>
        <v>3571.4285714285716</v>
      </c>
      <c r="I105" s="239">
        <v>3571.4285714285716</v>
      </c>
      <c r="J105" s="240"/>
      <c r="K105" s="153">
        <f t="shared" si="24"/>
        <v>176.52143972278958</v>
      </c>
      <c r="L105" s="155">
        <f t="shared" si="33"/>
        <v>-3394.9071317057819</v>
      </c>
      <c r="M105" s="241">
        <f t="shared" si="36"/>
        <v>-0.9505739968776189</v>
      </c>
      <c r="N105" s="242"/>
      <c r="O105" s="241"/>
      <c r="P105" s="241"/>
      <c r="Q105" s="243">
        <v>3571.4285714285716</v>
      </c>
      <c r="R105" s="241"/>
      <c r="S105" s="145"/>
      <c r="T105" s="158">
        <v>0</v>
      </c>
      <c r="U105" s="158">
        <v>0</v>
      </c>
      <c r="V105" s="158">
        <v>176.52143972278958</v>
      </c>
      <c r="W105" s="158">
        <v>0</v>
      </c>
      <c r="Y105" s="155">
        <f t="shared" si="40"/>
        <v>0</v>
      </c>
      <c r="Z105" s="155">
        <f t="shared" si="40"/>
        <v>0</v>
      </c>
      <c r="AA105" s="155">
        <f t="shared" si="40"/>
        <v>-3394.9071317057819</v>
      </c>
      <c r="AB105" s="155">
        <f t="shared" si="40"/>
        <v>0</v>
      </c>
      <c r="AD105" s="156">
        <f t="shared" si="41"/>
        <v>0</v>
      </c>
      <c r="AE105" s="156">
        <f t="shared" si="41"/>
        <v>0</v>
      </c>
      <c r="AF105" s="156">
        <f t="shared" si="41"/>
        <v>-0.9505739968776189</v>
      </c>
      <c r="AG105" s="156">
        <f t="shared" si="41"/>
        <v>0</v>
      </c>
    </row>
    <row r="106" spans="1:33" s="146" customFormat="1" ht="15" customHeight="1" x14ac:dyDescent="0.35">
      <c r="A106" s="226"/>
      <c r="B106" s="236" t="s">
        <v>163</v>
      </c>
      <c r="C106" s="237" t="s">
        <v>131</v>
      </c>
      <c r="D106" s="238">
        <v>224</v>
      </c>
      <c r="E106" s="238">
        <v>60000</v>
      </c>
      <c r="F106" s="238">
        <f t="shared" si="38"/>
        <v>13440000</v>
      </c>
      <c r="G106" s="238">
        <f t="shared" si="39"/>
        <v>1050</v>
      </c>
      <c r="H106" s="238">
        <f t="shared" si="42"/>
        <v>12800</v>
      </c>
      <c r="I106" s="239">
        <v>5000</v>
      </c>
      <c r="J106" s="240"/>
      <c r="K106" s="153">
        <f t="shared" si="24"/>
        <v>1092.8476523251795</v>
      </c>
      <c r="L106" s="155">
        <f t="shared" si="33"/>
        <v>-3907.1523476748207</v>
      </c>
      <c r="M106" s="241">
        <f t="shared" si="36"/>
        <v>-0.78143046953496409</v>
      </c>
      <c r="N106" s="242"/>
      <c r="O106" s="241"/>
      <c r="P106" s="241"/>
      <c r="Q106" s="243">
        <v>5000</v>
      </c>
      <c r="R106" s="241"/>
      <c r="S106" s="145"/>
      <c r="T106" s="158">
        <v>0</v>
      </c>
      <c r="U106" s="158">
        <v>0</v>
      </c>
      <c r="V106" s="158">
        <v>1092.8476523251795</v>
      </c>
      <c r="W106" s="158">
        <v>0</v>
      </c>
      <c r="Y106" s="155">
        <f t="shared" si="40"/>
        <v>0</v>
      </c>
      <c r="Z106" s="155">
        <f t="shared" si="40"/>
        <v>0</v>
      </c>
      <c r="AA106" s="155">
        <f t="shared" si="40"/>
        <v>-3907.1523476748207</v>
      </c>
      <c r="AB106" s="155">
        <f t="shared" si="40"/>
        <v>0</v>
      </c>
      <c r="AD106" s="156">
        <f t="shared" si="41"/>
        <v>0</v>
      </c>
      <c r="AE106" s="156">
        <f t="shared" si="41"/>
        <v>0</v>
      </c>
      <c r="AF106" s="156">
        <f t="shared" si="41"/>
        <v>-0.78143046953496409</v>
      </c>
      <c r="AG106" s="156">
        <f t="shared" si="41"/>
        <v>0</v>
      </c>
    </row>
    <row r="107" spans="1:33" s="146" customFormat="1" ht="15" customHeight="1" x14ac:dyDescent="0.35">
      <c r="A107" s="226"/>
      <c r="B107" s="236" t="s">
        <v>164</v>
      </c>
      <c r="C107" s="237" t="s">
        <v>137</v>
      </c>
      <c r="D107" s="238">
        <v>87</v>
      </c>
      <c r="E107" s="238">
        <v>100000</v>
      </c>
      <c r="F107" s="238">
        <f t="shared" si="38"/>
        <v>8700000</v>
      </c>
      <c r="G107" s="238">
        <f t="shared" si="39"/>
        <v>1050</v>
      </c>
      <c r="H107" s="238">
        <f t="shared" si="42"/>
        <v>8285.7142857142862</v>
      </c>
      <c r="I107" s="239">
        <v>8285.7142857142862</v>
      </c>
      <c r="J107" s="240"/>
      <c r="K107" s="153">
        <f t="shared" si="24"/>
        <v>52095.228167364789</v>
      </c>
      <c r="L107" s="155">
        <f t="shared" si="33"/>
        <v>43809.513881650506</v>
      </c>
      <c r="M107" s="241">
        <f t="shared" si="36"/>
        <v>5.2873551236474743</v>
      </c>
      <c r="N107" s="242"/>
      <c r="O107" s="241"/>
      <c r="P107" s="241"/>
      <c r="Q107" s="243">
        <v>8285.7142857142862</v>
      </c>
      <c r="R107" s="241"/>
      <c r="S107" s="145"/>
      <c r="T107" s="158">
        <v>0</v>
      </c>
      <c r="U107" s="158">
        <v>0</v>
      </c>
      <c r="V107" s="158">
        <v>52095.228167364789</v>
      </c>
      <c r="W107" s="158">
        <v>0</v>
      </c>
      <c r="Y107" s="155">
        <f t="shared" si="40"/>
        <v>0</v>
      </c>
      <c r="Z107" s="155">
        <f t="shared" si="40"/>
        <v>0</v>
      </c>
      <c r="AA107" s="155">
        <f t="shared" si="40"/>
        <v>43809.513881650506</v>
      </c>
      <c r="AB107" s="155">
        <f t="shared" si="40"/>
        <v>0</v>
      </c>
      <c r="AD107" s="156">
        <f t="shared" si="41"/>
        <v>0</v>
      </c>
      <c r="AE107" s="156">
        <f t="shared" si="41"/>
        <v>0</v>
      </c>
      <c r="AF107" s="156">
        <f t="shared" si="41"/>
        <v>5.2873551236474743</v>
      </c>
      <c r="AG107" s="156">
        <f t="shared" si="41"/>
        <v>0</v>
      </c>
    </row>
    <row r="108" spans="1:33" s="146" customFormat="1" ht="15" customHeight="1" x14ac:dyDescent="0.35">
      <c r="A108" s="226"/>
      <c r="B108" s="236" t="s">
        <v>165</v>
      </c>
      <c r="C108" s="237" t="s">
        <v>114</v>
      </c>
      <c r="D108" s="238">
        <v>3</v>
      </c>
      <c r="E108" s="238">
        <v>7117460</v>
      </c>
      <c r="F108" s="238">
        <f t="shared" si="38"/>
        <v>21352380</v>
      </c>
      <c r="G108" s="238">
        <f t="shared" si="39"/>
        <v>1050</v>
      </c>
      <c r="H108" s="238">
        <f t="shared" si="42"/>
        <v>20335.599999999999</v>
      </c>
      <c r="I108" s="239">
        <v>15780.799837006945</v>
      </c>
      <c r="J108" s="240"/>
      <c r="K108" s="153">
        <f t="shared" si="24"/>
        <v>15630.970293296312</v>
      </c>
      <c r="L108" s="155">
        <f t="shared" si="33"/>
        <v>-149.82954371063352</v>
      </c>
      <c r="M108" s="241">
        <f t="shared" si="36"/>
        <v>-9.4944201344772158E-3</v>
      </c>
      <c r="N108" s="242"/>
      <c r="O108" s="241"/>
      <c r="P108" s="241"/>
      <c r="Q108" s="243">
        <v>15780.799837006945</v>
      </c>
      <c r="R108" s="241"/>
      <c r="S108" s="145"/>
      <c r="T108" s="158">
        <v>0</v>
      </c>
      <c r="U108" s="158">
        <v>0</v>
      </c>
      <c r="V108" s="158">
        <v>15630.970293296312</v>
      </c>
      <c r="W108" s="158">
        <v>0</v>
      </c>
      <c r="Y108" s="155">
        <f t="shared" si="40"/>
        <v>0</v>
      </c>
      <c r="Z108" s="155">
        <f t="shared" si="40"/>
        <v>0</v>
      </c>
      <c r="AA108" s="155">
        <f t="shared" si="40"/>
        <v>-149.82954371063352</v>
      </c>
      <c r="AB108" s="155">
        <f t="shared" si="40"/>
        <v>0</v>
      </c>
      <c r="AD108" s="156">
        <f t="shared" si="41"/>
        <v>0</v>
      </c>
      <c r="AE108" s="156">
        <f t="shared" si="41"/>
        <v>0</v>
      </c>
      <c r="AF108" s="156">
        <f t="shared" si="41"/>
        <v>-9.4944201344772158E-3</v>
      </c>
      <c r="AG108" s="156">
        <f t="shared" si="41"/>
        <v>0</v>
      </c>
    </row>
    <row r="109" spans="1:33" s="146" customFormat="1" ht="15" customHeight="1" x14ac:dyDescent="0.35">
      <c r="A109" s="215"/>
      <c r="B109" s="236" t="s">
        <v>166</v>
      </c>
      <c r="C109" s="237" t="s">
        <v>114</v>
      </c>
      <c r="D109" s="238">
        <v>1</v>
      </c>
      <c r="E109" s="238">
        <v>7117460</v>
      </c>
      <c r="F109" s="238">
        <f t="shared" si="38"/>
        <v>7117460</v>
      </c>
      <c r="G109" s="238">
        <f t="shared" si="39"/>
        <v>1050</v>
      </c>
      <c r="H109" s="238">
        <f t="shared" si="42"/>
        <v>6778.5333333333338</v>
      </c>
      <c r="I109" s="239">
        <v>6778.5333333333338</v>
      </c>
      <c r="J109" s="240"/>
      <c r="K109" s="153">
        <f t="shared" si="24"/>
        <v>0</v>
      </c>
      <c r="L109" s="155">
        <f t="shared" si="33"/>
        <v>-6778.5333333333338</v>
      </c>
      <c r="M109" s="241">
        <f t="shared" si="36"/>
        <v>-1</v>
      </c>
      <c r="N109" s="242"/>
      <c r="O109" s="241"/>
      <c r="P109" s="241"/>
      <c r="Q109" s="243">
        <v>6778.5333333333338</v>
      </c>
      <c r="R109" s="241"/>
      <c r="S109" s="145"/>
      <c r="T109" s="158"/>
      <c r="U109" s="158"/>
      <c r="V109" s="158"/>
      <c r="W109" s="158"/>
      <c r="Y109" s="155">
        <f t="shared" si="40"/>
        <v>0</v>
      </c>
      <c r="Z109" s="155">
        <f t="shared" si="40"/>
        <v>0</v>
      </c>
      <c r="AA109" s="155">
        <f t="shared" si="40"/>
        <v>-6778.5333333333338</v>
      </c>
      <c r="AB109" s="155">
        <f t="shared" si="40"/>
        <v>0</v>
      </c>
      <c r="AD109" s="156">
        <f t="shared" si="41"/>
        <v>0</v>
      </c>
      <c r="AE109" s="156">
        <f t="shared" si="41"/>
        <v>0</v>
      </c>
      <c r="AF109" s="156">
        <f t="shared" si="41"/>
        <v>-1</v>
      </c>
      <c r="AG109" s="156">
        <f t="shared" si="41"/>
        <v>0</v>
      </c>
    </row>
    <row r="110" spans="1:33" s="146" customFormat="1" ht="15" customHeight="1" x14ac:dyDescent="0.3">
      <c r="A110" s="210"/>
      <c r="B110" s="819" t="s">
        <v>167</v>
      </c>
      <c r="C110" s="820"/>
      <c r="D110" s="820"/>
      <c r="E110" s="820"/>
      <c r="F110" s="820"/>
      <c r="G110" s="820"/>
      <c r="H110" s="821"/>
      <c r="I110" s="211"/>
      <c r="J110" s="212"/>
      <c r="K110" s="211"/>
      <c r="L110" s="213"/>
      <c r="M110" s="214"/>
      <c r="N110" s="165"/>
      <c r="O110" s="214"/>
      <c r="P110" s="214"/>
      <c r="Q110" s="214"/>
      <c r="R110" s="214"/>
      <c r="S110" s="145"/>
      <c r="T110" s="214"/>
      <c r="U110" s="214"/>
      <c r="V110" s="214"/>
      <c r="W110" s="214"/>
      <c r="Y110" s="214"/>
      <c r="Z110" s="214"/>
      <c r="AA110" s="214"/>
      <c r="AB110" s="214"/>
      <c r="AD110" s="214"/>
      <c r="AE110" s="214"/>
      <c r="AF110" s="214"/>
      <c r="AG110" s="214"/>
    </row>
    <row r="111" spans="1:33" s="225" customFormat="1" ht="15" customHeight="1" x14ac:dyDescent="0.3">
      <c r="A111" s="215"/>
      <c r="B111" s="245" t="s">
        <v>168</v>
      </c>
      <c r="C111" s="246" t="s">
        <v>114</v>
      </c>
      <c r="D111" s="219">
        <v>3</v>
      </c>
      <c r="E111" s="219">
        <v>5028280</v>
      </c>
      <c r="F111" s="219">
        <f>D111*E111</f>
        <v>15084840</v>
      </c>
      <c r="G111" s="219">
        <f t="shared" ref="G111:G124" si="43">$G$5</f>
        <v>1050</v>
      </c>
      <c r="H111" s="219">
        <f>IF($G$5=0,0,F111/G111)</f>
        <v>14366.514285714286</v>
      </c>
      <c r="I111" s="220">
        <v>10018.260869565218</v>
      </c>
      <c r="J111" s="221"/>
      <c r="K111" s="153">
        <f t="shared" si="24"/>
        <v>3384.1766834737437</v>
      </c>
      <c r="L111" s="155">
        <f t="shared" si="33"/>
        <v>-6634.0841860914743</v>
      </c>
      <c r="M111" s="222">
        <f t="shared" si="36"/>
        <v>-0.66219918531422572</v>
      </c>
      <c r="N111" s="223"/>
      <c r="O111" s="222"/>
      <c r="P111" s="222"/>
      <c r="Q111" s="222"/>
      <c r="R111" s="224">
        <v>10018.260869565218</v>
      </c>
      <c r="S111" s="159"/>
      <c r="T111" s="158">
        <v>0</v>
      </c>
      <c r="U111" s="158">
        <v>0</v>
      </c>
      <c r="V111" s="158">
        <v>0</v>
      </c>
      <c r="W111" s="158">
        <v>3384.1766834737437</v>
      </c>
      <c r="Y111" s="155">
        <f t="shared" ref="Y111:AB126" si="44">T111-O111</f>
        <v>0</v>
      </c>
      <c r="Z111" s="155">
        <f t="shared" si="44"/>
        <v>0</v>
      </c>
      <c r="AA111" s="155">
        <f t="shared" si="44"/>
        <v>0</v>
      </c>
      <c r="AB111" s="155">
        <f t="shared" si="44"/>
        <v>-6634.0841860914743</v>
      </c>
      <c r="AD111" s="156">
        <f t="shared" ref="AD111:AG126" si="45">IFERROR(Y111/O111,0)</f>
        <v>0</v>
      </c>
      <c r="AE111" s="156">
        <f t="shared" si="45"/>
        <v>0</v>
      </c>
      <c r="AF111" s="156">
        <f t="shared" si="45"/>
        <v>0</v>
      </c>
      <c r="AG111" s="156">
        <f t="shared" si="45"/>
        <v>-0.66219918531422572</v>
      </c>
    </row>
    <row r="112" spans="1:33" s="225" customFormat="1" ht="15" customHeight="1" x14ac:dyDescent="0.3">
      <c r="A112" s="226"/>
      <c r="B112" s="245" t="s">
        <v>169</v>
      </c>
      <c r="C112" s="246" t="s">
        <v>131</v>
      </c>
      <c r="D112" s="219">
        <v>56</v>
      </c>
      <c r="E112" s="219">
        <v>250000</v>
      </c>
      <c r="F112" s="219">
        <f t="shared" ref="F112:F123" si="46">D112*E112</f>
        <v>14000000</v>
      </c>
      <c r="G112" s="219">
        <f t="shared" si="43"/>
        <v>1050</v>
      </c>
      <c r="H112" s="219">
        <f t="shared" ref="H112:H123" si="47">IF($G$5=0,0,F112/G112)</f>
        <v>13333.333333333334</v>
      </c>
      <c r="I112" s="220">
        <v>3913.0434782608695</v>
      </c>
      <c r="J112" s="221"/>
      <c r="K112" s="153">
        <f t="shared" si="24"/>
        <v>331.03440791193469</v>
      </c>
      <c r="L112" s="155">
        <f t="shared" si="33"/>
        <v>-3582.009070348935</v>
      </c>
      <c r="M112" s="222">
        <f t="shared" si="36"/>
        <v>-0.91540231797806115</v>
      </c>
      <c r="N112" s="223"/>
      <c r="O112" s="222"/>
      <c r="P112" s="222"/>
      <c r="Q112" s="222"/>
      <c r="R112" s="224">
        <v>3913.0434782608695</v>
      </c>
      <c r="S112" s="159"/>
      <c r="T112" s="158">
        <v>0</v>
      </c>
      <c r="U112" s="158">
        <v>0</v>
      </c>
      <c r="V112" s="158">
        <v>0</v>
      </c>
      <c r="W112" s="158">
        <v>331.03440791193469</v>
      </c>
      <c r="Y112" s="155">
        <f t="shared" si="44"/>
        <v>0</v>
      </c>
      <c r="Z112" s="155">
        <f t="shared" si="44"/>
        <v>0</v>
      </c>
      <c r="AA112" s="155">
        <f t="shared" si="44"/>
        <v>0</v>
      </c>
      <c r="AB112" s="155">
        <f t="shared" si="44"/>
        <v>-3582.009070348935</v>
      </c>
      <c r="AD112" s="156">
        <f t="shared" si="45"/>
        <v>0</v>
      </c>
      <c r="AE112" s="156">
        <f t="shared" si="45"/>
        <v>0</v>
      </c>
      <c r="AF112" s="156">
        <f t="shared" si="45"/>
        <v>0</v>
      </c>
      <c r="AG112" s="156">
        <f t="shared" si="45"/>
        <v>-0.91540231797806115</v>
      </c>
    </row>
    <row r="113" spans="1:33" s="225" customFormat="1" ht="15" customHeight="1" x14ac:dyDescent="0.3">
      <c r="A113" s="226"/>
      <c r="B113" s="245" t="s">
        <v>170</v>
      </c>
      <c r="C113" s="246" t="s">
        <v>59</v>
      </c>
      <c r="D113" s="219">
        <v>1</v>
      </c>
      <c r="E113" s="219">
        <v>20000000</v>
      </c>
      <c r="F113" s="219">
        <f t="shared" si="46"/>
        <v>20000000</v>
      </c>
      <c r="G113" s="219">
        <f t="shared" si="43"/>
        <v>1050</v>
      </c>
      <c r="H113" s="219">
        <f t="shared" si="47"/>
        <v>19047.619047619046</v>
      </c>
      <c r="I113" s="220">
        <v>2608.695652173913</v>
      </c>
      <c r="J113" s="221"/>
      <c r="K113" s="153">
        <f t="shared" si="24"/>
        <v>2019.160279811588</v>
      </c>
      <c r="L113" s="155">
        <f t="shared" si="33"/>
        <v>-589.53537236232501</v>
      </c>
      <c r="M113" s="222">
        <f t="shared" si="36"/>
        <v>-0.22598855940555793</v>
      </c>
      <c r="N113" s="223"/>
      <c r="O113" s="222"/>
      <c r="P113" s="222"/>
      <c r="Q113" s="222"/>
      <c r="R113" s="224">
        <v>2608.695652173913</v>
      </c>
      <c r="S113" s="159"/>
      <c r="T113" s="158">
        <v>0</v>
      </c>
      <c r="U113" s="158">
        <v>0</v>
      </c>
      <c r="V113" s="158">
        <v>0</v>
      </c>
      <c r="W113" s="158">
        <v>2019.160279811588</v>
      </c>
      <c r="Y113" s="155">
        <f t="shared" si="44"/>
        <v>0</v>
      </c>
      <c r="Z113" s="155">
        <f t="shared" si="44"/>
        <v>0</v>
      </c>
      <c r="AA113" s="155">
        <f t="shared" si="44"/>
        <v>0</v>
      </c>
      <c r="AB113" s="155">
        <f t="shared" si="44"/>
        <v>-589.53537236232501</v>
      </c>
      <c r="AD113" s="156">
        <f t="shared" si="45"/>
        <v>0</v>
      </c>
      <c r="AE113" s="156">
        <f t="shared" si="45"/>
        <v>0</v>
      </c>
      <c r="AF113" s="156">
        <f t="shared" si="45"/>
        <v>0</v>
      </c>
      <c r="AG113" s="156">
        <f t="shared" si="45"/>
        <v>-0.22598855940555793</v>
      </c>
    </row>
    <row r="114" spans="1:33" s="225" customFormat="1" ht="15" customHeight="1" x14ac:dyDescent="0.3">
      <c r="A114" s="226"/>
      <c r="B114" s="245" t="s">
        <v>171</v>
      </c>
      <c r="C114" s="246" t="s">
        <v>59</v>
      </c>
      <c r="D114" s="219">
        <v>1</v>
      </c>
      <c r="E114" s="219">
        <v>10000000</v>
      </c>
      <c r="F114" s="219">
        <f t="shared" si="46"/>
        <v>10000000</v>
      </c>
      <c r="G114" s="219">
        <f t="shared" si="43"/>
        <v>1050</v>
      </c>
      <c r="H114" s="219">
        <f t="shared" si="47"/>
        <v>9523.8095238095229</v>
      </c>
      <c r="I114" s="220">
        <v>0</v>
      </c>
      <c r="J114" s="221"/>
      <c r="K114" s="153">
        <f t="shared" si="24"/>
        <v>0</v>
      </c>
      <c r="L114" s="155">
        <f t="shared" si="33"/>
        <v>0</v>
      </c>
      <c r="M114" s="222">
        <f t="shared" si="36"/>
        <v>0</v>
      </c>
      <c r="N114" s="223"/>
      <c r="O114" s="222"/>
      <c r="P114" s="222"/>
      <c r="Q114" s="222"/>
      <c r="R114" s="224">
        <v>0</v>
      </c>
      <c r="S114" s="159"/>
      <c r="T114" s="158"/>
      <c r="U114" s="158"/>
      <c r="V114" s="158"/>
      <c r="W114" s="158"/>
      <c r="Y114" s="155">
        <f t="shared" si="44"/>
        <v>0</v>
      </c>
      <c r="Z114" s="155">
        <f t="shared" si="44"/>
        <v>0</v>
      </c>
      <c r="AA114" s="155">
        <f t="shared" si="44"/>
        <v>0</v>
      </c>
      <c r="AB114" s="155">
        <f t="shared" si="44"/>
        <v>0</v>
      </c>
      <c r="AD114" s="156">
        <f t="shared" si="45"/>
        <v>0</v>
      </c>
      <c r="AE114" s="156">
        <f t="shared" si="45"/>
        <v>0</v>
      </c>
      <c r="AF114" s="156">
        <f t="shared" si="45"/>
        <v>0</v>
      </c>
      <c r="AG114" s="156">
        <f t="shared" si="45"/>
        <v>0</v>
      </c>
    </row>
    <row r="115" spans="1:33" s="225" customFormat="1" ht="15" customHeight="1" x14ac:dyDescent="0.3">
      <c r="A115" s="226"/>
      <c r="B115" s="245" t="s">
        <v>172</v>
      </c>
      <c r="C115" s="246" t="s">
        <v>114</v>
      </c>
      <c r="D115" s="219">
        <v>3</v>
      </c>
      <c r="E115" s="219">
        <v>6711550</v>
      </c>
      <c r="F115" s="219">
        <f t="shared" si="46"/>
        <v>20134650</v>
      </c>
      <c r="G115" s="219">
        <f t="shared" si="43"/>
        <v>1050</v>
      </c>
      <c r="H115" s="219">
        <f t="shared" si="47"/>
        <v>19175.857142857141</v>
      </c>
      <c r="I115" s="220">
        <v>0</v>
      </c>
      <c r="J115" s="221"/>
      <c r="K115" s="153">
        <f t="shared" si="24"/>
        <v>0</v>
      </c>
      <c r="L115" s="155">
        <f t="shared" si="33"/>
        <v>0</v>
      </c>
      <c r="M115" s="222">
        <f t="shared" si="36"/>
        <v>0</v>
      </c>
      <c r="N115" s="223"/>
      <c r="O115" s="222"/>
      <c r="P115" s="222"/>
      <c r="Q115" s="222"/>
      <c r="R115" s="224">
        <v>0</v>
      </c>
      <c r="S115" s="159"/>
      <c r="T115" s="158"/>
      <c r="U115" s="158"/>
      <c r="V115" s="158"/>
      <c r="W115" s="158"/>
      <c r="Y115" s="155">
        <f t="shared" si="44"/>
        <v>0</v>
      </c>
      <c r="Z115" s="155">
        <f t="shared" si="44"/>
        <v>0</v>
      </c>
      <c r="AA115" s="155">
        <f t="shared" si="44"/>
        <v>0</v>
      </c>
      <c r="AB115" s="155">
        <f t="shared" si="44"/>
        <v>0</v>
      </c>
      <c r="AD115" s="156">
        <f t="shared" si="45"/>
        <v>0</v>
      </c>
      <c r="AE115" s="156">
        <f t="shared" si="45"/>
        <v>0</v>
      </c>
      <c r="AF115" s="156">
        <f t="shared" si="45"/>
        <v>0</v>
      </c>
      <c r="AG115" s="156">
        <f t="shared" si="45"/>
        <v>0</v>
      </c>
    </row>
    <row r="116" spans="1:33" s="225" customFormat="1" ht="15" customHeight="1" x14ac:dyDescent="0.3">
      <c r="A116" s="215"/>
      <c r="B116" s="245" t="s">
        <v>173</v>
      </c>
      <c r="C116" s="246" t="s">
        <v>131</v>
      </c>
      <c r="D116" s="219">
        <v>3</v>
      </c>
      <c r="E116" s="219">
        <v>929580</v>
      </c>
      <c r="F116" s="219">
        <f t="shared" si="46"/>
        <v>2788740</v>
      </c>
      <c r="G116" s="219">
        <f t="shared" si="43"/>
        <v>1050</v>
      </c>
      <c r="H116" s="219">
        <f t="shared" si="47"/>
        <v>2655.9428571428571</v>
      </c>
      <c r="I116" s="220">
        <v>2655.9428571428571</v>
      </c>
      <c r="J116" s="221"/>
      <c r="K116" s="153">
        <f t="shared" si="24"/>
        <v>0</v>
      </c>
      <c r="L116" s="155">
        <f t="shared" si="33"/>
        <v>-2655.9428571428571</v>
      </c>
      <c r="M116" s="222">
        <f t="shared" si="36"/>
        <v>-1</v>
      </c>
      <c r="N116" s="223"/>
      <c r="O116" s="222"/>
      <c r="P116" s="222"/>
      <c r="Q116" s="222"/>
      <c r="R116" s="224">
        <v>2655.9428571428571</v>
      </c>
      <c r="S116" s="159"/>
      <c r="T116" s="158"/>
      <c r="U116" s="158"/>
      <c r="V116" s="158"/>
      <c r="W116" s="158"/>
      <c r="Y116" s="155">
        <f t="shared" si="44"/>
        <v>0</v>
      </c>
      <c r="Z116" s="155">
        <f t="shared" si="44"/>
        <v>0</v>
      </c>
      <c r="AA116" s="155">
        <f t="shared" si="44"/>
        <v>0</v>
      </c>
      <c r="AB116" s="155">
        <f t="shared" si="44"/>
        <v>-2655.9428571428571</v>
      </c>
      <c r="AD116" s="156">
        <f t="shared" si="45"/>
        <v>0</v>
      </c>
      <c r="AE116" s="156">
        <f t="shared" si="45"/>
        <v>0</v>
      </c>
      <c r="AF116" s="156">
        <f t="shared" si="45"/>
        <v>0</v>
      </c>
      <c r="AG116" s="156">
        <f t="shared" si="45"/>
        <v>-1</v>
      </c>
    </row>
    <row r="117" spans="1:33" s="159" customFormat="1" ht="15" customHeight="1" x14ac:dyDescent="0.3">
      <c r="A117" s="215"/>
      <c r="B117" s="230" t="s">
        <v>174</v>
      </c>
      <c r="C117" s="150" t="s">
        <v>131</v>
      </c>
      <c r="D117" s="151">
        <v>6</v>
      </c>
      <c r="E117" s="151">
        <v>929580</v>
      </c>
      <c r="F117" s="151">
        <f t="shared" si="46"/>
        <v>5577480</v>
      </c>
      <c r="G117" s="151">
        <f t="shared" si="43"/>
        <v>1050</v>
      </c>
      <c r="H117" s="151">
        <f t="shared" si="47"/>
        <v>5311.8857142857141</v>
      </c>
      <c r="I117" s="174">
        <v>0</v>
      </c>
      <c r="J117" s="175"/>
      <c r="K117" s="153">
        <f t="shared" si="24"/>
        <v>0</v>
      </c>
      <c r="L117" s="155">
        <f t="shared" si="33"/>
        <v>0</v>
      </c>
      <c r="M117" s="156">
        <f t="shared" si="36"/>
        <v>0</v>
      </c>
      <c r="N117" s="157"/>
      <c r="O117" s="156"/>
      <c r="P117" s="156"/>
      <c r="Q117" s="156"/>
      <c r="R117" s="224">
        <v>0</v>
      </c>
      <c r="T117" s="158"/>
      <c r="U117" s="158"/>
      <c r="V117" s="158"/>
      <c r="W117" s="158"/>
      <c r="Y117" s="155">
        <f t="shared" si="44"/>
        <v>0</v>
      </c>
      <c r="Z117" s="155">
        <f t="shared" si="44"/>
        <v>0</v>
      </c>
      <c r="AA117" s="155">
        <f t="shared" si="44"/>
        <v>0</v>
      </c>
      <c r="AB117" s="155">
        <f t="shared" si="44"/>
        <v>0</v>
      </c>
      <c r="AD117" s="156">
        <f t="shared" si="45"/>
        <v>0</v>
      </c>
      <c r="AE117" s="156">
        <f t="shared" si="45"/>
        <v>0</v>
      </c>
      <c r="AF117" s="156">
        <f t="shared" si="45"/>
        <v>0</v>
      </c>
      <c r="AG117" s="156">
        <f t="shared" si="45"/>
        <v>0</v>
      </c>
    </row>
    <row r="118" spans="1:33" s="159" customFormat="1" ht="15" customHeight="1" x14ac:dyDescent="0.3">
      <c r="A118" s="215"/>
      <c r="B118" s="230" t="s">
        <v>175</v>
      </c>
      <c r="C118" s="150" t="s">
        <v>59</v>
      </c>
      <c r="D118" s="151">
        <v>1</v>
      </c>
      <c r="E118" s="151">
        <v>35000000</v>
      </c>
      <c r="F118" s="151">
        <f t="shared" si="46"/>
        <v>35000000</v>
      </c>
      <c r="G118" s="151">
        <f t="shared" si="43"/>
        <v>1050</v>
      </c>
      <c r="H118" s="151">
        <f t="shared" si="47"/>
        <v>33333.333333333336</v>
      </c>
      <c r="I118" s="174">
        <v>0</v>
      </c>
      <c r="J118" s="175"/>
      <c r="K118" s="153">
        <f t="shared" si="24"/>
        <v>0</v>
      </c>
      <c r="L118" s="155">
        <f t="shared" si="33"/>
        <v>0</v>
      </c>
      <c r="M118" s="156">
        <f t="shared" si="36"/>
        <v>0</v>
      </c>
      <c r="N118" s="157"/>
      <c r="O118" s="156"/>
      <c r="P118" s="156"/>
      <c r="Q118" s="156"/>
      <c r="R118" s="224">
        <v>0</v>
      </c>
      <c r="T118" s="158"/>
      <c r="U118" s="158"/>
      <c r="V118" s="158"/>
      <c r="W118" s="158"/>
      <c r="Y118" s="155">
        <f t="shared" si="44"/>
        <v>0</v>
      </c>
      <c r="Z118" s="155">
        <f t="shared" si="44"/>
        <v>0</v>
      </c>
      <c r="AA118" s="155">
        <f t="shared" si="44"/>
        <v>0</v>
      </c>
      <c r="AB118" s="155">
        <f t="shared" si="44"/>
        <v>0</v>
      </c>
      <c r="AD118" s="156">
        <f t="shared" si="45"/>
        <v>0</v>
      </c>
      <c r="AE118" s="156">
        <f t="shared" si="45"/>
        <v>0</v>
      </c>
      <c r="AF118" s="156">
        <f t="shared" si="45"/>
        <v>0</v>
      </c>
      <c r="AG118" s="156">
        <f t="shared" si="45"/>
        <v>0</v>
      </c>
    </row>
    <row r="119" spans="1:33" s="159" customFormat="1" ht="15" customHeight="1" x14ac:dyDescent="0.3">
      <c r="A119" s="215"/>
      <c r="B119" s="230" t="s">
        <v>176</v>
      </c>
      <c r="C119" s="150" t="s">
        <v>59</v>
      </c>
      <c r="D119" s="151">
        <v>1</v>
      </c>
      <c r="E119" s="151">
        <v>20000000</v>
      </c>
      <c r="F119" s="151">
        <f t="shared" si="46"/>
        <v>20000000</v>
      </c>
      <c r="G119" s="151">
        <f t="shared" si="43"/>
        <v>1050</v>
      </c>
      <c r="H119" s="151">
        <f t="shared" si="47"/>
        <v>19047.619047619046</v>
      </c>
      <c r="I119" s="174">
        <v>0</v>
      </c>
      <c r="J119" s="175"/>
      <c r="K119" s="153">
        <f t="shared" si="24"/>
        <v>0</v>
      </c>
      <c r="L119" s="155">
        <f t="shared" si="33"/>
        <v>0</v>
      </c>
      <c r="M119" s="156">
        <f t="shared" si="36"/>
        <v>0</v>
      </c>
      <c r="N119" s="157"/>
      <c r="O119" s="156"/>
      <c r="P119" s="156"/>
      <c r="Q119" s="156"/>
      <c r="R119" s="224">
        <v>0</v>
      </c>
      <c r="T119" s="158"/>
      <c r="U119" s="158"/>
      <c r="V119" s="158"/>
      <c r="W119" s="158"/>
      <c r="Y119" s="155">
        <f t="shared" si="44"/>
        <v>0</v>
      </c>
      <c r="Z119" s="155">
        <f t="shared" si="44"/>
        <v>0</v>
      </c>
      <c r="AA119" s="155">
        <f t="shared" si="44"/>
        <v>0</v>
      </c>
      <c r="AB119" s="155">
        <f t="shared" si="44"/>
        <v>0</v>
      </c>
      <c r="AD119" s="156">
        <f t="shared" si="45"/>
        <v>0</v>
      </c>
      <c r="AE119" s="156">
        <f t="shared" si="45"/>
        <v>0</v>
      </c>
      <c r="AF119" s="156">
        <f t="shared" si="45"/>
        <v>0</v>
      </c>
      <c r="AG119" s="156">
        <f t="shared" si="45"/>
        <v>0</v>
      </c>
    </row>
    <row r="120" spans="1:33" s="159" customFormat="1" ht="15" customHeight="1" x14ac:dyDescent="0.3">
      <c r="A120" s="215"/>
      <c r="B120" s="230" t="s">
        <v>177</v>
      </c>
      <c r="C120" s="150" t="s">
        <v>131</v>
      </c>
      <c r="D120" s="151">
        <v>8</v>
      </c>
      <c r="E120" s="151">
        <v>250000</v>
      </c>
      <c r="F120" s="151">
        <f t="shared" si="46"/>
        <v>2000000</v>
      </c>
      <c r="G120" s="151">
        <f t="shared" si="43"/>
        <v>1050</v>
      </c>
      <c r="H120" s="151">
        <f t="shared" si="47"/>
        <v>1904.7619047619048</v>
      </c>
      <c r="I120" s="174">
        <v>0</v>
      </c>
      <c r="J120" s="175"/>
      <c r="K120" s="153">
        <f t="shared" si="24"/>
        <v>0</v>
      </c>
      <c r="L120" s="155">
        <f t="shared" si="33"/>
        <v>0</v>
      </c>
      <c r="M120" s="156">
        <f t="shared" si="36"/>
        <v>0</v>
      </c>
      <c r="N120" s="157"/>
      <c r="O120" s="156"/>
      <c r="P120" s="156"/>
      <c r="Q120" s="156"/>
      <c r="R120" s="224">
        <v>0</v>
      </c>
      <c r="T120" s="158"/>
      <c r="U120" s="158"/>
      <c r="V120" s="158"/>
      <c r="W120" s="158"/>
      <c r="Y120" s="155">
        <f t="shared" si="44"/>
        <v>0</v>
      </c>
      <c r="Z120" s="155">
        <f t="shared" si="44"/>
        <v>0</v>
      </c>
      <c r="AA120" s="155">
        <f t="shared" si="44"/>
        <v>0</v>
      </c>
      <c r="AB120" s="155">
        <f t="shared" si="44"/>
        <v>0</v>
      </c>
      <c r="AD120" s="156">
        <f t="shared" si="45"/>
        <v>0</v>
      </c>
      <c r="AE120" s="156">
        <f t="shared" si="45"/>
        <v>0</v>
      </c>
      <c r="AF120" s="156">
        <f t="shared" si="45"/>
        <v>0</v>
      </c>
      <c r="AG120" s="156">
        <f t="shared" si="45"/>
        <v>0</v>
      </c>
    </row>
    <row r="121" spans="1:33" s="159" customFormat="1" ht="15" customHeight="1" x14ac:dyDescent="0.3">
      <c r="A121" s="215"/>
      <c r="B121" s="230" t="s">
        <v>178</v>
      </c>
      <c r="C121" s="150" t="s">
        <v>59</v>
      </c>
      <c r="D121" s="151">
        <v>1</v>
      </c>
      <c r="E121" s="151">
        <v>8000000</v>
      </c>
      <c r="F121" s="151">
        <f t="shared" si="46"/>
        <v>8000000</v>
      </c>
      <c r="G121" s="151">
        <f t="shared" si="43"/>
        <v>1050</v>
      </c>
      <c r="H121" s="151">
        <f t="shared" si="47"/>
        <v>7619.0476190476193</v>
      </c>
      <c r="I121" s="174">
        <v>0</v>
      </c>
      <c r="J121" s="175"/>
      <c r="K121" s="153">
        <f t="shared" si="24"/>
        <v>0</v>
      </c>
      <c r="L121" s="155">
        <f t="shared" si="33"/>
        <v>0</v>
      </c>
      <c r="M121" s="156">
        <f t="shared" si="36"/>
        <v>0</v>
      </c>
      <c r="N121" s="157"/>
      <c r="O121" s="156"/>
      <c r="P121" s="156"/>
      <c r="Q121" s="156"/>
      <c r="R121" s="224">
        <v>0</v>
      </c>
      <c r="T121" s="158"/>
      <c r="U121" s="158"/>
      <c r="V121" s="158"/>
      <c r="W121" s="158"/>
      <c r="Y121" s="155">
        <f t="shared" si="44"/>
        <v>0</v>
      </c>
      <c r="Z121" s="155">
        <f t="shared" si="44"/>
        <v>0</v>
      </c>
      <c r="AA121" s="155">
        <f t="shared" si="44"/>
        <v>0</v>
      </c>
      <c r="AB121" s="155">
        <f t="shared" si="44"/>
        <v>0</v>
      </c>
      <c r="AD121" s="156">
        <f t="shared" si="45"/>
        <v>0</v>
      </c>
      <c r="AE121" s="156">
        <f t="shared" si="45"/>
        <v>0</v>
      </c>
      <c r="AF121" s="156">
        <f t="shared" si="45"/>
        <v>0</v>
      </c>
      <c r="AG121" s="156">
        <f t="shared" si="45"/>
        <v>0</v>
      </c>
    </row>
    <row r="122" spans="1:33" s="159" customFormat="1" ht="15" customHeight="1" x14ac:dyDescent="0.3">
      <c r="A122" s="215"/>
      <c r="B122" s="230" t="s">
        <v>179</v>
      </c>
      <c r="C122" s="150" t="s">
        <v>114</v>
      </c>
      <c r="D122" s="151">
        <v>3</v>
      </c>
      <c r="E122" s="151">
        <v>5028280</v>
      </c>
      <c r="F122" s="151">
        <f t="shared" si="46"/>
        <v>15084840</v>
      </c>
      <c r="G122" s="151">
        <f t="shared" si="43"/>
        <v>1050</v>
      </c>
      <c r="H122" s="151">
        <f t="shared" si="47"/>
        <v>14366.514285714286</v>
      </c>
      <c r="I122" s="174">
        <v>0</v>
      </c>
      <c r="J122" s="175"/>
      <c r="K122" s="153">
        <f t="shared" si="24"/>
        <v>0</v>
      </c>
      <c r="L122" s="155">
        <f t="shared" si="33"/>
        <v>0</v>
      </c>
      <c r="M122" s="156">
        <f t="shared" si="36"/>
        <v>0</v>
      </c>
      <c r="N122" s="157"/>
      <c r="O122" s="156"/>
      <c r="P122" s="156"/>
      <c r="Q122" s="156"/>
      <c r="R122" s="224">
        <v>0</v>
      </c>
      <c r="T122" s="158"/>
      <c r="U122" s="158"/>
      <c r="V122" s="158"/>
      <c r="W122" s="158"/>
      <c r="Y122" s="155">
        <f t="shared" si="44"/>
        <v>0</v>
      </c>
      <c r="Z122" s="155">
        <f t="shared" si="44"/>
        <v>0</v>
      </c>
      <c r="AA122" s="155">
        <f t="shared" si="44"/>
        <v>0</v>
      </c>
      <c r="AB122" s="155">
        <f t="shared" si="44"/>
        <v>0</v>
      </c>
      <c r="AD122" s="156">
        <f t="shared" si="45"/>
        <v>0</v>
      </c>
      <c r="AE122" s="156">
        <f t="shared" si="45"/>
        <v>0</v>
      </c>
      <c r="AF122" s="156">
        <f t="shared" si="45"/>
        <v>0</v>
      </c>
      <c r="AG122" s="156">
        <f t="shared" si="45"/>
        <v>0</v>
      </c>
    </row>
    <row r="123" spans="1:33" s="159" customFormat="1" ht="15" customHeight="1" x14ac:dyDescent="0.3">
      <c r="A123" s="215"/>
      <c r="B123" s="230" t="s">
        <v>180</v>
      </c>
      <c r="C123" s="150" t="s">
        <v>131</v>
      </c>
      <c r="D123" s="151">
        <v>24</v>
      </c>
      <c r="E123" s="151">
        <v>250000</v>
      </c>
      <c r="F123" s="151">
        <f t="shared" si="46"/>
        <v>6000000</v>
      </c>
      <c r="G123" s="151">
        <f t="shared" si="43"/>
        <v>1050</v>
      </c>
      <c r="H123" s="151">
        <f t="shared" si="47"/>
        <v>5714.2857142857147</v>
      </c>
      <c r="I123" s="174">
        <v>0</v>
      </c>
      <c r="J123" s="175"/>
      <c r="K123" s="153">
        <f t="shared" si="24"/>
        <v>0</v>
      </c>
      <c r="L123" s="155">
        <f t="shared" si="33"/>
        <v>0</v>
      </c>
      <c r="M123" s="156">
        <f t="shared" si="36"/>
        <v>0</v>
      </c>
      <c r="N123" s="157"/>
      <c r="O123" s="156"/>
      <c r="P123" s="156"/>
      <c r="Q123" s="156"/>
      <c r="R123" s="224">
        <v>0</v>
      </c>
      <c r="T123" s="158"/>
      <c r="U123" s="158"/>
      <c r="V123" s="158"/>
      <c r="W123" s="158"/>
      <c r="Y123" s="155">
        <f t="shared" si="44"/>
        <v>0</v>
      </c>
      <c r="Z123" s="155">
        <f t="shared" si="44"/>
        <v>0</v>
      </c>
      <c r="AA123" s="155">
        <f t="shared" si="44"/>
        <v>0</v>
      </c>
      <c r="AB123" s="155">
        <f t="shared" si="44"/>
        <v>0</v>
      </c>
      <c r="AD123" s="156">
        <f t="shared" si="45"/>
        <v>0</v>
      </c>
      <c r="AE123" s="156">
        <f t="shared" si="45"/>
        <v>0</v>
      </c>
      <c r="AF123" s="156">
        <f t="shared" si="45"/>
        <v>0</v>
      </c>
      <c r="AG123" s="156">
        <f t="shared" si="45"/>
        <v>0</v>
      </c>
    </row>
    <row r="124" spans="1:33" s="225" customFormat="1" ht="13.5" customHeight="1" x14ac:dyDescent="0.3">
      <c r="A124" s="215"/>
      <c r="B124" s="230" t="s">
        <v>181</v>
      </c>
      <c r="C124" s="246" t="s">
        <v>182</v>
      </c>
      <c r="D124" s="219">
        <v>1143.93</v>
      </c>
      <c r="E124" s="219">
        <v>120000</v>
      </c>
      <c r="F124" s="219">
        <f>D124*E124</f>
        <v>137271600</v>
      </c>
      <c r="G124" s="219">
        <f t="shared" si="43"/>
        <v>1050</v>
      </c>
      <c r="H124" s="219">
        <f>IF($G$5=0,0,F124/G124)</f>
        <v>130734.85714285714</v>
      </c>
      <c r="I124" s="220">
        <v>180734.85714285716</v>
      </c>
      <c r="J124" s="221"/>
      <c r="K124" s="153">
        <f t="shared" si="24"/>
        <v>165637.7667181541</v>
      </c>
      <c r="L124" s="155">
        <f t="shared" si="33"/>
        <v>-15097.090424703056</v>
      </c>
      <c r="M124" s="222">
        <f t="shared" si="36"/>
        <v>-8.3531703089072373E-2</v>
      </c>
      <c r="N124" s="223"/>
      <c r="O124" s="222"/>
      <c r="P124" s="222"/>
      <c r="Q124" s="222"/>
      <c r="R124" s="224">
        <v>180734.85714285716</v>
      </c>
      <c r="S124" s="159"/>
      <c r="T124" s="158">
        <v>0</v>
      </c>
      <c r="U124" s="158">
        <v>0</v>
      </c>
      <c r="V124" s="158">
        <v>0</v>
      </c>
      <c r="W124" s="158">
        <v>165637.7667181541</v>
      </c>
      <c r="Y124" s="155">
        <f t="shared" si="44"/>
        <v>0</v>
      </c>
      <c r="Z124" s="155">
        <f t="shared" si="44"/>
        <v>0</v>
      </c>
      <c r="AA124" s="155">
        <f t="shared" si="44"/>
        <v>0</v>
      </c>
      <c r="AB124" s="155">
        <f t="shared" si="44"/>
        <v>-15097.090424703056</v>
      </c>
      <c r="AD124" s="156">
        <f t="shared" si="45"/>
        <v>0</v>
      </c>
      <c r="AE124" s="156">
        <f t="shared" si="45"/>
        <v>0</v>
      </c>
      <c r="AF124" s="156">
        <f t="shared" si="45"/>
        <v>0</v>
      </c>
      <c r="AG124" s="156">
        <f t="shared" si="45"/>
        <v>-8.3531703089072373E-2</v>
      </c>
    </row>
    <row r="125" spans="1:33" s="167" customFormat="1" ht="15" customHeight="1" x14ac:dyDescent="0.3">
      <c r="A125" s="247"/>
      <c r="B125" s="162" t="s">
        <v>183</v>
      </c>
      <c r="C125" s="162"/>
      <c r="D125" s="162"/>
      <c r="E125" s="162"/>
      <c r="F125" s="162">
        <f>SUM(F64:F124)</f>
        <v>836275840</v>
      </c>
      <c r="G125" s="162"/>
      <c r="H125" s="162">
        <f>SUM(H64:H124)</f>
        <v>796453.18095238076</v>
      </c>
      <c r="I125" s="163">
        <f>SUM(I64:I124)</f>
        <v>674943.88165895303</v>
      </c>
      <c r="J125" s="164"/>
      <c r="K125" s="163">
        <f>SUM(K64:K124)</f>
        <v>681160.16280976578</v>
      </c>
      <c r="L125" s="163">
        <f t="shared" si="33"/>
        <v>6216.2811508127488</v>
      </c>
      <c r="M125" s="169">
        <f t="shared" si="36"/>
        <v>9.2100711181108477E-3</v>
      </c>
      <c r="N125" s="165"/>
      <c r="O125" s="209">
        <f t="shared" ref="O125:Q125" si="48">SUM(O64:O124)</f>
        <v>58136.914285714287</v>
      </c>
      <c r="P125" s="209">
        <f t="shared" si="48"/>
        <v>263367.89714285714</v>
      </c>
      <c r="Q125" s="209">
        <f t="shared" si="48"/>
        <v>153508.27023038169</v>
      </c>
      <c r="R125" s="209">
        <f>SUM(R64:R124)</f>
        <v>199930.80000000002</v>
      </c>
      <c r="S125" s="166"/>
      <c r="T125" s="209">
        <f t="shared" ref="T125:V125" si="49">SUM(T64:T124)</f>
        <v>39638.923514788425</v>
      </c>
      <c r="U125" s="209">
        <f t="shared" si="49"/>
        <v>324443.42447394243</v>
      </c>
      <c r="V125" s="209">
        <f t="shared" si="49"/>
        <v>145705.67673168355</v>
      </c>
      <c r="W125" s="209">
        <f>SUM(W64:W124)</f>
        <v>171372.13808935136</v>
      </c>
      <c r="Y125" s="168">
        <f t="shared" si="44"/>
        <v>-18497.990770925862</v>
      </c>
      <c r="Z125" s="168">
        <f t="shared" si="44"/>
        <v>61075.527331085294</v>
      </c>
      <c r="AA125" s="168">
        <f t="shared" si="44"/>
        <v>-7802.5934986981447</v>
      </c>
      <c r="AB125" s="168">
        <f t="shared" si="44"/>
        <v>-28558.661910648661</v>
      </c>
      <c r="AD125" s="169">
        <f t="shared" si="45"/>
        <v>-0.31817978298637167</v>
      </c>
      <c r="AE125" s="169">
        <f t="shared" si="45"/>
        <v>0.23190194398657649</v>
      </c>
      <c r="AF125" s="169">
        <f t="shared" si="45"/>
        <v>-5.0828489481304112E-2</v>
      </c>
      <c r="AG125" s="169">
        <f t="shared" si="45"/>
        <v>-0.14284273313890936</v>
      </c>
    </row>
    <row r="126" spans="1:33" s="255" customFormat="1" ht="15" customHeight="1" x14ac:dyDescent="0.3">
      <c r="A126" s="248"/>
      <c r="B126" s="161" t="s">
        <v>184</v>
      </c>
      <c r="C126" s="161"/>
      <c r="D126" s="161"/>
      <c r="E126" s="161"/>
      <c r="F126" s="249">
        <f>+F125+F61</f>
        <v>953529722</v>
      </c>
      <c r="G126" s="249"/>
      <c r="H126" s="249">
        <f>+H125+H61</f>
        <v>1018604.606190476</v>
      </c>
      <c r="I126" s="250">
        <f>I125+I61</f>
        <v>870404.86373271758</v>
      </c>
      <c r="J126" s="251"/>
      <c r="K126" s="250">
        <f>K125+K61</f>
        <v>854565.29822250654</v>
      </c>
      <c r="L126" s="250">
        <f t="shared" si="33"/>
        <v>-15839.565510211047</v>
      </c>
      <c r="M126" s="252">
        <f t="shared" si="36"/>
        <v>-1.8197928539005766E-2</v>
      </c>
      <c r="N126" s="253"/>
      <c r="O126" s="209">
        <f t="shared" ref="O126:Q126" si="50">O125+O61</f>
        <v>98880.385558327689</v>
      </c>
      <c r="P126" s="209">
        <f t="shared" si="50"/>
        <v>336598.46539878147</v>
      </c>
      <c r="Q126" s="209">
        <f t="shared" si="50"/>
        <v>194251.74150299508</v>
      </c>
      <c r="R126" s="209">
        <f>R125+R61</f>
        <v>240674.27127261343</v>
      </c>
      <c r="S126" s="254"/>
      <c r="T126" s="209">
        <f t="shared" ref="T126:V126" si="51">T125+T61</f>
        <v>73304.778486902083</v>
      </c>
      <c r="U126" s="209">
        <f t="shared" si="51"/>
        <v>396850.9949703422</v>
      </c>
      <c r="V126" s="209">
        <f t="shared" si="51"/>
        <v>179371.5317037972</v>
      </c>
      <c r="W126" s="209">
        <f>W125+W61</f>
        <v>205037.99306146501</v>
      </c>
      <c r="Y126" s="168">
        <f t="shared" si="44"/>
        <v>-25575.607071425606</v>
      </c>
      <c r="Z126" s="168">
        <f t="shared" si="44"/>
        <v>60252.529571560735</v>
      </c>
      <c r="AA126" s="168">
        <f t="shared" si="44"/>
        <v>-14880.209799197881</v>
      </c>
      <c r="AB126" s="168">
        <f t="shared" si="44"/>
        <v>-35636.278211148427</v>
      </c>
      <c r="AD126" s="169">
        <f t="shared" si="45"/>
        <v>-0.25865197558659431</v>
      </c>
      <c r="AE126" s="169">
        <f t="shared" si="45"/>
        <v>0.17900417192983095</v>
      </c>
      <c r="AF126" s="169">
        <f t="shared" si="45"/>
        <v>-7.6602709885967485E-2</v>
      </c>
      <c r="AG126" s="169">
        <f t="shared" si="45"/>
        <v>-0.14806849948153769</v>
      </c>
    </row>
    <row r="127" spans="1:33" s="146" customFormat="1" ht="15" customHeight="1" x14ac:dyDescent="0.3">
      <c r="A127" s="248"/>
      <c r="B127" s="822" t="s">
        <v>16</v>
      </c>
      <c r="C127" s="823"/>
      <c r="D127" s="823"/>
      <c r="E127" s="823"/>
      <c r="F127" s="824"/>
      <c r="G127" s="170"/>
      <c r="H127" s="170"/>
      <c r="I127" s="172"/>
      <c r="J127" s="164"/>
      <c r="K127" s="172"/>
      <c r="L127" s="186"/>
      <c r="M127" s="187"/>
      <c r="N127" s="165"/>
      <c r="O127" s="187"/>
      <c r="P127" s="187"/>
      <c r="Q127" s="187"/>
      <c r="R127" s="187"/>
      <c r="S127" s="145"/>
      <c r="T127" s="187"/>
      <c r="U127" s="187"/>
      <c r="V127" s="187"/>
      <c r="W127" s="187"/>
      <c r="Y127" s="187"/>
      <c r="Z127" s="187"/>
      <c r="AA127" s="187"/>
      <c r="AB127" s="187"/>
      <c r="AD127" s="187"/>
      <c r="AE127" s="187"/>
      <c r="AF127" s="187"/>
      <c r="AG127" s="187"/>
    </row>
    <row r="128" spans="1:33" s="146" customFormat="1" ht="15" customHeight="1" x14ac:dyDescent="0.3">
      <c r="A128" s="248"/>
      <c r="B128" s="256" t="s">
        <v>185</v>
      </c>
      <c r="C128" s="256"/>
      <c r="D128" s="256"/>
      <c r="E128" s="256"/>
      <c r="F128" s="188"/>
      <c r="G128" s="188"/>
      <c r="H128" s="188"/>
      <c r="I128" s="189"/>
      <c r="J128" s="164"/>
      <c r="K128" s="189"/>
      <c r="L128" s="190"/>
      <c r="M128" s="191"/>
      <c r="N128" s="165"/>
      <c r="O128" s="191"/>
      <c r="P128" s="191"/>
      <c r="Q128" s="191"/>
      <c r="R128" s="191"/>
      <c r="S128" s="145"/>
      <c r="T128" s="191"/>
      <c r="U128" s="191"/>
      <c r="V128" s="191"/>
      <c r="W128" s="191"/>
      <c r="Y128" s="257"/>
      <c r="Z128" s="257"/>
      <c r="AA128" s="257"/>
      <c r="AB128" s="257"/>
      <c r="AD128" s="257"/>
      <c r="AE128" s="257"/>
      <c r="AF128" s="257"/>
      <c r="AG128" s="257"/>
    </row>
    <row r="129" spans="1:33" s="225" customFormat="1" ht="15" customHeight="1" x14ac:dyDescent="0.3">
      <c r="A129" s="258"/>
      <c r="B129" s="259" t="s">
        <v>186</v>
      </c>
      <c r="C129" s="246"/>
      <c r="D129" s="219">
        <v>60</v>
      </c>
      <c r="E129" s="219">
        <v>900845</v>
      </c>
      <c r="F129" s="219">
        <f>D129*E129</f>
        <v>54050700</v>
      </c>
      <c r="G129" s="238">
        <f t="shared" ref="G129:G147" si="52">$G$5</f>
        <v>1050</v>
      </c>
      <c r="H129" s="219">
        <f>IF($G$5=0,0,F129/G129)</f>
        <v>51476.857142857145</v>
      </c>
      <c r="I129" s="220">
        <v>51476.857142857145</v>
      </c>
      <c r="J129" s="221"/>
      <c r="K129" s="153">
        <f t="shared" ref="K129:K164" si="53">SUM(T129:W129)</f>
        <v>5917.4175748722309</v>
      </c>
      <c r="L129" s="155">
        <f t="shared" ref="L129:L166" si="54">K129-I129</f>
        <v>-45559.439567984911</v>
      </c>
      <c r="M129" s="222">
        <f t="shared" si="36"/>
        <v>-0.88504703077636659</v>
      </c>
      <c r="N129" s="223"/>
      <c r="O129" s="260">
        <v>12869.214285714286</v>
      </c>
      <c r="P129" s="260">
        <v>12869.214285714286</v>
      </c>
      <c r="Q129" s="260">
        <v>12869.214285714286</v>
      </c>
      <c r="R129" s="260">
        <v>12869.214285714286</v>
      </c>
      <c r="S129" s="159"/>
      <c r="T129" s="260">
        <v>1479.3543937180577</v>
      </c>
      <c r="U129" s="260">
        <v>1479.3543937180577</v>
      </c>
      <c r="V129" s="260">
        <v>1479.3543937180577</v>
      </c>
      <c r="W129" s="260">
        <v>1479.3543937180577</v>
      </c>
      <c r="Y129" s="155">
        <f t="shared" ref="Y129:AB147" si="55">T129-O129</f>
        <v>-11389.859891996228</v>
      </c>
      <c r="Z129" s="155">
        <f t="shared" si="55"/>
        <v>-11389.859891996228</v>
      </c>
      <c r="AA129" s="155">
        <f t="shared" si="55"/>
        <v>-11389.859891996228</v>
      </c>
      <c r="AB129" s="155">
        <f t="shared" si="55"/>
        <v>-11389.859891996228</v>
      </c>
      <c r="AD129" s="156">
        <f t="shared" ref="AD129:AG147" si="56">IFERROR(Y129/O129,0)</f>
        <v>-0.88504703077636659</v>
      </c>
      <c r="AE129" s="156">
        <f t="shared" si="56"/>
        <v>-0.88504703077636659</v>
      </c>
      <c r="AF129" s="156">
        <f t="shared" si="56"/>
        <v>-0.88504703077636659</v>
      </c>
      <c r="AG129" s="156">
        <f t="shared" si="56"/>
        <v>-0.88504703077636659</v>
      </c>
    </row>
    <row r="130" spans="1:33" s="225" customFormat="1" ht="15" customHeight="1" x14ac:dyDescent="0.3">
      <c r="A130" s="258"/>
      <c r="B130" s="259" t="s">
        <v>187</v>
      </c>
      <c r="C130" s="246"/>
      <c r="D130" s="219">
        <v>12</v>
      </c>
      <c r="E130" s="219">
        <v>1075596</v>
      </c>
      <c r="F130" s="219">
        <f>D130*E130</f>
        <v>12907152</v>
      </c>
      <c r="G130" s="238">
        <f t="shared" si="52"/>
        <v>1050</v>
      </c>
      <c r="H130" s="219">
        <f t="shared" ref="H130:H147" si="57">IF($G$5=0,0,F130/G130)</f>
        <v>12292.525714285714</v>
      </c>
      <c r="I130" s="220">
        <v>12292.525714285714</v>
      </c>
      <c r="J130" s="221"/>
      <c r="K130" s="153">
        <f t="shared" si="53"/>
        <v>22945.470178978194</v>
      </c>
      <c r="L130" s="155">
        <f t="shared" si="54"/>
        <v>10652.94446469248</v>
      </c>
      <c r="M130" s="222">
        <f t="shared" si="36"/>
        <v>0.86661966078396724</v>
      </c>
      <c r="N130" s="223"/>
      <c r="O130" s="260">
        <v>3073.1314285714284</v>
      </c>
      <c r="P130" s="260">
        <v>3073.1314285714284</v>
      </c>
      <c r="Q130" s="260">
        <v>3073.1314285714284</v>
      </c>
      <c r="R130" s="260">
        <v>3073.1314285714284</v>
      </c>
      <c r="S130" s="159"/>
      <c r="T130" s="260">
        <v>5736.3675447445485</v>
      </c>
      <c r="U130" s="260">
        <v>5736.3675447445485</v>
      </c>
      <c r="V130" s="260">
        <v>5736.3675447445485</v>
      </c>
      <c r="W130" s="260">
        <v>5736.3675447445485</v>
      </c>
      <c r="Y130" s="155">
        <f t="shared" si="55"/>
        <v>2663.2361161731201</v>
      </c>
      <c r="Z130" s="155">
        <f t="shared" si="55"/>
        <v>2663.2361161731201</v>
      </c>
      <c r="AA130" s="155">
        <f t="shared" si="55"/>
        <v>2663.2361161731201</v>
      </c>
      <c r="AB130" s="155">
        <f t="shared" si="55"/>
        <v>2663.2361161731201</v>
      </c>
      <c r="AD130" s="156">
        <f t="shared" si="56"/>
        <v>0.86661966078396724</v>
      </c>
      <c r="AE130" s="156">
        <f t="shared" si="56"/>
        <v>0.86661966078396724</v>
      </c>
      <c r="AF130" s="156">
        <f t="shared" si="56"/>
        <v>0.86661966078396724</v>
      </c>
      <c r="AG130" s="156">
        <f t="shared" si="56"/>
        <v>0.86661966078396724</v>
      </c>
    </row>
    <row r="131" spans="1:33" s="225" customFormat="1" ht="15" customHeight="1" x14ac:dyDescent="0.3">
      <c r="A131" s="258"/>
      <c r="B131" s="259" t="s">
        <v>188</v>
      </c>
      <c r="C131" s="246"/>
      <c r="D131" s="219">
        <v>12</v>
      </c>
      <c r="E131" s="219">
        <v>1095049</v>
      </c>
      <c r="F131" s="219">
        <f t="shared" ref="F131:F147" si="58">D131*E131</f>
        <v>13140588</v>
      </c>
      <c r="G131" s="238">
        <f t="shared" si="52"/>
        <v>1050</v>
      </c>
      <c r="H131" s="219">
        <f t="shared" si="57"/>
        <v>12514.845714285715</v>
      </c>
      <c r="I131" s="220">
        <v>12514.845714285715</v>
      </c>
      <c r="J131" s="221"/>
      <c r="K131" s="153">
        <f t="shared" si="53"/>
        <v>0</v>
      </c>
      <c r="L131" s="155">
        <f t="shared" si="54"/>
        <v>-12514.845714285715</v>
      </c>
      <c r="M131" s="222">
        <f t="shared" si="36"/>
        <v>-1</v>
      </c>
      <c r="N131" s="223"/>
      <c r="O131" s="260">
        <v>3128.7114285714288</v>
      </c>
      <c r="P131" s="260">
        <v>3128.7114285714288</v>
      </c>
      <c r="Q131" s="260">
        <v>3128.7114285714288</v>
      </c>
      <c r="R131" s="260">
        <v>3128.7114285714288</v>
      </c>
      <c r="S131" s="159"/>
      <c r="T131" s="260"/>
      <c r="U131" s="260"/>
      <c r="V131" s="260"/>
      <c r="W131" s="260"/>
      <c r="Y131" s="155">
        <f t="shared" si="55"/>
        <v>-3128.7114285714288</v>
      </c>
      <c r="Z131" s="155">
        <f t="shared" si="55"/>
        <v>-3128.7114285714288</v>
      </c>
      <c r="AA131" s="155">
        <f t="shared" si="55"/>
        <v>-3128.7114285714288</v>
      </c>
      <c r="AB131" s="155">
        <f t="shared" si="55"/>
        <v>-3128.7114285714288</v>
      </c>
      <c r="AD131" s="156">
        <f t="shared" si="56"/>
        <v>-1</v>
      </c>
      <c r="AE131" s="156">
        <f t="shared" si="56"/>
        <v>-1</v>
      </c>
      <c r="AF131" s="156">
        <f t="shared" si="56"/>
        <v>-1</v>
      </c>
      <c r="AG131" s="156">
        <f t="shared" si="56"/>
        <v>-1</v>
      </c>
    </row>
    <row r="132" spans="1:33" s="225" customFormat="1" ht="15" customHeight="1" x14ac:dyDescent="0.3">
      <c r="A132" s="258"/>
      <c r="B132" s="259" t="s">
        <v>189</v>
      </c>
      <c r="C132" s="246"/>
      <c r="D132" s="219">
        <v>12</v>
      </c>
      <c r="E132" s="219">
        <v>822684</v>
      </c>
      <c r="F132" s="219">
        <f>D132*E132</f>
        <v>9872208</v>
      </c>
      <c r="G132" s="238">
        <f t="shared" si="52"/>
        <v>1050</v>
      </c>
      <c r="H132" s="219">
        <f>IF($G$5=0,0,F132/G132)</f>
        <v>9402.1028571428578</v>
      </c>
      <c r="I132" s="220">
        <v>9402.1028571428578</v>
      </c>
      <c r="J132" s="221"/>
      <c r="K132" s="153">
        <f t="shared" si="53"/>
        <v>4306.2246094283246</v>
      </c>
      <c r="L132" s="155">
        <f t="shared" si="54"/>
        <v>-5095.8782477145332</v>
      </c>
      <c r="M132" s="222">
        <f t="shared" si="36"/>
        <v>-0.54199345881896532</v>
      </c>
      <c r="N132" s="223"/>
      <c r="O132" s="260">
        <v>2350.5257142857145</v>
      </c>
      <c r="P132" s="260">
        <v>2350.5257142857145</v>
      </c>
      <c r="Q132" s="260">
        <v>2350.5257142857145</v>
      </c>
      <c r="R132" s="260">
        <v>2350.5257142857145</v>
      </c>
      <c r="S132" s="159"/>
      <c r="T132" s="260">
        <v>1076.5561523570811</v>
      </c>
      <c r="U132" s="260">
        <v>1076.5561523570811</v>
      </c>
      <c r="V132" s="260">
        <v>1076.5561523570811</v>
      </c>
      <c r="W132" s="260">
        <v>1076.5561523570811</v>
      </c>
      <c r="Y132" s="155">
        <f t="shared" si="55"/>
        <v>-1273.9695619286333</v>
      </c>
      <c r="Z132" s="155">
        <f t="shared" si="55"/>
        <v>-1273.9695619286333</v>
      </c>
      <c r="AA132" s="155">
        <f t="shared" si="55"/>
        <v>-1273.9695619286333</v>
      </c>
      <c r="AB132" s="155">
        <f t="shared" si="55"/>
        <v>-1273.9695619286333</v>
      </c>
      <c r="AD132" s="156">
        <f t="shared" si="56"/>
        <v>-0.54199345881896532</v>
      </c>
      <c r="AE132" s="156">
        <f t="shared" si="56"/>
        <v>-0.54199345881896532</v>
      </c>
      <c r="AF132" s="156">
        <f t="shared" si="56"/>
        <v>-0.54199345881896532</v>
      </c>
      <c r="AG132" s="156">
        <f t="shared" si="56"/>
        <v>-0.54199345881896532</v>
      </c>
    </row>
    <row r="133" spans="1:33" s="225" customFormat="1" ht="15" customHeight="1" x14ac:dyDescent="0.3">
      <c r="A133" s="258"/>
      <c r="B133" s="259" t="s">
        <v>190</v>
      </c>
      <c r="C133" s="246"/>
      <c r="D133" s="219">
        <v>6</v>
      </c>
      <c r="E133" s="219">
        <v>671524</v>
      </c>
      <c r="F133" s="219">
        <f t="shared" si="58"/>
        <v>4029144</v>
      </c>
      <c r="G133" s="238">
        <f t="shared" si="52"/>
        <v>1050</v>
      </c>
      <c r="H133" s="219">
        <f t="shared" si="57"/>
        <v>3837.28</v>
      </c>
      <c r="I133" s="220">
        <v>3837.28</v>
      </c>
      <c r="J133" s="221"/>
      <c r="K133" s="153">
        <f t="shared" si="53"/>
        <v>0</v>
      </c>
      <c r="L133" s="155">
        <f t="shared" si="54"/>
        <v>-3837.28</v>
      </c>
      <c r="M133" s="222">
        <f t="shared" si="36"/>
        <v>-1</v>
      </c>
      <c r="N133" s="223"/>
      <c r="O133" s="260">
        <v>959.32</v>
      </c>
      <c r="P133" s="260">
        <v>959.32</v>
      </c>
      <c r="Q133" s="260">
        <v>959.32</v>
      </c>
      <c r="R133" s="260">
        <v>959.32</v>
      </c>
      <c r="S133" s="159"/>
      <c r="T133" s="260"/>
      <c r="U133" s="260"/>
      <c r="V133" s="260"/>
      <c r="W133" s="260"/>
      <c r="Y133" s="155">
        <f t="shared" si="55"/>
        <v>-959.32</v>
      </c>
      <c r="Z133" s="155">
        <f t="shared" si="55"/>
        <v>-959.32</v>
      </c>
      <c r="AA133" s="155">
        <f t="shared" si="55"/>
        <v>-959.32</v>
      </c>
      <c r="AB133" s="155">
        <f t="shared" si="55"/>
        <v>-959.32</v>
      </c>
      <c r="AD133" s="156">
        <f t="shared" si="56"/>
        <v>-1</v>
      </c>
      <c r="AE133" s="156">
        <f t="shared" si="56"/>
        <v>-1</v>
      </c>
      <c r="AF133" s="156">
        <f t="shared" si="56"/>
        <v>-1</v>
      </c>
      <c r="AG133" s="156">
        <f t="shared" si="56"/>
        <v>-1</v>
      </c>
    </row>
    <row r="134" spans="1:33" s="225" customFormat="1" ht="15" customHeight="1" x14ac:dyDescent="0.3">
      <c r="A134" s="258"/>
      <c r="B134" s="259" t="s">
        <v>191</v>
      </c>
      <c r="C134" s="246"/>
      <c r="D134" s="219">
        <v>3</v>
      </c>
      <c r="E134" s="219">
        <v>674104</v>
      </c>
      <c r="F134" s="219">
        <f t="shared" si="58"/>
        <v>2022312</v>
      </c>
      <c r="G134" s="238">
        <f t="shared" si="52"/>
        <v>1050</v>
      </c>
      <c r="H134" s="219">
        <f t="shared" si="57"/>
        <v>1926.0114285714285</v>
      </c>
      <c r="I134" s="220">
        <v>1926.0114285714285</v>
      </c>
      <c r="J134" s="221"/>
      <c r="K134" s="153">
        <f t="shared" si="53"/>
        <v>7673.1379966136319</v>
      </c>
      <c r="L134" s="155">
        <f t="shared" si="54"/>
        <v>5747.1265680422039</v>
      </c>
      <c r="M134" s="222">
        <f t="shared" si="36"/>
        <v>2.983952474417555</v>
      </c>
      <c r="N134" s="223"/>
      <c r="O134" s="260">
        <v>481.50285714285712</v>
      </c>
      <c r="P134" s="260">
        <v>481.50285714285712</v>
      </c>
      <c r="Q134" s="260">
        <v>481.50285714285712</v>
      </c>
      <c r="R134" s="260">
        <v>481.50285714285712</v>
      </c>
      <c r="S134" s="159"/>
      <c r="T134" s="260">
        <v>1918.284499153408</v>
      </c>
      <c r="U134" s="260">
        <v>1918.284499153408</v>
      </c>
      <c r="V134" s="260">
        <v>1918.284499153408</v>
      </c>
      <c r="W134" s="260">
        <v>1918.284499153408</v>
      </c>
      <c r="Y134" s="155">
        <f t="shared" si="55"/>
        <v>1436.781642010551</v>
      </c>
      <c r="Z134" s="155">
        <f t="shared" si="55"/>
        <v>1436.781642010551</v>
      </c>
      <c r="AA134" s="155">
        <f t="shared" si="55"/>
        <v>1436.781642010551</v>
      </c>
      <c r="AB134" s="155">
        <f t="shared" si="55"/>
        <v>1436.781642010551</v>
      </c>
      <c r="AD134" s="156">
        <f t="shared" si="56"/>
        <v>2.983952474417555</v>
      </c>
      <c r="AE134" s="156">
        <f t="shared" si="56"/>
        <v>2.983952474417555</v>
      </c>
      <c r="AF134" s="156">
        <f t="shared" si="56"/>
        <v>2.983952474417555</v>
      </c>
      <c r="AG134" s="156">
        <f t="shared" si="56"/>
        <v>2.983952474417555</v>
      </c>
    </row>
    <row r="135" spans="1:33" s="225" customFormat="1" ht="15" customHeight="1" x14ac:dyDescent="0.3">
      <c r="A135" s="258"/>
      <c r="B135" s="259" t="s">
        <v>192</v>
      </c>
      <c r="C135" s="246"/>
      <c r="D135" s="219">
        <v>3</v>
      </c>
      <c r="E135" s="219">
        <v>1364013</v>
      </c>
      <c r="F135" s="219">
        <f t="shared" si="58"/>
        <v>4092039</v>
      </c>
      <c r="G135" s="238">
        <f t="shared" si="52"/>
        <v>1050</v>
      </c>
      <c r="H135" s="219">
        <f t="shared" si="57"/>
        <v>3897.18</v>
      </c>
      <c r="I135" s="220">
        <v>3897.18</v>
      </c>
      <c r="J135" s="221"/>
      <c r="K135" s="153">
        <f t="shared" si="53"/>
        <v>9574.9994002814783</v>
      </c>
      <c r="L135" s="155">
        <f t="shared" si="54"/>
        <v>5677.819400281478</v>
      </c>
      <c r="M135" s="222">
        <f t="shared" si="36"/>
        <v>1.4569045823599316</v>
      </c>
      <c r="N135" s="223"/>
      <c r="O135" s="260">
        <v>974.29499999999996</v>
      </c>
      <c r="P135" s="260">
        <v>974.29499999999996</v>
      </c>
      <c r="Q135" s="260">
        <v>974.29499999999996</v>
      </c>
      <c r="R135" s="260">
        <v>974.29499999999996</v>
      </c>
      <c r="S135" s="159"/>
      <c r="T135" s="260">
        <v>2393.7498500703696</v>
      </c>
      <c r="U135" s="260">
        <v>2393.7498500703696</v>
      </c>
      <c r="V135" s="260">
        <v>2393.7498500703696</v>
      </c>
      <c r="W135" s="260">
        <v>2393.7498500703696</v>
      </c>
      <c r="Y135" s="155">
        <f t="shared" si="55"/>
        <v>1419.4548500703695</v>
      </c>
      <c r="Z135" s="155">
        <f t="shared" si="55"/>
        <v>1419.4548500703695</v>
      </c>
      <c r="AA135" s="155">
        <f t="shared" si="55"/>
        <v>1419.4548500703695</v>
      </c>
      <c r="AB135" s="155">
        <f t="shared" si="55"/>
        <v>1419.4548500703695</v>
      </c>
      <c r="AD135" s="156">
        <f t="shared" si="56"/>
        <v>1.4569045823599316</v>
      </c>
      <c r="AE135" s="156">
        <f t="shared" si="56"/>
        <v>1.4569045823599316</v>
      </c>
      <c r="AF135" s="156">
        <f t="shared" si="56"/>
        <v>1.4569045823599316</v>
      </c>
      <c r="AG135" s="156">
        <f t="shared" si="56"/>
        <v>1.4569045823599316</v>
      </c>
    </row>
    <row r="136" spans="1:33" s="225" customFormat="1" ht="15" customHeight="1" x14ac:dyDescent="0.3">
      <c r="A136" s="258"/>
      <c r="B136" s="259" t="s">
        <v>193</v>
      </c>
      <c r="C136" s="246"/>
      <c r="D136" s="219">
        <v>4</v>
      </c>
      <c r="E136" s="219">
        <v>956201</v>
      </c>
      <c r="F136" s="219">
        <f t="shared" si="58"/>
        <v>3824804</v>
      </c>
      <c r="G136" s="238">
        <f t="shared" si="52"/>
        <v>1050</v>
      </c>
      <c r="H136" s="219">
        <f t="shared" si="57"/>
        <v>3642.6704761904762</v>
      </c>
      <c r="I136" s="220">
        <v>3642.6704761904762</v>
      </c>
      <c r="J136" s="221"/>
      <c r="K136" s="153">
        <f t="shared" si="53"/>
        <v>1752.1768953140543</v>
      </c>
      <c r="L136" s="155">
        <f t="shared" si="54"/>
        <v>-1890.4935808764219</v>
      </c>
      <c r="M136" s="222">
        <f t="shared" si="36"/>
        <v>-0.51898561597411086</v>
      </c>
      <c r="N136" s="223"/>
      <c r="O136" s="260">
        <v>910.66761904761904</v>
      </c>
      <c r="P136" s="260">
        <v>910.66761904761904</v>
      </c>
      <c r="Q136" s="260">
        <v>910.66761904761904</v>
      </c>
      <c r="R136" s="260">
        <v>910.66761904761904</v>
      </c>
      <c r="S136" s="159"/>
      <c r="T136" s="260">
        <v>438.04422382851357</v>
      </c>
      <c r="U136" s="260">
        <v>438.04422382851357</v>
      </c>
      <c r="V136" s="260">
        <v>438.04422382851357</v>
      </c>
      <c r="W136" s="260">
        <v>438.04422382851357</v>
      </c>
      <c r="Y136" s="155">
        <f t="shared" si="55"/>
        <v>-472.62339521910548</v>
      </c>
      <c r="Z136" s="155">
        <f t="shared" si="55"/>
        <v>-472.62339521910548</v>
      </c>
      <c r="AA136" s="155">
        <f t="shared" si="55"/>
        <v>-472.62339521910548</v>
      </c>
      <c r="AB136" s="155">
        <f t="shared" si="55"/>
        <v>-472.62339521910548</v>
      </c>
      <c r="AD136" s="156">
        <f t="shared" si="56"/>
        <v>-0.51898561597411086</v>
      </c>
      <c r="AE136" s="156">
        <f t="shared" si="56"/>
        <v>-0.51898561597411086</v>
      </c>
      <c r="AF136" s="156">
        <f t="shared" si="56"/>
        <v>-0.51898561597411086</v>
      </c>
      <c r="AG136" s="156">
        <f t="shared" si="56"/>
        <v>-0.51898561597411086</v>
      </c>
    </row>
    <row r="137" spans="1:33" s="225" customFormat="1" ht="15" customHeight="1" x14ac:dyDescent="0.3">
      <c r="A137" s="258"/>
      <c r="B137" s="259" t="s">
        <v>194</v>
      </c>
      <c r="C137" s="246"/>
      <c r="D137" s="219">
        <v>8</v>
      </c>
      <c r="E137" s="219">
        <v>1075596</v>
      </c>
      <c r="F137" s="219">
        <f t="shared" si="58"/>
        <v>8604768</v>
      </c>
      <c r="G137" s="238">
        <f t="shared" si="52"/>
        <v>1050</v>
      </c>
      <c r="H137" s="219">
        <f t="shared" si="57"/>
        <v>8195.017142857143</v>
      </c>
      <c r="I137" s="220">
        <v>8195.017142857143</v>
      </c>
      <c r="J137" s="221"/>
      <c r="K137" s="153">
        <f t="shared" si="53"/>
        <v>6844.6440881972667</v>
      </c>
      <c r="L137" s="155">
        <f t="shared" si="54"/>
        <v>-1350.3730546598763</v>
      </c>
      <c r="M137" s="222">
        <f t="shared" si="36"/>
        <v>-0.16477977179545922</v>
      </c>
      <c r="N137" s="223"/>
      <c r="O137" s="260">
        <v>2048.7542857142857</v>
      </c>
      <c r="P137" s="260">
        <v>2048.7542857142857</v>
      </c>
      <c r="Q137" s="260">
        <v>2048.7542857142857</v>
      </c>
      <c r="R137" s="260">
        <v>2048.7542857142857</v>
      </c>
      <c r="S137" s="159"/>
      <c r="T137" s="260">
        <v>1711.1610220493167</v>
      </c>
      <c r="U137" s="260">
        <v>1711.1610220493167</v>
      </c>
      <c r="V137" s="260">
        <v>1711.1610220493167</v>
      </c>
      <c r="W137" s="260">
        <v>1711.1610220493167</v>
      </c>
      <c r="Y137" s="155">
        <f t="shared" si="55"/>
        <v>-337.59326366496907</v>
      </c>
      <c r="Z137" s="155">
        <f t="shared" si="55"/>
        <v>-337.59326366496907</v>
      </c>
      <c r="AA137" s="155">
        <f t="shared" si="55"/>
        <v>-337.59326366496907</v>
      </c>
      <c r="AB137" s="155">
        <f t="shared" si="55"/>
        <v>-337.59326366496907</v>
      </c>
      <c r="AD137" s="156">
        <f t="shared" si="56"/>
        <v>-0.16477977179545922</v>
      </c>
      <c r="AE137" s="156">
        <f t="shared" si="56"/>
        <v>-0.16477977179545922</v>
      </c>
      <c r="AF137" s="156">
        <f t="shared" si="56"/>
        <v>-0.16477977179545922</v>
      </c>
      <c r="AG137" s="156">
        <f t="shared" si="56"/>
        <v>-0.16477977179545922</v>
      </c>
    </row>
    <row r="138" spans="1:33" s="225" customFormat="1" ht="15" customHeight="1" x14ac:dyDescent="0.3">
      <c r="A138" s="258"/>
      <c r="B138" s="259" t="s">
        <v>195</v>
      </c>
      <c r="C138" s="246"/>
      <c r="D138" s="219">
        <v>3</v>
      </c>
      <c r="E138" s="219">
        <v>919424</v>
      </c>
      <c r="F138" s="219">
        <f t="shared" si="58"/>
        <v>2758272</v>
      </c>
      <c r="G138" s="238">
        <f t="shared" si="52"/>
        <v>1050</v>
      </c>
      <c r="H138" s="219">
        <f t="shared" si="57"/>
        <v>2626.9257142857141</v>
      </c>
      <c r="I138" s="220">
        <v>2626.9257142857141</v>
      </c>
      <c r="J138" s="221"/>
      <c r="K138" s="153">
        <f t="shared" si="53"/>
        <v>3553.4806363631701</v>
      </c>
      <c r="L138" s="155">
        <f t="shared" si="54"/>
        <v>926.55492207745601</v>
      </c>
      <c r="M138" s="222">
        <f t="shared" si="36"/>
        <v>0.35271455033489407</v>
      </c>
      <c r="N138" s="223"/>
      <c r="O138" s="260">
        <v>656.73142857142852</v>
      </c>
      <c r="P138" s="260">
        <v>656.73142857142852</v>
      </c>
      <c r="Q138" s="260">
        <v>656.73142857142852</v>
      </c>
      <c r="R138" s="260">
        <v>656.73142857142852</v>
      </c>
      <c r="S138" s="159"/>
      <c r="T138" s="260">
        <v>888.37015909079253</v>
      </c>
      <c r="U138" s="260">
        <v>888.37015909079253</v>
      </c>
      <c r="V138" s="260">
        <v>888.37015909079253</v>
      </c>
      <c r="W138" s="260">
        <v>888.37015909079253</v>
      </c>
      <c r="Y138" s="155">
        <f t="shared" si="55"/>
        <v>231.638730519364</v>
      </c>
      <c r="Z138" s="155">
        <f t="shared" si="55"/>
        <v>231.638730519364</v>
      </c>
      <c r="AA138" s="155">
        <f t="shared" si="55"/>
        <v>231.638730519364</v>
      </c>
      <c r="AB138" s="155">
        <f t="shared" si="55"/>
        <v>231.638730519364</v>
      </c>
      <c r="AD138" s="156">
        <f t="shared" si="56"/>
        <v>0.35271455033489407</v>
      </c>
      <c r="AE138" s="156">
        <f t="shared" si="56"/>
        <v>0.35271455033489407</v>
      </c>
      <c r="AF138" s="156">
        <f t="shared" si="56"/>
        <v>0.35271455033489407</v>
      </c>
      <c r="AG138" s="156">
        <f t="shared" si="56"/>
        <v>0.35271455033489407</v>
      </c>
    </row>
    <row r="139" spans="1:33" s="225" customFormat="1" ht="15" customHeight="1" x14ac:dyDescent="0.3">
      <c r="A139" s="258"/>
      <c r="B139" s="259" t="s">
        <v>196</v>
      </c>
      <c r="C139" s="246"/>
      <c r="D139" s="219">
        <v>3</v>
      </c>
      <c r="E139" s="219">
        <v>835840</v>
      </c>
      <c r="F139" s="219">
        <f t="shared" si="58"/>
        <v>2507520</v>
      </c>
      <c r="G139" s="238">
        <f t="shared" si="52"/>
        <v>1050</v>
      </c>
      <c r="H139" s="219">
        <f t="shared" si="57"/>
        <v>2388.1142857142859</v>
      </c>
      <c r="I139" s="220">
        <v>2388.1142857142859</v>
      </c>
      <c r="J139" s="221"/>
      <c r="K139" s="153">
        <f t="shared" si="53"/>
        <v>4124.6951287496859</v>
      </c>
      <c r="L139" s="155">
        <f t="shared" si="54"/>
        <v>1736.5808430354</v>
      </c>
      <c r="M139" s="222">
        <f t="shared" si="36"/>
        <v>0.72717660684148877</v>
      </c>
      <c r="N139" s="223"/>
      <c r="O139" s="260">
        <v>597.02857142857147</v>
      </c>
      <c r="P139" s="260">
        <v>597.02857142857147</v>
      </c>
      <c r="Q139" s="260">
        <v>597.02857142857147</v>
      </c>
      <c r="R139" s="260">
        <v>597.02857142857147</v>
      </c>
      <c r="S139" s="159"/>
      <c r="T139" s="260">
        <v>1031.1737821874215</v>
      </c>
      <c r="U139" s="260">
        <v>1031.1737821874215</v>
      </c>
      <c r="V139" s="260">
        <v>1031.1737821874215</v>
      </c>
      <c r="W139" s="260">
        <v>1031.1737821874215</v>
      </c>
      <c r="Y139" s="155">
        <f t="shared" si="55"/>
        <v>434.14521075885</v>
      </c>
      <c r="Z139" s="155">
        <f t="shared" si="55"/>
        <v>434.14521075885</v>
      </c>
      <c r="AA139" s="155">
        <f t="shared" si="55"/>
        <v>434.14521075885</v>
      </c>
      <c r="AB139" s="155">
        <f t="shared" si="55"/>
        <v>434.14521075885</v>
      </c>
      <c r="AD139" s="156">
        <f t="shared" si="56"/>
        <v>0.72717660684148877</v>
      </c>
      <c r="AE139" s="156">
        <f t="shared" si="56"/>
        <v>0.72717660684148877</v>
      </c>
      <c r="AF139" s="156">
        <f t="shared" si="56"/>
        <v>0.72717660684148877</v>
      </c>
      <c r="AG139" s="156">
        <f t="shared" si="56"/>
        <v>0.72717660684148877</v>
      </c>
    </row>
    <row r="140" spans="1:33" s="225" customFormat="1" ht="15" customHeight="1" x14ac:dyDescent="0.3">
      <c r="A140" s="258"/>
      <c r="B140" s="259" t="s">
        <v>197</v>
      </c>
      <c r="C140" s="246"/>
      <c r="D140" s="219">
        <v>4</v>
      </c>
      <c r="E140" s="219">
        <v>1617279</v>
      </c>
      <c r="F140" s="219">
        <f t="shared" si="58"/>
        <v>6469116</v>
      </c>
      <c r="G140" s="238">
        <f t="shared" si="52"/>
        <v>1050</v>
      </c>
      <c r="H140" s="219">
        <f t="shared" si="57"/>
        <v>6161.062857142857</v>
      </c>
      <c r="I140" s="220">
        <v>6161.062857142857</v>
      </c>
      <c r="J140" s="221"/>
      <c r="K140" s="153">
        <f t="shared" si="53"/>
        <v>6240.4602618967829</v>
      </c>
      <c r="L140" s="155">
        <f t="shared" si="54"/>
        <v>79.397404753925912</v>
      </c>
      <c r="M140" s="222">
        <f t="shared" si="36"/>
        <v>1.2886965543920098E-2</v>
      </c>
      <c r="N140" s="223"/>
      <c r="O140" s="260">
        <v>1540.2657142857142</v>
      </c>
      <c r="P140" s="260">
        <v>1540.2657142857142</v>
      </c>
      <c r="Q140" s="260">
        <v>1540.2657142857142</v>
      </c>
      <c r="R140" s="260">
        <v>1540.2657142857142</v>
      </c>
      <c r="S140" s="159"/>
      <c r="T140" s="260">
        <v>1560.1150654741957</v>
      </c>
      <c r="U140" s="260">
        <v>1560.1150654741957</v>
      </c>
      <c r="V140" s="260">
        <v>1560.1150654741957</v>
      </c>
      <c r="W140" s="260">
        <v>1560.1150654741957</v>
      </c>
      <c r="Y140" s="155">
        <f t="shared" si="55"/>
        <v>19.849351188481478</v>
      </c>
      <c r="Z140" s="155">
        <f t="shared" si="55"/>
        <v>19.849351188481478</v>
      </c>
      <c r="AA140" s="155">
        <f t="shared" si="55"/>
        <v>19.849351188481478</v>
      </c>
      <c r="AB140" s="155">
        <f t="shared" si="55"/>
        <v>19.849351188481478</v>
      </c>
      <c r="AD140" s="156">
        <f t="shared" si="56"/>
        <v>1.2886965543920098E-2</v>
      </c>
      <c r="AE140" s="156">
        <f t="shared" si="56"/>
        <v>1.2886965543920098E-2</v>
      </c>
      <c r="AF140" s="156">
        <f t="shared" si="56"/>
        <v>1.2886965543920098E-2</v>
      </c>
      <c r="AG140" s="156">
        <f t="shared" si="56"/>
        <v>1.2886965543920098E-2</v>
      </c>
    </row>
    <row r="141" spans="1:33" s="225" customFormat="1" ht="15" customHeight="1" x14ac:dyDescent="0.3">
      <c r="A141" s="258"/>
      <c r="B141" s="259" t="s">
        <v>198</v>
      </c>
      <c r="C141" s="246"/>
      <c r="D141" s="219">
        <v>4</v>
      </c>
      <c r="E141" s="219">
        <v>1592940</v>
      </c>
      <c r="F141" s="219">
        <f>D141*E141</f>
        <v>6371760</v>
      </c>
      <c r="G141" s="238">
        <f t="shared" si="52"/>
        <v>1050</v>
      </c>
      <c r="H141" s="219">
        <f>IF($G$5=0,0,F141/G141)</f>
        <v>6068.3428571428567</v>
      </c>
      <c r="I141" s="220">
        <v>6068.3428571428567</v>
      </c>
      <c r="J141" s="221"/>
      <c r="K141" s="153">
        <f t="shared" si="53"/>
        <v>6166.6557188884744</v>
      </c>
      <c r="L141" s="155">
        <f t="shared" si="54"/>
        <v>98.312861745617738</v>
      </c>
      <c r="M141" s="222">
        <f t="shared" si="36"/>
        <v>1.6200940530230051E-2</v>
      </c>
      <c r="N141" s="223"/>
      <c r="O141" s="260">
        <v>1517.0857142857142</v>
      </c>
      <c r="P141" s="260">
        <v>1517.0857142857142</v>
      </c>
      <c r="Q141" s="260">
        <v>1517.0857142857142</v>
      </c>
      <c r="R141" s="260">
        <v>1517.0857142857142</v>
      </c>
      <c r="S141" s="159"/>
      <c r="T141" s="260">
        <v>1541.6639297221186</v>
      </c>
      <c r="U141" s="260">
        <v>1541.6639297221186</v>
      </c>
      <c r="V141" s="260">
        <v>1541.6639297221186</v>
      </c>
      <c r="W141" s="260">
        <v>1541.6639297221186</v>
      </c>
      <c r="Y141" s="155">
        <f t="shared" si="55"/>
        <v>24.578215436404435</v>
      </c>
      <c r="Z141" s="155">
        <f t="shared" si="55"/>
        <v>24.578215436404435</v>
      </c>
      <c r="AA141" s="155">
        <f t="shared" si="55"/>
        <v>24.578215436404435</v>
      </c>
      <c r="AB141" s="155">
        <f t="shared" si="55"/>
        <v>24.578215436404435</v>
      </c>
      <c r="AD141" s="156">
        <f t="shared" si="56"/>
        <v>1.6200940530230051E-2</v>
      </c>
      <c r="AE141" s="156">
        <f t="shared" si="56"/>
        <v>1.6200940530230051E-2</v>
      </c>
      <c r="AF141" s="156">
        <f t="shared" si="56"/>
        <v>1.6200940530230051E-2</v>
      </c>
      <c r="AG141" s="156">
        <f t="shared" si="56"/>
        <v>1.6200940530230051E-2</v>
      </c>
    </row>
    <row r="142" spans="1:33" s="225" customFormat="1" ht="15" customHeight="1" x14ac:dyDescent="0.3">
      <c r="A142" s="258"/>
      <c r="B142" s="259" t="s">
        <v>199</v>
      </c>
      <c r="C142" s="246"/>
      <c r="D142" s="219">
        <v>4</v>
      </c>
      <c r="E142" s="219">
        <v>1113263</v>
      </c>
      <c r="F142" s="219">
        <f>D142*E142</f>
        <v>4453052</v>
      </c>
      <c r="G142" s="238">
        <f t="shared" si="52"/>
        <v>1050</v>
      </c>
      <c r="H142" s="219">
        <f>IF($G$5=0,0,F142/G142)</f>
        <v>4241.0019047619044</v>
      </c>
      <c r="I142" s="220">
        <v>4241.0019047619044</v>
      </c>
      <c r="J142" s="221"/>
      <c r="K142" s="153">
        <f t="shared" si="53"/>
        <v>7116.7918397025469</v>
      </c>
      <c r="L142" s="155">
        <f t="shared" si="54"/>
        <v>2875.7899349406425</v>
      </c>
      <c r="M142" s="222">
        <f t="shared" si="36"/>
        <v>0.67809211113808576</v>
      </c>
      <c r="N142" s="223"/>
      <c r="O142" s="260">
        <v>1060.2504761904761</v>
      </c>
      <c r="P142" s="260">
        <v>1060.2504761904761</v>
      </c>
      <c r="Q142" s="260">
        <v>1060.2504761904761</v>
      </c>
      <c r="R142" s="260">
        <v>1060.2504761904761</v>
      </c>
      <c r="S142" s="159"/>
      <c r="T142" s="260">
        <v>1779.1979599256367</v>
      </c>
      <c r="U142" s="260">
        <v>1779.1979599256367</v>
      </c>
      <c r="V142" s="260">
        <v>1779.1979599256367</v>
      </c>
      <c r="W142" s="260">
        <v>1779.1979599256367</v>
      </c>
      <c r="Y142" s="155">
        <f t="shared" si="55"/>
        <v>718.94748373516063</v>
      </c>
      <c r="Z142" s="155">
        <f t="shared" si="55"/>
        <v>718.94748373516063</v>
      </c>
      <c r="AA142" s="155">
        <f t="shared" si="55"/>
        <v>718.94748373516063</v>
      </c>
      <c r="AB142" s="155">
        <f t="shared" si="55"/>
        <v>718.94748373516063</v>
      </c>
      <c r="AD142" s="156">
        <f t="shared" si="56"/>
        <v>0.67809211113808576</v>
      </c>
      <c r="AE142" s="156">
        <f t="shared" si="56"/>
        <v>0.67809211113808576</v>
      </c>
      <c r="AF142" s="156">
        <f t="shared" si="56"/>
        <v>0.67809211113808576</v>
      </c>
      <c r="AG142" s="156">
        <f t="shared" si="56"/>
        <v>0.67809211113808576</v>
      </c>
    </row>
    <row r="143" spans="1:33" s="225" customFormat="1" ht="15" customHeight="1" x14ac:dyDescent="0.3">
      <c r="A143" s="258"/>
      <c r="B143" s="259" t="s">
        <v>200</v>
      </c>
      <c r="C143" s="246"/>
      <c r="D143" s="219">
        <v>8</v>
      </c>
      <c r="E143" s="219">
        <v>1354454</v>
      </c>
      <c r="F143" s="219">
        <f t="shared" si="58"/>
        <v>10835632</v>
      </c>
      <c r="G143" s="238">
        <f t="shared" si="52"/>
        <v>1050</v>
      </c>
      <c r="H143" s="219">
        <f t="shared" si="57"/>
        <v>10319.649523809523</v>
      </c>
      <c r="I143" s="220">
        <v>10319.649523809523</v>
      </c>
      <c r="J143" s="221"/>
      <c r="K143" s="153">
        <f t="shared" si="53"/>
        <v>5234.8231941573049</v>
      </c>
      <c r="L143" s="155">
        <f t="shared" si="54"/>
        <v>-5084.8263296522182</v>
      </c>
      <c r="M143" s="222">
        <f t="shared" ref="M143:M166" si="59">IFERROR(L143/I143,0)</f>
        <v>-0.49273246324116854</v>
      </c>
      <c r="N143" s="223"/>
      <c r="O143" s="260">
        <v>2579.9123809523808</v>
      </c>
      <c r="P143" s="260">
        <v>2579.9123809523808</v>
      </c>
      <c r="Q143" s="260">
        <v>2579.9123809523808</v>
      </c>
      <c r="R143" s="260">
        <v>2579.9123809523808</v>
      </c>
      <c r="S143" s="159"/>
      <c r="T143" s="260">
        <v>1308.7057985393262</v>
      </c>
      <c r="U143" s="260">
        <v>1308.7057985393262</v>
      </c>
      <c r="V143" s="260">
        <v>1308.7057985393262</v>
      </c>
      <c r="W143" s="260">
        <v>1308.7057985393262</v>
      </c>
      <c r="Y143" s="155">
        <f t="shared" si="55"/>
        <v>-1271.2065824130545</v>
      </c>
      <c r="Z143" s="155">
        <f t="shared" si="55"/>
        <v>-1271.2065824130545</v>
      </c>
      <c r="AA143" s="155">
        <f t="shared" si="55"/>
        <v>-1271.2065824130545</v>
      </c>
      <c r="AB143" s="155">
        <f t="shared" si="55"/>
        <v>-1271.2065824130545</v>
      </c>
      <c r="AD143" s="156">
        <f t="shared" si="56"/>
        <v>-0.49273246324116854</v>
      </c>
      <c r="AE143" s="156">
        <f t="shared" si="56"/>
        <v>-0.49273246324116854</v>
      </c>
      <c r="AF143" s="156">
        <f t="shared" si="56"/>
        <v>-0.49273246324116854</v>
      </c>
      <c r="AG143" s="156">
        <f t="shared" si="56"/>
        <v>-0.49273246324116854</v>
      </c>
    </row>
    <row r="144" spans="1:33" s="225" customFormat="1" ht="15" customHeight="1" x14ac:dyDescent="0.3">
      <c r="A144" s="258"/>
      <c r="B144" s="259" t="s">
        <v>201</v>
      </c>
      <c r="C144" s="246"/>
      <c r="D144" s="219">
        <v>3</v>
      </c>
      <c r="E144" s="219">
        <v>994445</v>
      </c>
      <c r="F144" s="219">
        <f t="shared" si="58"/>
        <v>2983335</v>
      </c>
      <c r="G144" s="238">
        <f t="shared" si="52"/>
        <v>1050</v>
      </c>
      <c r="H144" s="219">
        <f t="shared" si="57"/>
        <v>2841.2714285714287</v>
      </c>
      <c r="I144" s="220">
        <v>2841.2714285714287</v>
      </c>
      <c r="J144" s="221"/>
      <c r="K144" s="153">
        <f t="shared" si="53"/>
        <v>4628.9263591517574</v>
      </c>
      <c r="L144" s="155">
        <f t="shared" si="54"/>
        <v>1787.6549305803287</v>
      </c>
      <c r="M144" s="222">
        <f t="shared" si="59"/>
        <v>0.62917428887783133</v>
      </c>
      <c r="N144" s="223"/>
      <c r="O144" s="260">
        <v>710.31785714285718</v>
      </c>
      <c r="P144" s="260">
        <v>710.31785714285718</v>
      </c>
      <c r="Q144" s="260">
        <v>710.31785714285718</v>
      </c>
      <c r="R144" s="260">
        <v>710.31785714285718</v>
      </c>
      <c r="S144" s="159"/>
      <c r="T144" s="260">
        <v>1157.2315897879394</v>
      </c>
      <c r="U144" s="260">
        <v>1157.2315897879394</v>
      </c>
      <c r="V144" s="260">
        <v>1157.2315897879394</v>
      </c>
      <c r="W144" s="260">
        <v>1157.2315897879394</v>
      </c>
      <c r="Y144" s="155">
        <f t="shared" si="55"/>
        <v>446.91373264508218</v>
      </c>
      <c r="Z144" s="155">
        <f t="shared" si="55"/>
        <v>446.91373264508218</v>
      </c>
      <c r="AA144" s="155">
        <f t="shared" si="55"/>
        <v>446.91373264508218</v>
      </c>
      <c r="AB144" s="155">
        <f t="shared" si="55"/>
        <v>446.91373264508218</v>
      </c>
      <c r="AD144" s="156">
        <f t="shared" si="56"/>
        <v>0.62917428887783133</v>
      </c>
      <c r="AE144" s="156">
        <f t="shared" si="56"/>
        <v>0.62917428887783133</v>
      </c>
      <c r="AF144" s="156">
        <f t="shared" si="56"/>
        <v>0.62917428887783133</v>
      </c>
      <c r="AG144" s="156">
        <f t="shared" si="56"/>
        <v>0.62917428887783133</v>
      </c>
    </row>
    <row r="145" spans="1:33" s="225" customFormat="1" ht="15" customHeight="1" x14ac:dyDescent="0.3">
      <c r="A145" s="258"/>
      <c r="B145" s="259" t="s">
        <v>202</v>
      </c>
      <c r="C145" s="246"/>
      <c r="D145" s="219">
        <v>3</v>
      </c>
      <c r="E145" s="219">
        <v>1264817</v>
      </c>
      <c r="F145" s="219">
        <f t="shared" si="58"/>
        <v>3794451</v>
      </c>
      <c r="G145" s="238">
        <f t="shared" si="52"/>
        <v>1050</v>
      </c>
      <c r="H145" s="219">
        <f t="shared" si="57"/>
        <v>3613.7628571428572</v>
      </c>
      <c r="I145" s="220">
        <v>3613.7628571428572</v>
      </c>
      <c r="J145" s="221"/>
      <c r="K145" s="153">
        <f t="shared" si="53"/>
        <v>8846.6261576037068</v>
      </c>
      <c r="L145" s="155">
        <f t="shared" si="54"/>
        <v>5232.8633004608491</v>
      </c>
      <c r="M145" s="222">
        <f t="shared" si="59"/>
        <v>1.4480372695506916</v>
      </c>
      <c r="N145" s="223"/>
      <c r="O145" s="260">
        <v>903.44071428571431</v>
      </c>
      <c r="P145" s="260">
        <v>903.44071428571431</v>
      </c>
      <c r="Q145" s="260">
        <v>903.44071428571431</v>
      </c>
      <c r="R145" s="260">
        <v>903.44071428571431</v>
      </c>
      <c r="S145" s="159"/>
      <c r="T145" s="260">
        <v>2211.6565394009267</v>
      </c>
      <c r="U145" s="260">
        <v>2211.6565394009267</v>
      </c>
      <c r="V145" s="260">
        <v>2211.6565394009267</v>
      </c>
      <c r="W145" s="260">
        <v>2211.6565394009267</v>
      </c>
      <c r="Y145" s="155">
        <f t="shared" si="55"/>
        <v>1308.2158251152123</v>
      </c>
      <c r="Z145" s="155">
        <f t="shared" si="55"/>
        <v>1308.2158251152123</v>
      </c>
      <c r="AA145" s="155">
        <f t="shared" si="55"/>
        <v>1308.2158251152123</v>
      </c>
      <c r="AB145" s="155">
        <f t="shared" si="55"/>
        <v>1308.2158251152123</v>
      </c>
      <c r="AD145" s="156">
        <f t="shared" si="56"/>
        <v>1.4480372695506916</v>
      </c>
      <c r="AE145" s="156">
        <f t="shared" si="56"/>
        <v>1.4480372695506916</v>
      </c>
      <c r="AF145" s="156">
        <f t="shared" si="56"/>
        <v>1.4480372695506916</v>
      </c>
      <c r="AG145" s="156">
        <f t="shared" si="56"/>
        <v>1.4480372695506916</v>
      </c>
    </row>
    <row r="146" spans="1:33" s="225" customFormat="1" ht="15" customHeight="1" x14ac:dyDescent="0.3">
      <c r="A146" s="258"/>
      <c r="B146" s="259" t="s">
        <v>203</v>
      </c>
      <c r="C146" s="246"/>
      <c r="D146" s="219">
        <v>24</v>
      </c>
      <c r="E146" s="219">
        <v>671524</v>
      </c>
      <c r="F146" s="219">
        <f t="shared" si="58"/>
        <v>16116576</v>
      </c>
      <c r="G146" s="238">
        <f t="shared" si="52"/>
        <v>1050</v>
      </c>
      <c r="H146" s="219">
        <f t="shared" si="57"/>
        <v>15349.12</v>
      </c>
      <c r="I146" s="220">
        <v>15349.12</v>
      </c>
      <c r="J146" s="221"/>
      <c r="K146" s="153">
        <f t="shared" si="53"/>
        <v>23892.731765659461</v>
      </c>
      <c r="L146" s="155">
        <f t="shared" si="54"/>
        <v>8543.6117656594597</v>
      </c>
      <c r="M146" s="222">
        <f t="shared" si="59"/>
        <v>0.55661899611570298</v>
      </c>
      <c r="N146" s="223"/>
      <c r="O146" s="260">
        <v>3837.28</v>
      </c>
      <c r="P146" s="260">
        <v>3837.28</v>
      </c>
      <c r="Q146" s="260">
        <v>3837.28</v>
      </c>
      <c r="R146" s="260">
        <v>3837.28</v>
      </c>
      <c r="S146" s="159"/>
      <c r="T146" s="260">
        <v>5973.1829414148651</v>
      </c>
      <c r="U146" s="260">
        <v>5973.1829414148651</v>
      </c>
      <c r="V146" s="260">
        <v>5973.1829414148651</v>
      </c>
      <c r="W146" s="260">
        <v>5973.1829414148651</v>
      </c>
      <c r="Y146" s="155">
        <f t="shared" si="55"/>
        <v>2135.9029414148649</v>
      </c>
      <c r="Z146" s="155">
        <f t="shared" si="55"/>
        <v>2135.9029414148649</v>
      </c>
      <c r="AA146" s="155">
        <f t="shared" si="55"/>
        <v>2135.9029414148649</v>
      </c>
      <c r="AB146" s="155">
        <f t="shared" si="55"/>
        <v>2135.9029414148649</v>
      </c>
      <c r="AD146" s="156">
        <f t="shared" si="56"/>
        <v>0.55661899611570298</v>
      </c>
      <c r="AE146" s="156">
        <f t="shared" si="56"/>
        <v>0.55661899611570298</v>
      </c>
      <c r="AF146" s="156">
        <f t="shared" si="56"/>
        <v>0.55661899611570298</v>
      </c>
      <c r="AG146" s="156">
        <f t="shared" si="56"/>
        <v>0.55661899611570298</v>
      </c>
    </row>
    <row r="147" spans="1:33" s="225" customFormat="1" ht="15" customHeight="1" x14ac:dyDescent="0.3">
      <c r="A147" s="261"/>
      <c r="B147" s="216" t="s">
        <v>204</v>
      </c>
      <c r="C147" s="217"/>
      <c r="D147" s="218">
        <v>24</v>
      </c>
      <c r="E147" s="218">
        <v>994445</v>
      </c>
      <c r="F147" s="218">
        <f t="shared" si="58"/>
        <v>23866680</v>
      </c>
      <c r="G147" s="262">
        <f t="shared" si="52"/>
        <v>1050</v>
      </c>
      <c r="H147" s="218">
        <f t="shared" si="57"/>
        <v>22730.17142857143</v>
      </c>
      <c r="I147" s="220">
        <v>22730.17142857143</v>
      </c>
      <c r="J147" s="221"/>
      <c r="K147" s="153">
        <f t="shared" si="53"/>
        <v>27846.64995996168</v>
      </c>
      <c r="L147" s="155">
        <f t="shared" si="54"/>
        <v>5116.4785313902503</v>
      </c>
      <c r="M147" s="222">
        <f t="shared" si="59"/>
        <v>0.2250963459500761</v>
      </c>
      <c r="N147" s="223"/>
      <c r="O147" s="260">
        <v>5682.5428571428574</v>
      </c>
      <c r="P147" s="260">
        <v>5682.5428571428574</v>
      </c>
      <c r="Q147" s="260">
        <v>5682.5428571428574</v>
      </c>
      <c r="R147" s="260">
        <v>5682.5428571428574</v>
      </c>
      <c r="S147" s="159"/>
      <c r="T147" s="260">
        <v>6961.66248999042</v>
      </c>
      <c r="U147" s="260">
        <v>6961.66248999042</v>
      </c>
      <c r="V147" s="260">
        <v>6961.66248999042</v>
      </c>
      <c r="W147" s="260">
        <v>6961.66248999042</v>
      </c>
      <c r="Y147" s="155">
        <f t="shared" si="55"/>
        <v>1279.1196328475626</v>
      </c>
      <c r="Z147" s="155">
        <f t="shared" si="55"/>
        <v>1279.1196328475626</v>
      </c>
      <c r="AA147" s="155">
        <f t="shared" si="55"/>
        <v>1279.1196328475626</v>
      </c>
      <c r="AB147" s="155">
        <f t="shared" si="55"/>
        <v>1279.1196328475626</v>
      </c>
      <c r="AD147" s="156">
        <f t="shared" si="56"/>
        <v>0.2250963459500761</v>
      </c>
      <c r="AE147" s="156">
        <f t="shared" si="56"/>
        <v>0.2250963459500761</v>
      </c>
      <c r="AF147" s="156">
        <f t="shared" si="56"/>
        <v>0.2250963459500761</v>
      </c>
      <c r="AG147" s="156">
        <f t="shared" si="56"/>
        <v>0.2250963459500761</v>
      </c>
    </row>
    <row r="148" spans="1:33" s="159" customFormat="1" ht="15" customHeight="1" x14ac:dyDescent="0.3">
      <c r="A148" s="263"/>
      <c r="B148" s="259" t="s">
        <v>205</v>
      </c>
      <c r="C148" s="150" t="s">
        <v>206</v>
      </c>
      <c r="D148" s="151">
        <v>1</v>
      </c>
      <c r="E148" s="151"/>
      <c r="F148" s="151"/>
      <c r="G148" s="178"/>
      <c r="H148" s="151"/>
      <c r="I148" s="231">
        <v>9441.7999999999993</v>
      </c>
      <c r="J148" s="221"/>
      <c r="K148" s="153">
        <f t="shared" si="53"/>
        <v>4213.8133350199278</v>
      </c>
      <c r="L148" s="155">
        <f>K148-I148</f>
        <v>-5227.9866649800715</v>
      </c>
      <c r="M148" s="232">
        <f>IFERROR(L148/I148,0)</f>
        <v>-0.5537065670719642</v>
      </c>
      <c r="N148" s="223"/>
      <c r="O148" s="232"/>
      <c r="P148" s="264">
        <v>9441.7999999999993</v>
      </c>
      <c r="Q148" s="232"/>
      <c r="R148" s="232"/>
      <c r="T148" s="232">
        <v>0</v>
      </c>
      <c r="U148" s="232">
        <v>4213.8133350199278</v>
      </c>
      <c r="V148" s="232">
        <v>0</v>
      </c>
      <c r="W148" s="232">
        <v>0</v>
      </c>
      <c r="Y148" s="155">
        <f t="shared" ref="Y148:AB149" si="60">T148-O148</f>
        <v>0</v>
      </c>
      <c r="Z148" s="155">
        <f t="shared" si="60"/>
        <v>-5227.9866649800715</v>
      </c>
      <c r="AA148" s="155">
        <f t="shared" si="60"/>
        <v>0</v>
      </c>
      <c r="AB148" s="155">
        <f t="shared" si="60"/>
        <v>0</v>
      </c>
      <c r="AD148" s="156">
        <f t="shared" ref="AD148:AG149" si="61">IFERROR(Y148/O148,0)</f>
        <v>0</v>
      </c>
      <c r="AE148" s="156">
        <f t="shared" si="61"/>
        <v>-0.5537065670719642</v>
      </c>
      <c r="AF148" s="156">
        <f t="shared" si="61"/>
        <v>0</v>
      </c>
      <c r="AG148" s="156">
        <f t="shared" si="61"/>
        <v>0</v>
      </c>
    </row>
    <row r="149" spans="1:33" s="225" customFormat="1" ht="15" customHeight="1" x14ac:dyDescent="0.3">
      <c r="A149" s="263"/>
      <c r="B149" s="387" t="s">
        <v>207</v>
      </c>
      <c r="C149" s="150" t="s">
        <v>206</v>
      </c>
      <c r="D149" s="151">
        <v>1</v>
      </c>
      <c r="E149" s="218">
        <f>32400000+7119326.22</f>
        <v>39519326.219999999</v>
      </c>
      <c r="F149" s="218">
        <f>D149*E149</f>
        <v>39519326.219999999</v>
      </c>
      <c r="G149" s="262">
        <v>1150</v>
      </c>
      <c r="H149" s="218"/>
      <c r="I149" s="220">
        <v>34364.631495652175</v>
      </c>
      <c r="J149" s="221"/>
      <c r="K149" s="153">
        <f t="shared" si="53"/>
        <v>39830.888526309151</v>
      </c>
      <c r="L149" s="155">
        <f>K149-I149</f>
        <v>5466.257030656976</v>
      </c>
      <c r="M149" s="232">
        <f>IFERROR(L149/I149,0)</f>
        <v>0.15906636540969657</v>
      </c>
      <c r="N149" s="223"/>
      <c r="O149" s="260"/>
      <c r="P149" s="260">
        <v>34364.631495652175</v>
      </c>
      <c r="Q149" s="260"/>
      <c r="R149" s="260"/>
      <c r="S149" s="159"/>
      <c r="T149" s="260">
        <v>0</v>
      </c>
      <c r="U149" s="260">
        <v>39830.888526309151</v>
      </c>
      <c r="V149" s="260">
        <v>0</v>
      </c>
      <c r="W149" s="260">
        <v>0</v>
      </c>
      <c r="Y149" s="155">
        <f t="shared" si="60"/>
        <v>0</v>
      </c>
      <c r="Z149" s="155">
        <f t="shared" si="60"/>
        <v>5466.257030656976</v>
      </c>
      <c r="AA149" s="155">
        <f t="shared" si="60"/>
        <v>0</v>
      </c>
      <c r="AB149" s="155">
        <f t="shared" si="60"/>
        <v>0</v>
      </c>
      <c r="AD149" s="156">
        <f t="shared" si="61"/>
        <v>0</v>
      </c>
      <c r="AE149" s="156">
        <f t="shared" si="61"/>
        <v>0.15906636540969657</v>
      </c>
      <c r="AF149" s="156">
        <f t="shared" si="61"/>
        <v>0</v>
      </c>
      <c r="AG149" s="156">
        <f t="shared" si="61"/>
        <v>0</v>
      </c>
    </row>
    <row r="150" spans="1:33" s="271" customFormat="1" ht="15" customHeight="1" x14ac:dyDescent="0.3">
      <c r="A150" s="265"/>
      <c r="B150" s="266" t="s">
        <v>18</v>
      </c>
      <c r="C150" s="266"/>
      <c r="D150" s="266"/>
      <c r="E150" s="266"/>
      <c r="F150" s="266"/>
      <c r="G150" s="266"/>
      <c r="H150" s="266"/>
      <c r="I150" s="267"/>
      <c r="J150" s="268"/>
      <c r="K150" s="267"/>
      <c r="L150" s="269"/>
      <c r="M150" s="257"/>
      <c r="N150" s="223"/>
      <c r="O150" s="257"/>
      <c r="P150" s="257"/>
      <c r="Q150" s="257"/>
      <c r="R150" s="257"/>
      <c r="S150" s="270"/>
      <c r="T150" s="257"/>
      <c r="U150" s="257"/>
      <c r="V150" s="257"/>
      <c r="W150" s="257"/>
      <c r="X150" s="270"/>
      <c r="Y150" s="257"/>
      <c r="Z150" s="257"/>
      <c r="AA150" s="257"/>
      <c r="AB150" s="257"/>
      <c r="AC150" s="270"/>
      <c r="AD150" s="257"/>
      <c r="AE150" s="257"/>
      <c r="AF150" s="257"/>
      <c r="AG150" s="257"/>
    </row>
    <row r="151" spans="1:33" s="271" customFormat="1" ht="15" customHeight="1" x14ac:dyDescent="0.3">
      <c r="A151" s="265"/>
      <c r="B151" s="272" t="s">
        <v>208</v>
      </c>
      <c r="C151" s="273" t="s">
        <v>209</v>
      </c>
      <c r="D151" s="274">
        <v>24</v>
      </c>
      <c r="E151" s="274">
        <v>4583.333333333333</v>
      </c>
      <c r="F151" s="274"/>
      <c r="G151" s="274"/>
      <c r="H151" s="274">
        <f>D151*E151</f>
        <v>110000</v>
      </c>
      <c r="I151" s="275">
        <v>110000</v>
      </c>
      <c r="J151" s="276"/>
      <c r="K151" s="153">
        <f t="shared" si="53"/>
        <v>103600.87000000008</v>
      </c>
      <c r="L151" s="155">
        <f t="shared" si="54"/>
        <v>-6399.1299999999173</v>
      </c>
      <c r="M151" s="277">
        <f t="shared" si="59"/>
        <v>-5.8173909090908339E-2</v>
      </c>
      <c r="N151" s="223"/>
      <c r="O151" s="278">
        <v>27500</v>
      </c>
      <c r="P151" s="278">
        <v>27500</v>
      </c>
      <c r="Q151" s="278">
        <v>27500</v>
      </c>
      <c r="R151" s="278">
        <v>27500</v>
      </c>
      <c r="S151" s="270"/>
      <c r="T151" s="278">
        <v>25900.217500000021</v>
      </c>
      <c r="U151" s="278">
        <v>25900.217500000021</v>
      </c>
      <c r="V151" s="278">
        <v>25900.217500000021</v>
      </c>
      <c r="W151" s="278">
        <v>25900.217500000021</v>
      </c>
      <c r="X151" s="270"/>
      <c r="Y151" s="155">
        <f t="shared" ref="Y151:AB151" si="62">T151-O151</f>
        <v>-1599.7824999999793</v>
      </c>
      <c r="Z151" s="155">
        <f t="shared" si="62"/>
        <v>-1599.7824999999793</v>
      </c>
      <c r="AA151" s="155">
        <f t="shared" si="62"/>
        <v>-1599.7824999999793</v>
      </c>
      <c r="AB151" s="155">
        <f t="shared" si="62"/>
        <v>-1599.7824999999793</v>
      </c>
      <c r="AC151" s="270"/>
      <c r="AD151" s="156">
        <f t="shared" ref="AD151:AG151" si="63">IFERROR(Y151/O151,0)</f>
        <v>-5.8173909090908339E-2</v>
      </c>
      <c r="AE151" s="156">
        <f t="shared" si="63"/>
        <v>-5.8173909090908339E-2</v>
      </c>
      <c r="AF151" s="156">
        <f t="shared" si="63"/>
        <v>-5.8173909090908339E-2</v>
      </c>
      <c r="AG151" s="156">
        <f t="shared" si="63"/>
        <v>-5.8173909090908339E-2</v>
      </c>
    </row>
    <row r="152" spans="1:33" s="271" customFormat="1" ht="15" customHeight="1" x14ac:dyDescent="0.3">
      <c r="A152" s="279"/>
      <c r="B152" s="280" t="s">
        <v>210</v>
      </c>
      <c r="C152" s="280"/>
      <c r="D152" s="280"/>
      <c r="E152" s="280"/>
      <c r="F152" s="280"/>
      <c r="G152" s="280"/>
      <c r="H152" s="280"/>
      <c r="I152" s="281"/>
      <c r="J152" s="268"/>
      <c r="K152" s="281"/>
      <c r="L152" s="282"/>
      <c r="M152" s="283"/>
      <c r="N152" s="223"/>
      <c r="O152" s="257"/>
      <c r="P152" s="257"/>
      <c r="Q152" s="257"/>
      <c r="R152" s="257"/>
      <c r="S152" s="270"/>
      <c r="T152" s="257"/>
      <c r="U152" s="257"/>
      <c r="V152" s="257"/>
      <c r="W152" s="257"/>
      <c r="X152" s="270"/>
      <c r="Y152" s="257"/>
      <c r="Z152" s="257"/>
      <c r="AA152" s="257"/>
      <c r="AB152" s="257"/>
      <c r="AC152" s="270"/>
      <c r="AD152" s="257"/>
      <c r="AE152" s="257"/>
      <c r="AF152" s="257"/>
      <c r="AG152" s="257"/>
    </row>
    <row r="153" spans="1:33" s="207" customFormat="1" ht="15" customHeight="1" x14ac:dyDescent="0.3">
      <c r="A153" s="284"/>
      <c r="B153" s="198" t="s">
        <v>211</v>
      </c>
      <c r="C153" s="273" t="s">
        <v>212</v>
      </c>
      <c r="D153" s="274">
        <v>147.4</v>
      </c>
      <c r="E153" s="274">
        <v>48</v>
      </c>
      <c r="F153" s="274"/>
      <c r="G153" s="274"/>
      <c r="H153" s="274">
        <f>D153*E153</f>
        <v>7075.2000000000007</v>
      </c>
      <c r="I153" s="174">
        <v>0</v>
      </c>
      <c r="J153" s="175"/>
      <c r="K153" s="153">
        <f t="shared" si="53"/>
        <v>0</v>
      </c>
      <c r="L153" s="155">
        <f t="shared" si="54"/>
        <v>0</v>
      </c>
      <c r="M153" s="156">
        <f t="shared" si="59"/>
        <v>0</v>
      </c>
      <c r="N153" s="223"/>
      <c r="O153" s="158">
        <v>0</v>
      </c>
      <c r="P153" s="158">
        <v>0</v>
      </c>
      <c r="Q153" s="158">
        <v>0</v>
      </c>
      <c r="R153" s="158">
        <v>0</v>
      </c>
      <c r="S153" s="208"/>
      <c r="T153" s="158"/>
      <c r="U153" s="158"/>
      <c r="V153" s="158"/>
      <c r="W153" s="158"/>
      <c r="X153" s="208"/>
      <c r="Y153" s="155">
        <f t="shared" ref="Y153:AB166" si="64">T153-O153</f>
        <v>0</v>
      </c>
      <c r="Z153" s="155">
        <f t="shared" si="64"/>
        <v>0</v>
      </c>
      <c r="AA153" s="155">
        <f t="shared" si="64"/>
        <v>0</v>
      </c>
      <c r="AB153" s="155">
        <f t="shared" si="64"/>
        <v>0</v>
      </c>
      <c r="AC153" s="208"/>
      <c r="AD153" s="156">
        <f t="shared" ref="AD153:AG166" si="65">IFERROR(Y153/O153,0)</f>
        <v>0</v>
      </c>
      <c r="AE153" s="156">
        <f t="shared" si="65"/>
        <v>0</v>
      </c>
      <c r="AF153" s="156">
        <f t="shared" si="65"/>
        <v>0</v>
      </c>
      <c r="AG153" s="156">
        <f t="shared" si="65"/>
        <v>0</v>
      </c>
    </row>
    <row r="154" spans="1:33" s="207" customFormat="1" ht="15" customHeight="1" x14ac:dyDescent="0.3">
      <c r="A154" s="284"/>
      <c r="B154" s="198" t="s">
        <v>213</v>
      </c>
      <c r="C154" s="273"/>
      <c r="D154" s="274"/>
      <c r="E154" s="274"/>
      <c r="F154" s="274"/>
      <c r="G154" s="274"/>
      <c r="H154" s="274"/>
      <c r="I154" s="275">
        <v>0</v>
      </c>
      <c r="J154" s="276"/>
      <c r="K154" s="153">
        <f t="shared" si="53"/>
        <v>0</v>
      </c>
      <c r="L154" s="155">
        <f t="shared" si="54"/>
        <v>0</v>
      </c>
      <c r="M154" s="277">
        <f t="shared" si="59"/>
        <v>0</v>
      </c>
      <c r="N154" s="223"/>
      <c r="O154" s="277"/>
      <c r="P154" s="278">
        <v>0</v>
      </c>
      <c r="Q154" s="277"/>
      <c r="R154" s="277"/>
      <c r="S154" s="208"/>
      <c r="T154" s="277"/>
      <c r="U154" s="277"/>
      <c r="V154" s="277"/>
      <c r="W154" s="277"/>
      <c r="X154" s="208"/>
      <c r="Y154" s="155">
        <f t="shared" si="64"/>
        <v>0</v>
      </c>
      <c r="Z154" s="155">
        <f t="shared" si="64"/>
        <v>0</v>
      </c>
      <c r="AA154" s="155">
        <f t="shared" si="64"/>
        <v>0</v>
      </c>
      <c r="AB154" s="155">
        <f t="shared" si="64"/>
        <v>0</v>
      </c>
      <c r="AC154" s="208"/>
      <c r="AD154" s="156">
        <f t="shared" si="65"/>
        <v>0</v>
      </c>
      <c r="AE154" s="156">
        <f t="shared" si="65"/>
        <v>0</v>
      </c>
      <c r="AF154" s="156">
        <f t="shared" si="65"/>
        <v>0</v>
      </c>
      <c r="AG154" s="156">
        <f t="shared" si="65"/>
        <v>0</v>
      </c>
    </row>
    <row r="155" spans="1:33" s="294" customFormat="1" ht="15" customHeight="1" x14ac:dyDescent="0.3">
      <c r="A155" s="286"/>
      <c r="B155" s="287" t="s">
        <v>214</v>
      </c>
      <c r="C155" s="288" t="s">
        <v>215</v>
      </c>
      <c r="D155" s="289">
        <v>24</v>
      </c>
      <c r="E155" s="289">
        <v>870.85</v>
      </c>
      <c r="F155" s="289"/>
      <c r="G155" s="289"/>
      <c r="H155" s="289">
        <f>D155*E155</f>
        <v>20900.400000000001</v>
      </c>
      <c r="I155" s="290">
        <v>20900.400000000001</v>
      </c>
      <c r="J155" s="276"/>
      <c r="K155" s="153">
        <f t="shared" si="53"/>
        <v>20096.54</v>
      </c>
      <c r="L155" s="155">
        <f t="shared" si="54"/>
        <v>-803.86000000000058</v>
      </c>
      <c r="M155" s="291">
        <f t="shared" si="59"/>
        <v>-3.8461464852347346E-2</v>
      </c>
      <c r="N155" s="285"/>
      <c r="O155" s="292">
        <v>5225.1000000000004</v>
      </c>
      <c r="P155" s="292">
        <v>5225.1000000000004</v>
      </c>
      <c r="Q155" s="292">
        <v>5225.1000000000004</v>
      </c>
      <c r="R155" s="292">
        <v>5225.1000000000004</v>
      </c>
      <c r="S155" s="293"/>
      <c r="T155" s="292">
        <v>5024.1350000000002</v>
      </c>
      <c r="U155" s="292">
        <v>5024.1350000000002</v>
      </c>
      <c r="V155" s="292">
        <v>5024.1350000000002</v>
      </c>
      <c r="W155" s="292">
        <v>5024.1350000000002</v>
      </c>
      <c r="X155" s="293"/>
      <c r="Y155" s="155">
        <f t="shared" si="64"/>
        <v>-200.96500000000015</v>
      </c>
      <c r="Z155" s="155">
        <f t="shared" si="64"/>
        <v>-200.96500000000015</v>
      </c>
      <c r="AA155" s="155">
        <f t="shared" si="64"/>
        <v>-200.96500000000015</v>
      </c>
      <c r="AB155" s="155">
        <f t="shared" si="64"/>
        <v>-200.96500000000015</v>
      </c>
      <c r="AC155" s="293"/>
      <c r="AD155" s="156">
        <f t="shared" si="65"/>
        <v>-3.8461464852347346E-2</v>
      </c>
      <c r="AE155" s="156">
        <f t="shared" si="65"/>
        <v>-3.8461464852347346E-2</v>
      </c>
      <c r="AF155" s="156">
        <f t="shared" si="65"/>
        <v>-3.8461464852347346E-2</v>
      </c>
      <c r="AG155" s="156">
        <f t="shared" si="65"/>
        <v>-3.8461464852347346E-2</v>
      </c>
    </row>
    <row r="156" spans="1:33" s="294" customFormat="1" ht="15" customHeight="1" x14ac:dyDescent="0.3">
      <c r="A156" s="295"/>
      <c r="B156" s="296" t="s">
        <v>216</v>
      </c>
      <c r="C156" s="297" t="s">
        <v>215</v>
      </c>
      <c r="D156" s="298">
        <v>24</v>
      </c>
      <c r="E156" s="298">
        <v>771.77</v>
      </c>
      <c r="F156" s="298"/>
      <c r="G156" s="298"/>
      <c r="H156" s="298">
        <f t="shared" ref="H156:H164" si="66">D156*E156</f>
        <v>18522.48</v>
      </c>
      <c r="I156" s="299">
        <v>18522.48</v>
      </c>
      <c r="J156" s="276"/>
      <c r="K156" s="153">
        <f t="shared" si="53"/>
        <v>15672.869999999999</v>
      </c>
      <c r="L156" s="155">
        <f t="shared" si="54"/>
        <v>-2849.6100000000006</v>
      </c>
      <c r="M156" s="300">
        <f t="shared" si="59"/>
        <v>-0.15384602925742127</v>
      </c>
      <c r="N156" s="285"/>
      <c r="O156" s="292">
        <v>4630.62</v>
      </c>
      <c r="P156" s="292">
        <v>4630.62</v>
      </c>
      <c r="Q156" s="292">
        <v>4630.62</v>
      </c>
      <c r="R156" s="292">
        <v>4630.62</v>
      </c>
      <c r="S156" s="293"/>
      <c r="T156" s="292">
        <v>3918.2174999999997</v>
      </c>
      <c r="U156" s="292">
        <v>3918.2174999999997</v>
      </c>
      <c r="V156" s="292">
        <v>3918.2174999999997</v>
      </c>
      <c r="W156" s="292">
        <v>3918.2174999999997</v>
      </c>
      <c r="X156" s="293"/>
      <c r="Y156" s="155">
        <f t="shared" si="64"/>
        <v>-712.40250000000015</v>
      </c>
      <c r="Z156" s="155">
        <f t="shared" si="64"/>
        <v>-712.40250000000015</v>
      </c>
      <c r="AA156" s="155">
        <f t="shared" si="64"/>
        <v>-712.40250000000015</v>
      </c>
      <c r="AB156" s="155">
        <f t="shared" si="64"/>
        <v>-712.40250000000015</v>
      </c>
      <c r="AC156" s="293"/>
      <c r="AD156" s="156">
        <f t="shared" si="65"/>
        <v>-0.15384602925742127</v>
      </c>
      <c r="AE156" s="156">
        <f t="shared" si="65"/>
        <v>-0.15384602925742127</v>
      </c>
      <c r="AF156" s="156">
        <f t="shared" si="65"/>
        <v>-0.15384602925742127</v>
      </c>
      <c r="AG156" s="156">
        <f t="shared" si="65"/>
        <v>-0.15384602925742127</v>
      </c>
    </row>
    <row r="157" spans="1:33" s="294" customFormat="1" ht="15" customHeight="1" x14ac:dyDescent="0.3">
      <c r="A157" s="265"/>
      <c r="B157" s="296" t="s">
        <v>217</v>
      </c>
      <c r="C157" s="288" t="s">
        <v>215</v>
      </c>
      <c r="D157" s="289">
        <v>24</v>
      </c>
      <c r="E157" s="289">
        <v>931.5</v>
      </c>
      <c r="F157" s="289"/>
      <c r="G157" s="289"/>
      <c r="H157" s="289">
        <f t="shared" si="66"/>
        <v>22356</v>
      </c>
      <c r="I157" s="290">
        <v>22356</v>
      </c>
      <c r="J157" s="276"/>
      <c r="K157" s="153">
        <f t="shared" si="53"/>
        <v>15556.29</v>
      </c>
      <c r="L157" s="155">
        <f t="shared" si="54"/>
        <v>-6799.7099999999991</v>
      </c>
      <c r="M157" s="291">
        <f t="shared" si="59"/>
        <v>-0.3041559312936124</v>
      </c>
      <c r="N157" s="285"/>
      <c r="O157" s="292">
        <v>5589</v>
      </c>
      <c r="P157" s="292">
        <v>5589</v>
      </c>
      <c r="Q157" s="292">
        <v>5589</v>
      </c>
      <c r="R157" s="292">
        <v>5589</v>
      </c>
      <c r="S157" s="293"/>
      <c r="T157" s="292">
        <v>3889.0725000000002</v>
      </c>
      <c r="U157" s="292">
        <v>3889.0725000000002</v>
      </c>
      <c r="V157" s="292">
        <v>3889.0725000000002</v>
      </c>
      <c r="W157" s="292">
        <v>3889.0725000000002</v>
      </c>
      <c r="X157" s="293"/>
      <c r="Y157" s="155">
        <f t="shared" si="64"/>
        <v>-1699.9274999999998</v>
      </c>
      <c r="Z157" s="155">
        <f t="shared" si="64"/>
        <v>-1699.9274999999998</v>
      </c>
      <c r="AA157" s="155">
        <f t="shared" si="64"/>
        <v>-1699.9274999999998</v>
      </c>
      <c r="AB157" s="155">
        <f t="shared" si="64"/>
        <v>-1699.9274999999998</v>
      </c>
      <c r="AC157" s="293"/>
      <c r="AD157" s="156">
        <f t="shared" si="65"/>
        <v>-0.3041559312936124</v>
      </c>
      <c r="AE157" s="156">
        <f t="shared" si="65"/>
        <v>-0.3041559312936124</v>
      </c>
      <c r="AF157" s="156">
        <f t="shared" si="65"/>
        <v>-0.3041559312936124</v>
      </c>
      <c r="AG157" s="156">
        <f t="shared" si="65"/>
        <v>-0.3041559312936124</v>
      </c>
    </row>
    <row r="158" spans="1:33" s="294" customFormat="1" ht="15" customHeight="1" x14ac:dyDescent="0.3">
      <c r="A158" s="265"/>
      <c r="B158" s="296" t="s">
        <v>218</v>
      </c>
      <c r="C158" s="288" t="s">
        <v>215</v>
      </c>
      <c r="D158" s="289">
        <v>24</v>
      </c>
      <c r="E158" s="289">
        <v>432.98</v>
      </c>
      <c r="F158" s="289"/>
      <c r="G158" s="289"/>
      <c r="H158" s="289">
        <f t="shared" si="66"/>
        <v>10391.52</v>
      </c>
      <c r="I158" s="290">
        <v>10391.52</v>
      </c>
      <c r="J158" s="276"/>
      <c r="K158" s="153">
        <f t="shared" si="53"/>
        <v>15990.270000000002</v>
      </c>
      <c r="L158" s="155">
        <f t="shared" si="54"/>
        <v>5598.7500000000018</v>
      </c>
      <c r="M158" s="291">
        <f t="shared" si="59"/>
        <v>0.53878065961476296</v>
      </c>
      <c r="N158" s="285"/>
      <c r="O158" s="292">
        <v>2597.88</v>
      </c>
      <c r="P158" s="292">
        <v>2597.88</v>
      </c>
      <c r="Q158" s="292">
        <v>2597.88</v>
      </c>
      <c r="R158" s="292">
        <v>2597.88</v>
      </c>
      <c r="S158" s="293"/>
      <c r="T158" s="292">
        <v>3997.5675000000006</v>
      </c>
      <c r="U158" s="292">
        <v>3997.5675000000006</v>
      </c>
      <c r="V158" s="292">
        <v>3997.5675000000006</v>
      </c>
      <c r="W158" s="292">
        <v>3997.5675000000006</v>
      </c>
      <c r="X158" s="293"/>
      <c r="Y158" s="155">
        <f t="shared" si="64"/>
        <v>1399.6875000000005</v>
      </c>
      <c r="Z158" s="155">
        <f t="shared" si="64"/>
        <v>1399.6875000000005</v>
      </c>
      <c r="AA158" s="155">
        <f t="shared" si="64"/>
        <v>1399.6875000000005</v>
      </c>
      <c r="AB158" s="155">
        <f t="shared" si="64"/>
        <v>1399.6875000000005</v>
      </c>
      <c r="AC158" s="293"/>
      <c r="AD158" s="156">
        <f t="shared" si="65"/>
        <v>0.53878065961476296</v>
      </c>
      <c r="AE158" s="156">
        <f t="shared" si="65"/>
        <v>0.53878065961476296</v>
      </c>
      <c r="AF158" s="156">
        <f t="shared" si="65"/>
        <v>0.53878065961476296</v>
      </c>
      <c r="AG158" s="156">
        <f t="shared" si="65"/>
        <v>0.53878065961476296</v>
      </c>
    </row>
    <row r="159" spans="1:33" s="294" customFormat="1" ht="15" customHeight="1" x14ac:dyDescent="0.3">
      <c r="A159" s="265"/>
      <c r="B159" s="296" t="s">
        <v>219</v>
      </c>
      <c r="C159" s="288" t="s">
        <v>215</v>
      </c>
      <c r="D159" s="289">
        <v>24</v>
      </c>
      <c r="E159" s="289">
        <v>532.72</v>
      </c>
      <c r="F159" s="289"/>
      <c r="G159" s="289"/>
      <c r="H159" s="289">
        <f t="shared" si="66"/>
        <v>12785.28</v>
      </c>
      <c r="I159" s="290">
        <v>12785.28</v>
      </c>
      <c r="J159" s="276"/>
      <c r="K159" s="153">
        <f t="shared" si="53"/>
        <v>14322.410000000002</v>
      </c>
      <c r="L159" s="155">
        <f t="shared" si="54"/>
        <v>1537.130000000001</v>
      </c>
      <c r="M159" s="291">
        <f t="shared" si="59"/>
        <v>0.12022654177303907</v>
      </c>
      <c r="N159" s="285"/>
      <c r="O159" s="292">
        <v>3196.32</v>
      </c>
      <c r="P159" s="292">
        <v>3196.32</v>
      </c>
      <c r="Q159" s="292">
        <v>3196.32</v>
      </c>
      <c r="R159" s="292">
        <v>3196.32</v>
      </c>
      <c r="S159" s="293"/>
      <c r="T159" s="292">
        <v>3580.6025000000004</v>
      </c>
      <c r="U159" s="292">
        <v>3580.6025000000004</v>
      </c>
      <c r="V159" s="292">
        <v>3580.6025000000004</v>
      </c>
      <c r="W159" s="292">
        <v>3580.6025000000004</v>
      </c>
      <c r="X159" s="293"/>
      <c r="Y159" s="155">
        <f t="shared" si="64"/>
        <v>384.28250000000025</v>
      </c>
      <c r="Z159" s="155">
        <f t="shared" si="64"/>
        <v>384.28250000000025</v>
      </c>
      <c r="AA159" s="155">
        <f t="shared" si="64"/>
        <v>384.28250000000025</v>
      </c>
      <c r="AB159" s="155">
        <f t="shared" si="64"/>
        <v>384.28250000000025</v>
      </c>
      <c r="AC159" s="293"/>
      <c r="AD159" s="156">
        <f t="shared" si="65"/>
        <v>0.12022654177303907</v>
      </c>
      <c r="AE159" s="156">
        <f t="shared" si="65"/>
        <v>0.12022654177303907</v>
      </c>
      <c r="AF159" s="156">
        <f t="shared" si="65"/>
        <v>0.12022654177303907</v>
      </c>
      <c r="AG159" s="156">
        <f t="shared" si="65"/>
        <v>0.12022654177303907</v>
      </c>
    </row>
    <row r="160" spans="1:33" s="294" customFormat="1" ht="15" customHeight="1" x14ac:dyDescent="0.3">
      <c r="A160" s="265"/>
      <c r="B160" s="296" t="s">
        <v>220</v>
      </c>
      <c r="C160" s="288" t="s">
        <v>215</v>
      </c>
      <c r="D160" s="289">
        <v>24</v>
      </c>
      <c r="E160" s="289">
        <v>146.65</v>
      </c>
      <c r="F160" s="289"/>
      <c r="G160" s="289"/>
      <c r="H160" s="289">
        <f t="shared" si="66"/>
        <v>3519.6000000000004</v>
      </c>
      <c r="I160" s="290">
        <v>3519.6000000000004</v>
      </c>
      <c r="J160" s="276"/>
      <c r="K160" s="153">
        <f t="shared" si="53"/>
        <v>3519.6</v>
      </c>
      <c r="L160" s="155">
        <f t="shared" si="54"/>
        <v>0</v>
      </c>
      <c r="M160" s="291">
        <f t="shared" si="59"/>
        <v>0</v>
      </c>
      <c r="N160" s="285"/>
      <c r="O160" s="292">
        <v>879.90000000000009</v>
      </c>
      <c r="P160" s="292">
        <v>879.90000000000009</v>
      </c>
      <c r="Q160" s="292">
        <v>879.90000000000009</v>
      </c>
      <c r="R160" s="292">
        <v>879.90000000000009</v>
      </c>
      <c r="S160" s="293"/>
      <c r="T160" s="292">
        <v>879.9</v>
      </c>
      <c r="U160" s="292">
        <v>879.9</v>
      </c>
      <c r="V160" s="292">
        <v>879.9</v>
      </c>
      <c r="W160" s="292">
        <v>879.9</v>
      </c>
      <c r="X160" s="293"/>
      <c r="Y160" s="155">
        <f t="shared" si="64"/>
        <v>0</v>
      </c>
      <c r="Z160" s="155">
        <f t="shared" si="64"/>
        <v>0</v>
      </c>
      <c r="AA160" s="155">
        <f t="shared" si="64"/>
        <v>0</v>
      </c>
      <c r="AB160" s="155">
        <f t="shared" si="64"/>
        <v>0</v>
      </c>
      <c r="AC160" s="293"/>
      <c r="AD160" s="156">
        <f t="shared" si="65"/>
        <v>0</v>
      </c>
      <c r="AE160" s="156">
        <f t="shared" si="65"/>
        <v>0</v>
      </c>
      <c r="AF160" s="156">
        <f t="shared" si="65"/>
        <v>0</v>
      </c>
      <c r="AG160" s="156">
        <f t="shared" si="65"/>
        <v>0</v>
      </c>
    </row>
    <row r="161" spans="1:33" s="294" customFormat="1" ht="15" customHeight="1" x14ac:dyDescent="0.3">
      <c r="A161" s="265"/>
      <c r="B161" s="296" t="s">
        <v>221</v>
      </c>
      <c r="C161" s="288" t="s">
        <v>215</v>
      </c>
      <c r="D161" s="289">
        <v>24</v>
      </c>
      <c r="E161" s="289">
        <v>193.28</v>
      </c>
      <c r="F161" s="289"/>
      <c r="G161" s="289"/>
      <c r="H161" s="289">
        <f t="shared" si="66"/>
        <v>4638.72</v>
      </c>
      <c r="I161" s="290">
        <v>4638.72</v>
      </c>
      <c r="J161" s="276"/>
      <c r="K161" s="153">
        <f t="shared" si="53"/>
        <v>966.39999999999986</v>
      </c>
      <c r="L161" s="155">
        <f t="shared" si="54"/>
        <v>-3672.3200000000006</v>
      </c>
      <c r="M161" s="291">
        <f t="shared" si="59"/>
        <v>-0.79166666666666674</v>
      </c>
      <c r="N161" s="285"/>
      <c r="O161" s="292">
        <v>1159.68</v>
      </c>
      <c r="P161" s="292">
        <v>1159.68</v>
      </c>
      <c r="Q161" s="292">
        <v>1159.68</v>
      </c>
      <c r="R161" s="292">
        <v>1159.68</v>
      </c>
      <c r="S161" s="293"/>
      <c r="T161" s="292">
        <v>241.59999999999997</v>
      </c>
      <c r="U161" s="292">
        <v>241.59999999999997</v>
      </c>
      <c r="V161" s="292">
        <v>241.59999999999997</v>
      </c>
      <c r="W161" s="292">
        <v>241.59999999999997</v>
      </c>
      <c r="X161" s="293"/>
      <c r="Y161" s="155">
        <f t="shared" si="64"/>
        <v>-918.08000000000015</v>
      </c>
      <c r="Z161" s="155">
        <f t="shared" si="64"/>
        <v>-918.08000000000015</v>
      </c>
      <c r="AA161" s="155">
        <f t="shared" si="64"/>
        <v>-918.08000000000015</v>
      </c>
      <c r="AB161" s="155">
        <f t="shared" si="64"/>
        <v>-918.08000000000015</v>
      </c>
      <c r="AC161" s="293"/>
      <c r="AD161" s="156">
        <f t="shared" si="65"/>
        <v>-0.79166666666666674</v>
      </c>
      <c r="AE161" s="156">
        <f t="shared" si="65"/>
        <v>-0.79166666666666674</v>
      </c>
      <c r="AF161" s="156">
        <f t="shared" si="65"/>
        <v>-0.79166666666666674</v>
      </c>
      <c r="AG161" s="156">
        <f t="shared" si="65"/>
        <v>-0.79166666666666674</v>
      </c>
    </row>
    <row r="162" spans="1:33" s="294" customFormat="1" ht="15" customHeight="1" x14ac:dyDescent="0.3">
      <c r="A162" s="265"/>
      <c r="B162" s="296" t="s">
        <v>222</v>
      </c>
      <c r="C162" s="288" t="s">
        <v>215</v>
      </c>
      <c r="D162" s="289">
        <v>24</v>
      </c>
      <c r="E162" s="289">
        <v>358.01</v>
      </c>
      <c r="F162" s="289"/>
      <c r="G162" s="289"/>
      <c r="H162" s="289">
        <f t="shared" si="66"/>
        <v>8592.24</v>
      </c>
      <c r="I162" s="290">
        <v>8592.24</v>
      </c>
      <c r="J162" s="276"/>
      <c r="K162" s="153">
        <f t="shared" si="53"/>
        <v>8330.6200000000008</v>
      </c>
      <c r="L162" s="155">
        <f t="shared" si="54"/>
        <v>-261.61999999999898</v>
      </c>
      <c r="M162" s="291">
        <f t="shared" si="59"/>
        <v>-3.0448404606947546E-2</v>
      </c>
      <c r="N162" s="285"/>
      <c r="O162" s="292">
        <v>2148.06</v>
      </c>
      <c r="P162" s="292">
        <v>2148.06</v>
      </c>
      <c r="Q162" s="292">
        <v>2148.06</v>
      </c>
      <c r="R162" s="292">
        <v>2148.06</v>
      </c>
      <c r="S162" s="293"/>
      <c r="T162" s="292">
        <v>2082.6550000000002</v>
      </c>
      <c r="U162" s="292">
        <v>2082.6550000000002</v>
      </c>
      <c r="V162" s="292">
        <v>2082.6550000000002</v>
      </c>
      <c r="W162" s="292">
        <v>2082.6550000000002</v>
      </c>
      <c r="X162" s="293"/>
      <c r="Y162" s="155">
        <f t="shared" si="64"/>
        <v>-65.404999999999745</v>
      </c>
      <c r="Z162" s="155">
        <f t="shared" si="64"/>
        <v>-65.404999999999745</v>
      </c>
      <c r="AA162" s="155">
        <f t="shared" si="64"/>
        <v>-65.404999999999745</v>
      </c>
      <c r="AB162" s="155">
        <f t="shared" si="64"/>
        <v>-65.404999999999745</v>
      </c>
      <c r="AC162" s="293"/>
      <c r="AD162" s="156">
        <f t="shared" si="65"/>
        <v>-3.0448404606947546E-2</v>
      </c>
      <c r="AE162" s="156">
        <f t="shared" si="65"/>
        <v>-3.0448404606947546E-2</v>
      </c>
      <c r="AF162" s="156">
        <f t="shared" si="65"/>
        <v>-3.0448404606947546E-2</v>
      </c>
      <c r="AG162" s="156">
        <f t="shared" si="65"/>
        <v>-3.0448404606947546E-2</v>
      </c>
    </row>
    <row r="163" spans="1:33" s="294" customFormat="1" ht="15" customHeight="1" x14ac:dyDescent="0.3">
      <c r="A163" s="265"/>
      <c r="B163" s="296" t="s">
        <v>223</v>
      </c>
      <c r="C163" s="288" t="s">
        <v>215</v>
      </c>
      <c r="D163" s="289">
        <v>24</v>
      </c>
      <c r="E163" s="289">
        <v>414.62</v>
      </c>
      <c r="F163" s="289"/>
      <c r="G163" s="289"/>
      <c r="H163" s="289">
        <f t="shared" si="66"/>
        <v>9950.880000000001</v>
      </c>
      <c r="I163" s="290">
        <v>9950.880000000001</v>
      </c>
      <c r="J163" s="276"/>
      <c r="K163" s="153">
        <f t="shared" si="53"/>
        <v>21509.46</v>
      </c>
      <c r="L163" s="155">
        <f t="shared" si="54"/>
        <v>11558.579999999998</v>
      </c>
      <c r="M163" s="291">
        <f t="shared" si="59"/>
        <v>1.1615636004051899</v>
      </c>
      <c r="N163" s="285"/>
      <c r="O163" s="292">
        <v>2487.7200000000003</v>
      </c>
      <c r="P163" s="292">
        <v>2487.7200000000003</v>
      </c>
      <c r="Q163" s="292">
        <v>2487.7200000000003</v>
      </c>
      <c r="R163" s="292">
        <v>2487.7200000000003</v>
      </c>
      <c r="S163" s="293"/>
      <c r="T163" s="292">
        <v>5377.3649999999998</v>
      </c>
      <c r="U163" s="292">
        <v>5377.3649999999998</v>
      </c>
      <c r="V163" s="292">
        <v>5377.3649999999998</v>
      </c>
      <c r="W163" s="292">
        <v>5377.3649999999998</v>
      </c>
      <c r="X163" s="293"/>
      <c r="Y163" s="155">
        <f t="shared" si="64"/>
        <v>2889.6449999999995</v>
      </c>
      <c r="Z163" s="155">
        <f t="shared" si="64"/>
        <v>2889.6449999999995</v>
      </c>
      <c r="AA163" s="155">
        <f t="shared" si="64"/>
        <v>2889.6449999999995</v>
      </c>
      <c r="AB163" s="155">
        <f t="shared" si="64"/>
        <v>2889.6449999999995</v>
      </c>
      <c r="AC163" s="293"/>
      <c r="AD163" s="156">
        <f t="shared" si="65"/>
        <v>1.1615636004051899</v>
      </c>
      <c r="AE163" s="156">
        <f t="shared" si="65"/>
        <v>1.1615636004051899</v>
      </c>
      <c r="AF163" s="156">
        <f t="shared" si="65"/>
        <v>1.1615636004051899</v>
      </c>
      <c r="AG163" s="156">
        <f t="shared" si="65"/>
        <v>1.1615636004051899</v>
      </c>
    </row>
    <row r="164" spans="1:33" s="294" customFormat="1" ht="15" customHeight="1" x14ac:dyDescent="0.3">
      <c r="A164" s="265"/>
      <c r="B164" s="296" t="s">
        <v>224</v>
      </c>
      <c r="C164" s="288" t="s">
        <v>215</v>
      </c>
      <c r="D164" s="289">
        <v>24</v>
      </c>
      <c r="E164" s="289">
        <v>199.63</v>
      </c>
      <c r="F164" s="289"/>
      <c r="G164" s="289"/>
      <c r="H164" s="289">
        <f t="shared" si="66"/>
        <v>4791.12</v>
      </c>
      <c r="I164" s="290">
        <v>4791.12</v>
      </c>
      <c r="J164" s="276"/>
      <c r="K164" s="153">
        <f t="shared" si="53"/>
        <v>4645.24</v>
      </c>
      <c r="L164" s="155">
        <f t="shared" si="54"/>
        <v>-145.88000000000011</v>
      </c>
      <c r="M164" s="291">
        <f t="shared" si="59"/>
        <v>-3.044799545826448E-2</v>
      </c>
      <c r="N164" s="285"/>
      <c r="O164" s="292">
        <v>1197.78</v>
      </c>
      <c r="P164" s="292">
        <v>1197.78</v>
      </c>
      <c r="Q164" s="292">
        <v>1197.78</v>
      </c>
      <c r="R164" s="292">
        <v>1197.78</v>
      </c>
      <c r="S164" s="293"/>
      <c r="T164" s="292">
        <v>1161.31</v>
      </c>
      <c r="U164" s="292">
        <v>1161.31</v>
      </c>
      <c r="V164" s="292">
        <v>1161.31</v>
      </c>
      <c r="W164" s="292">
        <v>1161.31</v>
      </c>
      <c r="X164" s="293"/>
      <c r="Y164" s="155">
        <f t="shared" si="64"/>
        <v>-36.470000000000027</v>
      </c>
      <c r="Z164" s="155">
        <f t="shared" si="64"/>
        <v>-36.470000000000027</v>
      </c>
      <c r="AA164" s="155">
        <f t="shared" si="64"/>
        <v>-36.470000000000027</v>
      </c>
      <c r="AB164" s="155">
        <f t="shared" si="64"/>
        <v>-36.470000000000027</v>
      </c>
      <c r="AC164" s="293"/>
      <c r="AD164" s="156">
        <f t="shared" si="65"/>
        <v>-3.044799545826448E-2</v>
      </c>
      <c r="AE164" s="156">
        <f t="shared" si="65"/>
        <v>-3.044799545826448E-2</v>
      </c>
      <c r="AF164" s="156">
        <f t="shared" si="65"/>
        <v>-3.044799545826448E-2</v>
      </c>
      <c r="AG164" s="156">
        <f t="shared" si="65"/>
        <v>-3.044799545826448E-2</v>
      </c>
    </row>
    <row r="165" spans="1:33" s="255" customFormat="1" ht="15" customHeight="1" x14ac:dyDescent="0.3">
      <c r="A165" s="265"/>
      <c r="B165" s="301" t="s">
        <v>20</v>
      </c>
      <c r="C165" s="161"/>
      <c r="D165" s="161"/>
      <c r="E165" s="161"/>
      <c r="F165" s="249">
        <f>SUM(F129:F147)</f>
        <v>192700109</v>
      </c>
      <c r="G165" s="249"/>
      <c r="H165" s="249">
        <f>SUM(H129:H164)</f>
        <v>417047.35333333333</v>
      </c>
      <c r="I165" s="250">
        <f>SUM(I129:I164)</f>
        <v>453778.58482898545</v>
      </c>
      <c r="J165" s="251"/>
      <c r="K165" s="250">
        <f>SUM(K129:K164)</f>
        <v>424921.18362714886</v>
      </c>
      <c r="L165" s="250">
        <f t="shared" si="54"/>
        <v>-28857.40120183659</v>
      </c>
      <c r="M165" s="252">
        <f t="shared" si="59"/>
        <v>-6.3593572210358967E-2</v>
      </c>
      <c r="N165" s="253"/>
      <c r="O165" s="302">
        <f>SUM(O129:O164)</f>
        <v>102493.03833333333</v>
      </c>
      <c r="P165" s="302">
        <f>SUM(P129:P164)</f>
        <v>146299.46982898549</v>
      </c>
      <c r="Q165" s="302">
        <f>SUM(Q129:Q164)</f>
        <v>102493.03833333333</v>
      </c>
      <c r="R165" s="302">
        <f>SUM(R129:R164)</f>
        <v>102493.03833333333</v>
      </c>
      <c r="S165" s="254"/>
      <c r="T165" s="302">
        <f>SUM(T129:T164)</f>
        <v>95219.120441454943</v>
      </c>
      <c r="U165" s="302">
        <f>SUM(U129:U164)</f>
        <v>139263.82230278401</v>
      </c>
      <c r="V165" s="302">
        <f>SUM(V129:V164)</f>
        <v>95219.120441454943</v>
      </c>
      <c r="W165" s="302">
        <f t="shared" ref="W165" si="67">SUM(W129:W164)</f>
        <v>95219.120441454943</v>
      </c>
      <c r="Y165" s="168">
        <f t="shared" si="64"/>
        <v>-7273.9178918783873</v>
      </c>
      <c r="Z165" s="168">
        <f t="shared" si="64"/>
        <v>-7035.6475262014719</v>
      </c>
      <c r="AA165" s="168">
        <f t="shared" si="64"/>
        <v>-7273.9178918783873</v>
      </c>
      <c r="AB165" s="168">
        <f t="shared" si="64"/>
        <v>-7273.9178918783873</v>
      </c>
      <c r="AD165" s="169">
        <f t="shared" si="65"/>
        <v>-7.0969872785132615E-2</v>
      </c>
      <c r="AE165" s="169">
        <f t="shared" si="65"/>
        <v>-4.8090724692479637E-2</v>
      </c>
      <c r="AF165" s="169">
        <f t="shared" si="65"/>
        <v>-7.0969872785132615E-2</v>
      </c>
      <c r="AG165" s="169">
        <f t="shared" si="65"/>
        <v>-7.0969872785132615E-2</v>
      </c>
    </row>
    <row r="166" spans="1:33" s="312" customFormat="1" ht="15" customHeight="1" x14ac:dyDescent="0.3">
      <c r="A166" s="265"/>
      <c r="B166" s="303" t="s">
        <v>21</v>
      </c>
      <c r="C166" s="303"/>
      <c r="D166" s="303"/>
      <c r="E166" s="303"/>
      <c r="F166" s="304">
        <f>F165+F126+F40</f>
        <v>1510339752</v>
      </c>
      <c r="G166" s="305"/>
      <c r="H166" s="304">
        <f>H165+H126+H40</f>
        <v>1782423.3128571426</v>
      </c>
      <c r="I166" s="304">
        <f>I165+I126+I40</f>
        <v>1714403.0495140841</v>
      </c>
      <c r="J166" s="306"/>
      <c r="K166" s="304">
        <f>K165+K126+K40</f>
        <v>1692654.9520491755</v>
      </c>
      <c r="L166" s="307">
        <f t="shared" si="54"/>
        <v>-21748.097464908613</v>
      </c>
      <c r="M166" s="308">
        <f t="shared" si="59"/>
        <v>-1.2685521920339974E-2</v>
      </c>
      <c r="N166" s="309"/>
      <c r="O166" s="310">
        <f>O165+O126+O40</f>
        <v>228216.00660189404</v>
      </c>
      <c r="P166" s="310">
        <f>P165+P126+P40</f>
        <v>629559.74118014798</v>
      </c>
      <c r="Q166" s="310">
        <f>Q165+Q126+Q40</f>
        <v>490013.53626489983</v>
      </c>
      <c r="R166" s="310">
        <f>R165+R126+R40</f>
        <v>366613.76546714234</v>
      </c>
      <c r="S166" s="311"/>
      <c r="T166" s="310">
        <f>T165+T126+T40</f>
        <v>201306.31475443696</v>
      </c>
      <c r="U166" s="310">
        <f>U165+U126+U40</f>
        <v>692320.16817177867</v>
      </c>
      <c r="V166" s="310">
        <f>V165+V126+V40</f>
        <v>471057.66540406109</v>
      </c>
      <c r="W166" s="310">
        <f>W165+W126+W40</f>
        <v>327970.80371889856</v>
      </c>
      <c r="Y166" s="313">
        <f t="shared" si="64"/>
        <v>-26909.691847457085</v>
      </c>
      <c r="Z166" s="313">
        <f t="shared" si="64"/>
        <v>62760.426991630695</v>
      </c>
      <c r="AA166" s="313">
        <f t="shared" si="64"/>
        <v>-18955.870860838739</v>
      </c>
      <c r="AB166" s="313">
        <f t="shared" si="64"/>
        <v>-38642.961748243775</v>
      </c>
      <c r="AD166" s="308">
        <f t="shared" si="65"/>
        <v>-0.11791325353615119</v>
      </c>
      <c r="AE166" s="308">
        <f t="shared" si="65"/>
        <v>9.9689390674795153E-2</v>
      </c>
      <c r="AF166" s="308">
        <f t="shared" si="65"/>
        <v>-3.8684382079174344E-2</v>
      </c>
      <c r="AG166" s="308">
        <f t="shared" si="65"/>
        <v>-0.1054051031035471</v>
      </c>
    </row>
    <row r="167" spans="1:33" x14ac:dyDescent="0.3">
      <c r="E167" s="317"/>
      <c r="F167" s="317"/>
      <c r="G167" s="317"/>
      <c r="I167" s="319"/>
      <c r="K167" s="319"/>
      <c r="T167" s="321"/>
      <c r="U167" s="321"/>
      <c r="V167" s="321"/>
      <c r="W167" s="321"/>
    </row>
    <row r="168" spans="1:33" x14ac:dyDescent="0.3">
      <c r="E168" s="317"/>
      <c r="F168" s="317"/>
      <c r="G168" s="317"/>
    </row>
    <row r="169" spans="1:33" x14ac:dyDescent="0.3">
      <c r="E169" s="317"/>
      <c r="F169" s="317"/>
      <c r="G169" s="317"/>
    </row>
    <row r="170" spans="1:33" x14ac:dyDescent="0.3">
      <c r="E170" s="317"/>
      <c r="F170" s="317"/>
      <c r="G170" s="317"/>
    </row>
    <row r="171" spans="1:33" x14ac:dyDescent="0.3">
      <c r="E171" s="317"/>
      <c r="F171" s="317"/>
      <c r="G171" s="317"/>
    </row>
    <row r="172" spans="1:33" x14ac:dyDescent="0.3">
      <c r="E172" s="317"/>
    </row>
    <row r="173" spans="1:33" x14ac:dyDescent="0.3">
      <c r="E173" s="317"/>
    </row>
    <row r="174" spans="1:33" x14ac:dyDescent="0.3">
      <c r="E174" s="317"/>
    </row>
    <row r="176" spans="1:33" s="318" customFormat="1" x14ac:dyDescent="0.3">
      <c r="A176" s="314"/>
      <c r="B176" s="315"/>
      <c r="C176" s="316"/>
      <c r="D176" s="316"/>
      <c r="E176" s="322"/>
      <c r="J176" s="121"/>
      <c r="N176" s="121"/>
      <c r="S176" s="320"/>
      <c r="T176" s="316"/>
      <c r="U176" s="316"/>
    </row>
  </sheetData>
  <mergeCells count="36">
    <mergeCell ref="U5:U6"/>
    <mergeCell ref="V5:V6"/>
    <mergeCell ref="B110:H110"/>
    <mergeCell ref="B127:F127"/>
    <mergeCell ref="B41:F41"/>
    <mergeCell ref="B42:F42"/>
    <mergeCell ref="B62:F62"/>
    <mergeCell ref="B63:H63"/>
    <mergeCell ref="B73:H73"/>
    <mergeCell ref="B95:H95"/>
    <mergeCell ref="O5:O6"/>
    <mergeCell ref="P5:P6"/>
    <mergeCell ref="Q5:Q6"/>
    <mergeCell ref="R5:R6"/>
    <mergeCell ref="T5:T6"/>
    <mergeCell ref="Y2:AB2"/>
    <mergeCell ref="AD2:AG2"/>
    <mergeCell ref="A5:A6"/>
    <mergeCell ref="B5:B6"/>
    <mergeCell ref="C5:C6"/>
    <mergeCell ref="D5:D6"/>
    <mergeCell ref="E5:E6"/>
    <mergeCell ref="F5:F6"/>
    <mergeCell ref="G5:G6"/>
    <mergeCell ref="H5:H6"/>
    <mergeCell ref="T2:W2"/>
    <mergeCell ref="W5:W6"/>
    <mergeCell ref="I5:I6"/>
    <mergeCell ref="K5:K6"/>
    <mergeCell ref="L5:L6"/>
    <mergeCell ref="M5:M6"/>
    <mergeCell ref="C1:D1"/>
    <mergeCell ref="F1:G1"/>
    <mergeCell ref="C2:D2"/>
    <mergeCell ref="F2:G2"/>
    <mergeCell ref="O2:R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47CD72-ECF4-4CB2-BD93-FA849F60544A}">
  <dimension ref="A1:M2453"/>
  <sheetViews>
    <sheetView workbookViewId="0">
      <selection activeCell="G1288" sqref="G1288"/>
    </sheetView>
  </sheetViews>
  <sheetFormatPr defaultRowHeight="15" outlineLevelRow="2" x14ac:dyDescent="0.35"/>
  <cols>
    <col min="1" max="1" width="67.6640625" style="360" customWidth="1"/>
    <col min="2" max="2" width="24.44140625" style="71" customWidth="1"/>
    <col min="3" max="3" width="21.5546875" customWidth="1"/>
    <col min="4" max="4" width="255.6640625" customWidth="1"/>
    <col min="5" max="5" width="76.5546875" customWidth="1"/>
    <col min="6" max="6" width="33" customWidth="1"/>
    <col min="7" max="7" width="19.109375" style="361" customWidth="1"/>
    <col min="8" max="8" width="22.33203125" customWidth="1"/>
    <col min="9" max="9" width="14.44140625" bestFit="1" customWidth="1"/>
    <col min="10" max="12" width="14.88671875" bestFit="1" customWidth="1"/>
    <col min="13" max="13" width="14.6640625" bestFit="1" customWidth="1"/>
  </cols>
  <sheetData>
    <row r="1" spans="1:13" ht="15.6" thickBot="1" x14ac:dyDescent="0.4">
      <c r="A1" s="323" t="s">
        <v>225</v>
      </c>
      <c r="B1" s="324" t="s">
        <v>226</v>
      </c>
      <c r="C1" s="323" t="s">
        <v>227</v>
      </c>
      <c r="D1" s="323" t="s">
        <v>228</v>
      </c>
      <c r="E1" s="323" t="s">
        <v>229</v>
      </c>
      <c r="F1" s="323" t="s">
        <v>230</v>
      </c>
      <c r="G1" s="325" t="s">
        <v>231</v>
      </c>
      <c r="H1" s="323" t="s">
        <v>232</v>
      </c>
      <c r="I1" s="323" t="s">
        <v>25</v>
      </c>
      <c r="J1" s="323" t="s">
        <v>26</v>
      </c>
      <c r="K1" s="323" t="s">
        <v>27</v>
      </c>
      <c r="L1" s="323" t="s">
        <v>28</v>
      </c>
      <c r="M1" s="323" t="s">
        <v>29</v>
      </c>
    </row>
    <row r="2" spans="1:13" hidden="1" outlineLevel="2" x14ac:dyDescent="0.35">
      <c r="A2" s="326" t="s">
        <v>58</v>
      </c>
      <c r="B2" s="327">
        <v>44340</v>
      </c>
      <c r="C2" s="328" t="s">
        <v>233</v>
      </c>
      <c r="D2" s="328" t="s">
        <v>234</v>
      </c>
      <c r="E2" s="328" t="s">
        <v>235</v>
      </c>
      <c r="F2" s="329">
        <v>2414200</v>
      </c>
      <c r="G2" s="330" t="s">
        <v>236</v>
      </c>
      <c r="H2" s="329">
        <v>2058.4313843073637</v>
      </c>
      <c r="I2" s="329">
        <v>514.60784607684093</v>
      </c>
      <c r="J2" s="329">
        <v>514.60784607684093</v>
      </c>
      <c r="K2" s="329">
        <v>514.60784607684093</v>
      </c>
      <c r="L2" s="329">
        <v>514.60784607684093</v>
      </c>
      <c r="M2" s="329"/>
    </row>
    <row r="3" spans="1:13" hidden="1" outlineLevel="2" x14ac:dyDescent="0.35">
      <c r="A3" s="326" t="s">
        <v>58</v>
      </c>
      <c r="B3" s="331">
        <v>44351</v>
      </c>
      <c r="C3" s="332" t="s">
        <v>237</v>
      </c>
      <c r="D3" s="332" t="s">
        <v>238</v>
      </c>
      <c r="E3" s="332" t="s">
        <v>239</v>
      </c>
      <c r="F3" s="333">
        <v>25000</v>
      </c>
      <c r="G3" s="330" t="s">
        <v>236</v>
      </c>
      <c r="H3" s="329">
        <v>21.315874661454764</v>
      </c>
      <c r="I3" s="329">
        <v>5.328968665363691</v>
      </c>
      <c r="J3" s="329">
        <v>5.328968665363691</v>
      </c>
      <c r="K3" s="329">
        <v>5.328968665363691</v>
      </c>
      <c r="L3" s="329">
        <v>5.328968665363691</v>
      </c>
      <c r="M3" s="333"/>
    </row>
    <row r="4" spans="1:13" hidden="1" outlineLevel="2" x14ac:dyDescent="0.35">
      <c r="A4" s="326" t="s">
        <v>58</v>
      </c>
      <c r="B4" s="331">
        <v>44350</v>
      </c>
      <c r="C4" s="332" t="s">
        <v>240</v>
      </c>
      <c r="D4" s="332" t="s">
        <v>241</v>
      </c>
      <c r="E4" s="332" t="s">
        <v>242</v>
      </c>
      <c r="F4" s="333">
        <v>2185000</v>
      </c>
      <c r="G4" s="330" t="s">
        <v>236</v>
      </c>
      <c r="H4" s="329">
        <v>1863.0074454111461</v>
      </c>
      <c r="I4" s="329">
        <v>465.75186135278653</v>
      </c>
      <c r="J4" s="329">
        <v>465.75186135278653</v>
      </c>
      <c r="K4" s="329">
        <v>465.75186135278653</v>
      </c>
      <c r="L4" s="329">
        <v>465.75186135278653</v>
      </c>
      <c r="M4" s="333"/>
    </row>
    <row r="5" spans="1:13" hidden="1" outlineLevel="2" x14ac:dyDescent="0.35">
      <c r="A5" s="326" t="s">
        <v>58</v>
      </c>
      <c r="B5" s="331">
        <v>44350</v>
      </c>
      <c r="C5" s="332" t="s">
        <v>243</v>
      </c>
      <c r="D5" s="332" t="s">
        <v>244</v>
      </c>
      <c r="E5" s="332" t="s">
        <v>242</v>
      </c>
      <c r="F5" s="333">
        <v>680000</v>
      </c>
      <c r="G5" s="330" t="s">
        <v>236</v>
      </c>
      <c r="H5" s="329">
        <v>579.7917907915695</v>
      </c>
      <c r="I5" s="329">
        <v>144.94794769789237</v>
      </c>
      <c r="J5" s="329">
        <v>144.94794769789237</v>
      </c>
      <c r="K5" s="329">
        <v>144.94794769789237</v>
      </c>
      <c r="L5" s="329">
        <v>144.94794769789237</v>
      </c>
      <c r="M5" s="333"/>
    </row>
    <row r="6" spans="1:13" hidden="1" outlineLevel="2" x14ac:dyDescent="0.35">
      <c r="A6" s="326" t="s">
        <v>58</v>
      </c>
      <c r="B6" s="331">
        <v>44350</v>
      </c>
      <c r="C6" s="332" t="s">
        <v>245</v>
      </c>
      <c r="D6" s="332" t="s">
        <v>246</v>
      </c>
      <c r="E6" s="332" t="s">
        <v>242</v>
      </c>
      <c r="F6" s="333">
        <v>262500</v>
      </c>
      <c r="G6" s="330" t="s">
        <v>236</v>
      </c>
      <c r="H6" s="329">
        <v>223.816683945275</v>
      </c>
      <c r="I6" s="329">
        <v>55.954170986318751</v>
      </c>
      <c r="J6" s="329">
        <v>55.954170986318751</v>
      </c>
      <c r="K6" s="329">
        <v>55.954170986318751</v>
      </c>
      <c r="L6" s="329">
        <v>55.954170986318751</v>
      </c>
      <c r="M6" s="333"/>
    </row>
    <row r="7" spans="1:13" hidden="1" outlineLevel="2" x14ac:dyDescent="0.35">
      <c r="A7" s="326" t="s">
        <v>58</v>
      </c>
      <c r="B7" s="331">
        <v>44350</v>
      </c>
      <c r="C7" s="332" t="s">
        <v>247</v>
      </c>
      <c r="D7" s="332" t="s">
        <v>248</v>
      </c>
      <c r="E7" s="332" t="s">
        <v>242</v>
      </c>
      <c r="F7" s="333">
        <v>20000</v>
      </c>
      <c r="G7" s="330" t="s">
        <v>236</v>
      </c>
      <c r="H7" s="329">
        <v>17.052699729163809</v>
      </c>
      <c r="I7" s="329">
        <v>4.2631749322909522</v>
      </c>
      <c r="J7" s="329">
        <v>4.2631749322909522</v>
      </c>
      <c r="K7" s="329">
        <v>4.2631749322909522</v>
      </c>
      <c r="L7" s="329">
        <v>4.2631749322909522</v>
      </c>
      <c r="M7" s="333"/>
    </row>
    <row r="8" spans="1:13" hidden="1" outlineLevel="2" x14ac:dyDescent="0.35">
      <c r="A8" s="326" t="s">
        <v>58</v>
      </c>
      <c r="B8" s="331">
        <v>44350</v>
      </c>
      <c r="C8" s="332" t="s">
        <v>249</v>
      </c>
      <c r="D8" s="332" t="s">
        <v>250</v>
      </c>
      <c r="E8" s="332" t="s">
        <v>242</v>
      </c>
      <c r="F8" s="333">
        <v>60000</v>
      </c>
      <c r="G8" s="330" t="s">
        <v>236</v>
      </c>
      <c r="H8" s="329">
        <v>51.15809918749143</v>
      </c>
      <c r="I8" s="329">
        <v>12.789524796872858</v>
      </c>
      <c r="J8" s="329">
        <v>12.789524796872858</v>
      </c>
      <c r="K8" s="329">
        <v>12.789524796872858</v>
      </c>
      <c r="L8" s="329">
        <v>12.789524796872858</v>
      </c>
      <c r="M8" s="333"/>
    </row>
    <row r="9" spans="1:13" hidden="1" outlineLevel="2" x14ac:dyDescent="0.35">
      <c r="A9" s="326" t="s">
        <v>58</v>
      </c>
      <c r="B9" s="331">
        <v>44350</v>
      </c>
      <c r="C9" s="332" t="s">
        <v>251</v>
      </c>
      <c r="D9" s="332" t="s">
        <v>252</v>
      </c>
      <c r="E9" s="332" t="s">
        <v>242</v>
      </c>
      <c r="F9" s="333">
        <v>1697000</v>
      </c>
      <c r="G9" s="330" t="s">
        <v>236</v>
      </c>
      <c r="H9" s="329">
        <v>1446.9215720195493</v>
      </c>
      <c r="I9" s="329">
        <v>361.73039300488733</v>
      </c>
      <c r="J9" s="329">
        <v>361.73039300488733</v>
      </c>
      <c r="K9" s="329">
        <v>361.73039300488733</v>
      </c>
      <c r="L9" s="329">
        <v>361.73039300488733</v>
      </c>
      <c r="M9" s="333"/>
    </row>
    <row r="10" spans="1:13" hidden="1" outlineLevel="2" x14ac:dyDescent="0.35">
      <c r="A10" s="326" t="s">
        <v>58</v>
      </c>
      <c r="B10" s="331">
        <v>44347</v>
      </c>
      <c r="C10" s="332" t="s">
        <v>253</v>
      </c>
      <c r="D10" s="332" t="s">
        <v>254</v>
      </c>
      <c r="E10" s="332" t="s">
        <v>255</v>
      </c>
      <c r="F10" s="333">
        <v>1024000</v>
      </c>
      <c r="G10" s="330" t="s">
        <v>236</v>
      </c>
      <c r="H10" s="329">
        <v>873.09822613318704</v>
      </c>
      <c r="I10" s="329">
        <v>218.27455653329676</v>
      </c>
      <c r="J10" s="329">
        <v>218.27455653329676</v>
      </c>
      <c r="K10" s="329">
        <v>218.27455653329676</v>
      </c>
      <c r="L10" s="329">
        <v>218.27455653329676</v>
      </c>
      <c r="M10" s="333"/>
    </row>
    <row r="11" spans="1:13" hidden="1" outlineLevel="2" x14ac:dyDescent="0.35">
      <c r="A11" s="326" t="s">
        <v>58</v>
      </c>
      <c r="B11" s="331">
        <v>44349</v>
      </c>
      <c r="C11" s="332" t="s">
        <v>256</v>
      </c>
      <c r="D11" s="332" t="s">
        <v>257</v>
      </c>
      <c r="E11" s="332" t="s">
        <v>258</v>
      </c>
      <c r="F11" s="333">
        <v>1200000</v>
      </c>
      <c r="G11" s="330" t="s">
        <v>236</v>
      </c>
      <c r="H11" s="329">
        <v>1023.1619837498286</v>
      </c>
      <c r="I11" s="329">
        <v>255.79049593745714</v>
      </c>
      <c r="J11" s="329">
        <v>255.79049593745714</v>
      </c>
      <c r="K11" s="329">
        <v>255.79049593745714</v>
      </c>
      <c r="L11" s="329">
        <v>255.79049593745714</v>
      </c>
      <c r="M11" s="333"/>
    </row>
    <row r="12" spans="1:13" hidden="1" outlineLevel="2" x14ac:dyDescent="0.35">
      <c r="A12" s="326" t="s">
        <v>58</v>
      </c>
      <c r="B12" s="331">
        <v>44348</v>
      </c>
      <c r="C12" s="332" t="s">
        <v>259</v>
      </c>
      <c r="D12" s="332" t="s">
        <v>260</v>
      </c>
      <c r="E12" s="332" t="s">
        <v>242</v>
      </c>
      <c r="F12" s="333">
        <v>2518500</v>
      </c>
      <c r="G12" s="330" t="s">
        <v>236</v>
      </c>
      <c r="H12" s="329">
        <v>2147.3612133949528</v>
      </c>
      <c r="I12" s="329">
        <v>536.84030334873819</v>
      </c>
      <c r="J12" s="329">
        <v>536.84030334873819</v>
      </c>
      <c r="K12" s="329">
        <v>536.84030334873819</v>
      </c>
      <c r="L12" s="329">
        <v>536.84030334873819</v>
      </c>
      <c r="M12" s="333"/>
    </row>
    <row r="13" spans="1:13" hidden="1" outlineLevel="2" x14ac:dyDescent="0.35">
      <c r="A13" s="326" t="s">
        <v>58</v>
      </c>
      <c r="B13" s="331">
        <v>44357</v>
      </c>
      <c r="C13" s="332" t="s">
        <v>261</v>
      </c>
      <c r="D13" s="332" t="s">
        <v>262</v>
      </c>
      <c r="E13" s="332" t="s">
        <v>242</v>
      </c>
      <c r="F13" s="333">
        <v>1889100</v>
      </c>
      <c r="G13" s="330" t="s">
        <v>236</v>
      </c>
      <c r="H13" s="329">
        <v>1610.7127529181676</v>
      </c>
      <c r="I13" s="329">
        <v>402.67818822954189</v>
      </c>
      <c r="J13" s="329">
        <v>402.67818822954189</v>
      </c>
      <c r="K13" s="329">
        <v>402.67818822954189</v>
      </c>
      <c r="L13" s="329">
        <v>402.67818822954189</v>
      </c>
      <c r="M13" s="333"/>
    </row>
    <row r="14" spans="1:13" hidden="1" outlineLevel="2" x14ac:dyDescent="0.35">
      <c r="A14" s="326" t="s">
        <v>58</v>
      </c>
      <c r="B14" s="331">
        <v>44197</v>
      </c>
      <c r="C14" s="332" t="s">
        <v>263</v>
      </c>
      <c r="D14" s="332" t="s">
        <v>264</v>
      </c>
      <c r="E14" s="332" t="s">
        <v>242</v>
      </c>
      <c r="F14" s="333">
        <v>1656500</v>
      </c>
      <c r="G14" s="330" t="s">
        <v>236</v>
      </c>
      <c r="H14" s="329">
        <v>1412.3898550679926</v>
      </c>
      <c r="I14" s="329">
        <v>353.09746376699815</v>
      </c>
      <c r="J14" s="329">
        <v>353.09746376699815</v>
      </c>
      <c r="K14" s="329">
        <v>353.09746376699815</v>
      </c>
      <c r="L14" s="329">
        <v>353.09746376699815</v>
      </c>
      <c r="M14" s="333"/>
    </row>
    <row r="15" spans="1:13" hidden="1" outlineLevel="2" x14ac:dyDescent="0.35">
      <c r="A15" s="326" t="s">
        <v>58</v>
      </c>
      <c r="B15" s="331">
        <v>44370</v>
      </c>
      <c r="C15" s="332" t="s">
        <v>265</v>
      </c>
      <c r="D15" s="332" t="s">
        <v>266</v>
      </c>
      <c r="E15" s="332" t="s">
        <v>267</v>
      </c>
      <c r="F15" s="333">
        <v>958000</v>
      </c>
      <c r="G15" s="330" t="s">
        <v>236</v>
      </c>
      <c r="H15" s="329">
        <v>816.82431702694646</v>
      </c>
      <c r="I15" s="329">
        <v>204.20607925673661</v>
      </c>
      <c r="J15" s="329">
        <v>204.20607925673661</v>
      </c>
      <c r="K15" s="329">
        <v>204.20607925673661</v>
      </c>
      <c r="L15" s="329">
        <v>204.20607925673661</v>
      </c>
      <c r="M15" s="333"/>
    </row>
    <row r="16" spans="1:13" hidden="1" outlineLevel="2" x14ac:dyDescent="0.35">
      <c r="A16" s="326" t="s">
        <v>58</v>
      </c>
      <c r="B16" s="331">
        <v>44368</v>
      </c>
      <c r="C16" s="332" t="s">
        <v>268</v>
      </c>
      <c r="D16" s="332" t="s">
        <v>269</v>
      </c>
      <c r="E16" s="332" t="s">
        <v>258</v>
      </c>
      <c r="F16" s="333">
        <v>1200000</v>
      </c>
      <c r="G16" s="330" t="s">
        <v>236</v>
      </c>
      <c r="H16" s="329">
        <v>1023.1619837498286</v>
      </c>
      <c r="I16" s="329">
        <v>255.79049593745714</v>
      </c>
      <c r="J16" s="329">
        <v>255.79049593745714</v>
      </c>
      <c r="K16" s="329">
        <v>255.79049593745714</v>
      </c>
      <c r="L16" s="329">
        <v>255.79049593745714</v>
      </c>
      <c r="M16" s="333"/>
    </row>
    <row r="17" spans="1:13" hidden="1" outlineLevel="2" x14ac:dyDescent="0.35">
      <c r="A17" s="326" t="s">
        <v>58</v>
      </c>
      <c r="B17" s="331">
        <v>44346</v>
      </c>
      <c r="C17" s="332" t="s">
        <v>270</v>
      </c>
      <c r="D17" s="332" t="s">
        <v>271</v>
      </c>
      <c r="E17" s="332" t="s">
        <v>272</v>
      </c>
      <c r="F17" s="333">
        <v>1166000</v>
      </c>
      <c r="G17" s="330" t="s">
        <v>236</v>
      </c>
      <c r="H17" s="329">
        <v>994.1723942102501</v>
      </c>
      <c r="I17" s="329">
        <v>248.54309855256253</v>
      </c>
      <c r="J17" s="329">
        <v>248.54309855256253</v>
      </c>
      <c r="K17" s="329">
        <v>248.54309855256253</v>
      </c>
      <c r="L17" s="329">
        <v>248.54309855256253</v>
      </c>
      <c r="M17" s="333"/>
    </row>
    <row r="18" spans="1:13" hidden="1" outlineLevel="2" x14ac:dyDescent="0.35">
      <c r="A18" s="326" t="s">
        <v>58</v>
      </c>
      <c r="B18" s="331">
        <v>44368</v>
      </c>
      <c r="C18" s="332" t="s">
        <v>273</v>
      </c>
      <c r="D18" s="332" t="s">
        <v>274</v>
      </c>
      <c r="E18" s="332" t="s">
        <v>275</v>
      </c>
      <c r="F18" s="333">
        <v>300000</v>
      </c>
      <c r="G18" s="330" t="s">
        <v>236</v>
      </c>
      <c r="H18" s="329">
        <v>255.79049593745714</v>
      </c>
      <c r="I18" s="329">
        <v>63.947623984364284</v>
      </c>
      <c r="J18" s="329">
        <v>63.947623984364284</v>
      </c>
      <c r="K18" s="329">
        <v>63.947623984364284</v>
      </c>
      <c r="L18" s="329">
        <v>63.947623984364284</v>
      </c>
      <c r="M18" s="333"/>
    </row>
    <row r="19" spans="1:13" hidden="1" outlineLevel="2" x14ac:dyDescent="0.35">
      <c r="A19" s="326" t="s">
        <v>58</v>
      </c>
      <c r="B19" s="331">
        <v>44368</v>
      </c>
      <c r="C19" s="332" t="s">
        <v>276</v>
      </c>
      <c r="D19" s="332" t="s">
        <v>277</v>
      </c>
      <c r="E19" s="332" t="s">
        <v>272</v>
      </c>
      <c r="F19" s="333">
        <v>560000</v>
      </c>
      <c r="G19" s="330" t="s">
        <v>236</v>
      </c>
      <c r="H19" s="329">
        <v>477.47559241658666</v>
      </c>
      <c r="I19" s="329">
        <v>119.36889810414667</v>
      </c>
      <c r="J19" s="329">
        <v>119.36889810414667</v>
      </c>
      <c r="K19" s="329">
        <v>119.36889810414667</v>
      </c>
      <c r="L19" s="329">
        <v>119.36889810414667</v>
      </c>
      <c r="M19" s="333"/>
    </row>
    <row r="20" spans="1:13" hidden="1" outlineLevel="2" x14ac:dyDescent="0.35">
      <c r="A20" s="326" t="s">
        <v>58</v>
      </c>
      <c r="B20" s="331">
        <v>44368</v>
      </c>
      <c r="C20" s="332" t="s">
        <v>278</v>
      </c>
      <c r="D20" s="332" t="s">
        <v>279</v>
      </c>
      <c r="E20" s="332" t="s">
        <v>280</v>
      </c>
      <c r="F20" s="333">
        <v>47000</v>
      </c>
      <c r="G20" s="330" t="s">
        <v>236</v>
      </c>
      <c r="H20" s="329">
        <v>40.073844363534953</v>
      </c>
      <c r="I20" s="329">
        <v>10.018461090883738</v>
      </c>
      <c r="J20" s="329">
        <v>10.018461090883738</v>
      </c>
      <c r="K20" s="329">
        <v>10.018461090883738</v>
      </c>
      <c r="L20" s="329">
        <v>10.018461090883738</v>
      </c>
      <c r="M20" s="333"/>
    </row>
    <row r="21" spans="1:13" hidden="1" outlineLevel="2" x14ac:dyDescent="0.35">
      <c r="A21" s="326" t="s">
        <v>58</v>
      </c>
      <c r="B21" s="331">
        <v>44376</v>
      </c>
      <c r="C21" s="332" t="s">
        <v>281</v>
      </c>
      <c r="D21" s="332" t="s">
        <v>282</v>
      </c>
      <c r="E21" s="332" t="s">
        <v>280</v>
      </c>
      <c r="F21" s="333">
        <v>3000</v>
      </c>
      <c r="G21" s="330" t="s">
        <v>236</v>
      </c>
      <c r="H21" s="329">
        <v>2.5579049593745715</v>
      </c>
      <c r="I21" s="329">
        <v>0.63947623984364288</v>
      </c>
      <c r="J21" s="329">
        <v>0.63947623984364288</v>
      </c>
      <c r="K21" s="329">
        <v>0.63947623984364288</v>
      </c>
      <c r="L21" s="329">
        <v>0.63947623984364288</v>
      </c>
      <c r="M21" s="333"/>
    </row>
    <row r="22" spans="1:13" hidden="1" outlineLevel="2" x14ac:dyDescent="0.35">
      <c r="A22" s="326" t="s">
        <v>58</v>
      </c>
      <c r="B22" s="331">
        <v>44376</v>
      </c>
      <c r="C22" s="332" t="s">
        <v>283</v>
      </c>
      <c r="D22" s="332" t="s">
        <v>284</v>
      </c>
      <c r="E22" s="332" t="s">
        <v>285</v>
      </c>
      <c r="F22" s="333">
        <v>52941</v>
      </c>
      <c r="G22" s="330" t="s">
        <v>236</v>
      </c>
      <c r="H22" s="329">
        <v>45.139348818083064</v>
      </c>
      <c r="I22" s="329">
        <v>11.284837204520766</v>
      </c>
      <c r="J22" s="329">
        <v>11.284837204520766</v>
      </c>
      <c r="K22" s="329">
        <v>11.284837204520766</v>
      </c>
      <c r="L22" s="329">
        <v>11.284837204520766</v>
      </c>
      <c r="M22" s="333"/>
    </row>
    <row r="23" spans="1:13" hidden="1" outlineLevel="2" x14ac:dyDescent="0.35">
      <c r="A23" s="326" t="s">
        <v>58</v>
      </c>
      <c r="B23" s="331">
        <v>44376</v>
      </c>
      <c r="C23" s="332" t="s">
        <v>286</v>
      </c>
      <c r="D23" s="332" t="s">
        <v>287</v>
      </c>
      <c r="E23" s="332" t="s">
        <v>288</v>
      </c>
      <c r="F23" s="333">
        <v>32220</v>
      </c>
      <c r="G23" s="330" t="s">
        <v>236</v>
      </c>
      <c r="H23" s="329">
        <v>27.471899263682896</v>
      </c>
      <c r="I23" s="329">
        <v>6.8679748159207241</v>
      </c>
      <c r="J23" s="329">
        <v>6.8679748159207241</v>
      </c>
      <c r="K23" s="329">
        <v>6.8679748159207241</v>
      </c>
      <c r="L23" s="329">
        <v>6.8679748159207241</v>
      </c>
      <c r="M23" s="333"/>
    </row>
    <row r="24" spans="1:13" hidden="1" outlineLevel="2" x14ac:dyDescent="0.35">
      <c r="A24" s="326" t="s">
        <v>58</v>
      </c>
      <c r="B24" s="331">
        <v>44405</v>
      </c>
      <c r="C24" s="332" t="s">
        <v>289</v>
      </c>
      <c r="D24" s="332" t="s">
        <v>290</v>
      </c>
      <c r="E24" s="332" t="s">
        <v>285</v>
      </c>
      <c r="F24" s="333">
        <v>52941</v>
      </c>
      <c r="G24" s="330" t="s">
        <v>236</v>
      </c>
      <c r="H24" s="329">
        <v>45.139348818083064</v>
      </c>
      <c r="I24" s="329">
        <v>11.284837204520766</v>
      </c>
      <c r="J24" s="329">
        <v>11.284837204520766</v>
      </c>
      <c r="K24" s="329">
        <v>11.284837204520766</v>
      </c>
      <c r="L24" s="329">
        <v>11.284837204520766</v>
      </c>
      <c r="M24" s="333"/>
    </row>
    <row r="25" spans="1:13" hidden="1" outlineLevel="2" x14ac:dyDescent="0.35">
      <c r="A25" s="326" t="s">
        <v>58</v>
      </c>
      <c r="B25" s="331">
        <v>44384</v>
      </c>
      <c r="C25" s="332" t="s">
        <v>291</v>
      </c>
      <c r="D25" s="332" t="s">
        <v>292</v>
      </c>
      <c r="E25" s="332" t="s">
        <v>258</v>
      </c>
      <c r="F25" s="333">
        <v>1209000</v>
      </c>
      <c r="G25" s="330" t="s">
        <v>236</v>
      </c>
      <c r="H25" s="329">
        <v>1030.8356986279523</v>
      </c>
      <c r="I25" s="329">
        <v>257.70892465698807</v>
      </c>
      <c r="J25" s="329">
        <v>257.70892465698807</v>
      </c>
      <c r="K25" s="329">
        <v>257.70892465698807</v>
      </c>
      <c r="L25" s="329">
        <v>257.70892465698807</v>
      </c>
      <c r="M25" s="333"/>
    </row>
    <row r="26" spans="1:13" hidden="1" outlineLevel="2" x14ac:dyDescent="0.35">
      <c r="A26" s="326" t="s">
        <v>58</v>
      </c>
      <c r="B26" s="331">
        <v>44381</v>
      </c>
      <c r="C26" s="332" t="s">
        <v>293</v>
      </c>
      <c r="D26" s="332" t="s">
        <v>294</v>
      </c>
      <c r="E26" s="332" t="s">
        <v>295</v>
      </c>
      <c r="F26" s="333">
        <v>195000</v>
      </c>
      <c r="G26" s="330" t="s">
        <v>236</v>
      </c>
      <c r="H26" s="329">
        <v>166.26382235934716</v>
      </c>
      <c r="I26" s="329">
        <v>41.56595558983679</v>
      </c>
      <c r="J26" s="329">
        <v>41.56595558983679</v>
      </c>
      <c r="K26" s="329">
        <v>41.56595558983679</v>
      </c>
      <c r="L26" s="329">
        <v>41.56595558983679</v>
      </c>
      <c r="M26" s="333"/>
    </row>
    <row r="27" spans="1:13" hidden="1" outlineLevel="2" x14ac:dyDescent="0.35">
      <c r="A27" s="326" t="s">
        <v>58</v>
      </c>
      <c r="B27" s="331">
        <v>44385</v>
      </c>
      <c r="C27" s="332" t="s">
        <v>296</v>
      </c>
      <c r="D27" s="332" t="s">
        <v>297</v>
      </c>
      <c r="E27" s="332" t="s">
        <v>280</v>
      </c>
      <c r="F27" s="333">
        <v>25000</v>
      </c>
      <c r="G27" s="330" t="s">
        <v>236</v>
      </c>
      <c r="H27" s="329">
        <v>21.315874661454764</v>
      </c>
      <c r="I27" s="329">
        <v>5.328968665363691</v>
      </c>
      <c r="J27" s="329">
        <v>5.328968665363691</v>
      </c>
      <c r="K27" s="329">
        <v>5.328968665363691</v>
      </c>
      <c r="L27" s="329">
        <v>5.328968665363691</v>
      </c>
      <c r="M27" s="333"/>
    </row>
    <row r="28" spans="1:13" hidden="1" outlineLevel="2" x14ac:dyDescent="0.35">
      <c r="A28" s="326" t="s">
        <v>58</v>
      </c>
      <c r="B28" s="331">
        <v>44380</v>
      </c>
      <c r="C28" s="332" t="s">
        <v>298</v>
      </c>
      <c r="D28" s="332" t="s">
        <v>299</v>
      </c>
      <c r="E28" s="332" t="s">
        <v>272</v>
      </c>
      <c r="F28" s="333">
        <v>270500</v>
      </c>
      <c r="G28" s="330" t="s">
        <v>236</v>
      </c>
      <c r="H28" s="329">
        <v>230.63776383694054</v>
      </c>
      <c r="I28" s="329">
        <v>57.659440959235134</v>
      </c>
      <c r="J28" s="329">
        <v>57.659440959235134</v>
      </c>
      <c r="K28" s="329">
        <v>57.659440959235134</v>
      </c>
      <c r="L28" s="329">
        <v>57.659440959235134</v>
      </c>
      <c r="M28" s="333"/>
    </row>
    <row r="29" spans="1:13" hidden="1" outlineLevel="2" x14ac:dyDescent="0.35">
      <c r="A29" s="326" t="s">
        <v>58</v>
      </c>
      <c r="B29" s="331">
        <v>44383</v>
      </c>
      <c r="C29" s="332" t="s">
        <v>300</v>
      </c>
      <c r="D29" s="332" t="s">
        <v>301</v>
      </c>
      <c r="E29" s="332" t="s">
        <v>275</v>
      </c>
      <c r="F29" s="333">
        <v>300000</v>
      </c>
      <c r="G29" s="330" t="s">
        <v>236</v>
      </c>
      <c r="H29" s="329">
        <v>255.79049593745714</v>
      </c>
      <c r="I29" s="329">
        <v>63.947623984364284</v>
      </c>
      <c r="J29" s="329">
        <v>63.947623984364284</v>
      </c>
      <c r="K29" s="329">
        <v>63.947623984364284</v>
      </c>
      <c r="L29" s="329">
        <v>63.947623984364284</v>
      </c>
      <c r="M29" s="333"/>
    </row>
    <row r="30" spans="1:13" hidden="1" outlineLevel="2" x14ac:dyDescent="0.35">
      <c r="A30" s="326" t="s">
        <v>58</v>
      </c>
      <c r="B30" s="331">
        <v>44517</v>
      </c>
      <c r="C30" s="332" t="s">
        <v>302</v>
      </c>
      <c r="D30" s="332" t="s">
        <v>303</v>
      </c>
      <c r="E30" s="332" t="s">
        <v>304</v>
      </c>
      <c r="F30" s="333">
        <v>1784150</v>
      </c>
      <c r="G30" s="330" t="s">
        <v>236</v>
      </c>
      <c r="H30" s="329">
        <v>1521.2287110893806</v>
      </c>
      <c r="I30" s="329">
        <v>380.30717777234514</v>
      </c>
      <c r="J30" s="329">
        <v>380.30717777234514</v>
      </c>
      <c r="K30" s="329">
        <v>380.30717777234514</v>
      </c>
      <c r="L30" s="329">
        <v>380.30717777234514</v>
      </c>
      <c r="M30" s="333"/>
    </row>
    <row r="31" spans="1:13" hidden="1" outlineLevel="2" x14ac:dyDescent="0.35">
      <c r="A31" s="326" t="s">
        <v>58</v>
      </c>
      <c r="B31" s="331">
        <v>44529</v>
      </c>
      <c r="C31" s="332" t="s">
        <v>305</v>
      </c>
      <c r="D31" s="332" t="s">
        <v>306</v>
      </c>
      <c r="E31" s="332" t="s">
        <v>307</v>
      </c>
      <c r="F31" s="333">
        <v>25000</v>
      </c>
      <c r="G31" s="330" t="s">
        <v>236</v>
      </c>
      <c r="H31" s="329">
        <v>21.315874661454764</v>
      </c>
      <c r="I31" s="329">
        <v>5.328968665363691</v>
      </c>
      <c r="J31" s="329">
        <v>5.328968665363691</v>
      </c>
      <c r="K31" s="329">
        <v>5.328968665363691</v>
      </c>
      <c r="L31" s="329">
        <v>5.328968665363691</v>
      </c>
      <c r="M31" s="333"/>
    </row>
    <row r="32" spans="1:13" hidden="1" outlineLevel="2" x14ac:dyDescent="0.35">
      <c r="A32" s="326" t="s">
        <v>58</v>
      </c>
      <c r="B32" s="331">
        <v>44519</v>
      </c>
      <c r="C32" s="332" t="s">
        <v>308</v>
      </c>
      <c r="D32" s="332" t="s">
        <v>309</v>
      </c>
      <c r="E32" s="332" t="s">
        <v>304</v>
      </c>
      <c r="F32" s="333">
        <v>90000</v>
      </c>
      <c r="G32" s="330" t="s">
        <v>236</v>
      </c>
      <c r="H32" s="329">
        <v>76.737148781237138</v>
      </c>
      <c r="I32" s="329">
        <v>19.184287195309285</v>
      </c>
      <c r="J32" s="329">
        <v>19.184287195309285</v>
      </c>
      <c r="K32" s="329">
        <v>19.184287195309285</v>
      </c>
      <c r="L32" s="329">
        <v>19.184287195309285</v>
      </c>
      <c r="M32" s="333"/>
    </row>
    <row r="33" spans="1:13" hidden="1" outlineLevel="2" x14ac:dyDescent="0.35">
      <c r="A33" s="326" t="s">
        <v>58</v>
      </c>
      <c r="B33" s="331">
        <v>44519</v>
      </c>
      <c r="C33" s="332" t="s">
        <v>310</v>
      </c>
      <c r="D33" s="332" t="s">
        <v>311</v>
      </c>
      <c r="E33" s="332" t="s">
        <v>304</v>
      </c>
      <c r="F33" s="333">
        <v>480000</v>
      </c>
      <c r="G33" s="330" t="s">
        <v>236</v>
      </c>
      <c r="H33" s="329">
        <v>409.26479349993144</v>
      </c>
      <c r="I33" s="329">
        <v>102.31619837498286</v>
      </c>
      <c r="J33" s="329">
        <v>102.31619837498286</v>
      </c>
      <c r="K33" s="329">
        <v>102.31619837498286</v>
      </c>
      <c r="L33" s="329">
        <v>102.31619837498286</v>
      </c>
      <c r="M33" s="333"/>
    </row>
    <row r="34" spans="1:13" hidden="1" outlineLevel="2" x14ac:dyDescent="0.35">
      <c r="A34" s="326" t="s">
        <v>58</v>
      </c>
      <c r="B34" s="331">
        <v>44531</v>
      </c>
      <c r="C34" s="332" t="s">
        <v>312</v>
      </c>
      <c r="D34" s="332" t="s">
        <v>313</v>
      </c>
      <c r="E34" s="332" t="s">
        <v>314</v>
      </c>
      <c r="F34" s="333">
        <v>1903500</v>
      </c>
      <c r="G34" s="330" t="s">
        <v>236</v>
      </c>
      <c r="H34" s="329">
        <v>1622.9906967231657</v>
      </c>
      <c r="I34" s="329">
        <v>405.74767418079142</v>
      </c>
      <c r="J34" s="329">
        <v>405.74767418079142</v>
      </c>
      <c r="K34" s="329">
        <v>405.74767418079142</v>
      </c>
      <c r="L34" s="329">
        <v>405.74767418079142</v>
      </c>
      <c r="M34" s="333"/>
    </row>
    <row r="35" spans="1:13" hidden="1" outlineLevel="2" x14ac:dyDescent="0.35">
      <c r="A35" s="326" t="s">
        <v>58</v>
      </c>
      <c r="B35" s="331">
        <v>44544</v>
      </c>
      <c r="C35" s="332" t="s">
        <v>315</v>
      </c>
      <c r="D35" s="332" t="s">
        <v>316</v>
      </c>
      <c r="E35" s="332" t="s">
        <v>307</v>
      </c>
      <c r="F35" s="333">
        <v>25000</v>
      </c>
      <c r="G35" s="330" t="s">
        <v>236</v>
      </c>
      <c r="H35" s="329">
        <v>21.315874661454764</v>
      </c>
      <c r="I35" s="329">
        <v>5.328968665363691</v>
      </c>
      <c r="J35" s="329">
        <v>5.328968665363691</v>
      </c>
      <c r="K35" s="329">
        <v>5.328968665363691</v>
      </c>
      <c r="L35" s="329">
        <v>5.328968665363691</v>
      </c>
      <c r="M35" s="333"/>
    </row>
    <row r="36" spans="1:13" hidden="1" outlineLevel="2" x14ac:dyDescent="0.35">
      <c r="A36" s="326" t="s">
        <v>58</v>
      </c>
      <c r="B36" s="331">
        <v>44544</v>
      </c>
      <c r="C36" s="332" t="s">
        <v>317</v>
      </c>
      <c r="D36" s="332" t="s">
        <v>318</v>
      </c>
      <c r="E36" s="332" t="s">
        <v>319</v>
      </c>
      <c r="F36" s="333">
        <v>21000</v>
      </c>
      <c r="G36" s="330" t="s">
        <v>236</v>
      </c>
      <c r="H36" s="329">
        <v>17.905334715622001</v>
      </c>
      <c r="I36" s="329">
        <v>4.4763336789055002</v>
      </c>
      <c r="J36" s="329">
        <v>4.4763336789055002</v>
      </c>
      <c r="K36" s="329">
        <v>4.4763336789055002</v>
      </c>
      <c r="L36" s="329">
        <v>4.4763336789055002</v>
      </c>
      <c r="M36" s="333"/>
    </row>
    <row r="37" spans="1:13" hidden="1" outlineLevel="2" x14ac:dyDescent="0.35">
      <c r="A37" s="326" t="s">
        <v>58</v>
      </c>
      <c r="B37" s="331">
        <v>44524</v>
      </c>
      <c r="C37" s="332" t="s">
        <v>320</v>
      </c>
      <c r="D37" s="332" t="s">
        <v>321</v>
      </c>
      <c r="E37" s="332" t="s">
        <v>322</v>
      </c>
      <c r="F37" s="333">
        <v>2897600</v>
      </c>
      <c r="G37" s="330" t="s">
        <v>236</v>
      </c>
      <c r="H37" s="329">
        <v>2470.5951367612529</v>
      </c>
      <c r="I37" s="329">
        <v>617.64878419031322</v>
      </c>
      <c r="J37" s="329">
        <v>617.64878419031322</v>
      </c>
      <c r="K37" s="329">
        <v>617.64878419031322</v>
      </c>
      <c r="L37" s="329">
        <v>617.64878419031322</v>
      </c>
      <c r="M37" s="333"/>
    </row>
    <row r="38" spans="1:13" hidden="1" outlineLevel="2" x14ac:dyDescent="0.35">
      <c r="A38" s="326" t="s">
        <v>58</v>
      </c>
      <c r="B38" s="331">
        <v>44524</v>
      </c>
      <c r="C38" s="332" t="s">
        <v>323</v>
      </c>
      <c r="D38" s="332" t="s">
        <v>324</v>
      </c>
      <c r="E38" s="332" t="s">
        <v>325</v>
      </c>
      <c r="F38" s="333">
        <v>945000</v>
      </c>
      <c r="G38" s="330" t="s">
        <v>236</v>
      </c>
      <c r="H38" s="329">
        <v>805.74006220298998</v>
      </c>
      <c r="I38" s="329">
        <v>201.43501555074749</v>
      </c>
      <c r="J38" s="329">
        <v>201.43501555074749</v>
      </c>
      <c r="K38" s="329">
        <v>201.43501555074749</v>
      </c>
      <c r="L38" s="329">
        <v>201.43501555074749</v>
      </c>
      <c r="M38" s="333"/>
    </row>
    <row r="39" spans="1:13" hidden="1" outlineLevel="2" x14ac:dyDescent="0.35">
      <c r="A39" s="326" t="s">
        <v>58</v>
      </c>
      <c r="B39" s="331">
        <v>44533</v>
      </c>
      <c r="C39" s="332" t="s">
        <v>326</v>
      </c>
      <c r="D39" s="332" t="s">
        <v>327</v>
      </c>
      <c r="E39" s="332" t="s">
        <v>304</v>
      </c>
      <c r="F39" s="333">
        <v>112000</v>
      </c>
      <c r="G39" s="330" t="s">
        <v>236</v>
      </c>
      <c r="H39" s="329">
        <v>95.495118483317341</v>
      </c>
      <c r="I39" s="329">
        <v>23.873779620829335</v>
      </c>
      <c r="J39" s="329">
        <v>23.873779620829335</v>
      </c>
      <c r="K39" s="329">
        <v>23.873779620829335</v>
      </c>
      <c r="L39" s="329">
        <v>23.873779620829335</v>
      </c>
      <c r="M39" s="333"/>
    </row>
    <row r="40" spans="1:13" hidden="1" outlineLevel="2" x14ac:dyDescent="0.35">
      <c r="A40" s="326" t="s">
        <v>58</v>
      </c>
      <c r="B40" s="331">
        <v>44552</v>
      </c>
      <c r="C40" s="332" t="s">
        <v>328</v>
      </c>
      <c r="D40" s="332" t="s">
        <v>329</v>
      </c>
      <c r="E40" s="332" t="s">
        <v>330</v>
      </c>
      <c r="F40" s="333">
        <v>104000</v>
      </c>
      <c r="G40" s="330" t="s">
        <v>236</v>
      </c>
      <c r="H40" s="329">
        <v>88.674038591651808</v>
      </c>
      <c r="I40" s="329">
        <v>22.168509647912952</v>
      </c>
      <c r="J40" s="329">
        <v>22.168509647912952</v>
      </c>
      <c r="K40" s="329">
        <v>22.168509647912952</v>
      </c>
      <c r="L40" s="329">
        <v>22.168509647912952</v>
      </c>
      <c r="M40" s="333"/>
    </row>
    <row r="41" spans="1:13" hidden="1" outlineLevel="2" x14ac:dyDescent="0.35">
      <c r="A41" s="326" t="s">
        <v>58</v>
      </c>
      <c r="B41" s="331">
        <v>44543</v>
      </c>
      <c r="C41" s="332" t="s">
        <v>331</v>
      </c>
      <c r="D41" s="332" t="s">
        <v>332</v>
      </c>
      <c r="E41" s="332" t="s">
        <v>314</v>
      </c>
      <c r="F41" s="333">
        <v>1220000</v>
      </c>
      <c r="G41" s="330" t="s">
        <v>236</v>
      </c>
      <c r="H41" s="329">
        <v>1040.2146834789924</v>
      </c>
      <c r="I41" s="329">
        <v>260.05367086974809</v>
      </c>
      <c r="J41" s="329">
        <v>260.05367086974809</v>
      </c>
      <c r="K41" s="329">
        <v>260.05367086974809</v>
      </c>
      <c r="L41" s="329">
        <v>260.05367086974809</v>
      </c>
      <c r="M41" s="333"/>
    </row>
    <row r="42" spans="1:13" hidden="1" outlineLevel="2" x14ac:dyDescent="0.35">
      <c r="A42" s="326" t="s">
        <v>58</v>
      </c>
      <c r="B42" s="331">
        <v>44537</v>
      </c>
      <c r="C42" s="332" t="s">
        <v>333</v>
      </c>
      <c r="D42" s="332" t="s">
        <v>334</v>
      </c>
      <c r="E42" s="332" t="s">
        <v>295</v>
      </c>
      <c r="F42" s="333">
        <v>2130000</v>
      </c>
      <c r="G42" s="330" t="s">
        <v>236</v>
      </c>
      <c r="H42" s="329">
        <v>1816.1125211559458</v>
      </c>
      <c r="I42" s="329">
        <v>454.02813028898646</v>
      </c>
      <c r="J42" s="329">
        <v>454.02813028898646</v>
      </c>
      <c r="K42" s="329">
        <v>454.02813028898646</v>
      </c>
      <c r="L42" s="329">
        <v>454.02813028898646</v>
      </c>
      <c r="M42" s="333"/>
    </row>
    <row r="43" spans="1:13" hidden="1" outlineLevel="2" x14ac:dyDescent="0.35">
      <c r="A43" s="326" t="s">
        <v>58</v>
      </c>
      <c r="B43" s="331">
        <v>44544</v>
      </c>
      <c r="C43" s="332" t="s">
        <v>335</v>
      </c>
      <c r="D43" s="332" t="s">
        <v>336</v>
      </c>
      <c r="E43" s="332" t="s">
        <v>337</v>
      </c>
      <c r="F43" s="333">
        <v>520000</v>
      </c>
      <c r="G43" s="330" t="s">
        <v>236</v>
      </c>
      <c r="H43" s="329">
        <v>443.37019295825905</v>
      </c>
      <c r="I43" s="329">
        <v>110.84254823956476</v>
      </c>
      <c r="J43" s="329">
        <v>110.84254823956476</v>
      </c>
      <c r="K43" s="329">
        <v>110.84254823956476</v>
      </c>
      <c r="L43" s="329">
        <v>110.84254823956476</v>
      </c>
      <c r="M43" s="333"/>
    </row>
    <row r="44" spans="1:13" hidden="1" outlineLevel="2" x14ac:dyDescent="0.35">
      <c r="A44" s="326" t="s">
        <v>58</v>
      </c>
      <c r="B44" s="331">
        <v>44537</v>
      </c>
      <c r="C44" s="332" t="s">
        <v>338</v>
      </c>
      <c r="D44" s="332" t="s">
        <v>336</v>
      </c>
      <c r="E44" s="332" t="s">
        <v>295</v>
      </c>
      <c r="F44" s="333">
        <v>800000</v>
      </c>
      <c r="G44" s="330" t="s">
        <v>236</v>
      </c>
      <c r="H44" s="329">
        <v>682.10798916655244</v>
      </c>
      <c r="I44" s="329">
        <v>170.52699729163811</v>
      </c>
      <c r="J44" s="329">
        <v>170.52699729163811</v>
      </c>
      <c r="K44" s="329">
        <v>170.52699729163811</v>
      </c>
      <c r="L44" s="329">
        <v>170.52699729163811</v>
      </c>
      <c r="M44" s="333"/>
    </row>
    <row r="45" spans="1:13" hidden="1" outlineLevel="2" x14ac:dyDescent="0.35">
      <c r="A45" s="326" t="s">
        <v>58</v>
      </c>
      <c r="B45" s="331">
        <v>44554</v>
      </c>
      <c r="C45" s="332" t="s">
        <v>339</v>
      </c>
      <c r="D45" s="332" t="s">
        <v>340</v>
      </c>
      <c r="E45" s="332" t="s">
        <v>341</v>
      </c>
      <c r="F45" s="333">
        <v>1000000</v>
      </c>
      <c r="G45" s="330" t="s">
        <v>236</v>
      </c>
      <c r="H45" s="329">
        <v>852.6349864581905</v>
      </c>
      <c r="I45" s="329">
        <v>213.15874661454762</v>
      </c>
      <c r="J45" s="329">
        <v>213.15874661454762</v>
      </c>
      <c r="K45" s="329">
        <v>213.15874661454762</v>
      </c>
      <c r="L45" s="329">
        <v>213.15874661454762</v>
      </c>
      <c r="M45" s="333"/>
    </row>
    <row r="46" spans="1:13" hidden="1" outlineLevel="2" x14ac:dyDescent="0.35">
      <c r="A46" s="326" t="s">
        <v>58</v>
      </c>
      <c r="B46" s="331">
        <v>44550</v>
      </c>
      <c r="C46" s="332" t="s">
        <v>342</v>
      </c>
      <c r="D46" s="332" t="s">
        <v>343</v>
      </c>
      <c r="E46" s="332" t="s">
        <v>295</v>
      </c>
      <c r="F46" s="333">
        <v>200000</v>
      </c>
      <c r="G46" s="330" t="s">
        <v>236</v>
      </c>
      <c r="H46" s="329">
        <v>170.52699729163811</v>
      </c>
      <c r="I46" s="329">
        <v>42.631749322909528</v>
      </c>
      <c r="J46" s="329">
        <v>42.631749322909528</v>
      </c>
      <c r="K46" s="329">
        <v>42.631749322909528</v>
      </c>
      <c r="L46" s="329">
        <v>42.631749322909528</v>
      </c>
      <c r="M46" s="333"/>
    </row>
    <row r="47" spans="1:13" hidden="1" outlineLevel="2" x14ac:dyDescent="0.35">
      <c r="A47" s="326" t="s">
        <v>58</v>
      </c>
      <c r="B47" s="327">
        <v>44560</v>
      </c>
      <c r="C47" s="328" t="s">
        <v>344</v>
      </c>
      <c r="D47" s="328" t="s">
        <v>345</v>
      </c>
      <c r="E47" s="328" t="s">
        <v>304</v>
      </c>
      <c r="F47" s="329">
        <v>1612330</v>
      </c>
      <c r="G47" s="330" t="s">
        <v>236</v>
      </c>
      <c r="H47" s="329">
        <v>1423.0701938587151</v>
      </c>
      <c r="I47" s="329">
        <v>355.76754846467878</v>
      </c>
      <c r="J47" s="329">
        <v>355.76754846467878</v>
      </c>
      <c r="K47" s="329">
        <v>355.76754846467878</v>
      </c>
      <c r="L47" s="329">
        <v>355.76754846467878</v>
      </c>
      <c r="M47" s="329"/>
    </row>
    <row r="48" spans="1:13" hidden="1" outlineLevel="2" x14ac:dyDescent="0.35">
      <c r="A48" s="326" t="s">
        <v>58</v>
      </c>
      <c r="B48" s="331">
        <v>44559</v>
      </c>
      <c r="C48" s="332" t="s">
        <v>346</v>
      </c>
      <c r="D48" s="332" t="s">
        <v>347</v>
      </c>
      <c r="E48" s="332" t="s">
        <v>295</v>
      </c>
      <c r="F48" s="333">
        <v>2625000</v>
      </c>
      <c r="G48" s="330" t="s">
        <v>236</v>
      </c>
      <c r="H48" s="329">
        <v>2316.8701561585576</v>
      </c>
      <c r="I48" s="333">
        <v>579.21753903963941</v>
      </c>
      <c r="J48" s="333">
        <v>579.21753903963941</v>
      </c>
      <c r="K48" s="333">
        <v>579.21753903963941</v>
      </c>
      <c r="L48" s="333">
        <v>579.21753903963941</v>
      </c>
      <c r="M48" s="333"/>
    </row>
    <row r="49" spans="1:13" hidden="1" outlineLevel="2" x14ac:dyDescent="0.35">
      <c r="A49" s="326" t="s">
        <v>58</v>
      </c>
      <c r="B49" s="331">
        <v>44558</v>
      </c>
      <c r="C49" s="332" t="s">
        <v>348</v>
      </c>
      <c r="D49" s="332" t="s">
        <v>349</v>
      </c>
      <c r="E49" s="332" t="s">
        <v>350</v>
      </c>
      <c r="F49" s="333">
        <v>230000</v>
      </c>
      <c r="G49" s="330" t="s">
        <v>236</v>
      </c>
      <c r="H49" s="329">
        <v>203.00195653960694</v>
      </c>
      <c r="I49" s="333">
        <v>50.750489134901734</v>
      </c>
      <c r="J49" s="333">
        <v>50.750489134901734</v>
      </c>
      <c r="K49" s="333">
        <v>50.750489134901734</v>
      </c>
      <c r="L49" s="333">
        <v>50.750489134901734</v>
      </c>
      <c r="M49" s="333"/>
    </row>
    <row r="50" spans="1:13" hidden="1" outlineLevel="2" x14ac:dyDescent="0.35">
      <c r="A50" s="326" t="s">
        <v>58</v>
      </c>
      <c r="B50" s="331">
        <v>44559</v>
      </c>
      <c r="C50" s="332" t="s">
        <v>351</v>
      </c>
      <c r="D50" s="332" t="s">
        <v>352</v>
      </c>
      <c r="E50" s="332" t="s">
        <v>280</v>
      </c>
      <c r="F50" s="333">
        <v>47000</v>
      </c>
      <c r="G50" s="330" t="s">
        <v>236</v>
      </c>
      <c r="H50" s="329">
        <v>41.48300851026751</v>
      </c>
      <c r="I50" s="333">
        <v>10.370752127566877</v>
      </c>
      <c r="J50" s="333">
        <v>10.370752127566877</v>
      </c>
      <c r="K50" s="333">
        <v>10.370752127566877</v>
      </c>
      <c r="L50" s="333">
        <v>10.370752127566877</v>
      </c>
      <c r="M50" s="333"/>
    </row>
    <row r="51" spans="1:13" hidden="1" outlineLevel="2" x14ac:dyDescent="0.35">
      <c r="A51" s="326" t="s">
        <v>58</v>
      </c>
      <c r="B51" s="331">
        <v>44580</v>
      </c>
      <c r="C51" s="332" t="s">
        <v>353</v>
      </c>
      <c r="D51" s="332" t="s">
        <v>354</v>
      </c>
      <c r="E51" s="332" t="s">
        <v>285</v>
      </c>
      <c r="F51" s="333">
        <v>3000</v>
      </c>
      <c r="G51" s="330" t="s">
        <v>236</v>
      </c>
      <c r="H51" s="329">
        <v>2.6478516070383513</v>
      </c>
      <c r="I51" s="333">
        <v>0.66196290175958783</v>
      </c>
      <c r="J51" s="333">
        <v>0.66196290175958783</v>
      </c>
      <c r="K51" s="333">
        <v>0.66196290175958783</v>
      </c>
      <c r="L51" s="333">
        <v>0.66196290175958783</v>
      </c>
      <c r="M51" s="333"/>
    </row>
    <row r="52" spans="1:13" hidden="1" outlineLevel="2" x14ac:dyDescent="0.35">
      <c r="A52" s="326" t="s">
        <v>58</v>
      </c>
      <c r="B52" s="331">
        <v>44559</v>
      </c>
      <c r="C52" s="332" t="s">
        <v>355</v>
      </c>
      <c r="D52" s="332" t="s">
        <v>356</v>
      </c>
      <c r="E52" s="332" t="s">
        <v>314</v>
      </c>
      <c r="F52" s="333">
        <v>211500</v>
      </c>
      <c r="G52" s="330" t="s">
        <v>236</v>
      </c>
      <c r="H52" s="329">
        <v>186.67353829620379</v>
      </c>
      <c r="I52" s="333">
        <v>46.668384574050947</v>
      </c>
      <c r="J52" s="333">
        <v>46.668384574050947</v>
      </c>
      <c r="K52" s="333">
        <v>46.668384574050947</v>
      </c>
      <c r="L52" s="333">
        <v>46.668384574050947</v>
      </c>
      <c r="M52" s="333"/>
    </row>
    <row r="53" spans="1:13" hidden="1" outlineLevel="2" x14ac:dyDescent="0.35">
      <c r="A53" s="326" t="s">
        <v>58</v>
      </c>
      <c r="B53" s="327">
        <v>44560</v>
      </c>
      <c r="C53" s="328" t="s">
        <v>357</v>
      </c>
      <c r="D53" s="328" t="s">
        <v>358</v>
      </c>
      <c r="E53" s="328" t="s">
        <v>359</v>
      </c>
      <c r="F53" s="329">
        <v>376900</v>
      </c>
      <c r="G53" s="330" t="s">
        <v>236</v>
      </c>
      <c r="H53" s="329">
        <v>332.65842356425156</v>
      </c>
      <c r="I53" s="333">
        <v>83.164605891062891</v>
      </c>
      <c r="J53" s="333">
        <v>83.164605891062891</v>
      </c>
      <c r="K53" s="333">
        <v>83.164605891062891</v>
      </c>
      <c r="L53" s="333">
        <v>83.164605891062891</v>
      </c>
      <c r="M53" s="329"/>
    </row>
    <row r="54" spans="1:13" hidden="1" outlineLevel="2" x14ac:dyDescent="0.35">
      <c r="A54" s="326" t="s">
        <v>58</v>
      </c>
      <c r="B54" s="331">
        <v>44580</v>
      </c>
      <c r="C54" s="332" t="s">
        <v>360</v>
      </c>
      <c r="D54" s="332" t="s">
        <v>361</v>
      </c>
      <c r="E54" s="332" t="s">
        <v>362</v>
      </c>
      <c r="F54" s="333">
        <v>30000</v>
      </c>
      <c r="G54" s="330" t="s">
        <v>236</v>
      </c>
      <c r="H54" s="329">
        <v>26.478516070383513</v>
      </c>
      <c r="I54" s="333">
        <v>6.6196290175958783</v>
      </c>
      <c r="J54" s="333">
        <v>6.6196290175958783</v>
      </c>
      <c r="K54" s="333">
        <v>6.6196290175958783</v>
      </c>
      <c r="L54" s="333">
        <v>6.6196290175958783</v>
      </c>
      <c r="M54" s="333"/>
    </row>
    <row r="55" spans="1:13" hidden="1" outlineLevel="2" x14ac:dyDescent="0.35">
      <c r="A55" s="326" t="s">
        <v>58</v>
      </c>
      <c r="B55" s="331">
        <v>44580</v>
      </c>
      <c r="C55" s="332" t="s">
        <v>363</v>
      </c>
      <c r="D55" s="332" t="s">
        <v>364</v>
      </c>
      <c r="E55" s="332" t="s">
        <v>362</v>
      </c>
      <c r="F55" s="333">
        <v>40000</v>
      </c>
      <c r="G55" s="330" t="s">
        <v>236</v>
      </c>
      <c r="H55" s="329">
        <v>35.304688093844689</v>
      </c>
      <c r="I55" s="333">
        <v>8.8261720234611722</v>
      </c>
      <c r="J55" s="333">
        <v>8.8261720234611722</v>
      </c>
      <c r="K55" s="333">
        <v>8.8261720234611722</v>
      </c>
      <c r="L55" s="333">
        <v>8.8261720234611722</v>
      </c>
      <c r="M55" s="333"/>
    </row>
    <row r="56" spans="1:13" hidden="1" outlineLevel="2" x14ac:dyDescent="0.35">
      <c r="A56" s="326" t="s">
        <v>58</v>
      </c>
      <c r="B56" s="331">
        <v>44559</v>
      </c>
      <c r="C56" s="332" t="s">
        <v>365</v>
      </c>
      <c r="D56" s="332" t="s">
        <v>366</v>
      </c>
      <c r="E56" s="332" t="s">
        <v>314</v>
      </c>
      <c r="F56" s="333">
        <v>3450660</v>
      </c>
      <c r="G56" s="330" t="s">
        <v>236</v>
      </c>
      <c r="H56" s="329">
        <v>3045.6118754476524</v>
      </c>
      <c r="I56" s="333">
        <v>761.40296886191311</v>
      </c>
      <c r="J56" s="333">
        <v>761.40296886191311</v>
      </c>
      <c r="K56" s="333">
        <v>761.40296886191311</v>
      </c>
      <c r="L56" s="333">
        <v>761.40296886191311</v>
      </c>
      <c r="M56" s="333"/>
    </row>
    <row r="57" spans="1:13" hidden="1" outlineLevel="2" x14ac:dyDescent="0.35">
      <c r="A57" s="326" t="s">
        <v>58</v>
      </c>
      <c r="B57" s="331">
        <v>44560</v>
      </c>
      <c r="C57" s="332" t="s">
        <v>367</v>
      </c>
      <c r="D57" s="332" t="s">
        <v>368</v>
      </c>
      <c r="E57" s="332" t="s">
        <v>369</v>
      </c>
      <c r="F57" s="333">
        <v>133964</v>
      </c>
      <c r="G57" s="330" t="s">
        <v>236</v>
      </c>
      <c r="H57" s="329">
        <v>118.23893089509524</v>
      </c>
      <c r="I57" s="333">
        <v>29.559732723773809</v>
      </c>
      <c r="J57" s="333">
        <v>29.559732723773809</v>
      </c>
      <c r="K57" s="333">
        <v>29.559732723773809</v>
      </c>
      <c r="L57" s="333">
        <v>29.559732723773809</v>
      </c>
      <c r="M57" s="333"/>
    </row>
    <row r="58" spans="1:13" hidden="1" outlineLevel="2" x14ac:dyDescent="0.35">
      <c r="A58" s="326" t="s">
        <v>58</v>
      </c>
      <c r="B58" s="331">
        <v>44559</v>
      </c>
      <c r="C58" s="332" t="s">
        <v>370</v>
      </c>
      <c r="D58" s="332" t="s">
        <v>371</v>
      </c>
      <c r="E58" s="332" t="s">
        <v>258</v>
      </c>
      <c r="F58" s="333">
        <v>307000</v>
      </c>
      <c r="G58" s="330" t="s">
        <v>236</v>
      </c>
      <c r="H58" s="329">
        <v>270.963481120258</v>
      </c>
      <c r="I58" s="333">
        <v>67.740870280064499</v>
      </c>
      <c r="J58" s="333">
        <v>67.740870280064499</v>
      </c>
      <c r="K58" s="333">
        <v>67.740870280064499</v>
      </c>
      <c r="L58" s="333">
        <v>67.740870280064499</v>
      </c>
      <c r="M58" s="333"/>
    </row>
    <row r="59" spans="1:13" outlineLevel="1" collapsed="1" x14ac:dyDescent="0.35">
      <c r="A59" s="334" t="s">
        <v>372</v>
      </c>
      <c r="B59" s="331"/>
      <c r="C59" s="332"/>
      <c r="D59" s="332"/>
      <c r="E59" s="332"/>
      <c r="F59" s="333"/>
      <c r="G59" s="330"/>
      <c r="H59" s="329">
        <f t="shared" ref="H59:M59" si="0">SUBTOTAL(9,H2:H58)</f>
        <v>38920.103147147049</v>
      </c>
      <c r="I59" s="333">
        <f t="shared" si="0"/>
        <v>9730.0257867867622</v>
      </c>
      <c r="J59" s="333">
        <f t="shared" si="0"/>
        <v>9730.0257867867622</v>
      </c>
      <c r="K59" s="333">
        <f t="shared" si="0"/>
        <v>9730.0257867867622</v>
      </c>
      <c r="L59" s="333">
        <f t="shared" si="0"/>
        <v>9730.0257867867622</v>
      </c>
      <c r="M59" s="333">
        <f t="shared" si="0"/>
        <v>0</v>
      </c>
    </row>
    <row r="60" spans="1:13" hidden="1" outlineLevel="2" x14ac:dyDescent="0.35">
      <c r="A60" s="335" t="s">
        <v>189</v>
      </c>
      <c r="B60" s="331">
        <v>44217</v>
      </c>
      <c r="C60" s="332" t="s">
        <v>373</v>
      </c>
      <c r="D60" s="332" t="s">
        <v>374</v>
      </c>
      <c r="E60" s="332" t="s">
        <v>375</v>
      </c>
      <c r="F60" s="336">
        <v>396563</v>
      </c>
      <c r="G60" s="330" t="s">
        <v>236</v>
      </c>
      <c r="H60" s="329">
        <v>350.01332561398328</v>
      </c>
      <c r="I60" s="336">
        <v>87.503331403495821</v>
      </c>
      <c r="J60" s="336">
        <v>87.503331403495821</v>
      </c>
      <c r="K60" s="336">
        <v>87.503331403495821</v>
      </c>
      <c r="L60" s="336">
        <v>87.503331403495821</v>
      </c>
      <c r="M60" s="336"/>
    </row>
    <row r="61" spans="1:13" hidden="1" outlineLevel="2" x14ac:dyDescent="0.35">
      <c r="A61" s="335" t="s">
        <v>189</v>
      </c>
      <c r="B61" s="331">
        <v>44217</v>
      </c>
      <c r="C61" s="332" t="s">
        <v>376</v>
      </c>
      <c r="D61" s="332" t="s">
        <v>377</v>
      </c>
      <c r="E61" s="332" t="s">
        <v>375</v>
      </c>
      <c r="F61" s="336">
        <v>274778</v>
      </c>
      <c r="G61" s="330" t="s">
        <v>236</v>
      </c>
      <c r="H61" s="329">
        <v>242.52378962626139</v>
      </c>
      <c r="I61" s="336">
        <v>60.630947406565348</v>
      </c>
      <c r="J61" s="336">
        <v>60.630947406565348</v>
      </c>
      <c r="K61" s="336">
        <v>60.630947406565348</v>
      </c>
      <c r="L61" s="336">
        <v>60.630947406565348</v>
      </c>
      <c r="M61" s="336"/>
    </row>
    <row r="62" spans="1:13" hidden="1" outlineLevel="2" x14ac:dyDescent="0.35">
      <c r="A62" s="335" t="s">
        <v>189</v>
      </c>
      <c r="B62" s="331">
        <v>44407</v>
      </c>
      <c r="C62" s="332" t="s">
        <v>378</v>
      </c>
      <c r="D62" s="332" t="s">
        <v>379</v>
      </c>
      <c r="E62" s="332" t="s">
        <v>380</v>
      </c>
      <c r="F62" s="336">
        <v>396563</v>
      </c>
      <c r="G62" s="330" t="s">
        <v>236</v>
      </c>
      <c r="H62" s="329">
        <v>338.12348813481941</v>
      </c>
      <c r="I62" s="333">
        <v>84.530872033704853</v>
      </c>
      <c r="J62" s="333">
        <v>84.530872033704853</v>
      </c>
      <c r="K62" s="333">
        <v>84.530872033704853</v>
      </c>
      <c r="L62" s="333">
        <v>84.530872033704853</v>
      </c>
      <c r="M62" s="336"/>
    </row>
    <row r="63" spans="1:13" hidden="1" outlineLevel="2" x14ac:dyDescent="0.35">
      <c r="A63" s="335" t="s">
        <v>189</v>
      </c>
      <c r="B63" s="331">
        <v>44407</v>
      </c>
      <c r="C63" s="332" t="s">
        <v>381</v>
      </c>
      <c r="D63" s="332" t="s">
        <v>382</v>
      </c>
      <c r="E63" s="332" t="s">
        <v>383</v>
      </c>
      <c r="F63" s="336">
        <v>274778</v>
      </c>
      <c r="G63" s="330" t="s">
        <v>236</v>
      </c>
      <c r="H63" s="329">
        <v>234.28533630900867</v>
      </c>
      <c r="I63" s="333">
        <v>58.571334077252168</v>
      </c>
      <c r="J63" s="333">
        <v>58.571334077252168</v>
      </c>
      <c r="K63" s="333">
        <v>58.571334077252168</v>
      </c>
      <c r="L63" s="333">
        <v>58.571334077252168</v>
      </c>
      <c r="M63" s="336"/>
    </row>
    <row r="64" spans="1:13" hidden="1" outlineLevel="2" x14ac:dyDescent="0.35">
      <c r="A64" s="335" t="s">
        <v>189</v>
      </c>
      <c r="B64" s="331">
        <v>44428</v>
      </c>
      <c r="C64" s="332" t="s">
        <v>384</v>
      </c>
      <c r="D64" s="332" t="s">
        <v>385</v>
      </c>
      <c r="E64" s="332" t="s">
        <v>383</v>
      </c>
      <c r="F64" s="336">
        <v>396563</v>
      </c>
      <c r="G64" s="330" t="s">
        <v>236</v>
      </c>
      <c r="H64" s="329">
        <v>338.12348813481941</v>
      </c>
      <c r="I64" s="333">
        <v>84.530872033704853</v>
      </c>
      <c r="J64" s="333">
        <v>84.530872033704853</v>
      </c>
      <c r="K64" s="333">
        <v>84.530872033704853</v>
      </c>
      <c r="L64" s="333">
        <v>84.530872033704853</v>
      </c>
      <c r="M64" s="336"/>
    </row>
    <row r="65" spans="1:13" hidden="1" outlineLevel="2" x14ac:dyDescent="0.35">
      <c r="A65" s="335" t="s">
        <v>189</v>
      </c>
      <c r="B65" s="331">
        <v>44428</v>
      </c>
      <c r="C65" s="332" t="s">
        <v>386</v>
      </c>
      <c r="D65" s="332" t="s">
        <v>387</v>
      </c>
      <c r="E65" s="332" t="s">
        <v>380</v>
      </c>
      <c r="F65" s="336">
        <v>274778</v>
      </c>
      <c r="G65" s="330" t="s">
        <v>236</v>
      </c>
      <c r="H65" s="329">
        <v>234.28533630900867</v>
      </c>
      <c r="I65" s="333">
        <v>58.571334077252168</v>
      </c>
      <c r="J65" s="333">
        <v>58.571334077252168</v>
      </c>
      <c r="K65" s="333">
        <v>58.571334077252168</v>
      </c>
      <c r="L65" s="333">
        <v>58.571334077252168</v>
      </c>
      <c r="M65" s="336"/>
    </row>
    <row r="66" spans="1:13" hidden="1" outlineLevel="2" x14ac:dyDescent="0.35">
      <c r="A66" s="335" t="s">
        <v>189</v>
      </c>
      <c r="B66" s="331">
        <v>44460</v>
      </c>
      <c r="C66" s="332" t="s">
        <v>388</v>
      </c>
      <c r="D66" s="332" t="s">
        <v>385</v>
      </c>
      <c r="E66" s="332" t="s">
        <v>383</v>
      </c>
      <c r="F66" s="336">
        <v>396563</v>
      </c>
      <c r="G66" s="330" t="s">
        <v>236</v>
      </c>
      <c r="H66" s="329">
        <v>338.12348813481941</v>
      </c>
      <c r="I66" s="333">
        <v>84.530872033704853</v>
      </c>
      <c r="J66" s="333">
        <v>84.530872033704853</v>
      </c>
      <c r="K66" s="333">
        <v>84.530872033704853</v>
      </c>
      <c r="L66" s="333">
        <v>84.530872033704853</v>
      </c>
      <c r="M66" s="336"/>
    </row>
    <row r="67" spans="1:13" hidden="1" outlineLevel="2" x14ac:dyDescent="0.35">
      <c r="A67" s="335" t="s">
        <v>189</v>
      </c>
      <c r="B67" s="331">
        <v>44460</v>
      </c>
      <c r="C67" s="332" t="s">
        <v>389</v>
      </c>
      <c r="D67" s="332" t="s">
        <v>387</v>
      </c>
      <c r="E67" s="332" t="s">
        <v>383</v>
      </c>
      <c r="F67" s="336">
        <v>274778</v>
      </c>
      <c r="G67" s="330" t="s">
        <v>236</v>
      </c>
      <c r="H67" s="329">
        <v>234.28533630900867</v>
      </c>
      <c r="I67" s="333">
        <v>58.571334077252168</v>
      </c>
      <c r="J67" s="333">
        <v>58.571334077252168</v>
      </c>
      <c r="K67" s="333">
        <v>58.571334077252168</v>
      </c>
      <c r="L67" s="333">
        <v>58.571334077252168</v>
      </c>
      <c r="M67" s="336"/>
    </row>
    <row r="68" spans="1:13" hidden="1" outlineLevel="2" x14ac:dyDescent="0.35">
      <c r="A68" s="335" t="s">
        <v>189</v>
      </c>
      <c r="B68" s="331">
        <v>44490</v>
      </c>
      <c r="C68" s="332" t="s">
        <v>390</v>
      </c>
      <c r="D68" s="332" t="s">
        <v>391</v>
      </c>
      <c r="E68" s="332" t="s">
        <v>383</v>
      </c>
      <c r="F68" s="336">
        <v>396563</v>
      </c>
      <c r="G68" s="330" t="s">
        <v>236</v>
      </c>
      <c r="H68" s="329">
        <v>338.12348813481941</v>
      </c>
      <c r="I68" s="333">
        <v>84.530872033704853</v>
      </c>
      <c r="J68" s="333">
        <v>84.530872033704853</v>
      </c>
      <c r="K68" s="333">
        <v>84.530872033704853</v>
      </c>
      <c r="L68" s="333">
        <v>84.530872033704853</v>
      </c>
      <c r="M68" s="336"/>
    </row>
    <row r="69" spans="1:13" hidden="1" outlineLevel="2" x14ac:dyDescent="0.35">
      <c r="A69" s="335" t="s">
        <v>189</v>
      </c>
      <c r="B69" s="331">
        <v>44498</v>
      </c>
      <c r="C69" s="332" t="s">
        <v>392</v>
      </c>
      <c r="D69" s="332" t="s">
        <v>393</v>
      </c>
      <c r="E69" s="332" t="s">
        <v>383</v>
      </c>
      <c r="F69" s="336">
        <v>274778</v>
      </c>
      <c r="G69" s="330" t="s">
        <v>236</v>
      </c>
      <c r="H69" s="329">
        <v>234.28533630900867</v>
      </c>
      <c r="I69" s="333">
        <v>58.571334077252168</v>
      </c>
      <c r="J69" s="333">
        <v>58.571334077252168</v>
      </c>
      <c r="K69" s="333">
        <v>58.571334077252168</v>
      </c>
      <c r="L69" s="333">
        <v>58.571334077252168</v>
      </c>
      <c r="M69" s="336"/>
    </row>
    <row r="70" spans="1:13" hidden="1" outlineLevel="2" x14ac:dyDescent="0.35">
      <c r="A70" s="335" t="s">
        <v>189</v>
      </c>
      <c r="B70" s="331">
        <v>44519</v>
      </c>
      <c r="C70" s="332" t="s">
        <v>394</v>
      </c>
      <c r="D70" s="332" t="s">
        <v>395</v>
      </c>
      <c r="E70" s="332" t="s">
        <v>383</v>
      </c>
      <c r="F70" s="336">
        <v>396563</v>
      </c>
      <c r="G70" s="330" t="s">
        <v>236</v>
      </c>
      <c r="H70" s="329">
        <v>338.12348813481941</v>
      </c>
      <c r="I70" s="333">
        <v>84.530872033704853</v>
      </c>
      <c r="J70" s="333">
        <v>84.530872033704853</v>
      </c>
      <c r="K70" s="333">
        <v>84.530872033704853</v>
      </c>
      <c r="L70" s="333">
        <v>84.530872033704853</v>
      </c>
      <c r="M70" s="336"/>
    </row>
    <row r="71" spans="1:13" hidden="1" outlineLevel="2" x14ac:dyDescent="0.35">
      <c r="A71" s="335" t="s">
        <v>189</v>
      </c>
      <c r="B71" s="331">
        <v>44519</v>
      </c>
      <c r="C71" s="332" t="s">
        <v>396</v>
      </c>
      <c r="D71" s="332" t="s">
        <v>397</v>
      </c>
      <c r="E71" s="332" t="s">
        <v>383</v>
      </c>
      <c r="F71" s="336">
        <v>274778</v>
      </c>
      <c r="G71" s="330" t="s">
        <v>236</v>
      </c>
      <c r="H71" s="329">
        <v>234.28533630900867</v>
      </c>
      <c r="I71" s="333">
        <v>58.571334077252168</v>
      </c>
      <c r="J71" s="333">
        <v>58.571334077252168</v>
      </c>
      <c r="K71" s="333">
        <v>58.571334077252168</v>
      </c>
      <c r="L71" s="333">
        <v>58.571334077252168</v>
      </c>
      <c r="M71" s="336"/>
    </row>
    <row r="72" spans="1:13" hidden="1" outlineLevel="2" x14ac:dyDescent="0.35">
      <c r="A72" s="335" t="s">
        <v>189</v>
      </c>
      <c r="B72" s="331">
        <v>44543</v>
      </c>
      <c r="C72" s="332" t="s">
        <v>398</v>
      </c>
      <c r="D72" s="332" t="s">
        <v>399</v>
      </c>
      <c r="E72" s="332" t="s">
        <v>400</v>
      </c>
      <c r="F72" s="336">
        <v>396563</v>
      </c>
      <c r="G72" s="330" t="s">
        <v>236</v>
      </c>
      <c r="H72" s="329">
        <v>338.12348813481941</v>
      </c>
      <c r="I72" s="333">
        <v>84.530872033704853</v>
      </c>
      <c r="J72" s="333">
        <v>84.530872033704853</v>
      </c>
      <c r="K72" s="333">
        <v>84.530872033704853</v>
      </c>
      <c r="L72" s="333">
        <v>84.530872033704853</v>
      </c>
      <c r="M72" s="336"/>
    </row>
    <row r="73" spans="1:13" hidden="1" outlineLevel="2" x14ac:dyDescent="0.35">
      <c r="A73" s="335" t="s">
        <v>189</v>
      </c>
      <c r="B73" s="331">
        <v>44543</v>
      </c>
      <c r="C73" s="332" t="s">
        <v>401</v>
      </c>
      <c r="D73" s="332" t="s">
        <v>402</v>
      </c>
      <c r="E73" s="332" t="s">
        <v>400</v>
      </c>
      <c r="F73" s="336">
        <v>206408</v>
      </c>
      <c r="G73" s="330" t="s">
        <v>236</v>
      </c>
      <c r="H73" s="329">
        <v>175.99068228486217</v>
      </c>
      <c r="I73" s="333">
        <v>43.997670571215544</v>
      </c>
      <c r="J73" s="333">
        <v>43.997670571215544</v>
      </c>
      <c r="K73" s="333">
        <v>43.997670571215544</v>
      </c>
      <c r="L73" s="333">
        <v>43.997670571215544</v>
      </c>
      <c r="M73" s="336"/>
    </row>
    <row r="74" spans="1:13" hidden="1" outlineLevel="2" x14ac:dyDescent="0.35">
      <c r="A74" s="335" t="s">
        <v>189</v>
      </c>
      <c r="B74" s="331">
        <v>44543</v>
      </c>
      <c r="C74" s="332" t="s">
        <v>403</v>
      </c>
      <c r="D74" s="332" t="s">
        <v>404</v>
      </c>
      <c r="E74" s="332" t="s">
        <v>400</v>
      </c>
      <c r="F74" s="336">
        <v>274778</v>
      </c>
      <c r="G74" s="330" t="s">
        <v>236</v>
      </c>
      <c r="H74" s="329">
        <v>234.28533630900867</v>
      </c>
      <c r="I74" s="333">
        <v>58.571334077252168</v>
      </c>
      <c r="J74" s="333">
        <v>58.571334077252168</v>
      </c>
      <c r="K74" s="333">
        <v>58.571334077252168</v>
      </c>
      <c r="L74" s="333">
        <v>58.571334077252168</v>
      </c>
      <c r="M74" s="336"/>
    </row>
    <row r="75" spans="1:13" hidden="1" outlineLevel="2" x14ac:dyDescent="0.35">
      <c r="A75" s="335" t="s">
        <v>189</v>
      </c>
      <c r="B75" s="331">
        <v>44543</v>
      </c>
      <c r="C75" s="332" t="s">
        <v>405</v>
      </c>
      <c r="D75" s="332" t="s">
        <v>406</v>
      </c>
      <c r="E75" s="332" t="s">
        <v>400</v>
      </c>
      <c r="F75" s="336">
        <v>121088</v>
      </c>
      <c r="G75" s="330" t="s">
        <v>236</v>
      </c>
      <c r="H75" s="329">
        <v>103.24386524024938</v>
      </c>
      <c r="I75" s="333">
        <v>25.810966310062344</v>
      </c>
      <c r="J75" s="333">
        <v>25.810966310062344</v>
      </c>
      <c r="K75" s="333">
        <v>25.810966310062344</v>
      </c>
      <c r="L75" s="333">
        <v>25.810966310062344</v>
      </c>
      <c r="M75" s="336"/>
    </row>
    <row r="76" spans="1:13" outlineLevel="1" collapsed="1" x14ac:dyDescent="0.35">
      <c r="A76" s="337" t="s">
        <v>407</v>
      </c>
      <c r="B76" s="331"/>
      <c r="C76" s="332"/>
      <c r="D76" s="332"/>
      <c r="E76" s="332"/>
      <c r="F76" s="336"/>
      <c r="G76" s="330"/>
      <c r="H76" s="329">
        <f t="shared" ref="H76:M76" si="1">SUBTOTAL(9,H60:H75)</f>
        <v>4306.2246094283246</v>
      </c>
      <c r="I76" s="333">
        <f t="shared" si="1"/>
        <v>1076.5561523570811</v>
      </c>
      <c r="J76" s="333">
        <f t="shared" si="1"/>
        <v>1076.5561523570811</v>
      </c>
      <c r="K76" s="333">
        <f t="shared" si="1"/>
        <v>1076.5561523570811</v>
      </c>
      <c r="L76" s="333">
        <f t="shared" si="1"/>
        <v>1076.5561523570811</v>
      </c>
      <c r="M76" s="336">
        <f t="shared" si="1"/>
        <v>0</v>
      </c>
    </row>
    <row r="77" spans="1:13" hidden="1" outlineLevel="2" x14ac:dyDescent="0.35">
      <c r="A77" s="335" t="s">
        <v>205</v>
      </c>
      <c r="B77" s="331">
        <v>44306</v>
      </c>
      <c r="C77" s="332" t="s">
        <v>408</v>
      </c>
      <c r="D77" s="332" t="s">
        <v>409</v>
      </c>
      <c r="E77" s="332" t="s">
        <v>410</v>
      </c>
      <c r="F77" s="336">
        <v>709921</v>
      </c>
      <c r="G77" s="330" t="s">
        <v>236</v>
      </c>
      <c r="H77" s="329">
        <v>605.30348222138502</v>
      </c>
      <c r="I77" s="333"/>
      <c r="J77" s="333">
        <v>605.30348222138502</v>
      </c>
      <c r="K77" s="333"/>
      <c r="L77" s="333"/>
      <c r="M77" s="336"/>
    </row>
    <row r="78" spans="1:13" hidden="1" outlineLevel="2" x14ac:dyDescent="0.35">
      <c r="A78" s="335" t="s">
        <v>205</v>
      </c>
      <c r="B78" s="331">
        <v>44306</v>
      </c>
      <c r="C78" s="332" t="s">
        <v>411</v>
      </c>
      <c r="D78" s="332" t="s">
        <v>412</v>
      </c>
      <c r="E78" s="332" t="s">
        <v>410</v>
      </c>
      <c r="F78" s="336">
        <v>514090</v>
      </c>
      <c r="G78" s="330" t="s">
        <v>236</v>
      </c>
      <c r="H78" s="329">
        <v>438.33112018829115</v>
      </c>
      <c r="I78" s="333"/>
      <c r="J78" s="333">
        <v>438.33112018829115</v>
      </c>
      <c r="K78" s="329"/>
      <c r="L78" s="333"/>
      <c r="M78" s="336"/>
    </row>
    <row r="79" spans="1:13" hidden="1" outlineLevel="2" x14ac:dyDescent="0.35">
      <c r="A79" s="335" t="s">
        <v>205</v>
      </c>
      <c r="B79" s="331">
        <v>44334</v>
      </c>
      <c r="C79" s="332" t="s">
        <v>413</v>
      </c>
      <c r="D79" s="332" t="s">
        <v>414</v>
      </c>
      <c r="E79" s="332" t="s">
        <v>410</v>
      </c>
      <c r="F79" s="336">
        <v>249921</v>
      </c>
      <c r="G79" s="330" t="s">
        <v>236</v>
      </c>
      <c r="H79" s="329">
        <v>213.09138845061742</v>
      </c>
      <c r="I79" s="333"/>
      <c r="J79" s="333">
        <v>213.09138845061742</v>
      </c>
      <c r="K79" s="333"/>
      <c r="L79" s="333"/>
      <c r="M79" s="336"/>
    </row>
    <row r="80" spans="1:13" hidden="1" outlineLevel="2" x14ac:dyDescent="0.35">
      <c r="A80" s="335" t="s">
        <v>205</v>
      </c>
      <c r="B80" s="331">
        <v>44334</v>
      </c>
      <c r="C80" s="332" t="s">
        <v>415</v>
      </c>
      <c r="D80" s="332" t="s">
        <v>416</v>
      </c>
      <c r="E80" s="332" t="s">
        <v>410</v>
      </c>
      <c r="F80" s="336">
        <v>774090</v>
      </c>
      <c r="G80" s="330" t="s">
        <v>236</v>
      </c>
      <c r="H80" s="329">
        <v>660.01621666742074</v>
      </c>
      <c r="I80" s="333"/>
      <c r="J80" s="333">
        <v>660.01621666742074</v>
      </c>
      <c r="K80" s="333"/>
      <c r="L80" s="333"/>
      <c r="M80" s="336"/>
    </row>
    <row r="81" spans="1:13" hidden="1" outlineLevel="2" x14ac:dyDescent="0.35">
      <c r="A81" s="335" t="s">
        <v>205</v>
      </c>
      <c r="B81" s="331">
        <v>44365</v>
      </c>
      <c r="C81" s="332" t="s">
        <v>417</v>
      </c>
      <c r="D81" s="332" t="s">
        <v>418</v>
      </c>
      <c r="E81" s="332" t="s">
        <v>410</v>
      </c>
      <c r="F81" s="336">
        <v>249921</v>
      </c>
      <c r="G81" s="330" t="s">
        <v>236</v>
      </c>
      <c r="H81" s="329">
        <v>213.09138845061742</v>
      </c>
      <c r="I81" s="333"/>
      <c r="J81" s="333">
        <v>213.09138845061742</v>
      </c>
      <c r="K81" s="333"/>
      <c r="L81" s="333"/>
      <c r="M81" s="336"/>
    </row>
    <row r="82" spans="1:13" hidden="1" outlineLevel="2" x14ac:dyDescent="0.35">
      <c r="A82" s="335" t="s">
        <v>205</v>
      </c>
      <c r="B82" s="331">
        <v>44365</v>
      </c>
      <c r="C82" s="332" t="s">
        <v>419</v>
      </c>
      <c r="D82" s="332" t="s">
        <v>420</v>
      </c>
      <c r="E82" s="332" t="s">
        <v>410</v>
      </c>
      <c r="F82" s="336">
        <v>376331</v>
      </c>
      <c r="G82" s="330" t="s">
        <v>236</v>
      </c>
      <c r="H82" s="329">
        <v>320.87297708879731</v>
      </c>
      <c r="I82" s="333"/>
      <c r="J82" s="333">
        <v>320.87297708879731</v>
      </c>
      <c r="K82" s="333"/>
      <c r="L82" s="333"/>
      <c r="M82" s="336"/>
    </row>
    <row r="83" spans="1:13" hidden="1" outlineLevel="2" x14ac:dyDescent="0.35">
      <c r="A83" s="335" t="s">
        <v>205</v>
      </c>
      <c r="B83" s="331">
        <v>44365</v>
      </c>
      <c r="C83" s="332" t="s">
        <v>421</v>
      </c>
      <c r="D83" s="332" t="s">
        <v>422</v>
      </c>
      <c r="E83" s="332" t="s">
        <v>410</v>
      </c>
      <c r="F83" s="336">
        <v>220773</v>
      </c>
      <c r="G83" s="330" t="s">
        <v>236</v>
      </c>
      <c r="H83" s="329">
        <v>188.23878386533409</v>
      </c>
      <c r="I83" s="333"/>
      <c r="J83" s="333">
        <v>188.23878386533409</v>
      </c>
      <c r="K83" s="333"/>
      <c r="L83" s="333"/>
      <c r="M83" s="336"/>
    </row>
    <row r="84" spans="1:13" hidden="1" outlineLevel="2" x14ac:dyDescent="0.35">
      <c r="A84" s="335" t="s">
        <v>205</v>
      </c>
      <c r="B84" s="331">
        <v>44365</v>
      </c>
      <c r="C84" s="332" t="s">
        <v>423</v>
      </c>
      <c r="D84" s="332" t="s">
        <v>424</v>
      </c>
      <c r="E84" s="332" t="s">
        <v>410</v>
      </c>
      <c r="F84" s="336">
        <v>774090</v>
      </c>
      <c r="G84" s="330" t="s">
        <v>236</v>
      </c>
      <c r="H84" s="329">
        <v>660.01621666742074</v>
      </c>
      <c r="I84" s="333"/>
      <c r="J84" s="333">
        <v>660.01621666742074</v>
      </c>
      <c r="K84" s="333"/>
      <c r="L84" s="333"/>
      <c r="M84" s="336"/>
    </row>
    <row r="85" spans="1:13" hidden="1" outlineLevel="2" x14ac:dyDescent="0.35">
      <c r="A85" s="335" t="s">
        <v>205</v>
      </c>
      <c r="B85" s="331">
        <v>44407</v>
      </c>
      <c r="C85" s="332" t="s">
        <v>378</v>
      </c>
      <c r="D85" s="332" t="s">
        <v>425</v>
      </c>
      <c r="E85" s="332" t="s">
        <v>426</v>
      </c>
      <c r="F85" s="336">
        <v>277681</v>
      </c>
      <c r="G85" s="330" t="s">
        <v>236</v>
      </c>
      <c r="H85" s="329">
        <v>236.7605356746968</v>
      </c>
      <c r="I85" s="333"/>
      <c r="J85" s="333">
        <v>236.7605356746968</v>
      </c>
      <c r="K85" s="333"/>
      <c r="L85" s="333"/>
      <c r="M85" s="336"/>
    </row>
    <row r="86" spans="1:13" hidden="1" outlineLevel="2" x14ac:dyDescent="0.35">
      <c r="A86" s="335" t="s">
        <v>205</v>
      </c>
      <c r="B86" s="331">
        <v>44407</v>
      </c>
      <c r="C86" s="332" t="s">
        <v>381</v>
      </c>
      <c r="D86" s="332" t="s">
        <v>427</v>
      </c>
      <c r="E86" s="332" t="s">
        <v>410</v>
      </c>
      <c r="F86" s="336">
        <v>795289</v>
      </c>
      <c r="G86" s="330" t="s">
        <v>236</v>
      </c>
      <c r="H86" s="329">
        <v>678.09122574534786</v>
      </c>
      <c r="I86" s="333"/>
      <c r="J86" s="333">
        <v>678.09122574534786</v>
      </c>
      <c r="K86" s="333"/>
      <c r="L86" s="333"/>
      <c r="M86" s="336"/>
    </row>
    <row r="87" spans="1:13" outlineLevel="1" collapsed="1" x14ac:dyDescent="0.35">
      <c r="A87" s="337" t="s">
        <v>428</v>
      </c>
      <c r="B87" s="327"/>
      <c r="C87" s="328"/>
      <c r="D87" s="328"/>
      <c r="E87" s="328"/>
      <c r="F87" s="338"/>
      <c r="G87" s="330"/>
      <c r="H87" s="329">
        <f t="shared" ref="H87:M87" si="2">SUBTOTAL(9,H77:H86)</f>
        <v>4213.8133350199278</v>
      </c>
      <c r="I87" s="329">
        <f t="shared" si="2"/>
        <v>0</v>
      </c>
      <c r="J87" s="329">
        <f t="shared" si="2"/>
        <v>4213.8133350199278</v>
      </c>
      <c r="K87" s="329">
        <f t="shared" si="2"/>
        <v>0</v>
      </c>
      <c r="L87" s="329">
        <f t="shared" si="2"/>
        <v>0</v>
      </c>
      <c r="M87" s="338">
        <f t="shared" si="2"/>
        <v>0</v>
      </c>
    </row>
    <row r="88" spans="1:13" hidden="1" outlineLevel="2" x14ac:dyDescent="0.35">
      <c r="A88" s="335" t="s">
        <v>96</v>
      </c>
      <c r="B88" s="327">
        <v>43837</v>
      </c>
      <c r="C88" s="328" t="s">
        <v>429</v>
      </c>
      <c r="D88" s="328" t="s">
        <v>430</v>
      </c>
      <c r="E88" s="328" t="s">
        <v>431</v>
      </c>
      <c r="F88" s="338">
        <v>1200</v>
      </c>
      <c r="G88" s="330" t="s">
        <v>236</v>
      </c>
      <c r="H88" s="329">
        <v>1.1148722508807762</v>
      </c>
      <c r="I88" s="338">
        <v>0.27871806272019406</v>
      </c>
      <c r="J88" s="338">
        <v>0.27871806272019406</v>
      </c>
      <c r="K88" s="338">
        <v>0.27871806272019406</v>
      </c>
      <c r="L88" s="338">
        <v>0.27871806272019406</v>
      </c>
      <c r="M88" s="338"/>
    </row>
    <row r="89" spans="1:13" hidden="1" outlineLevel="2" x14ac:dyDescent="0.35">
      <c r="A89" s="335" t="s">
        <v>96</v>
      </c>
      <c r="B89" s="331">
        <v>43839</v>
      </c>
      <c r="C89" s="332" t="s">
        <v>429</v>
      </c>
      <c r="D89" s="332" t="s">
        <v>430</v>
      </c>
      <c r="E89" s="332" t="s">
        <v>431</v>
      </c>
      <c r="F89" s="336">
        <v>4200</v>
      </c>
      <c r="G89" s="330" t="s">
        <v>236</v>
      </c>
      <c r="H89" s="329">
        <v>3.9020528780827171</v>
      </c>
      <c r="I89" s="336">
        <v>0.97551321952067926</v>
      </c>
      <c r="J89" s="336">
        <v>0.97551321952067926</v>
      </c>
      <c r="K89" s="338">
        <v>0.97551321952067926</v>
      </c>
      <c r="L89" s="336">
        <v>0.97551321952067926</v>
      </c>
      <c r="M89" s="336"/>
    </row>
    <row r="90" spans="1:13" hidden="1" outlineLevel="2" x14ac:dyDescent="0.35">
      <c r="A90" s="335" t="s">
        <v>96</v>
      </c>
      <c r="B90" s="331">
        <v>43850</v>
      </c>
      <c r="C90" s="332" t="s">
        <v>432</v>
      </c>
      <c r="D90" s="332" t="s">
        <v>433</v>
      </c>
      <c r="E90" s="332" t="s">
        <v>431</v>
      </c>
      <c r="F90" s="336">
        <v>1172914</v>
      </c>
      <c r="G90" s="330" t="s">
        <v>236</v>
      </c>
      <c r="H90" s="329">
        <v>1089.707726057979</v>
      </c>
      <c r="I90" s="336">
        <v>272.42693151449475</v>
      </c>
      <c r="J90" s="336">
        <v>272.42693151449475</v>
      </c>
      <c r="K90" s="336">
        <v>272.42693151449475</v>
      </c>
      <c r="L90" s="336">
        <v>272.42693151449475</v>
      </c>
      <c r="M90" s="336"/>
    </row>
    <row r="91" spans="1:13" hidden="1" outlineLevel="2" x14ac:dyDescent="0.35">
      <c r="A91" s="335" t="s">
        <v>96</v>
      </c>
      <c r="B91" s="331">
        <v>43851</v>
      </c>
      <c r="C91" s="332" t="s">
        <v>429</v>
      </c>
      <c r="D91" s="332" t="s">
        <v>430</v>
      </c>
      <c r="E91" s="332" t="s">
        <v>431</v>
      </c>
      <c r="F91" s="336">
        <v>2600</v>
      </c>
      <c r="G91" s="330" t="s">
        <v>236</v>
      </c>
      <c r="H91" s="329">
        <v>2.4155565435750153</v>
      </c>
      <c r="I91" s="336">
        <v>0.60388913589375381</v>
      </c>
      <c r="J91" s="336">
        <v>0.60388913589375381</v>
      </c>
      <c r="K91" s="338">
        <v>0.60388913589375381</v>
      </c>
      <c r="L91" s="336">
        <v>0.60388913589375381</v>
      </c>
      <c r="M91" s="336"/>
    </row>
    <row r="92" spans="1:13" hidden="1" outlineLevel="2" x14ac:dyDescent="0.35">
      <c r="A92" s="335" t="s">
        <v>96</v>
      </c>
      <c r="B92" s="331">
        <v>43861</v>
      </c>
      <c r="C92" s="332" t="s">
        <v>429</v>
      </c>
      <c r="D92" s="332" t="s">
        <v>430</v>
      </c>
      <c r="E92" s="332" t="s">
        <v>431</v>
      </c>
      <c r="F92" s="336">
        <v>3000</v>
      </c>
      <c r="G92" s="330" t="s">
        <v>236</v>
      </c>
      <c r="H92" s="329">
        <v>2.7871806272019408</v>
      </c>
      <c r="I92" s="336">
        <v>0.6967951568004852</v>
      </c>
      <c r="J92" s="336">
        <v>0.6967951568004852</v>
      </c>
      <c r="K92" s="338">
        <v>0.6967951568004852</v>
      </c>
      <c r="L92" s="336">
        <v>0.6967951568004852</v>
      </c>
      <c r="M92" s="336"/>
    </row>
    <row r="93" spans="1:13" hidden="1" outlineLevel="2" x14ac:dyDescent="0.35">
      <c r="A93" s="335" t="s">
        <v>96</v>
      </c>
      <c r="B93" s="331">
        <v>43866</v>
      </c>
      <c r="C93" s="332" t="s">
        <v>434</v>
      </c>
      <c r="D93" s="332" t="s">
        <v>435</v>
      </c>
      <c r="E93" s="332" t="s">
        <v>436</v>
      </c>
      <c r="F93" s="336">
        <v>-1172914</v>
      </c>
      <c r="G93" s="330" t="s">
        <v>236</v>
      </c>
      <c r="H93" s="329">
        <v>-1089.707726057979</v>
      </c>
      <c r="I93" s="336">
        <v>-272.42693151449475</v>
      </c>
      <c r="J93" s="336">
        <v>-272.42693151449475</v>
      </c>
      <c r="K93" s="338">
        <v>-272.42693151449475</v>
      </c>
      <c r="L93" s="336">
        <v>-272.42693151449475</v>
      </c>
      <c r="M93" s="336"/>
    </row>
    <row r="94" spans="1:13" hidden="1" outlineLevel="2" x14ac:dyDescent="0.35">
      <c r="A94" s="335" t="s">
        <v>96</v>
      </c>
      <c r="B94" s="331">
        <v>43866</v>
      </c>
      <c r="C94" s="332" t="s">
        <v>429</v>
      </c>
      <c r="D94" s="332" t="s">
        <v>430</v>
      </c>
      <c r="E94" s="332" t="s">
        <v>437</v>
      </c>
      <c r="F94" s="336">
        <v>4800</v>
      </c>
      <c r="G94" s="330" t="s">
        <v>236</v>
      </c>
      <c r="H94" s="329">
        <v>4.459489003523105</v>
      </c>
      <c r="I94" s="336">
        <v>1.1148722508807762</v>
      </c>
      <c r="J94" s="336">
        <v>1.1148722508807762</v>
      </c>
      <c r="K94" s="338">
        <v>1.1148722508807762</v>
      </c>
      <c r="L94" s="336">
        <v>1.1148722508807762</v>
      </c>
      <c r="M94" s="336"/>
    </row>
    <row r="95" spans="1:13" hidden="1" outlineLevel="2" x14ac:dyDescent="0.35">
      <c r="A95" s="335" t="s">
        <v>96</v>
      </c>
      <c r="B95" s="331">
        <v>43868</v>
      </c>
      <c r="C95" s="332" t="s">
        <v>429</v>
      </c>
      <c r="D95" s="332" t="s">
        <v>430</v>
      </c>
      <c r="E95" s="332" t="s">
        <v>437</v>
      </c>
      <c r="F95" s="336">
        <v>1200</v>
      </c>
      <c r="G95" s="330" t="s">
        <v>236</v>
      </c>
      <c r="H95" s="329">
        <v>1.1148722508807762</v>
      </c>
      <c r="I95" s="336">
        <v>0.27871806272019406</v>
      </c>
      <c r="J95" s="336">
        <v>0.27871806272019406</v>
      </c>
      <c r="K95" s="338">
        <v>0.27871806272019406</v>
      </c>
      <c r="L95" s="336">
        <v>0.27871806272019406</v>
      </c>
      <c r="M95" s="336"/>
    </row>
    <row r="96" spans="1:13" hidden="1" outlineLevel="2" x14ac:dyDescent="0.35">
      <c r="A96" s="335" t="s">
        <v>96</v>
      </c>
      <c r="B96" s="331">
        <v>43871</v>
      </c>
      <c r="C96" s="332" t="s">
        <v>429</v>
      </c>
      <c r="D96" s="332" t="s">
        <v>430</v>
      </c>
      <c r="E96" s="332" t="s">
        <v>437</v>
      </c>
      <c r="F96" s="336">
        <v>600</v>
      </c>
      <c r="G96" s="330" t="s">
        <v>236</v>
      </c>
      <c r="H96" s="329">
        <v>0.55743612544038812</v>
      </c>
      <c r="I96" s="336">
        <v>0.13935903136009703</v>
      </c>
      <c r="J96" s="336">
        <v>0.13935903136009703</v>
      </c>
      <c r="K96" s="338">
        <v>0.13935903136009703</v>
      </c>
      <c r="L96" s="336">
        <v>0.13935903136009703</v>
      </c>
      <c r="M96" s="336"/>
    </row>
    <row r="97" spans="1:13" hidden="1" outlineLevel="2" x14ac:dyDescent="0.35">
      <c r="A97" s="335" t="s">
        <v>96</v>
      </c>
      <c r="B97" s="331">
        <v>43882</v>
      </c>
      <c r="C97" s="332" t="s">
        <v>429</v>
      </c>
      <c r="D97" s="332" t="s">
        <v>430</v>
      </c>
      <c r="E97" s="332" t="s">
        <v>437</v>
      </c>
      <c r="F97" s="336">
        <v>3600</v>
      </c>
      <c r="G97" s="330" t="s">
        <v>236</v>
      </c>
      <c r="H97" s="329">
        <v>3.3446167526423292</v>
      </c>
      <c r="I97" s="336">
        <v>0.83615418816058229</v>
      </c>
      <c r="J97" s="336">
        <v>0.83615418816058229</v>
      </c>
      <c r="K97" s="336">
        <v>0.83615418816058229</v>
      </c>
      <c r="L97" s="336">
        <v>0.83615418816058229</v>
      </c>
      <c r="M97" s="336"/>
    </row>
    <row r="98" spans="1:13" hidden="1" outlineLevel="2" x14ac:dyDescent="0.35">
      <c r="A98" s="339" t="s">
        <v>96</v>
      </c>
      <c r="B98" s="331">
        <v>43886</v>
      </c>
      <c r="C98" s="332" t="s">
        <v>429</v>
      </c>
      <c r="D98" s="332" t="s">
        <v>430</v>
      </c>
      <c r="E98" s="332" t="s">
        <v>437</v>
      </c>
      <c r="F98" s="336">
        <v>1800</v>
      </c>
      <c r="G98" s="330" t="s">
        <v>236</v>
      </c>
      <c r="H98" s="329">
        <v>1.6723083763211646</v>
      </c>
      <c r="I98" s="336">
        <v>0.41807709408029115</v>
      </c>
      <c r="J98" s="336">
        <v>0.41807709408029115</v>
      </c>
      <c r="K98" s="338">
        <v>0.41807709408029115</v>
      </c>
      <c r="L98" s="336">
        <v>0.41807709408029115</v>
      </c>
      <c r="M98" s="336"/>
    </row>
    <row r="99" spans="1:13" hidden="1" outlineLevel="2" x14ac:dyDescent="0.35">
      <c r="A99" s="339" t="s">
        <v>96</v>
      </c>
      <c r="B99" s="331">
        <v>43889</v>
      </c>
      <c r="C99" s="332" t="s">
        <v>438</v>
      </c>
      <c r="D99" s="332" t="s">
        <v>439</v>
      </c>
      <c r="E99" s="332" t="s">
        <v>437</v>
      </c>
      <c r="F99" s="336">
        <v>3000</v>
      </c>
      <c r="G99" s="330" t="s">
        <v>236</v>
      </c>
      <c r="H99" s="329">
        <v>2.7871806272019408</v>
      </c>
      <c r="I99" s="336">
        <v>0.6967951568004852</v>
      </c>
      <c r="J99" s="336">
        <v>0.6967951568004852</v>
      </c>
      <c r="K99" s="338">
        <v>0.6967951568004852</v>
      </c>
      <c r="L99" s="336">
        <v>0.6967951568004852</v>
      </c>
      <c r="M99" s="336"/>
    </row>
    <row r="100" spans="1:13" hidden="1" outlineLevel="2" x14ac:dyDescent="0.35">
      <c r="A100" s="339" t="s">
        <v>96</v>
      </c>
      <c r="B100" s="331">
        <v>43896</v>
      </c>
      <c r="C100" s="332" t="s">
        <v>429</v>
      </c>
      <c r="D100" s="332" t="s">
        <v>430</v>
      </c>
      <c r="E100" s="332" t="s">
        <v>437</v>
      </c>
      <c r="F100" s="336">
        <v>1800</v>
      </c>
      <c r="G100" s="330" t="s">
        <v>236</v>
      </c>
      <c r="H100" s="329">
        <v>1.6723083763211646</v>
      </c>
      <c r="I100" s="336">
        <v>0.41807709408029115</v>
      </c>
      <c r="J100" s="336">
        <v>0.41807709408029115</v>
      </c>
      <c r="K100" s="338">
        <v>0.41807709408029115</v>
      </c>
      <c r="L100" s="336">
        <v>0.41807709408029115</v>
      </c>
      <c r="M100" s="336"/>
    </row>
    <row r="101" spans="1:13" hidden="1" outlineLevel="2" x14ac:dyDescent="0.35">
      <c r="A101" s="339" t="s">
        <v>96</v>
      </c>
      <c r="B101" s="331">
        <v>43899</v>
      </c>
      <c r="C101" s="332" t="s">
        <v>429</v>
      </c>
      <c r="D101" s="332" t="s">
        <v>430</v>
      </c>
      <c r="E101" s="332" t="s">
        <v>437</v>
      </c>
      <c r="F101" s="336">
        <v>600</v>
      </c>
      <c r="G101" s="330" t="s">
        <v>236</v>
      </c>
      <c r="H101" s="329">
        <v>0.55743612544038812</v>
      </c>
      <c r="I101" s="336">
        <v>0.13935903136009703</v>
      </c>
      <c r="J101" s="336">
        <v>0.13935903136009703</v>
      </c>
      <c r="K101" s="338">
        <v>0.13935903136009703</v>
      </c>
      <c r="L101" s="336">
        <v>0.13935903136009703</v>
      </c>
      <c r="M101" s="336"/>
    </row>
    <row r="102" spans="1:13" hidden="1" outlineLevel="2" x14ac:dyDescent="0.35">
      <c r="A102" s="339" t="s">
        <v>96</v>
      </c>
      <c r="B102" s="331">
        <v>43903</v>
      </c>
      <c r="C102" s="332" t="s">
        <v>429</v>
      </c>
      <c r="D102" s="332" t="s">
        <v>430</v>
      </c>
      <c r="E102" s="332" t="s">
        <v>437</v>
      </c>
      <c r="F102" s="336">
        <v>1200</v>
      </c>
      <c r="G102" s="330" t="s">
        <v>236</v>
      </c>
      <c r="H102" s="329">
        <v>1.1148722508807762</v>
      </c>
      <c r="I102" s="336">
        <v>0.27871806272019406</v>
      </c>
      <c r="J102" s="336">
        <v>0.27871806272019406</v>
      </c>
      <c r="K102" s="338">
        <v>0.27871806272019406</v>
      </c>
      <c r="L102" s="336">
        <v>0.27871806272019406</v>
      </c>
      <c r="M102" s="336"/>
    </row>
    <row r="103" spans="1:13" hidden="1" outlineLevel="2" x14ac:dyDescent="0.35">
      <c r="A103" s="339" t="s">
        <v>96</v>
      </c>
      <c r="B103" s="331">
        <v>43906</v>
      </c>
      <c r="C103" s="332" t="s">
        <v>429</v>
      </c>
      <c r="D103" s="332" t="s">
        <v>430</v>
      </c>
      <c r="E103" s="332" t="s">
        <v>437</v>
      </c>
      <c r="F103" s="336">
        <v>600</v>
      </c>
      <c r="G103" s="330" t="s">
        <v>236</v>
      </c>
      <c r="H103" s="329">
        <v>0.55743612544038812</v>
      </c>
      <c r="I103" s="336">
        <v>0.13935903136009703</v>
      </c>
      <c r="J103" s="336">
        <v>0.13935903136009703</v>
      </c>
      <c r="K103" s="338">
        <v>0.13935903136009703</v>
      </c>
      <c r="L103" s="336">
        <v>0.13935903136009703</v>
      </c>
      <c r="M103" s="336"/>
    </row>
    <row r="104" spans="1:13" hidden="1" outlineLevel="2" x14ac:dyDescent="0.35">
      <c r="A104" s="339" t="s">
        <v>96</v>
      </c>
      <c r="B104" s="331">
        <v>43921</v>
      </c>
      <c r="C104" s="332" t="s">
        <v>440</v>
      </c>
      <c r="D104" s="332" t="s">
        <v>441</v>
      </c>
      <c r="E104" s="332" t="s">
        <v>437</v>
      </c>
      <c r="F104" s="336">
        <v>3000</v>
      </c>
      <c r="G104" s="330" t="s">
        <v>236</v>
      </c>
      <c r="H104" s="329">
        <v>2.7871806272019408</v>
      </c>
      <c r="I104" s="336">
        <v>0.6967951568004852</v>
      </c>
      <c r="J104" s="336">
        <v>0.6967951568004852</v>
      </c>
      <c r="K104" s="338">
        <v>0.6967951568004852</v>
      </c>
      <c r="L104" s="336">
        <v>0.6967951568004852</v>
      </c>
      <c r="M104" s="336"/>
    </row>
    <row r="105" spans="1:13" hidden="1" outlineLevel="2" x14ac:dyDescent="0.35">
      <c r="A105" s="339" t="s">
        <v>96</v>
      </c>
      <c r="B105" s="331">
        <v>43951</v>
      </c>
      <c r="C105" s="332" t="s">
        <v>440</v>
      </c>
      <c r="D105" s="332" t="s">
        <v>441</v>
      </c>
      <c r="E105" s="332" t="s">
        <v>437</v>
      </c>
      <c r="F105" s="336">
        <v>3000</v>
      </c>
      <c r="G105" s="330" t="s">
        <v>236</v>
      </c>
      <c r="H105" s="329">
        <v>2.7871806272019408</v>
      </c>
      <c r="I105" s="336">
        <v>0.6967951568004852</v>
      </c>
      <c r="J105" s="336">
        <v>0.6967951568004852</v>
      </c>
      <c r="K105" s="338">
        <v>0.6967951568004852</v>
      </c>
      <c r="L105" s="336">
        <v>0.6967951568004852</v>
      </c>
      <c r="M105" s="336"/>
    </row>
    <row r="106" spans="1:13" hidden="1" outlineLevel="2" x14ac:dyDescent="0.35">
      <c r="A106" s="339" t="s">
        <v>96</v>
      </c>
      <c r="B106" s="331">
        <v>43980</v>
      </c>
      <c r="C106" s="332" t="s">
        <v>440</v>
      </c>
      <c r="D106" s="332" t="s">
        <v>441</v>
      </c>
      <c r="E106" s="332" t="s">
        <v>437</v>
      </c>
      <c r="F106" s="336">
        <v>3000</v>
      </c>
      <c r="G106" s="330" t="s">
        <v>236</v>
      </c>
      <c r="H106" s="329">
        <v>2.7871806272019408</v>
      </c>
      <c r="I106" s="336">
        <v>0.6967951568004852</v>
      </c>
      <c r="J106" s="336">
        <v>0.6967951568004852</v>
      </c>
      <c r="K106" s="338">
        <v>0.6967951568004852</v>
      </c>
      <c r="L106" s="336">
        <v>0.6967951568004852</v>
      </c>
      <c r="M106" s="336"/>
    </row>
    <row r="107" spans="1:13" hidden="1" outlineLevel="2" x14ac:dyDescent="0.35">
      <c r="A107" s="339" t="s">
        <v>96</v>
      </c>
      <c r="B107" s="331">
        <v>44008</v>
      </c>
      <c r="C107" s="332" t="s">
        <v>429</v>
      </c>
      <c r="D107" s="332" t="s">
        <v>430</v>
      </c>
      <c r="E107" s="332" t="s">
        <v>437</v>
      </c>
      <c r="F107" s="336">
        <v>500</v>
      </c>
      <c r="G107" s="330" t="s">
        <v>236</v>
      </c>
      <c r="H107" s="329">
        <v>0.46453010453365678</v>
      </c>
      <c r="I107" s="336">
        <v>0.1161325261334142</v>
      </c>
      <c r="J107" s="336">
        <v>0.1161325261334142</v>
      </c>
      <c r="K107" s="338">
        <v>0.1161325261334142</v>
      </c>
      <c r="L107" s="336">
        <v>0.1161325261334142</v>
      </c>
      <c r="M107" s="336"/>
    </row>
    <row r="108" spans="1:13" hidden="1" outlineLevel="2" x14ac:dyDescent="0.35">
      <c r="A108" s="339" t="s">
        <v>96</v>
      </c>
      <c r="B108" s="331">
        <v>44012</v>
      </c>
      <c r="C108" s="332" t="s">
        <v>429</v>
      </c>
      <c r="D108" s="332" t="s">
        <v>430</v>
      </c>
      <c r="E108" s="332" t="s">
        <v>437</v>
      </c>
      <c r="F108" s="336">
        <v>3000</v>
      </c>
      <c r="G108" s="330" t="s">
        <v>236</v>
      </c>
      <c r="H108" s="329">
        <v>2.7871806272019408</v>
      </c>
      <c r="I108" s="336">
        <v>0.6967951568004852</v>
      </c>
      <c r="J108" s="336">
        <v>0.6967951568004852</v>
      </c>
      <c r="K108" s="336">
        <v>0.6967951568004852</v>
      </c>
      <c r="L108" s="336">
        <v>0.6967951568004852</v>
      </c>
      <c r="M108" s="336"/>
    </row>
    <row r="109" spans="1:13" hidden="1" outlineLevel="2" x14ac:dyDescent="0.35">
      <c r="A109" s="339" t="s">
        <v>96</v>
      </c>
      <c r="B109" s="331">
        <v>44020</v>
      </c>
      <c r="C109" s="332" t="s">
        <v>429</v>
      </c>
      <c r="D109" s="332" t="s">
        <v>430</v>
      </c>
      <c r="E109" s="332" t="s">
        <v>431</v>
      </c>
      <c r="F109" s="336">
        <v>600</v>
      </c>
      <c r="G109" s="330" t="s">
        <v>236</v>
      </c>
      <c r="H109" s="329">
        <v>0.55743612544038812</v>
      </c>
      <c r="I109" s="336">
        <v>0.13935903136009703</v>
      </c>
      <c r="J109" s="336">
        <v>0.13935903136009703</v>
      </c>
      <c r="K109" s="338">
        <v>0.13935903136009703</v>
      </c>
      <c r="L109" s="336">
        <v>0.13935903136009703</v>
      </c>
      <c r="M109" s="336"/>
    </row>
    <row r="110" spans="1:13" hidden="1" outlineLevel="2" x14ac:dyDescent="0.35">
      <c r="A110" s="339" t="s">
        <v>96</v>
      </c>
      <c r="B110" s="331">
        <v>44027</v>
      </c>
      <c r="C110" s="332" t="s">
        <v>429</v>
      </c>
      <c r="D110" s="332" t="s">
        <v>430</v>
      </c>
      <c r="E110" s="332" t="s">
        <v>431</v>
      </c>
      <c r="F110" s="336">
        <v>1800</v>
      </c>
      <c r="G110" s="330" t="s">
        <v>236</v>
      </c>
      <c r="H110" s="329">
        <v>1.6723083763211646</v>
      </c>
      <c r="I110" s="336">
        <v>0.41807709408029115</v>
      </c>
      <c r="J110" s="336">
        <v>0.41807709408029115</v>
      </c>
      <c r="K110" s="336">
        <v>0.41807709408029115</v>
      </c>
      <c r="L110" s="336">
        <v>0.41807709408029115</v>
      </c>
      <c r="M110" s="336"/>
    </row>
    <row r="111" spans="1:13" hidden="1" outlineLevel="2" x14ac:dyDescent="0.35">
      <c r="A111" s="339" t="s">
        <v>96</v>
      </c>
      <c r="B111" s="331">
        <v>44033</v>
      </c>
      <c r="C111" s="332" t="s">
        <v>442</v>
      </c>
      <c r="D111" s="332" t="s">
        <v>443</v>
      </c>
      <c r="E111" s="332" t="s">
        <v>431</v>
      </c>
      <c r="F111" s="336">
        <v>3600</v>
      </c>
      <c r="G111" s="330" t="s">
        <v>236</v>
      </c>
      <c r="H111" s="329">
        <v>3.3446167526423292</v>
      </c>
      <c r="I111" s="336">
        <v>0.83615418816058229</v>
      </c>
      <c r="J111" s="336">
        <v>0.83615418816058229</v>
      </c>
      <c r="K111" s="338">
        <v>0.83615418816058229</v>
      </c>
      <c r="L111" s="336">
        <v>0.83615418816058229</v>
      </c>
      <c r="M111" s="336"/>
    </row>
    <row r="112" spans="1:13" hidden="1" outlineLevel="2" x14ac:dyDescent="0.35">
      <c r="A112" s="339" t="s">
        <v>96</v>
      </c>
      <c r="B112" s="331">
        <v>44036</v>
      </c>
      <c r="C112" s="332" t="s">
        <v>429</v>
      </c>
      <c r="D112" s="332" t="s">
        <v>430</v>
      </c>
      <c r="E112" s="332" t="s">
        <v>431</v>
      </c>
      <c r="F112" s="336">
        <v>6000</v>
      </c>
      <c r="G112" s="330" t="s">
        <v>236</v>
      </c>
      <c r="H112" s="329">
        <v>5.5743612544038816</v>
      </c>
      <c r="I112" s="336">
        <v>1.3935903136009704</v>
      </c>
      <c r="J112" s="336">
        <v>1.3935903136009704</v>
      </c>
      <c r="K112" s="338">
        <v>1.3935903136009704</v>
      </c>
      <c r="L112" s="336">
        <v>1.3935903136009704</v>
      </c>
      <c r="M112" s="336"/>
    </row>
    <row r="113" spans="1:13" hidden="1" outlineLevel="2" x14ac:dyDescent="0.35">
      <c r="A113" s="339" t="s">
        <v>96</v>
      </c>
      <c r="B113" s="331">
        <v>44039</v>
      </c>
      <c r="C113" s="332" t="s">
        <v>429</v>
      </c>
      <c r="D113" s="332" t="s">
        <v>430</v>
      </c>
      <c r="E113" s="332" t="s">
        <v>431</v>
      </c>
      <c r="F113" s="336">
        <v>1800</v>
      </c>
      <c r="G113" s="330" t="s">
        <v>236</v>
      </c>
      <c r="H113" s="329">
        <v>1.6723083763211646</v>
      </c>
      <c r="I113" s="336">
        <v>0.41807709408029115</v>
      </c>
      <c r="J113" s="336">
        <v>0.41807709408029115</v>
      </c>
      <c r="K113" s="338">
        <v>0.41807709408029115</v>
      </c>
      <c r="L113" s="336">
        <v>0.41807709408029115</v>
      </c>
      <c r="M113" s="336"/>
    </row>
    <row r="114" spans="1:13" hidden="1" outlineLevel="2" x14ac:dyDescent="0.35">
      <c r="A114" s="339" t="s">
        <v>96</v>
      </c>
      <c r="B114" s="331">
        <v>44042</v>
      </c>
      <c r="C114" s="332" t="s">
        <v>429</v>
      </c>
      <c r="D114" s="332" t="s">
        <v>430</v>
      </c>
      <c r="E114" s="332" t="s">
        <v>431</v>
      </c>
      <c r="F114" s="336">
        <v>600</v>
      </c>
      <c r="G114" s="330" t="s">
        <v>236</v>
      </c>
      <c r="H114" s="329">
        <v>0.55743612544038812</v>
      </c>
      <c r="I114" s="336">
        <v>0.13935903136009703</v>
      </c>
      <c r="J114" s="336">
        <v>0.13935903136009703</v>
      </c>
      <c r="K114" s="336">
        <v>0.13935903136009703</v>
      </c>
      <c r="L114" s="336">
        <v>0.13935903136009703</v>
      </c>
      <c r="M114" s="336"/>
    </row>
    <row r="115" spans="1:13" hidden="1" outlineLevel="2" x14ac:dyDescent="0.35">
      <c r="A115" s="339" t="s">
        <v>96</v>
      </c>
      <c r="B115" s="331">
        <v>44042</v>
      </c>
      <c r="C115" s="332" t="s">
        <v>440</v>
      </c>
      <c r="D115" s="332" t="s">
        <v>441</v>
      </c>
      <c r="E115" s="332" t="s">
        <v>431</v>
      </c>
      <c r="F115" s="336">
        <v>5000</v>
      </c>
      <c r="G115" s="330" t="s">
        <v>236</v>
      </c>
      <c r="H115" s="329">
        <v>4.6453010453365682</v>
      </c>
      <c r="I115" s="336">
        <v>1.161325261334142</v>
      </c>
      <c r="J115" s="336">
        <v>1.161325261334142</v>
      </c>
      <c r="K115" s="336">
        <v>1.161325261334142</v>
      </c>
      <c r="L115" s="336">
        <v>1.161325261334142</v>
      </c>
      <c r="M115" s="336"/>
    </row>
    <row r="116" spans="1:13" hidden="1" outlineLevel="2" x14ac:dyDescent="0.35">
      <c r="A116" s="339" t="s">
        <v>96</v>
      </c>
      <c r="B116" s="331">
        <v>44048</v>
      </c>
      <c r="C116" s="332" t="s">
        <v>429</v>
      </c>
      <c r="D116" s="332" t="s">
        <v>430</v>
      </c>
      <c r="E116" s="332" t="s">
        <v>431</v>
      </c>
      <c r="F116" s="336">
        <v>1200</v>
      </c>
      <c r="G116" s="330" t="s">
        <v>236</v>
      </c>
      <c r="H116" s="329">
        <v>1.1148722508807762</v>
      </c>
      <c r="I116" s="336">
        <v>0.27871806272019406</v>
      </c>
      <c r="J116" s="336">
        <v>0.27871806272019406</v>
      </c>
      <c r="K116" s="338">
        <v>0.27871806272019406</v>
      </c>
      <c r="L116" s="336">
        <v>0.27871806272019406</v>
      </c>
      <c r="M116" s="336"/>
    </row>
    <row r="117" spans="1:13" hidden="1" outlineLevel="2" x14ac:dyDescent="0.35">
      <c r="A117" s="339" t="s">
        <v>96</v>
      </c>
      <c r="B117" s="331">
        <v>44067</v>
      </c>
      <c r="C117" s="332" t="s">
        <v>429</v>
      </c>
      <c r="D117" s="332" t="s">
        <v>430</v>
      </c>
      <c r="E117" s="332" t="s">
        <v>431</v>
      </c>
      <c r="F117" s="336">
        <v>3000</v>
      </c>
      <c r="G117" s="330" t="s">
        <v>236</v>
      </c>
      <c r="H117" s="329">
        <v>2.7871806272019408</v>
      </c>
      <c r="I117" s="336">
        <v>0.6967951568004852</v>
      </c>
      <c r="J117" s="336">
        <v>0.6967951568004852</v>
      </c>
      <c r="K117" s="338">
        <v>0.6967951568004852</v>
      </c>
      <c r="L117" s="336">
        <v>0.6967951568004852</v>
      </c>
      <c r="M117" s="336"/>
    </row>
    <row r="118" spans="1:13" hidden="1" outlineLevel="2" x14ac:dyDescent="0.35">
      <c r="A118" s="339" t="s">
        <v>96</v>
      </c>
      <c r="B118" s="331">
        <v>44074</v>
      </c>
      <c r="C118" s="332" t="s">
        <v>440</v>
      </c>
      <c r="D118" s="332" t="s">
        <v>441</v>
      </c>
      <c r="E118" s="332" t="s">
        <v>431</v>
      </c>
      <c r="F118" s="336">
        <v>5000</v>
      </c>
      <c r="G118" s="330" t="s">
        <v>236</v>
      </c>
      <c r="H118" s="329">
        <v>4.6453010453365682</v>
      </c>
      <c r="I118" s="336">
        <v>1.161325261334142</v>
      </c>
      <c r="J118" s="336">
        <v>1.161325261334142</v>
      </c>
      <c r="K118" s="338">
        <v>1.161325261334142</v>
      </c>
      <c r="L118" s="336">
        <v>1.161325261334142</v>
      </c>
      <c r="M118" s="336"/>
    </row>
    <row r="119" spans="1:13" hidden="1" outlineLevel="2" x14ac:dyDescent="0.35">
      <c r="A119" s="339" t="s">
        <v>96</v>
      </c>
      <c r="B119" s="331">
        <v>44077</v>
      </c>
      <c r="C119" s="332" t="s">
        <v>444</v>
      </c>
      <c r="D119" s="332" t="s">
        <v>445</v>
      </c>
      <c r="E119" s="332" t="s">
        <v>431</v>
      </c>
      <c r="F119" s="336">
        <v>2400</v>
      </c>
      <c r="G119" s="330" t="s">
        <v>236</v>
      </c>
      <c r="H119" s="329">
        <v>2.2297445017615525</v>
      </c>
      <c r="I119" s="336">
        <v>0.55743612544038812</v>
      </c>
      <c r="J119" s="336">
        <v>0.55743612544038812</v>
      </c>
      <c r="K119" s="338">
        <v>0.55743612544038812</v>
      </c>
      <c r="L119" s="336">
        <v>0.55743612544038812</v>
      </c>
      <c r="M119" s="336"/>
    </row>
    <row r="120" spans="1:13" hidden="1" outlineLevel="2" x14ac:dyDescent="0.35">
      <c r="A120" s="339" t="s">
        <v>96</v>
      </c>
      <c r="B120" s="331">
        <v>44084</v>
      </c>
      <c r="C120" s="332" t="s">
        <v>429</v>
      </c>
      <c r="D120" s="332" t="s">
        <v>430</v>
      </c>
      <c r="E120" s="332" t="s">
        <v>431</v>
      </c>
      <c r="F120" s="336">
        <v>1800</v>
      </c>
      <c r="G120" s="330" t="s">
        <v>236</v>
      </c>
      <c r="H120" s="329">
        <v>1.6723083763211646</v>
      </c>
      <c r="I120" s="336">
        <v>0.41807709408029115</v>
      </c>
      <c r="J120" s="336">
        <v>0.41807709408029115</v>
      </c>
      <c r="K120" s="338">
        <v>0.41807709408029115</v>
      </c>
      <c r="L120" s="336">
        <v>0.41807709408029115</v>
      </c>
      <c r="M120" s="336"/>
    </row>
    <row r="121" spans="1:13" hidden="1" outlineLevel="2" x14ac:dyDescent="0.35">
      <c r="A121" s="339" t="s">
        <v>96</v>
      </c>
      <c r="B121" s="331">
        <v>44088</v>
      </c>
      <c r="C121" s="332" t="s">
        <v>429</v>
      </c>
      <c r="D121" s="332" t="s">
        <v>430</v>
      </c>
      <c r="E121" s="332" t="s">
        <v>431</v>
      </c>
      <c r="F121" s="336">
        <v>3600</v>
      </c>
      <c r="G121" s="330" t="s">
        <v>236</v>
      </c>
      <c r="H121" s="329">
        <v>3.3446167526423292</v>
      </c>
      <c r="I121" s="336">
        <v>0.83615418816058229</v>
      </c>
      <c r="J121" s="336">
        <v>0.83615418816058229</v>
      </c>
      <c r="K121" s="338">
        <v>0.83615418816058229</v>
      </c>
      <c r="L121" s="336">
        <v>0.83615418816058229</v>
      </c>
      <c r="M121" s="336"/>
    </row>
    <row r="122" spans="1:13" hidden="1" outlineLevel="2" x14ac:dyDescent="0.35">
      <c r="A122" s="339" t="s">
        <v>96</v>
      </c>
      <c r="B122" s="331">
        <v>44097</v>
      </c>
      <c r="C122" s="332" t="s">
        <v>429</v>
      </c>
      <c r="D122" s="332" t="s">
        <v>430</v>
      </c>
      <c r="E122" s="332" t="s">
        <v>431</v>
      </c>
      <c r="F122" s="336">
        <v>6000</v>
      </c>
      <c r="G122" s="330" t="s">
        <v>236</v>
      </c>
      <c r="H122" s="329">
        <v>5.5743612544038816</v>
      </c>
      <c r="I122" s="336">
        <v>1.3935903136009704</v>
      </c>
      <c r="J122" s="336">
        <v>1.3935903136009704</v>
      </c>
      <c r="K122" s="338">
        <v>1.3935903136009704</v>
      </c>
      <c r="L122" s="336">
        <v>1.3935903136009704</v>
      </c>
      <c r="M122" s="336"/>
    </row>
    <row r="123" spans="1:13" hidden="1" outlineLevel="2" x14ac:dyDescent="0.35">
      <c r="A123" s="339" t="s">
        <v>96</v>
      </c>
      <c r="B123" s="331">
        <v>44099</v>
      </c>
      <c r="C123" s="332" t="s">
        <v>429</v>
      </c>
      <c r="D123" s="332" t="s">
        <v>430</v>
      </c>
      <c r="E123" s="332" t="s">
        <v>431</v>
      </c>
      <c r="F123" s="336">
        <v>6600</v>
      </c>
      <c r="G123" s="330" t="s">
        <v>236</v>
      </c>
      <c r="H123" s="329">
        <v>6.1317973798442695</v>
      </c>
      <c r="I123" s="336">
        <v>1.5329493449610674</v>
      </c>
      <c r="J123" s="336">
        <v>1.5329493449610674</v>
      </c>
      <c r="K123" s="338">
        <v>1.5329493449610674</v>
      </c>
      <c r="L123" s="336">
        <v>1.5329493449610674</v>
      </c>
      <c r="M123" s="336"/>
    </row>
    <row r="124" spans="1:13" hidden="1" outlineLevel="2" x14ac:dyDescent="0.35">
      <c r="A124" s="339" t="s">
        <v>96</v>
      </c>
      <c r="B124" s="331">
        <v>44104</v>
      </c>
      <c r="C124" s="332" t="s">
        <v>440</v>
      </c>
      <c r="D124" s="332" t="s">
        <v>441</v>
      </c>
      <c r="E124" s="332" t="s">
        <v>431</v>
      </c>
      <c r="F124" s="336">
        <v>5000</v>
      </c>
      <c r="G124" s="330" t="s">
        <v>236</v>
      </c>
      <c r="H124" s="329">
        <v>4.6453010453365682</v>
      </c>
      <c r="I124" s="336">
        <v>1.161325261334142</v>
      </c>
      <c r="J124" s="336">
        <v>1.161325261334142</v>
      </c>
      <c r="K124" s="338">
        <v>1.161325261334142</v>
      </c>
      <c r="L124" s="336">
        <v>1.161325261334142</v>
      </c>
      <c r="M124" s="336"/>
    </row>
    <row r="125" spans="1:13" hidden="1" outlineLevel="2" x14ac:dyDescent="0.35">
      <c r="A125" s="339" t="s">
        <v>96</v>
      </c>
      <c r="B125" s="331">
        <v>44110</v>
      </c>
      <c r="C125" s="332" t="s">
        <v>429</v>
      </c>
      <c r="D125" s="332" t="s">
        <v>430</v>
      </c>
      <c r="E125" s="332" t="s">
        <v>437</v>
      </c>
      <c r="F125" s="336">
        <v>600</v>
      </c>
      <c r="G125" s="330" t="s">
        <v>236</v>
      </c>
      <c r="H125" s="329">
        <v>0.55743612544038812</v>
      </c>
      <c r="I125" s="336">
        <v>0.13935903136009703</v>
      </c>
      <c r="J125" s="336">
        <v>0.13935903136009703</v>
      </c>
      <c r="K125" s="338">
        <v>0.13935903136009703</v>
      </c>
      <c r="L125" s="336">
        <v>0.13935903136009703</v>
      </c>
      <c r="M125" s="336"/>
    </row>
    <row r="126" spans="1:13" hidden="1" outlineLevel="2" x14ac:dyDescent="0.35">
      <c r="A126" s="339" t="s">
        <v>96</v>
      </c>
      <c r="B126" s="331">
        <v>44119</v>
      </c>
      <c r="C126" s="332" t="s">
        <v>429</v>
      </c>
      <c r="D126" s="332" t="s">
        <v>430</v>
      </c>
      <c r="E126" s="332" t="s">
        <v>437</v>
      </c>
      <c r="F126" s="336">
        <v>600</v>
      </c>
      <c r="G126" s="330" t="s">
        <v>236</v>
      </c>
      <c r="H126" s="329">
        <v>0.55743612544038812</v>
      </c>
      <c r="I126" s="336">
        <v>0.13935903136009703</v>
      </c>
      <c r="J126" s="336">
        <v>0.13935903136009703</v>
      </c>
      <c r="K126" s="338">
        <v>0.13935903136009703</v>
      </c>
      <c r="L126" s="336">
        <v>0.13935903136009703</v>
      </c>
      <c r="M126" s="336"/>
    </row>
    <row r="127" spans="1:13" hidden="1" outlineLevel="2" x14ac:dyDescent="0.35">
      <c r="A127" s="339" t="s">
        <v>96</v>
      </c>
      <c r="B127" s="331">
        <v>44120</v>
      </c>
      <c r="C127" s="332" t="s">
        <v>429</v>
      </c>
      <c r="D127" s="332" t="s">
        <v>430</v>
      </c>
      <c r="E127" s="332" t="s">
        <v>437</v>
      </c>
      <c r="F127" s="336">
        <v>600</v>
      </c>
      <c r="G127" s="330" t="s">
        <v>236</v>
      </c>
      <c r="H127" s="329">
        <v>0.55743612544038812</v>
      </c>
      <c r="I127" s="336">
        <v>0.13935903136009703</v>
      </c>
      <c r="J127" s="336">
        <v>0.13935903136009703</v>
      </c>
      <c r="K127" s="338">
        <v>0.13935903136009703</v>
      </c>
      <c r="L127" s="336">
        <v>0.13935903136009703</v>
      </c>
      <c r="M127" s="336"/>
    </row>
    <row r="128" spans="1:13" hidden="1" outlineLevel="2" x14ac:dyDescent="0.35">
      <c r="A128" s="339" t="s">
        <v>96</v>
      </c>
      <c r="B128" s="327">
        <v>44125</v>
      </c>
      <c r="C128" s="328" t="s">
        <v>429</v>
      </c>
      <c r="D128" s="328" t="s">
        <v>430</v>
      </c>
      <c r="E128" s="328" t="s">
        <v>437</v>
      </c>
      <c r="F128" s="338">
        <v>3600</v>
      </c>
      <c r="G128" s="330" t="s">
        <v>236</v>
      </c>
      <c r="H128" s="329">
        <v>3.3446167526423292</v>
      </c>
      <c r="I128" s="338">
        <v>0.83615418816058229</v>
      </c>
      <c r="J128" s="338">
        <v>0.83615418816058229</v>
      </c>
      <c r="K128" s="338">
        <v>0.83615418816058229</v>
      </c>
      <c r="L128" s="338">
        <v>0.83615418816058229</v>
      </c>
      <c r="M128" s="338"/>
    </row>
    <row r="129" spans="1:13" hidden="1" outlineLevel="2" x14ac:dyDescent="0.35">
      <c r="A129" s="339" t="s">
        <v>96</v>
      </c>
      <c r="B129" s="331">
        <v>44127</v>
      </c>
      <c r="C129" s="332" t="s">
        <v>429</v>
      </c>
      <c r="D129" s="332" t="s">
        <v>430</v>
      </c>
      <c r="E129" s="332" t="s">
        <v>437</v>
      </c>
      <c r="F129" s="336">
        <v>600</v>
      </c>
      <c r="G129" s="330" t="s">
        <v>236</v>
      </c>
      <c r="H129" s="329">
        <v>0.55743612544038812</v>
      </c>
      <c r="I129" s="338">
        <v>0.13935903136009703</v>
      </c>
      <c r="J129" s="336">
        <v>0.13935903136009703</v>
      </c>
      <c r="K129" s="336">
        <v>0.13935903136009703</v>
      </c>
      <c r="L129" s="336">
        <v>0.13935903136009703</v>
      </c>
      <c r="M129" s="336"/>
    </row>
    <row r="130" spans="1:13" hidden="1" outlineLevel="2" x14ac:dyDescent="0.35">
      <c r="A130" s="339" t="s">
        <v>96</v>
      </c>
      <c r="B130" s="331">
        <v>44127</v>
      </c>
      <c r="C130" s="332" t="s">
        <v>446</v>
      </c>
      <c r="D130" s="332" t="s">
        <v>447</v>
      </c>
      <c r="E130" s="332" t="s">
        <v>437</v>
      </c>
      <c r="F130" s="336">
        <v>-500000</v>
      </c>
      <c r="G130" s="330" t="s">
        <v>236</v>
      </c>
      <c r="H130" s="329">
        <v>-464.53010453365681</v>
      </c>
      <c r="I130" s="338">
        <v>-116.1325261334142</v>
      </c>
      <c r="J130" s="336">
        <v>-116.1325261334142</v>
      </c>
      <c r="K130" s="336">
        <v>-116.1325261334142</v>
      </c>
      <c r="L130" s="336">
        <v>-116.1325261334142</v>
      </c>
      <c r="M130" s="336"/>
    </row>
    <row r="131" spans="1:13" hidden="1" outlineLevel="2" x14ac:dyDescent="0.35">
      <c r="A131" s="339" t="s">
        <v>96</v>
      </c>
      <c r="B131" s="331">
        <v>44134</v>
      </c>
      <c r="C131" s="332" t="s">
        <v>448</v>
      </c>
      <c r="D131" s="332" t="s">
        <v>449</v>
      </c>
      <c r="E131" s="332" t="s">
        <v>437</v>
      </c>
      <c r="F131" s="336">
        <v>5000</v>
      </c>
      <c r="G131" s="330" t="s">
        <v>236</v>
      </c>
      <c r="H131" s="329">
        <v>4.6453010453365682</v>
      </c>
      <c r="I131" s="338">
        <v>1.161325261334142</v>
      </c>
      <c r="J131" s="336">
        <v>1.161325261334142</v>
      </c>
      <c r="K131" s="336">
        <v>1.161325261334142</v>
      </c>
      <c r="L131" s="336">
        <v>1.161325261334142</v>
      </c>
      <c r="M131" s="336"/>
    </row>
    <row r="132" spans="1:13" hidden="1" outlineLevel="2" x14ac:dyDescent="0.35">
      <c r="A132" s="339" t="s">
        <v>96</v>
      </c>
      <c r="B132" s="331">
        <v>44139</v>
      </c>
      <c r="C132" s="332" t="s">
        <v>429</v>
      </c>
      <c r="D132" s="332" t="s">
        <v>430</v>
      </c>
      <c r="E132" s="332" t="s">
        <v>431</v>
      </c>
      <c r="F132" s="336">
        <v>2400</v>
      </c>
      <c r="G132" s="330" t="s">
        <v>236</v>
      </c>
      <c r="H132" s="329">
        <v>2.2297445017615525</v>
      </c>
      <c r="I132" s="338">
        <v>0.55743612544038812</v>
      </c>
      <c r="J132" s="336">
        <v>0.55743612544038812</v>
      </c>
      <c r="K132" s="336">
        <v>0.55743612544038812</v>
      </c>
      <c r="L132" s="336">
        <v>0.55743612544038812</v>
      </c>
      <c r="M132" s="336"/>
    </row>
    <row r="133" spans="1:13" hidden="1" outlineLevel="2" x14ac:dyDescent="0.35">
      <c r="A133" s="339" t="s">
        <v>96</v>
      </c>
      <c r="B133" s="331">
        <v>44146</v>
      </c>
      <c r="C133" s="332" t="s">
        <v>429</v>
      </c>
      <c r="D133" s="332" t="s">
        <v>430</v>
      </c>
      <c r="E133" s="332" t="s">
        <v>431</v>
      </c>
      <c r="F133" s="336">
        <v>6000</v>
      </c>
      <c r="G133" s="330" t="s">
        <v>236</v>
      </c>
      <c r="H133" s="329">
        <v>5.5743612544038816</v>
      </c>
      <c r="I133" s="338">
        <v>1.3935903136009704</v>
      </c>
      <c r="J133" s="336">
        <v>1.3935903136009704</v>
      </c>
      <c r="K133" s="336">
        <v>1.3935903136009704</v>
      </c>
      <c r="L133" s="336">
        <v>1.3935903136009704</v>
      </c>
      <c r="M133" s="336"/>
    </row>
    <row r="134" spans="1:13" hidden="1" outlineLevel="2" x14ac:dyDescent="0.35">
      <c r="A134" s="339" t="s">
        <v>96</v>
      </c>
      <c r="B134" s="331">
        <v>44148</v>
      </c>
      <c r="C134" s="332" t="s">
        <v>450</v>
      </c>
      <c r="D134" s="332" t="s">
        <v>451</v>
      </c>
      <c r="E134" s="332" t="s">
        <v>437</v>
      </c>
      <c r="F134" s="336">
        <v>500000</v>
      </c>
      <c r="G134" s="330" t="s">
        <v>236</v>
      </c>
      <c r="H134" s="329">
        <v>464.53010453365681</v>
      </c>
      <c r="I134" s="338">
        <v>116.1325261334142</v>
      </c>
      <c r="J134" s="336">
        <v>116.1325261334142</v>
      </c>
      <c r="K134" s="336">
        <v>116.1325261334142</v>
      </c>
      <c r="L134" s="336">
        <v>116.1325261334142</v>
      </c>
      <c r="M134" s="336"/>
    </row>
    <row r="135" spans="1:13" hidden="1" outlineLevel="2" x14ac:dyDescent="0.35">
      <c r="A135" s="339" t="s">
        <v>96</v>
      </c>
      <c r="B135" s="331">
        <v>44153</v>
      </c>
      <c r="C135" s="332" t="s">
        <v>429</v>
      </c>
      <c r="D135" s="332" t="s">
        <v>430</v>
      </c>
      <c r="E135" s="332" t="s">
        <v>431</v>
      </c>
      <c r="F135" s="336">
        <v>10800</v>
      </c>
      <c r="G135" s="330" t="s">
        <v>236</v>
      </c>
      <c r="H135" s="329">
        <v>10.033850257926987</v>
      </c>
      <c r="I135" s="338">
        <v>2.5084625644817469</v>
      </c>
      <c r="J135" s="336">
        <v>2.5084625644817469</v>
      </c>
      <c r="K135" s="336">
        <v>2.5084625644817469</v>
      </c>
      <c r="L135" s="336">
        <v>2.5084625644817469</v>
      </c>
      <c r="M135" s="336"/>
    </row>
    <row r="136" spans="1:13" hidden="1" outlineLevel="2" x14ac:dyDescent="0.35">
      <c r="A136" s="339" t="s">
        <v>96</v>
      </c>
      <c r="B136" s="331">
        <v>44154</v>
      </c>
      <c r="C136" s="332" t="s">
        <v>429</v>
      </c>
      <c r="D136" s="332" t="s">
        <v>430</v>
      </c>
      <c r="E136" s="332" t="s">
        <v>431</v>
      </c>
      <c r="F136" s="336">
        <v>2400</v>
      </c>
      <c r="G136" s="330" t="s">
        <v>236</v>
      </c>
      <c r="H136" s="329">
        <v>2.2297445017615525</v>
      </c>
      <c r="I136" s="336">
        <v>0.55743612544038812</v>
      </c>
      <c r="J136" s="336">
        <v>0.55743612544038812</v>
      </c>
      <c r="K136" s="336">
        <v>0.55743612544038812</v>
      </c>
      <c r="L136" s="336">
        <v>0.55743612544038812</v>
      </c>
      <c r="M136" s="336"/>
    </row>
    <row r="137" spans="1:13" hidden="1" outlineLevel="2" x14ac:dyDescent="0.35">
      <c r="A137" s="339" t="s">
        <v>96</v>
      </c>
      <c r="B137" s="331">
        <v>44165</v>
      </c>
      <c r="C137" s="332" t="s">
        <v>429</v>
      </c>
      <c r="D137" s="332" t="s">
        <v>430</v>
      </c>
      <c r="E137" s="332" t="s">
        <v>431</v>
      </c>
      <c r="F137" s="336">
        <v>600</v>
      </c>
      <c r="G137" s="330" t="s">
        <v>236</v>
      </c>
      <c r="H137" s="329">
        <v>0.55743612544038812</v>
      </c>
      <c r="I137" s="336">
        <v>0.13935903136009703</v>
      </c>
      <c r="J137" s="336">
        <v>0.13935903136009703</v>
      </c>
      <c r="K137" s="336">
        <v>0.13935903136009703</v>
      </c>
      <c r="L137" s="336">
        <v>0.13935903136009703</v>
      </c>
      <c r="M137" s="336"/>
    </row>
    <row r="138" spans="1:13" hidden="1" outlineLevel="2" x14ac:dyDescent="0.35">
      <c r="A138" s="339" t="s">
        <v>96</v>
      </c>
      <c r="B138" s="331">
        <v>44165</v>
      </c>
      <c r="C138" s="332" t="s">
        <v>440</v>
      </c>
      <c r="D138" s="332" t="s">
        <v>441</v>
      </c>
      <c r="E138" s="332" t="s">
        <v>431</v>
      </c>
      <c r="F138" s="336">
        <v>5000</v>
      </c>
      <c r="G138" s="330" t="s">
        <v>236</v>
      </c>
      <c r="H138" s="329">
        <v>4.6453010453365682</v>
      </c>
      <c r="I138" s="336">
        <v>1.161325261334142</v>
      </c>
      <c r="J138" s="336">
        <v>1.161325261334142</v>
      </c>
      <c r="K138" s="336">
        <v>1.161325261334142</v>
      </c>
      <c r="L138" s="336">
        <v>1.161325261334142</v>
      </c>
      <c r="M138" s="336"/>
    </row>
    <row r="139" spans="1:13" hidden="1" outlineLevel="2" x14ac:dyDescent="0.35">
      <c r="A139" s="339" t="s">
        <v>96</v>
      </c>
      <c r="B139" s="331">
        <v>44174</v>
      </c>
      <c r="C139" s="332" t="s">
        <v>429</v>
      </c>
      <c r="D139" s="332" t="s">
        <v>430</v>
      </c>
      <c r="E139" s="332" t="s">
        <v>437</v>
      </c>
      <c r="F139" s="336">
        <v>2400</v>
      </c>
      <c r="G139" s="330" t="s">
        <v>236</v>
      </c>
      <c r="H139" s="329">
        <v>2.2297445017615525</v>
      </c>
      <c r="I139" s="336">
        <v>0.55743612544038812</v>
      </c>
      <c r="J139" s="336">
        <v>0.55743612544038812</v>
      </c>
      <c r="K139" s="336">
        <v>0.55743612544038812</v>
      </c>
      <c r="L139" s="336">
        <v>0.55743612544038812</v>
      </c>
      <c r="M139" s="336"/>
    </row>
    <row r="140" spans="1:13" hidden="1" outlineLevel="2" x14ac:dyDescent="0.35">
      <c r="A140" s="339" t="s">
        <v>96</v>
      </c>
      <c r="B140" s="331">
        <v>44183</v>
      </c>
      <c r="C140" s="332" t="s">
        <v>429</v>
      </c>
      <c r="D140" s="332" t="s">
        <v>430</v>
      </c>
      <c r="E140" s="332" t="s">
        <v>437</v>
      </c>
      <c r="F140" s="336">
        <v>1200</v>
      </c>
      <c r="G140" s="330" t="s">
        <v>236</v>
      </c>
      <c r="H140" s="329">
        <v>1.1148722508807762</v>
      </c>
      <c r="I140" s="336">
        <v>0.27871806272019406</v>
      </c>
      <c r="J140" s="336">
        <v>0.27871806272019406</v>
      </c>
      <c r="K140" s="336">
        <v>0.27871806272019406</v>
      </c>
      <c r="L140" s="336">
        <v>0.27871806272019406</v>
      </c>
      <c r="M140" s="336"/>
    </row>
    <row r="141" spans="1:13" hidden="1" outlineLevel="2" x14ac:dyDescent="0.35">
      <c r="A141" s="339" t="s">
        <v>96</v>
      </c>
      <c r="B141" s="331">
        <v>44183</v>
      </c>
      <c r="C141" s="332" t="s">
        <v>429</v>
      </c>
      <c r="D141" s="332" t="s">
        <v>430</v>
      </c>
      <c r="E141" s="332" t="s">
        <v>437</v>
      </c>
      <c r="F141" s="336">
        <v>3600</v>
      </c>
      <c r="G141" s="330" t="s">
        <v>236</v>
      </c>
      <c r="H141" s="329">
        <v>3.3446167526423292</v>
      </c>
      <c r="I141" s="336">
        <v>0.83615418816058229</v>
      </c>
      <c r="J141" s="336">
        <v>0.83615418816058229</v>
      </c>
      <c r="K141" s="336">
        <v>0.83615418816058229</v>
      </c>
      <c r="L141" s="336">
        <v>0.83615418816058229</v>
      </c>
      <c r="M141" s="336"/>
    </row>
    <row r="142" spans="1:13" hidden="1" outlineLevel="2" x14ac:dyDescent="0.35">
      <c r="A142" s="339" t="s">
        <v>96</v>
      </c>
      <c r="B142" s="331">
        <v>44195</v>
      </c>
      <c r="C142" s="332" t="s">
        <v>429</v>
      </c>
      <c r="D142" s="332" t="s">
        <v>430</v>
      </c>
      <c r="E142" s="332" t="s">
        <v>437</v>
      </c>
      <c r="F142" s="336">
        <v>2400</v>
      </c>
      <c r="G142" s="330" t="s">
        <v>236</v>
      </c>
      <c r="H142" s="329">
        <v>2.2297445017615525</v>
      </c>
      <c r="I142" s="336">
        <v>0.55743612544038812</v>
      </c>
      <c r="J142" s="336">
        <v>0.55743612544038812</v>
      </c>
      <c r="K142" s="336">
        <v>0.55743612544038812</v>
      </c>
      <c r="L142" s="336">
        <v>0.55743612544038812</v>
      </c>
      <c r="M142" s="336"/>
    </row>
    <row r="143" spans="1:13" hidden="1" outlineLevel="2" x14ac:dyDescent="0.35">
      <c r="A143" s="339" t="s">
        <v>96</v>
      </c>
      <c r="B143" s="331">
        <v>44196</v>
      </c>
      <c r="C143" s="332" t="s">
        <v>429</v>
      </c>
      <c r="D143" s="332" t="s">
        <v>430</v>
      </c>
      <c r="E143" s="332" t="s">
        <v>437</v>
      </c>
      <c r="F143" s="336">
        <v>5600</v>
      </c>
      <c r="G143" s="330" t="s">
        <v>236</v>
      </c>
      <c r="H143" s="329">
        <v>5.2027371707769561</v>
      </c>
      <c r="I143" s="336">
        <v>1.300684292694239</v>
      </c>
      <c r="J143" s="336">
        <v>1.300684292694239</v>
      </c>
      <c r="K143" s="336">
        <v>1.300684292694239</v>
      </c>
      <c r="L143" s="336">
        <v>1.300684292694239</v>
      </c>
      <c r="M143" s="336"/>
    </row>
    <row r="144" spans="1:13" hidden="1" outlineLevel="2" x14ac:dyDescent="0.35">
      <c r="A144" s="339" t="s">
        <v>96</v>
      </c>
      <c r="B144" s="331">
        <v>44389</v>
      </c>
      <c r="C144" s="332" t="s">
        <v>429</v>
      </c>
      <c r="D144" s="332" t="s">
        <v>430</v>
      </c>
      <c r="E144" s="332" t="s">
        <v>431</v>
      </c>
      <c r="F144" s="336">
        <v>2400</v>
      </c>
      <c r="G144" s="330" t="s">
        <v>236</v>
      </c>
      <c r="H144" s="329">
        <v>2.0463239674996574</v>
      </c>
      <c r="I144" s="333">
        <v>0.51158099187491435</v>
      </c>
      <c r="J144" s="333">
        <v>0.51158099187491435</v>
      </c>
      <c r="K144" s="333">
        <v>0.51158099187491435</v>
      </c>
      <c r="L144" s="333">
        <v>0.51158099187491435</v>
      </c>
      <c r="M144" s="336"/>
    </row>
    <row r="145" spans="1:13" hidden="1" outlineLevel="2" x14ac:dyDescent="0.35">
      <c r="A145" s="339" t="s">
        <v>96</v>
      </c>
      <c r="B145" s="331">
        <v>43732</v>
      </c>
      <c r="C145" s="332" t="s">
        <v>452</v>
      </c>
      <c r="D145" s="332" t="s">
        <v>453</v>
      </c>
      <c r="E145" s="332" t="s">
        <v>431</v>
      </c>
      <c r="F145" s="336">
        <v>600</v>
      </c>
      <c r="G145" s="330" t="s">
        <v>236</v>
      </c>
      <c r="H145" s="329">
        <v>0.59072846071631324</v>
      </c>
      <c r="I145" s="336">
        <v>0.14768211517907831</v>
      </c>
      <c r="J145" s="336">
        <v>0.14768211517907831</v>
      </c>
      <c r="K145" s="336">
        <v>0.14768211517907831</v>
      </c>
      <c r="L145" s="336">
        <v>0.14768211517907831</v>
      </c>
      <c r="M145" s="336"/>
    </row>
    <row r="146" spans="1:13" hidden="1" outlineLevel="2" x14ac:dyDescent="0.35">
      <c r="A146" s="339" t="s">
        <v>96</v>
      </c>
      <c r="B146" s="331">
        <v>43732</v>
      </c>
      <c r="C146" s="332" t="s">
        <v>454</v>
      </c>
      <c r="D146" s="332" t="s">
        <v>453</v>
      </c>
      <c r="E146" s="332" t="s">
        <v>431</v>
      </c>
      <c r="F146" s="336">
        <v>600</v>
      </c>
      <c r="G146" s="330" t="s">
        <v>236</v>
      </c>
      <c r="H146" s="329">
        <v>0.59072846071631324</v>
      </c>
      <c r="I146" s="336">
        <v>0.14768211517907831</v>
      </c>
      <c r="J146" s="336">
        <v>0.14768211517907831</v>
      </c>
      <c r="K146" s="336">
        <v>0.14768211517907831</v>
      </c>
      <c r="L146" s="336">
        <v>0.14768211517907831</v>
      </c>
      <c r="M146" s="336"/>
    </row>
    <row r="147" spans="1:13" hidden="1" outlineLevel="2" x14ac:dyDescent="0.35">
      <c r="A147" s="339" t="s">
        <v>96</v>
      </c>
      <c r="B147" s="331">
        <v>43732</v>
      </c>
      <c r="C147" s="332" t="s">
        <v>455</v>
      </c>
      <c r="D147" s="332" t="s">
        <v>453</v>
      </c>
      <c r="E147" s="332" t="s">
        <v>431</v>
      </c>
      <c r="F147" s="336">
        <v>600</v>
      </c>
      <c r="G147" s="330" t="s">
        <v>236</v>
      </c>
      <c r="H147" s="329">
        <v>0.59072846071631324</v>
      </c>
      <c r="I147" s="336">
        <v>0.14768211517907831</v>
      </c>
      <c r="J147" s="336">
        <v>0.14768211517907831</v>
      </c>
      <c r="K147" s="336">
        <v>0.14768211517907831</v>
      </c>
      <c r="L147" s="336">
        <v>0.14768211517907831</v>
      </c>
      <c r="M147" s="336"/>
    </row>
    <row r="148" spans="1:13" hidden="1" outlineLevel="2" x14ac:dyDescent="0.35">
      <c r="A148" s="339" t="s">
        <v>96</v>
      </c>
      <c r="B148" s="331">
        <v>43738</v>
      </c>
      <c r="C148" s="332" t="s">
        <v>440</v>
      </c>
      <c r="D148" s="332" t="s">
        <v>441</v>
      </c>
      <c r="E148" s="332" t="s">
        <v>431</v>
      </c>
      <c r="F148" s="336">
        <v>3000</v>
      </c>
      <c r="G148" s="330" t="s">
        <v>236</v>
      </c>
      <c r="H148" s="329">
        <v>2.9536423035815664</v>
      </c>
      <c r="I148" s="336">
        <v>0.73841057589539161</v>
      </c>
      <c r="J148" s="336">
        <v>0.73841057589539161</v>
      </c>
      <c r="K148" s="336">
        <v>0.73841057589539161</v>
      </c>
      <c r="L148" s="336">
        <v>0.73841057589539161</v>
      </c>
      <c r="M148" s="336"/>
    </row>
    <row r="149" spans="1:13" hidden="1" outlineLevel="2" x14ac:dyDescent="0.35">
      <c r="A149" s="339" t="s">
        <v>96</v>
      </c>
      <c r="B149" s="331">
        <v>43739</v>
      </c>
      <c r="C149" s="332" t="s">
        <v>456</v>
      </c>
      <c r="D149" s="332" t="s">
        <v>457</v>
      </c>
      <c r="E149" s="332" t="s">
        <v>431</v>
      </c>
      <c r="F149" s="336">
        <v>40000</v>
      </c>
      <c r="G149" s="330" t="s">
        <v>236</v>
      </c>
      <c r="H149" s="329">
        <v>39.381897381087555</v>
      </c>
      <c r="I149" s="336">
        <v>9.8454743452718887</v>
      </c>
      <c r="J149" s="336">
        <v>9.8454743452718887</v>
      </c>
      <c r="K149" s="336">
        <v>9.8454743452718887</v>
      </c>
      <c r="L149" s="336">
        <v>9.8454743452718887</v>
      </c>
      <c r="M149" s="336"/>
    </row>
    <row r="150" spans="1:13" hidden="1" outlineLevel="2" x14ac:dyDescent="0.35">
      <c r="A150" s="339" t="s">
        <v>96</v>
      </c>
      <c r="B150" s="331">
        <v>43746</v>
      </c>
      <c r="C150" s="332" t="s">
        <v>429</v>
      </c>
      <c r="D150" s="332" t="s">
        <v>430</v>
      </c>
      <c r="E150" s="332" t="s">
        <v>431</v>
      </c>
      <c r="F150" s="336">
        <v>600</v>
      </c>
      <c r="G150" s="330" t="s">
        <v>236</v>
      </c>
      <c r="H150" s="329">
        <v>0.59072846071631324</v>
      </c>
      <c r="I150" s="336">
        <v>0.14768211517907831</v>
      </c>
      <c r="J150" s="336">
        <v>0.14768211517907831</v>
      </c>
      <c r="K150" s="336">
        <v>0.14768211517907831</v>
      </c>
      <c r="L150" s="336">
        <v>0.14768211517907831</v>
      </c>
      <c r="M150" s="336"/>
    </row>
    <row r="151" spans="1:13" hidden="1" outlineLevel="2" x14ac:dyDescent="0.35">
      <c r="A151" s="339" t="s">
        <v>96</v>
      </c>
      <c r="B151" s="331">
        <v>43746</v>
      </c>
      <c r="C151" s="332" t="s">
        <v>429</v>
      </c>
      <c r="D151" s="332" t="s">
        <v>430</v>
      </c>
      <c r="E151" s="332" t="s">
        <v>431</v>
      </c>
      <c r="F151" s="336">
        <v>600</v>
      </c>
      <c r="G151" s="330" t="s">
        <v>236</v>
      </c>
      <c r="H151" s="329">
        <v>0.59072846071631324</v>
      </c>
      <c r="I151" s="336">
        <v>0.14768211517907831</v>
      </c>
      <c r="J151" s="336">
        <v>0.14768211517907831</v>
      </c>
      <c r="K151" s="336">
        <v>0.14768211517907831</v>
      </c>
      <c r="L151" s="336">
        <v>0.14768211517907831</v>
      </c>
      <c r="M151" s="336"/>
    </row>
    <row r="152" spans="1:13" hidden="1" outlineLevel="2" x14ac:dyDescent="0.35">
      <c r="A152" s="339" t="s">
        <v>96</v>
      </c>
      <c r="B152" s="331">
        <v>43746</v>
      </c>
      <c r="C152" s="332" t="s">
        <v>429</v>
      </c>
      <c r="D152" s="332" t="s">
        <v>430</v>
      </c>
      <c r="E152" s="332" t="s">
        <v>431</v>
      </c>
      <c r="F152" s="336">
        <v>600</v>
      </c>
      <c r="G152" s="330" t="s">
        <v>236</v>
      </c>
      <c r="H152" s="329">
        <v>0.59072846071631324</v>
      </c>
      <c r="I152" s="336">
        <v>0.14768211517907831</v>
      </c>
      <c r="J152" s="336">
        <v>0.14768211517907831</v>
      </c>
      <c r="K152" s="336">
        <v>0.14768211517907831</v>
      </c>
      <c r="L152" s="336">
        <v>0.14768211517907831</v>
      </c>
      <c r="M152" s="336"/>
    </row>
    <row r="153" spans="1:13" hidden="1" outlineLevel="2" x14ac:dyDescent="0.35">
      <c r="A153" s="339" t="s">
        <v>96</v>
      </c>
      <c r="B153" s="331">
        <v>43754</v>
      </c>
      <c r="C153" s="332" t="s">
        <v>429</v>
      </c>
      <c r="D153" s="332" t="s">
        <v>430</v>
      </c>
      <c r="E153" s="332" t="s">
        <v>431</v>
      </c>
      <c r="F153" s="336">
        <v>600</v>
      </c>
      <c r="G153" s="330" t="s">
        <v>236</v>
      </c>
      <c r="H153" s="329">
        <v>0.59072846071631324</v>
      </c>
      <c r="I153" s="336">
        <v>0.14768211517907831</v>
      </c>
      <c r="J153" s="336">
        <v>0.14768211517907831</v>
      </c>
      <c r="K153" s="336">
        <v>0.14768211517907831</v>
      </c>
      <c r="L153" s="336">
        <v>0.14768211517907831</v>
      </c>
      <c r="M153" s="336"/>
    </row>
    <row r="154" spans="1:13" hidden="1" outlineLevel="2" x14ac:dyDescent="0.35">
      <c r="A154" s="339" t="s">
        <v>96</v>
      </c>
      <c r="B154" s="331">
        <v>43754</v>
      </c>
      <c r="C154" s="332" t="s">
        <v>429</v>
      </c>
      <c r="D154" s="332" t="s">
        <v>430</v>
      </c>
      <c r="E154" s="332" t="s">
        <v>431</v>
      </c>
      <c r="F154" s="336">
        <v>600</v>
      </c>
      <c r="G154" s="330" t="s">
        <v>236</v>
      </c>
      <c r="H154" s="329">
        <v>0.59072846071631324</v>
      </c>
      <c r="I154" s="336">
        <v>0.14768211517907831</v>
      </c>
      <c r="J154" s="336">
        <v>0.14768211517907831</v>
      </c>
      <c r="K154" s="336">
        <v>0.14768211517907831</v>
      </c>
      <c r="L154" s="336">
        <v>0.14768211517907831</v>
      </c>
      <c r="M154" s="336"/>
    </row>
    <row r="155" spans="1:13" hidden="1" outlineLevel="2" x14ac:dyDescent="0.35">
      <c r="A155" s="339" t="s">
        <v>96</v>
      </c>
      <c r="B155" s="331">
        <v>43754</v>
      </c>
      <c r="C155" s="332" t="s">
        <v>429</v>
      </c>
      <c r="D155" s="332" t="s">
        <v>430</v>
      </c>
      <c r="E155" s="332" t="s">
        <v>431</v>
      </c>
      <c r="F155" s="336">
        <v>600</v>
      </c>
      <c r="G155" s="330" t="s">
        <v>236</v>
      </c>
      <c r="H155" s="329">
        <v>0.59072846071631324</v>
      </c>
      <c r="I155" s="336">
        <v>0.14768211517907831</v>
      </c>
      <c r="J155" s="336">
        <v>0.14768211517907831</v>
      </c>
      <c r="K155" s="336">
        <v>0.14768211517907831</v>
      </c>
      <c r="L155" s="336">
        <v>0.14768211517907831</v>
      </c>
      <c r="M155" s="336"/>
    </row>
    <row r="156" spans="1:13" hidden="1" outlineLevel="2" x14ac:dyDescent="0.35">
      <c r="A156" s="339" t="s">
        <v>96</v>
      </c>
      <c r="B156" s="331">
        <v>43760</v>
      </c>
      <c r="C156" s="332" t="s">
        <v>429</v>
      </c>
      <c r="D156" s="332" t="s">
        <v>430</v>
      </c>
      <c r="E156" s="332" t="s">
        <v>431</v>
      </c>
      <c r="F156" s="336">
        <v>600</v>
      </c>
      <c r="G156" s="330" t="s">
        <v>236</v>
      </c>
      <c r="H156" s="329">
        <v>0.59072846071631324</v>
      </c>
      <c r="I156" s="336">
        <v>0.14768211517907831</v>
      </c>
      <c r="J156" s="336">
        <v>0.14768211517907831</v>
      </c>
      <c r="K156" s="336">
        <v>0.14768211517907831</v>
      </c>
      <c r="L156" s="336">
        <v>0.14768211517907831</v>
      </c>
      <c r="M156" s="336"/>
    </row>
    <row r="157" spans="1:13" hidden="1" outlineLevel="2" x14ac:dyDescent="0.35">
      <c r="A157" s="339" t="s">
        <v>96</v>
      </c>
      <c r="B157" s="331">
        <v>43760</v>
      </c>
      <c r="C157" s="332" t="s">
        <v>429</v>
      </c>
      <c r="D157" s="332" t="s">
        <v>430</v>
      </c>
      <c r="E157" s="332" t="s">
        <v>431</v>
      </c>
      <c r="F157" s="336">
        <v>600</v>
      </c>
      <c r="G157" s="330" t="s">
        <v>236</v>
      </c>
      <c r="H157" s="329">
        <v>0.59072846071631324</v>
      </c>
      <c r="I157" s="336">
        <v>0.14768211517907831</v>
      </c>
      <c r="J157" s="336">
        <v>0.14768211517907831</v>
      </c>
      <c r="K157" s="336">
        <v>0.14768211517907831</v>
      </c>
      <c r="L157" s="336">
        <v>0.14768211517907831</v>
      </c>
      <c r="M157" s="336"/>
    </row>
    <row r="158" spans="1:13" hidden="1" outlineLevel="2" x14ac:dyDescent="0.35">
      <c r="A158" s="339" t="s">
        <v>96</v>
      </c>
      <c r="B158" s="331">
        <v>43760</v>
      </c>
      <c r="C158" s="332" t="s">
        <v>429</v>
      </c>
      <c r="D158" s="332" t="s">
        <v>430</v>
      </c>
      <c r="E158" s="332" t="s">
        <v>431</v>
      </c>
      <c r="F158" s="336">
        <v>600</v>
      </c>
      <c r="G158" s="330" t="s">
        <v>236</v>
      </c>
      <c r="H158" s="329">
        <v>0.59072846071631324</v>
      </c>
      <c r="I158" s="336">
        <v>0.14768211517907831</v>
      </c>
      <c r="J158" s="336">
        <v>0.14768211517907831</v>
      </c>
      <c r="K158" s="336">
        <v>0.14768211517907831</v>
      </c>
      <c r="L158" s="336">
        <v>0.14768211517907831</v>
      </c>
      <c r="M158" s="336"/>
    </row>
    <row r="159" spans="1:13" hidden="1" outlineLevel="2" x14ac:dyDescent="0.35">
      <c r="A159" s="339" t="s">
        <v>96</v>
      </c>
      <c r="B159" s="331">
        <v>43761</v>
      </c>
      <c r="C159" s="332" t="s">
        <v>429</v>
      </c>
      <c r="D159" s="332" t="s">
        <v>430</v>
      </c>
      <c r="E159" s="332" t="s">
        <v>431</v>
      </c>
      <c r="F159" s="336">
        <v>600</v>
      </c>
      <c r="G159" s="330" t="s">
        <v>236</v>
      </c>
      <c r="H159" s="329">
        <v>0.59072846071631324</v>
      </c>
      <c r="I159" s="336">
        <v>0.14768211517907831</v>
      </c>
      <c r="J159" s="336">
        <v>0.14768211517907831</v>
      </c>
      <c r="K159" s="336">
        <v>0.14768211517907831</v>
      </c>
      <c r="L159" s="336">
        <v>0.14768211517907831</v>
      </c>
      <c r="M159" s="336"/>
    </row>
    <row r="160" spans="1:13" hidden="1" outlineLevel="2" x14ac:dyDescent="0.35">
      <c r="A160" s="339" t="s">
        <v>96</v>
      </c>
      <c r="B160" s="331">
        <v>43761</v>
      </c>
      <c r="C160" s="332" t="s">
        <v>429</v>
      </c>
      <c r="D160" s="332" t="s">
        <v>430</v>
      </c>
      <c r="E160" s="332" t="s">
        <v>431</v>
      </c>
      <c r="F160" s="336">
        <v>600</v>
      </c>
      <c r="G160" s="330" t="s">
        <v>236</v>
      </c>
      <c r="H160" s="329">
        <v>0.59072846071631324</v>
      </c>
      <c r="I160" s="336">
        <v>0.14768211517907831</v>
      </c>
      <c r="J160" s="336">
        <v>0.14768211517907831</v>
      </c>
      <c r="K160" s="336">
        <v>0.14768211517907831</v>
      </c>
      <c r="L160" s="336">
        <v>0.14768211517907831</v>
      </c>
      <c r="M160" s="336"/>
    </row>
    <row r="161" spans="1:13" hidden="1" outlineLevel="2" x14ac:dyDescent="0.35">
      <c r="A161" s="339" t="s">
        <v>96</v>
      </c>
      <c r="B161" s="331">
        <v>43761</v>
      </c>
      <c r="C161" s="332" t="s">
        <v>429</v>
      </c>
      <c r="D161" s="332" t="s">
        <v>430</v>
      </c>
      <c r="E161" s="332" t="s">
        <v>431</v>
      </c>
      <c r="F161" s="336">
        <v>600</v>
      </c>
      <c r="G161" s="330" t="s">
        <v>236</v>
      </c>
      <c r="H161" s="329">
        <v>0.59072846071631324</v>
      </c>
      <c r="I161" s="336">
        <v>0.14768211517907831</v>
      </c>
      <c r="J161" s="336">
        <v>0.14768211517907831</v>
      </c>
      <c r="K161" s="336">
        <v>0.14768211517907831</v>
      </c>
      <c r="L161" s="336">
        <v>0.14768211517907831</v>
      </c>
      <c r="M161" s="336"/>
    </row>
    <row r="162" spans="1:13" hidden="1" outlineLevel="2" x14ac:dyDescent="0.35">
      <c r="A162" s="339" t="s">
        <v>96</v>
      </c>
      <c r="B162" s="331">
        <v>43761</v>
      </c>
      <c r="C162" s="332" t="s">
        <v>429</v>
      </c>
      <c r="D162" s="332" t="s">
        <v>430</v>
      </c>
      <c r="E162" s="332" t="s">
        <v>431</v>
      </c>
      <c r="F162" s="336">
        <v>600</v>
      </c>
      <c r="G162" s="330" t="s">
        <v>236</v>
      </c>
      <c r="H162" s="329">
        <v>0.59072846071631324</v>
      </c>
      <c r="I162" s="336">
        <v>0.14768211517907831</v>
      </c>
      <c r="J162" s="336">
        <v>0.14768211517907831</v>
      </c>
      <c r="K162" s="336">
        <v>0.14768211517907831</v>
      </c>
      <c r="L162" s="336">
        <v>0.14768211517907831</v>
      </c>
      <c r="M162" s="336"/>
    </row>
    <row r="163" spans="1:13" hidden="1" outlineLevel="2" x14ac:dyDescent="0.35">
      <c r="A163" s="339" t="s">
        <v>96</v>
      </c>
      <c r="B163" s="331">
        <v>43761</v>
      </c>
      <c r="C163" s="332" t="s">
        <v>429</v>
      </c>
      <c r="D163" s="332" t="s">
        <v>430</v>
      </c>
      <c r="E163" s="332" t="s">
        <v>431</v>
      </c>
      <c r="F163" s="336">
        <v>600</v>
      </c>
      <c r="G163" s="330" t="s">
        <v>236</v>
      </c>
      <c r="H163" s="329">
        <v>0.59072846071631324</v>
      </c>
      <c r="I163" s="336">
        <v>0.14768211517907831</v>
      </c>
      <c r="J163" s="336">
        <v>0.14768211517907831</v>
      </c>
      <c r="K163" s="336">
        <v>0.14768211517907831</v>
      </c>
      <c r="L163" s="336">
        <v>0.14768211517907831</v>
      </c>
      <c r="M163" s="336"/>
    </row>
    <row r="164" spans="1:13" hidden="1" outlineLevel="2" x14ac:dyDescent="0.35">
      <c r="A164" s="339" t="s">
        <v>96</v>
      </c>
      <c r="B164" s="331">
        <v>43767</v>
      </c>
      <c r="C164" s="332" t="s">
        <v>429</v>
      </c>
      <c r="D164" s="332" t="s">
        <v>430</v>
      </c>
      <c r="E164" s="332" t="s">
        <v>431</v>
      </c>
      <c r="F164" s="336">
        <v>600</v>
      </c>
      <c r="G164" s="330" t="s">
        <v>236</v>
      </c>
      <c r="H164" s="329">
        <v>0.59072846071631324</v>
      </c>
      <c r="I164" s="336">
        <v>0.14768211517907831</v>
      </c>
      <c r="J164" s="336">
        <v>0.14768211517907831</v>
      </c>
      <c r="K164" s="336">
        <v>0.14768211517907831</v>
      </c>
      <c r="L164" s="336">
        <v>0.14768211517907831</v>
      </c>
      <c r="M164" s="336"/>
    </row>
    <row r="165" spans="1:13" hidden="1" outlineLevel="2" x14ac:dyDescent="0.35">
      <c r="A165" s="339" t="s">
        <v>96</v>
      </c>
      <c r="B165" s="331">
        <v>43769</v>
      </c>
      <c r="C165" s="332" t="s">
        <v>458</v>
      </c>
      <c r="D165" s="332" t="s">
        <v>459</v>
      </c>
      <c r="E165" s="332" t="s">
        <v>431</v>
      </c>
      <c r="F165" s="336">
        <v>3000</v>
      </c>
      <c r="G165" s="330" t="s">
        <v>236</v>
      </c>
      <c r="H165" s="329">
        <v>2.9536423035815664</v>
      </c>
      <c r="I165" s="336">
        <v>0.73841057589539161</v>
      </c>
      <c r="J165" s="336">
        <v>0.73841057589539161</v>
      </c>
      <c r="K165" s="336">
        <v>0.73841057589539161</v>
      </c>
      <c r="L165" s="336">
        <v>0.73841057589539161</v>
      </c>
      <c r="M165" s="336"/>
    </row>
    <row r="166" spans="1:13" hidden="1" outlineLevel="2" x14ac:dyDescent="0.35">
      <c r="A166" s="339" t="s">
        <v>96</v>
      </c>
      <c r="B166" s="331">
        <v>44461</v>
      </c>
      <c r="C166" s="332" t="s">
        <v>429</v>
      </c>
      <c r="D166" s="332" t="s">
        <v>430</v>
      </c>
      <c r="E166" s="332" t="s">
        <v>431</v>
      </c>
      <c r="F166" s="336">
        <v>900</v>
      </c>
      <c r="G166" s="330" t="s">
        <v>236</v>
      </c>
      <c r="H166" s="329">
        <v>0.76737148781237141</v>
      </c>
      <c r="I166" s="333">
        <v>0.19184287195309285</v>
      </c>
      <c r="J166" s="333">
        <v>0.19184287195309285</v>
      </c>
      <c r="K166" s="333">
        <v>0.19184287195309285</v>
      </c>
      <c r="L166" s="333">
        <v>0.19184287195309285</v>
      </c>
      <c r="M166" s="336"/>
    </row>
    <row r="167" spans="1:13" hidden="1" outlineLevel="2" x14ac:dyDescent="0.35">
      <c r="A167" s="339" t="s">
        <v>96</v>
      </c>
      <c r="B167" s="331"/>
      <c r="C167" s="332" t="s">
        <v>429</v>
      </c>
      <c r="D167" s="332" t="s">
        <v>430</v>
      </c>
      <c r="E167" s="332" t="s">
        <v>431</v>
      </c>
      <c r="F167" s="336">
        <v>1200</v>
      </c>
      <c r="G167" s="330" t="s">
        <v>236</v>
      </c>
      <c r="H167" s="329">
        <v>1.0231619837498287</v>
      </c>
      <c r="I167" s="333">
        <v>0.25579049593745717</v>
      </c>
      <c r="J167" s="333">
        <v>0.25579049593745717</v>
      </c>
      <c r="K167" s="333">
        <v>0.25579049593745717</v>
      </c>
      <c r="L167" s="333">
        <v>0.25579049593745717</v>
      </c>
      <c r="M167" s="336"/>
    </row>
    <row r="168" spans="1:13" hidden="1" outlineLevel="2" x14ac:dyDescent="0.35">
      <c r="A168" s="339" t="s">
        <v>96</v>
      </c>
      <c r="B168" s="331"/>
      <c r="C168" s="332" t="s">
        <v>440</v>
      </c>
      <c r="D168" s="332" t="s">
        <v>441</v>
      </c>
      <c r="E168" s="332" t="s">
        <v>431</v>
      </c>
      <c r="F168" s="336">
        <v>5000</v>
      </c>
      <c r="G168" s="330" t="s">
        <v>236</v>
      </c>
      <c r="H168" s="329">
        <v>4.2631749322909522</v>
      </c>
      <c r="I168" s="333">
        <v>1.0657937330727381</v>
      </c>
      <c r="J168" s="333">
        <v>1.0657937330727381</v>
      </c>
      <c r="K168" s="333">
        <v>1.0657937330727381</v>
      </c>
      <c r="L168" s="333">
        <v>1.0657937330727381</v>
      </c>
      <c r="M168" s="336"/>
    </row>
    <row r="169" spans="1:13" hidden="1" outlineLevel="2" x14ac:dyDescent="0.35">
      <c r="A169" s="339" t="s">
        <v>96</v>
      </c>
      <c r="B169" s="331">
        <v>44202</v>
      </c>
      <c r="C169" s="332" t="s">
        <v>429</v>
      </c>
      <c r="D169" s="332" t="s">
        <v>430</v>
      </c>
      <c r="E169" s="332" t="s">
        <v>431</v>
      </c>
      <c r="F169" s="336">
        <v>600</v>
      </c>
      <c r="G169" s="330" t="s">
        <v>236</v>
      </c>
      <c r="H169" s="329">
        <v>0.51158099187491435</v>
      </c>
      <c r="I169" s="333">
        <v>0.12789524796872859</v>
      </c>
      <c r="J169" s="333">
        <v>0.12789524796872859</v>
      </c>
      <c r="K169" s="333">
        <v>0.12789524796872859</v>
      </c>
      <c r="L169" s="333">
        <v>0.12789524796872859</v>
      </c>
      <c r="M169" s="336"/>
    </row>
    <row r="170" spans="1:13" hidden="1" outlineLevel="2" x14ac:dyDescent="0.35">
      <c r="A170" s="339" t="s">
        <v>96</v>
      </c>
      <c r="B170" s="331"/>
      <c r="C170" s="332" t="s">
        <v>429</v>
      </c>
      <c r="D170" s="332" t="s">
        <v>430</v>
      </c>
      <c r="E170" s="332" t="s">
        <v>437</v>
      </c>
      <c r="F170" s="336">
        <v>3000</v>
      </c>
      <c r="G170" s="330" t="s">
        <v>236</v>
      </c>
      <c r="H170" s="329">
        <v>2.6478516070383513</v>
      </c>
      <c r="I170" s="336">
        <v>0.66196290175958783</v>
      </c>
      <c r="J170" s="336">
        <v>0.66196290175958783</v>
      </c>
      <c r="K170" s="336">
        <v>0.66196290175958783</v>
      </c>
      <c r="L170" s="336">
        <v>0.66196290175958783</v>
      </c>
      <c r="M170" s="336"/>
    </row>
    <row r="171" spans="1:13" hidden="1" outlineLevel="2" x14ac:dyDescent="0.35">
      <c r="A171" s="339" t="s">
        <v>96</v>
      </c>
      <c r="B171" s="331">
        <v>44203</v>
      </c>
      <c r="C171" s="332" t="s">
        <v>429</v>
      </c>
      <c r="D171" s="332" t="s">
        <v>430</v>
      </c>
      <c r="E171" s="332" t="s">
        <v>431</v>
      </c>
      <c r="F171" s="336">
        <v>600</v>
      </c>
      <c r="G171" s="330" t="s">
        <v>236</v>
      </c>
      <c r="H171" s="329">
        <v>0.51158099187491435</v>
      </c>
      <c r="I171" s="333">
        <v>0.12789524796872859</v>
      </c>
      <c r="J171" s="333">
        <v>0.12789524796872859</v>
      </c>
      <c r="K171" s="333">
        <v>0.12789524796872859</v>
      </c>
      <c r="L171" s="333">
        <v>0.12789524796872859</v>
      </c>
      <c r="M171" s="336"/>
    </row>
    <row r="172" spans="1:13" hidden="1" outlineLevel="2" x14ac:dyDescent="0.35">
      <c r="A172" s="339" t="s">
        <v>96</v>
      </c>
      <c r="B172" s="331"/>
      <c r="C172" s="332" t="s">
        <v>429</v>
      </c>
      <c r="D172" s="332" t="s">
        <v>430</v>
      </c>
      <c r="E172" s="332" t="s">
        <v>437</v>
      </c>
      <c r="F172" s="336">
        <v>2400</v>
      </c>
      <c r="G172" s="330" t="s">
        <v>236</v>
      </c>
      <c r="H172" s="329">
        <v>2.118281285630681</v>
      </c>
      <c r="I172" s="336">
        <v>0.52957032140767024</v>
      </c>
      <c r="J172" s="336">
        <v>0.52957032140767024</v>
      </c>
      <c r="K172" s="336">
        <v>0.52957032140767024</v>
      </c>
      <c r="L172" s="336">
        <v>0.52957032140767024</v>
      </c>
      <c r="M172" s="336"/>
    </row>
    <row r="173" spans="1:13" hidden="1" outlineLevel="2" x14ac:dyDescent="0.35">
      <c r="A173" s="339" t="s">
        <v>96</v>
      </c>
      <c r="B173" s="331"/>
      <c r="C173" s="332" t="s">
        <v>429</v>
      </c>
      <c r="D173" s="332" t="s">
        <v>430</v>
      </c>
      <c r="E173" s="332" t="s">
        <v>437</v>
      </c>
      <c r="F173" s="336">
        <v>600</v>
      </c>
      <c r="G173" s="330" t="s">
        <v>236</v>
      </c>
      <c r="H173" s="329">
        <v>0.52957032140767024</v>
      </c>
      <c r="I173" s="336">
        <v>0.13239258035191756</v>
      </c>
      <c r="J173" s="336">
        <v>0.13239258035191756</v>
      </c>
      <c r="K173" s="336">
        <v>0.13239258035191756</v>
      </c>
      <c r="L173" s="336">
        <v>0.13239258035191756</v>
      </c>
      <c r="M173" s="336"/>
    </row>
    <row r="174" spans="1:13" hidden="1" outlineLevel="2" x14ac:dyDescent="0.35">
      <c r="A174" s="339" t="s">
        <v>96</v>
      </c>
      <c r="B174" s="327">
        <v>44210</v>
      </c>
      <c r="C174" s="328" t="s">
        <v>429</v>
      </c>
      <c r="D174" s="328" t="s">
        <v>430</v>
      </c>
      <c r="E174" s="328" t="s">
        <v>431</v>
      </c>
      <c r="F174" s="338">
        <v>600</v>
      </c>
      <c r="G174" s="330" t="s">
        <v>236</v>
      </c>
      <c r="H174" s="329">
        <v>0.51158099187491435</v>
      </c>
      <c r="I174" s="329">
        <v>0.12789524796872859</v>
      </c>
      <c r="J174" s="329">
        <v>0.12789524796872859</v>
      </c>
      <c r="K174" s="329">
        <v>0.12789524796872859</v>
      </c>
      <c r="L174" s="329">
        <v>0.12789524796872859</v>
      </c>
      <c r="M174" s="338"/>
    </row>
    <row r="175" spans="1:13" hidden="1" outlineLevel="2" x14ac:dyDescent="0.35">
      <c r="A175" s="339" t="s">
        <v>96</v>
      </c>
      <c r="B175" s="331">
        <v>44580</v>
      </c>
      <c r="C175" s="332" t="s">
        <v>429</v>
      </c>
      <c r="D175" s="332" t="s">
        <v>430</v>
      </c>
      <c r="E175" s="332" t="s">
        <v>437</v>
      </c>
      <c r="F175" s="336">
        <v>3000</v>
      </c>
      <c r="G175" s="330" t="s">
        <v>236</v>
      </c>
      <c r="H175" s="329">
        <v>2.6478516070383513</v>
      </c>
      <c r="I175" s="336">
        <v>0.66196290175958783</v>
      </c>
      <c r="J175" s="336">
        <v>0.66196290175958783</v>
      </c>
      <c r="K175" s="336">
        <v>0.66196290175958783</v>
      </c>
      <c r="L175" s="336">
        <v>0.66196290175958783</v>
      </c>
      <c r="M175" s="336"/>
    </row>
    <row r="176" spans="1:13" hidden="1" outlineLevel="2" x14ac:dyDescent="0.35">
      <c r="A176" s="339" t="s">
        <v>96</v>
      </c>
      <c r="B176" s="331">
        <v>44217</v>
      </c>
      <c r="C176" s="332" t="s">
        <v>429</v>
      </c>
      <c r="D176" s="332" t="s">
        <v>430</v>
      </c>
      <c r="E176" s="332" t="s">
        <v>431</v>
      </c>
      <c r="F176" s="336">
        <v>1800</v>
      </c>
      <c r="G176" s="330" t="s">
        <v>236</v>
      </c>
      <c r="H176" s="329">
        <v>1.5347429756247428</v>
      </c>
      <c r="I176" s="333">
        <v>0.38368574390618571</v>
      </c>
      <c r="J176" s="333">
        <v>0.38368574390618571</v>
      </c>
      <c r="K176" s="333">
        <v>0.38368574390618571</v>
      </c>
      <c r="L176" s="333">
        <v>0.38368574390618571</v>
      </c>
      <c r="M176" s="336"/>
    </row>
    <row r="177" spans="1:13" hidden="1" outlineLevel="2" x14ac:dyDescent="0.35">
      <c r="A177" s="339" t="s">
        <v>96</v>
      </c>
      <c r="B177" s="331">
        <v>44224</v>
      </c>
      <c r="C177" s="332" t="s">
        <v>429</v>
      </c>
      <c r="D177" s="332" t="s">
        <v>430</v>
      </c>
      <c r="E177" s="332" t="s">
        <v>431</v>
      </c>
      <c r="F177" s="336">
        <v>600</v>
      </c>
      <c r="G177" s="330" t="s">
        <v>236</v>
      </c>
      <c r="H177" s="329">
        <v>0.51158099187491435</v>
      </c>
      <c r="I177" s="333">
        <v>0.12789524796872859</v>
      </c>
      <c r="J177" s="333">
        <v>0.12789524796872859</v>
      </c>
      <c r="K177" s="333">
        <v>0.12789524796872859</v>
      </c>
      <c r="L177" s="333">
        <v>0.12789524796872859</v>
      </c>
      <c r="M177" s="336"/>
    </row>
    <row r="178" spans="1:13" hidden="1" outlineLevel="2" x14ac:dyDescent="0.35">
      <c r="A178" s="339" t="s">
        <v>96</v>
      </c>
      <c r="B178" s="327">
        <v>44225</v>
      </c>
      <c r="C178" s="328" t="s">
        <v>440</v>
      </c>
      <c r="D178" s="328" t="s">
        <v>441</v>
      </c>
      <c r="E178" s="328" t="s">
        <v>431</v>
      </c>
      <c r="F178" s="338">
        <v>5000</v>
      </c>
      <c r="G178" s="330" t="s">
        <v>236</v>
      </c>
      <c r="H178" s="329">
        <v>4.2631749322909522</v>
      </c>
      <c r="I178" s="329">
        <v>1.0657937330727381</v>
      </c>
      <c r="J178" s="329">
        <v>1.0657937330727381</v>
      </c>
      <c r="K178" s="329">
        <v>1.0657937330727381</v>
      </c>
      <c r="L178" s="329">
        <v>1.0657937330727381</v>
      </c>
      <c r="M178" s="338"/>
    </row>
    <row r="179" spans="1:13" hidden="1" outlineLevel="2" x14ac:dyDescent="0.35">
      <c r="A179" s="335" t="s">
        <v>96</v>
      </c>
      <c r="B179" s="331">
        <v>44229</v>
      </c>
      <c r="C179" s="332" t="s">
        <v>429</v>
      </c>
      <c r="D179" s="332" t="s">
        <v>430</v>
      </c>
      <c r="E179" s="332" t="s">
        <v>431</v>
      </c>
      <c r="F179" s="336">
        <v>2400</v>
      </c>
      <c r="G179" s="330" t="s">
        <v>236</v>
      </c>
      <c r="H179" s="329">
        <v>2.0463239674996574</v>
      </c>
      <c r="I179" s="333">
        <v>0.51158099187491435</v>
      </c>
      <c r="J179" s="329">
        <v>0.51158099187491435</v>
      </c>
      <c r="K179" s="333">
        <v>0.51158099187491435</v>
      </c>
      <c r="L179" s="333">
        <v>0.51158099187491435</v>
      </c>
      <c r="M179" s="336"/>
    </row>
    <row r="180" spans="1:13" hidden="1" outlineLevel="2" x14ac:dyDescent="0.35">
      <c r="A180" s="335" t="s">
        <v>96</v>
      </c>
      <c r="B180" s="331">
        <v>44231</v>
      </c>
      <c r="C180" s="332" t="s">
        <v>429</v>
      </c>
      <c r="D180" s="332" t="s">
        <v>430</v>
      </c>
      <c r="E180" s="332" t="s">
        <v>431</v>
      </c>
      <c r="F180" s="336">
        <v>600</v>
      </c>
      <c r="G180" s="330" t="s">
        <v>236</v>
      </c>
      <c r="H180" s="329">
        <v>0.51158099187491435</v>
      </c>
      <c r="I180" s="333">
        <v>0.12789524796872859</v>
      </c>
      <c r="J180" s="329">
        <v>0.12789524796872859</v>
      </c>
      <c r="K180" s="333">
        <v>0.12789524796872859</v>
      </c>
      <c r="L180" s="333">
        <v>0.12789524796872859</v>
      </c>
      <c r="M180" s="336"/>
    </row>
    <row r="181" spans="1:13" hidden="1" outlineLevel="2" x14ac:dyDescent="0.35">
      <c r="A181" s="335" t="s">
        <v>96</v>
      </c>
      <c r="B181" s="331">
        <v>44235</v>
      </c>
      <c r="C181" s="332" t="s">
        <v>429</v>
      </c>
      <c r="D181" s="332" t="s">
        <v>430</v>
      </c>
      <c r="E181" s="332" t="s">
        <v>431</v>
      </c>
      <c r="F181" s="336">
        <v>600</v>
      </c>
      <c r="G181" s="330" t="s">
        <v>236</v>
      </c>
      <c r="H181" s="329">
        <v>0.51158099187491435</v>
      </c>
      <c r="I181" s="333">
        <v>0.12789524796872859</v>
      </c>
      <c r="J181" s="329">
        <v>0.12789524796872859</v>
      </c>
      <c r="K181" s="333">
        <v>0.12789524796872859</v>
      </c>
      <c r="L181" s="333">
        <v>0.12789524796872859</v>
      </c>
      <c r="M181" s="336"/>
    </row>
    <row r="182" spans="1:13" hidden="1" outlineLevel="2" x14ac:dyDescent="0.35">
      <c r="A182" s="335" t="s">
        <v>96</v>
      </c>
      <c r="B182" s="331">
        <v>44251</v>
      </c>
      <c r="C182" s="332" t="s">
        <v>429</v>
      </c>
      <c r="D182" s="332" t="s">
        <v>430</v>
      </c>
      <c r="E182" s="332" t="s">
        <v>431</v>
      </c>
      <c r="F182" s="336">
        <v>1200</v>
      </c>
      <c r="G182" s="330" t="s">
        <v>236</v>
      </c>
      <c r="H182" s="329">
        <v>1.0231619837498287</v>
      </c>
      <c r="I182" s="333">
        <v>0.25579049593745717</v>
      </c>
      <c r="J182" s="329">
        <v>0.25579049593745717</v>
      </c>
      <c r="K182" s="333">
        <v>0.25579049593745717</v>
      </c>
      <c r="L182" s="333">
        <v>0.25579049593745717</v>
      </c>
      <c r="M182" s="336"/>
    </row>
    <row r="183" spans="1:13" hidden="1" outlineLevel="2" x14ac:dyDescent="0.35">
      <c r="A183" s="340" t="s">
        <v>96</v>
      </c>
      <c r="B183" s="327">
        <v>44585</v>
      </c>
      <c r="C183" s="328" t="s">
        <v>429</v>
      </c>
      <c r="D183" s="328" t="s">
        <v>430</v>
      </c>
      <c r="E183" s="328" t="s">
        <v>437</v>
      </c>
      <c r="F183" s="338">
        <v>900</v>
      </c>
      <c r="G183" s="330" t="s">
        <v>236</v>
      </c>
      <c r="H183" s="329">
        <v>0.79435548211150542</v>
      </c>
      <c r="I183" s="338">
        <v>0.19858887052787635</v>
      </c>
      <c r="J183" s="338">
        <v>0.19858887052787635</v>
      </c>
      <c r="K183" s="338">
        <v>0.19858887052787635</v>
      </c>
      <c r="L183" s="338">
        <v>0.19858887052787635</v>
      </c>
      <c r="M183" s="338"/>
    </row>
    <row r="184" spans="1:13" hidden="1" outlineLevel="2" x14ac:dyDescent="0.35">
      <c r="A184" s="335" t="s">
        <v>96</v>
      </c>
      <c r="B184" s="331">
        <v>44587</v>
      </c>
      <c r="C184" s="332" t="s">
        <v>429</v>
      </c>
      <c r="D184" s="332" t="s">
        <v>430</v>
      </c>
      <c r="E184" s="332" t="s">
        <v>437</v>
      </c>
      <c r="F184" s="336">
        <v>7200</v>
      </c>
      <c r="G184" s="330" t="s">
        <v>236</v>
      </c>
      <c r="H184" s="329">
        <v>6.3548438568920433</v>
      </c>
      <c r="I184" s="338">
        <v>1.5887109642230108</v>
      </c>
      <c r="J184" s="338">
        <v>1.5887109642230108</v>
      </c>
      <c r="K184" s="338">
        <v>1.5887109642230108</v>
      </c>
      <c r="L184" s="338">
        <v>1.5887109642230108</v>
      </c>
      <c r="M184" s="336"/>
    </row>
    <row r="185" spans="1:13" hidden="1" outlineLevel="2" x14ac:dyDescent="0.35">
      <c r="A185" s="335" t="s">
        <v>96</v>
      </c>
      <c r="B185" s="331">
        <v>44253</v>
      </c>
      <c r="C185" s="332" t="s">
        <v>440</v>
      </c>
      <c r="D185" s="332" t="s">
        <v>441</v>
      </c>
      <c r="E185" s="332" t="s">
        <v>431</v>
      </c>
      <c r="F185" s="336">
        <v>5000</v>
      </c>
      <c r="G185" s="330" t="s">
        <v>236</v>
      </c>
      <c r="H185" s="329">
        <v>4.2631749322909522</v>
      </c>
      <c r="I185" s="329">
        <v>1.0657937330727381</v>
      </c>
      <c r="J185" s="329">
        <v>1.0657937330727381</v>
      </c>
      <c r="K185" s="329">
        <v>1.0657937330727381</v>
      </c>
      <c r="L185" s="329">
        <v>1.0657937330727381</v>
      </c>
      <c r="M185" s="336"/>
    </row>
    <row r="186" spans="1:13" hidden="1" outlineLevel="2" x14ac:dyDescent="0.35">
      <c r="A186" s="335" t="s">
        <v>96</v>
      </c>
      <c r="B186" s="331">
        <v>44263</v>
      </c>
      <c r="C186" s="332" t="s">
        <v>429</v>
      </c>
      <c r="D186" s="332" t="s">
        <v>430</v>
      </c>
      <c r="E186" s="332" t="s">
        <v>431</v>
      </c>
      <c r="F186" s="336">
        <v>3000</v>
      </c>
      <c r="G186" s="330" t="s">
        <v>236</v>
      </c>
      <c r="H186" s="329">
        <v>2.5579049593745715</v>
      </c>
      <c r="I186" s="329">
        <v>0.63947623984364288</v>
      </c>
      <c r="J186" s="329">
        <v>0.63947623984364288</v>
      </c>
      <c r="K186" s="329">
        <v>0.63947623984364288</v>
      </c>
      <c r="L186" s="329">
        <v>0.63947623984364288</v>
      </c>
      <c r="M186" s="336"/>
    </row>
    <row r="187" spans="1:13" hidden="1" outlineLevel="2" x14ac:dyDescent="0.35">
      <c r="A187" s="335" t="s">
        <v>96</v>
      </c>
      <c r="B187" s="331">
        <v>44264</v>
      </c>
      <c r="C187" s="332" t="s">
        <v>429</v>
      </c>
      <c r="D187" s="332" t="s">
        <v>430</v>
      </c>
      <c r="E187" s="332" t="s">
        <v>431</v>
      </c>
      <c r="F187" s="336">
        <v>50000</v>
      </c>
      <c r="G187" s="330" t="s">
        <v>236</v>
      </c>
      <c r="H187" s="329">
        <v>42.631749322909528</v>
      </c>
      <c r="I187" s="329">
        <v>10.657937330727382</v>
      </c>
      <c r="J187" s="329">
        <v>10.657937330727382</v>
      </c>
      <c r="K187" s="329">
        <v>10.657937330727382</v>
      </c>
      <c r="L187" s="329">
        <v>10.657937330727382</v>
      </c>
      <c r="M187" s="336"/>
    </row>
    <row r="188" spans="1:13" hidden="1" outlineLevel="2" x14ac:dyDescent="0.35">
      <c r="A188" s="335" t="s">
        <v>96</v>
      </c>
      <c r="B188" s="331">
        <v>44592</v>
      </c>
      <c r="C188" s="332" t="s">
        <v>440</v>
      </c>
      <c r="D188" s="332" t="s">
        <v>441</v>
      </c>
      <c r="E188" s="332" t="s">
        <v>437</v>
      </c>
      <c r="F188" s="336">
        <v>5000</v>
      </c>
      <c r="G188" s="330" t="s">
        <v>236</v>
      </c>
      <c r="H188" s="329">
        <v>4.4130860117305861</v>
      </c>
      <c r="I188" s="338">
        <v>1.1032715029326465</v>
      </c>
      <c r="J188" s="338">
        <v>1.1032715029326465</v>
      </c>
      <c r="K188" s="338">
        <v>1.1032715029326465</v>
      </c>
      <c r="L188" s="338">
        <v>1.1032715029326465</v>
      </c>
      <c r="M188" s="336"/>
    </row>
    <row r="189" spans="1:13" hidden="1" outlineLevel="2" x14ac:dyDescent="0.35">
      <c r="A189" s="335" t="s">
        <v>96</v>
      </c>
      <c r="B189" s="331">
        <v>44600</v>
      </c>
      <c r="C189" s="332" t="s">
        <v>429</v>
      </c>
      <c r="D189" s="332" t="s">
        <v>430</v>
      </c>
      <c r="E189" s="332" t="s">
        <v>437</v>
      </c>
      <c r="F189" s="336">
        <v>6000</v>
      </c>
      <c r="G189" s="330" t="s">
        <v>236</v>
      </c>
      <c r="H189" s="329">
        <v>5.2957032140767026</v>
      </c>
      <c r="I189" s="338">
        <v>1.3239258035191757</v>
      </c>
      <c r="J189" s="338">
        <v>1.3239258035191757</v>
      </c>
      <c r="K189" s="338">
        <v>1.3239258035191757</v>
      </c>
      <c r="L189" s="338">
        <v>1.3239258035191757</v>
      </c>
      <c r="M189" s="336"/>
    </row>
    <row r="190" spans="1:13" hidden="1" outlineLevel="2" x14ac:dyDescent="0.35">
      <c r="A190" s="335" t="s">
        <v>96</v>
      </c>
      <c r="B190" s="331">
        <v>44603</v>
      </c>
      <c r="C190" s="332" t="s">
        <v>429</v>
      </c>
      <c r="D190" s="332" t="s">
        <v>430</v>
      </c>
      <c r="E190" s="332" t="s">
        <v>437</v>
      </c>
      <c r="F190" s="336">
        <v>600</v>
      </c>
      <c r="G190" s="330" t="s">
        <v>236</v>
      </c>
      <c r="H190" s="329">
        <v>0.52957032140767024</v>
      </c>
      <c r="I190" s="338">
        <v>0.13239258035191756</v>
      </c>
      <c r="J190" s="338">
        <v>0.13239258035191756</v>
      </c>
      <c r="K190" s="338">
        <v>0.13239258035191756</v>
      </c>
      <c r="L190" s="338">
        <v>0.13239258035191756</v>
      </c>
      <c r="M190" s="336"/>
    </row>
    <row r="191" spans="1:13" hidden="1" outlineLevel="2" x14ac:dyDescent="0.35">
      <c r="A191" s="335" t="s">
        <v>96</v>
      </c>
      <c r="B191" s="331">
        <v>44614</v>
      </c>
      <c r="C191" s="332" t="s">
        <v>429</v>
      </c>
      <c r="D191" s="332" t="s">
        <v>430</v>
      </c>
      <c r="E191" s="332" t="s">
        <v>437</v>
      </c>
      <c r="F191" s="336">
        <v>1800</v>
      </c>
      <c r="G191" s="330" t="s">
        <v>236</v>
      </c>
      <c r="H191" s="329">
        <v>1.5887109642230108</v>
      </c>
      <c r="I191" s="338">
        <v>0.39717774105575271</v>
      </c>
      <c r="J191" s="338">
        <v>0.39717774105575271</v>
      </c>
      <c r="K191" s="338">
        <v>0.39717774105575271</v>
      </c>
      <c r="L191" s="338">
        <v>0.39717774105575271</v>
      </c>
      <c r="M191" s="336"/>
    </row>
    <row r="192" spans="1:13" hidden="1" outlineLevel="2" x14ac:dyDescent="0.35">
      <c r="A192" s="335" t="s">
        <v>96</v>
      </c>
      <c r="B192" s="331">
        <v>43781</v>
      </c>
      <c r="C192" s="332" t="s">
        <v>429</v>
      </c>
      <c r="D192" s="332" t="s">
        <v>430</v>
      </c>
      <c r="E192" s="332" t="s">
        <v>437</v>
      </c>
      <c r="F192" s="336">
        <v>3000</v>
      </c>
      <c r="G192" s="330" t="s">
        <v>236</v>
      </c>
      <c r="H192" s="329">
        <v>2.9536423035815664</v>
      </c>
      <c r="I192" s="338">
        <v>0.73841057589539161</v>
      </c>
      <c r="J192" s="338">
        <v>0.73841057589539161</v>
      </c>
      <c r="K192" s="338">
        <v>0.73841057589539161</v>
      </c>
      <c r="L192" s="338">
        <v>0.73841057589539161</v>
      </c>
      <c r="M192" s="336"/>
    </row>
    <row r="193" spans="1:13" hidden="1" outlineLevel="2" x14ac:dyDescent="0.35">
      <c r="A193" s="335" t="s">
        <v>96</v>
      </c>
      <c r="B193" s="331">
        <v>44620</v>
      </c>
      <c r="C193" s="332" t="s">
        <v>440</v>
      </c>
      <c r="D193" s="332" t="s">
        <v>441</v>
      </c>
      <c r="E193" s="332" t="s">
        <v>437</v>
      </c>
      <c r="F193" s="336">
        <v>5000</v>
      </c>
      <c r="G193" s="330" t="s">
        <v>236</v>
      </c>
      <c r="H193" s="329">
        <v>4.4130860117305861</v>
      </c>
      <c r="I193" s="338">
        <v>1.1032715029326465</v>
      </c>
      <c r="J193" s="338">
        <v>1.1032715029326465</v>
      </c>
      <c r="K193" s="338">
        <v>1.1032715029326465</v>
      </c>
      <c r="L193" s="338">
        <v>1.1032715029326465</v>
      </c>
      <c r="M193" s="336"/>
    </row>
    <row r="194" spans="1:13" hidden="1" outlineLevel="2" x14ac:dyDescent="0.35">
      <c r="A194" s="335" t="s">
        <v>96</v>
      </c>
      <c r="B194" s="331">
        <v>44624</v>
      </c>
      <c r="C194" s="332" t="s">
        <v>429</v>
      </c>
      <c r="D194" s="332" t="s">
        <v>430</v>
      </c>
      <c r="E194" s="332" t="s">
        <v>437</v>
      </c>
      <c r="F194" s="336">
        <v>1200</v>
      </c>
      <c r="G194" s="330" t="s">
        <v>236</v>
      </c>
      <c r="H194" s="329">
        <v>1.0591406428153405</v>
      </c>
      <c r="I194" s="338">
        <v>0.26478516070383512</v>
      </c>
      <c r="J194" s="338">
        <v>0.26478516070383512</v>
      </c>
      <c r="K194" s="338">
        <v>0.26478516070383512</v>
      </c>
      <c r="L194" s="338">
        <v>0.26478516070383512</v>
      </c>
      <c r="M194" s="336"/>
    </row>
    <row r="195" spans="1:13" hidden="1" outlineLevel="2" x14ac:dyDescent="0.35">
      <c r="A195" s="335" t="s">
        <v>96</v>
      </c>
      <c r="B195" s="331">
        <v>44278</v>
      </c>
      <c r="C195" s="332" t="s">
        <v>429</v>
      </c>
      <c r="D195" s="332" t="s">
        <v>430</v>
      </c>
      <c r="E195" s="332" t="s">
        <v>431</v>
      </c>
      <c r="F195" s="336">
        <v>3000</v>
      </c>
      <c r="G195" s="330" t="s">
        <v>236</v>
      </c>
      <c r="H195" s="329">
        <v>2.5579049593745715</v>
      </c>
      <c r="I195" s="329">
        <v>0.63947623984364288</v>
      </c>
      <c r="J195" s="329">
        <v>0.63947623984364288</v>
      </c>
      <c r="K195" s="329">
        <v>0.63947623984364288</v>
      </c>
      <c r="L195" s="329">
        <v>0.63947623984364288</v>
      </c>
      <c r="M195" s="336"/>
    </row>
    <row r="196" spans="1:13" hidden="1" outlineLevel="2" x14ac:dyDescent="0.35">
      <c r="A196" s="335" t="s">
        <v>96</v>
      </c>
      <c r="B196" s="331">
        <v>44634</v>
      </c>
      <c r="C196" s="332" t="s">
        <v>429</v>
      </c>
      <c r="D196" s="332" t="s">
        <v>430</v>
      </c>
      <c r="E196" s="332" t="s">
        <v>437</v>
      </c>
      <c r="F196" s="336">
        <v>1200</v>
      </c>
      <c r="G196" s="330" t="s">
        <v>236</v>
      </c>
      <c r="H196" s="329">
        <v>1.0591406428153405</v>
      </c>
      <c r="I196" s="338">
        <v>0.26478516070383512</v>
      </c>
      <c r="J196" s="338">
        <v>0.26478516070383512</v>
      </c>
      <c r="K196" s="338">
        <v>0.26478516070383512</v>
      </c>
      <c r="L196" s="338">
        <v>0.26478516070383512</v>
      </c>
      <c r="M196" s="336"/>
    </row>
    <row r="197" spans="1:13" hidden="1" outlineLevel="2" x14ac:dyDescent="0.35">
      <c r="A197" s="335" t="s">
        <v>96</v>
      </c>
      <c r="B197" s="331">
        <v>44284</v>
      </c>
      <c r="C197" s="332" t="s">
        <v>429</v>
      </c>
      <c r="D197" s="332" t="s">
        <v>430</v>
      </c>
      <c r="E197" s="332" t="s">
        <v>431</v>
      </c>
      <c r="F197" s="336">
        <v>2400</v>
      </c>
      <c r="G197" s="330" t="s">
        <v>236</v>
      </c>
      <c r="H197" s="329">
        <v>2.0463239674996574</v>
      </c>
      <c r="I197" s="329">
        <v>0.51158099187491435</v>
      </c>
      <c r="J197" s="329">
        <v>0.51158099187491435</v>
      </c>
      <c r="K197" s="329">
        <v>0.51158099187491435</v>
      </c>
      <c r="L197" s="329">
        <v>0.51158099187491435</v>
      </c>
      <c r="M197" s="336"/>
    </row>
    <row r="198" spans="1:13" hidden="1" outlineLevel="2" x14ac:dyDescent="0.35">
      <c r="A198" s="335" t="s">
        <v>96</v>
      </c>
      <c r="B198" s="331">
        <v>44286</v>
      </c>
      <c r="C198" s="332" t="s">
        <v>429</v>
      </c>
      <c r="D198" s="332" t="s">
        <v>430</v>
      </c>
      <c r="E198" s="332" t="s">
        <v>431</v>
      </c>
      <c r="F198" s="336">
        <v>5000</v>
      </c>
      <c r="G198" s="330" t="s">
        <v>236</v>
      </c>
      <c r="H198" s="329">
        <v>4.2631749322909522</v>
      </c>
      <c r="I198" s="329">
        <v>1.0657937330727381</v>
      </c>
      <c r="J198" s="329">
        <v>1.0657937330727381</v>
      </c>
      <c r="K198" s="329">
        <v>1.0657937330727381</v>
      </c>
      <c r="L198" s="329">
        <v>1.0657937330727381</v>
      </c>
      <c r="M198" s="336"/>
    </row>
    <row r="199" spans="1:13" hidden="1" outlineLevel="2" x14ac:dyDescent="0.35">
      <c r="A199" s="335" t="s">
        <v>96</v>
      </c>
      <c r="B199" s="331">
        <v>44651</v>
      </c>
      <c r="C199" s="332" t="s">
        <v>440</v>
      </c>
      <c r="D199" s="332" t="s">
        <v>441</v>
      </c>
      <c r="E199" s="332" t="s">
        <v>437</v>
      </c>
      <c r="F199" s="336">
        <v>5000</v>
      </c>
      <c r="G199" s="330" t="s">
        <v>236</v>
      </c>
      <c r="H199" s="329">
        <v>4.4130860117305861</v>
      </c>
      <c r="I199" s="338">
        <v>1.1032715029326465</v>
      </c>
      <c r="J199" s="338">
        <v>1.1032715029326465</v>
      </c>
      <c r="K199" s="338">
        <v>1.1032715029326465</v>
      </c>
      <c r="L199" s="338">
        <v>1.1032715029326465</v>
      </c>
      <c r="M199" s="336"/>
    </row>
    <row r="200" spans="1:13" hidden="1" outlineLevel="2" x14ac:dyDescent="0.35">
      <c r="A200" s="335" t="s">
        <v>96</v>
      </c>
      <c r="B200" s="331">
        <v>44677</v>
      </c>
      <c r="C200" s="332" t="s">
        <v>429</v>
      </c>
      <c r="D200" s="332" t="s">
        <v>430</v>
      </c>
      <c r="E200" s="332" t="s">
        <v>437</v>
      </c>
      <c r="F200" s="336">
        <v>600</v>
      </c>
      <c r="G200" s="330" t="s">
        <v>236</v>
      </c>
      <c r="H200" s="329">
        <v>0.52957032140767024</v>
      </c>
      <c r="I200" s="338">
        <v>0.13239258035191756</v>
      </c>
      <c r="J200" s="338">
        <v>0.13239258035191756</v>
      </c>
      <c r="K200" s="338">
        <v>0.13239258035191756</v>
      </c>
      <c r="L200" s="338">
        <v>0.13239258035191756</v>
      </c>
      <c r="M200" s="336"/>
    </row>
    <row r="201" spans="1:13" hidden="1" outlineLevel="2" x14ac:dyDescent="0.35">
      <c r="A201" s="335" t="s">
        <v>96</v>
      </c>
      <c r="B201" s="331">
        <v>44680</v>
      </c>
      <c r="C201" s="332" t="s">
        <v>440</v>
      </c>
      <c r="D201" s="332" t="s">
        <v>441</v>
      </c>
      <c r="E201" s="332" t="s">
        <v>437</v>
      </c>
      <c r="F201" s="336">
        <v>5000</v>
      </c>
      <c r="G201" s="330" t="s">
        <v>236</v>
      </c>
      <c r="H201" s="329">
        <v>4.4130860117305861</v>
      </c>
      <c r="I201" s="338">
        <v>1.1032715029326465</v>
      </c>
      <c r="J201" s="338">
        <v>1.1032715029326465</v>
      </c>
      <c r="K201" s="338">
        <v>1.1032715029326465</v>
      </c>
      <c r="L201" s="338">
        <v>1.1032715029326465</v>
      </c>
      <c r="M201" s="336"/>
    </row>
    <row r="202" spans="1:13" hidden="1" outlineLevel="2" x14ac:dyDescent="0.35">
      <c r="A202" s="335" t="s">
        <v>96</v>
      </c>
      <c r="B202" s="331">
        <v>44712</v>
      </c>
      <c r="C202" s="332" t="s">
        <v>440</v>
      </c>
      <c r="D202" s="332" t="s">
        <v>441</v>
      </c>
      <c r="E202" s="332" t="s">
        <v>437</v>
      </c>
      <c r="F202" s="336">
        <v>5000</v>
      </c>
      <c r="G202" s="330" t="s">
        <v>236</v>
      </c>
      <c r="H202" s="329">
        <v>4.4130860117305861</v>
      </c>
      <c r="I202" s="338">
        <v>1.1032715029326465</v>
      </c>
      <c r="J202" s="338">
        <v>1.1032715029326465</v>
      </c>
      <c r="K202" s="338">
        <v>1.1032715029326465</v>
      </c>
      <c r="L202" s="338">
        <v>1.1032715029326465</v>
      </c>
      <c r="M202" s="336"/>
    </row>
    <row r="203" spans="1:13" hidden="1" outlineLevel="2" x14ac:dyDescent="0.35">
      <c r="A203" s="335" t="s">
        <v>96</v>
      </c>
      <c r="B203" s="331">
        <v>44308</v>
      </c>
      <c r="C203" s="332" t="s">
        <v>429</v>
      </c>
      <c r="D203" s="332" t="s">
        <v>430</v>
      </c>
      <c r="E203" s="332" t="s">
        <v>431</v>
      </c>
      <c r="F203" s="336">
        <v>600</v>
      </c>
      <c r="G203" s="330" t="s">
        <v>236</v>
      </c>
      <c r="H203" s="329">
        <v>0.51158099187491435</v>
      </c>
      <c r="I203" s="329">
        <v>0.12789524796872859</v>
      </c>
      <c r="J203" s="329">
        <v>0.12789524796872859</v>
      </c>
      <c r="K203" s="329">
        <v>0.12789524796872859</v>
      </c>
      <c r="L203" s="329">
        <v>0.12789524796872859</v>
      </c>
      <c r="M203" s="336"/>
    </row>
    <row r="204" spans="1:13" hidden="1" outlineLevel="2" x14ac:dyDescent="0.35">
      <c r="A204" s="335" t="s">
        <v>96</v>
      </c>
      <c r="B204" s="331">
        <v>43788</v>
      </c>
      <c r="C204" s="332" t="s">
        <v>429</v>
      </c>
      <c r="D204" s="332" t="s">
        <v>430</v>
      </c>
      <c r="E204" s="332" t="s">
        <v>437</v>
      </c>
      <c r="F204" s="336">
        <v>10300</v>
      </c>
      <c r="G204" s="330" t="s">
        <v>236</v>
      </c>
      <c r="H204" s="329">
        <v>10.140838575630044</v>
      </c>
      <c r="I204" s="338">
        <v>2.5352096439075109</v>
      </c>
      <c r="J204" s="338">
        <v>2.5352096439075109</v>
      </c>
      <c r="K204" s="338">
        <v>2.5352096439075109</v>
      </c>
      <c r="L204" s="338">
        <v>2.5352096439075109</v>
      </c>
      <c r="M204" s="336"/>
    </row>
    <row r="205" spans="1:13" hidden="1" outlineLevel="2" x14ac:dyDescent="0.35">
      <c r="A205" s="335" t="s">
        <v>96</v>
      </c>
      <c r="B205" s="331">
        <v>43789</v>
      </c>
      <c r="C205" s="332" t="s">
        <v>429</v>
      </c>
      <c r="D205" s="332" t="s">
        <v>430</v>
      </c>
      <c r="E205" s="332" t="s">
        <v>437</v>
      </c>
      <c r="F205" s="336">
        <v>600</v>
      </c>
      <c r="G205" s="330" t="s">
        <v>236</v>
      </c>
      <c r="H205" s="329">
        <v>0.59072846071631324</v>
      </c>
      <c r="I205" s="338">
        <v>0.14768211517907831</v>
      </c>
      <c r="J205" s="338">
        <v>0.14768211517907831</v>
      </c>
      <c r="K205" s="338">
        <v>0.14768211517907831</v>
      </c>
      <c r="L205" s="338">
        <v>0.14768211517907831</v>
      </c>
      <c r="M205" s="336"/>
    </row>
    <row r="206" spans="1:13" hidden="1" outlineLevel="2" x14ac:dyDescent="0.35">
      <c r="A206" s="335" t="s">
        <v>96</v>
      </c>
      <c r="B206" s="331">
        <v>43790</v>
      </c>
      <c r="C206" s="332" t="s">
        <v>429</v>
      </c>
      <c r="D206" s="332" t="s">
        <v>430</v>
      </c>
      <c r="E206" s="332" t="s">
        <v>437</v>
      </c>
      <c r="F206" s="336">
        <v>600</v>
      </c>
      <c r="G206" s="330" t="s">
        <v>236</v>
      </c>
      <c r="H206" s="329">
        <v>0.59072846071631324</v>
      </c>
      <c r="I206" s="338">
        <v>0.14768211517907831</v>
      </c>
      <c r="J206" s="338">
        <v>0.14768211517907831</v>
      </c>
      <c r="K206" s="338">
        <v>0.14768211517907831</v>
      </c>
      <c r="L206" s="338">
        <v>0.14768211517907831</v>
      </c>
      <c r="M206" s="336"/>
    </row>
    <row r="207" spans="1:13" hidden="1" outlineLevel="2" x14ac:dyDescent="0.35">
      <c r="A207" s="335" t="s">
        <v>96</v>
      </c>
      <c r="B207" s="331">
        <v>44313</v>
      </c>
      <c r="C207" s="332" t="s">
        <v>429</v>
      </c>
      <c r="D207" s="332" t="s">
        <v>430</v>
      </c>
      <c r="E207" s="332" t="s">
        <v>431</v>
      </c>
      <c r="F207" s="336">
        <v>600</v>
      </c>
      <c r="G207" s="330" t="s">
        <v>236</v>
      </c>
      <c r="H207" s="329">
        <v>0.51158099187491435</v>
      </c>
      <c r="I207" s="329">
        <v>0.12789524796872859</v>
      </c>
      <c r="J207" s="329">
        <v>0.12789524796872859</v>
      </c>
      <c r="K207" s="329">
        <v>0.12789524796872859</v>
      </c>
      <c r="L207" s="329">
        <v>0.12789524796872859</v>
      </c>
      <c r="M207" s="336"/>
    </row>
    <row r="208" spans="1:13" hidden="1" outlineLevel="2" x14ac:dyDescent="0.35">
      <c r="A208" s="335" t="s">
        <v>96</v>
      </c>
      <c r="B208" s="331">
        <v>43795</v>
      </c>
      <c r="C208" s="332" t="s">
        <v>429</v>
      </c>
      <c r="D208" s="332" t="s">
        <v>430</v>
      </c>
      <c r="E208" s="332" t="s">
        <v>437</v>
      </c>
      <c r="F208" s="336">
        <v>600</v>
      </c>
      <c r="G208" s="330" t="s">
        <v>236</v>
      </c>
      <c r="H208" s="329">
        <v>0.59072846071631324</v>
      </c>
      <c r="I208" s="338">
        <v>0.14768211517907831</v>
      </c>
      <c r="J208" s="338">
        <v>0.14768211517907831</v>
      </c>
      <c r="K208" s="338">
        <v>0.14768211517907831</v>
      </c>
      <c r="L208" s="338">
        <v>0.14768211517907831</v>
      </c>
      <c r="M208" s="336"/>
    </row>
    <row r="209" spans="1:13" hidden="1" outlineLevel="2" x14ac:dyDescent="0.35">
      <c r="A209" s="335" t="s">
        <v>96</v>
      </c>
      <c r="B209" s="331">
        <v>44314</v>
      </c>
      <c r="C209" s="332" t="s">
        <v>429</v>
      </c>
      <c r="D209" s="332" t="s">
        <v>430</v>
      </c>
      <c r="E209" s="332" t="s">
        <v>431</v>
      </c>
      <c r="F209" s="336">
        <v>1200</v>
      </c>
      <c r="G209" s="330" t="s">
        <v>236</v>
      </c>
      <c r="H209" s="329">
        <v>1.0231619837498287</v>
      </c>
      <c r="I209" s="329">
        <v>0.25579049593745717</v>
      </c>
      <c r="J209" s="329">
        <v>0.25579049593745717</v>
      </c>
      <c r="K209" s="329">
        <v>0.25579049593745717</v>
      </c>
      <c r="L209" s="329">
        <v>0.25579049593745717</v>
      </c>
      <c r="M209" s="336"/>
    </row>
    <row r="210" spans="1:13" hidden="1" outlineLevel="2" x14ac:dyDescent="0.35">
      <c r="A210" s="335" t="s">
        <v>96</v>
      </c>
      <c r="B210" s="331">
        <v>44316</v>
      </c>
      <c r="C210" s="332" t="s">
        <v>440</v>
      </c>
      <c r="D210" s="332" t="s">
        <v>441</v>
      </c>
      <c r="E210" s="332" t="s">
        <v>431</v>
      </c>
      <c r="F210" s="336">
        <v>5000</v>
      </c>
      <c r="G210" s="330" t="s">
        <v>236</v>
      </c>
      <c r="H210" s="329">
        <v>4.2631749322909522</v>
      </c>
      <c r="I210" s="329">
        <v>1.0657937330727381</v>
      </c>
      <c r="J210" s="329">
        <v>1.0657937330727381</v>
      </c>
      <c r="K210" s="329">
        <v>1.0657937330727381</v>
      </c>
      <c r="L210" s="329">
        <v>1.0657937330727381</v>
      </c>
      <c r="M210" s="336"/>
    </row>
    <row r="211" spans="1:13" hidden="1" outlineLevel="2" x14ac:dyDescent="0.35">
      <c r="A211" s="335" t="s">
        <v>96</v>
      </c>
      <c r="B211" s="331">
        <v>43798</v>
      </c>
      <c r="C211" s="332" t="s">
        <v>440</v>
      </c>
      <c r="D211" s="332" t="s">
        <v>441</v>
      </c>
      <c r="E211" s="332" t="s">
        <v>437</v>
      </c>
      <c r="F211" s="336">
        <v>3000</v>
      </c>
      <c r="G211" s="330" t="s">
        <v>236</v>
      </c>
      <c r="H211" s="329">
        <v>2.9536423035815664</v>
      </c>
      <c r="I211" s="338">
        <v>0.73841057589539161</v>
      </c>
      <c r="J211" s="338">
        <v>0.73841057589539161</v>
      </c>
      <c r="K211" s="338">
        <v>0.73841057589539161</v>
      </c>
      <c r="L211" s="338">
        <v>0.73841057589539161</v>
      </c>
      <c r="M211" s="336"/>
    </row>
    <row r="212" spans="1:13" hidden="1" outlineLevel="2" x14ac:dyDescent="0.35">
      <c r="A212" s="335" t="s">
        <v>96</v>
      </c>
      <c r="B212" s="331">
        <v>43804</v>
      </c>
      <c r="C212" s="332" t="s">
        <v>429</v>
      </c>
      <c r="D212" s="332" t="s">
        <v>430</v>
      </c>
      <c r="E212" s="332" t="s">
        <v>431</v>
      </c>
      <c r="F212" s="336">
        <v>3600</v>
      </c>
      <c r="G212" s="330" t="s">
        <v>236</v>
      </c>
      <c r="H212" s="329">
        <v>3.5443707642978795</v>
      </c>
      <c r="I212" s="338">
        <v>0.88609269107446986</v>
      </c>
      <c r="J212" s="338">
        <v>0.88609269107446986</v>
      </c>
      <c r="K212" s="338">
        <v>0.88609269107446986</v>
      </c>
      <c r="L212" s="338">
        <v>0.88609269107446986</v>
      </c>
      <c r="M212" s="336"/>
    </row>
    <row r="213" spans="1:13" hidden="1" outlineLevel="2" x14ac:dyDescent="0.35">
      <c r="A213" s="335" t="s">
        <v>96</v>
      </c>
      <c r="B213" s="331">
        <v>44327</v>
      </c>
      <c r="C213" s="332" t="s">
        <v>429</v>
      </c>
      <c r="D213" s="332" t="s">
        <v>430</v>
      </c>
      <c r="E213" s="332" t="s">
        <v>431</v>
      </c>
      <c r="F213" s="336">
        <v>600</v>
      </c>
      <c r="G213" s="330" t="s">
        <v>236</v>
      </c>
      <c r="H213" s="329">
        <v>0.51158099187491435</v>
      </c>
      <c r="I213" s="329">
        <v>0.12789524796872859</v>
      </c>
      <c r="J213" s="329">
        <v>0.12789524796872859</v>
      </c>
      <c r="K213" s="329">
        <v>0.12789524796872859</v>
      </c>
      <c r="L213" s="329">
        <v>0.12789524796872859</v>
      </c>
      <c r="M213" s="336"/>
    </row>
    <row r="214" spans="1:13" hidden="1" outlineLevel="2" x14ac:dyDescent="0.35">
      <c r="A214" s="335" t="s">
        <v>96</v>
      </c>
      <c r="B214" s="331">
        <v>43819</v>
      </c>
      <c r="C214" s="332" t="s">
        <v>429</v>
      </c>
      <c r="D214" s="332" t="s">
        <v>430</v>
      </c>
      <c r="E214" s="332" t="s">
        <v>431</v>
      </c>
      <c r="F214" s="336">
        <v>700</v>
      </c>
      <c r="G214" s="330" t="s">
        <v>236</v>
      </c>
      <c r="H214" s="329">
        <v>0.68918320416903212</v>
      </c>
      <c r="I214" s="338">
        <v>0.17229580104225803</v>
      </c>
      <c r="J214" s="338">
        <v>0.17229580104225803</v>
      </c>
      <c r="K214" s="338">
        <v>0.17229580104225803</v>
      </c>
      <c r="L214" s="338">
        <v>0.17229580104225803</v>
      </c>
      <c r="M214" s="336"/>
    </row>
    <row r="215" spans="1:13" hidden="1" outlineLevel="2" x14ac:dyDescent="0.35">
      <c r="A215" s="335" t="s">
        <v>96</v>
      </c>
      <c r="B215" s="331">
        <v>43822</v>
      </c>
      <c r="C215" s="332" t="s">
        <v>429</v>
      </c>
      <c r="D215" s="332" t="s">
        <v>430</v>
      </c>
      <c r="E215" s="332" t="s">
        <v>431</v>
      </c>
      <c r="F215" s="336">
        <v>2400</v>
      </c>
      <c r="G215" s="330" t="s">
        <v>236</v>
      </c>
      <c r="H215" s="329">
        <v>2.362913842865253</v>
      </c>
      <c r="I215" s="338">
        <v>0.59072846071631324</v>
      </c>
      <c r="J215" s="338">
        <v>0.59072846071631324</v>
      </c>
      <c r="K215" s="338">
        <v>0.59072846071631324</v>
      </c>
      <c r="L215" s="338">
        <v>0.59072846071631324</v>
      </c>
      <c r="M215" s="336"/>
    </row>
    <row r="216" spans="1:13" hidden="1" outlineLevel="2" x14ac:dyDescent="0.35">
      <c r="A216" s="335" t="s">
        <v>96</v>
      </c>
      <c r="B216" s="331">
        <v>43829</v>
      </c>
      <c r="C216" s="332" t="s">
        <v>429</v>
      </c>
      <c r="D216" s="332" t="s">
        <v>430</v>
      </c>
      <c r="E216" s="332" t="s">
        <v>431</v>
      </c>
      <c r="F216" s="336">
        <v>1180</v>
      </c>
      <c r="G216" s="330" t="s">
        <v>236</v>
      </c>
      <c r="H216" s="329">
        <v>1.1617659727420828</v>
      </c>
      <c r="I216" s="338">
        <v>0.2904414931855207</v>
      </c>
      <c r="J216" s="338">
        <v>0.2904414931855207</v>
      </c>
      <c r="K216" s="338">
        <v>0.2904414931855207</v>
      </c>
      <c r="L216" s="338">
        <v>0.2904414931855207</v>
      </c>
      <c r="M216" s="336"/>
    </row>
    <row r="217" spans="1:13" hidden="1" outlineLevel="2" x14ac:dyDescent="0.35">
      <c r="A217" s="335" t="s">
        <v>96</v>
      </c>
      <c r="B217" s="331">
        <v>44336</v>
      </c>
      <c r="C217" s="332" t="s">
        <v>429</v>
      </c>
      <c r="D217" s="332" t="s">
        <v>430</v>
      </c>
      <c r="E217" s="332" t="s">
        <v>431</v>
      </c>
      <c r="F217" s="336">
        <v>4800</v>
      </c>
      <c r="G217" s="330" t="s">
        <v>236</v>
      </c>
      <c r="H217" s="329">
        <v>4.0926479349993148</v>
      </c>
      <c r="I217" s="329">
        <v>1.0231619837498287</v>
      </c>
      <c r="J217" s="329">
        <v>1.0231619837498287</v>
      </c>
      <c r="K217" s="329">
        <v>1.0231619837498287</v>
      </c>
      <c r="L217" s="329">
        <v>1.0231619837498287</v>
      </c>
      <c r="M217" s="336"/>
    </row>
    <row r="218" spans="1:13" hidden="1" outlineLevel="2" x14ac:dyDescent="0.35">
      <c r="A218" s="335" t="s">
        <v>96</v>
      </c>
      <c r="B218" s="331">
        <v>43830</v>
      </c>
      <c r="C218" s="332" t="s">
        <v>429</v>
      </c>
      <c r="D218" s="332" t="s">
        <v>430</v>
      </c>
      <c r="E218" s="332" t="s">
        <v>431</v>
      </c>
      <c r="F218" s="336">
        <v>4800</v>
      </c>
      <c r="G218" s="330" t="s">
        <v>236</v>
      </c>
      <c r="H218" s="329">
        <v>4.7258276857305059</v>
      </c>
      <c r="I218" s="338">
        <v>1.1814569214326265</v>
      </c>
      <c r="J218" s="338">
        <v>1.1814569214326265</v>
      </c>
      <c r="K218" s="338">
        <v>1.1814569214326265</v>
      </c>
      <c r="L218" s="338">
        <v>1.1814569214326265</v>
      </c>
      <c r="M218" s="336"/>
    </row>
    <row r="219" spans="1:13" hidden="1" outlineLevel="2" x14ac:dyDescent="0.35">
      <c r="A219" s="335" t="s">
        <v>96</v>
      </c>
      <c r="B219" s="331">
        <v>43830</v>
      </c>
      <c r="C219" s="332" t="s">
        <v>440</v>
      </c>
      <c r="D219" s="332" t="s">
        <v>441</v>
      </c>
      <c r="E219" s="332" t="s">
        <v>431</v>
      </c>
      <c r="F219" s="336">
        <v>3000</v>
      </c>
      <c r="G219" s="330" t="s">
        <v>236</v>
      </c>
      <c r="H219" s="329">
        <v>2.9536423035815664</v>
      </c>
      <c r="I219" s="338">
        <v>0.73841057589539161</v>
      </c>
      <c r="J219" s="338">
        <v>0.73841057589539161</v>
      </c>
      <c r="K219" s="338">
        <v>0.73841057589539161</v>
      </c>
      <c r="L219" s="338">
        <v>0.73841057589539161</v>
      </c>
      <c r="M219" s="336"/>
    </row>
    <row r="220" spans="1:13" hidden="1" outlineLevel="2" x14ac:dyDescent="0.35">
      <c r="A220" s="335" t="s">
        <v>96</v>
      </c>
      <c r="B220" s="331">
        <v>44342</v>
      </c>
      <c r="C220" s="332" t="s">
        <v>429</v>
      </c>
      <c r="D220" s="332" t="s">
        <v>430</v>
      </c>
      <c r="E220" s="332" t="s">
        <v>431</v>
      </c>
      <c r="F220" s="336">
        <v>1800</v>
      </c>
      <c r="G220" s="330" t="s">
        <v>236</v>
      </c>
      <c r="H220" s="329">
        <v>1.5347429756247428</v>
      </c>
      <c r="I220" s="329">
        <v>0.38368574390618571</v>
      </c>
      <c r="J220" s="329">
        <v>0.38368574390618571</v>
      </c>
      <c r="K220" s="329">
        <v>0.38368574390618571</v>
      </c>
      <c r="L220" s="329">
        <v>0.38368574390618571</v>
      </c>
      <c r="M220" s="336"/>
    </row>
    <row r="221" spans="1:13" hidden="1" outlineLevel="2" x14ac:dyDescent="0.35">
      <c r="A221" s="335" t="s">
        <v>96</v>
      </c>
      <c r="B221" s="331">
        <v>44347</v>
      </c>
      <c r="C221" s="332" t="s">
        <v>440</v>
      </c>
      <c r="D221" s="332" t="s">
        <v>441</v>
      </c>
      <c r="E221" s="332" t="s">
        <v>431</v>
      </c>
      <c r="F221" s="336">
        <v>5000</v>
      </c>
      <c r="G221" s="330" t="s">
        <v>236</v>
      </c>
      <c r="H221" s="329">
        <v>4.2631749322909522</v>
      </c>
      <c r="I221" s="329">
        <v>1.0657937330727381</v>
      </c>
      <c r="J221" s="329">
        <v>1.0657937330727381</v>
      </c>
      <c r="K221" s="329">
        <v>1.0657937330727381</v>
      </c>
      <c r="L221" s="329">
        <v>1.0657937330727381</v>
      </c>
      <c r="M221" s="336"/>
    </row>
    <row r="222" spans="1:13" hidden="1" outlineLevel="2" x14ac:dyDescent="0.35">
      <c r="A222" s="335" t="s">
        <v>96</v>
      </c>
      <c r="B222" s="331">
        <v>44349</v>
      </c>
      <c r="C222" s="332" t="s">
        <v>429</v>
      </c>
      <c r="D222" s="332" t="s">
        <v>430</v>
      </c>
      <c r="E222" s="332" t="s">
        <v>431</v>
      </c>
      <c r="F222" s="336">
        <v>28400</v>
      </c>
      <c r="G222" s="330" t="s">
        <v>236</v>
      </c>
      <c r="H222" s="329">
        <v>24.214833615412608</v>
      </c>
      <c r="I222" s="329">
        <v>6.0537084038531521</v>
      </c>
      <c r="J222" s="329">
        <v>6.0537084038531521</v>
      </c>
      <c r="K222" s="329">
        <v>6.0537084038531521</v>
      </c>
      <c r="L222" s="329">
        <v>6.0537084038531521</v>
      </c>
      <c r="M222" s="336"/>
    </row>
    <row r="223" spans="1:13" hidden="1" outlineLevel="2" x14ac:dyDescent="0.35">
      <c r="A223" s="335" t="s">
        <v>96</v>
      </c>
      <c r="B223" s="331">
        <v>44354</v>
      </c>
      <c r="C223" s="332" t="s">
        <v>429</v>
      </c>
      <c r="D223" s="332" t="s">
        <v>430</v>
      </c>
      <c r="E223" s="332" t="s">
        <v>431</v>
      </c>
      <c r="F223" s="336">
        <v>600</v>
      </c>
      <c r="G223" s="330" t="s">
        <v>236</v>
      </c>
      <c r="H223" s="329">
        <v>0.51158099187491435</v>
      </c>
      <c r="I223" s="329">
        <v>0.12789524796872859</v>
      </c>
      <c r="J223" s="329">
        <v>0.12789524796872859</v>
      </c>
      <c r="K223" s="329">
        <v>0.12789524796872859</v>
      </c>
      <c r="L223" s="329">
        <v>0.12789524796872859</v>
      </c>
      <c r="M223" s="336"/>
    </row>
    <row r="224" spans="1:13" hidden="1" outlineLevel="2" x14ac:dyDescent="0.35">
      <c r="A224" s="335" t="s">
        <v>96</v>
      </c>
      <c r="B224" s="331">
        <v>44302</v>
      </c>
      <c r="C224" s="332" t="s">
        <v>429</v>
      </c>
      <c r="D224" s="332" t="s">
        <v>430</v>
      </c>
      <c r="E224" s="332" t="s">
        <v>431</v>
      </c>
      <c r="F224" s="336">
        <v>7200</v>
      </c>
      <c r="G224" s="330" t="s">
        <v>236</v>
      </c>
      <c r="H224" s="329">
        <v>6.1389719024989713</v>
      </c>
      <c r="I224" s="329">
        <v>1.5347429756247428</v>
      </c>
      <c r="J224" s="329">
        <v>1.5347429756247428</v>
      </c>
      <c r="K224" s="329">
        <v>1.5347429756247428</v>
      </c>
      <c r="L224" s="329">
        <v>1.5347429756247428</v>
      </c>
      <c r="M224" s="336"/>
    </row>
    <row r="225" spans="1:13" hidden="1" outlineLevel="2" x14ac:dyDescent="0.35">
      <c r="A225" s="335" t="s">
        <v>96</v>
      </c>
      <c r="B225" s="331">
        <v>44369</v>
      </c>
      <c r="C225" s="332" t="s">
        <v>429</v>
      </c>
      <c r="D225" s="332" t="s">
        <v>430</v>
      </c>
      <c r="E225" s="332" t="s">
        <v>431</v>
      </c>
      <c r="F225" s="336">
        <v>6000</v>
      </c>
      <c r="G225" s="330" t="s">
        <v>236</v>
      </c>
      <c r="H225" s="329">
        <v>5.115809918749143</v>
      </c>
      <c r="I225" s="329">
        <v>1.2789524796872858</v>
      </c>
      <c r="J225" s="329">
        <v>1.2789524796872858</v>
      </c>
      <c r="K225" s="329">
        <v>1.2789524796872858</v>
      </c>
      <c r="L225" s="329">
        <v>1.2789524796872858</v>
      </c>
      <c r="M225" s="336"/>
    </row>
    <row r="226" spans="1:13" hidden="1" outlineLevel="2" x14ac:dyDescent="0.35">
      <c r="A226" s="335" t="s">
        <v>96</v>
      </c>
      <c r="B226" s="331">
        <v>44370</v>
      </c>
      <c r="C226" s="332" t="s">
        <v>460</v>
      </c>
      <c r="D226" s="332" t="s">
        <v>461</v>
      </c>
      <c r="E226" s="332" t="s">
        <v>431</v>
      </c>
      <c r="F226" s="336">
        <v>3000</v>
      </c>
      <c r="G226" s="330" t="s">
        <v>236</v>
      </c>
      <c r="H226" s="329">
        <v>2.5579049593745715</v>
      </c>
      <c r="I226" s="329">
        <v>0.63947623984364288</v>
      </c>
      <c r="J226" s="329">
        <v>0.63947623984364288</v>
      </c>
      <c r="K226" s="329">
        <v>0.63947623984364288</v>
      </c>
      <c r="L226" s="329">
        <v>0.63947623984364288</v>
      </c>
      <c r="M226" s="336"/>
    </row>
    <row r="227" spans="1:13" hidden="1" outlineLevel="2" x14ac:dyDescent="0.35">
      <c r="A227" s="335" t="s">
        <v>96</v>
      </c>
      <c r="B227" s="331">
        <v>44346</v>
      </c>
      <c r="C227" s="332" t="s">
        <v>440</v>
      </c>
      <c r="D227" s="332" t="s">
        <v>441</v>
      </c>
      <c r="E227" s="332" t="s">
        <v>431</v>
      </c>
      <c r="F227" s="336">
        <v>5000</v>
      </c>
      <c r="G227" s="330" t="s">
        <v>236</v>
      </c>
      <c r="H227" s="329">
        <v>4.2631749322909522</v>
      </c>
      <c r="I227" s="329">
        <v>1.0657937330727381</v>
      </c>
      <c r="J227" s="329">
        <v>1.0657937330727381</v>
      </c>
      <c r="K227" s="329">
        <v>1.0657937330727381</v>
      </c>
      <c r="L227" s="329">
        <v>1.0657937330727381</v>
      </c>
      <c r="M227" s="336"/>
    </row>
    <row r="228" spans="1:13" hidden="1" outlineLevel="2" x14ac:dyDescent="0.35">
      <c r="A228" s="335" t="s">
        <v>96</v>
      </c>
      <c r="B228" s="331">
        <v>44383</v>
      </c>
      <c r="C228" s="332" t="s">
        <v>429</v>
      </c>
      <c r="D228" s="332" t="s">
        <v>430</v>
      </c>
      <c r="E228" s="332" t="s">
        <v>431</v>
      </c>
      <c r="F228" s="336">
        <v>600</v>
      </c>
      <c r="G228" s="330" t="s">
        <v>236</v>
      </c>
      <c r="H228" s="329">
        <v>0.51158099187491435</v>
      </c>
      <c r="I228" s="329">
        <v>0.12789524796872859</v>
      </c>
      <c r="J228" s="329">
        <v>0.12789524796872859</v>
      </c>
      <c r="K228" s="329">
        <v>0.12789524796872859</v>
      </c>
      <c r="L228" s="329">
        <v>0.12789524796872859</v>
      </c>
      <c r="M228" s="336"/>
    </row>
    <row r="229" spans="1:13" hidden="1" outlineLevel="2" x14ac:dyDescent="0.35">
      <c r="A229" s="335" t="s">
        <v>96</v>
      </c>
      <c r="B229" s="331">
        <v>44407</v>
      </c>
      <c r="C229" s="332" t="s">
        <v>440</v>
      </c>
      <c r="D229" s="332" t="s">
        <v>441</v>
      </c>
      <c r="E229" s="332" t="s">
        <v>431</v>
      </c>
      <c r="F229" s="336">
        <v>5000</v>
      </c>
      <c r="G229" s="330" t="s">
        <v>236</v>
      </c>
      <c r="H229" s="329">
        <v>4.2631749322909522</v>
      </c>
      <c r="I229" s="329">
        <v>1.0657937330727381</v>
      </c>
      <c r="J229" s="329">
        <v>1.0657937330727381</v>
      </c>
      <c r="K229" s="329">
        <v>1.0657937330727381</v>
      </c>
      <c r="L229" s="329">
        <v>1.0657937330727381</v>
      </c>
      <c r="M229" s="336"/>
    </row>
    <row r="230" spans="1:13" hidden="1" outlineLevel="2" x14ac:dyDescent="0.35">
      <c r="A230" s="335" t="s">
        <v>96</v>
      </c>
      <c r="B230" s="331">
        <v>44410</v>
      </c>
      <c r="C230" s="332" t="s">
        <v>429</v>
      </c>
      <c r="D230" s="332" t="s">
        <v>430</v>
      </c>
      <c r="E230" s="332" t="s">
        <v>431</v>
      </c>
      <c r="F230" s="336">
        <v>6000</v>
      </c>
      <c r="G230" s="330" t="s">
        <v>236</v>
      </c>
      <c r="H230" s="329">
        <v>5.115809918749143</v>
      </c>
      <c r="I230" s="329">
        <v>1.2789524796872858</v>
      </c>
      <c r="J230" s="329">
        <v>1.2789524796872858</v>
      </c>
      <c r="K230" s="329">
        <v>1.2789524796872858</v>
      </c>
      <c r="L230" s="329">
        <v>1.2789524796872858</v>
      </c>
      <c r="M230" s="336"/>
    </row>
    <row r="231" spans="1:13" hidden="1" outlineLevel="2" x14ac:dyDescent="0.35">
      <c r="A231" s="335" t="s">
        <v>96</v>
      </c>
      <c r="B231" s="331">
        <v>44412</v>
      </c>
      <c r="C231" s="332" t="s">
        <v>429</v>
      </c>
      <c r="D231" s="332" t="s">
        <v>430</v>
      </c>
      <c r="E231" s="332" t="s">
        <v>431</v>
      </c>
      <c r="F231" s="336">
        <v>600</v>
      </c>
      <c r="G231" s="330" t="s">
        <v>236</v>
      </c>
      <c r="H231" s="329">
        <v>0.51158099187491435</v>
      </c>
      <c r="I231" s="329">
        <v>0.12789524796872859</v>
      </c>
      <c r="J231" s="329">
        <v>0.12789524796872859</v>
      </c>
      <c r="K231" s="329">
        <v>0.12789524796872859</v>
      </c>
      <c r="L231" s="329">
        <v>0.12789524796872859</v>
      </c>
      <c r="M231" s="336"/>
    </row>
    <row r="232" spans="1:13" hidden="1" outlineLevel="2" x14ac:dyDescent="0.35">
      <c r="A232" s="335" t="s">
        <v>96</v>
      </c>
      <c r="B232" s="331">
        <v>44418</v>
      </c>
      <c r="C232" s="332" t="s">
        <v>429</v>
      </c>
      <c r="D232" s="332" t="s">
        <v>430</v>
      </c>
      <c r="E232" s="332" t="s">
        <v>431</v>
      </c>
      <c r="F232" s="336">
        <v>1200</v>
      </c>
      <c r="G232" s="330" t="s">
        <v>236</v>
      </c>
      <c r="H232" s="329">
        <v>1.0231619837498287</v>
      </c>
      <c r="I232" s="329">
        <v>0.25579049593745717</v>
      </c>
      <c r="J232" s="329">
        <v>0.25579049593745717</v>
      </c>
      <c r="K232" s="329">
        <v>0.25579049593745717</v>
      </c>
      <c r="L232" s="329">
        <v>0.25579049593745717</v>
      </c>
      <c r="M232" s="336"/>
    </row>
    <row r="233" spans="1:13" hidden="1" outlineLevel="2" x14ac:dyDescent="0.35">
      <c r="A233" s="335" t="s">
        <v>96</v>
      </c>
      <c r="B233" s="331">
        <v>44432</v>
      </c>
      <c r="C233" s="332" t="s">
        <v>429</v>
      </c>
      <c r="D233" s="332" t="s">
        <v>430</v>
      </c>
      <c r="E233" s="332" t="s">
        <v>431</v>
      </c>
      <c r="F233" s="336">
        <v>6500</v>
      </c>
      <c r="G233" s="330" t="s">
        <v>236</v>
      </c>
      <c r="H233" s="329">
        <v>5.542127411978238</v>
      </c>
      <c r="I233" s="329">
        <v>1.3855318529945595</v>
      </c>
      <c r="J233" s="329">
        <v>1.3855318529945595</v>
      </c>
      <c r="K233" s="329">
        <v>1.3855318529945595</v>
      </c>
      <c r="L233" s="329">
        <v>1.3855318529945595</v>
      </c>
      <c r="M233" s="336"/>
    </row>
    <row r="234" spans="1:13" hidden="1" outlineLevel="2" x14ac:dyDescent="0.35">
      <c r="A234" s="335" t="s">
        <v>96</v>
      </c>
      <c r="B234" s="331">
        <v>44435</v>
      </c>
      <c r="C234" s="332" t="s">
        <v>429</v>
      </c>
      <c r="D234" s="332" t="s">
        <v>430</v>
      </c>
      <c r="E234" s="332" t="s">
        <v>431</v>
      </c>
      <c r="F234" s="336">
        <v>1200</v>
      </c>
      <c r="G234" s="330" t="s">
        <v>236</v>
      </c>
      <c r="H234" s="329">
        <v>1.0231619837498287</v>
      </c>
      <c r="I234" s="329">
        <v>0.25579049593745717</v>
      </c>
      <c r="J234" s="329">
        <v>0.25579049593745717</v>
      </c>
      <c r="K234" s="329">
        <v>0.25579049593745717</v>
      </c>
      <c r="L234" s="329">
        <v>0.25579049593745717</v>
      </c>
      <c r="M234" s="336"/>
    </row>
    <row r="235" spans="1:13" hidden="1" outlineLevel="2" x14ac:dyDescent="0.35">
      <c r="A235" s="335" t="s">
        <v>96</v>
      </c>
      <c r="B235" s="331">
        <v>44438</v>
      </c>
      <c r="C235" s="332" t="s">
        <v>429</v>
      </c>
      <c r="D235" s="332" t="s">
        <v>430</v>
      </c>
      <c r="E235" s="332" t="s">
        <v>431</v>
      </c>
      <c r="F235" s="336">
        <v>3600</v>
      </c>
      <c r="G235" s="330" t="s">
        <v>236</v>
      </c>
      <c r="H235" s="329">
        <v>3.0694859512494856</v>
      </c>
      <c r="I235" s="329">
        <v>0.76737148781237141</v>
      </c>
      <c r="J235" s="329">
        <v>0.76737148781237141</v>
      </c>
      <c r="K235" s="329">
        <v>0.76737148781237141</v>
      </c>
      <c r="L235" s="329">
        <v>0.76737148781237141</v>
      </c>
      <c r="M235" s="336"/>
    </row>
    <row r="236" spans="1:13" hidden="1" outlineLevel="2" x14ac:dyDescent="0.35">
      <c r="A236" s="335" t="s">
        <v>96</v>
      </c>
      <c r="B236" s="331">
        <v>44439</v>
      </c>
      <c r="C236" s="332" t="s">
        <v>462</v>
      </c>
      <c r="D236" s="332" t="s">
        <v>463</v>
      </c>
      <c r="E236" s="332" t="s">
        <v>431</v>
      </c>
      <c r="F236" s="336">
        <v>5000</v>
      </c>
      <c r="G236" s="330" t="s">
        <v>236</v>
      </c>
      <c r="H236" s="329">
        <v>4.2631749322909522</v>
      </c>
      <c r="I236" s="329">
        <v>1.0657937330727381</v>
      </c>
      <c r="J236" s="329">
        <v>1.0657937330727381</v>
      </c>
      <c r="K236" s="329">
        <v>1.0657937330727381</v>
      </c>
      <c r="L236" s="329">
        <v>1.0657937330727381</v>
      </c>
      <c r="M236" s="336"/>
    </row>
    <row r="237" spans="1:13" hidden="1" outlineLevel="2" x14ac:dyDescent="0.35">
      <c r="A237" s="335" t="s">
        <v>96</v>
      </c>
      <c r="B237" s="331">
        <v>44445</v>
      </c>
      <c r="C237" s="332" t="s">
        <v>429</v>
      </c>
      <c r="D237" s="332" t="s">
        <v>430</v>
      </c>
      <c r="E237" s="332" t="s">
        <v>431</v>
      </c>
      <c r="F237" s="336">
        <v>600</v>
      </c>
      <c r="G237" s="330" t="s">
        <v>236</v>
      </c>
      <c r="H237" s="329">
        <v>0.51158099187491435</v>
      </c>
      <c r="I237" s="329">
        <v>0.12789524796872859</v>
      </c>
      <c r="J237" s="329">
        <v>0.12789524796872859</v>
      </c>
      <c r="K237" s="329">
        <v>0.12789524796872859</v>
      </c>
      <c r="L237" s="329">
        <v>0.12789524796872859</v>
      </c>
      <c r="M237" s="336"/>
    </row>
    <row r="238" spans="1:13" hidden="1" outlineLevel="2" x14ac:dyDescent="0.35">
      <c r="A238" s="335" t="s">
        <v>96</v>
      </c>
      <c r="B238" s="331">
        <v>44448</v>
      </c>
      <c r="C238" s="332" t="s">
        <v>429</v>
      </c>
      <c r="D238" s="332" t="s">
        <v>430</v>
      </c>
      <c r="E238" s="332" t="s">
        <v>431</v>
      </c>
      <c r="F238" s="336">
        <v>3600</v>
      </c>
      <c r="G238" s="330" t="s">
        <v>236</v>
      </c>
      <c r="H238" s="329">
        <v>3.0694859512494856</v>
      </c>
      <c r="I238" s="329">
        <v>0.76737148781237141</v>
      </c>
      <c r="J238" s="329">
        <v>0.76737148781237141</v>
      </c>
      <c r="K238" s="329">
        <v>0.76737148781237141</v>
      </c>
      <c r="L238" s="329">
        <v>0.76737148781237141</v>
      </c>
      <c r="M238" s="336"/>
    </row>
    <row r="239" spans="1:13" hidden="1" outlineLevel="2" x14ac:dyDescent="0.35">
      <c r="A239" s="335" t="s">
        <v>96</v>
      </c>
      <c r="B239" s="331">
        <v>44453</v>
      </c>
      <c r="C239" s="332" t="s">
        <v>429</v>
      </c>
      <c r="D239" s="332" t="s">
        <v>430</v>
      </c>
      <c r="E239" s="332" t="s">
        <v>431</v>
      </c>
      <c r="F239" s="336">
        <v>1800</v>
      </c>
      <c r="G239" s="330" t="s">
        <v>236</v>
      </c>
      <c r="H239" s="329">
        <v>1.5347429756247428</v>
      </c>
      <c r="I239" s="329">
        <v>0.38368574390618571</v>
      </c>
      <c r="J239" s="329">
        <v>0.38368574390618571</v>
      </c>
      <c r="K239" s="329">
        <v>0.38368574390618571</v>
      </c>
      <c r="L239" s="329">
        <v>0.38368574390618571</v>
      </c>
      <c r="M239" s="336"/>
    </row>
    <row r="240" spans="1:13" hidden="1" outlineLevel="2" x14ac:dyDescent="0.35">
      <c r="A240" s="335" t="s">
        <v>96</v>
      </c>
      <c r="B240" s="331">
        <v>44460</v>
      </c>
      <c r="C240" s="332" t="s">
        <v>429</v>
      </c>
      <c r="D240" s="332" t="s">
        <v>430</v>
      </c>
      <c r="E240" s="332" t="s">
        <v>431</v>
      </c>
      <c r="F240" s="336">
        <v>4200</v>
      </c>
      <c r="G240" s="330" t="s">
        <v>236</v>
      </c>
      <c r="H240" s="329">
        <v>3.5810669431244002</v>
      </c>
      <c r="I240" s="329">
        <v>0.89526673578110005</v>
      </c>
      <c r="J240" s="329">
        <v>0.89526673578110005</v>
      </c>
      <c r="K240" s="329">
        <v>0.89526673578110005</v>
      </c>
      <c r="L240" s="329">
        <v>0.89526673578110005</v>
      </c>
      <c r="M240" s="336"/>
    </row>
    <row r="241" spans="1:13" hidden="1" outlineLevel="2" x14ac:dyDescent="0.35">
      <c r="A241" s="335" t="s">
        <v>96</v>
      </c>
      <c r="B241" s="331">
        <v>44484</v>
      </c>
      <c r="C241" s="332" t="s">
        <v>429</v>
      </c>
      <c r="D241" s="332" t="s">
        <v>430</v>
      </c>
      <c r="E241" s="332" t="s">
        <v>431</v>
      </c>
      <c r="F241" s="336">
        <v>600</v>
      </c>
      <c r="G241" s="330" t="s">
        <v>236</v>
      </c>
      <c r="H241" s="329">
        <v>0.51158099187491435</v>
      </c>
      <c r="I241" s="329">
        <v>0.12789524796872859</v>
      </c>
      <c r="J241" s="329">
        <v>0.12789524796872859</v>
      </c>
      <c r="K241" s="329">
        <v>0.12789524796872859</v>
      </c>
      <c r="L241" s="329">
        <v>0.12789524796872859</v>
      </c>
      <c r="M241" s="336"/>
    </row>
    <row r="242" spans="1:13" hidden="1" outlineLevel="2" x14ac:dyDescent="0.35">
      <c r="A242" s="335" t="s">
        <v>96</v>
      </c>
      <c r="B242" s="331">
        <v>44490</v>
      </c>
      <c r="C242" s="332" t="s">
        <v>429</v>
      </c>
      <c r="D242" s="332" t="s">
        <v>430</v>
      </c>
      <c r="E242" s="332" t="s">
        <v>431</v>
      </c>
      <c r="F242" s="336">
        <v>600</v>
      </c>
      <c r="G242" s="330" t="s">
        <v>236</v>
      </c>
      <c r="H242" s="329">
        <v>0.51158099187491435</v>
      </c>
      <c r="I242" s="329">
        <v>0.12789524796872859</v>
      </c>
      <c r="J242" s="329">
        <v>0.12789524796872859</v>
      </c>
      <c r="K242" s="329">
        <v>0.12789524796872859</v>
      </c>
      <c r="L242" s="329">
        <v>0.12789524796872859</v>
      </c>
      <c r="M242" s="336"/>
    </row>
    <row r="243" spans="1:13" hidden="1" outlineLevel="2" x14ac:dyDescent="0.35">
      <c r="A243" s="335" t="s">
        <v>96</v>
      </c>
      <c r="B243" s="331">
        <v>44495</v>
      </c>
      <c r="C243" s="332" t="s">
        <v>429</v>
      </c>
      <c r="D243" s="332" t="s">
        <v>430</v>
      </c>
      <c r="E243" s="332" t="s">
        <v>431</v>
      </c>
      <c r="F243" s="336">
        <v>900</v>
      </c>
      <c r="G243" s="330" t="s">
        <v>236</v>
      </c>
      <c r="H243" s="329">
        <v>0.76737148781237141</v>
      </c>
      <c r="I243" s="329">
        <v>0.19184287195309285</v>
      </c>
      <c r="J243" s="329">
        <v>0.19184287195309285</v>
      </c>
      <c r="K243" s="329">
        <v>0.19184287195309285</v>
      </c>
      <c r="L243" s="329">
        <v>0.19184287195309285</v>
      </c>
      <c r="M243" s="336"/>
    </row>
    <row r="244" spans="1:13" hidden="1" outlineLevel="2" x14ac:dyDescent="0.35">
      <c r="A244" s="335" t="s">
        <v>96</v>
      </c>
      <c r="B244" s="331">
        <v>44497</v>
      </c>
      <c r="C244" s="332" t="s">
        <v>429</v>
      </c>
      <c r="D244" s="332" t="s">
        <v>430</v>
      </c>
      <c r="E244" s="332" t="s">
        <v>431</v>
      </c>
      <c r="F244" s="336">
        <v>4800</v>
      </c>
      <c r="G244" s="330" t="s">
        <v>236</v>
      </c>
      <c r="H244" s="329">
        <v>4.0926479349993148</v>
      </c>
      <c r="I244" s="329">
        <v>1.0231619837498287</v>
      </c>
      <c r="J244" s="329">
        <v>1.0231619837498287</v>
      </c>
      <c r="K244" s="329">
        <v>1.0231619837498287</v>
      </c>
      <c r="L244" s="329">
        <v>1.0231619837498287</v>
      </c>
      <c r="M244" s="336"/>
    </row>
    <row r="245" spans="1:13" hidden="1" outlineLevel="2" x14ac:dyDescent="0.35">
      <c r="A245" s="335" t="s">
        <v>96</v>
      </c>
      <c r="B245" s="331">
        <v>44498</v>
      </c>
      <c r="C245" s="332" t="s">
        <v>440</v>
      </c>
      <c r="D245" s="332" t="s">
        <v>441</v>
      </c>
      <c r="E245" s="332" t="s">
        <v>431</v>
      </c>
      <c r="F245" s="336">
        <v>5000</v>
      </c>
      <c r="G245" s="330" t="s">
        <v>236</v>
      </c>
      <c r="H245" s="329">
        <v>4.2631749322909522</v>
      </c>
      <c r="I245" s="329">
        <v>1.0657937330727381</v>
      </c>
      <c r="J245" s="329">
        <v>1.0657937330727381</v>
      </c>
      <c r="K245" s="329">
        <v>1.0657937330727381</v>
      </c>
      <c r="L245" s="329">
        <v>1.0657937330727381</v>
      </c>
      <c r="M245" s="336"/>
    </row>
    <row r="246" spans="1:13" hidden="1" outlineLevel="2" x14ac:dyDescent="0.35">
      <c r="A246" s="335" t="s">
        <v>96</v>
      </c>
      <c r="B246" s="331">
        <v>44503</v>
      </c>
      <c r="C246" s="332" t="s">
        <v>429</v>
      </c>
      <c r="D246" s="332" t="s">
        <v>430</v>
      </c>
      <c r="E246" s="332" t="s">
        <v>431</v>
      </c>
      <c r="F246" s="336">
        <v>600</v>
      </c>
      <c r="G246" s="330" t="s">
        <v>236</v>
      </c>
      <c r="H246" s="329">
        <v>0.51158099187491435</v>
      </c>
      <c r="I246" s="329">
        <v>0.12789524796872859</v>
      </c>
      <c r="J246" s="329">
        <v>0.12789524796872859</v>
      </c>
      <c r="K246" s="329">
        <v>0.12789524796872859</v>
      </c>
      <c r="L246" s="329">
        <v>0.12789524796872859</v>
      </c>
      <c r="M246" s="336"/>
    </row>
    <row r="247" spans="1:13" hidden="1" outlineLevel="2" x14ac:dyDescent="0.35">
      <c r="A247" s="335" t="s">
        <v>96</v>
      </c>
      <c r="B247" s="331">
        <v>44504</v>
      </c>
      <c r="C247" s="332" t="s">
        <v>429</v>
      </c>
      <c r="D247" s="332" t="s">
        <v>430</v>
      </c>
      <c r="E247" s="332" t="s">
        <v>431</v>
      </c>
      <c r="F247" s="336">
        <v>6000</v>
      </c>
      <c r="G247" s="330" t="s">
        <v>236</v>
      </c>
      <c r="H247" s="329">
        <v>5.115809918749143</v>
      </c>
      <c r="I247" s="329">
        <v>1.2789524796872858</v>
      </c>
      <c r="J247" s="329">
        <v>1.2789524796872858</v>
      </c>
      <c r="K247" s="329">
        <v>1.2789524796872858</v>
      </c>
      <c r="L247" s="329">
        <v>1.2789524796872858</v>
      </c>
      <c r="M247" s="336"/>
    </row>
    <row r="248" spans="1:13" hidden="1" outlineLevel="2" x14ac:dyDescent="0.35">
      <c r="A248" s="335" t="s">
        <v>96</v>
      </c>
      <c r="B248" s="331">
        <v>44510</v>
      </c>
      <c r="C248" s="332" t="s">
        <v>429</v>
      </c>
      <c r="D248" s="332" t="s">
        <v>430</v>
      </c>
      <c r="E248" s="332" t="s">
        <v>431</v>
      </c>
      <c r="F248" s="336">
        <v>1200</v>
      </c>
      <c r="G248" s="330" t="s">
        <v>236</v>
      </c>
      <c r="H248" s="329">
        <v>1.0231619837498287</v>
      </c>
      <c r="I248" s="329">
        <v>0.25579049593745717</v>
      </c>
      <c r="J248" s="329">
        <v>0.25579049593745717</v>
      </c>
      <c r="K248" s="329">
        <v>0.25579049593745717</v>
      </c>
      <c r="L248" s="329">
        <v>0.25579049593745717</v>
      </c>
      <c r="M248" s="336"/>
    </row>
    <row r="249" spans="1:13" hidden="1" outlineLevel="2" x14ac:dyDescent="0.35">
      <c r="A249" s="335" t="s">
        <v>96</v>
      </c>
      <c r="B249" s="331">
        <v>44522</v>
      </c>
      <c r="C249" s="332" t="s">
        <v>429</v>
      </c>
      <c r="D249" s="332" t="s">
        <v>430</v>
      </c>
      <c r="E249" s="332" t="s">
        <v>431</v>
      </c>
      <c r="F249" s="336">
        <v>4200</v>
      </c>
      <c r="G249" s="330" t="s">
        <v>236</v>
      </c>
      <c r="H249" s="329">
        <v>3.5810669431244002</v>
      </c>
      <c r="I249" s="329">
        <v>0.89526673578110005</v>
      </c>
      <c r="J249" s="329">
        <v>0.89526673578110005</v>
      </c>
      <c r="K249" s="329">
        <v>0.89526673578110005</v>
      </c>
      <c r="L249" s="329">
        <v>0.89526673578110005</v>
      </c>
      <c r="M249" s="336"/>
    </row>
    <row r="250" spans="1:13" hidden="1" outlineLevel="2" x14ac:dyDescent="0.35">
      <c r="A250" s="335" t="s">
        <v>96</v>
      </c>
      <c r="B250" s="331">
        <v>44523</v>
      </c>
      <c r="C250" s="332" t="s">
        <v>429</v>
      </c>
      <c r="D250" s="332" t="s">
        <v>430</v>
      </c>
      <c r="E250" s="332" t="s">
        <v>431</v>
      </c>
      <c r="F250" s="336">
        <v>900</v>
      </c>
      <c r="G250" s="330" t="s">
        <v>236</v>
      </c>
      <c r="H250" s="329">
        <v>0.76737148781237141</v>
      </c>
      <c r="I250" s="329">
        <v>0.19184287195309285</v>
      </c>
      <c r="J250" s="329">
        <v>0.19184287195309285</v>
      </c>
      <c r="K250" s="329">
        <v>0.19184287195309285</v>
      </c>
      <c r="L250" s="329">
        <v>0.19184287195309285</v>
      </c>
      <c r="M250" s="336"/>
    </row>
    <row r="251" spans="1:13" hidden="1" outlineLevel="2" x14ac:dyDescent="0.35">
      <c r="A251" s="335" t="s">
        <v>96</v>
      </c>
      <c r="B251" s="331">
        <v>44530</v>
      </c>
      <c r="C251" s="332" t="s">
        <v>440</v>
      </c>
      <c r="D251" s="332" t="s">
        <v>441</v>
      </c>
      <c r="E251" s="332" t="s">
        <v>431</v>
      </c>
      <c r="F251" s="336">
        <v>5000</v>
      </c>
      <c r="G251" s="330" t="s">
        <v>236</v>
      </c>
      <c r="H251" s="329">
        <v>4.2631749322909522</v>
      </c>
      <c r="I251" s="329">
        <v>1.0657937330727381</v>
      </c>
      <c r="J251" s="329">
        <v>1.0657937330727381</v>
      </c>
      <c r="K251" s="329">
        <v>1.0657937330727381</v>
      </c>
      <c r="L251" s="329">
        <v>1.0657937330727381</v>
      </c>
      <c r="M251" s="336"/>
    </row>
    <row r="252" spans="1:13" hidden="1" outlineLevel="2" x14ac:dyDescent="0.35">
      <c r="A252" s="335" t="s">
        <v>96</v>
      </c>
      <c r="B252" s="331">
        <v>44533</v>
      </c>
      <c r="C252" s="332" t="s">
        <v>429</v>
      </c>
      <c r="D252" s="332" t="s">
        <v>430</v>
      </c>
      <c r="E252" s="332" t="s">
        <v>431</v>
      </c>
      <c r="F252" s="336">
        <v>6600</v>
      </c>
      <c r="G252" s="330" t="s">
        <v>236</v>
      </c>
      <c r="H252" s="329">
        <v>5.6273909106240572</v>
      </c>
      <c r="I252" s="329">
        <v>1.4068477276560143</v>
      </c>
      <c r="J252" s="329">
        <v>1.4068477276560143</v>
      </c>
      <c r="K252" s="329">
        <v>1.4068477276560143</v>
      </c>
      <c r="L252" s="329">
        <v>1.4068477276560143</v>
      </c>
      <c r="M252" s="336"/>
    </row>
    <row r="253" spans="1:13" hidden="1" outlineLevel="2" x14ac:dyDescent="0.35">
      <c r="A253" s="335" t="s">
        <v>96</v>
      </c>
      <c r="B253" s="331">
        <v>44537</v>
      </c>
      <c r="C253" s="332" t="s">
        <v>429</v>
      </c>
      <c r="D253" s="332" t="s">
        <v>430</v>
      </c>
      <c r="E253" s="332" t="s">
        <v>431</v>
      </c>
      <c r="F253" s="336">
        <v>3000</v>
      </c>
      <c r="G253" s="330" t="s">
        <v>236</v>
      </c>
      <c r="H253" s="329">
        <v>2.5579049593745715</v>
      </c>
      <c r="I253" s="329">
        <v>0.63947623984364288</v>
      </c>
      <c r="J253" s="329">
        <v>0.63947623984364288</v>
      </c>
      <c r="K253" s="329">
        <v>0.63947623984364288</v>
      </c>
      <c r="L253" s="329">
        <v>0.63947623984364288</v>
      </c>
      <c r="M253" s="336"/>
    </row>
    <row r="254" spans="1:13" hidden="1" outlineLevel="2" x14ac:dyDescent="0.35">
      <c r="A254" s="335" t="s">
        <v>96</v>
      </c>
      <c r="B254" s="331">
        <v>44539</v>
      </c>
      <c r="C254" s="332" t="s">
        <v>429</v>
      </c>
      <c r="D254" s="332" t="s">
        <v>430</v>
      </c>
      <c r="E254" s="332" t="s">
        <v>431</v>
      </c>
      <c r="F254" s="336">
        <v>2400</v>
      </c>
      <c r="G254" s="330" t="s">
        <v>236</v>
      </c>
      <c r="H254" s="329">
        <v>2.0463239674996574</v>
      </c>
      <c r="I254" s="329">
        <v>0.51158099187491435</v>
      </c>
      <c r="J254" s="329">
        <v>0.51158099187491435</v>
      </c>
      <c r="K254" s="329">
        <v>0.51158099187491435</v>
      </c>
      <c r="L254" s="329">
        <v>0.51158099187491435</v>
      </c>
      <c r="M254" s="336"/>
    </row>
    <row r="255" spans="1:13" hidden="1" outlineLevel="2" x14ac:dyDescent="0.35">
      <c r="A255" s="335" t="s">
        <v>96</v>
      </c>
      <c r="B255" s="331">
        <v>44544</v>
      </c>
      <c r="C255" s="332" t="s">
        <v>429</v>
      </c>
      <c r="D255" s="332" t="s">
        <v>430</v>
      </c>
      <c r="E255" s="332" t="s">
        <v>431</v>
      </c>
      <c r="F255" s="336">
        <v>6600</v>
      </c>
      <c r="G255" s="330" t="s">
        <v>236</v>
      </c>
      <c r="H255" s="329">
        <v>5.6273909106240572</v>
      </c>
      <c r="I255" s="329">
        <v>1.4068477276560143</v>
      </c>
      <c r="J255" s="329">
        <v>1.4068477276560143</v>
      </c>
      <c r="K255" s="329">
        <v>1.4068477276560143</v>
      </c>
      <c r="L255" s="329">
        <v>1.4068477276560143</v>
      </c>
      <c r="M255" s="336"/>
    </row>
    <row r="256" spans="1:13" hidden="1" outlineLevel="2" x14ac:dyDescent="0.35">
      <c r="A256" s="340" t="s">
        <v>96</v>
      </c>
      <c r="B256" s="327">
        <v>44547</v>
      </c>
      <c r="C256" s="328" t="s">
        <v>429</v>
      </c>
      <c r="D256" s="328" t="s">
        <v>430</v>
      </c>
      <c r="E256" s="328" t="s">
        <v>431</v>
      </c>
      <c r="F256" s="338">
        <v>600</v>
      </c>
      <c r="G256" s="330" t="s">
        <v>236</v>
      </c>
      <c r="H256" s="329">
        <v>0.51158099187491435</v>
      </c>
      <c r="I256" s="333">
        <v>0.12789524796872859</v>
      </c>
      <c r="J256" s="333">
        <v>0.12789524796872859</v>
      </c>
      <c r="K256" s="333">
        <v>0.12789524796872859</v>
      </c>
      <c r="L256" s="333">
        <v>0.12789524796872859</v>
      </c>
      <c r="M256" s="338"/>
    </row>
    <row r="257" spans="1:13" hidden="1" outlineLevel="2" x14ac:dyDescent="0.35">
      <c r="A257" s="335" t="s">
        <v>96</v>
      </c>
      <c r="B257" s="331">
        <v>44550</v>
      </c>
      <c r="C257" s="332" t="s">
        <v>429</v>
      </c>
      <c r="D257" s="332" t="s">
        <v>430</v>
      </c>
      <c r="E257" s="332" t="s">
        <v>431</v>
      </c>
      <c r="F257" s="336">
        <v>4200</v>
      </c>
      <c r="G257" s="330" t="s">
        <v>236</v>
      </c>
      <c r="H257" s="329">
        <v>3.5810669431244002</v>
      </c>
      <c r="I257" s="333">
        <v>0.89526673578110005</v>
      </c>
      <c r="J257" s="333">
        <v>0.89526673578110005</v>
      </c>
      <c r="K257" s="333">
        <v>0.89526673578110005</v>
      </c>
      <c r="L257" s="333">
        <v>0.89526673578110005</v>
      </c>
      <c r="M257" s="336"/>
    </row>
    <row r="258" spans="1:13" hidden="1" outlineLevel="2" x14ac:dyDescent="0.35">
      <c r="A258" s="335" t="s">
        <v>96</v>
      </c>
      <c r="B258" s="331">
        <v>44551</v>
      </c>
      <c r="C258" s="332" t="s">
        <v>429</v>
      </c>
      <c r="D258" s="332" t="s">
        <v>430</v>
      </c>
      <c r="E258" s="332" t="s">
        <v>431</v>
      </c>
      <c r="F258" s="336">
        <v>1200</v>
      </c>
      <c r="G258" s="330" t="s">
        <v>236</v>
      </c>
      <c r="H258" s="329">
        <v>1.0231619837498287</v>
      </c>
      <c r="I258" s="333">
        <v>0.25579049593745717</v>
      </c>
      <c r="J258" s="333">
        <v>0.25579049593745717</v>
      </c>
      <c r="K258" s="333">
        <v>0.25579049593745717</v>
      </c>
      <c r="L258" s="333">
        <v>0.25579049593745717</v>
      </c>
      <c r="M258" s="336"/>
    </row>
    <row r="259" spans="1:13" hidden="1" outlineLevel="2" x14ac:dyDescent="0.35">
      <c r="A259" s="335" t="s">
        <v>96</v>
      </c>
      <c r="B259" s="331">
        <v>44558</v>
      </c>
      <c r="C259" s="332" t="s">
        <v>429</v>
      </c>
      <c r="D259" s="332" t="s">
        <v>430</v>
      </c>
      <c r="E259" s="332" t="s">
        <v>431</v>
      </c>
      <c r="F259" s="336">
        <v>7800</v>
      </c>
      <c r="G259" s="330" t="s">
        <v>236</v>
      </c>
      <c r="H259" s="329">
        <v>6.6505528943738854</v>
      </c>
      <c r="I259" s="333">
        <v>1.6626382235934714</v>
      </c>
      <c r="J259" s="333">
        <v>1.6626382235934714</v>
      </c>
      <c r="K259" s="333">
        <v>1.6626382235934714</v>
      </c>
      <c r="L259" s="333">
        <v>1.6626382235934714</v>
      </c>
      <c r="M259" s="336"/>
    </row>
    <row r="260" spans="1:13" hidden="1" outlineLevel="2" x14ac:dyDescent="0.35">
      <c r="A260" s="335" t="s">
        <v>96</v>
      </c>
      <c r="B260" s="331">
        <v>44560</v>
      </c>
      <c r="C260" s="332" t="s">
        <v>429</v>
      </c>
      <c r="D260" s="332" t="s">
        <v>430</v>
      </c>
      <c r="E260" s="332" t="s">
        <v>431</v>
      </c>
      <c r="F260" s="336">
        <v>1200</v>
      </c>
      <c r="G260" s="330" t="s">
        <v>236</v>
      </c>
      <c r="H260" s="329">
        <v>1.0231619837498287</v>
      </c>
      <c r="I260" s="333">
        <v>0.25579049593745717</v>
      </c>
      <c r="J260" s="333">
        <v>0.25579049593745717</v>
      </c>
      <c r="K260" s="333">
        <v>0.25579049593745717</v>
      </c>
      <c r="L260" s="333">
        <v>0.25579049593745717</v>
      </c>
      <c r="M260" s="336"/>
    </row>
    <row r="261" spans="1:13" hidden="1" outlineLevel="2" x14ac:dyDescent="0.35">
      <c r="A261" s="335" t="s">
        <v>96</v>
      </c>
      <c r="B261" s="331">
        <v>44561</v>
      </c>
      <c r="C261" s="332" t="s">
        <v>429</v>
      </c>
      <c r="D261" s="332" t="s">
        <v>430</v>
      </c>
      <c r="E261" s="332" t="s">
        <v>431</v>
      </c>
      <c r="F261" s="336">
        <v>4200</v>
      </c>
      <c r="G261" s="330" t="s">
        <v>236</v>
      </c>
      <c r="H261" s="329">
        <v>3.5810669431244002</v>
      </c>
      <c r="I261" s="333">
        <v>0.89526673578110005</v>
      </c>
      <c r="J261" s="333">
        <v>0.89526673578110005</v>
      </c>
      <c r="K261" s="333">
        <v>0.89526673578110005</v>
      </c>
      <c r="L261" s="333">
        <v>0.89526673578110005</v>
      </c>
      <c r="M261" s="336"/>
    </row>
    <row r="262" spans="1:13" hidden="1" outlineLevel="2" x14ac:dyDescent="0.35">
      <c r="A262" s="335" t="s">
        <v>96</v>
      </c>
      <c r="B262" s="331">
        <v>44561</v>
      </c>
      <c r="C262" s="332" t="s">
        <v>429</v>
      </c>
      <c r="D262" s="332" t="s">
        <v>430</v>
      </c>
      <c r="E262" s="332" t="s">
        <v>431</v>
      </c>
      <c r="F262" s="336">
        <v>5000</v>
      </c>
      <c r="G262" s="330" t="s">
        <v>236</v>
      </c>
      <c r="H262" s="329">
        <v>4.2631749322909522</v>
      </c>
      <c r="I262" s="333">
        <v>1.0657937330727381</v>
      </c>
      <c r="J262" s="333">
        <v>1.0657937330727381</v>
      </c>
      <c r="K262" s="333">
        <v>1.0657937330727381</v>
      </c>
      <c r="L262" s="333">
        <v>1.0657937330727381</v>
      </c>
      <c r="M262" s="336"/>
    </row>
    <row r="263" spans="1:13" outlineLevel="1" collapsed="1" x14ac:dyDescent="0.35">
      <c r="A263" s="337" t="s">
        <v>464</v>
      </c>
      <c r="B263" s="331"/>
      <c r="C263" s="332"/>
      <c r="D263" s="332"/>
      <c r="E263" s="332"/>
      <c r="F263" s="336"/>
      <c r="G263" s="330"/>
      <c r="H263" s="329">
        <f t="shared" ref="H263:M263" si="3">SUBTOTAL(9,H88:H262)</f>
        <v>509.64477761282978</v>
      </c>
      <c r="I263" s="333">
        <f t="shared" si="3"/>
        <v>127.41119440320745</v>
      </c>
      <c r="J263" s="333">
        <f t="shared" si="3"/>
        <v>127.41119440320745</v>
      </c>
      <c r="K263" s="333">
        <f t="shared" si="3"/>
        <v>127.41119440320745</v>
      </c>
      <c r="L263" s="333">
        <f t="shared" si="3"/>
        <v>127.41119440320745</v>
      </c>
      <c r="M263" s="336">
        <f t="shared" si="3"/>
        <v>0</v>
      </c>
    </row>
    <row r="264" spans="1:13" hidden="1" outlineLevel="2" x14ac:dyDescent="0.35">
      <c r="A264" s="341" t="s">
        <v>82</v>
      </c>
      <c r="B264" s="331">
        <v>43958</v>
      </c>
      <c r="C264" s="332" t="s">
        <v>378</v>
      </c>
      <c r="D264" s="332" t="s">
        <v>465</v>
      </c>
      <c r="E264" s="332" t="s">
        <v>466</v>
      </c>
      <c r="F264" s="336">
        <v>6800000</v>
      </c>
      <c r="G264" s="330" t="s">
        <v>236</v>
      </c>
      <c r="H264" s="329">
        <v>6317.6094216577321</v>
      </c>
      <c r="I264" s="336"/>
      <c r="J264" s="336"/>
      <c r="K264" s="336">
        <v>6317.6094216577321</v>
      </c>
      <c r="L264" s="336"/>
      <c r="M264" s="336"/>
    </row>
    <row r="265" spans="1:13" hidden="1" outlineLevel="2" x14ac:dyDescent="0.35">
      <c r="A265" s="341" t="s">
        <v>82</v>
      </c>
      <c r="B265" s="331">
        <v>44078</v>
      </c>
      <c r="C265" s="332" t="s">
        <v>467</v>
      </c>
      <c r="D265" s="332" t="s">
        <v>468</v>
      </c>
      <c r="E265" s="332" t="s">
        <v>469</v>
      </c>
      <c r="F265" s="336">
        <v>2240000</v>
      </c>
      <c r="G265" s="330" t="s">
        <v>236</v>
      </c>
      <c r="H265" s="329">
        <v>2081.0948683107827</v>
      </c>
      <c r="I265" s="336"/>
      <c r="J265" s="336"/>
      <c r="K265" s="336">
        <v>2081.0948683107827</v>
      </c>
      <c r="L265" s="336"/>
      <c r="M265" s="336"/>
    </row>
    <row r="266" spans="1:13" hidden="1" outlineLevel="2" x14ac:dyDescent="0.35">
      <c r="A266" s="341" t="s">
        <v>82</v>
      </c>
      <c r="B266" s="331">
        <v>43963</v>
      </c>
      <c r="C266" s="332" t="s">
        <v>470</v>
      </c>
      <c r="D266" s="332" t="s">
        <v>471</v>
      </c>
      <c r="E266" s="332" t="s">
        <v>472</v>
      </c>
      <c r="F266" s="336">
        <v>4382</v>
      </c>
      <c r="G266" s="330" t="s">
        <v>236</v>
      </c>
      <c r="H266" s="329">
        <v>4.0711418361329681</v>
      </c>
      <c r="I266" s="336"/>
      <c r="J266" s="336"/>
      <c r="K266" s="336">
        <v>4.0711418361329681</v>
      </c>
      <c r="L266" s="336"/>
      <c r="M266" s="336"/>
    </row>
    <row r="267" spans="1:13" outlineLevel="1" collapsed="1" x14ac:dyDescent="0.35">
      <c r="A267" s="342" t="s">
        <v>473</v>
      </c>
      <c r="B267" s="331"/>
      <c r="C267" s="332"/>
      <c r="D267" s="332"/>
      <c r="E267" s="332"/>
      <c r="F267" s="336"/>
      <c r="G267" s="330"/>
      <c r="H267" s="329">
        <f t="shared" ref="H267:M267" si="4">SUBTOTAL(9,H264:H266)</f>
        <v>8402.7754318046482</v>
      </c>
      <c r="I267" s="336">
        <f t="shared" si="4"/>
        <v>0</v>
      </c>
      <c r="J267" s="336">
        <f t="shared" si="4"/>
        <v>0</v>
      </c>
      <c r="K267" s="336">
        <f t="shared" si="4"/>
        <v>8402.7754318046482</v>
      </c>
      <c r="L267" s="336">
        <f t="shared" si="4"/>
        <v>0</v>
      </c>
      <c r="M267" s="336">
        <f t="shared" si="4"/>
        <v>0</v>
      </c>
    </row>
    <row r="268" spans="1:13" hidden="1" outlineLevel="2" x14ac:dyDescent="0.35">
      <c r="A268" s="335" t="s">
        <v>186</v>
      </c>
      <c r="B268" s="331">
        <v>43910</v>
      </c>
      <c r="C268" s="332" t="s">
        <v>474</v>
      </c>
      <c r="D268" s="332" t="s">
        <v>475</v>
      </c>
      <c r="E268" s="332" t="s">
        <v>476</v>
      </c>
      <c r="F268" s="336">
        <v>162178</v>
      </c>
      <c r="G268" s="330" t="s">
        <v>236</v>
      </c>
      <c r="H268" s="329">
        <v>150.6731265861188</v>
      </c>
      <c r="I268" s="336">
        <v>37.668281646529699</v>
      </c>
      <c r="J268" s="336">
        <v>37.668281646529699</v>
      </c>
      <c r="K268" s="336">
        <v>37.668281646529699</v>
      </c>
      <c r="L268" s="336">
        <v>37.668281646529699</v>
      </c>
      <c r="M268" s="336"/>
    </row>
    <row r="269" spans="1:13" hidden="1" outlineLevel="2" x14ac:dyDescent="0.35">
      <c r="A269" s="335" t="s">
        <v>186</v>
      </c>
      <c r="B269" s="331">
        <v>43910</v>
      </c>
      <c r="C269" s="332" t="s">
        <v>477</v>
      </c>
      <c r="D269" s="332" t="s">
        <v>478</v>
      </c>
      <c r="E269" s="332" t="s">
        <v>476</v>
      </c>
      <c r="F269" s="336">
        <v>95353</v>
      </c>
      <c r="G269" s="330" t="s">
        <v>236</v>
      </c>
      <c r="H269" s="329">
        <v>88.588678115195549</v>
      </c>
      <c r="I269" s="336">
        <v>22.147169528798887</v>
      </c>
      <c r="J269" s="336">
        <v>22.147169528798887</v>
      </c>
      <c r="K269" s="336">
        <v>22.147169528798887</v>
      </c>
      <c r="L269" s="336">
        <v>22.147169528798887</v>
      </c>
      <c r="M269" s="336"/>
    </row>
    <row r="270" spans="1:13" hidden="1" outlineLevel="2" x14ac:dyDescent="0.35">
      <c r="A270" s="335" t="s">
        <v>186</v>
      </c>
      <c r="B270" s="331">
        <v>43941</v>
      </c>
      <c r="C270" s="332" t="s">
        <v>479</v>
      </c>
      <c r="D270" s="332" t="s">
        <v>480</v>
      </c>
      <c r="E270" s="332" t="s">
        <v>476</v>
      </c>
      <c r="F270" s="336">
        <v>162176</v>
      </c>
      <c r="G270" s="330" t="s">
        <v>236</v>
      </c>
      <c r="H270" s="329">
        <v>150.67126846570065</v>
      </c>
      <c r="I270" s="336">
        <v>37.667817116425162</v>
      </c>
      <c r="J270" s="336">
        <v>37.667817116425162</v>
      </c>
      <c r="K270" s="336">
        <v>37.667817116425162</v>
      </c>
      <c r="L270" s="336">
        <v>37.667817116425162</v>
      </c>
      <c r="M270" s="336"/>
    </row>
    <row r="271" spans="1:13" hidden="1" outlineLevel="2" x14ac:dyDescent="0.35">
      <c r="A271" s="335" t="s">
        <v>186</v>
      </c>
      <c r="B271" s="331">
        <v>43941</v>
      </c>
      <c r="C271" s="332" t="s">
        <v>481</v>
      </c>
      <c r="D271" s="332" t="s">
        <v>482</v>
      </c>
      <c r="E271" s="332" t="s">
        <v>476</v>
      </c>
      <c r="F271" s="336">
        <v>95352</v>
      </c>
      <c r="G271" s="330" t="s">
        <v>236</v>
      </c>
      <c r="H271" s="329">
        <v>88.587749054986489</v>
      </c>
      <c r="I271" s="336">
        <v>22.146937263746622</v>
      </c>
      <c r="J271" s="336">
        <v>22.146937263746622</v>
      </c>
      <c r="K271" s="336">
        <v>22.146937263746622</v>
      </c>
      <c r="L271" s="336">
        <v>22.146937263746622</v>
      </c>
      <c r="M271" s="336"/>
    </row>
    <row r="272" spans="1:13" hidden="1" outlineLevel="2" x14ac:dyDescent="0.35">
      <c r="A272" s="335" t="s">
        <v>186</v>
      </c>
      <c r="B272" s="331">
        <v>43977</v>
      </c>
      <c r="C272" s="332" t="s">
        <v>381</v>
      </c>
      <c r="D272" s="332" t="s">
        <v>483</v>
      </c>
      <c r="E272" s="332" t="s">
        <v>476</v>
      </c>
      <c r="F272" s="336">
        <v>95352</v>
      </c>
      <c r="G272" s="330" t="s">
        <v>236</v>
      </c>
      <c r="H272" s="329">
        <v>88.587749054986489</v>
      </c>
      <c r="I272" s="336">
        <v>22.146937263746622</v>
      </c>
      <c r="J272" s="336">
        <v>22.146937263746622</v>
      </c>
      <c r="K272" s="336">
        <v>22.146937263746622</v>
      </c>
      <c r="L272" s="336">
        <v>22.146937263746622</v>
      </c>
      <c r="M272" s="336"/>
    </row>
    <row r="273" spans="1:13" hidden="1" outlineLevel="2" x14ac:dyDescent="0.35">
      <c r="A273" s="335" t="s">
        <v>186</v>
      </c>
      <c r="B273" s="331">
        <v>43977</v>
      </c>
      <c r="C273" s="332" t="s">
        <v>484</v>
      </c>
      <c r="D273" s="332" t="s">
        <v>485</v>
      </c>
      <c r="E273" s="332" t="s">
        <v>476</v>
      </c>
      <c r="F273" s="336">
        <v>162176</v>
      </c>
      <c r="G273" s="330" t="s">
        <v>236</v>
      </c>
      <c r="H273" s="329">
        <v>150.67126846570065</v>
      </c>
      <c r="I273" s="336">
        <v>37.667817116425162</v>
      </c>
      <c r="J273" s="336">
        <v>37.667817116425162</v>
      </c>
      <c r="K273" s="336">
        <v>37.667817116425162</v>
      </c>
      <c r="L273" s="336">
        <v>37.667817116425162</v>
      </c>
      <c r="M273" s="336"/>
    </row>
    <row r="274" spans="1:13" hidden="1" outlineLevel="2" x14ac:dyDescent="0.35">
      <c r="A274" s="335" t="s">
        <v>186</v>
      </c>
      <c r="B274" s="331">
        <v>44001</v>
      </c>
      <c r="C274" s="332" t="s">
        <v>486</v>
      </c>
      <c r="D274" s="332" t="s">
        <v>487</v>
      </c>
      <c r="E274" s="332" t="s">
        <v>476</v>
      </c>
      <c r="F274" s="336">
        <v>162176</v>
      </c>
      <c r="G274" s="330" t="s">
        <v>236</v>
      </c>
      <c r="H274" s="329">
        <v>150.67126846570065</v>
      </c>
      <c r="I274" s="336">
        <v>37.667817116425162</v>
      </c>
      <c r="J274" s="336">
        <v>37.667817116425162</v>
      </c>
      <c r="K274" s="336">
        <v>37.667817116425162</v>
      </c>
      <c r="L274" s="336">
        <v>37.667817116425162</v>
      </c>
      <c r="M274" s="336"/>
    </row>
    <row r="275" spans="1:13" hidden="1" outlineLevel="2" x14ac:dyDescent="0.35">
      <c r="A275" s="335" t="s">
        <v>186</v>
      </c>
      <c r="B275" s="331">
        <v>44001</v>
      </c>
      <c r="C275" s="332" t="s">
        <v>488</v>
      </c>
      <c r="D275" s="332" t="s">
        <v>489</v>
      </c>
      <c r="E275" s="332" t="s">
        <v>476</v>
      </c>
      <c r="F275" s="336">
        <v>95352</v>
      </c>
      <c r="G275" s="330" t="s">
        <v>236</v>
      </c>
      <c r="H275" s="329">
        <v>88.587749054986489</v>
      </c>
      <c r="I275" s="336">
        <v>22.146937263746622</v>
      </c>
      <c r="J275" s="336">
        <v>22.146937263746622</v>
      </c>
      <c r="K275" s="336">
        <v>22.146937263746622</v>
      </c>
      <c r="L275" s="336">
        <v>22.146937263746622</v>
      </c>
      <c r="M275" s="336"/>
    </row>
    <row r="276" spans="1:13" hidden="1" outlineLevel="2" x14ac:dyDescent="0.35">
      <c r="A276" s="335" t="s">
        <v>186</v>
      </c>
      <c r="B276" s="331">
        <v>44001</v>
      </c>
      <c r="C276" s="332" t="s">
        <v>490</v>
      </c>
      <c r="D276" s="332" t="s">
        <v>491</v>
      </c>
      <c r="E276" s="332" t="s">
        <v>476</v>
      </c>
      <c r="F276" s="336">
        <v>30702</v>
      </c>
      <c r="G276" s="330" t="s">
        <v>236</v>
      </c>
      <c r="H276" s="329">
        <v>28.524006538784661</v>
      </c>
      <c r="I276" s="336">
        <v>7.1310016346961653</v>
      </c>
      <c r="J276" s="336">
        <v>7.1310016346961653</v>
      </c>
      <c r="K276" s="336">
        <v>7.1310016346961653</v>
      </c>
      <c r="L276" s="336">
        <v>7.1310016346961653</v>
      </c>
      <c r="M276" s="336"/>
    </row>
    <row r="277" spans="1:13" hidden="1" outlineLevel="2" x14ac:dyDescent="0.35">
      <c r="A277" s="335" t="s">
        <v>186</v>
      </c>
      <c r="B277" s="331">
        <v>44001</v>
      </c>
      <c r="C277" s="332" t="s">
        <v>492</v>
      </c>
      <c r="D277" s="332" t="s">
        <v>493</v>
      </c>
      <c r="E277" s="332" t="s">
        <v>476</v>
      </c>
      <c r="F277" s="336">
        <v>53051</v>
      </c>
      <c r="G277" s="330" t="s">
        <v>236</v>
      </c>
      <c r="H277" s="329">
        <v>49.287573151230056</v>
      </c>
      <c r="I277" s="336">
        <v>12.321893287807514</v>
      </c>
      <c r="J277" s="336">
        <v>12.321893287807514</v>
      </c>
      <c r="K277" s="336">
        <v>12.321893287807514</v>
      </c>
      <c r="L277" s="336">
        <v>12.321893287807514</v>
      </c>
      <c r="M277" s="336"/>
    </row>
    <row r="278" spans="1:13" hidden="1" outlineLevel="2" x14ac:dyDescent="0.35">
      <c r="A278" s="335" t="s">
        <v>186</v>
      </c>
      <c r="B278" s="331">
        <v>44035</v>
      </c>
      <c r="C278" s="332" t="s">
        <v>494</v>
      </c>
      <c r="D278" s="332" t="s">
        <v>495</v>
      </c>
      <c r="E278" s="332" t="s">
        <v>476</v>
      </c>
      <c r="F278" s="336">
        <v>168066</v>
      </c>
      <c r="G278" s="330" t="s">
        <v>236</v>
      </c>
      <c r="H278" s="329">
        <v>156.14343309710713</v>
      </c>
      <c r="I278" s="336">
        <v>39.035858274276784</v>
      </c>
      <c r="J278" s="336">
        <v>39.035858274276784</v>
      </c>
      <c r="K278" s="336">
        <v>39.035858274276784</v>
      </c>
      <c r="L278" s="336">
        <v>39.035858274276784</v>
      </c>
      <c r="M278" s="336"/>
    </row>
    <row r="279" spans="1:13" hidden="1" outlineLevel="2" x14ac:dyDescent="0.35">
      <c r="A279" s="335" t="s">
        <v>186</v>
      </c>
      <c r="B279" s="331">
        <v>44035</v>
      </c>
      <c r="C279" s="332" t="s">
        <v>496</v>
      </c>
      <c r="D279" s="332" t="s">
        <v>497</v>
      </c>
      <c r="E279" s="332" t="s">
        <v>476</v>
      </c>
      <c r="F279" s="336">
        <v>99762</v>
      </c>
      <c r="G279" s="330" t="s">
        <v>236</v>
      </c>
      <c r="H279" s="329">
        <v>92.684904576973338</v>
      </c>
      <c r="I279" s="336">
        <v>23.171226144243334</v>
      </c>
      <c r="J279" s="336">
        <v>23.171226144243334</v>
      </c>
      <c r="K279" s="336">
        <v>23.171226144243334</v>
      </c>
      <c r="L279" s="336">
        <v>23.171226144243334</v>
      </c>
      <c r="M279" s="336"/>
    </row>
    <row r="280" spans="1:13" hidden="1" outlineLevel="2" x14ac:dyDescent="0.35">
      <c r="A280" s="335" t="s">
        <v>186</v>
      </c>
      <c r="B280" s="331">
        <v>44063</v>
      </c>
      <c r="C280" s="332" t="s">
        <v>496</v>
      </c>
      <c r="D280" s="332" t="s">
        <v>497</v>
      </c>
      <c r="E280" s="332" t="s">
        <v>476</v>
      </c>
      <c r="F280" s="336">
        <v>99762</v>
      </c>
      <c r="G280" s="330" t="s">
        <v>236</v>
      </c>
      <c r="H280" s="329">
        <v>92.684904576973338</v>
      </c>
      <c r="I280" s="336">
        <v>23.171226144243334</v>
      </c>
      <c r="J280" s="336">
        <v>23.171226144243334</v>
      </c>
      <c r="K280" s="336">
        <v>23.171226144243334</v>
      </c>
      <c r="L280" s="336">
        <v>23.171226144243334</v>
      </c>
      <c r="M280" s="336"/>
    </row>
    <row r="281" spans="1:13" hidden="1" outlineLevel="2" x14ac:dyDescent="0.35">
      <c r="A281" s="335" t="s">
        <v>186</v>
      </c>
      <c r="B281" s="331">
        <v>44063</v>
      </c>
      <c r="C281" s="332" t="s">
        <v>498</v>
      </c>
      <c r="D281" s="332" t="s">
        <v>499</v>
      </c>
      <c r="E281" s="332" t="s">
        <v>476</v>
      </c>
      <c r="F281" s="336">
        <v>168066</v>
      </c>
      <c r="G281" s="330" t="s">
        <v>236</v>
      </c>
      <c r="H281" s="329">
        <v>156.14343309710713</v>
      </c>
      <c r="I281" s="336">
        <v>39.035858274276784</v>
      </c>
      <c r="J281" s="336">
        <v>39.035858274276784</v>
      </c>
      <c r="K281" s="336">
        <v>39.035858274276784</v>
      </c>
      <c r="L281" s="336">
        <v>39.035858274276784</v>
      </c>
      <c r="M281" s="336"/>
    </row>
    <row r="282" spans="1:13" hidden="1" outlineLevel="2" x14ac:dyDescent="0.35">
      <c r="A282" s="335" t="s">
        <v>186</v>
      </c>
      <c r="B282" s="331">
        <v>44091</v>
      </c>
      <c r="C282" s="332" t="s">
        <v>500</v>
      </c>
      <c r="D282" s="332" t="s">
        <v>501</v>
      </c>
      <c r="E282" s="332" t="s">
        <v>476</v>
      </c>
      <c r="F282" s="336">
        <v>99762</v>
      </c>
      <c r="G282" s="330" t="s">
        <v>236</v>
      </c>
      <c r="H282" s="329">
        <v>92.684904576973338</v>
      </c>
      <c r="I282" s="336">
        <v>23.171226144243334</v>
      </c>
      <c r="J282" s="336">
        <v>23.171226144243334</v>
      </c>
      <c r="K282" s="336">
        <v>23.171226144243334</v>
      </c>
      <c r="L282" s="336">
        <v>23.171226144243334</v>
      </c>
      <c r="M282" s="336"/>
    </row>
    <row r="283" spans="1:13" hidden="1" outlineLevel="2" x14ac:dyDescent="0.35">
      <c r="A283" s="335" t="s">
        <v>186</v>
      </c>
      <c r="B283" s="331">
        <v>44095</v>
      </c>
      <c r="C283" s="332" t="s">
        <v>502</v>
      </c>
      <c r="D283" s="332" t="s">
        <v>503</v>
      </c>
      <c r="E283" s="332" t="s">
        <v>476</v>
      </c>
      <c r="F283" s="336">
        <v>168066</v>
      </c>
      <c r="G283" s="330" t="s">
        <v>236</v>
      </c>
      <c r="H283" s="329">
        <v>156.14343309710713</v>
      </c>
      <c r="I283" s="336">
        <v>39.035858274276784</v>
      </c>
      <c r="J283" s="336">
        <v>39.035858274276784</v>
      </c>
      <c r="K283" s="336">
        <v>39.035858274276784</v>
      </c>
      <c r="L283" s="336">
        <v>39.035858274276784</v>
      </c>
      <c r="M283" s="336"/>
    </row>
    <row r="284" spans="1:13" hidden="1" outlineLevel="2" x14ac:dyDescent="0.35">
      <c r="A284" s="335" t="s">
        <v>186</v>
      </c>
      <c r="B284" s="331">
        <v>44123</v>
      </c>
      <c r="C284" s="332" t="s">
        <v>504</v>
      </c>
      <c r="D284" s="332" t="s">
        <v>505</v>
      </c>
      <c r="E284" s="332" t="s">
        <v>476</v>
      </c>
      <c r="F284" s="336">
        <v>99762</v>
      </c>
      <c r="G284" s="330" t="s">
        <v>236</v>
      </c>
      <c r="H284" s="329">
        <v>92.684904576973338</v>
      </c>
      <c r="I284" s="336">
        <v>23.171226144243334</v>
      </c>
      <c r="J284" s="336">
        <v>23.171226144243334</v>
      </c>
      <c r="K284" s="336">
        <v>23.171226144243334</v>
      </c>
      <c r="L284" s="336">
        <v>23.171226144243334</v>
      </c>
      <c r="M284" s="336"/>
    </row>
    <row r="285" spans="1:13" hidden="1" outlineLevel="2" x14ac:dyDescent="0.35">
      <c r="A285" s="335" t="s">
        <v>186</v>
      </c>
      <c r="B285" s="331">
        <v>44123</v>
      </c>
      <c r="C285" s="332" t="s">
        <v>506</v>
      </c>
      <c r="D285" s="332" t="s">
        <v>507</v>
      </c>
      <c r="E285" s="332" t="s">
        <v>476</v>
      </c>
      <c r="F285" s="336">
        <v>168066</v>
      </c>
      <c r="G285" s="330" t="s">
        <v>236</v>
      </c>
      <c r="H285" s="329">
        <v>156.14343309710713</v>
      </c>
      <c r="I285" s="336">
        <v>39.035858274276784</v>
      </c>
      <c r="J285" s="336">
        <v>39.035858274276784</v>
      </c>
      <c r="K285" s="336">
        <v>39.035858274276784</v>
      </c>
      <c r="L285" s="336">
        <v>39.035858274276784</v>
      </c>
      <c r="M285" s="336"/>
    </row>
    <row r="286" spans="1:13" hidden="1" outlineLevel="2" x14ac:dyDescent="0.35">
      <c r="A286" s="335" t="s">
        <v>186</v>
      </c>
      <c r="B286" s="331">
        <v>44153</v>
      </c>
      <c r="C286" s="332" t="s">
        <v>508</v>
      </c>
      <c r="D286" s="332" t="s">
        <v>509</v>
      </c>
      <c r="E286" s="332" t="s">
        <v>476</v>
      </c>
      <c r="F286" s="336">
        <v>168066</v>
      </c>
      <c r="G286" s="330" t="s">
        <v>236</v>
      </c>
      <c r="H286" s="329">
        <v>156.14343309710713</v>
      </c>
      <c r="I286" s="336">
        <v>39.035858274276784</v>
      </c>
      <c r="J286" s="336">
        <v>39.035858274276784</v>
      </c>
      <c r="K286" s="336">
        <v>39.035858274276784</v>
      </c>
      <c r="L286" s="336">
        <v>39.035858274276784</v>
      </c>
      <c r="M286" s="336"/>
    </row>
    <row r="287" spans="1:13" hidden="1" outlineLevel="2" x14ac:dyDescent="0.35">
      <c r="A287" s="335" t="s">
        <v>186</v>
      </c>
      <c r="B287" s="331">
        <v>44153</v>
      </c>
      <c r="C287" s="332" t="s">
        <v>510</v>
      </c>
      <c r="D287" s="332" t="s">
        <v>511</v>
      </c>
      <c r="E287" s="332" t="s">
        <v>476</v>
      </c>
      <c r="F287" s="336">
        <v>99762</v>
      </c>
      <c r="G287" s="330" t="s">
        <v>236</v>
      </c>
      <c r="H287" s="329">
        <v>92.684904576973338</v>
      </c>
      <c r="I287" s="336">
        <v>23.171226144243334</v>
      </c>
      <c r="J287" s="336">
        <v>23.171226144243334</v>
      </c>
      <c r="K287" s="336">
        <v>23.171226144243334</v>
      </c>
      <c r="L287" s="336">
        <v>23.171226144243334</v>
      </c>
      <c r="M287" s="336"/>
    </row>
    <row r="288" spans="1:13" hidden="1" outlineLevel="2" x14ac:dyDescent="0.35">
      <c r="A288" s="335" t="s">
        <v>186</v>
      </c>
      <c r="B288" s="331">
        <v>44180</v>
      </c>
      <c r="C288" s="332" t="s">
        <v>512</v>
      </c>
      <c r="D288" s="332" t="s">
        <v>513</v>
      </c>
      <c r="E288" s="332" t="s">
        <v>476</v>
      </c>
      <c r="F288" s="336">
        <v>99762</v>
      </c>
      <c r="G288" s="330" t="s">
        <v>236</v>
      </c>
      <c r="H288" s="329">
        <v>92.684904576973338</v>
      </c>
      <c r="I288" s="336">
        <v>23.171226144243334</v>
      </c>
      <c r="J288" s="336">
        <v>23.171226144243334</v>
      </c>
      <c r="K288" s="336">
        <v>23.171226144243334</v>
      </c>
      <c r="L288" s="336">
        <v>23.171226144243334</v>
      </c>
      <c r="M288" s="336"/>
    </row>
    <row r="289" spans="1:13" hidden="1" outlineLevel="2" x14ac:dyDescent="0.35">
      <c r="A289" s="335" t="s">
        <v>186</v>
      </c>
      <c r="B289" s="331">
        <v>44180</v>
      </c>
      <c r="C289" s="332" t="s">
        <v>514</v>
      </c>
      <c r="D289" s="332" t="s">
        <v>515</v>
      </c>
      <c r="E289" s="332" t="s">
        <v>476</v>
      </c>
      <c r="F289" s="336">
        <v>168066</v>
      </c>
      <c r="G289" s="330" t="s">
        <v>236</v>
      </c>
      <c r="H289" s="329">
        <v>156.14343309710713</v>
      </c>
      <c r="I289" s="336">
        <v>39.035858274276784</v>
      </c>
      <c r="J289" s="336">
        <v>39.035858274276784</v>
      </c>
      <c r="K289" s="336">
        <v>39.035858274276784</v>
      </c>
      <c r="L289" s="336">
        <v>39.035858274276784</v>
      </c>
      <c r="M289" s="336"/>
    </row>
    <row r="290" spans="1:13" hidden="1" outlineLevel="2" x14ac:dyDescent="0.35">
      <c r="A290" s="335" t="s">
        <v>186</v>
      </c>
      <c r="B290" s="331">
        <v>44181</v>
      </c>
      <c r="C290" s="332" t="s">
        <v>516</v>
      </c>
      <c r="D290" s="332" t="s">
        <v>517</v>
      </c>
      <c r="E290" s="332" t="s">
        <v>476</v>
      </c>
      <c r="F290" s="336">
        <v>82759</v>
      </c>
      <c r="G290" s="330" t="s">
        <v>236</v>
      </c>
      <c r="H290" s="329">
        <v>76.888093842201812</v>
      </c>
      <c r="I290" s="336">
        <v>19.222023460550453</v>
      </c>
      <c r="J290" s="336">
        <v>19.222023460550453</v>
      </c>
      <c r="K290" s="336">
        <v>19.222023460550453</v>
      </c>
      <c r="L290" s="336">
        <v>19.222023460550453</v>
      </c>
      <c r="M290" s="336"/>
    </row>
    <row r="291" spans="1:13" hidden="1" outlineLevel="2" x14ac:dyDescent="0.35">
      <c r="A291" s="335" t="s">
        <v>186</v>
      </c>
      <c r="B291" s="331">
        <v>44181</v>
      </c>
      <c r="C291" s="332" t="s">
        <v>328</v>
      </c>
      <c r="D291" s="332" t="s">
        <v>518</v>
      </c>
      <c r="E291" s="332" t="s">
        <v>476</v>
      </c>
      <c r="F291" s="336">
        <v>47893</v>
      </c>
      <c r="G291" s="330" t="s">
        <v>236</v>
      </c>
      <c r="H291" s="329">
        <v>44.495480592860851</v>
      </c>
      <c r="I291" s="336">
        <v>11.123870148215213</v>
      </c>
      <c r="J291" s="336">
        <v>11.123870148215213</v>
      </c>
      <c r="K291" s="336">
        <v>11.123870148215213</v>
      </c>
      <c r="L291" s="336">
        <v>11.123870148215213</v>
      </c>
      <c r="M291" s="336"/>
    </row>
    <row r="292" spans="1:13" hidden="1" outlineLevel="2" x14ac:dyDescent="0.35">
      <c r="A292" s="335" t="s">
        <v>186</v>
      </c>
      <c r="B292" s="331">
        <v>44216</v>
      </c>
      <c r="C292" s="332" t="s">
        <v>519</v>
      </c>
      <c r="D292" s="332" t="s">
        <v>520</v>
      </c>
      <c r="E292" s="332" t="s">
        <v>521</v>
      </c>
      <c r="F292" s="336">
        <v>167652</v>
      </c>
      <c r="G292" s="330" t="s">
        <v>236</v>
      </c>
      <c r="H292" s="329">
        <v>142.94596074968857</v>
      </c>
      <c r="I292" s="333">
        <v>35.736490187422142</v>
      </c>
      <c r="J292" s="333">
        <v>35.736490187422142</v>
      </c>
      <c r="K292" s="333">
        <v>35.736490187422142</v>
      </c>
      <c r="L292" s="333">
        <v>35.736490187422142</v>
      </c>
      <c r="M292" s="336"/>
    </row>
    <row r="293" spans="1:13" hidden="1" outlineLevel="2" x14ac:dyDescent="0.35">
      <c r="A293" s="335" t="s">
        <v>186</v>
      </c>
      <c r="B293" s="331">
        <v>44216</v>
      </c>
      <c r="C293" s="332" t="s">
        <v>522</v>
      </c>
      <c r="D293" s="332" t="s">
        <v>523</v>
      </c>
      <c r="E293" s="332" t="s">
        <v>521</v>
      </c>
      <c r="F293" s="336">
        <v>100176</v>
      </c>
      <c r="G293" s="330" t="s">
        <v>236</v>
      </c>
      <c r="H293" s="329">
        <v>85.413562403435691</v>
      </c>
      <c r="I293" s="333">
        <v>21.353390600858923</v>
      </c>
      <c r="J293" s="333">
        <v>21.353390600858923</v>
      </c>
      <c r="K293" s="333">
        <v>21.353390600858923</v>
      </c>
      <c r="L293" s="333">
        <v>21.353390600858923</v>
      </c>
      <c r="M293" s="336"/>
    </row>
    <row r="294" spans="1:13" hidden="1" outlineLevel="2" x14ac:dyDescent="0.35">
      <c r="A294" s="339" t="s">
        <v>186</v>
      </c>
      <c r="B294" s="331">
        <v>44217</v>
      </c>
      <c r="C294" s="332" t="s">
        <v>373</v>
      </c>
      <c r="D294" s="332" t="s">
        <v>524</v>
      </c>
      <c r="E294" s="332" t="s">
        <v>525</v>
      </c>
      <c r="F294" s="336">
        <v>175192</v>
      </c>
      <c r="G294" s="330" t="s">
        <v>236</v>
      </c>
      <c r="H294" s="329">
        <v>154.62747291342095</v>
      </c>
      <c r="I294" s="336">
        <v>38.656868228355236</v>
      </c>
      <c r="J294" s="336">
        <v>38.656868228355236</v>
      </c>
      <c r="K294" s="336">
        <v>38.656868228355236</v>
      </c>
      <c r="L294" s="336">
        <v>38.656868228355236</v>
      </c>
      <c r="M294" s="336"/>
    </row>
    <row r="295" spans="1:13" hidden="1" outlineLevel="2" x14ac:dyDescent="0.35">
      <c r="A295" s="339" t="s">
        <v>186</v>
      </c>
      <c r="B295" s="331">
        <v>44217</v>
      </c>
      <c r="C295" s="332" t="s">
        <v>376</v>
      </c>
      <c r="D295" s="332" t="s">
        <v>526</v>
      </c>
      <c r="E295" s="332" t="s">
        <v>525</v>
      </c>
      <c r="F295" s="336">
        <v>103348</v>
      </c>
      <c r="G295" s="330" t="s">
        <v>236</v>
      </c>
      <c r="H295" s="329">
        <v>91.21672262806652</v>
      </c>
      <c r="I295" s="336">
        <v>22.80418065701663</v>
      </c>
      <c r="J295" s="336">
        <v>22.80418065701663</v>
      </c>
      <c r="K295" s="336">
        <v>22.80418065701663</v>
      </c>
      <c r="L295" s="336">
        <v>22.80418065701663</v>
      </c>
      <c r="M295" s="336"/>
    </row>
    <row r="296" spans="1:13" hidden="1" outlineLevel="2" x14ac:dyDescent="0.35">
      <c r="A296" s="339" t="s">
        <v>186</v>
      </c>
      <c r="B296" s="331">
        <v>44249</v>
      </c>
      <c r="C296" s="332" t="s">
        <v>527</v>
      </c>
      <c r="D296" s="332" t="s">
        <v>528</v>
      </c>
      <c r="E296" s="332" t="s">
        <v>521</v>
      </c>
      <c r="F296" s="336">
        <v>168066</v>
      </c>
      <c r="G296" s="330" t="s">
        <v>236</v>
      </c>
      <c r="H296" s="329">
        <v>143.29895163408224</v>
      </c>
      <c r="I296" s="333">
        <v>35.824737908520561</v>
      </c>
      <c r="J296" s="333">
        <v>35.824737908520561</v>
      </c>
      <c r="K296" s="333">
        <v>35.824737908520561</v>
      </c>
      <c r="L296" s="333">
        <v>35.824737908520561</v>
      </c>
      <c r="M296" s="336"/>
    </row>
    <row r="297" spans="1:13" hidden="1" outlineLevel="2" x14ac:dyDescent="0.35">
      <c r="A297" s="339" t="s">
        <v>186</v>
      </c>
      <c r="B297" s="331">
        <v>44249</v>
      </c>
      <c r="C297" s="332" t="s">
        <v>529</v>
      </c>
      <c r="D297" s="332" t="s">
        <v>530</v>
      </c>
      <c r="E297" s="332" t="s">
        <v>521</v>
      </c>
      <c r="F297" s="336">
        <v>99762</v>
      </c>
      <c r="G297" s="330" t="s">
        <v>236</v>
      </c>
      <c r="H297" s="329">
        <v>85.060571519042</v>
      </c>
      <c r="I297" s="333">
        <v>21.2651428797605</v>
      </c>
      <c r="J297" s="333">
        <v>21.2651428797605</v>
      </c>
      <c r="K297" s="333">
        <v>21.2651428797605</v>
      </c>
      <c r="L297" s="333">
        <v>21.2651428797605</v>
      </c>
      <c r="M297" s="336"/>
    </row>
    <row r="298" spans="1:13" hidden="1" outlineLevel="2" x14ac:dyDescent="0.35">
      <c r="A298" s="339" t="s">
        <v>186</v>
      </c>
      <c r="B298" s="331">
        <v>44274</v>
      </c>
      <c r="C298" s="332" t="s">
        <v>531</v>
      </c>
      <c r="D298" s="332" t="s">
        <v>532</v>
      </c>
      <c r="E298" s="332" t="s">
        <v>521</v>
      </c>
      <c r="F298" s="336">
        <v>98762</v>
      </c>
      <c r="G298" s="330" t="s">
        <v>236</v>
      </c>
      <c r="H298" s="329">
        <v>84.207936532583815</v>
      </c>
      <c r="I298" s="333">
        <v>21.051984133145954</v>
      </c>
      <c r="J298" s="333">
        <v>21.051984133145954</v>
      </c>
      <c r="K298" s="333">
        <v>21.051984133145954</v>
      </c>
      <c r="L298" s="333">
        <v>21.051984133145954</v>
      </c>
      <c r="M298" s="336"/>
    </row>
    <row r="299" spans="1:13" hidden="1" outlineLevel="2" x14ac:dyDescent="0.35">
      <c r="A299" s="339" t="s">
        <v>186</v>
      </c>
      <c r="B299" s="331">
        <v>44274</v>
      </c>
      <c r="C299" s="332" t="s">
        <v>533</v>
      </c>
      <c r="D299" s="332" t="s">
        <v>534</v>
      </c>
      <c r="E299" s="332" t="s">
        <v>521</v>
      </c>
      <c r="F299" s="336">
        <v>169066</v>
      </c>
      <c r="G299" s="330" t="s">
        <v>236</v>
      </c>
      <c r="H299" s="329">
        <v>144.15158662054043</v>
      </c>
      <c r="I299" s="333">
        <v>36.037896655135107</v>
      </c>
      <c r="J299" s="333">
        <v>36.037896655135107</v>
      </c>
      <c r="K299" s="333">
        <v>36.037896655135107</v>
      </c>
      <c r="L299" s="333">
        <v>36.037896655135107</v>
      </c>
      <c r="M299" s="336"/>
    </row>
    <row r="300" spans="1:13" hidden="1" outlineLevel="2" x14ac:dyDescent="0.35">
      <c r="A300" s="339" t="s">
        <v>186</v>
      </c>
      <c r="B300" s="331">
        <v>44306</v>
      </c>
      <c r="C300" s="332" t="s">
        <v>408</v>
      </c>
      <c r="D300" s="332" t="s">
        <v>535</v>
      </c>
      <c r="E300" s="332" t="s">
        <v>521</v>
      </c>
      <c r="F300" s="336">
        <v>169066</v>
      </c>
      <c r="G300" s="330" t="s">
        <v>236</v>
      </c>
      <c r="H300" s="329">
        <v>144.15158662054043</v>
      </c>
      <c r="I300" s="333">
        <v>36.037896655135107</v>
      </c>
      <c r="J300" s="333">
        <v>36.037896655135107</v>
      </c>
      <c r="K300" s="333">
        <v>36.037896655135107</v>
      </c>
      <c r="L300" s="333">
        <v>36.037896655135107</v>
      </c>
      <c r="M300" s="336"/>
    </row>
    <row r="301" spans="1:13" hidden="1" outlineLevel="2" x14ac:dyDescent="0.35">
      <c r="A301" s="339" t="s">
        <v>186</v>
      </c>
      <c r="B301" s="331">
        <v>44306</v>
      </c>
      <c r="C301" s="332" t="s">
        <v>411</v>
      </c>
      <c r="D301" s="332" t="s">
        <v>536</v>
      </c>
      <c r="E301" s="332" t="s">
        <v>521</v>
      </c>
      <c r="F301" s="336">
        <v>98762</v>
      </c>
      <c r="G301" s="330" t="s">
        <v>236</v>
      </c>
      <c r="H301" s="329">
        <v>84.207936532583815</v>
      </c>
      <c r="I301" s="333">
        <v>21.051984133145954</v>
      </c>
      <c r="J301" s="333">
        <v>21.051984133145954</v>
      </c>
      <c r="K301" s="333">
        <v>21.051984133145954</v>
      </c>
      <c r="L301" s="333">
        <v>21.051984133145954</v>
      </c>
      <c r="M301" s="336"/>
    </row>
    <row r="302" spans="1:13" hidden="1" outlineLevel="2" x14ac:dyDescent="0.35">
      <c r="A302" s="339" t="s">
        <v>186</v>
      </c>
      <c r="B302" s="331">
        <v>44334</v>
      </c>
      <c r="C302" s="332" t="s">
        <v>413</v>
      </c>
      <c r="D302" s="332" t="s">
        <v>537</v>
      </c>
      <c r="E302" s="332" t="s">
        <v>521</v>
      </c>
      <c r="F302" s="336">
        <v>169066</v>
      </c>
      <c r="G302" s="330" t="s">
        <v>236</v>
      </c>
      <c r="H302" s="329">
        <v>144.15158662054043</v>
      </c>
      <c r="I302" s="333">
        <v>36.037896655135107</v>
      </c>
      <c r="J302" s="333">
        <v>36.037896655135107</v>
      </c>
      <c r="K302" s="333">
        <v>36.037896655135107</v>
      </c>
      <c r="L302" s="333">
        <v>36.037896655135107</v>
      </c>
      <c r="M302" s="336"/>
    </row>
    <row r="303" spans="1:13" hidden="1" outlineLevel="2" x14ac:dyDescent="0.35">
      <c r="A303" s="339" t="s">
        <v>186</v>
      </c>
      <c r="B303" s="331">
        <v>44334</v>
      </c>
      <c r="C303" s="332" t="s">
        <v>415</v>
      </c>
      <c r="D303" s="332" t="s">
        <v>538</v>
      </c>
      <c r="E303" s="332" t="s">
        <v>521</v>
      </c>
      <c r="F303" s="336">
        <v>98762</v>
      </c>
      <c r="G303" s="330" t="s">
        <v>236</v>
      </c>
      <c r="H303" s="329">
        <v>84.207936532583815</v>
      </c>
      <c r="I303" s="333">
        <v>21.051984133145954</v>
      </c>
      <c r="J303" s="333">
        <v>21.051984133145954</v>
      </c>
      <c r="K303" s="333">
        <v>21.051984133145954</v>
      </c>
      <c r="L303" s="333">
        <v>21.051984133145954</v>
      </c>
      <c r="M303" s="336"/>
    </row>
    <row r="304" spans="1:13" hidden="1" outlineLevel="2" x14ac:dyDescent="0.35">
      <c r="A304" s="339" t="s">
        <v>186</v>
      </c>
      <c r="B304" s="331">
        <v>44365</v>
      </c>
      <c r="C304" s="332" t="s">
        <v>417</v>
      </c>
      <c r="D304" s="332" t="s">
        <v>539</v>
      </c>
      <c r="E304" s="332" t="s">
        <v>521</v>
      </c>
      <c r="F304" s="336">
        <v>169066</v>
      </c>
      <c r="G304" s="330" t="s">
        <v>236</v>
      </c>
      <c r="H304" s="329">
        <v>144.15158662054043</v>
      </c>
      <c r="I304" s="333">
        <v>36.037896655135107</v>
      </c>
      <c r="J304" s="333">
        <v>36.037896655135107</v>
      </c>
      <c r="K304" s="333">
        <v>36.037896655135107</v>
      </c>
      <c r="L304" s="333">
        <v>36.037896655135107</v>
      </c>
      <c r="M304" s="336"/>
    </row>
    <row r="305" spans="1:13" hidden="1" outlineLevel="2" x14ac:dyDescent="0.35">
      <c r="A305" s="339" t="s">
        <v>186</v>
      </c>
      <c r="B305" s="331">
        <v>44365</v>
      </c>
      <c r="C305" s="332" t="s">
        <v>419</v>
      </c>
      <c r="D305" s="332" t="s">
        <v>540</v>
      </c>
      <c r="E305" s="332" t="s">
        <v>521</v>
      </c>
      <c r="F305" s="336">
        <v>82346</v>
      </c>
      <c r="G305" s="330" t="s">
        <v>236</v>
      </c>
      <c r="H305" s="329">
        <v>70.211080594886155</v>
      </c>
      <c r="I305" s="333">
        <v>17.552770148721539</v>
      </c>
      <c r="J305" s="333">
        <v>17.552770148721539</v>
      </c>
      <c r="K305" s="333">
        <v>17.552770148721539</v>
      </c>
      <c r="L305" s="333">
        <v>17.552770148721539</v>
      </c>
      <c r="M305" s="336"/>
    </row>
    <row r="306" spans="1:13" hidden="1" outlineLevel="2" x14ac:dyDescent="0.35">
      <c r="A306" s="339" t="s">
        <v>186</v>
      </c>
      <c r="B306" s="331">
        <v>44365</v>
      </c>
      <c r="C306" s="332" t="s">
        <v>421</v>
      </c>
      <c r="D306" s="332" t="s">
        <v>541</v>
      </c>
      <c r="E306" s="332" t="s">
        <v>521</v>
      </c>
      <c r="F306" s="336">
        <v>48307</v>
      </c>
      <c r="G306" s="330" t="s">
        <v>236</v>
      </c>
      <c r="H306" s="329">
        <v>41.188238290835805</v>
      </c>
      <c r="I306" s="333">
        <v>10.297059572708951</v>
      </c>
      <c r="J306" s="333">
        <v>10.297059572708951</v>
      </c>
      <c r="K306" s="333">
        <v>10.297059572708951</v>
      </c>
      <c r="L306" s="333">
        <v>10.297059572708951</v>
      </c>
      <c r="M306" s="336"/>
    </row>
    <row r="307" spans="1:13" hidden="1" outlineLevel="2" x14ac:dyDescent="0.35">
      <c r="A307" s="339" t="s">
        <v>186</v>
      </c>
      <c r="B307" s="331">
        <v>44365</v>
      </c>
      <c r="C307" s="332" t="s">
        <v>423</v>
      </c>
      <c r="D307" s="332" t="s">
        <v>542</v>
      </c>
      <c r="E307" s="332" t="s">
        <v>521</v>
      </c>
      <c r="F307" s="336">
        <v>98762</v>
      </c>
      <c r="G307" s="330" t="s">
        <v>236</v>
      </c>
      <c r="H307" s="329">
        <v>84.207936532583815</v>
      </c>
      <c r="I307" s="333">
        <v>21.051984133145954</v>
      </c>
      <c r="J307" s="333">
        <v>21.051984133145954</v>
      </c>
      <c r="K307" s="333">
        <v>21.051984133145954</v>
      </c>
      <c r="L307" s="333">
        <v>21.051984133145954</v>
      </c>
      <c r="M307" s="336"/>
    </row>
    <row r="308" spans="1:13" hidden="1" outlineLevel="2" x14ac:dyDescent="0.35">
      <c r="A308" s="339" t="s">
        <v>186</v>
      </c>
      <c r="B308" s="331">
        <v>44407</v>
      </c>
      <c r="C308" s="332" t="s">
        <v>378</v>
      </c>
      <c r="D308" s="332" t="s">
        <v>543</v>
      </c>
      <c r="E308" s="332" t="s">
        <v>521</v>
      </c>
      <c r="F308" s="336">
        <v>175192</v>
      </c>
      <c r="G308" s="330" t="s">
        <v>236</v>
      </c>
      <c r="H308" s="329">
        <v>149.37482854758332</v>
      </c>
      <c r="I308" s="333">
        <v>37.34370713689583</v>
      </c>
      <c r="J308" s="333">
        <v>37.34370713689583</v>
      </c>
      <c r="K308" s="333">
        <v>37.34370713689583</v>
      </c>
      <c r="L308" s="333">
        <v>37.34370713689583</v>
      </c>
      <c r="M308" s="336"/>
    </row>
    <row r="309" spans="1:13" hidden="1" outlineLevel="2" x14ac:dyDescent="0.35">
      <c r="A309" s="339" t="s">
        <v>186</v>
      </c>
      <c r="B309" s="331">
        <v>44407</v>
      </c>
      <c r="C309" s="332" t="s">
        <v>381</v>
      </c>
      <c r="D309" s="332" t="s">
        <v>544</v>
      </c>
      <c r="E309" s="332" t="s">
        <v>521</v>
      </c>
      <c r="F309" s="336">
        <v>103348</v>
      </c>
      <c r="G309" s="330" t="s">
        <v>236</v>
      </c>
      <c r="H309" s="329">
        <v>88.118120580481076</v>
      </c>
      <c r="I309" s="333">
        <v>22.029530145120269</v>
      </c>
      <c r="J309" s="333">
        <v>22.029530145120269</v>
      </c>
      <c r="K309" s="333">
        <v>22.029530145120269</v>
      </c>
      <c r="L309" s="333">
        <v>22.029530145120269</v>
      </c>
      <c r="M309" s="336"/>
    </row>
    <row r="310" spans="1:13" hidden="1" outlineLevel="2" x14ac:dyDescent="0.35">
      <c r="A310" s="339" t="s">
        <v>186</v>
      </c>
      <c r="B310" s="331">
        <v>44428</v>
      </c>
      <c r="C310" s="332" t="s">
        <v>384</v>
      </c>
      <c r="D310" s="332" t="s">
        <v>545</v>
      </c>
      <c r="E310" s="332" t="s">
        <v>521</v>
      </c>
      <c r="F310" s="336">
        <v>175192</v>
      </c>
      <c r="G310" s="330" t="s">
        <v>236</v>
      </c>
      <c r="H310" s="329">
        <v>149.37482854758332</v>
      </c>
      <c r="I310" s="333">
        <v>37.34370713689583</v>
      </c>
      <c r="J310" s="333">
        <v>37.34370713689583</v>
      </c>
      <c r="K310" s="333">
        <v>37.34370713689583</v>
      </c>
      <c r="L310" s="333">
        <v>37.34370713689583</v>
      </c>
      <c r="M310" s="336"/>
    </row>
    <row r="311" spans="1:13" hidden="1" outlineLevel="2" x14ac:dyDescent="0.35">
      <c r="A311" s="339" t="s">
        <v>186</v>
      </c>
      <c r="B311" s="331">
        <v>44428</v>
      </c>
      <c r="C311" s="332" t="s">
        <v>386</v>
      </c>
      <c r="D311" s="332" t="s">
        <v>546</v>
      </c>
      <c r="E311" s="332" t="s">
        <v>521</v>
      </c>
      <c r="F311" s="336">
        <v>103348</v>
      </c>
      <c r="G311" s="330" t="s">
        <v>236</v>
      </c>
      <c r="H311" s="329">
        <v>88.118120580481076</v>
      </c>
      <c r="I311" s="333">
        <v>22.029530145120269</v>
      </c>
      <c r="J311" s="333">
        <v>22.029530145120269</v>
      </c>
      <c r="K311" s="333">
        <v>22.029530145120269</v>
      </c>
      <c r="L311" s="333">
        <v>22.029530145120269</v>
      </c>
      <c r="M311" s="336"/>
    </row>
    <row r="312" spans="1:13" hidden="1" outlineLevel="2" x14ac:dyDescent="0.35">
      <c r="A312" s="339" t="s">
        <v>186</v>
      </c>
      <c r="B312" s="331">
        <v>44460</v>
      </c>
      <c r="C312" s="332" t="s">
        <v>388</v>
      </c>
      <c r="D312" s="332" t="s">
        <v>545</v>
      </c>
      <c r="E312" s="332" t="s">
        <v>521</v>
      </c>
      <c r="F312" s="336">
        <v>175192</v>
      </c>
      <c r="G312" s="330" t="s">
        <v>236</v>
      </c>
      <c r="H312" s="329">
        <v>149.37482854758332</v>
      </c>
      <c r="I312" s="333">
        <v>37.34370713689583</v>
      </c>
      <c r="J312" s="333">
        <v>37.34370713689583</v>
      </c>
      <c r="K312" s="333">
        <v>37.34370713689583</v>
      </c>
      <c r="L312" s="333">
        <v>37.34370713689583</v>
      </c>
      <c r="M312" s="336"/>
    </row>
    <row r="313" spans="1:13" hidden="1" outlineLevel="2" x14ac:dyDescent="0.35">
      <c r="A313" s="339" t="s">
        <v>186</v>
      </c>
      <c r="B313" s="331">
        <v>44460</v>
      </c>
      <c r="C313" s="332" t="s">
        <v>389</v>
      </c>
      <c r="D313" s="332" t="s">
        <v>546</v>
      </c>
      <c r="E313" s="332" t="s">
        <v>521</v>
      </c>
      <c r="F313" s="336">
        <v>103348</v>
      </c>
      <c r="G313" s="330" t="s">
        <v>236</v>
      </c>
      <c r="H313" s="329">
        <v>88.118120580481076</v>
      </c>
      <c r="I313" s="333">
        <v>22.029530145120269</v>
      </c>
      <c r="J313" s="333">
        <v>22.029530145120269</v>
      </c>
      <c r="K313" s="333">
        <v>22.029530145120269</v>
      </c>
      <c r="L313" s="333">
        <v>22.029530145120269</v>
      </c>
      <c r="M313" s="336"/>
    </row>
    <row r="314" spans="1:13" hidden="1" outlineLevel="2" x14ac:dyDescent="0.35">
      <c r="A314" s="339" t="s">
        <v>186</v>
      </c>
      <c r="B314" s="331">
        <v>44490</v>
      </c>
      <c r="C314" s="332" t="s">
        <v>390</v>
      </c>
      <c r="D314" s="332" t="s">
        <v>547</v>
      </c>
      <c r="E314" s="332" t="s">
        <v>548</v>
      </c>
      <c r="F314" s="336">
        <v>175192</v>
      </c>
      <c r="G314" s="330" t="s">
        <v>236</v>
      </c>
      <c r="H314" s="329">
        <v>149.37482854758332</v>
      </c>
      <c r="I314" s="333">
        <v>37.34370713689583</v>
      </c>
      <c r="J314" s="333">
        <v>37.34370713689583</v>
      </c>
      <c r="K314" s="333">
        <v>37.34370713689583</v>
      </c>
      <c r="L314" s="333">
        <v>37.34370713689583</v>
      </c>
      <c r="M314" s="336"/>
    </row>
    <row r="315" spans="1:13" hidden="1" outlineLevel="2" x14ac:dyDescent="0.35">
      <c r="A315" s="339" t="s">
        <v>186</v>
      </c>
      <c r="B315" s="331">
        <v>44498</v>
      </c>
      <c r="C315" s="332" t="s">
        <v>392</v>
      </c>
      <c r="D315" s="332" t="s">
        <v>549</v>
      </c>
      <c r="E315" s="332" t="s">
        <v>548</v>
      </c>
      <c r="F315" s="336">
        <v>103348</v>
      </c>
      <c r="G315" s="330" t="s">
        <v>236</v>
      </c>
      <c r="H315" s="329">
        <v>88.118120580481076</v>
      </c>
      <c r="I315" s="333">
        <v>22.029530145120269</v>
      </c>
      <c r="J315" s="333">
        <v>22.029530145120269</v>
      </c>
      <c r="K315" s="333">
        <v>22.029530145120269</v>
      </c>
      <c r="L315" s="333">
        <v>22.029530145120269</v>
      </c>
      <c r="M315" s="336"/>
    </row>
    <row r="316" spans="1:13" hidden="1" outlineLevel="2" x14ac:dyDescent="0.35">
      <c r="A316" s="339" t="s">
        <v>186</v>
      </c>
      <c r="B316" s="331">
        <v>44519</v>
      </c>
      <c r="C316" s="332" t="s">
        <v>394</v>
      </c>
      <c r="D316" s="332" t="s">
        <v>550</v>
      </c>
      <c r="E316" s="332" t="s">
        <v>548</v>
      </c>
      <c r="F316" s="336">
        <v>175192</v>
      </c>
      <c r="G316" s="330" t="s">
        <v>236</v>
      </c>
      <c r="H316" s="329">
        <v>149.37482854758332</v>
      </c>
      <c r="I316" s="333">
        <v>37.34370713689583</v>
      </c>
      <c r="J316" s="333">
        <v>37.34370713689583</v>
      </c>
      <c r="K316" s="333">
        <v>37.34370713689583</v>
      </c>
      <c r="L316" s="333">
        <v>37.34370713689583</v>
      </c>
      <c r="M316" s="336"/>
    </row>
    <row r="317" spans="1:13" hidden="1" outlineLevel="2" x14ac:dyDescent="0.35">
      <c r="A317" s="339" t="s">
        <v>186</v>
      </c>
      <c r="B317" s="331">
        <v>44519</v>
      </c>
      <c r="C317" s="332" t="s">
        <v>396</v>
      </c>
      <c r="D317" s="332" t="s">
        <v>551</v>
      </c>
      <c r="E317" s="332" t="s">
        <v>548</v>
      </c>
      <c r="F317" s="336">
        <v>103348</v>
      </c>
      <c r="G317" s="330" t="s">
        <v>236</v>
      </c>
      <c r="H317" s="329">
        <v>88.118120580481076</v>
      </c>
      <c r="I317" s="333">
        <v>22.029530145120269</v>
      </c>
      <c r="J317" s="333">
        <v>22.029530145120269</v>
      </c>
      <c r="K317" s="333">
        <v>22.029530145120269</v>
      </c>
      <c r="L317" s="333">
        <v>22.029530145120269</v>
      </c>
      <c r="M317" s="336"/>
    </row>
    <row r="318" spans="1:13" hidden="1" outlineLevel="2" x14ac:dyDescent="0.35">
      <c r="A318" s="339" t="s">
        <v>186</v>
      </c>
      <c r="B318" s="331">
        <v>44543</v>
      </c>
      <c r="C318" s="332" t="s">
        <v>398</v>
      </c>
      <c r="D318" s="332" t="s">
        <v>552</v>
      </c>
      <c r="E318" s="332" t="s">
        <v>553</v>
      </c>
      <c r="F318" s="336">
        <v>175192</v>
      </c>
      <c r="G318" s="330" t="s">
        <v>236</v>
      </c>
      <c r="H318" s="329">
        <v>149.37482854758332</v>
      </c>
      <c r="I318" s="333">
        <v>37.34370713689583</v>
      </c>
      <c r="J318" s="333">
        <v>37.34370713689583</v>
      </c>
      <c r="K318" s="333">
        <v>37.34370713689583</v>
      </c>
      <c r="L318" s="333">
        <v>37.34370713689583</v>
      </c>
      <c r="M318" s="336"/>
    </row>
    <row r="319" spans="1:13" hidden="1" outlineLevel="2" x14ac:dyDescent="0.35">
      <c r="A319" s="339" t="s">
        <v>186</v>
      </c>
      <c r="B319" s="331">
        <v>44543</v>
      </c>
      <c r="C319" s="332" t="s">
        <v>401</v>
      </c>
      <c r="D319" s="332" t="s">
        <v>554</v>
      </c>
      <c r="E319" s="332" t="s">
        <v>553</v>
      </c>
      <c r="F319" s="336">
        <v>85640</v>
      </c>
      <c r="G319" s="330" t="s">
        <v>236</v>
      </c>
      <c r="H319" s="329">
        <v>73.019660240279435</v>
      </c>
      <c r="I319" s="333">
        <v>18.254915060069859</v>
      </c>
      <c r="J319" s="333">
        <v>18.254915060069859</v>
      </c>
      <c r="K319" s="333">
        <v>18.254915060069859</v>
      </c>
      <c r="L319" s="333">
        <v>18.254915060069859</v>
      </c>
      <c r="M319" s="336"/>
    </row>
    <row r="320" spans="1:13" hidden="1" outlineLevel="2" x14ac:dyDescent="0.35">
      <c r="A320" s="339" t="s">
        <v>186</v>
      </c>
      <c r="B320" s="331">
        <v>44543</v>
      </c>
      <c r="C320" s="332" t="s">
        <v>403</v>
      </c>
      <c r="D320" s="332" t="s">
        <v>555</v>
      </c>
      <c r="E320" s="332" t="s">
        <v>553</v>
      </c>
      <c r="F320" s="336">
        <v>103348</v>
      </c>
      <c r="G320" s="330" t="s">
        <v>236</v>
      </c>
      <c r="H320" s="329">
        <v>88.118120580481076</v>
      </c>
      <c r="I320" s="333">
        <v>22.029530145120269</v>
      </c>
      <c r="J320" s="333">
        <v>22.029530145120269</v>
      </c>
      <c r="K320" s="333">
        <v>22.029530145120269</v>
      </c>
      <c r="L320" s="333">
        <v>22.029530145120269</v>
      </c>
      <c r="M320" s="336"/>
    </row>
    <row r="321" spans="1:13" hidden="1" outlineLevel="2" x14ac:dyDescent="0.35">
      <c r="A321" s="339" t="s">
        <v>186</v>
      </c>
      <c r="B321" s="331">
        <v>44543</v>
      </c>
      <c r="C321" s="332" t="s">
        <v>405</v>
      </c>
      <c r="D321" s="332" t="s">
        <v>556</v>
      </c>
      <c r="E321" s="332" t="s">
        <v>553</v>
      </c>
      <c r="F321" s="336">
        <v>50239</v>
      </c>
      <c r="G321" s="330" t="s">
        <v>236</v>
      </c>
      <c r="H321" s="329">
        <v>42.835529084673034</v>
      </c>
      <c r="I321" s="333">
        <v>10.708882271168259</v>
      </c>
      <c r="J321" s="333">
        <v>10.708882271168259</v>
      </c>
      <c r="K321" s="333">
        <v>10.708882271168259</v>
      </c>
      <c r="L321" s="333">
        <v>10.708882271168259</v>
      </c>
      <c r="M321" s="336"/>
    </row>
    <row r="322" spans="1:13" outlineLevel="1" collapsed="1" x14ac:dyDescent="0.35">
      <c r="A322" s="343" t="s">
        <v>557</v>
      </c>
      <c r="B322" s="331"/>
      <c r="C322" s="332"/>
      <c r="D322" s="332"/>
      <c r="E322" s="332"/>
      <c r="F322" s="336"/>
      <c r="G322" s="330"/>
      <c r="H322" s="329">
        <f t="shared" ref="H322:M322" si="5">SUBTOTAL(9,H268:H321)</f>
        <v>5917.4175748722309</v>
      </c>
      <c r="I322" s="333">
        <f t="shared" si="5"/>
        <v>1479.3543937180577</v>
      </c>
      <c r="J322" s="333">
        <f t="shared" si="5"/>
        <v>1479.3543937180577</v>
      </c>
      <c r="K322" s="333">
        <f t="shared" si="5"/>
        <v>1479.3543937180577</v>
      </c>
      <c r="L322" s="333">
        <f t="shared" si="5"/>
        <v>1479.3543937180577</v>
      </c>
      <c r="M322" s="336">
        <f t="shared" si="5"/>
        <v>0</v>
      </c>
    </row>
    <row r="323" spans="1:13" hidden="1" outlineLevel="2" x14ac:dyDescent="0.35">
      <c r="A323" s="339" t="s">
        <v>181</v>
      </c>
      <c r="B323" s="331">
        <v>44025</v>
      </c>
      <c r="C323" s="332" t="s">
        <v>558</v>
      </c>
      <c r="D323" s="332" t="s">
        <v>559</v>
      </c>
      <c r="E323" s="332" t="s">
        <v>560</v>
      </c>
      <c r="F323" s="336">
        <v>11730000</v>
      </c>
      <c r="G323" s="330" t="s">
        <v>236</v>
      </c>
      <c r="H323" s="329">
        <v>10897.876252359589</v>
      </c>
      <c r="I323" s="336"/>
      <c r="J323" s="336"/>
      <c r="K323" s="336"/>
      <c r="L323" s="336">
        <v>10897.876252359589</v>
      </c>
      <c r="M323" s="336"/>
    </row>
    <row r="324" spans="1:13" hidden="1" outlineLevel="2" x14ac:dyDescent="0.35">
      <c r="A324" s="339" t="s">
        <v>181</v>
      </c>
      <c r="B324" s="331">
        <v>44035</v>
      </c>
      <c r="C324" s="332" t="s">
        <v>561</v>
      </c>
      <c r="D324" s="332" t="s">
        <v>562</v>
      </c>
      <c r="E324" s="332" t="s">
        <v>560</v>
      </c>
      <c r="F324" s="336">
        <v>7569300</v>
      </c>
      <c r="G324" s="330" t="s">
        <v>236</v>
      </c>
      <c r="H324" s="329">
        <v>7032.335440493217</v>
      </c>
      <c r="I324" s="336"/>
      <c r="J324" s="336"/>
      <c r="K324" s="336"/>
      <c r="L324" s="336">
        <v>7032.335440493217</v>
      </c>
      <c r="M324" s="336"/>
    </row>
    <row r="325" spans="1:13" hidden="1" outlineLevel="2" x14ac:dyDescent="0.35">
      <c r="A325" s="339" t="s">
        <v>181</v>
      </c>
      <c r="B325" s="331">
        <v>44008</v>
      </c>
      <c r="C325" s="332" t="s">
        <v>563</v>
      </c>
      <c r="D325" s="332" t="s">
        <v>564</v>
      </c>
      <c r="E325" s="332" t="s">
        <v>565</v>
      </c>
      <c r="F325" s="336">
        <v>26693400</v>
      </c>
      <c r="G325" s="330" t="s">
        <v>236</v>
      </c>
      <c r="H325" s="329">
        <v>24799.775784717429</v>
      </c>
      <c r="I325" s="336"/>
      <c r="J325" s="336"/>
      <c r="K325" s="336"/>
      <c r="L325" s="336">
        <v>24799.775784717429</v>
      </c>
      <c r="M325" s="336"/>
    </row>
    <row r="326" spans="1:13" hidden="1" outlineLevel="2" x14ac:dyDescent="0.35">
      <c r="A326" s="339" t="s">
        <v>181</v>
      </c>
      <c r="B326" s="331">
        <v>44008</v>
      </c>
      <c r="C326" s="332" t="s">
        <v>566</v>
      </c>
      <c r="D326" s="332" t="s">
        <v>567</v>
      </c>
      <c r="E326" s="332" t="s">
        <v>568</v>
      </c>
      <c r="F326" s="336">
        <v>2408900</v>
      </c>
      <c r="G326" s="330" t="s">
        <v>236</v>
      </c>
      <c r="H326" s="329">
        <v>2238.0131376222516</v>
      </c>
      <c r="I326" s="336"/>
      <c r="J326" s="336"/>
      <c r="K326" s="336"/>
      <c r="L326" s="336">
        <v>2238.0131376222516</v>
      </c>
      <c r="M326" s="336"/>
    </row>
    <row r="327" spans="1:13" hidden="1" outlineLevel="2" x14ac:dyDescent="0.35">
      <c r="A327" s="339" t="s">
        <v>181</v>
      </c>
      <c r="B327" s="331">
        <v>44048</v>
      </c>
      <c r="C327" s="332" t="s">
        <v>569</v>
      </c>
      <c r="D327" s="332" t="s">
        <v>570</v>
      </c>
      <c r="E327" s="332" t="s">
        <v>565</v>
      </c>
      <c r="F327" s="336">
        <v>1645500</v>
      </c>
      <c r="G327" s="330" t="s">
        <v>236</v>
      </c>
      <c r="H327" s="329">
        <v>1528.7685740202646</v>
      </c>
      <c r="I327" s="336"/>
      <c r="J327" s="336"/>
      <c r="K327" s="336"/>
      <c r="L327" s="336">
        <v>1528.7685740202646</v>
      </c>
      <c r="M327" s="336"/>
    </row>
    <row r="328" spans="1:13" hidden="1" outlineLevel="2" x14ac:dyDescent="0.35">
      <c r="A328" s="339" t="s">
        <v>181</v>
      </c>
      <c r="B328" s="331">
        <v>44048</v>
      </c>
      <c r="C328" s="332" t="s">
        <v>571</v>
      </c>
      <c r="D328" s="332" t="s">
        <v>572</v>
      </c>
      <c r="E328" s="332" t="s">
        <v>565</v>
      </c>
      <c r="F328" s="336">
        <v>17225094</v>
      </c>
      <c r="G328" s="330" t="s">
        <v>236</v>
      </c>
      <c r="H328" s="329">
        <v>16003.149432844129</v>
      </c>
      <c r="I328" s="336"/>
      <c r="J328" s="336"/>
      <c r="K328" s="336"/>
      <c r="L328" s="336">
        <v>16003.149432844129</v>
      </c>
      <c r="M328" s="336"/>
    </row>
    <row r="329" spans="1:13" hidden="1" outlineLevel="2" x14ac:dyDescent="0.35">
      <c r="A329" s="339" t="s">
        <v>181</v>
      </c>
      <c r="B329" s="331">
        <v>44025</v>
      </c>
      <c r="C329" s="332" t="s">
        <v>573</v>
      </c>
      <c r="D329" s="332" t="s">
        <v>574</v>
      </c>
      <c r="E329" s="332" t="s">
        <v>436</v>
      </c>
      <c r="F329" s="336">
        <v>47733200</v>
      </c>
      <c r="G329" s="330" t="s">
        <v>236</v>
      </c>
      <c r="H329" s="329">
        <v>44347.016771451898</v>
      </c>
      <c r="I329" s="336"/>
      <c r="J329" s="336"/>
      <c r="K329" s="336"/>
      <c r="L329" s="336">
        <v>44347.016771451898</v>
      </c>
      <c r="M329" s="336"/>
    </row>
    <row r="330" spans="1:13" hidden="1" outlineLevel="2" x14ac:dyDescent="0.35">
      <c r="A330" s="339" t="s">
        <v>181</v>
      </c>
      <c r="B330" s="331">
        <v>44025</v>
      </c>
      <c r="C330" s="332" t="s">
        <v>575</v>
      </c>
      <c r="D330" s="332" t="s">
        <v>576</v>
      </c>
      <c r="E330" s="332" t="s">
        <v>436</v>
      </c>
      <c r="F330" s="336">
        <v>17265200</v>
      </c>
      <c r="G330" s="330" t="s">
        <v>236</v>
      </c>
      <c r="H330" s="329">
        <v>16040.410321588983</v>
      </c>
      <c r="I330" s="336"/>
      <c r="J330" s="336"/>
      <c r="K330" s="336"/>
      <c r="L330" s="336">
        <v>16040.410321588983</v>
      </c>
      <c r="M330" s="336"/>
    </row>
    <row r="331" spans="1:13" hidden="1" outlineLevel="2" x14ac:dyDescent="0.35">
      <c r="A331" s="339" t="s">
        <v>181</v>
      </c>
      <c r="B331" s="331">
        <v>44025</v>
      </c>
      <c r="C331" s="332" t="s">
        <v>577</v>
      </c>
      <c r="D331" s="332" t="s">
        <v>578</v>
      </c>
      <c r="E331" s="332" t="s">
        <v>436</v>
      </c>
      <c r="F331" s="336">
        <v>120000</v>
      </c>
      <c r="G331" s="330" t="s">
        <v>236</v>
      </c>
      <c r="H331" s="329">
        <v>111.48722508807764</v>
      </c>
      <c r="I331" s="336"/>
      <c r="J331" s="336"/>
      <c r="K331" s="336"/>
      <c r="L331" s="336">
        <v>111.48722508807764</v>
      </c>
      <c r="M331" s="336"/>
    </row>
    <row r="332" spans="1:13" hidden="1" outlineLevel="2" x14ac:dyDescent="0.35">
      <c r="A332" s="339" t="s">
        <v>181</v>
      </c>
      <c r="B332" s="331">
        <v>44025</v>
      </c>
      <c r="C332" s="332" t="s">
        <v>579</v>
      </c>
      <c r="D332" s="332" t="s">
        <v>580</v>
      </c>
      <c r="E332" s="332" t="s">
        <v>436</v>
      </c>
      <c r="F332" s="336">
        <v>75000</v>
      </c>
      <c r="G332" s="330" t="s">
        <v>236</v>
      </c>
      <c r="H332" s="329">
        <v>69.679515680048524</v>
      </c>
      <c r="I332" s="336"/>
      <c r="J332" s="336"/>
      <c r="K332" s="336"/>
      <c r="L332" s="336">
        <v>69.679515680048524</v>
      </c>
      <c r="M332" s="336"/>
    </row>
    <row r="333" spans="1:13" hidden="1" outlineLevel="2" x14ac:dyDescent="0.35">
      <c r="A333" s="339" t="s">
        <v>181</v>
      </c>
      <c r="B333" s="331">
        <v>44025</v>
      </c>
      <c r="C333" s="332" t="s">
        <v>581</v>
      </c>
      <c r="D333" s="332" t="s">
        <v>582</v>
      </c>
      <c r="E333" s="332" t="s">
        <v>436</v>
      </c>
      <c r="F333" s="336">
        <v>330000</v>
      </c>
      <c r="G333" s="330" t="s">
        <v>236</v>
      </c>
      <c r="H333" s="329">
        <v>306.5898689922135</v>
      </c>
      <c r="I333" s="336"/>
      <c r="J333" s="336"/>
      <c r="K333" s="336"/>
      <c r="L333" s="336">
        <v>306.5898689922135</v>
      </c>
      <c r="M333" s="336"/>
    </row>
    <row r="334" spans="1:13" hidden="1" outlineLevel="2" x14ac:dyDescent="0.35">
      <c r="A334" s="339" t="s">
        <v>181</v>
      </c>
      <c r="B334" s="331">
        <v>44025</v>
      </c>
      <c r="C334" s="332" t="s">
        <v>583</v>
      </c>
      <c r="D334" s="332" t="s">
        <v>584</v>
      </c>
      <c r="E334" s="332" t="s">
        <v>436</v>
      </c>
      <c r="F334" s="336">
        <v>105000</v>
      </c>
      <c r="G334" s="330" t="s">
        <v>236</v>
      </c>
      <c r="H334" s="329">
        <v>97.551321952067923</v>
      </c>
      <c r="I334" s="336"/>
      <c r="J334" s="336"/>
      <c r="K334" s="336"/>
      <c r="L334" s="336">
        <v>97.551321952067923</v>
      </c>
      <c r="M334" s="336"/>
    </row>
    <row r="335" spans="1:13" hidden="1" outlineLevel="2" x14ac:dyDescent="0.35">
      <c r="A335" s="339" t="s">
        <v>181</v>
      </c>
      <c r="B335" s="331">
        <v>44025</v>
      </c>
      <c r="C335" s="332" t="s">
        <v>585</v>
      </c>
      <c r="D335" s="332" t="s">
        <v>586</v>
      </c>
      <c r="E335" s="332" t="s">
        <v>436</v>
      </c>
      <c r="F335" s="336">
        <v>465000</v>
      </c>
      <c r="G335" s="330" t="s">
        <v>236</v>
      </c>
      <c r="H335" s="329">
        <v>432.01299721630085</v>
      </c>
      <c r="I335" s="336"/>
      <c r="J335" s="336"/>
      <c r="K335" s="336"/>
      <c r="L335" s="336">
        <v>432.01299721630085</v>
      </c>
      <c r="M335" s="336"/>
    </row>
    <row r="336" spans="1:13" hidden="1" outlineLevel="2" x14ac:dyDescent="0.35">
      <c r="A336" s="339" t="s">
        <v>181</v>
      </c>
      <c r="B336" s="331">
        <v>44025</v>
      </c>
      <c r="C336" s="332" t="s">
        <v>587</v>
      </c>
      <c r="D336" s="332" t="s">
        <v>588</v>
      </c>
      <c r="E336" s="332" t="s">
        <v>436</v>
      </c>
      <c r="F336" s="336">
        <v>45000</v>
      </c>
      <c r="G336" s="330" t="s">
        <v>236</v>
      </c>
      <c r="H336" s="329">
        <v>41.807709408029112</v>
      </c>
      <c r="I336" s="336"/>
      <c r="J336" s="336"/>
      <c r="K336" s="336"/>
      <c r="L336" s="336">
        <v>41.807709408029112</v>
      </c>
      <c r="M336" s="336"/>
    </row>
    <row r="337" spans="1:13" hidden="1" outlineLevel="2" x14ac:dyDescent="0.35">
      <c r="A337" s="339" t="s">
        <v>181</v>
      </c>
      <c r="B337" s="331">
        <v>44025</v>
      </c>
      <c r="C337" s="332" t="s">
        <v>384</v>
      </c>
      <c r="D337" s="332" t="s">
        <v>589</v>
      </c>
      <c r="E337" s="332" t="s">
        <v>436</v>
      </c>
      <c r="F337" s="336">
        <v>3525000</v>
      </c>
      <c r="G337" s="330" t="s">
        <v>236</v>
      </c>
      <c r="H337" s="329">
        <v>3274.9372369622806</v>
      </c>
      <c r="I337" s="336"/>
      <c r="J337" s="336"/>
      <c r="K337" s="336"/>
      <c r="L337" s="336">
        <v>3274.9372369622806</v>
      </c>
      <c r="M337" s="336"/>
    </row>
    <row r="338" spans="1:13" hidden="1" outlineLevel="2" x14ac:dyDescent="0.35">
      <c r="A338" s="339" t="s">
        <v>181</v>
      </c>
      <c r="B338" s="331">
        <v>44025</v>
      </c>
      <c r="C338" s="332" t="s">
        <v>579</v>
      </c>
      <c r="D338" s="332" t="s">
        <v>580</v>
      </c>
      <c r="E338" s="332" t="s">
        <v>436</v>
      </c>
      <c r="F338" s="336">
        <v>75000</v>
      </c>
      <c r="G338" s="330" t="s">
        <v>236</v>
      </c>
      <c r="H338" s="329">
        <v>69.679515680048524</v>
      </c>
      <c r="I338" s="336"/>
      <c r="J338" s="336"/>
      <c r="K338" s="336"/>
      <c r="L338" s="336">
        <v>69.679515680048524</v>
      </c>
      <c r="M338" s="336"/>
    </row>
    <row r="339" spans="1:13" hidden="1" outlineLevel="2" x14ac:dyDescent="0.35">
      <c r="A339" s="339" t="s">
        <v>181</v>
      </c>
      <c r="B339" s="331">
        <v>44039</v>
      </c>
      <c r="C339" s="332" t="s">
        <v>587</v>
      </c>
      <c r="D339" s="332" t="s">
        <v>588</v>
      </c>
      <c r="E339" s="332" t="s">
        <v>436</v>
      </c>
      <c r="F339" s="336">
        <v>-45000</v>
      </c>
      <c r="G339" s="330" t="s">
        <v>236</v>
      </c>
      <c r="H339" s="329">
        <v>-41.807709408029112</v>
      </c>
      <c r="I339" s="336"/>
      <c r="J339" s="336"/>
      <c r="K339" s="336"/>
      <c r="L339" s="336">
        <v>-41.807709408029112</v>
      </c>
      <c r="M339" s="336"/>
    </row>
    <row r="340" spans="1:13" hidden="1" outlineLevel="2" x14ac:dyDescent="0.35">
      <c r="A340" s="339" t="s">
        <v>181</v>
      </c>
      <c r="B340" s="331">
        <v>44039</v>
      </c>
      <c r="C340" s="332" t="s">
        <v>587</v>
      </c>
      <c r="D340" s="332" t="s">
        <v>588</v>
      </c>
      <c r="E340" s="332" t="s">
        <v>436</v>
      </c>
      <c r="F340" s="336">
        <v>-75000</v>
      </c>
      <c r="G340" s="330" t="s">
        <v>236</v>
      </c>
      <c r="H340" s="329">
        <v>-69.679515680048524</v>
      </c>
      <c r="I340" s="336"/>
      <c r="J340" s="336"/>
      <c r="K340" s="336"/>
      <c r="L340" s="336">
        <v>-69.679515680048524</v>
      </c>
      <c r="M340" s="336"/>
    </row>
    <row r="341" spans="1:13" hidden="1" outlineLevel="2" x14ac:dyDescent="0.35">
      <c r="A341" s="339" t="s">
        <v>181</v>
      </c>
      <c r="B341" s="331">
        <v>44033</v>
      </c>
      <c r="C341" s="332" t="s">
        <v>590</v>
      </c>
      <c r="D341" s="332" t="s">
        <v>591</v>
      </c>
      <c r="E341" s="332" t="s">
        <v>436</v>
      </c>
      <c r="F341" s="336">
        <v>168000</v>
      </c>
      <c r="G341" s="330" t="s">
        <v>236</v>
      </c>
      <c r="H341" s="329">
        <v>156.08211512330868</v>
      </c>
      <c r="I341" s="336"/>
      <c r="J341" s="336"/>
      <c r="K341" s="336"/>
      <c r="L341" s="336">
        <v>156.08211512330868</v>
      </c>
      <c r="M341" s="336"/>
    </row>
    <row r="342" spans="1:13" hidden="1" outlineLevel="2" x14ac:dyDescent="0.35">
      <c r="A342" s="339" t="s">
        <v>181</v>
      </c>
      <c r="B342" s="331">
        <v>44033</v>
      </c>
      <c r="C342" s="332" t="s">
        <v>592</v>
      </c>
      <c r="D342" s="332" t="s">
        <v>593</v>
      </c>
      <c r="E342" s="332" t="s">
        <v>436</v>
      </c>
      <c r="F342" s="336">
        <v>150000</v>
      </c>
      <c r="G342" s="330" t="s">
        <v>236</v>
      </c>
      <c r="H342" s="329">
        <v>139.35903136009705</v>
      </c>
      <c r="I342" s="336"/>
      <c r="J342" s="336"/>
      <c r="K342" s="336"/>
      <c r="L342" s="336">
        <v>139.35903136009705</v>
      </c>
      <c r="M342" s="336"/>
    </row>
    <row r="343" spans="1:13" hidden="1" outlineLevel="2" x14ac:dyDescent="0.35">
      <c r="A343" s="339" t="s">
        <v>181</v>
      </c>
      <c r="B343" s="331">
        <v>44034</v>
      </c>
      <c r="C343" s="332" t="s">
        <v>594</v>
      </c>
      <c r="D343" s="332" t="s">
        <v>595</v>
      </c>
      <c r="E343" s="332" t="s">
        <v>436</v>
      </c>
      <c r="F343" s="336">
        <v>225000</v>
      </c>
      <c r="G343" s="330" t="s">
        <v>236</v>
      </c>
      <c r="H343" s="329">
        <v>209.03854704014557</v>
      </c>
      <c r="I343" s="336"/>
      <c r="J343" s="336"/>
      <c r="K343" s="336"/>
      <c r="L343" s="336">
        <v>209.03854704014557</v>
      </c>
      <c r="M343" s="336"/>
    </row>
    <row r="344" spans="1:13" hidden="1" outlineLevel="2" x14ac:dyDescent="0.35">
      <c r="A344" s="339" t="s">
        <v>181</v>
      </c>
      <c r="B344" s="331">
        <v>44057</v>
      </c>
      <c r="C344" s="332" t="s">
        <v>596</v>
      </c>
      <c r="D344" s="332" t="s">
        <v>597</v>
      </c>
      <c r="E344" s="332" t="s">
        <v>436</v>
      </c>
      <c r="F344" s="336">
        <v>-3525000</v>
      </c>
      <c r="G344" s="330" t="s">
        <v>236</v>
      </c>
      <c r="H344" s="329">
        <v>-3274.9372369622806</v>
      </c>
      <c r="I344" s="336"/>
      <c r="J344" s="336"/>
      <c r="K344" s="336"/>
      <c r="L344" s="336">
        <v>-3274.9372369622806</v>
      </c>
      <c r="M344" s="336"/>
    </row>
    <row r="345" spans="1:13" hidden="1" outlineLevel="2" x14ac:dyDescent="0.35">
      <c r="A345" s="339" t="s">
        <v>181</v>
      </c>
      <c r="B345" s="331">
        <v>44063</v>
      </c>
      <c r="C345" s="332" t="s">
        <v>598</v>
      </c>
      <c r="D345" s="332" t="s">
        <v>599</v>
      </c>
      <c r="E345" s="332" t="s">
        <v>600</v>
      </c>
      <c r="F345" s="336">
        <v>3525000</v>
      </c>
      <c r="G345" s="330" t="s">
        <v>236</v>
      </c>
      <c r="H345" s="329">
        <v>3274.9372369622806</v>
      </c>
      <c r="I345" s="336"/>
      <c r="J345" s="336"/>
      <c r="K345" s="336"/>
      <c r="L345" s="336">
        <v>3274.9372369622806</v>
      </c>
      <c r="M345" s="336"/>
    </row>
    <row r="346" spans="1:13" hidden="1" outlineLevel="2" x14ac:dyDescent="0.35">
      <c r="A346" s="339" t="s">
        <v>181</v>
      </c>
      <c r="B346" s="331">
        <v>44063</v>
      </c>
      <c r="C346" s="332" t="s">
        <v>601</v>
      </c>
      <c r="D346" s="332" t="s">
        <v>602</v>
      </c>
      <c r="E346" s="332" t="s">
        <v>436</v>
      </c>
      <c r="F346" s="336">
        <v>75000</v>
      </c>
      <c r="G346" s="330" t="s">
        <v>236</v>
      </c>
      <c r="H346" s="329">
        <v>69.679515680048524</v>
      </c>
      <c r="I346" s="336"/>
      <c r="J346" s="336"/>
      <c r="K346" s="336"/>
      <c r="L346" s="336">
        <v>69.679515680048524</v>
      </c>
      <c r="M346" s="336"/>
    </row>
    <row r="347" spans="1:13" hidden="1" outlineLevel="2" x14ac:dyDescent="0.35">
      <c r="A347" s="339" t="s">
        <v>181</v>
      </c>
      <c r="B347" s="331">
        <v>44063</v>
      </c>
      <c r="C347" s="332" t="s">
        <v>388</v>
      </c>
      <c r="D347" s="332" t="s">
        <v>603</v>
      </c>
      <c r="E347" s="332" t="s">
        <v>436</v>
      </c>
      <c r="F347" s="336">
        <v>45000</v>
      </c>
      <c r="G347" s="330" t="s">
        <v>236</v>
      </c>
      <c r="H347" s="329">
        <v>41.807709408029112</v>
      </c>
      <c r="I347" s="336"/>
      <c r="J347" s="336"/>
      <c r="K347" s="336"/>
      <c r="L347" s="336">
        <v>41.807709408029112</v>
      </c>
      <c r="M347" s="336"/>
    </row>
    <row r="348" spans="1:13" hidden="1" outlineLevel="2" x14ac:dyDescent="0.35">
      <c r="A348" s="339" t="s">
        <v>181</v>
      </c>
      <c r="B348" s="331">
        <v>44330</v>
      </c>
      <c r="C348" s="332" t="s">
        <v>604</v>
      </c>
      <c r="D348" s="332" t="s">
        <v>605</v>
      </c>
      <c r="E348" s="332" t="s">
        <v>606</v>
      </c>
      <c r="F348" s="336">
        <v>17608906</v>
      </c>
      <c r="G348" s="330" t="s">
        <v>236</v>
      </c>
      <c r="H348" s="329">
        <v>15013.969328853549</v>
      </c>
      <c r="I348" s="336"/>
      <c r="J348" s="336"/>
      <c r="K348" s="336"/>
      <c r="L348" s="336">
        <v>15013.969328853549</v>
      </c>
      <c r="M348" s="336"/>
    </row>
    <row r="349" spans="1:13" hidden="1" outlineLevel="2" x14ac:dyDescent="0.35">
      <c r="A349" s="339" t="s">
        <v>181</v>
      </c>
      <c r="B349" s="331">
        <v>44333</v>
      </c>
      <c r="C349" s="332" t="s">
        <v>607</v>
      </c>
      <c r="D349" s="332" t="s">
        <v>608</v>
      </c>
      <c r="E349" s="332" t="s">
        <v>609</v>
      </c>
      <c r="F349" s="336">
        <v>308000</v>
      </c>
      <c r="G349" s="330" t="s">
        <v>236</v>
      </c>
      <c r="H349" s="329">
        <v>262.61157582912267</v>
      </c>
      <c r="I349" s="336"/>
      <c r="J349" s="336"/>
      <c r="K349" s="336"/>
      <c r="L349" s="336">
        <v>262.61157582912267</v>
      </c>
      <c r="M349" s="336"/>
    </row>
    <row r="350" spans="1:13" hidden="1" outlineLevel="2" x14ac:dyDescent="0.35">
      <c r="A350" s="339" t="s">
        <v>181</v>
      </c>
      <c r="B350" s="331">
        <v>44336</v>
      </c>
      <c r="C350" s="332" t="s">
        <v>610</v>
      </c>
      <c r="D350" s="332" t="s">
        <v>611</v>
      </c>
      <c r="E350" s="332" t="s">
        <v>606</v>
      </c>
      <c r="F350" s="336">
        <v>26010739</v>
      </c>
      <c r="G350" s="330" t="s">
        <v>236</v>
      </c>
      <c r="H350" s="329">
        <v>22177.666095032528</v>
      </c>
      <c r="I350" s="336"/>
      <c r="J350" s="336"/>
      <c r="K350" s="336"/>
      <c r="L350" s="336">
        <v>22177.666095032528</v>
      </c>
      <c r="M350" s="336"/>
    </row>
    <row r="351" spans="1:13" hidden="1" outlineLevel="2" x14ac:dyDescent="0.35">
      <c r="A351" s="339" t="s">
        <v>181</v>
      </c>
      <c r="B351" s="331">
        <v>44350</v>
      </c>
      <c r="C351" s="332" t="s">
        <v>432</v>
      </c>
      <c r="D351" s="332" t="s">
        <v>612</v>
      </c>
      <c r="E351" s="332" t="s">
        <v>613</v>
      </c>
      <c r="F351" s="336">
        <v>30000</v>
      </c>
      <c r="G351" s="330" t="s">
        <v>236</v>
      </c>
      <c r="H351" s="329">
        <v>25.579049593745715</v>
      </c>
      <c r="I351" s="336"/>
      <c r="J351" s="336"/>
      <c r="K351" s="336"/>
      <c r="L351" s="336">
        <v>25.579049593745715</v>
      </c>
      <c r="M351" s="336"/>
    </row>
    <row r="352" spans="1:13" hidden="1" outlineLevel="2" x14ac:dyDescent="0.35">
      <c r="A352" s="339" t="s">
        <v>181</v>
      </c>
      <c r="B352" s="331">
        <v>44348</v>
      </c>
      <c r="C352" s="332" t="s">
        <v>614</v>
      </c>
      <c r="D352" s="332" t="s">
        <v>615</v>
      </c>
      <c r="E352" s="332" t="s">
        <v>616</v>
      </c>
      <c r="F352" s="336">
        <v>250000</v>
      </c>
      <c r="G352" s="330" t="s">
        <v>236</v>
      </c>
      <c r="H352" s="329">
        <v>213.15874661454762</v>
      </c>
      <c r="I352" s="336"/>
      <c r="J352" s="336"/>
      <c r="K352" s="336"/>
      <c r="L352" s="336">
        <v>213.15874661454762</v>
      </c>
      <c r="M352" s="336"/>
    </row>
    <row r="353" spans="1:13" hidden="1" outlineLevel="2" x14ac:dyDescent="0.35">
      <c r="A353" s="339" t="s">
        <v>181</v>
      </c>
      <c r="B353" s="331" t="s">
        <v>617</v>
      </c>
      <c r="C353" s="332" t="s">
        <v>618</v>
      </c>
      <c r="D353" s="332" t="s">
        <v>619</v>
      </c>
      <c r="E353" s="332" t="s">
        <v>620</v>
      </c>
      <c r="F353" s="336">
        <v>175000</v>
      </c>
      <c r="G353" s="330" t="s">
        <v>236</v>
      </c>
      <c r="H353" s="329">
        <v>149.21112263018333</v>
      </c>
      <c r="I353" s="336"/>
      <c r="J353" s="336"/>
      <c r="K353" s="336"/>
      <c r="L353" s="336">
        <v>149.21112263018333</v>
      </c>
      <c r="M353" s="336"/>
    </row>
    <row r="354" spans="1:13" outlineLevel="1" collapsed="1" x14ac:dyDescent="0.35">
      <c r="A354" s="343" t="s">
        <v>621</v>
      </c>
      <c r="B354" s="331"/>
      <c r="C354" s="332"/>
      <c r="D354" s="332"/>
      <c r="E354" s="332"/>
      <c r="F354" s="336"/>
      <c r="G354" s="330"/>
      <c r="H354" s="329">
        <f t="shared" ref="H354:M354" si="6">SUBTOTAL(9,H323:H353)</f>
        <v>165637.7667181541</v>
      </c>
      <c r="I354" s="336">
        <f t="shared" si="6"/>
        <v>0</v>
      </c>
      <c r="J354" s="336">
        <f t="shared" si="6"/>
        <v>0</v>
      </c>
      <c r="K354" s="336">
        <f t="shared" si="6"/>
        <v>0</v>
      </c>
      <c r="L354" s="336">
        <f t="shared" si="6"/>
        <v>165637.7667181541</v>
      </c>
      <c r="M354" s="336">
        <f t="shared" si="6"/>
        <v>0</v>
      </c>
    </row>
    <row r="355" spans="1:13" hidden="1" outlineLevel="2" x14ac:dyDescent="0.35">
      <c r="A355" s="326" t="s">
        <v>61</v>
      </c>
      <c r="B355" s="331">
        <v>43823</v>
      </c>
      <c r="C355" s="332" t="s">
        <v>413</v>
      </c>
      <c r="D355" s="332" t="s">
        <v>622</v>
      </c>
      <c r="E355" s="332" t="s">
        <v>623</v>
      </c>
      <c r="F355" s="336">
        <v>2959000</v>
      </c>
      <c r="G355" s="330" t="s">
        <v>236</v>
      </c>
      <c r="H355" s="329">
        <v>2913.2758587659519</v>
      </c>
      <c r="I355" s="336">
        <v>2913.2758587659519</v>
      </c>
      <c r="J355" s="336"/>
      <c r="K355" s="336"/>
      <c r="L355" s="336"/>
      <c r="M355" s="336"/>
    </row>
    <row r="356" spans="1:13" hidden="1" outlineLevel="2" x14ac:dyDescent="0.35">
      <c r="A356" s="326" t="s">
        <v>61</v>
      </c>
      <c r="B356" s="331">
        <v>44477</v>
      </c>
      <c r="C356" s="332" t="s">
        <v>624</v>
      </c>
      <c r="D356" s="332" t="s">
        <v>625</v>
      </c>
      <c r="E356" s="332" t="s">
        <v>626</v>
      </c>
      <c r="F356" s="336">
        <v>52000</v>
      </c>
      <c r="G356" s="330" t="s">
        <v>236</v>
      </c>
      <c r="H356" s="329">
        <v>44.337019295825904</v>
      </c>
      <c r="I356" s="336">
        <v>44.337019295825904</v>
      </c>
      <c r="J356" s="336"/>
      <c r="K356" s="336"/>
      <c r="L356" s="336"/>
      <c r="M356" s="336"/>
    </row>
    <row r="357" spans="1:13" hidden="1" outlineLevel="2" x14ac:dyDescent="0.35">
      <c r="A357" s="326" t="s">
        <v>61</v>
      </c>
      <c r="B357" s="331">
        <v>44474</v>
      </c>
      <c r="C357" s="332" t="s">
        <v>624</v>
      </c>
      <c r="D357" s="332" t="s">
        <v>625</v>
      </c>
      <c r="E357" s="332" t="s">
        <v>626</v>
      </c>
      <c r="F357" s="336">
        <v>15436</v>
      </c>
      <c r="G357" s="330" t="s">
        <v>236</v>
      </c>
      <c r="H357" s="329">
        <v>13.161273650968628</v>
      </c>
      <c r="I357" s="336">
        <v>13.161273650968628</v>
      </c>
      <c r="J357" s="336"/>
      <c r="K357" s="336"/>
      <c r="L357" s="336"/>
      <c r="M357" s="336"/>
    </row>
    <row r="358" spans="1:13" hidden="1" outlineLevel="2" x14ac:dyDescent="0.35">
      <c r="A358" s="326" t="s">
        <v>61</v>
      </c>
      <c r="B358" s="331">
        <v>44477</v>
      </c>
      <c r="C358" s="332" t="s">
        <v>624</v>
      </c>
      <c r="D358" s="332" t="s">
        <v>625</v>
      </c>
      <c r="E358" s="332" t="s">
        <v>626</v>
      </c>
      <c r="F358" s="336">
        <v>3000</v>
      </c>
      <c r="G358" s="330" t="s">
        <v>236</v>
      </c>
      <c r="H358" s="329">
        <v>2.5579049593745715</v>
      </c>
      <c r="I358" s="336">
        <v>2.5579049593745715</v>
      </c>
      <c r="J358" s="336"/>
      <c r="K358" s="336"/>
      <c r="L358" s="336"/>
      <c r="M358" s="336"/>
    </row>
    <row r="359" spans="1:13" hidden="1" outlineLevel="2" x14ac:dyDescent="0.35">
      <c r="A359" s="326" t="s">
        <v>61</v>
      </c>
      <c r="B359" s="331">
        <v>44517</v>
      </c>
      <c r="C359" s="332" t="s">
        <v>624</v>
      </c>
      <c r="D359" s="332" t="s">
        <v>625</v>
      </c>
      <c r="E359" s="332" t="s">
        <v>626</v>
      </c>
      <c r="F359" s="336">
        <v>182900</v>
      </c>
      <c r="G359" s="330" t="s">
        <v>236</v>
      </c>
      <c r="H359" s="329">
        <v>155.94693902320304</v>
      </c>
      <c r="I359" s="336">
        <v>155.94693902320304</v>
      </c>
      <c r="J359" s="336"/>
      <c r="K359" s="336"/>
      <c r="L359" s="336"/>
      <c r="M359" s="336"/>
    </row>
    <row r="360" spans="1:13" hidden="1" outlineLevel="2" x14ac:dyDescent="0.35">
      <c r="A360" s="326" t="s">
        <v>61</v>
      </c>
      <c r="B360" s="331">
        <v>44519</v>
      </c>
      <c r="C360" s="332" t="s">
        <v>624</v>
      </c>
      <c r="D360" s="332" t="s">
        <v>625</v>
      </c>
      <c r="E360" s="332" t="s">
        <v>626</v>
      </c>
      <c r="F360" s="336">
        <v>55785</v>
      </c>
      <c r="G360" s="330" t="s">
        <v>236</v>
      </c>
      <c r="H360" s="329">
        <v>47.56424271957016</v>
      </c>
      <c r="I360" s="336">
        <v>47.56424271957016</v>
      </c>
      <c r="J360" s="336"/>
      <c r="K360" s="336"/>
      <c r="L360" s="336"/>
      <c r="M360" s="336"/>
    </row>
    <row r="361" spans="1:13" hidden="1" outlineLevel="2" x14ac:dyDescent="0.35">
      <c r="A361" s="326" t="s">
        <v>61</v>
      </c>
      <c r="B361" s="331">
        <v>44518</v>
      </c>
      <c r="C361" s="332" t="s">
        <v>624</v>
      </c>
      <c r="D361" s="332" t="s">
        <v>625</v>
      </c>
      <c r="E361" s="332" t="s">
        <v>626</v>
      </c>
      <c r="F361" s="336">
        <v>30000</v>
      </c>
      <c r="G361" s="330" t="s">
        <v>236</v>
      </c>
      <c r="H361" s="329">
        <v>25.579049593745715</v>
      </c>
      <c r="I361" s="336">
        <v>25.579049593745715</v>
      </c>
      <c r="J361" s="336"/>
      <c r="K361" s="336"/>
      <c r="L361" s="336"/>
      <c r="M361" s="336"/>
    </row>
    <row r="362" spans="1:13" hidden="1" outlineLevel="2" x14ac:dyDescent="0.35">
      <c r="A362" s="326" t="s">
        <v>61</v>
      </c>
      <c r="B362" s="331">
        <v>44519</v>
      </c>
      <c r="C362" s="332" t="s">
        <v>627</v>
      </c>
      <c r="D362" s="332" t="s">
        <v>628</v>
      </c>
      <c r="E362" s="332" t="s">
        <v>304</v>
      </c>
      <c r="F362" s="336">
        <v>95000</v>
      </c>
      <c r="G362" s="330" t="s">
        <v>236</v>
      </c>
      <c r="H362" s="329">
        <v>81.00032371352809</v>
      </c>
      <c r="I362" s="336">
        <v>81.00032371352809</v>
      </c>
      <c r="J362" s="336"/>
      <c r="K362" s="336"/>
      <c r="L362" s="336"/>
      <c r="M362" s="336"/>
    </row>
    <row r="363" spans="1:13" hidden="1" outlineLevel="2" x14ac:dyDescent="0.35">
      <c r="A363" s="326" t="s">
        <v>61</v>
      </c>
      <c r="B363" s="331">
        <v>44537</v>
      </c>
      <c r="C363" s="332" t="s">
        <v>629</v>
      </c>
      <c r="D363" s="332" t="s">
        <v>630</v>
      </c>
      <c r="E363" s="332" t="s">
        <v>623</v>
      </c>
      <c r="F363" s="336">
        <v>457500</v>
      </c>
      <c r="G363" s="330" t="s">
        <v>236</v>
      </c>
      <c r="H363" s="329">
        <v>390.08050630462213</v>
      </c>
      <c r="I363" s="336">
        <v>390.08050630462213</v>
      </c>
      <c r="J363" s="336"/>
      <c r="K363" s="336"/>
      <c r="L363" s="336"/>
      <c r="M363" s="336"/>
    </row>
    <row r="364" spans="1:13" hidden="1" outlineLevel="2" x14ac:dyDescent="0.35">
      <c r="A364" s="339" t="s">
        <v>61</v>
      </c>
      <c r="B364" s="331">
        <v>44470</v>
      </c>
      <c r="C364" s="332" t="s">
        <v>631</v>
      </c>
      <c r="D364" s="332" t="s">
        <v>632</v>
      </c>
      <c r="E364" s="332" t="s">
        <v>633</v>
      </c>
      <c r="F364" s="336">
        <v>867.01</v>
      </c>
      <c r="G364" s="330" t="s">
        <v>56</v>
      </c>
      <c r="H364" s="329">
        <v>867.01</v>
      </c>
      <c r="I364" s="336">
        <f>H364</f>
        <v>867.01</v>
      </c>
      <c r="J364" s="336"/>
      <c r="K364" s="336"/>
      <c r="L364" s="336"/>
      <c r="M364" s="332"/>
    </row>
    <row r="365" spans="1:13" hidden="1" outlineLevel="2" x14ac:dyDescent="0.35">
      <c r="A365" s="339" t="s">
        <v>61</v>
      </c>
      <c r="B365" s="331">
        <v>44561</v>
      </c>
      <c r="C365" s="332" t="s">
        <v>634</v>
      </c>
      <c r="D365" s="332" t="s">
        <v>635</v>
      </c>
      <c r="E365" s="332" t="s">
        <v>636</v>
      </c>
      <c r="F365" s="336">
        <v>6986.99</v>
      </c>
      <c r="G365" s="330" t="s">
        <v>56</v>
      </c>
      <c r="H365" s="329">
        <v>6986.99</v>
      </c>
      <c r="I365" s="336">
        <f>H365</f>
        <v>6986.99</v>
      </c>
      <c r="J365" s="336"/>
      <c r="K365" s="336"/>
      <c r="L365" s="336"/>
      <c r="M365" s="332"/>
    </row>
    <row r="366" spans="1:13" hidden="1" outlineLevel="2" x14ac:dyDescent="0.35">
      <c r="A366" s="339" t="s">
        <v>61</v>
      </c>
      <c r="B366" s="331">
        <v>44103</v>
      </c>
      <c r="C366" s="332" t="s">
        <v>637</v>
      </c>
      <c r="D366" s="332" t="s">
        <v>638</v>
      </c>
      <c r="E366" s="332" t="s">
        <v>639</v>
      </c>
      <c r="F366" s="336">
        <v>40000</v>
      </c>
      <c r="G366" s="330" t="s">
        <v>236</v>
      </c>
      <c r="H366" s="329">
        <v>37.162408362692545</v>
      </c>
      <c r="I366" s="336">
        <f>H366</f>
        <v>37.162408362692545</v>
      </c>
      <c r="J366" s="336"/>
      <c r="K366" s="336"/>
      <c r="L366" s="336"/>
      <c r="M366" s="332"/>
    </row>
    <row r="367" spans="1:13" outlineLevel="1" collapsed="1" x14ac:dyDescent="0.35">
      <c r="A367" s="343" t="s">
        <v>640</v>
      </c>
      <c r="B367" s="331"/>
      <c r="C367" s="332"/>
      <c r="D367" s="332"/>
      <c r="E367" s="332"/>
      <c r="F367" s="336"/>
      <c r="G367" s="330"/>
      <c r="H367" s="329">
        <f t="shared" ref="H367:M367" si="7">SUBTOTAL(9,H355:H366)</f>
        <v>11564.665526389483</v>
      </c>
      <c r="I367" s="336">
        <f t="shared" si="7"/>
        <v>11564.665526389483</v>
      </c>
      <c r="J367" s="336">
        <f t="shared" si="7"/>
        <v>0</v>
      </c>
      <c r="K367" s="336">
        <f t="shared" si="7"/>
        <v>0</v>
      </c>
      <c r="L367" s="336">
        <f t="shared" si="7"/>
        <v>0</v>
      </c>
      <c r="M367" s="332">
        <f t="shared" si="7"/>
        <v>0</v>
      </c>
    </row>
    <row r="368" spans="1:13" hidden="1" outlineLevel="2" x14ac:dyDescent="0.35">
      <c r="A368" s="339" t="s">
        <v>97</v>
      </c>
      <c r="B368" s="331">
        <v>44070</v>
      </c>
      <c r="C368" s="332" t="s">
        <v>641</v>
      </c>
      <c r="D368" s="332" t="s">
        <v>642</v>
      </c>
      <c r="E368" s="332" t="s">
        <v>643</v>
      </c>
      <c r="F368" s="336">
        <v>420000</v>
      </c>
      <c r="G368" s="330" t="s">
        <v>236</v>
      </c>
      <c r="H368" s="329">
        <v>390.20528780827169</v>
      </c>
      <c r="I368" s="336">
        <v>97.551321952067923</v>
      </c>
      <c r="J368" s="336">
        <v>97.551321952067923</v>
      </c>
      <c r="K368" s="336">
        <v>97.551321952067923</v>
      </c>
      <c r="L368" s="336">
        <v>97.551321952067923</v>
      </c>
      <c r="M368" s="336"/>
    </row>
    <row r="369" spans="1:13" hidden="1" outlineLevel="2" x14ac:dyDescent="0.35">
      <c r="A369" s="339" t="s">
        <v>97</v>
      </c>
      <c r="B369" s="331">
        <v>44139</v>
      </c>
      <c r="C369" s="332" t="s">
        <v>644</v>
      </c>
      <c r="D369" s="332" t="s">
        <v>645</v>
      </c>
      <c r="E369" s="332" t="s">
        <v>646</v>
      </c>
      <c r="F369" s="336">
        <v>15000</v>
      </c>
      <c r="G369" s="330" t="s">
        <v>236</v>
      </c>
      <c r="H369" s="329">
        <v>13.935903136009705</v>
      </c>
      <c r="I369" s="336">
        <v>3.4839757840024261</v>
      </c>
      <c r="J369" s="336">
        <v>3.4839757840024261</v>
      </c>
      <c r="K369" s="336">
        <v>3.4839757840024261</v>
      </c>
      <c r="L369" s="336">
        <v>3.4839757840024261</v>
      </c>
      <c r="M369" s="336"/>
    </row>
    <row r="370" spans="1:13" hidden="1" outlineLevel="2" x14ac:dyDescent="0.35">
      <c r="A370" s="339" t="s">
        <v>97</v>
      </c>
      <c r="B370" s="327">
        <v>44153</v>
      </c>
      <c r="C370" s="328" t="s">
        <v>647</v>
      </c>
      <c r="D370" s="328" t="s">
        <v>648</v>
      </c>
      <c r="E370" s="328" t="s">
        <v>649</v>
      </c>
      <c r="F370" s="338">
        <v>230000</v>
      </c>
      <c r="G370" s="330" t="s">
        <v>236</v>
      </c>
      <c r="H370" s="329">
        <v>213.68384808548214</v>
      </c>
      <c r="I370" s="338">
        <v>53.420962021370535</v>
      </c>
      <c r="J370" s="338">
        <v>53.420962021370535</v>
      </c>
      <c r="K370" s="338">
        <v>53.420962021370535</v>
      </c>
      <c r="L370" s="338">
        <v>53.420962021370535</v>
      </c>
      <c r="M370" s="338"/>
    </row>
    <row r="371" spans="1:13" hidden="1" outlineLevel="2" x14ac:dyDescent="0.35">
      <c r="A371" s="339" t="s">
        <v>97</v>
      </c>
      <c r="B371" s="331">
        <v>43914</v>
      </c>
      <c r="C371" s="332" t="s">
        <v>650</v>
      </c>
      <c r="D371" s="332" t="s">
        <v>651</v>
      </c>
      <c r="E371" s="332" t="s">
        <v>436</v>
      </c>
      <c r="F371" s="336">
        <v>250000</v>
      </c>
      <c r="G371" s="330" t="s">
        <v>236</v>
      </c>
      <c r="H371" s="329">
        <v>232.26505226682841</v>
      </c>
      <c r="I371" s="338">
        <v>58.066263066707101</v>
      </c>
      <c r="J371" s="338">
        <v>58.066263066707101</v>
      </c>
      <c r="K371" s="338">
        <v>58.066263066707101</v>
      </c>
      <c r="L371" s="338">
        <v>58.066263066707101</v>
      </c>
      <c r="M371" s="336"/>
    </row>
    <row r="372" spans="1:13" hidden="1" outlineLevel="2" x14ac:dyDescent="0.35">
      <c r="A372" s="339" t="s">
        <v>97</v>
      </c>
      <c r="B372" s="331">
        <v>43959</v>
      </c>
      <c r="C372" s="332" t="s">
        <v>652</v>
      </c>
      <c r="D372" s="332" t="s">
        <v>653</v>
      </c>
      <c r="E372" s="332" t="s">
        <v>654</v>
      </c>
      <c r="F372" s="336">
        <v>200000</v>
      </c>
      <c r="G372" s="330" t="s">
        <v>236</v>
      </c>
      <c r="H372" s="329">
        <v>185.81204181346271</v>
      </c>
      <c r="I372" s="338">
        <v>46.453010453365678</v>
      </c>
      <c r="J372" s="338">
        <v>46.453010453365678</v>
      </c>
      <c r="K372" s="338">
        <v>46.453010453365678</v>
      </c>
      <c r="L372" s="338">
        <v>46.453010453365678</v>
      </c>
      <c r="M372" s="336"/>
    </row>
    <row r="373" spans="1:13" hidden="1" outlineLevel="2" x14ac:dyDescent="0.35">
      <c r="A373" s="339" t="s">
        <v>97</v>
      </c>
      <c r="B373" s="331">
        <v>44070</v>
      </c>
      <c r="C373" s="332" t="s">
        <v>655</v>
      </c>
      <c r="D373" s="332" t="s">
        <v>656</v>
      </c>
      <c r="E373" s="332" t="s">
        <v>649</v>
      </c>
      <c r="F373" s="336">
        <v>200000</v>
      </c>
      <c r="G373" s="330" t="s">
        <v>236</v>
      </c>
      <c r="H373" s="329">
        <v>185.81204181346271</v>
      </c>
      <c r="I373" s="338">
        <v>46.453010453365678</v>
      </c>
      <c r="J373" s="338">
        <v>46.453010453365678</v>
      </c>
      <c r="K373" s="338">
        <v>46.453010453365678</v>
      </c>
      <c r="L373" s="338">
        <v>46.453010453365678</v>
      </c>
      <c r="M373" s="336"/>
    </row>
    <row r="374" spans="1:13" hidden="1" outlineLevel="2" x14ac:dyDescent="0.35">
      <c r="A374" s="339" t="s">
        <v>97</v>
      </c>
      <c r="B374" s="331">
        <v>44169</v>
      </c>
      <c r="C374" s="332" t="s">
        <v>315</v>
      </c>
      <c r="D374" s="332" t="s">
        <v>97</v>
      </c>
      <c r="E374" s="332" t="s">
        <v>657</v>
      </c>
      <c r="F374" s="336">
        <v>966420</v>
      </c>
      <c r="G374" s="330" t="s">
        <v>236</v>
      </c>
      <c r="H374" s="329">
        <v>897.86236724683317</v>
      </c>
      <c r="I374" s="338">
        <v>224.46559181170829</v>
      </c>
      <c r="J374" s="338">
        <v>224.46559181170829</v>
      </c>
      <c r="K374" s="338">
        <v>224.46559181170829</v>
      </c>
      <c r="L374" s="338">
        <v>224.46559181170829</v>
      </c>
      <c r="M374" s="336"/>
    </row>
    <row r="375" spans="1:13" hidden="1" outlineLevel="2" x14ac:dyDescent="0.35">
      <c r="A375" s="339" t="s">
        <v>97</v>
      </c>
      <c r="B375" s="331">
        <v>44195</v>
      </c>
      <c r="C375" s="332" t="s">
        <v>658</v>
      </c>
      <c r="D375" s="332" t="s">
        <v>659</v>
      </c>
      <c r="E375" s="332" t="s">
        <v>436</v>
      </c>
      <c r="F375" s="336">
        <v>495000</v>
      </c>
      <c r="G375" s="330" t="s">
        <v>236</v>
      </c>
      <c r="H375" s="329">
        <v>459.88480348832024</v>
      </c>
      <c r="I375" s="338">
        <v>114.97120087208006</v>
      </c>
      <c r="J375" s="338">
        <v>114.97120087208006</v>
      </c>
      <c r="K375" s="338">
        <v>114.97120087208006</v>
      </c>
      <c r="L375" s="338">
        <v>114.97120087208006</v>
      </c>
      <c r="M375" s="336"/>
    </row>
    <row r="376" spans="1:13" hidden="1" outlineLevel="2" x14ac:dyDescent="0.35">
      <c r="A376" s="339" t="s">
        <v>97</v>
      </c>
      <c r="B376" s="331">
        <v>44210</v>
      </c>
      <c r="C376" s="332" t="s">
        <v>344</v>
      </c>
      <c r="D376" s="332" t="s">
        <v>660</v>
      </c>
      <c r="E376" s="332" t="s">
        <v>649</v>
      </c>
      <c r="F376" s="336">
        <v>170000</v>
      </c>
      <c r="G376" s="330" t="s">
        <v>236</v>
      </c>
      <c r="H376" s="329">
        <v>144.94794769789237</v>
      </c>
      <c r="I376" s="329">
        <v>36.236986924473094</v>
      </c>
      <c r="J376" s="329">
        <v>36.236986924473094</v>
      </c>
      <c r="K376" s="329">
        <v>36.236986924473094</v>
      </c>
      <c r="L376" s="329">
        <v>36.236986924473094</v>
      </c>
      <c r="M376" s="336"/>
    </row>
    <row r="377" spans="1:13" hidden="1" outlineLevel="2" x14ac:dyDescent="0.35">
      <c r="A377" s="339" t="s">
        <v>97</v>
      </c>
      <c r="B377" s="331">
        <v>44585</v>
      </c>
      <c r="C377" s="332" t="s">
        <v>519</v>
      </c>
      <c r="D377" s="332" t="s">
        <v>661</v>
      </c>
      <c r="E377" s="332" t="s">
        <v>662</v>
      </c>
      <c r="F377" s="336">
        <v>180000</v>
      </c>
      <c r="G377" s="330" t="s">
        <v>236</v>
      </c>
      <c r="H377" s="329">
        <v>158.87109642230109</v>
      </c>
      <c r="I377" s="338">
        <v>39.717774105575273</v>
      </c>
      <c r="J377" s="338">
        <v>39.717774105575273</v>
      </c>
      <c r="K377" s="338">
        <v>39.717774105575273</v>
      </c>
      <c r="L377" s="338">
        <v>39.717774105575273</v>
      </c>
      <c r="M377" s="336"/>
    </row>
    <row r="378" spans="1:13" hidden="1" outlineLevel="2" x14ac:dyDescent="0.35">
      <c r="A378" s="339" t="s">
        <v>97</v>
      </c>
      <c r="B378" s="331">
        <v>44187</v>
      </c>
      <c r="C378" s="332" t="s">
        <v>663</v>
      </c>
      <c r="D378" s="332" t="s">
        <v>664</v>
      </c>
      <c r="E378" s="332" t="s">
        <v>665</v>
      </c>
      <c r="F378" s="336">
        <v>65000</v>
      </c>
      <c r="G378" s="330" t="s">
        <v>236</v>
      </c>
      <c r="H378" s="329">
        <v>55.421274119782382</v>
      </c>
      <c r="I378" s="329">
        <v>13.855318529945595</v>
      </c>
      <c r="J378" s="329">
        <v>13.855318529945595</v>
      </c>
      <c r="K378" s="329">
        <v>13.855318529945595</v>
      </c>
      <c r="L378" s="329">
        <v>13.855318529945595</v>
      </c>
      <c r="M378" s="336"/>
    </row>
    <row r="379" spans="1:13" hidden="1" outlineLevel="2" x14ac:dyDescent="0.35">
      <c r="A379" s="339" t="s">
        <v>97</v>
      </c>
      <c r="B379" s="331">
        <v>43780</v>
      </c>
      <c r="C379" s="332" t="s">
        <v>666</v>
      </c>
      <c r="D379" s="332" t="s">
        <v>667</v>
      </c>
      <c r="E379" s="332" t="s">
        <v>662</v>
      </c>
      <c r="F379" s="336">
        <v>246000</v>
      </c>
      <c r="G379" s="330" t="s">
        <v>236</v>
      </c>
      <c r="H379" s="329">
        <v>242.19866889368845</v>
      </c>
      <c r="I379" s="338">
        <v>60.549667223422112</v>
      </c>
      <c r="J379" s="338">
        <v>60.549667223422112</v>
      </c>
      <c r="K379" s="338">
        <v>60.549667223422112</v>
      </c>
      <c r="L379" s="338">
        <v>60.549667223422112</v>
      </c>
      <c r="M379" s="336"/>
    </row>
    <row r="380" spans="1:13" hidden="1" outlineLevel="2" x14ac:dyDescent="0.35">
      <c r="A380" s="339" t="s">
        <v>97</v>
      </c>
      <c r="B380" s="331">
        <v>44278</v>
      </c>
      <c r="C380" s="332" t="s">
        <v>668</v>
      </c>
      <c r="D380" s="332" t="s">
        <v>669</v>
      </c>
      <c r="E380" s="332" t="s">
        <v>662</v>
      </c>
      <c r="F380" s="336">
        <v>170000</v>
      </c>
      <c r="G380" s="330" t="s">
        <v>236</v>
      </c>
      <c r="H380" s="329">
        <v>144.94794769789237</v>
      </c>
      <c r="I380" s="329">
        <v>36.236986924473094</v>
      </c>
      <c r="J380" s="329">
        <v>36.236986924473094</v>
      </c>
      <c r="K380" s="329">
        <v>36.236986924473094</v>
      </c>
      <c r="L380" s="329">
        <v>36.236986924473094</v>
      </c>
      <c r="M380" s="336"/>
    </row>
    <row r="381" spans="1:13" hidden="1" outlineLevel="2" x14ac:dyDescent="0.35">
      <c r="A381" s="339" t="s">
        <v>97</v>
      </c>
      <c r="B381" s="331">
        <v>44308</v>
      </c>
      <c r="C381" s="332" t="s">
        <v>670</v>
      </c>
      <c r="D381" s="332" t="s">
        <v>671</v>
      </c>
      <c r="E381" s="332" t="s">
        <v>662</v>
      </c>
      <c r="F381" s="336">
        <v>170000</v>
      </c>
      <c r="G381" s="330" t="s">
        <v>236</v>
      </c>
      <c r="H381" s="329">
        <v>144.94794769789237</v>
      </c>
      <c r="I381" s="329">
        <v>36.236986924473094</v>
      </c>
      <c r="J381" s="329">
        <v>36.236986924473094</v>
      </c>
      <c r="K381" s="329">
        <v>36.236986924473094</v>
      </c>
      <c r="L381" s="329">
        <v>36.236986924473094</v>
      </c>
      <c r="M381" s="336"/>
    </row>
    <row r="382" spans="1:13" hidden="1" outlineLevel="2" x14ac:dyDescent="0.35">
      <c r="A382" s="339" t="s">
        <v>97</v>
      </c>
      <c r="B382" s="331">
        <v>43794</v>
      </c>
      <c r="C382" s="332" t="s">
        <v>672</v>
      </c>
      <c r="D382" s="332" t="s">
        <v>673</v>
      </c>
      <c r="E382" s="332" t="s">
        <v>436</v>
      </c>
      <c r="F382" s="336">
        <v>200000</v>
      </c>
      <c r="G382" s="330" t="s">
        <v>236</v>
      </c>
      <c r="H382" s="329">
        <v>196.90948690543775</v>
      </c>
      <c r="I382" s="338">
        <v>49.227371726359436</v>
      </c>
      <c r="J382" s="338">
        <v>49.227371726359436</v>
      </c>
      <c r="K382" s="338">
        <v>49.227371726359436</v>
      </c>
      <c r="L382" s="338">
        <v>49.227371726359436</v>
      </c>
      <c r="M382" s="336"/>
    </row>
    <row r="383" spans="1:13" hidden="1" outlineLevel="2" x14ac:dyDescent="0.35">
      <c r="A383" s="339" t="s">
        <v>97</v>
      </c>
      <c r="B383" s="331">
        <v>43822</v>
      </c>
      <c r="C383" s="332" t="s">
        <v>674</v>
      </c>
      <c r="D383" s="332" t="s">
        <v>675</v>
      </c>
      <c r="E383" s="332" t="s">
        <v>436</v>
      </c>
      <c r="F383" s="336">
        <v>335000</v>
      </c>
      <c r="G383" s="330" t="s">
        <v>236</v>
      </c>
      <c r="H383" s="329">
        <v>329.82339056660823</v>
      </c>
      <c r="I383" s="338">
        <v>82.455847641652056</v>
      </c>
      <c r="J383" s="338">
        <v>82.455847641652056</v>
      </c>
      <c r="K383" s="338">
        <v>82.455847641652056</v>
      </c>
      <c r="L383" s="338">
        <v>82.455847641652056</v>
      </c>
      <c r="M383" s="336"/>
    </row>
    <row r="384" spans="1:13" hidden="1" outlineLevel="2" x14ac:dyDescent="0.35">
      <c r="A384" s="339" t="s">
        <v>97</v>
      </c>
      <c r="B384" s="331">
        <v>44330</v>
      </c>
      <c r="C384" s="332" t="s">
        <v>676</v>
      </c>
      <c r="D384" s="332" t="s">
        <v>677</v>
      </c>
      <c r="E384" s="332" t="s">
        <v>662</v>
      </c>
      <c r="F384" s="336">
        <v>180000</v>
      </c>
      <c r="G384" s="330" t="s">
        <v>236</v>
      </c>
      <c r="H384" s="329">
        <v>153.47429756247428</v>
      </c>
      <c r="I384" s="329">
        <v>38.368574390618569</v>
      </c>
      <c r="J384" s="329">
        <v>38.368574390618569</v>
      </c>
      <c r="K384" s="329">
        <v>38.368574390618569</v>
      </c>
      <c r="L384" s="329">
        <v>38.368574390618569</v>
      </c>
      <c r="M384" s="336"/>
    </row>
    <row r="385" spans="1:13" hidden="1" outlineLevel="2" x14ac:dyDescent="0.35">
      <c r="A385" s="339" t="s">
        <v>97</v>
      </c>
      <c r="B385" s="331">
        <v>44369</v>
      </c>
      <c r="C385" s="332" t="s">
        <v>678</v>
      </c>
      <c r="D385" s="332" t="s">
        <v>679</v>
      </c>
      <c r="E385" s="332" t="s">
        <v>662</v>
      </c>
      <c r="F385" s="336">
        <v>180000</v>
      </c>
      <c r="G385" s="330" t="s">
        <v>236</v>
      </c>
      <c r="H385" s="329">
        <v>153.47429756247428</v>
      </c>
      <c r="I385" s="329">
        <v>38.368574390618569</v>
      </c>
      <c r="J385" s="329">
        <v>38.368574390618569</v>
      </c>
      <c r="K385" s="329">
        <v>38.368574390618569</v>
      </c>
      <c r="L385" s="329">
        <v>38.368574390618569</v>
      </c>
      <c r="M385" s="336"/>
    </row>
    <row r="386" spans="1:13" hidden="1" outlineLevel="2" x14ac:dyDescent="0.35">
      <c r="A386" s="339" t="s">
        <v>97</v>
      </c>
      <c r="B386" s="331">
        <v>44370</v>
      </c>
      <c r="C386" s="332" t="s">
        <v>680</v>
      </c>
      <c r="D386" s="332" t="s">
        <v>681</v>
      </c>
      <c r="E386" s="332" t="s">
        <v>662</v>
      </c>
      <c r="F386" s="336">
        <v>330000</v>
      </c>
      <c r="G386" s="330" t="s">
        <v>236</v>
      </c>
      <c r="H386" s="329">
        <v>281.36954553120285</v>
      </c>
      <c r="I386" s="329">
        <v>70.342386382800711</v>
      </c>
      <c r="J386" s="329">
        <v>70.342386382800711</v>
      </c>
      <c r="K386" s="329">
        <v>70.342386382800711</v>
      </c>
      <c r="L386" s="329">
        <v>70.342386382800711</v>
      </c>
      <c r="M386" s="336"/>
    </row>
    <row r="387" spans="1:13" hidden="1" outlineLevel="2" x14ac:dyDescent="0.35">
      <c r="A387" s="339" t="s">
        <v>97</v>
      </c>
      <c r="B387" s="331">
        <v>44377</v>
      </c>
      <c r="C387" s="332" t="s">
        <v>682</v>
      </c>
      <c r="D387" s="332" t="s">
        <v>683</v>
      </c>
      <c r="E387" s="332" t="s">
        <v>662</v>
      </c>
      <c r="F387" s="336">
        <v>180000</v>
      </c>
      <c r="G387" s="330" t="s">
        <v>236</v>
      </c>
      <c r="H387" s="329">
        <v>153.47429756247428</v>
      </c>
      <c r="I387" s="329">
        <v>38.368574390618569</v>
      </c>
      <c r="J387" s="329">
        <v>38.368574390618569</v>
      </c>
      <c r="K387" s="329">
        <v>38.368574390618569</v>
      </c>
      <c r="L387" s="329">
        <v>38.368574390618569</v>
      </c>
      <c r="M387" s="336"/>
    </row>
    <row r="388" spans="1:13" hidden="1" outlineLevel="2" x14ac:dyDescent="0.35">
      <c r="A388" s="339" t="s">
        <v>97</v>
      </c>
      <c r="B388" s="331">
        <v>44442</v>
      </c>
      <c r="C388" s="332" t="s">
        <v>496</v>
      </c>
      <c r="D388" s="332" t="s">
        <v>684</v>
      </c>
      <c r="E388" s="332" t="s">
        <v>662</v>
      </c>
      <c r="F388" s="336">
        <v>180000</v>
      </c>
      <c r="G388" s="330" t="s">
        <v>236</v>
      </c>
      <c r="H388" s="329">
        <v>153.47429756247428</v>
      </c>
      <c r="I388" s="329">
        <v>38.368574390618569</v>
      </c>
      <c r="J388" s="329">
        <v>38.368574390618569</v>
      </c>
      <c r="K388" s="329">
        <v>38.368574390618569</v>
      </c>
      <c r="L388" s="329">
        <v>38.368574390618569</v>
      </c>
      <c r="M388" s="336"/>
    </row>
    <row r="389" spans="1:13" hidden="1" outlineLevel="2" x14ac:dyDescent="0.35">
      <c r="A389" s="339" t="s">
        <v>97</v>
      </c>
      <c r="B389" s="331">
        <v>44469</v>
      </c>
      <c r="C389" s="332" t="s">
        <v>685</v>
      </c>
      <c r="D389" s="332" t="s">
        <v>686</v>
      </c>
      <c r="E389" s="332" t="s">
        <v>662</v>
      </c>
      <c r="F389" s="336">
        <v>180000</v>
      </c>
      <c r="G389" s="330" t="s">
        <v>236</v>
      </c>
      <c r="H389" s="329">
        <v>153.47429756247428</v>
      </c>
      <c r="I389" s="329">
        <v>38.368574390618569</v>
      </c>
      <c r="J389" s="329">
        <v>38.368574390618569</v>
      </c>
      <c r="K389" s="329">
        <v>38.368574390618569</v>
      </c>
      <c r="L389" s="329">
        <v>38.368574390618569</v>
      </c>
      <c r="M389" s="336"/>
    </row>
    <row r="390" spans="1:13" hidden="1" outlineLevel="2" x14ac:dyDescent="0.35">
      <c r="A390" s="339" t="s">
        <v>97</v>
      </c>
      <c r="B390" s="331">
        <v>44491</v>
      </c>
      <c r="C390" s="332" t="s">
        <v>687</v>
      </c>
      <c r="D390" s="332" t="s">
        <v>688</v>
      </c>
      <c r="E390" s="332" t="s">
        <v>662</v>
      </c>
      <c r="F390" s="336">
        <v>180000</v>
      </c>
      <c r="G390" s="330" t="s">
        <v>236</v>
      </c>
      <c r="H390" s="329">
        <v>153.47429756247428</v>
      </c>
      <c r="I390" s="329">
        <v>38.368574390618569</v>
      </c>
      <c r="J390" s="329">
        <v>38.368574390618569</v>
      </c>
      <c r="K390" s="329">
        <v>38.368574390618569</v>
      </c>
      <c r="L390" s="329">
        <v>38.368574390618569</v>
      </c>
      <c r="M390" s="336"/>
    </row>
    <row r="391" spans="1:13" hidden="1" outlineLevel="2" x14ac:dyDescent="0.35">
      <c r="A391" s="339" t="s">
        <v>97</v>
      </c>
      <c r="B391" s="331">
        <v>44517</v>
      </c>
      <c r="C391" s="332" t="s">
        <v>689</v>
      </c>
      <c r="D391" s="332" t="s">
        <v>690</v>
      </c>
      <c r="E391" s="332" t="s">
        <v>662</v>
      </c>
      <c r="F391" s="336">
        <v>180000</v>
      </c>
      <c r="G391" s="330" t="s">
        <v>236</v>
      </c>
      <c r="H391" s="329">
        <v>153.47429756247428</v>
      </c>
      <c r="I391" s="329">
        <v>38.368574390618569</v>
      </c>
      <c r="J391" s="329">
        <v>38.368574390618569</v>
      </c>
      <c r="K391" s="329">
        <v>38.368574390618569</v>
      </c>
      <c r="L391" s="329">
        <v>38.368574390618569</v>
      </c>
      <c r="M391" s="336"/>
    </row>
    <row r="392" spans="1:13" hidden="1" outlineLevel="2" x14ac:dyDescent="0.35">
      <c r="A392" s="339" t="s">
        <v>97</v>
      </c>
      <c r="B392" s="331">
        <v>44537</v>
      </c>
      <c r="C392" s="332" t="s">
        <v>691</v>
      </c>
      <c r="D392" s="332" t="s">
        <v>692</v>
      </c>
      <c r="E392" s="332" t="s">
        <v>662</v>
      </c>
      <c r="F392" s="336">
        <v>330000</v>
      </c>
      <c r="G392" s="330" t="s">
        <v>236</v>
      </c>
      <c r="H392" s="329">
        <v>281.36954553120285</v>
      </c>
      <c r="I392" s="329">
        <v>70.342386382800711</v>
      </c>
      <c r="J392" s="329">
        <v>70.342386382800711</v>
      </c>
      <c r="K392" s="329">
        <v>70.342386382800711</v>
      </c>
      <c r="L392" s="329">
        <v>70.342386382800711</v>
      </c>
      <c r="M392" s="336"/>
    </row>
    <row r="393" spans="1:13" hidden="1" outlineLevel="2" x14ac:dyDescent="0.35">
      <c r="A393" s="339" t="s">
        <v>97</v>
      </c>
      <c r="B393" s="331">
        <v>44544</v>
      </c>
      <c r="C393" s="332" t="s">
        <v>693</v>
      </c>
      <c r="D393" s="332" t="s">
        <v>694</v>
      </c>
      <c r="E393" s="332" t="s">
        <v>662</v>
      </c>
      <c r="F393" s="336">
        <v>180000</v>
      </c>
      <c r="G393" s="330" t="s">
        <v>236</v>
      </c>
      <c r="H393" s="329">
        <v>153.47429756247428</v>
      </c>
      <c r="I393" s="329">
        <v>38.368574390618569</v>
      </c>
      <c r="J393" s="329">
        <v>38.368574390618569</v>
      </c>
      <c r="K393" s="329">
        <v>38.368574390618569</v>
      </c>
      <c r="L393" s="329">
        <v>38.368574390618569</v>
      </c>
      <c r="M393" s="336"/>
    </row>
    <row r="394" spans="1:13" outlineLevel="1" collapsed="1" x14ac:dyDescent="0.35">
      <c r="A394" s="343" t="s">
        <v>695</v>
      </c>
      <c r="B394" s="331"/>
      <c r="C394" s="332"/>
      <c r="D394" s="332"/>
      <c r="E394" s="332"/>
      <c r="F394" s="336"/>
      <c r="G394" s="330"/>
      <c r="H394" s="329">
        <f t="shared" ref="H394:M394" si="8">SUBTOTAL(9,H368:H393)</f>
        <v>5788.0625772223639</v>
      </c>
      <c r="I394" s="329">
        <f t="shared" si="8"/>
        <v>1447.015644305591</v>
      </c>
      <c r="J394" s="329">
        <f t="shared" si="8"/>
        <v>1447.015644305591</v>
      </c>
      <c r="K394" s="329">
        <f t="shared" si="8"/>
        <v>1447.015644305591</v>
      </c>
      <c r="L394" s="329">
        <f t="shared" si="8"/>
        <v>1447.015644305591</v>
      </c>
      <c r="M394" s="336">
        <f t="shared" si="8"/>
        <v>0</v>
      </c>
    </row>
    <row r="395" spans="1:13" hidden="1" outlineLevel="2" x14ac:dyDescent="0.35">
      <c r="A395" s="326" t="s">
        <v>63</v>
      </c>
      <c r="B395" s="331">
        <v>43801</v>
      </c>
      <c r="C395" s="332" t="s">
        <v>696</v>
      </c>
      <c r="D395" s="332" t="s">
        <v>697</v>
      </c>
      <c r="E395" s="332" t="s">
        <v>623</v>
      </c>
      <c r="F395" s="336">
        <v>380000</v>
      </c>
      <c r="G395" s="330" t="s">
        <v>236</v>
      </c>
      <c r="H395" s="329">
        <v>374.12802512033176</v>
      </c>
      <c r="I395" s="338">
        <v>374.12802512033176</v>
      </c>
      <c r="J395" s="338"/>
      <c r="K395" s="338"/>
      <c r="L395" s="338"/>
      <c r="M395" s="336"/>
    </row>
    <row r="396" spans="1:13" outlineLevel="1" collapsed="1" x14ac:dyDescent="0.35">
      <c r="A396" s="334" t="s">
        <v>698</v>
      </c>
      <c r="B396" s="331"/>
      <c r="C396" s="332"/>
      <c r="D396" s="332"/>
      <c r="E396" s="332"/>
      <c r="F396" s="336"/>
      <c r="G396" s="330"/>
      <c r="H396" s="329">
        <f t="shared" ref="H396:M396" si="9">SUBTOTAL(9,H395:H395)</f>
        <v>374.12802512033176</v>
      </c>
      <c r="I396" s="338">
        <f t="shared" si="9"/>
        <v>374.12802512033176</v>
      </c>
      <c r="J396" s="338">
        <f t="shared" si="9"/>
        <v>0</v>
      </c>
      <c r="K396" s="338">
        <f t="shared" si="9"/>
        <v>0</v>
      </c>
      <c r="L396" s="338">
        <f t="shared" si="9"/>
        <v>0</v>
      </c>
      <c r="M396" s="336">
        <f t="shared" si="9"/>
        <v>0</v>
      </c>
    </row>
    <row r="397" spans="1:13" hidden="1" outlineLevel="2" x14ac:dyDescent="0.35">
      <c r="A397" s="339" t="s">
        <v>165</v>
      </c>
      <c r="B397" s="331">
        <v>44067</v>
      </c>
      <c r="C397" s="332" t="s">
        <v>699</v>
      </c>
      <c r="D397" s="332" t="s">
        <v>700</v>
      </c>
      <c r="E397" s="332" t="s">
        <v>701</v>
      </c>
      <c r="F397" s="336">
        <v>6015640</v>
      </c>
      <c r="G397" s="330" t="s">
        <v>236</v>
      </c>
      <c r="H397" s="329">
        <v>5588.8917560736945</v>
      </c>
      <c r="I397" s="338"/>
      <c r="J397" s="338"/>
      <c r="K397" s="338">
        <v>5588.8917560736945</v>
      </c>
      <c r="L397" s="338"/>
      <c r="M397" s="336"/>
    </row>
    <row r="398" spans="1:13" hidden="1" outlineLevel="2" x14ac:dyDescent="0.35">
      <c r="A398" s="339" t="s">
        <v>165</v>
      </c>
      <c r="B398" s="331">
        <v>44061</v>
      </c>
      <c r="C398" s="332" t="s">
        <v>702</v>
      </c>
      <c r="D398" s="332" t="s">
        <v>703</v>
      </c>
      <c r="E398" s="332" t="s">
        <v>436</v>
      </c>
      <c r="F398" s="336">
        <v>874900</v>
      </c>
      <c r="G398" s="330" t="s">
        <v>236</v>
      </c>
      <c r="H398" s="329">
        <v>812.83477691299265</v>
      </c>
      <c r="I398" s="338"/>
      <c r="J398" s="338"/>
      <c r="K398" s="338">
        <v>812.83477691299265</v>
      </c>
      <c r="L398" s="338"/>
      <c r="M398" s="336"/>
    </row>
    <row r="399" spans="1:13" hidden="1" outlineLevel="2" x14ac:dyDescent="0.35">
      <c r="A399" s="339" t="s">
        <v>165</v>
      </c>
      <c r="B399" s="331">
        <v>44057</v>
      </c>
      <c r="C399" s="332" t="s">
        <v>704</v>
      </c>
      <c r="D399" s="332" t="s">
        <v>705</v>
      </c>
      <c r="E399" s="332" t="s">
        <v>436</v>
      </c>
      <c r="F399" s="336">
        <v>268240</v>
      </c>
      <c r="G399" s="330" t="s">
        <v>236</v>
      </c>
      <c r="H399" s="329">
        <v>249.21111048021621</v>
      </c>
      <c r="I399" s="338"/>
      <c r="J399" s="338"/>
      <c r="K399" s="338">
        <v>249.21111048021621</v>
      </c>
      <c r="L399" s="338"/>
      <c r="M399" s="336"/>
    </row>
    <row r="400" spans="1:13" hidden="1" outlineLevel="2" x14ac:dyDescent="0.35">
      <c r="A400" s="339" t="s">
        <v>165</v>
      </c>
      <c r="B400" s="331">
        <v>44057</v>
      </c>
      <c r="C400" s="332" t="s">
        <v>706</v>
      </c>
      <c r="D400" s="332" t="s">
        <v>707</v>
      </c>
      <c r="E400" s="332" t="s">
        <v>436</v>
      </c>
      <c r="F400" s="336">
        <v>36000</v>
      </c>
      <c r="G400" s="330" t="s">
        <v>236</v>
      </c>
      <c r="H400" s="329">
        <v>33.446167526423288</v>
      </c>
      <c r="I400" s="338"/>
      <c r="J400" s="338"/>
      <c r="K400" s="338">
        <v>33.446167526423288</v>
      </c>
      <c r="L400" s="338"/>
      <c r="M400" s="336"/>
    </row>
    <row r="401" spans="1:13" hidden="1" outlineLevel="2" x14ac:dyDescent="0.35">
      <c r="A401" s="339" t="s">
        <v>165</v>
      </c>
      <c r="B401" s="331">
        <v>43780</v>
      </c>
      <c r="C401" s="332" t="s">
        <v>708</v>
      </c>
      <c r="D401" s="332" t="s">
        <v>709</v>
      </c>
      <c r="E401" s="332" t="s">
        <v>710</v>
      </c>
      <c r="F401" s="336">
        <v>324000</v>
      </c>
      <c r="G401" s="330" t="s">
        <v>236</v>
      </c>
      <c r="H401" s="329">
        <v>318.99336878680919</v>
      </c>
      <c r="I401" s="338"/>
      <c r="J401" s="338"/>
      <c r="K401" s="338">
        <v>318.99336878680919</v>
      </c>
      <c r="L401" s="338"/>
      <c r="M401" s="336"/>
    </row>
    <row r="402" spans="1:13" hidden="1" outlineLevel="2" x14ac:dyDescent="0.35">
      <c r="A402" s="339" t="s">
        <v>165</v>
      </c>
      <c r="B402" s="331">
        <v>43786</v>
      </c>
      <c r="C402" s="332" t="s">
        <v>711</v>
      </c>
      <c r="D402" s="332" t="s">
        <v>712</v>
      </c>
      <c r="E402" s="332" t="s">
        <v>713</v>
      </c>
      <c r="F402" s="336">
        <v>3000</v>
      </c>
      <c r="G402" s="330" t="s">
        <v>236</v>
      </c>
      <c r="H402" s="329">
        <v>2.9536423035815664</v>
      </c>
      <c r="I402" s="338"/>
      <c r="J402" s="338"/>
      <c r="K402" s="338">
        <v>2.9536423035815664</v>
      </c>
      <c r="L402" s="338"/>
      <c r="M402" s="336"/>
    </row>
    <row r="403" spans="1:13" hidden="1" outlineLevel="2" x14ac:dyDescent="0.35">
      <c r="A403" s="339" t="s">
        <v>165</v>
      </c>
      <c r="B403" s="331">
        <v>43801</v>
      </c>
      <c r="C403" s="332" t="s">
        <v>714</v>
      </c>
      <c r="D403" s="332" t="s">
        <v>715</v>
      </c>
      <c r="E403" s="332" t="s">
        <v>716</v>
      </c>
      <c r="F403" s="336">
        <v>28500</v>
      </c>
      <c r="G403" s="330" t="s">
        <v>236</v>
      </c>
      <c r="H403" s="329">
        <v>28.059601884024879</v>
      </c>
      <c r="I403" s="338"/>
      <c r="J403" s="338"/>
      <c r="K403" s="338">
        <v>28.059601884024879</v>
      </c>
      <c r="L403" s="338"/>
      <c r="M403" s="336"/>
    </row>
    <row r="404" spans="1:13" hidden="1" outlineLevel="2" x14ac:dyDescent="0.35">
      <c r="A404" s="339" t="s">
        <v>165</v>
      </c>
      <c r="B404" s="331">
        <v>44321</v>
      </c>
      <c r="C404" s="332" t="s">
        <v>717</v>
      </c>
      <c r="D404" s="332" t="s">
        <v>718</v>
      </c>
      <c r="E404" s="332" t="s">
        <v>606</v>
      </c>
      <c r="F404" s="336">
        <v>814800</v>
      </c>
      <c r="G404" s="330" t="s">
        <v>236</v>
      </c>
      <c r="H404" s="329">
        <v>694.72698696613361</v>
      </c>
      <c r="I404" s="338"/>
      <c r="J404" s="338"/>
      <c r="K404" s="338">
        <v>694.72698696613361</v>
      </c>
      <c r="L404" s="338"/>
      <c r="M404" s="336"/>
    </row>
    <row r="405" spans="1:13" hidden="1" outlineLevel="2" x14ac:dyDescent="0.35">
      <c r="A405" s="339" t="s">
        <v>165</v>
      </c>
      <c r="B405" s="331">
        <v>43801</v>
      </c>
      <c r="C405" s="332" t="s">
        <v>719</v>
      </c>
      <c r="D405" s="332" t="s">
        <v>720</v>
      </c>
      <c r="E405" s="332" t="s">
        <v>710</v>
      </c>
      <c r="F405" s="336">
        <v>221500</v>
      </c>
      <c r="G405" s="330" t="s">
        <v>236</v>
      </c>
      <c r="H405" s="329">
        <v>218.07725674777231</v>
      </c>
      <c r="I405" s="338"/>
      <c r="J405" s="338"/>
      <c r="K405" s="338">
        <v>218.07725674777231</v>
      </c>
      <c r="L405" s="338"/>
      <c r="M405" s="336"/>
    </row>
    <row r="406" spans="1:13" hidden="1" outlineLevel="2" x14ac:dyDescent="0.35">
      <c r="A406" s="339" t="s">
        <v>165</v>
      </c>
      <c r="B406" s="331">
        <v>43796</v>
      </c>
      <c r="C406" s="332" t="s">
        <v>721</v>
      </c>
      <c r="D406" s="332" t="s">
        <v>722</v>
      </c>
      <c r="E406" s="332" t="s">
        <v>710</v>
      </c>
      <c r="F406" s="336">
        <v>834000</v>
      </c>
      <c r="G406" s="330" t="s">
        <v>236</v>
      </c>
      <c r="H406" s="329">
        <v>821.11256039567547</v>
      </c>
      <c r="I406" s="338"/>
      <c r="J406" s="338"/>
      <c r="K406" s="338">
        <v>821.11256039567547</v>
      </c>
      <c r="L406" s="338"/>
      <c r="M406" s="336"/>
    </row>
    <row r="407" spans="1:13" hidden="1" outlineLevel="2" x14ac:dyDescent="0.35">
      <c r="A407" s="339" t="s">
        <v>165</v>
      </c>
      <c r="B407" s="331">
        <v>43815</v>
      </c>
      <c r="C407" s="332" t="s">
        <v>723</v>
      </c>
      <c r="D407" s="332" t="s">
        <v>724</v>
      </c>
      <c r="E407" s="332" t="s">
        <v>701</v>
      </c>
      <c r="F407" s="336">
        <v>123000</v>
      </c>
      <c r="G407" s="330" t="s">
        <v>236</v>
      </c>
      <c r="H407" s="329">
        <v>121.09933444684422</v>
      </c>
      <c r="I407" s="338"/>
      <c r="J407" s="338"/>
      <c r="K407" s="338">
        <v>121.09933444684422</v>
      </c>
      <c r="L407" s="338"/>
      <c r="M407" s="336"/>
    </row>
    <row r="408" spans="1:13" hidden="1" outlineLevel="2" x14ac:dyDescent="0.35">
      <c r="A408" s="339" t="s">
        <v>165</v>
      </c>
      <c r="B408" s="331">
        <v>44330</v>
      </c>
      <c r="C408" s="332" t="s">
        <v>725</v>
      </c>
      <c r="D408" s="332" t="s">
        <v>726</v>
      </c>
      <c r="E408" s="332" t="s">
        <v>606</v>
      </c>
      <c r="F408" s="336">
        <v>402360</v>
      </c>
      <c r="G408" s="330" t="s">
        <v>236</v>
      </c>
      <c r="H408" s="329">
        <v>343.06621315131753</v>
      </c>
      <c r="I408" s="338"/>
      <c r="J408" s="338"/>
      <c r="K408" s="338">
        <v>343.06621315131753</v>
      </c>
      <c r="L408" s="338"/>
      <c r="M408" s="336"/>
    </row>
    <row r="409" spans="1:13" hidden="1" outlineLevel="2" x14ac:dyDescent="0.35">
      <c r="A409" s="339" t="s">
        <v>165</v>
      </c>
      <c r="B409" s="331">
        <v>43815</v>
      </c>
      <c r="C409" s="332" t="s">
        <v>727</v>
      </c>
      <c r="D409" s="332" t="s">
        <v>728</v>
      </c>
      <c r="E409" s="332" t="s">
        <v>701</v>
      </c>
      <c r="F409" s="336">
        <v>6251640</v>
      </c>
      <c r="G409" s="330" t="s">
        <v>236</v>
      </c>
      <c r="H409" s="329">
        <v>6155.0361235875544</v>
      </c>
      <c r="I409" s="338"/>
      <c r="J409" s="338"/>
      <c r="K409" s="338">
        <v>6155.0361235875544</v>
      </c>
      <c r="L409" s="338"/>
      <c r="M409" s="336"/>
    </row>
    <row r="410" spans="1:13" hidden="1" outlineLevel="2" x14ac:dyDescent="0.35">
      <c r="A410" s="339" t="s">
        <v>165</v>
      </c>
      <c r="B410" s="331">
        <v>44330</v>
      </c>
      <c r="C410" s="332" t="s">
        <v>727</v>
      </c>
      <c r="D410" s="332" t="s">
        <v>729</v>
      </c>
      <c r="E410" s="332" t="s">
        <v>285</v>
      </c>
      <c r="F410" s="336">
        <v>54000</v>
      </c>
      <c r="G410" s="330" t="s">
        <v>236</v>
      </c>
      <c r="H410" s="329">
        <v>46.042289268742287</v>
      </c>
      <c r="I410" s="338"/>
      <c r="J410" s="338"/>
      <c r="K410" s="338">
        <v>46.042289268742287</v>
      </c>
      <c r="L410" s="338"/>
      <c r="M410" s="336"/>
    </row>
    <row r="411" spans="1:13" hidden="1" outlineLevel="2" x14ac:dyDescent="0.35">
      <c r="A411" s="339" t="s">
        <v>165</v>
      </c>
      <c r="B411" s="331">
        <v>44330</v>
      </c>
      <c r="C411" s="332" t="s">
        <v>730</v>
      </c>
      <c r="D411" s="332" t="s">
        <v>731</v>
      </c>
      <c r="E411" s="332" t="s">
        <v>606</v>
      </c>
      <c r="F411" s="336">
        <v>150740</v>
      </c>
      <c r="G411" s="330" t="s">
        <v>236</v>
      </c>
      <c r="H411" s="329">
        <v>128.52619785870763</v>
      </c>
      <c r="I411" s="338"/>
      <c r="J411" s="338"/>
      <c r="K411" s="338">
        <v>128.52619785870763</v>
      </c>
      <c r="L411" s="338"/>
      <c r="M411" s="336"/>
    </row>
    <row r="412" spans="1:13" hidden="1" outlineLevel="2" x14ac:dyDescent="0.35">
      <c r="A412" s="339" t="s">
        <v>165</v>
      </c>
      <c r="B412" s="331">
        <v>44322</v>
      </c>
      <c r="C412" s="332" t="s">
        <v>732</v>
      </c>
      <c r="D412" s="332" t="s">
        <v>733</v>
      </c>
      <c r="E412" s="332" t="s">
        <v>701</v>
      </c>
      <c r="F412" s="336">
        <v>80800</v>
      </c>
      <c r="G412" s="330" t="s">
        <v>236</v>
      </c>
      <c r="H412" s="329">
        <v>68.892906905821789</v>
      </c>
      <c r="I412" s="338"/>
      <c r="J412" s="338"/>
      <c r="K412" s="338">
        <v>68.892906905821789</v>
      </c>
      <c r="L412" s="338"/>
      <c r="M412" s="336"/>
    </row>
    <row r="413" spans="1:13" outlineLevel="1" collapsed="1" x14ac:dyDescent="0.35">
      <c r="A413" s="343" t="s">
        <v>734</v>
      </c>
      <c r="B413" s="331"/>
      <c r="C413" s="332"/>
      <c r="D413" s="332"/>
      <c r="E413" s="332"/>
      <c r="F413" s="336"/>
      <c r="G413" s="330"/>
      <c r="H413" s="329">
        <f t="shared" ref="H413:M413" si="10">SUBTOTAL(9,H397:H412)</f>
        <v>15630.970293296312</v>
      </c>
      <c r="I413" s="338">
        <f t="shared" si="10"/>
        <v>0</v>
      </c>
      <c r="J413" s="338">
        <f t="shared" si="10"/>
        <v>0</v>
      </c>
      <c r="K413" s="338">
        <f t="shared" si="10"/>
        <v>15630.970293296312</v>
      </c>
      <c r="L413" s="338">
        <f t="shared" si="10"/>
        <v>0</v>
      </c>
      <c r="M413" s="336">
        <f t="shared" si="10"/>
        <v>0</v>
      </c>
    </row>
    <row r="414" spans="1:13" hidden="1" outlineLevel="2" x14ac:dyDescent="0.35">
      <c r="A414" s="339" t="s">
        <v>158</v>
      </c>
      <c r="B414" s="331">
        <v>43795</v>
      </c>
      <c r="C414" s="332" t="s">
        <v>735</v>
      </c>
      <c r="D414" s="332" t="s">
        <v>736</v>
      </c>
      <c r="E414" s="332" t="s">
        <v>710</v>
      </c>
      <c r="F414" s="336">
        <v>906000</v>
      </c>
      <c r="G414" s="330" t="s">
        <v>236</v>
      </c>
      <c r="H414" s="329">
        <v>891.99997568163303</v>
      </c>
      <c r="I414" s="338"/>
      <c r="J414" s="338"/>
      <c r="K414" s="338">
        <v>891.99997568163303</v>
      </c>
      <c r="L414" s="338"/>
      <c r="M414" s="336"/>
    </row>
    <row r="415" spans="1:13" hidden="1" outlineLevel="2" x14ac:dyDescent="0.35">
      <c r="A415" s="339" t="s">
        <v>158</v>
      </c>
      <c r="B415" s="331">
        <v>43816</v>
      </c>
      <c r="C415" s="332" t="s">
        <v>737</v>
      </c>
      <c r="D415" s="332" t="s">
        <v>738</v>
      </c>
      <c r="E415" s="332" t="s">
        <v>710</v>
      </c>
      <c r="F415" s="336">
        <v>8000</v>
      </c>
      <c r="G415" s="330" t="s">
        <v>236</v>
      </c>
      <c r="H415" s="329">
        <v>7.8763794762175099</v>
      </c>
      <c r="I415" s="338"/>
      <c r="J415" s="338"/>
      <c r="K415" s="338">
        <v>7.8763794762175099</v>
      </c>
      <c r="L415" s="338"/>
      <c r="M415" s="336"/>
    </row>
    <row r="416" spans="1:13" hidden="1" outlineLevel="2" x14ac:dyDescent="0.35">
      <c r="A416" s="339" t="s">
        <v>158</v>
      </c>
      <c r="B416" s="331">
        <v>43818</v>
      </c>
      <c r="C416" s="332" t="s">
        <v>739</v>
      </c>
      <c r="D416" s="332" t="s">
        <v>740</v>
      </c>
      <c r="E416" s="332" t="s">
        <v>701</v>
      </c>
      <c r="F416" s="336">
        <v>62000</v>
      </c>
      <c r="G416" s="330" t="s">
        <v>236</v>
      </c>
      <c r="H416" s="329">
        <v>61.041940940685706</v>
      </c>
      <c r="I416" s="338"/>
      <c r="J416" s="338"/>
      <c r="K416" s="338">
        <v>61.041940940685706</v>
      </c>
      <c r="L416" s="338"/>
      <c r="M416" s="336"/>
    </row>
    <row r="417" spans="1:13" hidden="1" outlineLevel="2" x14ac:dyDescent="0.35">
      <c r="A417" s="339" t="s">
        <v>158</v>
      </c>
      <c r="B417" s="331">
        <v>43818</v>
      </c>
      <c r="C417" s="332" t="s">
        <v>676</v>
      </c>
      <c r="D417" s="332" t="s">
        <v>741</v>
      </c>
      <c r="E417" s="332" t="s">
        <v>701</v>
      </c>
      <c r="F417" s="336">
        <v>4994940</v>
      </c>
      <c r="G417" s="330" t="s">
        <v>236</v>
      </c>
      <c r="H417" s="329">
        <v>4917.7553626172366</v>
      </c>
      <c r="I417" s="338"/>
      <c r="J417" s="338"/>
      <c r="K417" s="338">
        <v>4917.7553626172366</v>
      </c>
      <c r="L417" s="338"/>
      <c r="M417" s="336"/>
    </row>
    <row r="418" spans="1:13" hidden="1" outlineLevel="2" x14ac:dyDescent="0.35">
      <c r="A418" s="339" t="s">
        <v>158</v>
      </c>
      <c r="B418" s="331">
        <v>43830</v>
      </c>
      <c r="C418" s="332" t="s">
        <v>742</v>
      </c>
      <c r="D418" s="332" t="s">
        <v>743</v>
      </c>
      <c r="E418" s="332" t="s">
        <v>701</v>
      </c>
      <c r="F418" s="336">
        <v>8142</v>
      </c>
      <c r="G418" s="330" t="s">
        <v>236</v>
      </c>
      <c r="H418" s="329">
        <v>8.0161852119203711</v>
      </c>
      <c r="I418" s="338"/>
      <c r="J418" s="338"/>
      <c r="K418" s="338">
        <v>8.0161852119203711</v>
      </c>
      <c r="L418" s="338"/>
      <c r="M418" s="336"/>
    </row>
    <row r="419" spans="1:13" hidden="1" outlineLevel="2" x14ac:dyDescent="0.35">
      <c r="A419" s="339" t="s">
        <v>158</v>
      </c>
      <c r="B419" s="331">
        <v>43843</v>
      </c>
      <c r="C419" s="332" t="s">
        <v>744</v>
      </c>
      <c r="D419" s="332" t="s">
        <v>745</v>
      </c>
      <c r="E419" s="332" t="s">
        <v>710</v>
      </c>
      <c r="F419" s="336">
        <v>-43800</v>
      </c>
      <c r="G419" s="330" t="s">
        <v>236</v>
      </c>
      <c r="H419" s="329">
        <v>-40.69283715714834</v>
      </c>
      <c r="I419" s="338"/>
      <c r="J419" s="338"/>
      <c r="K419" s="338">
        <v>-40.69283715714834</v>
      </c>
      <c r="L419" s="338"/>
      <c r="M419" s="336"/>
    </row>
    <row r="420" spans="1:13" hidden="1" outlineLevel="2" x14ac:dyDescent="0.35">
      <c r="A420" s="339" t="s">
        <v>158</v>
      </c>
      <c r="B420" s="331">
        <v>43861</v>
      </c>
      <c r="C420" s="332" t="s">
        <v>253</v>
      </c>
      <c r="D420" s="332" t="s">
        <v>746</v>
      </c>
      <c r="E420" s="332" t="s">
        <v>701</v>
      </c>
      <c r="F420" s="336">
        <v>149700</v>
      </c>
      <c r="G420" s="330" t="s">
        <v>236</v>
      </c>
      <c r="H420" s="329">
        <v>139.08031329737685</v>
      </c>
      <c r="I420" s="338"/>
      <c r="J420" s="338"/>
      <c r="K420" s="338">
        <v>139.08031329737685</v>
      </c>
      <c r="L420" s="338"/>
      <c r="M420" s="336"/>
    </row>
    <row r="421" spans="1:13" hidden="1" outlineLevel="2" x14ac:dyDescent="0.35">
      <c r="A421" s="339" t="s">
        <v>158</v>
      </c>
      <c r="B421" s="331">
        <v>43843</v>
      </c>
      <c r="C421" s="332" t="s">
        <v>747</v>
      </c>
      <c r="D421" s="332" t="s">
        <v>748</v>
      </c>
      <c r="E421" s="332" t="s">
        <v>749</v>
      </c>
      <c r="F421" s="336">
        <v>308000</v>
      </c>
      <c r="G421" s="330" t="s">
        <v>236</v>
      </c>
      <c r="H421" s="329">
        <v>286.15054439273257</v>
      </c>
      <c r="I421" s="338"/>
      <c r="J421" s="338"/>
      <c r="K421" s="338">
        <v>286.15054439273257</v>
      </c>
      <c r="L421" s="338"/>
      <c r="M421" s="336"/>
    </row>
    <row r="422" spans="1:13" hidden="1" outlineLevel="2" x14ac:dyDescent="0.35">
      <c r="A422" s="339" t="s">
        <v>158</v>
      </c>
      <c r="B422" s="331">
        <v>43843</v>
      </c>
      <c r="C422" s="332" t="s">
        <v>750</v>
      </c>
      <c r="D422" s="332" t="s">
        <v>751</v>
      </c>
      <c r="E422" s="332" t="s">
        <v>749</v>
      </c>
      <c r="F422" s="336">
        <v>615000</v>
      </c>
      <c r="G422" s="330" t="s">
        <v>236</v>
      </c>
      <c r="H422" s="329">
        <v>571.37202857639784</v>
      </c>
      <c r="I422" s="338"/>
      <c r="J422" s="338"/>
      <c r="K422" s="338">
        <v>571.37202857639784</v>
      </c>
      <c r="L422" s="338"/>
      <c r="M422" s="336"/>
    </row>
    <row r="423" spans="1:13" hidden="1" outlineLevel="2" x14ac:dyDescent="0.35">
      <c r="A423" s="339" t="s">
        <v>158</v>
      </c>
      <c r="B423" s="331">
        <v>43843</v>
      </c>
      <c r="C423" s="332" t="s">
        <v>233</v>
      </c>
      <c r="D423" s="332" t="s">
        <v>752</v>
      </c>
      <c r="E423" s="332" t="s">
        <v>749</v>
      </c>
      <c r="F423" s="336">
        <v>276000</v>
      </c>
      <c r="G423" s="330" t="s">
        <v>236</v>
      </c>
      <c r="H423" s="329">
        <v>256.42061770257857</v>
      </c>
      <c r="I423" s="338"/>
      <c r="J423" s="338"/>
      <c r="K423" s="338">
        <v>256.42061770257857</v>
      </c>
      <c r="L423" s="338"/>
      <c r="M423" s="336"/>
    </row>
    <row r="424" spans="1:13" hidden="1" outlineLevel="2" x14ac:dyDescent="0.35">
      <c r="A424" s="339" t="s">
        <v>158</v>
      </c>
      <c r="B424" s="331">
        <v>43843</v>
      </c>
      <c r="C424" s="332" t="s">
        <v>753</v>
      </c>
      <c r="D424" s="332" t="s">
        <v>754</v>
      </c>
      <c r="E424" s="332" t="s">
        <v>755</v>
      </c>
      <c r="F424" s="336">
        <v>276000</v>
      </c>
      <c r="G424" s="330" t="s">
        <v>236</v>
      </c>
      <c r="H424" s="329">
        <v>256.42061770257857</v>
      </c>
      <c r="I424" s="338"/>
      <c r="J424" s="338"/>
      <c r="K424" s="338">
        <v>256.42061770257857</v>
      </c>
      <c r="L424" s="338"/>
      <c r="M424" s="336"/>
    </row>
    <row r="425" spans="1:13" hidden="1" outlineLevel="2" x14ac:dyDescent="0.35">
      <c r="A425" s="339" t="s">
        <v>158</v>
      </c>
      <c r="B425" s="331">
        <v>43843</v>
      </c>
      <c r="C425" s="332" t="s">
        <v>756</v>
      </c>
      <c r="D425" s="332" t="s">
        <v>757</v>
      </c>
      <c r="E425" s="332" t="s">
        <v>758</v>
      </c>
      <c r="F425" s="336">
        <v>388000</v>
      </c>
      <c r="G425" s="330" t="s">
        <v>236</v>
      </c>
      <c r="H425" s="329">
        <v>360.47536111811769</v>
      </c>
      <c r="I425" s="338"/>
      <c r="J425" s="338"/>
      <c r="K425" s="338">
        <v>360.47536111811769</v>
      </c>
      <c r="L425" s="338"/>
      <c r="M425" s="336"/>
    </row>
    <row r="426" spans="1:13" hidden="1" outlineLevel="2" x14ac:dyDescent="0.35">
      <c r="A426" s="339" t="s">
        <v>158</v>
      </c>
      <c r="B426" s="331">
        <v>43843</v>
      </c>
      <c r="C426" s="332" t="s">
        <v>759</v>
      </c>
      <c r="D426" s="332" t="s">
        <v>760</v>
      </c>
      <c r="E426" s="332" t="s">
        <v>749</v>
      </c>
      <c r="F426" s="336">
        <v>450000</v>
      </c>
      <c r="G426" s="330" t="s">
        <v>236</v>
      </c>
      <c r="H426" s="329">
        <v>418.07709408029115</v>
      </c>
      <c r="I426" s="338"/>
      <c r="J426" s="338"/>
      <c r="K426" s="338">
        <v>418.07709408029115</v>
      </c>
      <c r="L426" s="338"/>
      <c r="M426" s="336"/>
    </row>
    <row r="427" spans="1:13" hidden="1" outlineLevel="2" x14ac:dyDescent="0.35">
      <c r="A427" s="339" t="s">
        <v>158</v>
      </c>
      <c r="B427" s="331">
        <v>43843</v>
      </c>
      <c r="C427" s="332" t="s">
        <v>761</v>
      </c>
      <c r="D427" s="332" t="s">
        <v>762</v>
      </c>
      <c r="E427" s="332" t="s">
        <v>763</v>
      </c>
      <c r="F427" s="336">
        <v>388000</v>
      </c>
      <c r="G427" s="330" t="s">
        <v>236</v>
      </c>
      <c r="H427" s="329">
        <v>360.47536111811769</v>
      </c>
      <c r="I427" s="338"/>
      <c r="J427" s="338"/>
      <c r="K427" s="338">
        <v>360.47536111811769</v>
      </c>
      <c r="L427" s="338"/>
      <c r="M427" s="336"/>
    </row>
    <row r="428" spans="1:13" hidden="1" outlineLevel="2" x14ac:dyDescent="0.35">
      <c r="A428" s="339" t="s">
        <v>158</v>
      </c>
      <c r="B428" s="331">
        <v>43855</v>
      </c>
      <c r="C428" s="332" t="s">
        <v>764</v>
      </c>
      <c r="D428" s="332" t="s">
        <v>765</v>
      </c>
      <c r="E428" s="332" t="s">
        <v>436</v>
      </c>
      <c r="F428" s="336">
        <v>549200</v>
      </c>
      <c r="G428" s="330" t="s">
        <v>236</v>
      </c>
      <c r="H428" s="329">
        <v>510.23986681976862</v>
      </c>
      <c r="I428" s="338"/>
      <c r="J428" s="338"/>
      <c r="K428" s="338">
        <v>510.23986681976862</v>
      </c>
      <c r="L428" s="338"/>
      <c r="M428" s="336"/>
    </row>
    <row r="429" spans="1:13" hidden="1" outlineLevel="2" x14ac:dyDescent="0.35">
      <c r="A429" s="339" t="s">
        <v>158</v>
      </c>
      <c r="B429" s="331">
        <v>43846</v>
      </c>
      <c r="C429" s="332" t="s">
        <v>766</v>
      </c>
      <c r="D429" s="332" t="s">
        <v>767</v>
      </c>
      <c r="E429" s="332" t="s">
        <v>749</v>
      </c>
      <c r="F429" s="336">
        <v>555000</v>
      </c>
      <c r="G429" s="330" t="s">
        <v>236</v>
      </c>
      <c r="H429" s="329">
        <v>515.62841603235904</v>
      </c>
      <c r="I429" s="338"/>
      <c r="J429" s="338"/>
      <c r="K429" s="338">
        <v>515.62841603235904</v>
      </c>
      <c r="L429" s="338"/>
      <c r="M429" s="336"/>
    </row>
    <row r="430" spans="1:13" hidden="1" outlineLevel="2" x14ac:dyDescent="0.35">
      <c r="A430" s="339" t="s">
        <v>158</v>
      </c>
      <c r="B430" s="331">
        <v>43846</v>
      </c>
      <c r="C430" s="332" t="s">
        <v>768</v>
      </c>
      <c r="D430" s="332" t="s">
        <v>769</v>
      </c>
      <c r="E430" s="332" t="s">
        <v>716</v>
      </c>
      <c r="F430" s="336">
        <v>45000</v>
      </c>
      <c r="G430" s="330" t="s">
        <v>236</v>
      </c>
      <c r="H430" s="329">
        <v>41.807709408029112</v>
      </c>
      <c r="I430" s="338"/>
      <c r="J430" s="338"/>
      <c r="K430" s="338">
        <v>41.807709408029112</v>
      </c>
      <c r="L430" s="338"/>
      <c r="M430" s="336"/>
    </row>
    <row r="431" spans="1:13" outlineLevel="1" collapsed="1" x14ac:dyDescent="0.35">
      <c r="A431" s="343" t="s">
        <v>770</v>
      </c>
      <c r="B431" s="331"/>
      <c r="C431" s="332"/>
      <c r="D431" s="332"/>
      <c r="E431" s="332"/>
      <c r="F431" s="336"/>
      <c r="G431" s="330"/>
      <c r="H431" s="329">
        <f t="shared" ref="H431:M431" si="11">SUBTOTAL(9,H414:H430)</f>
        <v>9562.1449370188948</v>
      </c>
      <c r="I431" s="338">
        <f t="shared" si="11"/>
        <v>0</v>
      </c>
      <c r="J431" s="338">
        <f t="shared" si="11"/>
        <v>0</v>
      </c>
      <c r="K431" s="338">
        <f t="shared" si="11"/>
        <v>9562.1449370188948</v>
      </c>
      <c r="L431" s="338">
        <f t="shared" si="11"/>
        <v>0</v>
      </c>
      <c r="M431" s="336">
        <f t="shared" si="11"/>
        <v>0</v>
      </c>
    </row>
    <row r="432" spans="1:13" hidden="1" outlineLevel="2" x14ac:dyDescent="0.35">
      <c r="A432" s="339" t="s">
        <v>135</v>
      </c>
      <c r="B432" s="331">
        <v>43880</v>
      </c>
      <c r="C432" s="332" t="s">
        <v>423</v>
      </c>
      <c r="D432" s="332" t="s">
        <v>771</v>
      </c>
      <c r="E432" s="332" t="s">
        <v>701</v>
      </c>
      <c r="F432" s="336">
        <v>768888</v>
      </c>
      <c r="G432" s="330" t="s">
        <v>236</v>
      </c>
      <c r="H432" s="329">
        <v>714.34324602934862</v>
      </c>
      <c r="I432" s="338"/>
      <c r="J432" s="338">
        <v>714.34324602934862</v>
      </c>
      <c r="K432" s="338"/>
      <c r="L432" s="338"/>
      <c r="M432" s="336"/>
    </row>
    <row r="433" spans="1:13" hidden="1" outlineLevel="2" x14ac:dyDescent="0.35">
      <c r="A433" s="339" t="s">
        <v>135</v>
      </c>
      <c r="B433" s="331">
        <v>44096</v>
      </c>
      <c r="C433" s="332" t="s">
        <v>772</v>
      </c>
      <c r="D433" s="332" t="s">
        <v>773</v>
      </c>
      <c r="E433" s="332" t="s">
        <v>701</v>
      </c>
      <c r="F433" s="336">
        <v>1794544</v>
      </c>
      <c r="G433" s="330" t="s">
        <v>236</v>
      </c>
      <c r="H433" s="329">
        <v>1667.2394238204931</v>
      </c>
      <c r="I433" s="338"/>
      <c r="J433" s="338">
        <v>1667.2394238204931</v>
      </c>
      <c r="K433" s="338"/>
      <c r="L433" s="338"/>
      <c r="M433" s="336"/>
    </row>
    <row r="434" spans="1:13" hidden="1" outlineLevel="2" x14ac:dyDescent="0.35">
      <c r="A434" s="339" t="s">
        <v>135</v>
      </c>
      <c r="B434" s="331">
        <v>43875</v>
      </c>
      <c r="C434" s="332" t="s">
        <v>774</v>
      </c>
      <c r="D434" s="332" t="s">
        <v>775</v>
      </c>
      <c r="E434" s="332" t="s">
        <v>710</v>
      </c>
      <c r="F434" s="336">
        <v>396200</v>
      </c>
      <c r="G434" s="330" t="s">
        <v>236</v>
      </c>
      <c r="H434" s="329">
        <v>368.09365483246967</v>
      </c>
      <c r="I434" s="338"/>
      <c r="J434" s="338">
        <v>368.09365483246967</v>
      </c>
      <c r="K434" s="338"/>
      <c r="L434" s="338"/>
      <c r="M434" s="336"/>
    </row>
    <row r="435" spans="1:13" hidden="1" outlineLevel="2" x14ac:dyDescent="0.35">
      <c r="A435" s="339" t="s">
        <v>135</v>
      </c>
      <c r="B435" s="331">
        <v>44085</v>
      </c>
      <c r="C435" s="332" t="s">
        <v>776</v>
      </c>
      <c r="D435" s="332" t="s">
        <v>777</v>
      </c>
      <c r="E435" s="332" t="s">
        <v>436</v>
      </c>
      <c r="F435" s="336">
        <v>743800</v>
      </c>
      <c r="G435" s="330" t="s">
        <v>236</v>
      </c>
      <c r="H435" s="329">
        <v>691.03498350426787</v>
      </c>
      <c r="I435" s="338"/>
      <c r="J435" s="338">
        <v>691.03498350426787</v>
      </c>
      <c r="K435" s="338"/>
      <c r="L435" s="338"/>
      <c r="M435" s="336"/>
    </row>
    <row r="436" spans="1:13" hidden="1" outlineLevel="2" x14ac:dyDescent="0.35">
      <c r="A436" s="339" t="s">
        <v>135</v>
      </c>
      <c r="B436" s="331">
        <v>43768</v>
      </c>
      <c r="C436" s="332" t="s">
        <v>531</v>
      </c>
      <c r="D436" s="332" t="s">
        <v>778</v>
      </c>
      <c r="E436" s="332" t="s">
        <v>710</v>
      </c>
      <c r="F436" s="336">
        <v>434900</v>
      </c>
      <c r="G436" s="330" t="s">
        <v>236</v>
      </c>
      <c r="H436" s="329">
        <v>428.17967927587438</v>
      </c>
      <c r="I436" s="338"/>
      <c r="J436" s="338">
        <v>428.17967927587438</v>
      </c>
      <c r="K436" s="338"/>
      <c r="L436" s="338"/>
      <c r="M436" s="336"/>
    </row>
    <row r="437" spans="1:13" hidden="1" outlineLevel="2" x14ac:dyDescent="0.35">
      <c r="A437" s="339" t="s">
        <v>135</v>
      </c>
      <c r="B437" s="331">
        <v>43775</v>
      </c>
      <c r="C437" s="332" t="s">
        <v>779</v>
      </c>
      <c r="D437" s="332" t="s">
        <v>780</v>
      </c>
      <c r="E437" s="332" t="s">
        <v>701</v>
      </c>
      <c r="F437" s="336">
        <v>1511344</v>
      </c>
      <c r="G437" s="330" t="s">
        <v>236</v>
      </c>
      <c r="H437" s="329">
        <v>1487.9898578880595</v>
      </c>
      <c r="I437" s="338"/>
      <c r="J437" s="338">
        <v>1487.9898578880595</v>
      </c>
      <c r="K437" s="338"/>
      <c r="L437" s="338"/>
      <c r="M437" s="336"/>
    </row>
    <row r="438" spans="1:13" hidden="1" outlineLevel="2" x14ac:dyDescent="0.35">
      <c r="A438" s="339" t="s">
        <v>135</v>
      </c>
      <c r="B438" s="331">
        <v>43809</v>
      </c>
      <c r="C438" s="332" t="s">
        <v>781</v>
      </c>
      <c r="D438" s="332" t="s">
        <v>724</v>
      </c>
      <c r="E438" s="332" t="s">
        <v>701</v>
      </c>
      <c r="F438" s="336">
        <v>80000</v>
      </c>
      <c r="G438" s="330" t="s">
        <v>236</v>
      </c>
      <c r="H438" s="329">
        <v>78.76379476217511</v>
      </c>
      <c r="I438" s="338"/>
      <c r="J438" s="338">
        <v>78.76379476217511</v>
      </c>
      <c r="K438" s="338"/>
      <c r="L438" s="338"/>
      <c r="M438" s="336"/>
    </row>
    <row r="439" spans="1:13" outlineLevel="1" collapsed="1" x14ac:dyDescent="0.35">
      <c r="A439" s="343" t="s">
        <v>782</v>
      </c>
      <c r="B439" s="331"/>
      <c r="C439" s="332"/>
      <c r="D439" s="332"/>
      <c r="E439" s="332"/>
      <c r="F439" s="336"/>
      <c r="G439" s="330"/>
      <c r="H439" s="329">
        <f t="shared" ref="H439:M439" si="12">SUBTOTAL(9,H432:H438)</f>
        <v>5435.6446401126886</v>
      </c>
      <c r="I439" s="338">
        <f t="shared" si="12"/>
        <v>0</v>
      </c>
      <c r="J439" s="338">
        <f t="shared" si="12"/>
        <v>5435.6446401126886</v>
      </c>
      <c r="K439" s="338">
        <f t="shared" si="12"/>
        <v>0</v>
      </c>
      <c r="L439" s="338">
        <f t="shared" si="12"/>
        <v>0</v>
      </c>
      <c r="M439" s="336">
        <f t="shared" si="12"/>
        <v>0</v>
      </c>
    </row>
    <row r="440" spans="1:13" hidden="1" outlineLevel="2" x14ac:dyDescent="0.35">
      <c r="A440" s="339" t="s">
        <v>116</v>
      </c>
      <c r="B440" s="331">
        <v>43815</v>
      </c>
      <c r="C440" s="332" t="s">
        <v>783</v>
      </c>
      <c r="D440" s="332" t="s">
        <v>784</v>
      </c>
      <c r="E440" s="332" t="s">
        <v>710</v>
      </c>
      <c r="F440" s="336">
        <v>392200</v>
      </c>
      <c r="G440" s="330" t="s">
        <v>236</v>
      </c>
      <c r="H440" s="329">
        <v>386.13950382156344</v>
      </c>
      <c r="I440" s="338">
        <v>386.13950382156344</v>
      </c>
      <c r="J440" s="338"/>
      <c r="K440" s="338"/>
      <c r="L440" s="338"/>
      <c r="M440" s="336"/>
    </row>
    <row r="441" spans="1:13" hidden="1" outlineLevel="2" x14ac:dyDescent="0.35">
      <c r="A441" s="339" t="s">
        <v>116</v>
      </c>
      <c r="B441" s="331">
        <v>43818</v>
      </c>
      <c r="C441" s="332" t="s">
        <v>604</v>
      </c>
      <c r="D441" s="332" t="s">
        <v>785</v>
      </c>
      <c r="E441" s="332" t="s">
        <v>701</v>
      </c>
      <c r="F441" s="336">
        <v>3143520</v>
      </c>
      <c r="G441" s="330" t="s">
        <v>236</v>
      </c>
      <c r="H441" s="329">
        <v>3094.9445513849087</v>
      </c>
      <c r="I441" s="338">
        <v>3094.9445513849087</v>
      </c>
      <c r="J441" s="338"/>
      <c r="K441" s="338"/>
      <c r="L441" s="338"/>
      <c r="M441" s="336"/>
    </row>
    <row r="442" spans="1:13" outlineLevel="1" collapsed="1" x14ac:dyDescent="0.35">
      <c r="A442" s="343" t="s">
        <v>786</v>
      </c>
      <c r="B442" s="331"/>
      <c r="C442" s="332"/>
      <c r="D442" s="332"/>
      <c r="E442" s="332"/>
      <c r="F442" s="336"/>
      <c r="G442" s="330"/>
      <c r="H442" s="329">
        <f t="shared" ref="H442:M442" si="13">SUBTOTAL(9,H440:H441)</f>
        <v>3481.0840552064719</v>
      </c>
      <c r="I442" s="338">
        <f t="shared" si="13"/>
        <v>3481.0840552064719</v>
      </c>
      <c r="J442" s="338">
        <f t="shared" si="13"/>
        <v>0</v>
      </c>
      <c r="K442" s="338">
        <f t="shared" si="13"/>
        <v>0</v>
      </c>
      <c r="L442" s="338">
        <f t="shared" si="13"/>
        <v>0</v>
      </c>
      <c r="M442" s="336">
        <f t="shared" si="13"/>
        <v>0</v>
      </c>
    </row>
    <row r="443" spans="1:13" hidden="1" outlineLevel="2" x14ac:dyDescent="0.35">
      <c r="A443" s="339" t="s">
        <v>113</v>
      </c>
      <c r="B443" s="331">
        <v>43910</v>
      </c>
      <c r="C443" s="332" t="s">
        <v>787</v>
      </c>
      <c r="D443" s="332" t="s">
        <v>788</v>
      </c>
      <c r="E443" s="332" t="s">
        <v>701</v>
      </c>
      <c r="F443" s="336">
        <v>5092880</v>
      </c>
      <c r="G443" s="330" t="s">
        <v>236</v>
      </c>
      <c r="H443" s="329">
        <v>4731.59215755474</v>
      </c>
      <c r="I443" s="338">
        <v>4731.59215755474</v>
      </c>
      <c r="J443" s="338"/>
      <c r="K443" s="338"/>
      <c r="L443" s="338"/>
      <c r="M443" s="336"/>
    </row>
    <row r="444" spans="1:13" hidden="1" outlineLevel="2" x14ac:dyDescent="0.35">
      <c r="A444" s="339" t="s">
        <v>113</v>
      </c>
      <c r="B444" s="331">
        <v>43910</v>
      </c>
      <c r="C444" s="332" t="s">
        <v>682</v>
      </c>
      <c r="D444" s="332" t="s">
        <v>789</v>
      </c>
      <c r="E444" s="332" t="s">
        <v>701</v>
      </c>
      <c r="F444" s="336">
        <v>144750</v>
      </c>
      <c r="G444" s="330" t="s">
        <v>236</v>
      </c>
      <c r="H444" s="329">
        <v>134.48146526249366</v>
      </c>
      <c r="I444" s="338">
        <v>134.48146526249366</v>
      </c>
      <c r="J444" s="338"/>
      <c r="K444" s="338"/>
      <c r="L444" s="338"/>
      <c r="M444" s="336"/>
    </row>
    <row r="445" spans="1:13" hidden="1" outlineLevel="2" x14ac:dyDescent="0.35">
      <c r="A445" s="339" t="s">
        <v>113</v>
      </c>
      <c r="B445" s="331">
        <v>43937</v>
      </c>
      <c r="C445" s="332" t="s">
        <v>790</v>
      </c>
      <c r="D445" s="332" t="s">
        <v>791</v>
      </c>
      <c r="E445" s="332" t="s">
        <v>472</v>
      </c>
      <c r="F445" s="336">
        <v>306114</v>
      </c>
      <c r="G445" s="330" t="s">
        <v>236</v>
      </c>
      <c r="H445" s="329">
        <v>284.39833683843165</v>
      </c>
      <c r="I445" s="338">
        <v>284.39833683843165</v>
      </c>
      <c r="J445" s="338"/>
      <c r="K445" s="338"/>
      <c r="L445" s="338"/>
      <c r="M445" s="336"/>
    </row>
    <row r="446" spans="1:13" hidden="1" outlineLevel="2" x14ac:dyDescent="0.35">
      <c r="A446" s="339" t="s">
        <v>113</v>
      </c>
      <c r="B446" s="331">
        <v>43892</v>
      </c>
      <c r="C446" s="332" t="s">
        <v>265</v>
      </c>
      <c r="D446" s="332" t="s">
        <v>792</v>
      </c>
      <c r="E446" s="332" t="s">
        <v>436</v>
      </c>
      <c r="F446" s="336">
        <v>16000</v>
      </c>
      <c r="G446" s="330" t="s">
        <v>236</v>
      </c>
      <c r="H446" s="329">
        <v>14.864963345077017</v>
      </c>
      <c r="I446" s="338">
        <v>14.864963345077017</v>
      </c>
      <c r="J446" s="338"/>
      <c r="K446" s="338"/>
      <c r="L446" s="338"/>
      <c r="M446" s="336"/>
    </row>
    <row r="447" spans="1:13" hidden="1" outlineLevel="2" x14ac:dyDescent="0.35">
      <c r="A447" s="339" t="s">
        <v>113</v>
      </c>
      <c r="B447" s="331">
        <v>43894</v>
      </c>
      <c r="C447" s="332" t="s">
        <v>680</v>
      </c>
      <c r="D447" s="332" t="s">
        <v>793</v>
      </c>
      <c r="E447" s="332" t="s">
        <v>436</v>
      </c>
      <c r="F447" s="336">
        <v>862480</v>
      </c>
      <c r="G447" s="330" t="s">
        <v>236</v>
      </c>
      <c r="H447" s="329">
        <v>801.29584911637664</v>
      </c>
      <c r="I447" s="338">
        <v>801.29584911637664</v>
      </c>
      <c r="J447" s="338"/>
      <c r="K447" s="338"/>
      <c r="L447" s="338"/>
      <c r="M447" s="336"/>
    </row>
    <row r="448" spans="1:13" hidden="1" outlineLevel="2" x14ac:dyDescent="0.35">
      <c r="A448" s="339" t="s">
        <v>113</v>
      </c>
      <c r="B448" s="331">
        <v>43894</v>
      </c>
      <c r="C448" s="332" t="s">
        <v>276</v>
      </c>
      <c r="D448" s="332" t="s">
        <v>794</v>
      </c>
      <c r="E448" s="332" t="s">
        <v>436</v>
      </c>
      <c r="F448" s="336">
        <v>3500</v>
      </c>
      <c r="G448" s="330" t="s">
        <v>236</v>
      </c>
      <c r="H448" s="329">
        <v>3.2517107317355975</v>
      </c>
      <c r="I448" s="338">
        <v>3.2517107317355975</v>
      </c>
      <c r="J448" s="338"/>
      <c r="K448" s="338"/>
      <c r="L448" s="338"/>
      <c r="M448" s="336"/>
    </row>
    <row r="449" spans="1:13" hidden="1" outlineLevel="2" x14ac:dyDescent="0.35">
      <c r="A449" s="339" t="s">
        <v>113</v>
      </c>
      <c r="B449" s="331">
        <v>43899</v>
      </c>
      <c r="C449" s="332" t="s">
        <v>278</v>
      </c>
      <c r="D449" s="332" t="s">
        <v>795</v>
      </c>
      <c r="E449" s="332" t="s">
        <v>436</v>
      </c>
      <c r="F449" s="336">
        <v>15000</v>
      </c>
      <c r="G449" s="330" t="s">
        <v>236</v>
      </c>
      <c r="H449" s="329">
        <v>13.935903136009705</v>
      </c>
      <c r="I449" s="338">
        <v>13.935903136009705</v>
      </c>
      <c r="J449" s="338"/>
      <c r="K449" s="338"/>
      <c r="L449" s="338"/>
      <c r="M449" s="336"/>
    </row>
    <row r="450" spans="1:13" hidden="1" outlineLevel="2" x14ac:dyDescent="0.35">
      <c r="A450" s="339" t="s">
        <v>113</v>
      </c>
      <c r="B450" s="331">
        <v>43889</v>
      </c>
      <c r="C450" s="332" t="s">
        <v>796</v>
      </c>
      <c r="D450" s="332" t="s">
        <v>797</v>
      </c>
      <c r="E450" s="332" t="s">
        <v>798</v>
      </c>
      <c r="F450" s="336">
        <v>346.74</v>
      </c>
      <c r="G450" s="330" t="s">
        <v>56</v>
      </c>
      <c r="H450" s="329">
        <v>346.74</v>
      </c>
      <c r="I450" s="338">
        <f>H450</f>
        <v>346.74</v>
      </c>
      <c r="J450" s="338"/>
      <c r="K450" s="338"/>
      <c r="L450" s="338"/>
      <c r="M450" s="332"/>
    </row>
    <row r="451" spans="1:13" hidden="1" outlineLevel="2" x14ac:dyDescent="0.35">
      <c r="A451" s="339" t="s">
        <v>113</v>
      </c>
      <c r="B451" s="344">
        <v>43895</v>
      </c>
      <c r="C451" s="345" t="s">
        <v>799</v>
      </c>
      <c r="D451" s="345" t="s">
        <v>800</v>
      </c>
      <c r="E451" s="345" t="s">
        <v>801</v>
      </c>
      <c r="F451" s="346">
        <v>430.2</v>
      </c>
      <c r="G451" s="330" t="s">
        <v>56</v>
      </c>
      <c r="H451" s="329">
        <v>430.2</v>
      </c>
      <c r="I451" s="338">
        <f>H451</f>
        <v>430.2</v>
      </c>
      <c r="J451" s="338"/>
      <c r="K451" s="338"/>
      <c r="L451" s="338"/>
      <c r="M451" s="345"/>
    </row>
    <row r="452" spans="1:13" hidden="1" outlineLevel="2" x14ac:dyDescent="0.35">
      <c r="A452" s="339" t="s">
        <v>113</v>
      </c>
      <c r="B452" s="331">
        <v>43895</v>
      </c>
      <c r="C452" s="332" t="s">
        <v>802</v>
      </c>
      <c r="D452" s="332" t="s">
        <v>803</v>
      </c>
      <c r="E452" s="332" t="s">
        <v>804</v>
      </c>
      <c r="F452" s="336">
        <v>350</v>
      </c>
      <c r="G452" s="330" t="s">
        <v>805</v>
      </c>
      <c r="H452" s="329">
        <v>307.01754385964915</v>
      </c>
      <c r="I452" s="338">
        <f>H452</f>
        <v>307.01754385964915</v>
      </c>
      <c r="J452" s="338"/>
      <c r="K452" s="338"/>
      <c r="L452" s="338"/>
      <c r="M452" s="332"/>
    </row>
    <row r="453" spans="1:13" outlineLevel="1" collapsed="1" x14ac:dyDescent="0.35">
      <c r="A453" s="343" t="s">
        <v>806</v>
      </c>
      <c r="B453" s="331"/>
      <c r="C453" s="332"/>
      <c r="D453" s="332"/>
      <c r="E453" s="332"/>
      <c r="F453" s="336"/>
      <c r="G453" s="330"/>
      <c r="H453" s="329">
        <f t="shared" ref="H453:M453" si="14">SUBTOTAL(9,H443:H452)</f>
        <v>7067.7779298445121</v>
      </c>
      <c r="I453" s="338">
        <f t="shared" si="14"/>
        <v>7067.7779298445121</v>
      </c>
      <c r="J453" s="338">
        <f t="shared" si="14"/>
        <v>0</v>
      </c>
      <c r="K453" s="338">
        <f t="shared" si="14"/>
        <v>0</v>
      </c>
      <c r="L453" s="338">
        <f t="shared" si="14"/>
        <v>0</v>
      </c>
      <c r="M453" s="332">
        <f t="shared" si="14"/>
        <v>0</v>
      </c>
    </row>
    <row r="454" spans="1:13" hidden="1" outlineLevel="2" x14ac:dyDescent="0.35">
      <c r="A454" s="339" t="s">
        <v>115</v>
      </c>
      <c r="B454" s="331">
        <v>44070</v>
      </c>
      <c r="C454" s="332" t="s">
        <v>685</v>
      </c>
      <c r="D454" s="332" t="s">
        <v>807</v>
      </c>
      <c r="E454" s="332" t="s">
        <v>701</v>
      </c>
      <c r="F454" s="336">
        <v>5338910</v>
      </c>
      <c r="G454" s="330" t="s">
        <v>236</v>
      </c>
      <c r="H454" s="329">
        <v>4960.1688407915717</v>
      </c>
      <c r="I454" s="338">
        <v>4960.1688407915717</v>
      </c>
      <c r="J454" s="338"/>
      <c r="K454" s="338"/>
      <c r="L454" s="338"/>
      <c r="M454" s="336"/>
    </row>
    <row r="455" spans="1:13" hidden="1" outlineLevel="2" x14ac:dyDescent="0.35">
      <c r="A455" s="339" t="s">
        <v>115</v>
      </c>
      <c r="B455" s="331">
        <v>44061</v>
      </c>
      <c r="C455" s="332" t="s">
        <v>462</v>
      </c>
      <c r="D455" s="332" t="s">
        <v>808</v>
      </c>
      <c r="E455" s="332" t="s">
        <v>436</v>
      </c>
      <c r="F455" s="336">
        <v>36000</v>
      </c>
      <c r="G455" s="330" t="s">
        <v>236</v>
      </c>
      <c r="H455" s="329">
        <v>33.446167526423288</v>
      </c>
      <c r="I455" s="338">
        <v>33.446167526423288</v>
      </c>
      <c r="J455" s="338"/>
      <c r="K455" s="338"/>
      <c r="L455" s="338"/>
      <c r="M455" s="336"/>
    </row>
    <row r="456" spans="1:13" hidden="1" outlineLevel="2" x14ac:dyDescent="0.35">
      <c r="A456" s="339" t="s">
        <v>115</v>
      </c>
      <c r="B456" s="331">
        <v>44057</v>
      </c>
      <c r="C456" s="332" t="s">
        <v>809</v>
      </c>
      <c r="D456" s="332" t="s">
        <v>810</v>
      </c>
      <c r="E456" s="332" t="s">
        <v>436</v>
      </c>
      <c r="F456" s="336">
        <v>268240</v>
      </c>
      <c r="G456" s="330" t="s">
        <v>236</v>
      </c>
      <c r="H456" s="329">
        <v>249.21111048021621</v>
      </c>
      <c r="I456" s="338">
        <v>249.21111048021621</v>
      </c>
      <c r="J456" s="338"/>
      <c r="K456" s="338"/>
      <c r="L456" s="338"/>
      <c r="M456" s="336"/>
    </row>
    <row r="457" spans="1:13" hidden="1" outlineLevel="2" x14ac:dyDescent="0.35">
      <c r="A457" s="339" t="s">
        <v>115</v>
      </c>
      <c r="B457" s="331">
        <v>44062</v>
      </c>
      <c r="C457" s="332" t="s">
        <v>811</v>
      </c>
      <c r="D457" s="332" t="s">
        <v>812</v>
      </c>
      <c r="E457" s="332" t="s">
        <v>436</v>
      </c>
      <c r="F457" s="336">
        <v>358170</v>
      </c>
      <c r="G457" s="330" t="s">
        <v>236</v>
      </c>
      <c r="H457" s="329">
        <v>332.76149508163974</v>
      </c>
      <c r="I457" s="338">
        <v>332.76149508163974</v>
      </c>
      <c r="J457" s="338"/>
      <c r="K457" s="338"/>
      <c r="L457" s="338"/>
      <c r="M457" s="336"/>
    </row>
    <row r="458" spans="1:13" hidden="1" outlineLevel="2" x14ac:dyDescent="0.35">
      <c r="A458" s="339" t="s">
        <v>115</v>
      </c>
      <c r="B458" s="331">
        <v>44251</v>
      </c>
      <c r="C458" s="332" t="s">
        <v>813</v>
      </c>
      <c r="D458" s="332" t="s">
        <v>814</v>
      </c>
      <c r="E458" s="332" t="s">
        <v>285</v>
      </c>
      <c r="F458" s="336">
        <v>46800</v>
      </c>
      <c r="G458" s="330" t="s">
        <v>236</v>
      </c>
      <c r="H458" s="329">
        <v>39.903317366243314</v>
      </c>
      <c r="I458" s="338">
        <v>39.903317366243314</v>
      </c>
      <c r="J458" s="338"/>
      <c r="K458" s="338"/>
      <c r="L458" s="338"/>
      <c r="M458" s="336"/>
    </row>
    <row r="459" spans="1:13" hidden="1" outlineLevel="2" x14ac:dyDescent="0.35">
      <c r="A459" s="339" t="s">
        <v>115</v>
      </c>
      <c r="B459" s="331">
        <v>44320</v>
      </c>
      <c r="C459" s="332" t="s">
        <v>815</v>
      </c>
      <c r="D459" s="332" t="s">
        <v>816</v>
      </c>
      <c r="E459" s="332" t="s">
        <v>606</v>
      </c>
      <c r="F459" s="336">
        <v>1466640</v>
      </c>
      <c r="G459" s="330" t="s">
        <v>236</v>
      </c>
      <c r="H459" s="329">
        <v>1250.5085765390404</v>
      </c>
      <c r="I459" s="338">
        <v>1250.5085765390404</v>
      </c>
      <c r="J459" s="338"/>
      <c r="K459" s="338"/>
      <c r="L459" s="338"/>
      <c r="M459" s="336"/>
    </row>
    <row r="460" spans="1:13" hidden="1" outlineLevel="2" x14ac:dyDescent="0.35">
      <c r="A460" s="339" t="s">
        <v>115</v>
      </c>
      <c r="B460" s="331">
        <v>44323</v>
      </c>
      <c r="C460" s="332" t="s">
        <v>719</v>
      </c>
      <c r="D460" s="332" t="s">
        <v>817</v>
      </c>
      <c r="E460" s="332" t="s">
        <v>606</v>
      </c>
      <c r="F460" s="336">
        <v>536480</v>
      </c>
      <c r="G460" s="330" t="s">
        <v>236</v>
      </c>
      <c r="H460" s="329">
        <v>457.42161753509004</v>
      </c>
      <c r="I460" s="338">
        <v>457.42161753509004</v>
      </c>
      <c r="J460" s="338"/>
      <c r="K460" s="338"/>
      <c r="L460" s="338"/>
      <c r="M460" s="336"/>
    </row>
    <row r="461" spans="1:13" hidden="1" outlineLevel="2" x14ac:dyDescent="0.35">
      <c r="A461" s="339" t="s">
        <v>115</v>
      </c>
      <c r="B461" s="331">
        <v>44323</v>
      </c>
      <c r="C461" s="332" t="s">
        <v>721</v>
      </c>
      <c r="D461" s="332" t="s">
        <v>818</v>
      </c>
      <c r="E461" s="332" t="s">
        <v>285</v>
      </c>
      <c r="F461" s="336">
        <v>72000</v>
      </c>
      <c r="G461" s="330" t="s">
        <v>236</v>
      </c>
      <c r="H461" s="329">
        <v>61.389719024989716</v>
      </c>
      <c r="I461" s="338">
        <v>61.389719024989716</v>
      </c>
      <c r="J461" s="338"/>
      <c r="K461" s="338"/>
      <c r="L461" s="338"/>
      <c r="M461" s="336"/>
    </row>
    <row r="462" spans="1:13" hidden="1" outlineLevel="2" x14ac:dyDescent="0.35">
      <c r="A462" s="339" t="s">
        <v>115</v>
      </c>
      <c r="B462" s="331">
        <v>44327</v>
      </c>
      <c r="C462" s="332" t="s">
        <v>819</v>
      </c>
      <c r="D462" s="332" t="s">
        <v>820</v>
      </c>
      <c r="E462" s="332" t="s">
        <v>821</v>
      </c>
      <c r="F462" s="336">
        <v>123740</v>
      </c>
      <c r="G462" s="330" t="s">
        <v>236</v>
      </c>
      <c r="H462" s="329">
        <v>105.50505322433649</v>
      </c>
      <c r="I462" s="338">
        <v>105.50505322433649</v>
      </c>
      <c r="J462" s="338"/>
      <c r="K462" s="338"/>
      <c r="L462" s="338"/>
      <c r="M462" s="336"/>
    </row>
    <row r="463" spans="1:13" hidden="1" outlineLevel="2" x14ac:dyDescent="0.35">
      <c r="A463" s="339" t="s">
        <v>115</v>
      </c>
      <c r="B463" s="331">
        <v>44312</v>
      </c>
      <c r="C463" s="332" t="s">
        <v>822</v>
      </c>
      <c r="D463" s="332" t="s">
        <v>823</v>
      </c>
      <c r="E463" s="332" t="s">
        <v>701</v>
      </c>
      <c r="F463" s="336">
        <v>104000</v>
      </c>
      <c r="G463" s="330" t="s">
        <v>236</v>
      </c>
      <c r="H463" s="329">
        <v>88.674038591651808</v>
      </c>
      <c r="I463" s="338">
        <v>88.674038591651808</v>
      </c>
      <c r="J463" s="338"/>
      <c r="K463" s="338"/>
      <c r="L463" s="338"/>
      <c r="M463" s="336"/>
    </row>
    <row r="464" spans="1:13" hidden="1" outlineLevel="2" x14ac:dyDescent="0.35">
      <c r="A464" s="339" t="s">
        <v>115</v>
      </c>
      <c r="B464" s="331">
        <v>44322</v>
      </c>
      <c r="C464" s="332" t="s">
        <v>824</v>
      </c>
      <c r="D464" s="332" t="s">
        <v>825</v>
      </c>
      <c r="E464" s="332" t="s">
        <v>701</v>
      </c>
      <c r="F464" s="336">
        <v>6973800</v>
      </c>
      <c r="G464" s="330" t="s">
        <v>236</v>
      </c>
      <c r="H464" s="329">
        <v>5946.1058685621292</v>
      </c>
      <c r="I464" s="338">
        <v>5946.1058685621292</v>
      </c>
      <c r="J464" s="338"/>
      <c r="K464" s="338"/>
      <c r="L464" s="338"/>
      <c r="M464" s="336"/>
    </row>
    <row r="465" spans="1:13" hidden="1" outlineLevel="2" x14ac:dyDescent="0.35">
      <c r="A465" s="339" t="s">
        <v>115</v>
      </c>
      <c r="B465" s="331">
        <v>44322</v>
      </c>
      <c r="C465" s="332" t="s">
        <v>826</v>
      </c>
      <c r="D465" s="332" t="s">
        <v>827</v>
      </c>
      <c r="E465" s="332" t="s">
        <v>701</v>
      </c>
      <c r="F465" s="336">
        <v>78600</v>
      </c>
      <c r="G465" s="330" t="s">
        <v>236</v>
      </c>
      <c r="H465" s="329">
        <v>67.017109935613774</v>
      </c>
      <c r="I465" s="338">
        <v>67.017109935613774</v>
      </c>
      <c r="J465" s="338"/>
      <c r="K465" s="338"/>
      <c r="L465" s="338"/>
      <c r="M465" s="336"/>
    </row>
    <row r="466" spans="1:13" outlineLevel="1" collapsed="1" x14ac:dyDescent="0.35">
      <c r="A466" s="343" t="s">
        <v>828</v>
      </c>
      <c r="B466" s="331"/>
      <c r="C466" s="332"/>
      <c r="D466" s="332"/>
      <c r="E466" s="332"/>
      <c r="F466" s="336"/>
      <c r="G466" s="330"/>
      <c r="H466" s="329">
        <f t="shared" ref="H466:M466" si="15">SUBTOTAL(9,H454:H465)</f>
        <v>13592.112914658946</v>
      </c>
      <c r="I466" s="338">
        <f t="shared" si="15"/>
        <v>13592.112914658946</v>
      </c>
      <c r="J466" s="338">
        <f t="shared" si="15"/>
        <v>0</v>
      </c>
      <c r="K466" s="338">
        <f t="shared" si="15"/>
        <v>0</v>
      </c>
      <c r="L466" s="338">
        <f t="shared" si="15"/>
        <v>0</v>
      </c>
      <c r="M466" s="336">
        <f t="shared" si="15"/>
        <v>0</v>
      </c>
    </row>
    <row r="467" spans="1:13" hidden="1" outlineLevel="2" x14ac:dyDescent="0.35">
      <c r="A467" s="339" t="s">
        <v>129</v>
      </c>
      <c r="B467" s="331">
        <v>43748</v>
      </c>
      <c r="C467" s="332" t="s">
        <v>829</v>
      </c>
      <c r="D467" s="332" t="s">
        <v>830</v>
      </c>
      <c r="E467" s="332" t="s">
        <v>716</v>
      </c>
      <c r="F467" s="336">
        <v>51000</v>
      </c>
      <c r="G467" s="330" t="s">
        <v>236</v>
      </c>
      <c r="H467" s="329">
        <v>50.21191916088663</v>
      </c>
      <c r="I467" s="338"/>
      <c r="J467" s="338">
        <v>50.21191916088663</v>
      </c>
      <c r="K467" s="338"/>
      <c r="L467" s="338"/>
      <c r="M467" s="336"/>
    </row>
    <row r="468" spans="1:13" hidden="1" outlineLevel="2" x14ac:dyDescent="0.35">
      <c r="A468" s="339" t="s">
        <v>129</v>
      </c>
      <c r="B468" s="331">
        <v>43763</v>
      </c>
      <c r="C468" s="332" t="s">
        <v>831</v>
      </c>
      <c r="D468" s="332" t="s">
        <v>832</v>
      </c>
      <c r="E468" s="332" t="s">
        <v>833</v>
      </c>
      <c r="F468" s="336">
        <v>1315020</v>
      </c>
      <c r="G468" s="330" t="s">
        <v>236</v>
      </c>
      <c r="H468" s="329">
        <v>1294.6995673519439</v>
      </c>
      <c r="I468" s="338"/>
      <c r="J468" s="338">
        <v>1294.6995673519439</v>
      </c>
      <c r="K468" s="338"/>
      <c r="L468" s="338"/>
      <c r="M468" s="336"/>
    </row>
    <row r="469" spans="1:13" hidden="1" outlineLevel="2" x14ac:dyDescent="0.35">
      <c r="A469" s="339" t="s">
        <v>129</v>
      </c>
      <c r="B469" s="344">
        <v>43775</v>
      </c>
      <c r="C469" s="345" t="s">
        <v>834</v>
      </c>
      <c r="D469" s="345" t="s">
        <v>835</v>
      </c>
      <c r="E469" s="345" t="s">
        <v>701</v>
      </c>
      <c r="F469" s="346">
        <v>3536696</v>
      </c>
      <c r="G469" s="330" t="s">
        <v>236</v>
      </c>
      <c r="H469" s="329">
        <v>3482.0449735025704</v>
      </c>
      <c r="I469" s="338"/>
      <c r="J469" s="338">
        <v>3482.0449735025704</v>
      </c>
      <c r="K469" s="338"/>
      <c r="L469" s="338"/>
      <c r="M469" s="346"/>
    </row>
    <row r="470" spans="1:13" hidden="1" outlineLevel="2" x14ac:dyDescent="0.35">
      <c r="A470" s="339" t="s">
        <v>129</v>
      </c>
      <c r="B470" s="331">
        <v>43775</v>
      </c>
      <c r="C470" s="332" t="s">
        <v>836</v>
      </c>
      <c r="D470" s="332" t="s">
        <v>837</v>
      </c>
      <c r="E470" s="332" t="s">
        <v>701</v>
      </c>
      <c r="F470" s="336">
        <v>125120</v>
      </c>
      <c r="G470" s="330" t="s">
        <v>236</v>
      </c>
      <c r="H470" s="329">
        <v>123.18657500804186</v>
      </c>
      <c r="I470" s="338"/>
      <c r="J470" s="338">
        <v>123.18657500804186</v>
      </c>
      <c r="K470" s="338"/>
      <c r="L470" s="338"/>
      <c r="M470" s="336"/>
    </row>
    <row r="471" spans="1:13" hidden="1" outlineLevel="2" x14ac:dyDescent="0.35">
      <c r="A471" s="339" t="s">
        <v>129</v>
      </c>
      <c r="B471" s="331">
        <v>43873</v>
      </c>
      <c r="C471" s="332" t="s">
        <v>838</v>
      </c>
      <c r="D471" s="332" t="s">
        <v>839</v>
      </c>
      <c r="E471" s="332" t="s">
        <v>701</v>
      </c>
      <c r="F471" s="336">
        <v>3938604</v>
      </c>
      <c r="G471" s="330" t="s">
        <v>236</v>
      </c>
      <c r="H471" s="329">
        <v>3659.2002556733578</v>
      </c>
      <c r="I471" s="338"/>
      <c r="J471" s="338">
        <v>3659.2002556733578</v>
      </c>
      <c r="K471" s="338"/>
      <c r="L471" s="338"/>
      <c r="M471" s="336"/>
    </row>
    <row r="472" spans="1:13" hidden="1" outlineLevel="2" x14ac:dyDescent="0.35">
      <c r="A472" s="339" t="s">
        <v>129</v>
      </c>
      <c r="B472" s="331">
        <v>43839</v>
      </c>
      <c r="C472" s="332" t="s">
        <v>840</v>
      </c>
      <c r="D472" s="332" t="s">
        <v>841</v>
      </c>
      <c r="E472" s="332" t="s">
        <v>710</v>
      </c>
      <c r="F472" s="336">
        <v>825000</v>
      </c>
      <c r="G472" s="330" t="s">
        <v>236</v>
      </c>
      <c r="H472" s="329">
        <v>766.47467248053374</v>
      </c>
      <c r="I472" s="338"/>
      <c r="J472" s="338">
        <v>766.47467248053374</v>
      </c>
      <c r="K472" s="338"/>
      <c r="L472" s="338"/>
      <c r="M472" s="336"/>
    </row>
    <row r="473" spans="1:13" hidden="1" outlineLevel="2" x14ac:dyDescent="0.35">
      <c r="A473" s="339" t="s">
        <v>129</v>
      </c>
      <c r="B473" s="331">
        <v>43838</v>
      </c>
      <c r="C473" s="332" t="s">
        <v>842</v>
      </c>
      <c r="D473" s="332" t="s">
        <v>843</v>
      </c>
      <c r="E473" s="332" t="s">
        <v>716</v>
      </c>
      <c r="F473" s="336">
        <v>36000</v>
      </c>
      <c r="G473" s="330" t="s">
        <v>236</v>
      </c>
      <c r="H473" s="329">
        <v>33.446167526423288</v>
      </c>
      <c r="I473" s="338"/>
      <c r="J473" s="338">
        <v>33.446167526423288</v>
      </c>
      <c r="K473" s="338"/>
      <c r="L473" s="338"/>
      <c r="M473" s="336"/>
    </row>
    <row r="474" spans="1:13" hidden="1" outlineLevel="2" x14ac:dyDescent="0.35">
      <c r="A474" s="339" t="s">
        <v>129</v>
      </c>
      <c r="B474" s="331">
        <v>43838</v>
      </c>
      <c r="C474" s="332" t="s">
        <v>844</v>
      </c>
      <c r="D474" s="332" t="s">
        <v>845</v>
      </c>
      <c r="E474" s="332" t="s">
        <v>710</v>
      </c>
      <c r="F474" s="336">
        <v>77000</v>
      </c>
      <c r="G474" s="330" t="s">
        <v>236</v>
      </c>
      <c r="H474" s="329">
        <v>71.537636098183143</v>
      </c>
      <c r="I474" s="338"/>
      <c r="J474" s="338">
        <v>71.537636098183143</v>
      </c>
      <c r="K474" s="338"/>
      <c r="L474" s="338"/>
      <c r="M474" s="336"/>
    </row>
    <row r="475" spans="1:13" hidden="1" outlineLevel="2" x14ac:dyDescent="0.35">
      <c r="A475" s="339" t="s">
        <v>129</v>
      </c>
      <c r="B475" s="331">
        <v>43843</v>
      </c>
      <c r="C475" s="332" t="s">
        <v>846</v>
      </c>
      <c r="D475" s="332" t="s">
        <v>847</v>
      </c>
      <c r="E475" s="332" t="s">
        <v>848</v>
      </c>
      <c r="F475" s="336">
        <v>87000</v>
      </c>
      <c r="G475" s="330" t="s">
        <v>236</v>
      </c>
      <c r="H475" s="329">
        <v>80.82823818885629</v>
      </c>
      <c r="I475" s="338"/>
      <c r="J475" s="338">
        <v>80.82823818885629</v>
      </c>
      <c r="K475" s="338"/>
      <c r="L475" s="338"/>
      <c r="M475" s="336"/>
    </row>
    <row r="476" spans="1:13" outlineLevel="1" collapsed="1" x14ac:dyDescent="0.35">
      <c r="A476" s="343" t="s">
        <v>849</v>
      </c>
      <c r="B476" s="331"/>
      <c r="C476" s="332"/>
      <c r="D476" s="332"/>
      <c r="E476" s="332"/>
      <c r="F476" s="336"/>
      <c r="G476" s="330"/>
      <c r="H476" s="329">
        <f t="shared" ref="H476:M476" si="16">SUBTOTAL(9,H467:H475)</f>
        <v>9561.6300049907968</v>
      </c>
      <c r="I476" s="338">
        <f t="shared" si="16"/>
        <v>0</v>
      </c>
      <c r="J476" s="338">
        <f t="shared" si="16"/>
        <v>9561.6300049907968</v>
      </c>
      <c r="K476" s="338">
        <f t="shared" si="16"/>
        <v>0</v>
      </c>
      <c r="L476" s="338">
        <f t="shared" si="16"/>
        <v>0</v>
      </c>
      <c r="M476" s="336">
        <f t="shared" si="16"/>
        <v>0</v>
      </c>
    </row>
    <row r="477" spans="1:13" hidden="1" outlineLevel="2" x14ac:dyDescent="0.35">
      <c r="A477" s="339" t="s">
        <v>110</v>
      </c>
      <c r="B477" s="331">
        <v>44455</v>
      </c>
      <c r="C477" s="332" t="s">
        <v>850</v>
      </c>
      <c r="D477" s="332" t="s">
        <v>851</v>
      </c>
      <c r="E477" s="332" t="s">
        <v>798</v>
      </c>
      <c r="F477" s="336">
        <v>1815.48</v>
      </c>
      <c r="G477" s="330" t="s">
        <v>56</v>
      </c>
      <c r="H477" s="329">
        <v>1815.48</v>
      </c>
      <c r="I477" s="338">
        <f t="shared" ref="I477:L494" si="17">$H477/4</f>
        <v>453.87</v>
      </c>
      <c r="J477" s="338">
        <f t="shared" si="17"/>
        <v>453.87</v>
      </c>
      <c r="K477" s="338">
        <f t="shared" si="17"/>
        <v>453.87</v>
      </c>
      <c r="L477" s="338">
        <f t="shared" si="17"/>
        <v>453.87</v>
      </c>
      <c r="M477" s="332"/>
    </row>
    <row r="478" spans="1:13" hidden="1" outlineLevel="2" x14ac:dyDescent="0.35">
      <c r="A478" s="339" t="s">
        <v>110</v>
      </c>
      <c r="B478" s="331">
        <v>44460</v>
      </c>
      <c r="C478" s="332" t="s">
        <v>852</v>
      </c>
      <c r="D478" s="332" t="s">
        <v>853</v>
      </c>
      <c r="E478" s="332" t="s">
        <v>798</v>
      </c>
      <c r="F478" s="336">
        <v>100.08</v>
      </c>
      <c r="G478" s="330" t="s">
        <v>56</v>
      </c>
      <c r="H478" s="329">
        <v>100.08</v>
      </c>
      <c r="I478" s="338">
        <f t="shared" si="17"/>
        <v>25.02</v>
      </c>
      <c r="J478" s="338">
        <f t="shared" si="17"/>
        <v>25.02</v>
      </c>
      <c r="K478" s="338">
        <f t="shared" si="17"/>
        <v>25.02</v>
      </c>
      <c r="L478" s="338">
        <f t="shared" si="17"/>
        <v>25.02</v>
      </c>
      <c r="M478" s="332"/>
    </row>
    <row r="479" spans="1:13" hidden="1" outlineLevel="2" x14ac:dyDescent="0.35">
      <c r="A479" s="339" t="s">
        <v>110</v>
      </c>
      <c r="B479" s="331">
        <v>44460</v>
      </c>
      <c r="C479" s="332" t="s">
        <v>854</v>
      </c>
      <c r="D479" s="332" t="s">
        <v>855</v>
      </c>
      <c r="E479" s="332" t="s">
        <v>798</v>
      </c>
      <c r="F479" s="336">
        <v>100.08</v>
      </c>
      <c r="G479" s="330" t="s">
        <v>56</v>
      </c>
      <c r="H479" s="329">
        <v>100.08</v>
      </c>
      <c r="I479" s="338">
        <f t="shared" si="17"/>
        <v>25.02</v>
      </c>
      <c r="J479" s="338">
        <f t="shared" si="17"/>
        <v>25.02</v>
      </c>
      <c r="K479" s="338">
        <f t="shared" si="17"/>
        <v>25.02</v>
      </c>
      <c r="L479" s="338">
        <f t="shared" si="17"/>
        <v>25.02</v>
      </c>
      <c r="M479" s="332"/>
    </row>
    <row r="480" spans="1:13" hidden="1" outlineLevel="2" x14ac:dyDescent="0.35">
      <c r="A480" s="339" t="s">
        <v>110</v>
      </c>
      <c r="B480" s="331">
        <v>44561</v>
      </c>
      <c r="C480" s="332" t="s">
        <v>852</v>
      </c>
      <c r="D480" s="332" t="s">
        <v>856</v>
      </c>
      <c r="E480" s="332" t="s">
        <v>798</v>
      </c>
      <c r="F480" s="336">
        <v>-100.08</v>
      </c>
      <c r="G480" s="330" t="s">
        <v>56</v>
      </c>
      <c r="H480" s="329">
        <v>-100.08</v>
      </c>
      <c r="I480" s="338">
        <f t="shared" si="17"/>
        <v>-25.02</v>
      </c>
      <c r="J480" s="338">
        <f t="shared" si="17"/>
        <v>-25.02</v>
      </c>
      <c r="K480" s="338">
        <f t="shared" si="17"/>
        <v>-25.02</v>
      </c>
      <c r="L480" s="338">
        <f t="shared" si="17"/>
        <v>-25.02</v>
      </c>
      <c r="M480" s="332"/>
    </row>
    <row r="481" spans="1:13" hidden="1" outlineLevel="2" x14ac:dyDescent="0.35">
      <c r="A481" s="339" t="s">
        <v>110</v>
      </c>
      <c r="B481" s="331">
        <v>44561</v>
      </c>
      <c r="C481" s="332" t="s">
        <v>854</v>
      </c>
      <c r="D481" s="332" t="s">
        <v>857</v>
      </c>
      <c r="E481" s="332" t="s">
        <v>798</v>
      </c>
      <c r="F481" s="336">
        <v>-100.08</v>
      </c>
      <c r="G481" s="330" t="s">
        <v>56</v>
      </c>
      <c r="H481" s="329">
        <v>-100.08</v>
      </c>
      <c r="I481" s="338">
        <f t="shared" si="17"/>
        <v>-25.02</v>
      </c>
      <c r="J481" s="338">
        <f t="shared" si="17"/>
        <v>-25.02</v>
      </c>
      <c r="K481" s="338">
        <f t="shared" si="17"/>
        <v>-25.02</v>
      </c>
      <c r="L481" s="338">
        <f t="shared" si="17"/>
        <v>-25.02</v>
      </c>
      <c r="M481" s="332"/>
    </row>
    <row r="482" spans="1:13" hidden="1" outlineLevel="2" x14ac:dyDescent="0.35">
      <c r="A482" s="339" t="s">
        <v>110</v>
      </c>
      <c r="B482" s="331">
        <v>44561</v>
      </c>
      <c r="C482" s="332" t="s">
        <v>850</v>
      </c>
      <c r="D482" s="332" t="s">
        <v>858</v>
      </c>
      <c r="E482" s="332" t="s">
        <v>798</v>
      </c>
      <c r="F482" s="336">
        <v>-1815.48</v>
      </c>
      <c r="G482" s="330" t="s">
        <v>56</v>
      </c>
      <c r="H482" s="329">
        <v>-1815.48</v>
      </c>
      <c r="I482" s="338">
        <f t="shared" si="17"/>
        <v>-453.87</v>
      </c>
      <c r="J482" s="338">
        <f t="shared" si="17"/>
        <v>-453.87</v>
      </c>
      <c r="K482" s="338">
        <f t="shared" si="17"/>
        <v>-453.87</v>
      </c>
      <c r="L482" s="338">
        <f t="shared" si="17"/>
        <v>-453.87</v>
      </c>
      <c r="M482" s="332"/>
    </row>
    <row r="483" spans="1:13" hidden="1" outlineLevel="2" x14ac:dyDescent="0.35">
      <c r="A483" s="339" t="s">
        <v>110</v>
      </c>
      <c r="B483" s="331">
        <v>44487</v>
      </c>
      <c r="C483" s="332" t="s">
        <v>859</v>
      </c>
      <c r="D483" s="332" t="s">
        <v>860</v>
      </c>
      <c r="E483" s="332" t="s">
        <v>861</v>
      </c>
      <c r="F483" s="336">
        <v>1437.29</v>
      </c>
      <c r="G483" s="330" t="s">
        <v>56</v>
      </c>
      <c r="H483" s="329">
        <v>1437.29</v>
      </c>
      <c r="I483" s="338">
        <f t="shared" si="17"/>
        <v>359.32249999999999</v>
      </c>
      <c r="J483" s="338">
        <f t="shared" si="17"/>
        <v>359.32249999999999</v>
      </c>
      <c r="K483" s="338">
        <f t="shared" si="17"/>
        <v>359.32249999999999</v>
      </c>
      <c r="L483" s="338">
        <f t="shared" si="17"/>
        <v>359.32249999999999</v>
      </c>
      <c r="M483" s="332"/>
    </row>
    <row r="484" spans="1:13" hidden="1" outlineLevel="2" x14ac:dyDescent="0.35">
      <c r="A484" s="339" t="s">
        <v>110</v>
      </c>
      <c r="B484" s="331">
        <v>44561</v>
      </c>
      <c r="C484" s="332" t="s">
        <v>862</v>
      </c>
      <c r="D484" s="332" t="s">
        <v>863</v>
      </c>
      <c r="E484" s="332" t="s">
        <v>864</v>
      </c>
      <c r="F484" s="336">
        <v>-1437.29</v>
      </c>
      <c r="G484" s="330" t="s">
        <v>56</v>
      </c>
      <c r="H484" s="329">
        <v>-1437.29</v>
      </c>
      <c r="I484" s="338">
        <f t="shared" si="17"/>
        <v>-359.32249999999999</v>
      </c>
      <c r="J484" s="338">
        <f t="shared" si="17"/>
        <v>-359.32249999999999</v>
      </c>
      <c r="K484" s="338">
        <f t="shared" si="17"/>
        <v>-359.32249999999999</v>
      </c>
      <c r="L484" s="338">
        <f t="shared" si="17"/>
        <v>-359.32249999999999</v>
      </c>
      <c r="M484" s="332"/>
    </row>
    <row r="485" spans="1:13" hidden="1" outlineLevel="2" x14ac:dyDescent="0.35">
      <c r="A485" s="339" t="s">
        <v>110</v>
      </c>
      <c r="B485" s="331">
        <v>44469</v>
      </c>
      <c r="C485" s="332" t="s">
        <v>865</v>
      </c>
      <c r="D485" s="332" t="s">
        <v>866</v>
      </c>
      <c r="E485" s="332" t="s">
        <v>867</v>
      </c>
      <c r="F485" s="336">
        <v>47200</v>
      </c>
      <c r="G485" s="330" t="s">
        <v>236</v>
      </c>
      <c r="H485" s="329">
        <v>40.244371360826591</v>
      </c>
      <c r="I485" s="338">
        <f t="shared" si="17"/>
        <v>10.061092840206648</v>
      </c>
      <c r="J485" s="338">
        <f t="shared" si="17"/>
        <v>10.061092840206648</v>
      </c>
      <c r="K485" s="338">
        <f t="shared" si="17"/>
        <v>10.061092840206648</v>
      </c>
      <c r="L485" s="338">
        <f t="shared" si="17"/>
        <v>10.061092840206648</v>
      </c>
      <c r="M485" s="332"/>
    </row>
    <row r="486" spans="1:13" hidden="1" outlineLevel="2" x14ac:dyDescent="0.35">
      <c r="A486" s="339" t="s">
        <v>110</v>
      </c>
      <c r="B486" s="344">
        <v>44470</v>
      </c>
      <c r="C486" s="345" t="s">
        <v>868</v>
      </c>
      <c r="D486" s="345" t="s">
        <v>869</v>
      </c>
      <c r="E486" s="345" t="s">
        <v>870</v>
      </c>
      <c r="F486" s="346">
        <v>32175</v>
      </c>
      <c r="G486" s="330" t="s">
        <v>236</v>
      </c>
      <c r="H486" s="329">
        <v>27.433530689292279</v>
      </c>
      <c r="I486" s="338">
        <f t="shared" si="17"/>
        <v>6.8583826723230699</v>
      </c>
      <c r="J486" s="338">
        <f t="shared" si="17"/>
        <v>6.8583826723230699</v>
      </c>
      <c r="K486" s="338">
        <f t="shared" si="17"/>
        <v>6.8583826723230699</v>
      </c>
      <c r="L486" s="338">
        <f t="shared" si="17"/>
        <v>6.8583826723230699</v>
      </c>
      <c r="M486" s="345"/>
    </row>
    <row r="487" spans="1:13" hidden="1" outlineLevel="2" x14ac:dyDescent="0.35">
      <c r="A487" s="339" t="s">
        <v>110</v>
      </c>
      <c r="B487" s="331">
        <v>44470</v>
      </c>
      <c r="C487" s="332" t="s">
        <v>871</v>
      </c>
      <c r="D487" s="332" t="s">
        <v>872</v>
      </c>
      <c r="E487" s="332" t="s">
        <v>873</v>
      </c>
      <c r="F487" s="336">
        <v>157219</v>
      </c>
      <c r="G487" s="330" t="s">
        <v>236</v>
      </c>
      <c r="H487" s="329">
        <v>134.05041993597024</v>
      </c>
      <c r="I487" s="338">
        <f t="shared" si="17"/>
        <v>33.51260498399256</v>
      </c>
      <c r="J487" s="338">
        <f t="shared" si="17"/>
        <v>33.51260498399256</v>
      </c>
      <c r="K487" s="338">
        <f t="shared" si="17"/>
        <v>33.51260498399256</v>
      </c>
      <c r="L487" s="338">
        <f t="shared" si="17"/>
        <v>33.51260498399256</v>
      </c>
      <c r="M487" s="332"/>
    </row>
    <row r="488" spans="1:13" hidden="1" outlineLevel="2" x14ac:dyDescent="0.35">
      <c r="A488" s="339" t="s">
        <v>110</v>
      </c>
      <c r="B488" s="331">
        <v>44469</v>
      </c>
      <c r="C488" s="332" t="s">
        <v>874</v>
      </c>
      <c r="D488" s="332" t="s">
        <v>875</v>
      </c>
      <c r="E488" s="332" t="s">
        <v>867</v>
      </c>
      <c r="F488" s="336">
        <v>47200</v>
      </c>
      <c r="G488" s="330" t="s">
        <v>236</v>
      </c>
      <c r="H488" s="329">
        <v>40.244371360826591</v>
      </c>
      <c r="I488" s="338">
        <f t="shared" si="17"/>
        <v>10.061092840206648</v>
      </c>
      <c r="J488" s="338">
        <f t="shared" si="17"/>
        <v>10.061092840206648</v>
      </c>
      <c r="K488" s="338">
        <f t="shared" si="17"/>
        <v>10.061092840206648</v>
      </c>
      <c r="L488" s="338">
        <f t="shared" si="17"/>
        <v>10.061092840206648</v>
      </c>
      <c r="M488" s="332"/>
    </row>
    <row r="489" spans="1:13" hidden="1" outlineLevel="2" x14ac:dyDescent="0.35">
      <c r="A489" s="339" t="s">
        <v>110</v>
      </c>
      <c r="B489" s="331">
        <v>44470</v>
      </c>
      <c r="C489" s="332" t="s">
        <v>876</v>
      </c>
      <c r="D489" s="332" t="s">
        <v>877</v>
      </c>
      <c r="E489" s="332" t="s">
        <v>870</v>
      </c>
      <c r="F489" s="336">
        <v>32175</v>
      </c>
      <c r="G489" s="330" t="s">
        <v>236</v>
      </c>
      <c r="H489" s="329">
        <v>27.433530689292279</v>
      </c>
      <c r="I489" s="338">
        <f t="shared" si="17"/>
        <v>6.8583826723230699</v>
      </c>
      <c r="J489" s="338">
        <f t="shared" si="17"/>
        <v>6.8583826723230699</v>
      </c>
      <c r="K489" s="338">
        <f t="shared" si="17"/>
        <v>6.8583826723230699</v>
      </c>
      <c r="L489" s="338">
        <f t="shared" si="17"/>
        <v>6.8583826723230699</v>
      </c>
      <c r="M489" s="332"/>
    </row>
    <row r="490" spans="1:13" hidden="1" outlineLevel="2" x14ac:dyDescent="0.35">
      <c r="A490" s="339" t="s">
        <v>110</v>
      </c>
      <c r="B490" s="331">
        <v>44462</v>
      </c>
      <c r="C490" s="332" t="s">
        <v>878</v>
      </c>
      <c r="D490" s="332" t="s">
        <v>879</v>
      </c>
      <c r="E490" s="332" t="s">
        <v>880</v>
      </c>
      <c r="F490" s="336">
        <v>15000</v>
      </c>
      <c r="G490" s="330" t="s">
        <v>236</v>
      </c>
      <c r="H490" s="329">
        <v>12.789524796872858</v>
      </c>
      <c r="I490" s="338">
        <f t="shared" si="17"/>
        <v>3.1973811992182144</v>
      </c>
      <c r="J490" s="338">
        <f t="shared" si="17"/>
        <v>3.1973811992182144</v>
      </c>
      <c r="K490" s="338">
        <f t="shared" si="17"/>
        <v>3.1973811992182144</v>
      </c>
      <c r="L490" s="338">
        <f t="shared" si="17"/>
        <v>3.1973811992182144</v>
      </c>
      <c r="M490" s="332"/>
    </row>
    <row r="491" spans="1:13" hidden="1" outlineLevel="2" x14ac:dyDescent="0.35">
      <c r="A491" s="339" t="s">
        <v>110</v>
      </c>
      <c r="B491" s="331">
        <v>44470</v>
      </c>
      <c r="C491" s="332" t="s">
        <v>881</v>
      </c>
      <c r="D491" s="332" t="s">
        <v>882</v>
      </c>
      <c r="E491" s="332" t="s">
        <v>883</v>
      </c>
      <c r="F491" s="336">
        <v>157219</v>
      </c>
      <c r="G491" s="330" t="s">
        <v>236</v>
      </c>
      <c r="H491" s="329">
        <v>134.05041993597024</v>
      </c>
      <c r="I491" s="338">
        <f t="shared" si="17"/>
        <v>33.51260498399256</v>
      </c>
      <c r="J491" s="338">
        <f t="shared" si="17"/>
        <v>33.51260498399256</v>
      </c>
      <c r="K491" s="338">
        <f t="shared" si="17"/>
        <v>33.51260498399256</v>
      </c>
      <c r="L491" s="338">
        <f t="shared" si="17"/>
        <v>33.51260498399256</v>
      </c>
      <c r="M491" s="332"/>
    </row>
    <row r="492" spans="1:13" hidden="1" outlineLevel="2" x14ac:dyDescent="0.35">
      <c r="A492" s="339" t="s">
        <v>110</v>
      </c>
      <c r="B492" s="331">
        <v>44483</v>
      </c>
      <c r="C492" s="332" t="s">
        <v>884</v>
      </c>
      <c r="D492" s="332" t="s">
        <v>885</v>
      </c>
      <c r="E492" s="332" t="s">
        <v>886</v>
      </c>
      <c r="F492" s="336">
        <v>8000</v>
      </c>
      <c r="G492" s="330" t="s">
        <v>236</v>
      </c>
      <c r="H492" s="329">
        <v>6.8210798916655238</v>
      </c>
      <c r="I492" s="338">
        <f t="shared" si="17"/>
        <v>1.7052699729163809</v>
      </c>
      <c r="J492" s="338">
        <f t="shared" si="17"/>
        <v>1.7052699729163809</v>
      </c>
      <c r="K492" s="338">
        <f t="shared" si="17"/>
        <v>1.7052699729163809</v>
      </c>
      <c r="L492" s="338">
        <f t="shared" si="17"/>
        <v>1.7052699729163809</v>
      </c>
      <c r="M492" s="332"/>
    </row>
    <row r="493" spans="1:13" hidden="1" outlineLevel="2" x14ac:dyDescent="0.35">
      <c r="A493" s="339" t="s">
        <v>110</v>
      </c>
      <c r="B493" s="331">
        <v>44482</v>
      </c>
      <c r="C493" s="332" t="s">
        <v>887</v>
      </c>
      <c r="D493" s="332" t="s">
        <v>888</v>
      </c>
      <c r="E493" s="332" t="s">
        <v>867</v>
      </c>
      <c r="F493" s="336">
        <v>57200</v>
      </c>
      <c r="G493" s="330" t="s">
        <v>236</v>
      </c>
      <c r="H493" s="329">
        <v>48.770721225408494</v>
      </c>
      <c r="I493" s="338">
        <f t="shared" si="17"/>
        <v>12.192680306352123</v>
      </c>
      <c r="J493" s="338">
        <f t="shared" si="17"/>
        <v>12.192680306352123</v>
      </c>
      <c r="K493" s="338">
        <f t="shared" si="17"/>
        <v>12.192680306352123</v>
      </c>
      <c r="L493" s="338">
        <f t="shared" si="17"/>
        <v>12.192680306352123</v>
      </c>
      <c r="M493" s="332"/>
    </row>
    <row r="494" spans="1:13" hidden="1" outlineLevel="2" x14ac:dyDescent="0.35">
      <c r="A494" s="339" t="s">
        <v>110</v>
      </c>
      <c r="B494" s="331">
        <v>44482</v>
      </c>
      <c r="C494" s="332" t="s">
        <v>889</v>
      </c>
      <c r="D494" s="332" t="s">
        <v>890</v>
      </c>
      <c r="E494" s="332" t="s">
        <v>867</v>
      </c>
      <c r="F494" s="336">
        <v>57200</v>
      </c>
      <c r="G494" s="330" t="s">
        <v>236</v>
      </c>
      <c r="H494" s="329">
        <v>48.770721225408494</v>
      </c>
      <c r="I494" s="338">
        <f t="shared" si="17"/>
        <v>12.192680306352123</v>
      </c>
      <c r="J494" s="338">
        <f t="shared" si="17"/>
        <v>12.192680306352123</v>
      </c>
      <c r="K494" s="338">
        <f t="shared" si="17"/>
        <v>12.192680306352123</v>
      </c>
      <c r="L494" s="338">
        <f t="shared" si="17"/>
        <v>12.192680306352123</v>
      </c>
      <c r="M494" s="332"/>
    </row>
    <row r="495" spans="1:13" outlineLevel="1" collapsed="1" x14ac:dyDescent="0.35">
      <c r="A495" s="343" t="s">
        <v>891</v>
      </c>
      <c r="B495" s="331"/>
      <c r="C495" s="332"/>
      <c r="D495" s="332"/>
      <c r="E495" s="332"/>
      <c r="F495" s="336"/>
      <c r="G495" s="330"/>
      <c r="H495" s="329">
        <f t="shared" ref="H495:M495" si="18">SUBTOTAL(9,H477:H494)</f>
        <v>520.60869111153352</v>
      </c>
      <c r="I495" s="338">
        <f t="shared" si="18"/>
        <v>130.15217277788338</v>
      </c>
      <c r="J495" s="338">
        <f t="shared" si="18"/>
        <v>130.15217277788338</v>
      </c>
      <c r="K495" s="338">
        <f t="shared" si="18"/>
        <v>130.15217277788338</v>
      </c>
      <c r="L495" s="338">
        <f t="shared" si="18"/>
        <v>130.15217277788338</v>
      </c>
      <c r="M495" s="332">
        <f t="shared" si="18"/>
        <v>0</v>
      </c>
    </row>
    <row r="496" spans="1:13" hidden="1" outlineLevel="2" x14ac:dyDescent="0.35">
      <c r="A496" s="339" t="s">
        <v>101</v>
      </c>
      <c r="B496" s="331">
        <v>44153</v>
      </c>
      <c r="C496" s="332" t="s">
        <v>892</v>
      </c>
      <c r="D496" s="332" t="s">
        <v>893</v>
      </c>
      <c r="E496" s="332" t="s">
        <v>701</v>
      </c>
      <c r="F496" s="336">
        <v>313526</v>
      </c>
      <c r="G496" s="330" t="s">
        <v>236</v>
      </c>
      <c r="H496" s="329">
        <v>291.28453110803855</v>
      </c>
      <c r="I496" s="338">
        <v>72.821132777009637</v>
      </c>
      <c r="J496" s="338">
        <v>72.821132777009637</v>
      </c>
      <c r="K496" s="338">
        <v>72.821132777009637</v>
      </c>
      <c r="L496" s="338">
        <v>72.821132777009637</v>
      </c>
      <c r="M496" s="336"/>
    </row>
    <row r="497" spans="1:13" hidden="1" outlineLevel="2" x14ac:dyDescent="0.35">
      <c r="A497" s="339" t="s">
        <v>101</v>
      </c>
      <c r="B497" s="331">
        <v>44153</v>
      </c>
      <c r="C497" s="332" t="s">
        <v>894</v>
      </c>
      <c r="D497" s="332" t="s">
        <v>895</v>
      </c>
      <c r="E497" s="332" t="s">
        <v>701</v>
      </c>
      <c r="F497" s="336">
        <v>70800</v>
      </c>
      <c r="G497" s="330" t="s">
        <v>236</v>
      </c>
      <c r="H497" s="329">
        <v>65.777462801965797</v>
      </c>
      <c r="I497" s="338">
        <v>16.444365700491449</v>
      </c>
      <c r="J497" s="338">
        <v>16.444365700491449</v>
      </c>
      <c r="K497" s="338">
        <v>16.444365700491449</v>
      </c>
      <c r="L497" s="338">
        <v>16.444365700491449</v>
      </c>
      <c r="M497" s="336"/>
    </row>
    <row r="498" spans="1:13" hidden="1" outlineLevel="2" x14ac:dyDescent="0.35">
      <c r="A498" s="339" t="s">
        <v>101</v>
      </c>
      <c r="B498" s="331">
        <v>44153</v>
      </c>
      <c r="C498" s="332" t="s">
        <v>894</v>
      </c>
      <c r="D498" s="332" t="s">
        <v>895</v>
      </c>
      <c r="E498" s="332" t="s">
        <v>701</v>
      </c>
      <c r="F498" s="336">
        <v>70800</v>
      </c>
      <c r="G498" s="330" t="s">
        <v>236</v>
      </c>
      <c r="H498" s="329">
        <v>65.777462801965797</v>
      </c>
      <c r="I498" s="338">
        <v>16.444365700491449</v>
      </c>
      <c r="J498" s="338">
        <v>16.444365700491449</v>
      </c>
      <c r="K498" s="338">
        <v>16.444365700491449</v>
      </c>
      <c r="L498" s="338">
        <v>16.444365700491449</v>
      </c>
      <c r="M498" s="336"/>
    </row>
    <row r="499" spans="1:13" hidden="1" outlineLevel="2" x14ac:dyDescent="0.35">
      <c r="A499" s="339" t="s">
        <v>101</v>
      </c>
      <c r="B499" s="331">
        <v>44169</v>
      </c>
      <c r="C499" s="332" t="s">
        <v>338</v>
      </c>
      <c r="D499" s="332" t="s">
        <v>896</v>
      </c>
      <c r="E499" s="332" t="s">
        <v>701</v>
      </c>
      <c r="F499" s="336">
        <v>126024</v>
      </c>
      <c r="G499" s="330" t="s">
        <v>236</v>
      </c>
      <c r="H499" s="329">
        <v>117.08388378749913</v>
      </c>
      <c r="I499" s="338">
        <v>29.270970946874783</v>
      </c>
      <c r="J499" s="338">
        <v>29.270970946874783</v>
      </c>
      <c r="K499" s="338">
        <v>29.270970946874783</v>
      </c>
      <c r="L499" s="338">
        <v>29.270970946874783</v>
      </c>
      <c r="M499" s="336"/>
    </row>
    <row r="500" spans="1:13" hidden="1" outlineLevel="2" x14ac:dyDescent="0.35">
      <c r="A500" s="339" t="s">
        <v>101</v>
      </c>
      <c r="B500" s="331">
        <v>43767</v>
      </c>
      <c r="C500" s="332" t="s">
        <v>897</v>
      </c>
      <c r="D500" s="332" t="s">
        <v>898</v>
      </c>
      <c r="E500" s="332" t="s">
        <v>899</v>
      </c>
      <c r="F500" s="336">
        <v>5000</v>
      </c>
      <c r="G500" s="330" t="s">
        <v>236</v>
      </c>
      <c r="H500" s="329">
        <v>4.9227371726359443</v>
      </c>
      <c r="I500" s="338">
        <v>1.2306842931589861</v>
      </c>
      <c r="J500" s="338">
        <v>1.2306842931589861</v>
      </c>
      <c r="K500" s="338">
        <v>1.2306842931589861</v>
      </c>
      <c r="L500" s="338">
        <v>1.2306842931589861</v>
      </c>
      <c r="M500" s="336"/>
    </row>
    <row r="501" spans="1:13" hidden="1" outlineLevel="2" x14ac:dyDescent="0.35">
      <c r="A501" s="339" t="s">
        <v>101</v>
      </c>
      <c r="B501" s="331">
        <v>43760</v>
      </c>
      <c r="C501" s="332" t="s">
        <v>900</v>
      </c>
      <c r="D501" s="332" t="s">
        <v>901</v>
      </c>
      <c r="E501" s="332" t="s">
        <v>902</v>
      </c>
      <c r="F501" s="336">
        <v>150000</v>
      </c>
      <c r="G501" s="330" t="s">
        <v>236</v>
      </c>
      <c r="H501" s="329">
        <v>147.68211517907832</v>
      </c>
      <c r="I501" s="338">
        <v>36.920528794769581</v>
      </c>
      <c r="J501" s="338">
        <v>36.920528794769581</v>
      </c>
      <c r="K501" s="338">
        <v>36.920528794769581</v>
      </c>
      <c r="L501" s="338">
        <v>36.920528794769581</v>
      </c>
      <c r="M501" s="336"/>
    </row>
    <row r="502" spans="1:13" hidden="1" outlineLevel="2" x14ac:dyDescent="0.35">
      <c r="A502" s="339" t="s">
        <v>101</v>
      </c>
      <c r="B502" s="331">
        <v>44314</v>
      </c>
      <c r="C502" s="332" t="s">
        <v>903</v>
      </c>
      <c r="D502" s="332" t="s">
        <v>904</v>
      </c>
      <c r="E502" s="332" t="s">
        <v>905</v>
      </c>
      <c r="F502" s="336">
        <v>3840666</v>
      </c>
      <c r="G502" s="330" t="s">
        <v>236</v>
      </c>
      <c r="H502" s="329">
        <v>3274.6862029004328</v>
      </c>
      <c r="I502" s="329">
        <v>818.6715507251082</v>
      </c>
      <c r="J502" s="329">
        <v>818.6715507251082</v>
      </c>
      <c r="K502" s="329">
        <v>818.6715507251082</v>
      </c>
      <c r="L502" s="329">
        <v>818.6715507251082</v>
      </c>
      <c r="M502" s="336"/>
    </row>
    <row r="503" spans="1:13" hidden="1" outlineLevel="2" x14ac:dyDescent="0.35">
      <c r="A503" s="339" t="s">
        <v>101</v>
      </c>
      <c r="B503" s="331">
        <v>43801</v>
      </c>
      <c r="C503" s="332" t="s">
        <v>906</v>
      </c>
      <c r="D503" s="332" t="s">
        <v>907</v>
      </c>
      <c r="E503" s="332" t="s">
        <v>710</v>
      </c>
      <c r="F503" s="336">
        <v>12500</v>
      </c>
      <c r="G503" s="330" t="s">
        <v>236</v>
      </c>
      <c r="H503" s="329">
        <v>12.306842931589859</v>
      </c>
      <c r="I503" s="338">
        <v>3.0767107328974648</v>
      </c>
      <c r="J503" s="338">
        <v>3.0767107328974648</v>
      </c>
      <c r="K503" s="338">
        <v>3.0767107328974648</v>
      </c>
      <c r="L503" s="338">
        <v>3.0767107328974648</v>
      </c>
      <c r="M503" s="336"/>
    </row>
    <row r="504" spans="1:13" hidden="1" outlineLevel="2" x14ac:dyDescent="0.35">
      <c r="A504" s="339" t="s">
        <v>101</v>
      </c>
      <c r="B504" s="331">
        <v>43810</v>
      </c>
      <c r="C504" s="332" t="s">
        <v>908</v>
      </c>
      <c r="D504" s="332" t="s">
        <v>909</v>
      </c>
      <c r="E504" s="332" t="s">
        <v>910</v>
      </c>
      <c r="F504" s="336">
        <v>387000</v>
      </c>
      <c r="G504" s="330" t="s">
        <v>236</v>
      </c>
      <c r="H504" s="329">
        <v>381.01985716202205</v>
      </c>
      <c r="I504" s="338">
        <v>95.254964290505512</v>
      </c>
      <c r="J504" s="338">
        <v>95.254964290505512</v>
      </c>
      <c r="K504" s="338">
        <v>95.254964290505512</v>
      </c>
      <c r="L504" s="338">
        <v>95.254964290505512</v>
      </c>
      <c r="M504" s="336"/>
    </row>
    <row r="505" spans="1:13" hidden="1" outlineLevel="2" x14ac:dyDescent="0.35">
      <c r="A505" s="339" t="s">
        <v>101</v>
      </c>
      <c r="B505" s="331">
        <v>43818</v>
      </c>
      <c r="C505" s="332" t="s">
        <v>732</v>
      </c>
      <c r="D505" s="332" t="s">
        <v>740</v>
      </c>
      <c r="E505" s="332" t="s">
        <v>701</v>
      </c>
      <c r="F505" s="336">
        <v>822400</v>
      </c>
      <c r="G505" s="330" t="s">
        <v>236</v>
      </c>
      <c r="H505" s="329">
        <v>809.69181015516006</v>
      </c>
      <c r="I505" s="338">
        <v>202.42295253879001</v>
      </c>
      <c r="J505" s="338">
        <v>202.42295253879001</v>
      </c>
      <c r="K505" s="338">
        <v>202.42295253879001</v>
      </c>
      <c r="L505" s="338">
        <v>202.42295253879001</v>
      </c>
      <c r="M505" s="336"/>
    </row>
    <row r="506" spans="1:13" hidden="1" outlineLevel="2" x14ac:dyDescent="0.35">
      <c r="A506" s="339" t="s">
        <v>101</v>
      </c>
      <c r="B506" s="331">
        <v>44343</v>
      </c>
      <c r="C506" s="332" t="s">
        <v>911</v>
      </c>
      <c r="D506" s="332" t="s">
        <v>912</v>
      </c>
      <c r="E506" s="332" t="s">
        <v>701</v>
      </c>
      <c r="F506" s="336">
        <v>135000</v>
      </c>
      <c r="G506" s="330" t="s">
        <v>236</v>
      </c>
      <c r="H506" s="329">
        <v>115.10572317185571</v>
      </c>
      <c r="I506" s="329">
        <v>28.776430792963929</v>
      </c>
      <c r="J506" s="329">
        <v>28.776430792963929</v>
      </c>
      <c r="K506" s="329">
        <v>28.776430792963929</v>
      </c>
      <c r="L506" s="329">
        <v>28.776430792963929</v>
      </c>
      <c r="M506" s="336"/>
    </row>
    <row r="507" spans="1:13" hidden="1" outlineLevel="2" x14ac:dyDescent="0.35">
      <c r="A507" s="339" t="s">
        <v>101</v>
      </c>
      <c r="B507" s="331">
        <v>44350</v>
      </c>
      <c r="C507" s="332" t="s">
        <v>913</v>
      </c>
      <c r="D507" s="332" t="s">
        <v>914</v>
      </c>
      <c r="E507" s="332" t="s">
        <v>701</v>
      </c>
      <c r="F507" s="336">
        <v>14160</v>
      </c>
      <c r="G507" s="330" t="s">
        <v>236</v>
      </c>
      <c r="H507" s="329">
        <v>12.073311408247978</v>
      </c>
      <c r="I507" s="329">
        <v>3.0183278520619945</v>
      </c>
      <c r="J507" s="329">
        <v>3.0183278520619945</v>
      </c>
      <c r="K507" s="329">
        <v>3.0183278520619945</v>
      </c>
      <c r="L507" s="329">
        <v>3.0183278520619945</v>
      </c>
      <c r="M507" s="336"/>
    </row>
    <row r="508" spans="1:13" hidden="1" outlineLevel="2" x14ac:dyDescent="0.35">
      <c r="A508" s="339" t="s">
        <v>101</v>
      </c>
      <c r="B508" s="331">
        <v>44369</v>
      </c>
      <c r="C508" s="332" t="s">
        <v>915</v>
      </c>
      <c r="D508" s="332" t="s">
        <v>916</v>
      </c>
      <c r="E508" s="332" t="s">
        <v>701</v>
      </c>
      <c r="F508" s="336">
        <v>70800</v>
      </c>
      <c r="G508" s="330" t="s">
        <v>236</v>
      </c>
      <c r="H508" s="329">
        <v>60.366557041239886</v>
      </c>
      <c r="I508" s="329">
        <v>15.091639260309972</v>
      </c>
      <c r="J508" s="329">
        <v>15.091639260309972</v>
      </c>
      <c r="K508" s="329">
        <v>15.091639260309972</v>
      </c>
      <c r="L508" s="329">
        <v>15.091639260309972</v>
      </c>
      <c r="M508" s="336"/>
    </row>
    <row r="509" spans="1:13" hidden="1" outlineLevel="2" x14ac:dyDescent="0.35">
      <c r="A509" s="339" t="s">
        <v>101</v>
      </c>
      <c r="B509" s="331">
        <v>44484</v>
      </c>
      <c r="C509" s="332" t="s">
        <v>917</v>
      </c>
      <c r="D509" s="332" t="s">
        <v>918</v>
      </c>
      <c r="E509" s="332" t="s">
        <v>701</v>
      </c>
      <c r="F509" s="336">
        <v>196824</v>
      </c>
      <c r="G509" s="330" t="s">
        <v>236</v>
      </c>
      <c r="H509" s="329">
        <v>167.81902857464689</v>
      </c>
      <c r="I509" s="329">
        <v>41.954757143661723</v>
      </c>
      <c r="J509" s="329">
        <v>41.954757143661723</v>
      </c>
      <c r="K509" s="329">
        <v>41.954757143661723</v>
      </c>
      <c r="L509" s="329">
        <v>41.954757143661723</v>
      </c>
      <c r="M509" s="336"/>
    </row>
    <row r="510" spans="1:13" hidden="1" outlineLevel="2" x14ac:dyDescent="0.35">
      <c r="A510" s="339" t="s">
        <v>101</v>
      </c>
      <c r="B510" s="331">
        <v>44425</v>
      </c>
      <c r="C510" s="332" t="s">
        <v>919</v>
      </c>
      <c r="D510" s="332" t="s">
        <v>920</v>
      </c>
      <c r="E510" s="332" t="s">
        <v>701</v>
      </c>
      <c r="F510" s="336">
        <v>70800</v>
      </c>
      <c r="G510" s="330" t="s">
        <v>236</v>
      </c>
      <c r="H510" s="329">
        <v>60.366557041239886</v>
      </c>
      <c r="I510" s="329">
        <v>15.091639260309972</v>
      </c>
      <c r="J510" s="329">
        <v>15.091639260309972</v>
      </c>
      <c r="K510" s="329">
        <v>15.091639260309972</v>
      </c>
      <c r="L510" s="329">
        <v>15.091639260309972</v>
      </c>
      <c r="M510" s="336"/>
    </row>
    <row r="511" spans="1:13" hidden="1" outlineLevel="2" x14ac:dyDescent="0.35">
      <c r="A511" s="339" t="s">
        <v>101</v>
      </c>
      <c r="B511" s="331">
        <v>44432</v>
      </c>
      <c r="C511" s="332" t="s">
        <v>921</v>
      </c>
      <c r="D511" s="332" t="s">
        <v>922</v>
      </c>
      <c r="E511" s="332" t="s">
        <v>701</v>
      </c>
      <c r="F511" s="336">
        <v>196824</v>
      </c>
      <c r="G511" s="330" t="s">
        <v>236</v>
      </c>
      <c r="H511" s="329">
        <v>167.81902857464689</v>
      </c>
      <c r="I511" s="329">
        <v>41.954757143661723</v>
      </c>
      <c r="J511" s="329">
        <v>41.954757143661723</v>
      </c>
      <c r="K511" s="329">
        <v>41.954757143661723</v>
      </c>
      <c r="L511" s="329">
        <v>41.954757143661723</v>
      </c>
      <c r="M511" s="336"/>
    </row>
    <row r="512" spans="1:13" hidden="1" outlineLevel="2" x14ac:dyDescent="0.35">
      <c r="A512" s="339" t="s">
        <v>101</v>
      </c>
      <c r="B512" s="331">
        <v>44447</v>
      </c>
      <c r="C512" s="332" t="s">
        <v>923</v>
      </c>
      <c r="D512" s="332" t="s">
        <v>924</v>
      </c>
      <c r="E512" s="332" t="s">
        <v>701</v>
      </c>
      <c r="F512" s="336">
        <v>14160</v>
      </c>
      <c r="G512" s="330" t="s">
        <v>236</v>
      </c>
      <c r="H512" s="329">
        <v>12.073311408247978</v>
      </c>
      <c r="I512" s="329">
        <v>3.0183278520619945</v>
      </c>
      <c r="J512" s="329">
        <v>3.0183278520619945</v>
      </c>
      <c r="K512" s="329">
        <v>3.0183278520619945</v>
      </c>
      <c r="L512" s="329">
        <v>3.0183278520619945</v>
      </c>
      <c r="M512" s="336"/>
    </row>
    <row r="513" spans="1:13" hidden="1" outlineLevel="2" x14ac:dyDescent="0.35">
      <c r="A513" s="339" t="s">
        <v>101</v>
      </c>
      <c r="B513" s="331">
        <v>44467</v>
      </c>
      <c r="C513" s="332" t="s">
        <v>925</v>
      </c>
      <c r="D513" s="332" t="s">
        <v>926</v>
      </c>
      <c r="E513" s="332" t="s">
        <v>701</v>
      </c>
      <c r="F513" s="336">
        <v>84960</v>
      </c>
      <c r="G513" s="330" t="s">
        <v>236</v>
      </c>
      <c r="H513" s="329">
        <v>72.439868449487861</v>
      </c>
      <c r="I513" s="329">
        <v>18.109967112371965</v>
      </c>
      <c r="J513" s="329">
        <v>18.109967112371965</v>
      </c>
      <c r="K513" s="329">
        <v>18.109967112371965</v>
      </c>
      <c r="L513" s="329">
        <v>18.109967112371965</v>
      </c>
      <c r="M513" s="336"/>
    </row>
    <row r="514" spans="1:13" hidden="1" outlineLevel="2" x14ac:dyDescent="0.35">
      <c r="A514" s="339" t="s">
        <v>101</v>
      </c>
      <c r="B514" s="331">
        <v>44504</v>
      </c>
      <c r="C514" s="332" t="s">
        <v>927</v>
      </c>
      <c r="D514" s="332" t="s">
        <v>928</v>
      </c>
      <c r="E514" s="332" t="s">
        <v>929</v>
      </c>
      <c r="F514" s="336">
        <v>25000</v>
      </c>
      <c r="G514" s="330" t="s">
        <v>236</v>
      </c>
      <c r="H514" s="329">
        <v>21.315874661454764</v>
      </c>
      <c r="I514" s="329">
        <v>5.328968665363691</v>
      </c>
      <c r="J514" s="329">
        <v>5.328968665363691</v>
      </c>
      <c r="K514" s="329">
        <v>5.328968665363691</v>
      </c>
      <c r="L514" s="329">
        <v>5.328968665363691</v>
      </c>
      <c r="M514" s="336"/>
    </row>
    <row r="515" spans="1:13" hidden="1" outlineLevel="2" x14ac:dyDescent="0.35">
      <c r="A515" s="339" t="s">
        <v>101</v>
      </c>
      <c r="B515" s="331">
        <v>44525</v>
      </c>
      <c r="C515" s="332" t="s">
        <v>930</v>
      </c>
      <c r="D515" s="332" t="s">
        <v>931</v>
      </c>
      <c r="E515" s="332" t="s">
        <v>701</v>
      </c>
      <c r="F515" s="336">
        <v>84960</v>
      </c>
      <c r="G515" s="330" t="s">
        <v>236</v>
      </c>
      <c r="H515" s="329">
        <v>72.439868449487861</v>
      </c>
      <c r="I515" s="329">
        <v>18.109967112371965</v>
      </c>
      <c r="J515" s="329">
        <v>18.109967112371965</v>
      </c>
      <c r="K515" s="329">
        <v>18.109967112371965</v>
      </c>
      <c r="L515" s="329">
        <v>18.109967112371965</v>
      </c>
      <c r="M515" s="336"/>
    </row>
    <row r="516" spans="1:13" hidden="1" outlineLevel="2" x14ac:dyDescent="0.35">
      <c r="A516" s="339" t="s">
        <v>101</v>
      </c>
      <c r="B516" s="331">
        <v>44561</v>
      </c>
      <c r="C516" s="332" t="s">
        <v>932</v>
      </c>
      <c r="D516" s="332" t="s">
        <v>933</v>
      </c>
      <c r="E516" s="332" t="s">
        <v>934</v>
      </c>
      <c r="F516" s="336">
        <v>129000</v>
      </c>
      <c r="G516" s="330" t="s">
        <v>236</v>
      </c>
      <c r="H516" s="329">
        <v>109.98991325310658</v>
      </c>
      <c r="I516" s="329">
        <v>27.497478313276645</v>
      </c>
      <c r="J516" s="329">
        <v>27.497478313276645</v>
      </c>
      <c r="K516" s="329">
        <v>27.497478313276645</v>
      </c>
      <c r="L516" s="329">
        <v>27.497478313276645</v>
      </c>
      <c r="M516" s="336"/>
    </row>
    <row r="517" spans="1:13" hidden="1" outlineLevel="2" x14ac:dyDescent="0.35">
      <c r="A517" s="339" t="s">
        <v>101</v>
      </c>
      <c r="B517" s="331">
        <v>44369</v>
      </c>
      <c r="C517" s="332" t="s">
        <v>935</v>
      </c>
      <c r="D517" s="332" t="s">
        <v>936</v>
      </c>
      <c r="E517" s="332" t="s">
        <v>701</v>
      </c>
      <c r="F517" s="336">
        <v>10620</v>
      </c>
      <c r="G517" s="330" t="s">
        <v>236</v>
      </c>
      <c r="H517" s="329">
        <v>9.0549835561859826</v>
      </c>
      <c r="I517" s="329">
        <v>2.2637458890464957</v>
      </c>
      <c r="J517" s="329">
        <v>2.2637458890464957</v>
      </c>
      <c r="K517" s="329">
        <v>2.2637458890464957</v>
      </c>
      <c r="L517" s="329">
        <v>2.2637458890464957</v>
      </c>
      <c r="M517" s="336"/>
    </row>
    <row r="518" spans="1:13" outlineLevel="1" collapsed="1" x14ac:dyDescent="0.35">
      <c r="A518" s="343" t="s">
        <v>937</v>
      </c>
      <c r="B518" s="331"/>
      <c r="C518" s="332"/>
      <c r="D518" s="332"/>
      <c r="E518" s="332"/>
      <c r="F518" s="336"/>
      <c r="G518" s="330"/>
      <c r="H518" s="329">
        <f t="shared" ref="H518:M518" si="19">SUBTOTAL(9,H496:H517)</f>
        <v>6051.0969315902357</v>
      </c>
      <c r="I518" s="329">
        <f t="shared" si="19"/>
        <v>1512.7742328975589</v>
      </c>
      <c r="J518" s="329">
        <f t="shared" si="19"/>
        <v>1512.7742328975589</v>
      </c>
      <c r="K518" s="329">
        <f t="shared" si="19"/>
        <v>1512.7742328975589</v>
      </c>
      <c r="L518" s="329">
        <f t="shared" si="19"/>
        <v>1512.7742328975589</v>
      </c>
      <c r="M518" s="336">
        <f t="shared" si="19"/>
        <v>0</v>
      </c>
    </row>
    <row r="519" spans="1:13" hidden="1" outlineLevel="2" x14ac:dyDescent="0.35">
      <c r="A519" s="339" t="s">
        <v>148</v>
      </c>
      <c r="B519" s="331">
        <v>43957</v>
      </c>
      <c r="C519" s="332" t="s">
        <v>938</v>
      </c>
      <c r="D519" s="332" t="s">
        <v>939</v>
      </c>
      <c r="E519" s="332" t="s">
        <v>940</v>
      </c>
      <c r="F519" s="336">
        <v>25819800</v>
      </c>
      <c r="G519" s="330" t="s">
        <v>236</v>
      </c>
      <c r="H519" s="329">
        <v>23988.148786076224</v>
      </c>
      <c r="I519" s="338"/>
      <c r="J519" s="338">
        <v>23988.148786076224</v>
      </c>
      <c r="K519" s="338"/>
      <c r="L519" s="338"/>
      <c r="M519" s="336"/>
    </row>
    <row r="520" spans="1:13" hidden="1" outlineLevel="2" x14ac:dyDescent="0.35">
      <c r="A520" s="339" t="s">
        <v>148</v>
      </c>
      <c r="B520" s="331">
        <v>43951</v>
      </c>
      <c r="C520" s="332" t="s">
        <v>300</v>
      </c>
      <c r="D520" s="332" t="s">
        <v>941</v>
      </c>
      <c r="E520" s="332" t="s">
        <v>942</v>
      </c>
      <c r="F520" s="336">
        <v>5302414</v>
      </c>
      <c r="G520" s="330" t="s">
        <v>236</v>
      </c>
      <c r="H520" s="329">
        <v>4926.2618594014502</v>
      </c>
      <c r="I520" s="338"/>
      <c r="J520" s="338">
        <v>4926.2618594014502</v>
      </c>
      <c r="K520" s="338"/>
      <c r="L520" s="338"/>
      <c r="M520" s="336"/>
    </row>
    <row r="521" spans="1:13" hidden="1" outlineLevel="2" x14ac:dyDescent="0.35">
      <c r="A521" s="339" t="s">
        <v>148</v>
      </c>
      <c r="B521" s="331">
        <v>43953</v>
      </c>
      <c r="C521" s="332" t="s">
        <v>563</v>
      </c>
      <c r="D521" s="332" t="s">
        <v>564</v>
      </c>
      <c r="E521" s="332" t="s">
        <v>565</v>
      </c>
      <c r="F521" s="336">
        <v>58843596</v>
      </c>
      <c r="G521" s="330" t="s">
        <v>236</v>
      </c>
      <c r="H521" s="329">
        <v>54669.24360203254</v>
      </c>
      <c r="I521" s="338"/>
      <c r="J521" s="338">
        <v>54669.24360203254</v>
      </c>
      <c r="K521" s="338"/>
      <c r="L521" s="338"/>
      <c r="M521" s="336"/>
    </row>
    <row r="522" spans="1:13" hidden="1" outlineLevel="2" x14ac:dyDescent="0.35">
      <c r="A522" s="339" t="s">
        <v>148</v>
      </c>
      <c r="B522" s="331">
        <v>44336</v>
      </c>
      <c r="C522" s="332" t="s">
        <v>943</v>
      </c>
      <c r="D522" s="332" t="s">
        <v>944</v>
      </c>
      <c r="E522" s="332" t="s">
        <v>606</v>
      </c>
      <c r="F522" s="336">
        <v>5808310</v>
      </c>
      <c r="G522" s="330" t="s">
        <v>236</v>
      </c>
      <c r="H522" s="329">
        <v>4952.3683181949727</v>
      </c>
      <c r="I522" s="338"/>
      <c r="J522" s="338">
        <v>4952.3683181949727</v>
      </c>
      <c r="K522" s="338"/>
      <c r="L522" s="338"/>
      <c r="M522" s="336"/>
    </row>
    <row r="523" spans="1:13" hidden="1" outlineLevel="2" x14ac:dyDescent="0.35">
      <c r="A523" s="339" t="s">
        <v>148</v>
      </c>
      <c r="B523" s="331">
        <v>44408</v>
      </c>
      <c r="C523" s="332" t="s">
        <v>945</v>
      </c>
      <c r="D523" s="332" t="s">
        <v>946</v>
      </c>
      <c r="E523" s="332" t="s">
        <v>947</v>
      </c>
      <c r="F523" s="336">
        <v>2850000</v>
      </c>
      <c r="G523" s="330" t="s">
        <v>236</v>
      </c>
      <c r="H523" s="329">
        <v>2430.0097114058431</v>
      </c>
      <c r="I523" s="338"/>
      <c r="J523" s="338">
        <v>2430.0097114058431</v>
      </c>
      <c r="K523" s="338"/>
      <c r="L523" s="338"/>
      <c r="M523" s="336"/>
    </row>
    <row r="524" spans="1:13" hidden="1" outlineLevel="2" x14ac:dyDescent="0.35">
      <c r="A524" s="339" t="s">
        <v>148</v>
      </c>
      <c r="B524" s="331">
        <v>44408</v>
      </c>
      <c r="C524" s="332" t="s">
        <v>948</v>
      </c>
      <c r="D524" s="332" t="s">
        <v>949</v>
      </c>
      <c r="E524" s="332" t="s">
        <v>950</v>
      </c>
      <c r="F524" s="336">
        <v>720000</v>
      </c>
      <c r="G524" s="330" t="s">
        <v>236</v>
      </c>
      <c r="H524" s="329">
        <v>613.89719024989711</v>
      </c>
      <c r="I524" s="338"/>
      <c r="J524" s="338">
        <v>613.89719024989711</v>
      </c>
      <c r="K524" s="338"/>
      <c r="L524" s="338"/>
      <c r="M524" s="336"/>
    </row>
    <row r="525" spans="1:13" hidden="1" outlineLevel="2" x14ac:dyDescent="0.35">
      <c r="A525" s="339" t="s">
        <v>148</v>
      </c>
      <c r="B525" s="331">
        <v>44418</v>
      </c>
      <c r="C525" s="332" t="s">
        <v>442</v>
      </c>
      <c r="D525" s="332" t="s">
        <v>951</v>
      </c>
      <c r="E525" s="332" t="s">
        <v>940</v>
      </c>
      <c r="F525" s="336">
        <v>19200000</v>
      </c>
      <c r="G525" s="330" t="s">
        <v>236</v>
      </c>
      <c r="H525" s="329">
        <v>16370.591739997257</v>
      </c>
      <c r="I525" s="338"/>
      <c r="J525" s="338">
        <v>16370.591739997257</v>
      </c>
      <c r="K525" s="338"/>
      <c r="L525" s="338"/>
      <c r="M525" s="336"/>
    </row>
    <row r="526" spans="1:13" hidden="1" outlineLevel="2" x14ac:dyDescent="0.35">
      <c r="A526" s="339" t="s">
        <v>148</v>
      </c>
      <c r="B526" s="331">
        <v>44408</v>
      </c>
      <c r="C526" s="332" t="s">
        <v>573</v>
      </c>
      <c r="D526" s="332" t="s">
        <v>952</v>
      </c>
      <c r="E526" s="332" t="s">
        <v>953</v>
      </c>
      <c r="F526" s="336">
        <v>5040000</v>
      </c>
      <c r="G526" s="330" t="s">
        <v>236</v>
      </c>
      <c r="H526" s="329">
        <v>4297.2803317492799</v>
      </c>
      <c r="I526" s="338"/>
      <c r="J526" s="338">
        <v>4297.2803317492799</v>
      </c>
      <c r="K526" s="338"/>
      <c r="L526" s="338"/>
      <c r="M526" s="336"/>
    </row>
    <row r="527" spans="1:13" hidden="1" outlineLevel="2" x14ac:dyDescent="0.35">
      <c r="A527" s="339" t="s">
        <v>148</v>
      </c>
      <c r="B527" s="331">
        <v>44408</v>
      </c>
      <c r="C527" s="332" t="s">
        <v>579</v>
      </c>
      <c r="D527" s="332" t="s">
        <v>954</v>
      </c>
      <c r="E527" s="332" t="s">
        <v>955</v>
      </c>
      <c r="F527" s="336">
        <v>19440000</v>
      </c>
      <c r="G527" s="330" t="s">
        <v>236</v>
      </c>
      <c r="H527" s="329">
        <v>16575.224136747223</v>
      </c>
      <c r="I527" s="338"/>
      <c r="J527" s="338">
        <v>16575.224136747223</v>
      </c>
      <c r="K527" s="338"/>
      <c r="L527" s="338"/>
      <c r="M527" s="336"/>
    </row>
    <row r="528" spans="1:13" hidden="1" outlineLevel="2" x14ac:dyDescent="0.35">
      <c r="A528" s="339" t="s">
        <v>148</v>
      </c>
      <c r="B528" s="331">
        <v>44413</v>
      </c>
      <c r="C528" s="332" t="s">
        <v>956</v>
      </c>
      <c r="D528" s="332" t="s">
        <v>957</v>
      </c>
      <c r="E528" s="332" t="s">
        <v>565</v>
      </c>
      <c r="F528" s="336">
        <v>9984000</v>
      </c>
      <c r="G528" s="330" t="s">
        <v>236</v>
      </c>
      <c r="H528" s="329">
        <v>8512.7077047985731</v>
      </c>
      <c r="I528" s="338"/>
      <c r="J528" s="338">
        <v>8512.7077047985731</v>
      </c>
      <c r="K528" s="338"/>
      <c r="L528" s="338"/>
      <c r="M528" s="336"/>
    </row>
    <row r="529" spans="1:13" hidden="1" outlineLevel="2" x14ac:dyDescent="0.35">
      <c r="A529" s="339" t="s">
        <v>148</v>
      </c>
      <c r="B529" s="331">
        <v>44413</v>
      </c>
      <c r="C529" s="332" t="s">
        <v>958</v>
      </c>
      <c r="D529" s="332" t="s">
        <v>959</v>
      </c>
      <c r="E529" s="332" t="s">
        <v>565</v>
      </c>
      <c r="F529" s="336">
        <v>6552000</v>
      </c>
      <c r="G529" s="330" t="s">
        <v>236</v>
      </c>
      <c r="H529" s="329">
        <v>5586.4644312740638</v>
      </c>
      <c r="I529" s="338"/>
      <c r="J529" s="338">
        <v>5586.4644312740638</v>
      </c>
      <c r="K529" s="338"/>
      <c r="L529" s="338"/>
      <c r="M529" s="336"/>
    </row>
    <row r="530" spans="1:13" hidden="1" outlineLevel="2" x14ac:dyDescent="0.35">
      <c r="A530" s="339" t="s">
        <v>148</v>
      </c>
      <c r="B530" s="331">
        <v>44469</v>
      </c>
      <c r="C530" s="332" t="s">
        <v>960</v>
      </c>
      <c r="D530" s="332" t="s">
        <v>961</v>
      </c>
      <c r="E530" s="332" t="s">
        <v>369</v>
      </c>
      <c r="F530" s="336">
        <v>661682</v>
      </c>
      <c r="G530" s="330" t="s">
        <v>236</v>
      </c>
      <c r="H530" s="329">
        <v>564.17322310962845</v>
      </c>
      <c r="I530" s="338"/>
      <c r="J530" s="338">
        <v>564.17322310962845</v>
      </c>
      <c r="K530" s="338"/>
      <c r="L530" s="338"/>
      <c r="M530" s="336"/>
    </row>
    <row r="531" spans="1:13" hidden="1" outlineLevel="2" x14ac:dyDescent="0.35">
      <c r="A531" s="339" t="s">
        <v>148</v>
      </c>
      <c r="B531" s="331">
        <v>44530</v>
      </c>
      <c r="C531" s="332" t="s">
        <v>962</v>
      </c>
      <c r="D531" s="332" t="s">
        <v>963</v>
      </c>
      <c r="E531" s="332" t="s">
        <v>964</v>
      </c>
      <c r="F531" s="336">
        <v>354000</v>
      </c>
      <c r="G531" s="330" t="s">
        <v>236</v>
      </c>
      <c r="H531" s="329">
        <v>301.83278520619945</v>
      </c>
      <c r="I531" s="338"/>
      <c r="J531" s="338">
        <v>301.83278520619945</v>
      </c>
      <c r="K531" s="338"/>
      <c r="L531" s="338"/>
      <c r="M531" s="336"/>
    </row>
    <row r="532" spans="1:13" hidden="1" outlineLevel="2" x14ac:dyDescent="0.35">
      <c r="A532" s="339" t="s">
        <v>148</v>
      </c>
      <c r="B532" s="331">
        <v>44516</v>
      </c>
      <c r="C532" s="332" t="s">
        <v>965</v>
      </c>
      <c r="D532" s="332" t="s">
        <v>966</v>
      </c>
      <c r="E532" s="332" t="s">
        <v>967</v>
      </c>
      <c r="F532" s="336">
        <v>150000</v>
      </c>
      <c r="G532" s="330" t="s">
        <v>236</v>
      </c>
      <c r="H532" s="329">
        <v>127.89524796872857</v>
      </c>
      <c r="I532" s="338"/>
      <c r="J532" s="338">
        <v>127.89524796872857</v>
      </c>
      <c r="K532" s="338"/>
      <c r="L532" s="338"/>
      <c r="M532" s="336"/>
    </row>
    <row r="533" spans="1:13" outlineLevel="1" collapsed="1" x14ac:dyDescent="0.35">
      <c r="A533" s="343" t="s">
        <v>968</v>
      </c>
      <c r="B533" s="331"/>
      <c r="C533" s="332"/>
      <c r="D533" s="332"/>
      <c r="E533" s="332"/>
      <c r="F533" s="336"/>
      <c r="G533" s="330"/>
      <c r="H533" s="329">
        <f t="shared" ref="H533:M533" si="20">SUBTOTAL(9,H519:H532)</f>
        <v>143916.09906821192</v>
      </c>
      <c r="I533" s="338">
        <f t="shared" si="20"/>
        <v>0</v>
      </c>
      <c r="J533" s="338">
        <f t="shared" si="20"/>
        <v>143916.09906821192</v>
      </c>
      <c r="K533" s="338">
        <f t="shared" si="20"/>
        <v>0</v>
      </c>
      <c r="L533" s="338">
        <f t="shared" si="20"/>
        <v>0</v>
      </c>
      <c r="M533" s="336">
        <f t="shared" si="20"/>
        <v>0</v>
      </c>
    </row>
    <row r="534" spans="1:13" hidden="1" outlineLevel="2" x14ac:dyDescent="0.35">
      <c r="A534" s="326" t="s">
        <v>87</v>
      </c>
      <c r="B534" s="331">
        <v>44347</v>
      </c>
      <c r="C534" s="332" t="s">
        <v>969</v>
      </c>
      <c r="D534" s="332" t="s">
        <v>970</v>
      </c>
      <c r="E534" s="332" t="s">
        <v>623</v>
      </c>
      <c r="F534" s="336">
        <v>999960</v>
      </c>
      <c r="G534" s="330" t="s">
        <v>236</v>
      </c>
      <c r="H534" s="329">
        <v>852.60088105873217</v>
      </c>
      <c r="I534" s="338"/>
      <c r="J534" s="338"/>
      <c r="K534" s="338">
        <v>284.20029368624404</v>
      </c>
      <c r="L534" s="338">
        <v>568.40058737248808</v>
      </c>
      <c r="M534" s="336"/>
    </row>
    <row r="535" spans="1:13" hidden="1" outlineLevel="2" x14ac:dyDescent="0.35">
      <c r="A535" s="326" t="s">
        <v>87</v>
      </c>
      <c r="B535" s="331">
        <v>44538</v>
      </c>
      <c r="C535" s="332" t="s">
        <v>971</v>
      </c>
      <c r="D535" s="332" t="s">
        <v>972</v>
      </c>
      <c r="E535" s="332" t="s">
        <v>973</v>
      </c>
      <c r="F535" s="336">
        <v>937500</v>
      </c>
      <c r="G535" s="330" t="s">
        <v>236</v>
      </c>
      <c r="H535" s="329">
        <v>799.34529980455363</v>
      </c>
      <c r="I535" s="338"/>
      <c r="J535" s="338"/>
      <c r="K535" s="338">
        <v>266.44843326818454</v>
      </c>
      <c r="L535" s="338">
        <v>532.89686653636909</v>
      </c>
      <c r="M535" s="336"/>
    </row>
    <row r="536" spans="1:13" outlineLevel="1" collapsed="1" x14ac:dyDescent="0.35">
      <c r="A536" s="334" t="s">
        <v>974</v>
      </c>
      <c r="B536" s="331"/>
      <c r="C536" s="332"/>
      <c r="D536" s="332"/>
      <c r="E536" s="332"/>
      <c r="F536" s="336"/>
      <c r="G536" s="330"/>
      <c r="H536" s="329">
        <f t="shared" ref="H536:M536" si="21">SUBTOTAL(9,H534:H535)</f>
        <v>1651.9461808632859</v>
      </c>
      <c r="I536" s="338">
        <f t="shared" si="21"/>
        <v>0</v>
      </c>
      <c r="J536" s="338">
        <f t="shared" si="21"/>
        <v>0</v>
      </c>
      <c r="K536" s="338">
        <f t="shared" si="21"/>
        <v>550.64872695442864</v>
      </c>
      <c r="L536" s="338">
        <f t="shared" si="21"/>
        <v>1101.2974539088573</v>
      </c>
      <c r="M536" s="336">
        <f t="shared" si="21"/>
        <v>0</v>
      </c>
    </row>
    <row r="537" spans="1:13" hidden="1" outlineLevel="2" x14ac:dyDescent="0.35">
      <c r="A537" s="339" t="s">
        <v>143</v>
      </c>
      <c r="B537" s="331">
        <v>44109</v>
      </c>
      <c r="C537" s="332" t="s">
        <v>975</v>
      </c>
      <c r="D537" s="332" t="s">
        <v>976</v>
      </c>
      <c r="E537" s="332" t="s">
        <v>623</v>
      </c>
      <c r="F537" s="336">
        <v>9999000</v>
      </c>
      <c r="G537" s="330" t="s">
        <v>236</v>
      </c>
      <c r="H537" s="329">
        <v>9289.6730304640696</v>
      </c>
      <c r="I537" s="338"/>
      <c r="J537" s="338">
        <v>9289.6730304640696</v>
      </c>
      <c r="K537" s="338"/>
      <c r="L537" s="338"/>
      <c r="M537" s="336"/>
    </row>
    <row r="538" spans="1:13" outlineLevel="1" collapsed="1" x14ac:dyDescent="0.35">
      <c r="A538" s="343" t="s">
        <v>977</v>
      </c>
      <c r="B538" s="331"/>
      <c r="C538" s="332"/>
      <c r="D538" s="332"/>
      <c r="E538" s="332"/>
      <c r="F538" s="336"/>
      <c r="G538" s="330"/>
      <c r="H538" s="329">
        <f t="shared" ref="H538:M538" si="22">SUBTOTAL(9,H537:H537)</f>
        <v>9289.6730304640696</v>
      </c>
      <c r="I538" s="338">
        <f t="shared" si="22"/>
        <v>0</v>
      </c>
      <c r="J538" s="338">
        <f t="shared" si="22"/>
        <v>9289.6730304640696</v>
      </c>
      <c r="K538" s="338">
        <f t="shared" si="22"/>
        <v>0</v>
      </c>
      <c r="L538" s="338">
        <f t="shared" si="22"/>
        <v>0</v>
      </c>
      <c r="M538" s="336">
        <f t="shared" si="22"/>
        <v>0</v>
      </c>
    </row>
    <row r="539" spans="1:13" hidden="1" outlineLevel="2" x14ac:dyDescent="0.35">
      <c r="A539" s="339" t="s">
        <v>144</v>
      </c>
      <c r="B539" s="331">
        <v>44339</v>
      </c>
      <c r="C539" s="332" t="s">
        <v>351</v>
      </c>
      <c r="D539" s="332" t="s">
        <v>978</v>
      </c>
      <c r="E539" s="332" t="s">
        <v>979</v>
      </c>
      <c r="F539" s="336">
        <v>70000</v>
      </c>
      <c r="G539" s="330" t="s">
        <v>236</v>
      </c>
      <c r="H539" s="329">
        <v>59.684449052073333</v>
      </c>
      <c r="I539" s="338"/>
      <c r="J539" s="338">
        <v>59.684449052073333</v>
      </c>
      <c r="K539" s="338"/>
      <c r="L539" s="338"/>
      <c r="M539" s="336"/>
    </row>
    <row r="540" spans="1:13" hidden="1" outlineLevel="2" x14ac:dyDescent="0.35">
      <c r="A540" s="339" t="s">
        <v>144</v>
      </c>
      <c r="B540" s="331">
        <v>44339</v>
      </c>
      <c r="C540" s="332" t="s">
        <v>351</v>
      </c>
      <c r="D540" s="332" t="s">
        <v>978</v>
      </c>
      <c r="E540" s="332" t="s">
        <v>980</v>
      </c>
      <c r="F540" s="336">
        <v>20000</v>
      </c>
      <c r="G540" s="330" t="s">
        <v>236</v>
      </c>
      <c r="H540" s="329">
        <v>17.052699729163809</v>
      </c>
      <c r="I540" s="338"/>
      <c r="J540" s="338">
        <v>17.052699729163809</v>
      </c>
      <c r="K540" s="338"/>
      <c r="L540" s="338"/>
      <c r="M540" s="336"/>
    </row>
    <row r="541" spans="1:13" hidden="1" outlineLevel="2" x14ac:dyDescent="0.35">
      <c r="A541" s="339" t="s">
        <v>144</v>
      </c>
      <c r="B541" s="331">
        <v>44339</v>
      </c>
      <c r="C541" s="332" t="s">
        <v>351</v>
      </c>
      <c r="D541" s="332" t="s">
        <v>978</v>
      </c>
      <c r="E541" s="332" t="s">
        <v>981</v>
      </c>
      <c r="F541" s="336">
        <v>84000</v>
      </c>
      <c r="G541" s="330" t="s">
        <v>236</v>
      </c>
      <c r="H541" s="329">
        <v>71.621338862488003</v>
      </c>
      <c r="I541" s="338"/>
      <c r="J541" s="338">
        <v>71.621338862488003</v>
      </c>
      <c r="K541" s="338"/>
      <c r="L541" s="338"/>
      <c r="M541" s="336"/>
    </row>
    <row r="542" spans="1:13" hidden="1" outlineLevel="2" x14ac:dyDescent="0.35">
      <c r="A542" s="339" t="s">
        <v>144</v>
      </c>
      <c r="B542" s="331">
        <v>44339</v>
      </c>
      <c r="C542" s="332" t="s">
        <v>351</v>
      </c>
      <c r="D542" s="332" t="s">
        <v>978</v>
      </c>
      <c r="E542" s="332" t="s">
        <v>982</v>
      </c>
      <c r="F542" s="336">
        <v>70000</v>
      </c>
      <c r="G542" s="330" t="s">
        <v>236</v>
      </c>
      <c r="H542" s="329">
        <v>59.684449052073333</v>
      </c>
      <c r="I542" s="338"/>
      <c r="J542" s="338">
        <v>59.684449052073333</v>
      </c>
      <c r="K542" s="338"/>
      <c r="L542" s="338"/>
      <c r="M542" s="336"/>
    </row>
    <row r="543" spans="1:13" hidden="1" outlineLevel="2" x14ac:dyDescent="0.35">
      <c r="A543" s="339" t="s">
        <v>144</v>
      </c>
      <c r="B543" s="331">
        <v>44225</v>
      </c>
      <c r="C543" s="332" t="s">
        <v>351</v>
      </c>
      <c r="D543" s="332" t="s">
        <v>983</v>
      </c>
      <c r="E543" s="332" t="s">
        <v>984</v>
      </c>
      <c r="F543" s="336">
        <v>14000</v>
      </c>
      <c r="G543" s="330" t="s">
        <v>236</v>
      </c>
      <c r="H543" s="329">
        <v>11.936889810414668</v>
      </c>
      <c r="I543" s="338"/>
      <c r="J543" s="338">
        <v>11.936889810414668</v>
      </c>
      <c r="K543" s="338"/>
      <c r="L543" s="338"/>
      <c r="M543" s="336"/>
    </row>
    <row r="544" spans="1:13" hidden="1" outlineLevel="2" x14ac:dyDescent="0.35">
      <c r="A544" s="339" t="s">
        <v>144</v>
      </c>
      <c r="B544" s="331">
        <v>44226</v>
      </c>
      <c r="C544" s="332" t="s">
        <v>351</v>
      </c>
      <c r="D544" s="332" t="s">
        <v>983</v>
      </c>
      <c r="E544" s="332" t="s">
        <v>984</v>
      </c>
      <c r="F544" s="336">
        <v>14000</v>
      </c>
      <c r="G544" s="330" t="s">
        <v>236</v>
      </c>
      <c r="H544" s="329">
        <v>11.936889810414668</v>
      </c>
      <c r="I544" s="338"/>
      <c r="J544" s="338">
        <v>11.936889810414668</v>
      </c>
      <c r="K544" s="338"/>
      <c r="L544" s="338"/>
      <c r="M544" s="336"/>
    </row>
    <row r="545" spans="1:13" hidden="1" outlineLevel="2" x14ac:dyDescent="0.35">
      <c r="A545" s="339" t="s">
        <v>144</v>
      </c>
      <c r="B545" s="331">
        <v>44228</v>
      </c>
      <c r="C545" s="332" t="s">
        <v>351</v>
      </c>
      <c r="D545" s="332" t="s">
        <v>983</v>
      </c>
      <c r="E545" s="332" t="s">
        <v>984</v>
      </c>
      <c r="F545" s="336">
        <v>14000</v>
      </c>
      <c r="G545" s="330" t="s">
        <v>236</v>
      </c>
      <c r="H545" s="329">
        <v>11.936889810414668</v>
      </c>
      <c r="I545" s="338"/>
      <c r="J545" s="338">
        <v>11.936889810414668</v>
      </c>
      <c r="K545" s="338"/>
      <c r="L545" s="338"/>
      <c r="M545" s="336"/>
    </row>
    <row r="546" spans="1:13" hidden="1" outlineLevel="2" x14ac:dyDescent="0.35">
      <c r="A546" s="339" t="s">
        <v>144</v>
      </c>
      <c r="B546" s="331">
        <v>44230</v>
      </c>
      <c r="C546" s="332" t="s">
        <v>351</v>
      </c>
      <c r="D546" s="332" t="s">
        <v>983</v>
      </c>
      <c r="E546" s="332" t="s">
        <v>984</v>
      </c>
      <c r="F546" s="336">
        <v>14000</v>
      </c>
      <c r="G546" s="330" t="s">
        <v>236</v>
      </c>
      <c r="H546" s="329">
        <v>11.936889810414668</v>
      </c>
      <c r="I546" s="338"/>
      <c r="J546" s="338">
        <v>11.936889810414668</v>
      </c>
      <c r="K546" s="338"/>
      <c r="L546" s="338"/>
      <c r="M546" s="336"/>
    </row>
    <row r="547" spans="1:13" hidden="1" outlineLevel="2" x14ac:dyDescent="0.35">
      <c r="A547" s="339" t="s">
        <v>144</v>
      </c>
      <c r="B547" s="331">
        <v>44219</v>
      </c>
      <c r="C547" s="332" t="s">
        <v>351</v>
      </c>
      <c r="D547" s="332" t="s">
        <v>983</v>
      </c>
      <c r="E547" s="332" t="s">
        <v>984</v>
      </c>
      <c r="F547" s="336">
        <v>14000</v>
      </c>
      <c r="G547" s="330" t="s">
        <v>236</v>
      </c>
      <c r="H547" s="329">
        <v>11.936889810414668</v>
      </c>
      <c r="I547" s="338"/>
      <c r="J547" s="338">
        <v>11.936889810414668</v>
      </c>
      <c r="K547" s="338"/>
      <c r="L547" s="338"/>
      <c r="M547" s="336"/>
    </row>
    <row r="548" spans="1:13" hidden="1" outlineLevel="2" x14ac:dyDescent="0.35">
      <c r="A548" s="339" t="s">
        <v>144</v>
      </c>
      <c r="B548" s="331">
        <v>44220</v>
      </c>
      <c r="C548" s="332" t="s">
        <v>351</v>
      </c>
      <c r="D548" s="332" t="s">
        <v>983</v>
      </c>
      <c r="E548" s="332" t="s">
        <v>984</v>
      </c>
      <c r="F548" s="336">
        <v>14000</v>
      </c>
      <c r="G548" s="330" t="s">
        <v>236</v>
      </c>
      <c r="H548" s="329">
        <v>11.936889810414668</v>
      </c>
      <c r="I548" s="338"/>
      <c r="J548" s="338">
        <v>11.936889810414668</v>
      </c>
      <c r="K548" s="338"/>
      <c r="L548" s="338"/>
      <c r="M548" s="336"/>
    </row>
    <row r="549" spans="1:13" hidden="1" outlineLevel="2" x14ac:dyDescent="0.35">
      <c r="A549" s="339" t="s">
        <v>144</v>
      </c>
      <c r="B549" s="331">
        <v>44224</v>
      </c>
      <c r="C549" s="332" t="s">
        <v>351</v>
      </c>
      <c r="D549" s="332" t="s">
        <v>983</v>
      </c>
      <c r="E549" s="332" t="s">
        <v>984</v>
      </c>
      <c r="F549" s="336">
        <v>14000</v>
      </c>
      <c r="G549" s="330" t="s">
        <v>236</v>
      </c>
      <c r="H549" s="329">
        <v>11.936889810414668</v>
      </c>
      <c r="I549" s="338"/>
      <c r="J549" s="338">
        <v>11.936889810414668</v>
      </c>
      <c r="K549" s="338"/>
      <c r="L549" s="338"/>
      <c r="M549" s="336"/>
    </row>
    <row r="550" spans="1:13" hidden="1" outlineLevel="2" x14ac:dyDescent="0.35">
      <c r="A550" s="339" t="s">
        <v>144</v>
      </c>
      <c r="B550" s="331">
        <v>44222</v>
      </c>
      <c r="C550" s="332" t="s">
        <v>351</v>
      </c>
      <c r="D550" s="332" t="s">
        <v>983</v>
      </c>
      <c r="E550" s="332" t="s">
        <v>984</v>
      </c>
      <c r="F550" s="336">
        <v>14000</v>
      </c>
      <c r="G550" s="330" t="s">
        <v>236</v>
      </c>
      <c r="H550" s="329">
        <v>11.936889810414668</v>
      </c>
      <c r="I550" s="338"/>
      <c r="J550" s="338">
        <v>11.936889810414668</v>
      </c>
      <c r="K550" s="338"/>
      <c r="L550" s="338"/>
      <c r="M550" s="336"/>
    </row>
    <row r="551" spans="1:13" hidden="1" outlineLevel="2" x14ac:dyDescent="0.35">
      <c r="A551" s="339" t="s">
        <v>144</v>
      </c>
      <c r="B551" s="331">
        <v>44231</v>
      </c>
      <c r="C551" s="332" t="s">
        <v>351</v>
      </c>
      <c r="D551" s="332" t="s">
        <v>983</v>
      </c>
      <c r="E551" s="332" t="s">
        <v>984</v>
      </c>
      <c r="F551" s="336">
        <v>14000</v>
      </c>
      <c r="G551" s="330" t="s">
        <v>236</v>
      </c>
      <c r="H551" s="329">
        <v>11.936889810414668</v>
      </c>
      <c r="I551" s="338"/>
      <c r="J551" s="338">
        <v>11.936889810414668</v>
      </c>
      <c r="K551" s="338"/>
      <c r="L551" s="338"/>
      <c r="M551" s="336"/>
    </row>
    <row r="552" spans="1:13" hidden="1" outlineLevel="2" x14ac:dyDescent="0.35">
      <c r="A552" s="339" t="s">
        <v>144</v>
      </c>
      <c r="B552" s="331">
        <v>44231</v>
      </c>
      <c r="C552" s="332" t="s">
        <v>351</v>
      </c>
      <c r="D552" s="332" t="s">
        <v>983</v>
      </c>
      <c r="E552" s="332" t="s">
        <v>984</v>
      </c>
      <c r="F552" s="336">
        <v>14000</v>
      </c>
      <c r="G552" s="330" t="s">
        <v>236</v>
      </c>
      <c r="H552" s="329">
        <v>11.936889810414668</v>
      </c>
      <c r="I552" s="338"/>
      <c r="J552" s="338">
        <v>11.936889810414668</v>
      </c>
      <c r="K552" s="338"/>
      <c r="L552" s="338"/>
      <c r="M552" s="336"/>
    </row>
    <row r="553" spans="1:13" hidden="1" outlineLevel="2" x14ac:dyDescent="0.35">
      <c r="A553" s="339" t="s">
        <v>144</v>
      </c>
      <c r="B553" s="331">
        <v>44219</v>
      </c>
      <c r="C553" s="332" t="s">
        <v>353</v>
      </c>
      <c r="D553" s="332" t="s">
        <v>985</v>
      </c>
      <c r="E553" s="332" t="s">
        <v>981</v>
      </c>
      <c r="F553" s="336">
        <v>84000</v>
      </c>
      <c r="G553" s="330" t="s">
        <v>236</v>
      </c>
      <c r="H553" s="329">
        <v>71.621338862488003</v>
      </c>
      <c r="I553" s="338"/>
      <c r="J553" s="338">
        <v>71.621338862488003</v>
      </c>
      <c r="K553" s="338"/>
      <c r="L553" s="338"/>
      <c r="M553" s="336"/>
    </row>
    <row r="554" spans="1:13" hidden="1" outlineLevel="2" x14ac:dyDescent="0.35">
      <c r="A554" s="339" t="s">
        <v>144</v>
      </c>
      <c r="B554" s="331">
        <v>44219</v>
      </c>
      <c r="C554" s="332" t="s">
        <v>353</v>
      </c>
      <c r="D554" s="332" t="s">
        <v>985</v>
      </c>
      <c r="E554" s="332" t="s">
        <v>979</v>
      </c>
      <c r="F554" s="336">
        <v>20000</v>
      </c>
      <c r="G554" s="330" t="s">
        <v>236</v>
      </c>
      <c r="H554" s="329">
        <v>17.052699729163809</v>
      </c>
      <c r="I554" s="338"/>
      <c r="J554" s="338">
        <v>17.052699729163809</v>
      </c>
      <c r="K554" s="338"/>
      <c r="L554" s="338"/>
      <c r="M554" s="336"/>
    </row>
    <row r="555" spans="1:13" hidden="1" outlineLevel="2" x14ac:dyDescent="0.35">
      <c r="A555" s="339" t="s">
        <v>144</v>
      </c>
      <c r="B555" s="331">
        <v>44219</v>
      </c>
      <c r="C555" s="332" t="s">
        <v>353</v>
      </c>
      <c r="D555" s="332" t="s">
        <v>985</v>
      </c>
      <c r="E555" s="332" t="s">
        <v>986</v>
      </c>
      <c r="F555" s="336">
        <v>70000</v>
      </c>
      <c r="G555" s="330" t="s">
        <v>236</v>
      </c>
      <c r="H555" s="329">
        <v>59.684449052073333</v>
      </c>
      <c r="I555" s="338"/>
      <c r="J555" s="338">
        <v>59.684449052073333</v>
      </c>
      <c r="K555" s="338"/>
      <c r="L555" s="338"/>
      <c r="M555" s="336"/>
    </row>
    <row r="556" spans="1:13" hidden="1" outlineLevel="2" x14ac:dyDescent="0.35">
      <c r="A556" s="339" t="s">
        <v>144</v>
      </c>
      <c r="B556" s="331">
        <v>44219</v>
      </c>
      <c r="C556" s="332" t="s">
        <v>353</v>
      </c>
      <c r="D556" s="332" t="s">
        <v>985</v>
      </c>
      <c r="E556" s="332" t="s">
        <v>987</v>
      </c>
      <c r="F556" s="336">
        <v>70000</v>
      </c>
      <c r="G556" s="330" t="s">
        <v>236</v>
      </c>
      <c r="H556" s="329">
        <v>59.684449052073333</v>
      </c>
      <c r="I556" s="338"/>
      <c r="J556" s="338">
        <v>59.684449052073333</v>
      </c>
      <c r="K556" s="338"/>
      <c r="L556" s="338"/>
      <c r="M556" s="336"/>
    </row>
    <row r="557" spans="1:13" hidden="1" outlineLevel="2" x14ac:dyDescent="0.35">
      <c r="A557" s="339" t="s">
        <v>144</v>
      </c>
      <c r="B557" s="331">
        <v>44224</v>
      </c>
      <c r="C557" s="332" t="s">
        <v>353</v>
      </c>
      <c r="D557" s="332" t="s">
        <v>988</v>
      </c>
      <c r="E557" s="332" t="s">
        <v>984</v>
      </c>
      <c r="F557" s="336">
        <v>14000</v>
      </c>
      <c r="G557" s="330" t="s">
        <v>236</v>
      </c>
      <c r="H557" s="329">
        <v>11.936889810414668</v>
      </c>
      <c r="I557" s="338"/>
      <c r="J557" s="338">
        <v>11.936889810414668</v>
      </c>
      <c r="K557" s="338"/>
      <c r="L557" s="338"/>
      <c r="M557" s="336"/>
    </row>
    <row r="558" spans="1:13" hidden="1" outlineLevel="2" x14ac:dyDescent="0.35">
      <c r="A558" s="339" t="s">
        <v>144</v>
      </c>
      <c r="B558" s="331">
        <v>44225</v>
      </c>
      <c r="C558" s="332" t="s">
        <v>353</v>
      </c>
      <c r="D558" s="332" t="s">
        <v>988</v>
      </c>
      <c r="E558" s="332" t="s">
        <v>984</v>
      </c>
      <c r="F558" s="336">
        <v>14000</v>
      </c>
      <c r="G558" s="330" t="s">
        <v>236</v>
      </c>
      <c r="H558" s="329">
        <v>11.936889810414668</v>
      </c>
      <c r="I558" s="338"/>
      <c r="J558" s="338">
        <v>11.936889810414668</v>
      </c>
      <c r="K558" s="338"/>
      <c r="L558" s="338"/>
      <c r="M558" s="336"/>
    </row>
    <row r="559" spans="1:13" hidden="1" outlineLevel="2" x14ac:dyDescent="0.35">
      <c r="A559" s="339" t="s">
        <v>144</v>
      </c>
      <c r="B559" s="331">
        <v>44226</v>
      </c>
      <c r="C559" s="332" t="s">
        <v>353</v>
      </c>
      <c r="D559" s="332" t="s">
        <v>988</v>
      </c>
      <c r="E559" s="332" t="s">
        <v>984</v>
      </c>
      <c r="F559" s="336">
        <v>14000</v>
      </c>
      <c r="G559" s="330" t="s">
        <v>236</v>
      </c>
      <c r="H559" s="329">
        <v>11.936889810414668</v>
      </c>
      <c r="I559" s="338"/>
      <c r="J559" s="338">
        <v>11.936889810414668</v>
      </c>
      <c r="K559" s="338"/>
      <c r="L559" s="338"/>
      <c r="M559" s="336"/>
    </row>
    <row r="560" spans="1:13" hidden="1" outlineLevel="2" x14ac:dyDescent="0.35">
      <c r="A560" s="339" t="s">
        <v>144</v>
      </c>
      <c r="B560" s="331">
        <v>44228</v>
      </c>
      <c r="C560" s="332" t="s">
        <v>353</v>
      </c>
      <c r="D560" s="332" t="s">
        <v>988</v>
      </c>
      <c r="E560" s="332" t="s">
        <v>984</v>
      </c>
      <c r="F560" s="336">
        <v>14000</v>
      </c>
      <c r="G560" s="330" t="s">
        <v>236</v>
      </c>
      <c r="H560" s="329">
        <v>11.936889810414668</v>
      </c>
      <c r="I560" s="338"/>
      <c r="J560" s="338">
        <v>11.936889810414668</v>
      </c>
      <c r="K560" s="338"/>
      <c r="L560" s="338"/>
      <c r="M560" s="336"/>
    </row>
    <row r="561" spans="1:13" hidden="1" outlineLevel="2" x14ac:dyDescent="0.35">
      <c r="A561" s="339" t="s">
        <v>144</v>
      </c>
      <c r="B561" s="331">
        <v>44199</v>
      </c>
      <c r="C561" s="332" t="s">
        <v>353</v>
      </c>
      <c r="D561" s="332" t="s">
        <v>988</v>
      </c>
      <c r="E561" s="332" t="s">
        <v>984</v>
      </c>
      <c r="F561" s="336">
        <v>14000</v>
      </c>
      <c r="G561" s="330" t="s">
        <v>236</v>
      </c>
      <c r="H561" s="329">
        <v>11.936889810414668</v>
      </c>
      <c r="I561" s="338"/>
      <c r="J561" s="338">
        <v>11.936889810414668</v>
      </c>
      <c r="K561" s="338"/>
      <c r="L561" s="338"/>
      <c r="M561" s="336"/>
    </row>
    <row r="562" spans="1:13" hidden="1" outlineLevel="2" x14ac:dyDescent="0.35">
      <c r="A562" s="339" t="s">
        <v>144</v>
      </c>
      <c r="B562" s="331">
        <v>44220</v>
      </c>
      <c r="C562" s="332" t="s">
        <v>353</v>
      </c>
      <c r="D562" s="332" t="s">
        <v>988</v>
      </c>
      <c r="E562" s="332" t="s">
        <v>984</v>
      </c>
      <c r="F562" s="336">
        <v>14000</v>
      </c>
      <c r="G562" s="330" t="s">
        <v>236</v>
      </c>
      <c r="H562" s="329">
        <v>11.936889810414668</v>
      </c>
      <c r="I562" s="338"/>
      <c r="J562" s="338">
        <v>11.936889810414668</v>
      </c>
      <c r="K562" s="338"/>
      <c r="L562" s="338"/>
      <c r="M562" s="336"/>
    </row>
    <row r="563" spans="1:13" hidden="1" outlineLevel="2" x14ac:dyDescent="0.35">
      <c r="A563" s="339" t="s">
        <v>144</v>
      </c>
      <c r="B563" s="331">
        <v>44223</v>
      </c>
      <c r="C563" s="332" t="s">
        <v>353</v>
      </c>
      <c r="D563" s="332" t="s">
        <v>988</v>
      </c>
      <c r="E563" s="332" t="s">
        <v>984</v>
      </c>
      <c r="F563" s="336">
        <v>14000</v>
      </c>
      <c r="G563" s="330" t="s">
        <v>236</v>
      </c>
      <c r="H563" s="329">
        <v>11.936889810414668</v>
      </c>
      <c r="I563" s="338"/>
      <c r="J563" s="338">
        <v>11.936889810414668</v>
      </c>
      <c r="K563" s="338"/>
      <c r="L563" s="338"/>
      <c r="M563" s="336"/>
    </row>
    <row r="564" spans="1:13" hidden="1" outlineLevel="2" x14ac:dyDescent="0.35">
      <c r="A564" s="339" t="s">
        <v>144</v>
      </c>
      <c r="B564" s="331">
        <v>44221</v>
      </c>
      <c r="C564" s="332" t="s">
        <v>353</v>
      </c>
      <c r="D564" s="332" t="s">
        <v>988</v>
      </c>
      <c r="E564" s="332" t="s">
        <v>984</v>
      </c>
      <c r="F564" s="336">
        <v>14000</v>
      </c>
      <c r="G564" s="330" t="s">
        <v>236</v>
      </c>
      <c r="H564" s="329">
        <v>11.936889810414668</v>
      </c>
      <c r="I564" s="338"/>
      <c r="J564" s="338">
        <v>11.936889810414668</v>
      </c>
      <c r="K564" s="338"/>
      <c r="L564" s="338"/>
      <c r="M564" s="336"/>
    </row>
    <row r="565" spans="1:13" hidden="1" outlineLevel="2" x14ac:dyDescent="0.35">
      <c r="A565" s="339" t="s">
        <v>144</v>
      </c>
      <c r="B565" s="331">
        <v>44231</v>
      </c>
      <c r="C565" s="332" t="s">
        <v>353</v>
      </c>
      <c r="D565" s="332" t="s">
        <v>988</v>
      </c>
      <c r="E565" s="332" t="s">
        <v>984</v>
      </c>
      <c r="F565" s="336">
        <v>14000</v>
      </c>
      <c r="G565" s="330" t="s">
        <v>236</v>
      </c>
      <c r="H565" s="329">
        <v>11.936889810414668</v>
      </c>
      <c r="I565" s="338"/>
      <c r="J565" s="338">
        <v>11.936889810414668</v>
      </c>
      <c r="K565" s="338"/>
      <c r="L565" s="338"/>
      <c r="M565" s="336"/>
    </row>
    <row r="566" spans="1:13" hidden="1" outlineLevel="2" x14ac:dyDescent="0.35">
      <c r="A566" s="339" t="s">
        <v>144</v>
      </c>
      <c r="B566" s="331">
        <v>44232</v>
      </c>
      <c r="C566" s="332" t="s">
        <v>353</v>
      </c>
      <c r="D566" s="332" t="s">
        <v>988</v>
      </c>
      <c r="E566" s="332" t="s">
        <v>984</v>
      </c>
      <c r="F566" s="336">
        <v>14000</v>
      </c>
      <c r="G566" s="330" t="s">
        <v>236</v>
      </c>
      <c r="H566" s="329">
        <v>11.936889810414668</v>
      </c>
      <c r="I566" s="338"/>
      <c r="J566" s="338">
        <v>11.936889810414668</v>
      </c>
      <c r="K566" s="338"/>
      <c r="L566" s="338"/>
      <c r="M566" s="336"/>
    </row>
    <row r="567" spans="1:13" hidden="1" outlineLevel="2" x14ac:dyDescent="0.35">
      <c r="A567" s="339" t="s">
        <v>144</v>
      </c>
      <c r="B567" s="331">
        <v>44219</v>
      </c>
      <c r="C567" s="332" t="s">
        <v>355</v>
      </c>
      <c r="D567" s="332" t="s">
        <v>989</v>
      </c>
      <c r="E567" s="332" t="s">
        <v>990</v>
      </c>
      <c r="F567" s="336">
        <v>84000</v>
      </c>
      <c r="G567" s="330" t="s">
        <v>236</v>
      </c>
      <c r="H567" s="329">
        <v>71.621338862488003</v>
      </c>
      <c r="I567" s="338"/>
      <c r="J567" s="338">
        <v>71.621338862488003</v>
      </c>
      <c r="K567" s="338"/>
      <c r="L567" s="338"/>
      <c r="M567" s="336"/>
    </row>
    <row r="568" spans="1:13" hidden="1" outlineLevel="2" x14ac:dyDescent="0.35">
      <c r="A568" s="339" t="s">
        <v>144</v>
      </c>
      <c r="B568" s="331">
        <v>44249</v>
      </c>
      <c r="C568" s="332" t="s">
        <v>355</v>
      </c>
      <c r="D568" s="332" t="s">
        <v>991</v>
      </c>
      <c r="E568" s="332" t="s">
        <v>662</v>
      </c>
      <c r="F568" s="336">
        <v>20000</v>
      </c>
      <c r="G568" s="330" t="s">
        <v>236</v>
      </c>
      <c r="H568" s="329">
        <v>17.052699729163809</v>
      </c>
      <c r="I568" s="338"/>
      <c r="J568" s="338">
        <v>17.052699729163809</v>
      </c>
      <c r="K568" s="338"/>
      <c r="L568" s="338"/>
      <c r="M568" s="336"/>
    </row>
    <row r="569" spans="1:13" hidden="1" outlineLevel="2" x14ac:dyDescent="0.35">
      <c r="A569" s="339" t="s">
        <v>144</v>
      </c>
      <c r="B569" s="331">
        <v>44219</v>
      </c>
      <c r="C569" s="332" t="s">
        <v>355</v>
      </c>
      <c r="D569" s="332" t="s">
        <v>992</v>
      </c>
      <c r="E569" s="332" t="s">
        <v>993</v>
      </c>
      <c r="F569" s="336">
        <v>75000</v>
      </c>
      <c r="G569" s="330" t="s">
        <v>236</v>
      </c>
      <c r="H569" s="329">
        <v>63.947623984364284</v>
      </c>
      <c r="I569" s="338"/>
      <c r="J569" s="338">
        <v>63.947623984364284</v>
      </c>
      <c r="K569" s="338"/>
      <c r="L569" s="338"/>
      <c r="M569" s="336"/>
    </row>
    <row r="570" spans="1:13" hidden="1" outlineLevel="2" x14ac:dyDescent="0.35">
      <c r="A570" s="339" t="s">
        <v>144</v>
      </c>
      <c r="B570" s="331">
        <v>44219</v>
      </c>
      <c r="C570" s="332" t="s">
        <v>355</v>
      </c>
      <c r="D570" s="332" t="s">
        <v>994</v>
      </c>
      <c r="E570" s="332" t="s">
        <v>995</v>
      </c>
      <c r="F570" s="336">
        <v>70000</v>
      </c>
      <c r="G570" s="330" t="s">
        <v>236</v>
      </c>
      <c r="H570" s="329">
        <v>59.684449052073333</v>
      </c>
      <c r="I570" s="338"/>
      <c r="J570" s="338">
        <v>59.684449052073333</v>
      </c>
      <c r="K570" s="338"/>
      <c r="L570" s="338"/>
      <c r="M570" s="336"/>
    </row>
    <row r="571" spans="1:13" hidden="1" outlineLevel="2" x14ac:dyDescent="0.35">
      <c r="A571" s="339" t="s">
        <v>144</v>
      </c>
      <c r="B571" s="331">
        <v>44224</v>
      </c>
      <c r="C571" s="332" t="s">
        <v>355</v>
      </c>
      <c r="D571" s="332" t="s">
        <v>996</v>
      </c>
      <c r="E571" s="332" t="s">
        <v>997</v>
      </c>
      <c r="F571" s="336">
        <v>5000</v>
      </c>
      <c r="G571" s="330" t="s">
        <v>236</v>
      </c>
      <c r="H571" s="329">
        <v>4.2631749322909522</v>
      </c>
      <c r="I571" s="338"/>
      <c r="J571" s="338">
        <v>4.2631749322909522</v>
      </c>
      <c r="K571" s="338"/>
      <c r="L571" s="338"/>
      <c r="M571" s="336"/>
    </row>
    <row r="572" spans="1:13" hidden="1" outlineLevel="2" x14ac:dyDescent="0.35">
      <c r="A572" s="339" t="s">
        <v>144</v>
      </c>
      <c r="B572" s="331">
        <v>44227</v>
      </c>
      <c r="C572" s="332" t="s">
        <v>355</v>
      </c>
      <c r="D572" s="332" t="s">
        <v>996</v>
      </c>
      <c r="E572" s="332" t="s">
        <v>984</v>
      </c>
      <c r="F572" s="336">
        <v>15000</v>
      </c>
      <c r="G572" s="330" t="s">
        <v>236</v>
      </c>
      <c r="H572" s="329">
        <v>12.789524796872858</v>
      </c>
      <c r="I572" s="338"/>
      <c r="J572" s="338">
        <v>12.789524796872858</v>
      </c>
      <c r="K572" s="338"/>
      <c r="L572" s="338"/>
      <c r="M572" s="336"/>
    </row>
    <row r="573" spans="1:13" hidden="1" outlineLevel="2" x14ac:dyDescent="0.35">
      <c r="A573" s="339" t="s">
        <v>144</v>
      </c>
      <c r="B573" s="331">
        <v>44220</v>
      </c>
      <c r="C573" s="332" t="s">
        <v>355</v>
      </c>
      <c r="D573" s="332" t="s">
        <v>996</v>
      </c>
      <c r="E573" s="332" t="s">
        <v>997</v>
      </c>
      <c r="F573" s="336">
        <v>14000</v>
      </c>
      <c r="G573" s="330" t="s">
        <v>236</v>
      </c>
      <c r="H573" s="329">
        <v>11.936889810414668</v>
      </c>
      <c r="I573" s="338"/>
      <c r="J573" s="338">
        <v>11.936889810414668</v>
      </c>
      <c r="K573" s="338"/>
      <c r="L573" s="338"/>
      <c r="M573" s="336"/>
    </row>
    <row r="574" spans="1:13" hidden="1" outlineLevel="2" x14ac:dyDescent="0.35">
      <c r="A574" s="339" t="s">
        <v>144</v>
      </c>
      <c r="B574" s="331">
        <v>44231</v>
      </c>
      <c r="C574" s="332" t="s">
        <v>355</v>
      </c>
      <c r="D574" s="332" t="s">
        <v>996</v>
      </c>
      <c r="E574" s="332" t="s">
        <v>997</v>
      </c>
      <c r="F574" s="336">
        <v>15000</v>
      </c>
      <c r="G574" s="330" t="s">
        <v>236</v>
      </c>
      <c r="H574" s="329">
        <v>12.789524796872858</v>
      </c>
      <c r="I574" s="338"/>
      <c r="J574" s="338">
        <v>12.789524796872858</v>
      </c>
      <c r="K574" s="338"/>
      <c r="L574" s="338"/>
      <c r="M574" s="336"/>
    </row>
    <row r="575" spans="1:13" hidden="1" outlineLevel="2" x14ac:dyDescent="0.35">
      <c r="A575" s="339" t="s">
        <v>144</v>
      </c>
      <c r="B575" s="331">
        <v>44230</v>
      </c>
      <c r="C575" s="332" t="s">
        <v>355</v>
      </c>
      <c r="D575" s="332" t="s">
        <v>996</v>
      </c>
      <c r="E575" s="332" t="s">
        <v>998</v>
      </c>
      <c r="F575" s="336">
        <v>14000</v>
      </c>
      <c r="G575" s="330" t="s">
        <v>236</v>
      </c>
      <c r="H575" s="329">
        <v>11.936889810414668</v>
      </c>
      <c r="I575" s="338"/>
      <c r="J575" s="338">
        <v>11.936889810414668</v>
      </c>
      <c r="K575" s="338"/>
      <c r="L575" s="338"/>
      <c r="M575" s="336"/>
    </row>
    <row r="576" spans="1:13" hidden="1" outlineLevel="2" x14ac:dyDescent="0.35">
      <c r="A576" s="339" t="s">
        <v>144</v>
      </c>
      <c r="B576" s="331">
        <v>44223</v>
      </c>
      <c r="C576" s="332" t="s">
        <v>355</v>
      </c>
      <c r="D576" s="332" t="s">
        <v>996</v>
      </c>
      <c r="E576" s="332" t="s">
        <v>999</v>
      </c>
      <c r="F576" s="336">
        <v>12000</v>
      </c>
      <c r="G576" s="330" t="s">
        <v>236</v>
      </c>
      <c r="H576" s="329">
        <v>10.231619837498286</v>
      </c>
      <c r="I576" s="338"/>
      <c r="J576" s="338">
        <v>10.231619837498286</v>
      </c>
      <c r="K576" s="338"/>
      <c r="L576" s="338"/>
      <c r="M576" s="336"/>
    </row>
    <row r="577" spans="1:13" hidden="1" outlineLevel="2" x14ac:dyDescent="0.35">
      <c r="A577" s="339" t="s">
        <v>144</v>
      </c>
      <c r="B577" s="331">
        <v>44221</v>
      </c>
      <c r="C577" s="332" t="s">
        <v>355</v>
      </c>
      <c r="D577" s="332" t="s">
        <v>996</v>
      </c>
      <c r="E577" s="332" t="s">
        <v>1000</v>
      </c>
      <c r="F577" s="336">
        <v>15000</v>
      </c>
      <c r="G577" s="330" t="s">
        <v>236</v>
      </c>
      <c r="H577" s="329">
        <v>12.789524796872858</v>
      </c>
      <c r="I577" s="338"/>
      <c r="J577" s="338">
        <v>12.789524796872858</v>
      </c>
      <c r="K577" s="338"/>
      <c r="L577" s="338"/>
      <c r="M577" s="336"/>
    </row>
    <row r="578" spans="1:13" hidden="1" outlineLevel="2" x14ac:dyDescent="0.35">
      <c r="A578" s="339" t="s">
        <v>144</v>
      </c>
      <c r="B578" s="331">
        <v>44228</v>
      </c>
      <c r="C578" s="332" t="s">
        <v>355</v>
      </c>
      <c r="D578" s="332" t="s">
        <v>996</v>
      </c>
      <c r="E578" s="332" t="s">
        <v>998</v>
      </c>
      <c r="F578" s="336">
        <v>15000</v>
      </c>
      <c r="G578" s="330" t="s">
        <v>236</v>
      </c>
      <c r="H578" s="329">
        <v>12.789524796872858</v>
      </c>
      <c r="I578" s="338"/>
      <c r="J578" s="338">
        <v>12.789524796872858</v>
      </c>
      <c r="K578" s="338"/>
      <c r="L578" s="338"/>
      <c r="M578" s="336"/>
    </row>
    <row r="579" spans="1:13" hidden="1" outlineLevel="2" x14ac:dyDescent="0.35">
      <c r="A579" s="339" t="s">
        <v>144</v>
      </c>
      <c r="B579" s="331">
        <v>44232</v>
      </c>
      <c r="C579" s="332" t="s">
        <v>355</v>
      </c>
      <c r="D579" s="332" t="s">
        <v>996</v>
      </c>
      <c r="E579" s="332" t="s">
        <v>998</v>
      </c>
      <c r="F579" s="336">
        <v>15000</v>
      </c>
      <c r="G579" s="330" t="s">
        <v>236</v>
      </c>
      <c r="H579" s="329">
        <v>12.789524796872858</v>
      </c>
      <c r="I579" s="338"/>
      <c r="J579" s="338">
        <v>12.789524796872858</v>
      </c>
      <c r="K579" s="338"/>
      <c r="L579" s="338"/>
      <c r="M579" s="336"/>
    </row>
    <row r="580" spans="1:13" hidden="1" outlineLevel="2" x14ac:dyDescent="0.35">
      <c r="A580" s="339" t="s">
        <v>144</v>
      </c>
      <c r="B580" s="331">
        <v>44218</v>
      </c>
      <c r="C580" s="332" t="s">
        <v>355</v>
      </c>
      <c r="D580" s="332" t="s">
        <v>996</v>
      </c>
      <c r="E580" s="332" t="s">
        <v>1000</v>
      </c>
      <c r="F580" s="336">
        <v>15000</v>
      </c>
      <c r="G580" s="330" t="s">
        <v>236</v>
      </c>
      <c r="H580" s="329">
        <v>12.789524796872858</v>
      </c>
      <c r="I580" s="338"/>
      <c r="J580" s="338">
        <v>12.789524796872858</v>
      </c>
      <c r="K580" s="338"/>
      <c r="L580" s="338"/>
      <c r="M580" s="336"/>
    </row>
    <row r="581" spans="1:13" hidden="1" outlineLevel="2" x14ac:dyDescent="0.35">
      <c r="A581" s="339" t="s">
        <v>144</v>
      </c>
      <c r="B581" s="331">
        <v>44222</v>
      </c>
      <c r="C581" s="332" t="s">
        <v>363</v>
      </c>
      <c r="D581" s="332" t="s">
        <v>1001</v>
      </c>
      <c r="E581" s="332" t="s">
        <v>987</v>
      </c>
      <c r="F581" s="336">
        <v>265000</v>
      </c>
      <c r="G581" s="330" t="s">
        <v>236</v>
      </c>
      <c r="H581" s="329">
        <v>225.94827141142048</v>
      </c>
      <c r="I581" s="338"/>
      <c r="J581" s="338">
        <v>225.94827141142048</v>
      </c>
      <c r="K581" s="338"/>
      <c r="L581" s="338"/>
      <c r="M581" s="336"/>
    </row>
    <row r="582" spans="1:13" hidden="1" outlineLevel="2" x14ac:dyDescent="0.35">
      <c r="A582" s="339" t="s">
        <v>144</v>
      </c>
      <c r="B582" s="331">
        <v>44222</v>
      </c>
      <c r="C582" s="332" t="s">
        <v>1002</v>
      </c>
      <c r="D582" s="332" t="s">
        <v>1003</v>
      </c>
      <c r="E582" s="332" t="s">
        <v>307</v>
      </c>
      <c r="F582" s="336">
        <v>45000</v>
      </c>
      <c r="G582" s="330" t="s">
        <v>236</v>
      </c>
      <c r="H582" s="329">
        <v>38.368574390618569</v>
      </c>
      <c r="I582" s="338"/>
      <c r="J582" s="338">
        <v>38.368574390618569</v>
      </c>
      <c r="K582" s="338"/>
      <c r="L582" s="338"/>
      <c r="M582" s="336"/>
    </row>
    <row r="583" spans="1:13" hidden="1" outlineLevel="2" x14ac:dyDescent="0.35">
      <c r="A583" s="339" t="s">
        <v>144</v>
      </c>
      <c r="B583" s="331">
        <v>44222</v>
      </c>
      <c r="C583" s="332" t="s">
        <v>1004</v>
      </c>
      <c r="D583" s="332" t="s">
        <v>1005</v>
      </c>
      <c r="E583" s="332" t="s">
        <v>307</v>
      </c>
      <c r="F583" s="336">
        <v>25000</v>
      </c>
      <c r="G583" s="330" t="s">
        <v>236</v>
      </c>
      <c r="H583" s="329">
        <v>21.315874661454764</v>
      </c>
      <c r="I583" s="338"/>
      <c r="J583" s="338">
        <v>21.315874661454764</v>
      </c>
      <c r="K583" s="338"/>
      <c r="L583" s="338"/>
      <c r="M583" s="336"/>
    </row>
    <row r="584" spans="1:13" hidden="1" outlineLevel="2" x14ac:dyDescent="0.35">
      <c r="A584" s="339" t="s">
        <v>144</v>
      </c>
      <c r="B584" s="331">
        <v>44248</v>
      </c>
      <c r="C584" s="332" t="s">
        <v>1006</v>
      </c>
      <c r="D584" s="332" t="s">
        <v>1007</v>
      </c>
      <c r="E584" s="332" t="s">
        <v>1008</v>
      </c>
      <c r="F584" s="336">
        <v>196000</v>
      </c>
      <c r="G584" s="330" t="s">
        <v>236</v>
      </c>
      <c r="H584" s="329">
        <v>167.11645734580534</v>
      </c>
      <c r="I584" s="338"/>
      <c r="J584" s="338">
        <v>167.11645734580534</v>
      </c>
      <c r="K584" s="338"/>
      <c r="L584" s="338"/>
      <c r="M584" s="336"/>
    </row>
    <row r="585" spans="1:13" hidden="1" outlineLevel="2" x14ac:dyDescent="0.35">
      <c r="A585" s="339" t="s">
        <v>144</v>
      </c>
      <c r="B585" s="331">
        <v>44248</v>
      </c>
      <c r="C585" s="332" t="s">
        <v>1006</v>
      </c>
      <c r="D585" s="332" t="s">
        <v>1009</v>
      </c>
      <c r="E585" s="332" t="s">
        <v>1010</v>
      </c>
      <c r="F585" s="336">
        <v>84000</v>
      </c>
      <c r="G585" s="330" t="s">
        <v>236</v>
      </c>
      <c r="H585" s="329">
        <v>71.621338862488003</v>
      </c>
      <c r="I585" s="338"/>
      <c r="J585" s="338">
        <v>71.621338862488003</v>
      </c>
      <c r="K585" s="338"/>
      <c r="L585" s="338"/>
      <c r="M585" s="336"/>
    </row>
    <row r="586" spans="1:13" hidden="1" outlineLevel="2" x14ac:dyDescent="0.35">
      <c r="A586" s="339" t="s">
        <v>144</v>
      </c>
      <c r="B586" s="331">
        <v>44248</v>
      </c>
      <c r="C586" s="332" t="s">
        <v>1006</v>
      </c>
      <c r="D586" s="332" t="s">
        <v>1011</v>
      </c>
      <c r="E586" s="332" t="s">
        <v>662</v>
      </c>
      <c r="F586" s="336">
        <v>10000</v>
      </c>
      <c r="G586" s="330" t="s">
        <v>236</v>
      </c>
      <c r="H586" s="329">
        <v>8.5263498645819045</v>
      </c>
      <c r="I586" s="338"/>
      <c r="J586" s="338">
        <v>8.5263498645819045</v>
      </c>
      <c r="K586" s="338"/>
      <c r="L586" s="338"/>
      <c r="M586" s="336"/>
    </row>
    <row r="587" spans="1:13" hidden="1" outlineLevel="2" x14ac:dyDescent="0.35">
      <c r="A587" s="339" t="s">
        <v>144</v>
      </c>
      <c r="B587" s="331">
        <v>44245</v>
      </c>
      <c r="C587" s="332" t="s">
        <v>1006</v>
      </c>
      <c r="D587" s="332" t="s">
        <v>1012</v>
      </c>
      <c r="E587" s="332" t="s">
        <v>1013</v>
      </c>
      <c r="F587" s="336">
        <v>20000</v>
      </c>
      <c r="G587" s="330" t="s">
        <v>236</v>
      </c>
      <c r="H587" s="329">
        <v>17.052699729163809</v>
      </c>
      <c r="I587" s="338"/>
      <c r="J587" s="338">
        <v>17.052699729163809</v>
      </c>
      <c r="K587" s="338"/>
      <c r="L587" s="338"/>
      <c r="M587" s="336"/>
    </row>
    <row r="588" spans="1:13" hidden="1" outlineLevel="2" x14ac:dyDescent="0.35">
      <c r="A588" s="339" t="s">
        <v>144</v>
      </c>
      <c r="B588" s="331">
        <v>44238</v>
      </c>
      <c r="C588" s="332" t="s">
        <v>1006</v>
      </c>
      <c r="D588" s="332" t="s">
        <v>1012</v>
      </c>
      <c r="E588" s="332" t="s">
        <v>1013</v>
      </c>
      <c r="F588" s="336">
        <v>50000</v>
      </c>
      <c r="G588" s="330" t="s">
        <v>236</v>
      </c>
      <c r="H588" s="329">
        <v>42.631749322909528</v>
      </c>
      <c r="I588" s="338"/>
      <c r="J588" s="338">
        <v>42.631749322909528</v>
      </c>
      <c r="K588" s="338"/>
      <c r="L588" s="338"/>
      <c r="M588" s="336"/>
    </row>
    <row r="589" spans="1:13" hidden="1" outlineLevel="2" x14ac:dyDescent="0.35">
      <c r="A589" s="339" t="s">
        <v>144</v>
      </c>
      <c r="B589" s="331">
        <v>44237</v>
      </c>
      <c r="C589" s="332" t="s">
        <v>1006</v>
      </c>
      <c r="D589" s="332" t="s">
        <v>1012</v>
      </c>
      <c r="E589" s="332" t="s">
        <v>1013</v>
      </c>
      <c r="F589" s="336">
        <v>30000</v>
      </c>
      <c r="G589" s="330" t="s">
        <v>236</v>
      </c>
      <c r="H589" s="329">
        <v>25.579049593745715</v>
      </c>
      <c r="I589" s="338"/>
      <c r="J589" s="338">
        <v>25.579049593745715</v>
      </c>
      <c r="K589" s="338"/>
      <c r="L589" s="338"/>
      <c r="M589" s="336"/>
    </row>
    <row r="590" spans="1:13" hidden="1" outlineLevel="2" x14ac:dyDescent="0.35">
      <c r="A590" s="339" t="s">
        <v>144</v>
      </c>
      <c r="B590" s="331">
        <v>44239</v>
      </c>
      <c r="C590" s="332" t="s">
        <v>1014</v>
      </c>
      <c r="D590" s="332" t="s">
        <v>1015</v>
      </c>
      <c r="E590" s="332" t="s">
        <v>1016</v>
      </c>
      <c r="F590" s="336">
        <v>77000</v>
      </c>
      <c r="G590" s="330" t="s">
        <v>236</v>
      </c>
      <c r="H590" s="329">
        <v>65.652893957280668</v>
      </c>
      <c r="I590" s="338"/>
      <c r="J590" s="338">
        <v>65.652893957280668</v>
      </c>
      <c r="K590" s="338"/>
      <c r="L590" s="338"/>
      <c r="M590" s="336"/>
    </row>
    <row r="591" spans="1:13" hidden="1" outlineLevel="2" x14ac:dyDescent="0.35">
      <c r="A591" s="339" t="s">
        <v>144</v>
      </c>
      <c r="B591" s="331">
        <v>44233</v>
      </c>
      <c r="C591" s="332" t="s">
        <v>1014</v>
      </c>
      <c r="D591" s="332" t="s">
        <v>1017</v>
      </c>
      <c r="E591" s="332" t="s">
        <v>662</v>
      </c>
      <c r="F591" s="336">
        <v>10000</v>
      </c>
      <c r="G591" s="330" t="s">
        <v>236</v>
      </c>
      <c r="H591" s="329">
        <v>8.5263498645819045</v>
      </c>
      <c r="I591" s="338"/>
      <c r="J591" s="338">
        <v>8.5263498645819045</v>
      </c>
      <c r="K591" s="338"/>
      <c r="L591" s="338"/>
      <c r="M591" s="336"/>
    </row>
    <row r="592" spans="1:13" hidden="1" outlineLevel="2" x14ac:dyDescent="0.35">
      <c r="A592" s="339" t="s">
        <v>144</v>
      </c>
      <c r="B592" s="331">
        <v>44239</v>
      </c>
      <c r="C592" s="332" t="s">
        <v>1014</v>
      </c>
      <c r="D592" s="332" t="s">
        <v>1018</v>
      </c>
      <c r="E592" s="332" t="s">
        <v>1019</v>
      </c>
      <c r="F592" s="336">
        <v>70000</v>
      </c>
      <c r="G592" s="330" t="s">
        <v>236</v>
      </c>
      <c r="H592" s="329">
        <v>59.684449052073333</v>
      </c>
      <c r="I592" s="338"/>
      <c r="J592" s="338">
        <v>59.684449052073333</v>
      </c>
      <c r="K592" s="338"/>
      <c r="L592" s="338"/>
      <c r="M592" s="336"/>
    </row>
    <row r="593" spans="1:13" hidden="1" outlineLevel="2" x14ac:dyDescent="0.35">
      <c r="A593" s="339" t="s">
        <v>144</v>
      </c>
      <c r="B593" s="331">
        <v>44231</v>
      </c>
      <c r="C593" s="332" t="s">
        <v>1020</v>
      </c>
      <c r="D593" s="332" t="s">
        <v>1021</v>
      </c>
      <c r="E593" s="332" t="s">
        <v>1022</v>
      </c>
      <c r="F593" s="336">
        <v>70000</v>
      </c>
      <c r="G593" s="330" t="s">
        <v>236</v>
      </c>
      <c r="H593" s="329">
        <v>59.684449052073333</v>
      </c>
      <c r="I593" s="338"/>
      <c r="J593" s="338">
        <v>59.684449052073333</v>
      </c>
      <c r="K593" s="338"/>
      <c r="L593" s="338"/>
      <c r="M593" s="336"/>
    </row>
    <row r="594" spans="1:13" hidden="1" outlineLevel="2" x14ac:dyDescent="0.35">
      <c r="A594" s="339" t="s">
        <v>144</v>
      </c>
      <c r="B594" s="331">
        <v>44246</v>
      </c>
      <c r="C594" s="332" t="s">
        <v>1020</v>
      </c>
      <c r="D594" s="332" t="s">
        <v>1023</v>
      </c>
      <c r="E594" s="332" t="s">
        <v>1000</v>
      </c>
      <c r="F594" s="336">
        <v>70000</v>
      </c>
      <c r="G594" s="330" t="s">
        <v>236</v>
      </c>
      <c r="H594" s="329">
        <v>59.684449052073333</v>
      </c>
      <c r="I594" s="338"/>
      <c r="J594" s="338">
        <v>59.684449052073333</v>
      </c>
      <c r="K594" s="338"/>
      <c r="L594" s="338"/>
      <c r="M594" s="336"/>
    </row>
    <row r="595" spans="1:13" hidden="1" outlineLevel="2" x14ac:dyDescent="0.35">
      <c r="A595" s="339" t="s">
        <v>144</v>
      </c>
      <c r="B595" s="331">
        <v>44246</v>
      </c>
      <c r="C595" s="332" t="s">
        <v>1020</v>
      </c>
      <c r="D595" s="332" t="s">
        <v>1024</v>
      </c>
      <c r="E595" s="332" t="s">
        <v>525</v>
      </c>
      <c r="F595" s="336">
        <v>84000</v>
      </c>
      <c r="G595" s="330" t="s">
        <v>236</v>
      </c>
      <c r="H595" s="329">
        <v>71.621338862488003</v>
      </c>
      <c r="I595" s="338"/>
      <c r="J595" s="338">
        <v>71.621338862488003</v>
      </c>
      <c r="K595" s="338"/>
      <c r="L595" s="338"/>
      <c r="M595" s="336"/>
    </row>
    <row r="596" spans="1:13" hidden="1" outlineLevel="2" x14ac:dyDescent="0.35">
      <c r="A596" s="339" t="s">
        <v>144</v>
      </c>
      <c r="B596" s="331">
        <v>44237</v>
      </c>
      <c r="C596" s="332" t="s">
        <v>1020</v>
      </c>
      <c r="D596" s="332" t="s">
        <v>1025</v>
      </c>
      <c r="E596" s="332" t="s">
        <v>1026</v>
      </c>
      <c r="F596" s="336">
        <v>10000</v>
      </c>
      <c r="G596" s="330" t="s">
        <v>236</v>
      </c>
      <c r="H596" s="329">
        <v>8.5263498645819045</v>
      </c>
      <c r="I596" s="338"/>
      <c r="J596" s="338">
        <v>8.5263498645819045</v>
      </c>
      <c r="K596" s="338"/>
      <c r="L596" s="338"/>
      <c r="M596" s="336"/>
    </row>
    <row r="597" spans="1:13" hidden="1" outlineLevel="2" x14ac:dyDescent="0.35">
      <c r="A597" s="339" t="s">
        <v>144</v>
      </c>
      <c r="B597" s="331">
        <v>44238</v>
      </c>
      <c r="C597" s="332" t="s">
        <v>1020</v>
      </c>
      <c r="D597" s="332" t="s">
        <v>1024</v>
      </c>
      <c r="E597" s="332" t="s">
        <v>1022</v>
      </c>
      <c r="F597" s="336">
        <v>70000</v>
      </c>
      <c r="G597" s="330" t="s">
        <v>236</v>
      </c>
      <c r="H597" s="329">
        <v>59.684449052073333</v>
      </c>
      <c r="I597" s="338"/>
      <c r="J597" s="338">
        <v>59.684449052073333</v>
      </c>
      <c r="K597" s="338"/>
      <c r="L597" s="338"/>
      <c r="M597" s="336"/>
    </row>
    <row r="598" spans="1:13" hidden="1" outlineLevel="2" x14ac:dyDescent="0.35">
      <c r="A598" s="339" t="s">
        <v>144</v>
      </c>
      <c r="B598" s="331">
        <v>44222</v>
      </c>
      <c r="C598" s="332" t="s">
        <v>1027</v>
      </c>
      <c r="D598" s="332" t="s">
        <v>1028</v>
      </c>
      <c r="E598" s="332" t="s">
        <v>1029</v>
      </c>
      <c r="F598" s="336">
        <v>35000</v>
      </c>
      <c r="G598" s="330" t="s">
        <v>236</v>
      </c>
      <c r="H598" s="329">
        <v>29.842224526036667</v>
      </c>
      <c r="I598" s="338"/>
      <c r="J598" s="338">
        <v>29.842224526036667</v>
      </c>
      <c r="K598" s="338"/>
      <c r="L598" s="338"/>
      <c r="M598" s="336"/>
    </row>
    <row r="599" spans="1:13" hidden="1" outlineLevel="2" x14ac:dyDescent="0.35">
      <c r="A599" s="339" t="s">
        <v>144</v>
      </c>
      <c r="B599" s="331">
        <v>44222</v>
      </c>
      <c r="C599" s="332" t="s">
        <v>1027</v>
      </c>
      <c r="D599" s="332" t="s">
        <v>1030</v>
      </c>
      <c r="E599" s="332" t="s">
        <v>1031</v>
      </c>
      <c r="F599" s="336">
        <v>42000</v>
      </c>
      <c r="G599" s="330" t="s">
        <v>236</v>
      </c>
      <c r="H599" s="329">
        <v>35.810669431244001</v>
      </c>
      <c r="I599" s="338"/>
      <c r="J599" s="338">
        <v>35.810669431244001</v>
      </c>
      <c r="K599" s="338"/>
      <c r="L599" s="338"/>
      <c r="M599" s="336"/>
    </row>
    <row r="600" spans="1:13" hidden="1" outlineLevel="2" x14ac:dyDescent="0.35">
      <c r="A600" s="339" t="s">
        <v>144</v>
      </c>
      <c r="B600" s="331">
        <v>44242</v>
      </c>
      <c r="C600" s="332" t="s">
        <v>1027</v>
      </c>
      <c r="D600" s="332" t="s">
        <v>1032</v>
      </c>
      <c r="E600" s="332" t="s">
        <v>984</v>
      </c>
      <c r="F600" s="336">
        <v>70000</v>
      </c>
      <c r="G600" s="330" t="s">
        <v>236</v>
      </c>
      <c r="H600" s="329">
        <v>59.684449052073333</v>
      </c>
      <c r="I600" s="338"/>
      <c r="J600" s="338">
        <v>59.684449052073333</v>
      </c>
      <c r="K600" s="338"/>
      <c r="L600" s="338"/>
      <c r="M600" s="336"/>
    </row>
    <row r="601" spans="1:13" hidden="1" outlineLevel="2" x14ac:dyDescent="0.35">
      <c r="A601" s="339" t="s">
        <v>144</v>
      </c>
      <c r="B601" s="331">
        <v>44251</v>
      </c>
      <c r="C601" s="332" t="s">
        <v>1027</v>
      </c>
      <c r="D601" s="332" t="s">
        <v>1033</v>
      </c>
      <c r="E601" s="332" t="s">
        <v>1034</v>
      </c>
      <c r="F601" s="336">
        <v>10000</v>
      </c>
      <c r="G601" s="330" t="s">
        <v>236</v>
      </c>
      <c r="H601" s="329">
        <v>8.5263498645819045</v>
      </c>
      <c r="I601" s="338"/>
      <c r="J601" s="338">
        <v>8.5263498645819045</v>
      </c>
      <c r="K601" s="338"/>
      <c r="L601" s="338"/>
      <c r="M601" s="336"/>
    </row>
    <row r="602" spans="1:13" hidden="1" outlineLevel="2" x14ac:dyDescent="0.35">
      <c r="A602" s="339" t="s">
        <v>144</v>
      </c>
      <c r="B602" s="331">
        <v>44252</v>
      </c>
      <c r="C602" s="332" t="s">
        <v>1035</v>
      </c>
      <c r="D602" s="332" t="s">
        <v>1036</v>
      </c>
      <c r="E602" s="332" t="s">
        <v>984</v>
      </c>
      <c r="F602" s="336">
        <v>50000</v>
      </c>
      <c r="G602" s="330" t="s">
        <v>236</v>
      </c>
      <c r="H602" s="329">
        <v>42.631749322909528</v>
      </c>
      <c r="I602" s="338"/>
      <c r="J602" s="338">
        <v>42.631749322909528</v>
      </c>
      <c r="K602" s="338"/>
      <c r="L602" s="338"/>
      <c r="M602" s="336"/>
    </row>
    <row r="603" spans="1:13" hidden="1" outlineLevel="2" x14ac:dyDescent="0.35">
      <c r="A603" s="339" t="s">
        <v>144</v>
      </c>
      <c r="B603" s="331">
        <v>44248</v>
      </c>
      <c r="C603" s="332" t="s">
        <v>1035</v>
      </c>
      <c r="D603" s="332" t="s">
        <v>1036</v>
      </c>
      <c r="E603" s="332" t="s">
        <v>984</v>
      </c>
      <c r="F603" s="336">
        <v>50000</v>
      </c>
      <c r="G603" s="330" t="s">
        <v>236</v>
      </c>
      <c r="H603" s="329">
        <v>42.631749322909528</v>
      </c>
      <c r="I603" s="338"/>
      <c r="J603" s="338">
        <v>42.631749322909528</v>
      </c>
      <c r="K603" s="338"/>
      <c r="L603" s="338"/>
      <c r="M603" s="336"/>
    </row>
    <row r="604" spans="1:13" hidden="1" outlineLevel="2" x14ac:dyDescent="0.35">
      <c r="A604" s="339" t="s">
        <v>144</v>
      </c>
      <c r="B604" s="331">
        <v>44257</v>
      </c>
      <c r="C604" s="332" t="s">
        <v>1035</v>
      </c>
      <c r="D604" s="332" t="s">
        <v>1037</v>
      </c>
      <c r="E604" s="332" t="s">
        <v>1038</v>
      </c>
      <c r="F604" s="336">
        <v>140000</v>
      </c>
      <c r="G604" s="330" t="s">
        <v>236</v>
      </c>
      <c r="H604" s="329">
        <v>119.36889810414667</v>
      </c>
      <c r="I604" s="338"/>
      <c r="J604" s="338">
        <v>119.36889810414667</v>
      </c>
      <c r="K604" s="338"/>
      <c r="L604" s="338"/>
      <c r="M604" s="336"/>
    </row>
    <row r="605" spans="1:13" hidden="1" outlineLevel="2" x14ac:dyDescent="0.35">
      <c r="A605" s="339" t="s">
        <v>144</v>
      </c>
      <c r="B605" s="331">
        <v>44248</v>
      </c>
      <c r="C605" s="332" t="s">
        <v>1035</v>
      </c>
      <c r="D605" s="332" t="s">
        <v>1039</v>
      </c>
      <c r="E605" s="332" t="s">
        <v>1031</v>
      </c>
      <c r="F605" s="336">
        <v>84000</v>
      </c>
      <c r="G605" s="330" t="s">
        <v>236</v>
      </c>
      <c r="H605" s="329">
        <v>71.621338862488003</v>
      </c>
      <c r="I605" s="338"/>
      <c r="J605" s="338">
        <v>71.621338862488003</v>
      </c>
      <c r="K605" s="338"/>
      <c r="L605" s="338"/>
      <c r="M605" s="336"/>
    </row>
    <row r="606" spans="1:13" hidden="1" outlineLevel="2" x14ac:dyDescent="0.35">
      <c r="A606" s="339" t="s">
        <v>144</v>
      </c>
      <c r="B606" s="331">
        <v>44281</v>
      </c>
      <c r="C606" s="332" t="s">
        <v>1035</v>
      </c>
      <c r="D606" s="332" t="s">
        <v>1040</v>
      </c>
      <c r="E606" s="332" t="s">
        <v>1034</v>
      </c>
      <c r="F606" s="336">
        <v>10000</v>
      </c>
      <c r="G606" s="330" t="s">
        <v>236</v>
      </c>
      <c r="H606" s="329">
        <v>8.5263498645819045</v>
      </c>
      <c r="I606" s="338"/>
      <c r="J606" s="338">
        <v>8.5263498645819045</v>
      </c>
      <c r="K606" s="338"/>
      <c r="L606" s="338"/>
      <c r="M606" s="336"/>
    </row>
    <row r="607" spans="1:13" hidden="1" outlineLevel="2" x14ac:dyDescent="0.35">
      <c r="A607" s="339" t="s">
        <v>144</v>
      </c>
      <c r="B607" s="331">
        <v>44248</v>
      </c>
      <c r="C607" s="332" t="s">
        <v>1035</v>
      </c>
      <c r="D607" s="332" t="s">
        <v>1041</v>
      </c>
      <c r="E607" s="332" t="s">
        <v>1034</v>
      </c>
      <c r="F607" s="336">
        <v>56000</v>
      </c>
      <c r="G607" s="330" t="s">
        <v>236</v>
      </c>
      <c r="H607" s="329">
        <v>47.747559241658671</v>
      </c>
      <c r="I607" s="338"/>
      <c r="J607" s="338">
        <v>47.747559241658671</v>
      </c>
      <c r="K607" s="338"/>
      <c r="L607" s="338"/>
      <c r="M607" s="336"/>
    </row>
    <row r="608" spans="1:13" hidden="1" outlineLevel="2" x14ac:dyDescent="0.35">
      <c r="A608" s="339" t="s">
        <v>144</v>
      </c>
      <c r="B608" s="331">
        <v>44242</v>
      </c>
      <c r="C608" s="332" t="s">
        <v>367</v>
      </c>
      <c r="D608" s="332" t="s">
        <v>1042</v>
      </c>
      <c r="E608" s="332" t="s">
        <v>1043</v>
      </c>
      <c r="F608" s="336">
        <v>129000</v>
      </c>
      <c r="G608" s="330" t="s">
        <v>236</v>
      </c>
      <c r="H608" s="329">
        <v>109.98991325310658</v>
      </c>
      <c r="I608" s="338"/>
      <c r="J608" s="338">
        <v>109.98991325310658</v>
      </c>
      <c r="K608" s="338"/>
      <c r="L608" s="338"/>
      <c r="M608" s="336"/>
    </row>
    <row r="609" spans="1:13" hidden="1" outlineLevel="2" x14ac:dyDescent="0.35">
      <c r="A609" s="339" t="s">
        <v>144</v>
      </c>
      <c r="B609" s="331">
        <v>44242</v>
      </c>
      <c r="C609" s="332" t="s">
        <v>1044</v>
      </c>
      <c r="D609" s="332" t="s">
        <v>1042</v>
      </c>
      <c r="E609" s="332" t="s">
        <v>1043</v>
      </c>
      <c r="F609" s="336">
        <v>150000</v>
      </c>
      <c r="G609" s="330" t="s">
        <v>236</v>
      </c>
      <c r="H609" s="329">
        <v>127.89524796872857</v>
      </c>
      <c r="I609" s="338"/>
      <c r="J609" s="338">
        <v>127.89524796872857</v>
      </c>
      <c r="K609" s="338"/>
      <c r="L609" s="338"/>
      <c r="M609" s="336"/>
    </row>
    <row r="610" spans="1:13" hidden="1" outlineLevel="2" x14ac:dyDescent="0.35">
      <c r="A610" s="339" t="s">
        <v>144</v>
      </c>
      <c r="B610" s="331">
        <v>44244</v>
      </c>
      <c r="C610" s="332" t="s">
        <v>1045</v>
      </c>
      <c r="D610" s="332" t="s">
        <v>1046</v>
      </c>
      <c r="E610" s="332" t="s">
        <v>307</v>
      </c>
      <c r="F610" s="336">
        <v>25000</v>
      </c>
      <c r="G610" s="330" t="s">
        <v>236</v>
      </c>
      <c r="H610" s="329">
        <v>21.315874661454764</v>
      </c>
      <c r="I610" s="338"/>
      <c r="J610" s="338">
        <v>21.315874661454764</v>
      </c>
      <c r="K610" s="338"/>
      <c r="L610" s="338"/>
      <c r="M610" s="336"/>
    </row>
    <row r="611" spans="1:13" hidden="1" outlineLevel="2" x14ac:dyDescent="0.35">
      <c r="A611" s="339" t="s">
        <v>144</v>
      </c>
      <c r="B611" s="331">
        <v>44251</v>
      </c>
      <c r="C611" s="332" t="s">
        <v>1047</v>
      </c>
      <c r="D611" s="332" t="s">
        <v>1048</v>
      </c>
      <c r="E611" s="332" t="s">
        <v>606</v>
      </c>
      <c r="F611" s="336">
        <v>70740</v>
      </c>
      <c r="G611" s="330" t="s">
        <v>236</v>
      </c>
      <c r="H611" s="329">
        <v>60.315398942052397</v>
      </c>
      <c r="I611" s="338"/>
      <c r="J611" s="338">
        <v>60.315398942052397</v>
      </c>
      <c r="K611" s="338"/>
      <c r="L611" s="338"/>
      <c r="M611" s="336"/>
    </row>
    <row r="612" spans="1:13" hidden="1" outlineLevel="2" x14ac:dyDescent="0.35">
      <c r="A612" s="339" t="s">
        <v>144</v>
      </c>
      <c r="B612" s="331">
        <v>44239</v>
      </c>
      <c r="C612" s="332" t="s">
        <v>666</v>
      </c>
      <c r="D612" s="332" t="s">
        <v>1049</v>
      </c>
      <c r="E612" s="332" t="s">
        <v>369</v>
      </c>
      <c r="F612" s="336">
        <v>1098004</v>
      </c>
      <c r="G612" s="330" t="s">
        <v>236</v>
      </c>
      <c r="H612" s="329">
        <v>936.19662567103899</v>
      </c>
      <c r="I612" s="338"/>
      <c r="J612" s="338">
        <v>936.19662567103899</v>
      </c>
      <c r="K612" s="338"/>
      <c r="L612" s="338"/>
      <c r="M612" s="336"/>
    </row>
    <row r="613" spans="1:13" hidden="1" outlineLevel="2" x14ac:dyDescent="0.35">
      <c r="A613" s="339" t="s">
        <v>144</v>
      </c>
      <c r="B613" s="331">
        <v>44239</v>
      </c>
      <c r="C613" s="332" t="s">
        <v>1050</v>
      </c>
      <c r="D613" s="332" t="s">
        <v>1051</v>
      </c>
      <c r="E613" s="332" t="s">
        <v>369</v>
      </c>
      <c r="F613" s="336">
        <v>1491758</v>
      </c>
      <c r="G613" s="330" t="s">
        <v>236</v>
      </c>
      <c r="H613" s="329">
        <v>1271.9250621288973</v>
      </c>
      <c r="I613" s="338"/>
      <c r="J613" s="338">
        <v>1271.9250621288973</v>
      </c>
      <c r="K613" s="338"/>
      <c r="L613" s="338"/>
      <c r="M613" s="336"/>
    </row>
    <row r="614" spans="1:13" hidden="1" outlineLevel="2" x14ac:dyDescent="0.35">
      <c r="A614" s="339" t="s">
        <v>144</v>
      </c>
      <c r="B614" s="331">
        <v>44386</v>
      </c>
      <c r="C614" s="332" t="s">
        <v>1052</v>
      </c>
      <c r="D614" s="332" t="s">
        <v>1053</v>
      </c>
      <c r="E614" s="332" t="s">
        <v>1054</v>
      </c>
      <c r="F614" s="336">
        <v>70000</v>
      </c>
      <c r="G614" s="330" t="s">
        <v>236</v>
      </c>
      <c r="H614" s="329">
        <v>59.684449052073333</v>
      </c>
      <c r="I614" s="338"/>
      <c r="J614" s="338">
        <v>59.684449052073333</v>
      </c>
      <c r="K614" s="338"/>
      <c r="L614" s="338"/>
      <c r="M614" s="336"/>
    </row>
    <row r="615" spans="1:13" hidden="1" outlineLevel="2" x14ac:dyDescent="0.35">
      <c r="A615" s="339" t="s">
        <v>144</v>
      </c>
      <c r="B615" s="331">
        <v>44397</v>
      </c>
      <c r="C615" s="332" t="s">
        <v>1052</v>
      </c>
      <c r="D615" s="332" t="s">
        <v>1055</v>
      </c>
      <c r="E615" s="332" t="s">
        <v>525</v>
      </c>
      <c r="F615" s="336">
        <v>84000</v>
      </c>
      <c r="G615" s="330" t="s">
        <v>236</v>
      </c>
      <c r="H615" s="329">
        <v>71.621338862488003</v>
      </c>
      <c r="I615" s="338"/>
      <c r="J615" s="338">
        <v>71.621338862488003</v>
      </c>
      <c r="K615" s="338"/>
      <c r="L615" s="338"/>
      <c r="M615" s="336"/>
    </row>
    <row r="616" spans="1:13" hidden="1" outlineLevel="2" x14ac:dyDescent="0.35">
      <c r="A616" s="339" t="s">
        <v>144</v>
      </c>
      <c r="B616" s="331">
        <v>44397</v>
      </c>
      <c r="C616" s="332" t="s">
        <v>1052</v>
      </c>
      <c r="D616" s="332" t="s">
        <v>1056</v>
      </c>
      <c r="E616" s="332" t="s">
        <v>1054</v>
      </c>
      <c r="F616" s="336">
        <v>70000</v>
      </c>
      <c r="G616" s="330" t="s">
        <v>236</v>
      </c>
      <c r="H616" s="329">
        <v>59.684449052073333</v>
      </c>
      <c r="I616" s="338"/>
      <c r="J616" s="338">
        <v>59.684449052073333</v>
      </c>
      <c r="K616" s="338"/>
      <c r="L616" s="338"/>
      <c r="M616" s="336"/>
    </row>
    <row r="617" spans="1:13" hidden="1" outlineLevel="2" x14ac:dyDescent="0.35">
      <c r="A617" s="339" t="s">
        <v>144</v>
      </c>
      <c r="B617" s="331">
        <v>44397</v>
      </c>
      <c r="C617" s="332" t="s">
        <v>1052</v>
      </c>
      <c r="D617" s="332" t="s">
        <v>1057</v>
      </c>
      <c r="E617" s="332" t="s">
        <v>1058</v>
      </c>
      <c r="F617" s="336">
        <v>10000</v>
      </c>
      <c r="G617" s="330" t="s">
        <v>236</v>
      </c>
      <c r="H617" s="329">
        <v>8.5263498645819045</v>
      </c>
      <c r="I617" s="338"/>
      <c r="J617" s="338">
        <v>8.5263498645819045</v>
      </c>
      <c r="K617" s="338"/>
      <c r="L617" s="338"/>
      <c r="M617" s="336"/>
    </row>
    <row r="618" spans="1:13" hidden="1" outlineLevel="2" x14ac:dyDescent="0.35">
      <c r="A618" s="339" t="s">
        <v>144</v>
      </c>
      <c r="B618" s="331">
        <v>44396</v>
      </c>
      <c r="C618" s="332" t="s">
        <v>1052</v>
      </c>
      <c r="D618" s="332" t="s">
        <v>1059</v>
      </c>
      <c r="E618" s="332" t="s">
        <v>1000</v>
      </c>
      <c r="F618" s="336">
        <v>140000</v>
      </c>
      <c r="G618" s="330" t="s">
        <v>236</v>
      </c>
      <c r="H618" s="329">
        <v>119.36889810414667</v>
      </c>
      <c r="I618" s="338"/>
      <c r="J618" s="338">
        <v>119.36889810414667</v>
      </c>
      <c r="K618" s="338"/>
      <c r="L618" s="338"/>
      <c r="M618" s="336"/>
    </row>
    <row r="619" spans="1:13" hidden="1" outlineLevel="2" x14ac:dyDescent="0.35">
      <c r="A619" s="339" t="s">
        <v>144</v>
      </c>
      <c r="B619" s="331">
        <v>44381</v>
      </c>
      <c r="C619" s="332" t="s">
        <v>1060</v>
      </c>
      <c r="D619" s="332" t="s">
        <v>1061</v>
      </c>
      <c r="E619" s="332" t="s">
        <v>1062</v>
      </c>
      <c r="F619" s="336">
        <v>70000</v>
      </c>
      <c r="G619" s="330" t="s">
        <v>236</v>
      </c>
      <c r="H619" s="329">
        <v>59.684449052073333</v>
      </c>
      <c r="I619" s="338"/>
      <c r="J619" s="338">
        <v>59.684449052073333</v>
      </c>
      <c r="K619" s="338"/>
      <c r="L619" s="338"/>
      <c r="M619" s="336"/>
    </row>
    <row r="620" spans="1:13" hidden="1" outlineLevel="2" x14ac:dyDescent="0.35">
      <c r="A620" s="339" t="s">
        <v>144</v>
      </c>
      <c r="B620" s="331">
        <v>44368</v>
      </c>
      <c r="C620" s="332" t="s">
        <v>1060</v>
      </c>
      <c r="D620" s="332" t="s">
        <v>1063</v>
      </c>
      <c r="E620" s="332" t="s">
        <v>1064</v>
      </c>
      <c r="F620" s="336">
        <v>70000</v>
      </c>
      <c r="G620" s="330" t="s">
        <v>236</v>
      </c>
      <c r="H620" s="329">
        <v>59.684449052073333</v>
      </c>
      <c r="I620" s="338"/>
      <c r="J620" s="338">
        <v>59.684449052073333</v>
      </c>
      <c r="K620" s="338"/>
      <c r="L620" s="338"/>
      <c r="M620" s="336"/>
    </row>
    <row r="621" spans="1:13" hidden="1" outlineLevel="2" x14ac:dyDescent="0.35">
      <c r="A621" s="339" t="s">
        <v>144</v>
      </c>
      <c r="B621" s="331">
        <v>44381</v>
      </c>
      <c r="C621" s="332" t="s">
        <v>1060</v>
      </c>
      <c r="D621" s="332" t="s">
        <v>1061</v>
      </c>
      <c r="E621" s="332" t="s">
        <v>981</v>
      </c>
      <c r="F621" s="336">
        <v>20000</v>
      </c>
      <c r="G621" s="330" t="s">
        <v>236</v>
      </c>
      <c r="H621" s="329">
        <v>17.052699729163809</v>
      </c>
      <c r="I621" s="338"/>
      <c r="J621" s="338">
        <v>17.052699729163809</v>
      </c>
      <c r="K621" s="338"/>
      <c r="L621" s="338"/>
      <c r="M621" s="336"/>
    </row>
    <row r="622" spans="1:13" hidden="1" outlineLevel="2" x14ac:dyDescent="0.35">
      <c r="A622" s="339" t="s">
        <v>144</v>
      </c>
      <c r="B622" s="331">
        <v>44381</v>
      </c>
      <c r="C622" s="332" t="s">
        <v>1060</v>
      </c>
      <c r="D622" s="332" t="s">
        <v>1061</v>
      </c>
      <c r="E622" s="332" t="s">
        <v>981</v>
      </c>
      <c r="F622" s="336">
        <v>84000</v>
      </c>
      <c r="G622" s="330" t="s">
        <v>236</v>
      </c>
      <c r="H622" s="329">
        <v>71.621338862488003</v>
      </c>
      <c r="I622" s="338"/>
      <c r="J622" s="338">
        <v>71.621338862488003</v>
      </c>
      <c r="K622" s="338"/>
      <c r="L622" s="338"/>
      <c r="M622" s="336"/>
    </row>
    <row r="623" spans="1:13" hidden="1" outlineLevel="2" x14ac:dyDescent="0.35">
      <c r="A623" s="339" t="s">
        <v>144</v>
      </c>
      <c r="B623" s="331">
        <v>44373</v>
      </c>
      <c r="C623" s="332" t="s">
        <v>1060</v>
      </c>
      <c r="D623" s="332" t="s">
        <v>1065</v>
      </c>
      <c r="E623" s="332" t="s">
        <v>1066</v>
      </c>
      <c r="F623" s="336">
        <v>17800</v>
      </c>
      <c r="G623" s="330" t="s">
        <v>236</v>
      </c>
      <c r="H623" s="329">
        <v>15.176902758955791</v>
      </c>
      <c r="I623" s="338"/>
      <c r="J623" s="338">
        <v>15.176902758955791</v>
      </c>
      <c r="K623" s="338"/>
      <c r="L623" s="338"/>
      <c r="M623" s="336"/>
    </row>
    <row r="624" spans="1:13" hidden="1" outlineLevel="2" x14ac:dyDescent="0.35">
      <c r="A624" s="339" t="s">
        <v>144</v>
      </c>
      <c r="B624" s="331">
        <v>44368</v>
      </c>
      <c r="C624" s="332" t="s">
        <v>1060</v>
      </c>
      <c r="D624" s="332" t="s">
        <v>1065</v>
      </c>
      <c r="E624" s="332" t="s">
        <v>1067</v>
      </c>
      <c r="F624" s="336">
        <v>15000</v>
      </c>
      <c r="G624" s="330" t="s">
        <v>236</v>
      </c>
      <c r="H624" s="329">
        <v>12.789524796872858</v>
      </c>
      <c r="I624" s="338"/>
      <c r="J624" s="338">
        <v>12.789524796872858</v>
      </c>
      <c r="K624" s="338"/>
      <c r="L624" s="338"/>
      <c r="M624" s="336"/>
    </row>
    <row r="625" spans="1:13" hidden="1" outlineLevel="2" x14ac:dyDescent="0.35">
      <c r="A625" s="339" t="s">
        <v>144</v>
      </c>
      <c r="B625" s="331">
        <v>44379</v>
      </c>
      <c r="C625" s="332" t="s">
        <v>1060</v>
      </c>
      <c r="D625" s="332" t="s">
        <v>1068</v>
      </c>
      <c r="E625" s="332" t="s">
        <v>1069</v>
      </c>
      <c r="F625" s="336">
        <v>15000</v>
      </c>
      <c r="G625" s="330" t="s">
        <v>236</v>
      </c>
      <c r="H625" s="329">
        <v>12.789524796872858</v>
      </c>
      <c r="I625" s="338"/>
      <c r="J625" s="338">
        <v>12.789524796872858</v>
      </c>
      <c r="K625" s="338"/>
      <c r="L625" s="338"/>
      <c r="M625" s="336"/>
    </row>
    <row r="626" spans="1:13" hidden="1" outlineLevel="2" x14ac:dyDescent="0.35">
      <c r="A626" s="339" t="s">
        <v>144</v>
      </c>
      <c r="B626" s="331">
        <v>44378</v>
      </c>
      <c r="C626" s="332" t="s">
        <v>1060</v>
      </c>
      <c r="D626" s="332" t="s">
        <v>1068</v>
      </c>
      <c r="E626" s="332" t="s">
        <v>1070</v>
      </c>
      <c r="F626" s="336">
        <v>12200</v>
      </c>
      <c r="G626" s="330" t="s">
        <v>236</v>
      </c>
      <c r="H626" s="329">
        <v>10.402146834789924</v>
      </c>
      <c r="I626" s="338"/>
      <c r="J626" s="338">
        <v>10.402146834789924</v>
      </c>
      <c r="K626" s="338"/>
      <c r="L626" s="338"/>
      <c r="M626" s="336"/>
    </row>
    <row r="627" spans="1:13" hidden="1" outlineLevel="2" x14ac:dyDescent="0.35">
      <c r="A627" s="339" t="s">
        <v>144</v>
      </c>
      <c r="B627" s="331">
        <v>44379</v>
      </c>
      <c r="C627" s="332" t="s">
        <v>1060</v>
      </c>
      <c r="D627" s="332" t="s">
        <v>1068</v>
      </c>
      <c r="E627" s="332" t="s">
        <v>1000</v>
      </c>
      <c r="F627" s="336">
        <v>5000</v>
      </c>
      <c r="G627" s="330" t="s">
        <v>236</v>
      </c>
      <c r="H627" s="329">
        <v>4.2631749322909522</v>
      </c>
      <c r="I627" s="338"/>
      <c r="J627" s="338">
        <v>4.2631749322909522</v>
      </c>
      <c r="K627" s="338"/>
      <c r="L627" s="338"/>
      <c r="M627" s="336"/>
    </row>
    <row r="628" spans="1:13" hidden="1" outlineLevel="2" x14ac:dyDescent="0.35">
      <c r="A628" s="339" t="s">
        <v>144</v>
      </c>
      <c r="B628" s="331">
        <v>44375</v>
      </c>
      <c r="C628" s="332" t="s">
        <v>1060</v>
      </c>
      <c r="D628" s="332" t="s">
        <v>1068</v>
      </c>
      <c r="E628" s="332" t="s">
        <v>1069</v>
      </c>
      <c r="F628" s="336">
        <v>20000</v>
      </c>
      <c r="G628" s="330" t="s">
        <v>236</v>
      </c>
      <c r="H628" s="329">
        <v>17.052699729163809</v>
      </c>
      <c r="I628" s="338"/>
      <c r="J628" s="338">
        <v>17.052699729163809</v>
      </c>
      <c r="K628" s="338"/>
      <c r="L628" s="338"/>
      <c r="M628" s="336"/>
    </row>
    <row r="629" spans="1:13" hidden="1" outlineLevel="2" x14ac:dyDescent="0.35">
      <c r="A629" s="339" t="s">
        <v>144</v>
      </c>
      <c r="B629" s="331">
        <v>44380</v>
      </c>
      <c r="C629" s="332" t="s">
        <v>1060</v>
      </c>
      <c r="D629" s="332" t="s">
        <v>1065</v>
      </c>
      <c r="E629" s="332" t="s">
        <v>1069</v>
      </c>
      <c r="F629" s="336">
        <v>20000</v>
      </c>
      <c r="G629" s="330" t="s">
        <v>236</v>
      </c>
      <c r="H629" s="329">
        <v>17.052699729163809</v>
      </c>
      <c r="I629" s="338"/>
      <c r="J629" s="338">
        <v>17.052699729163809</v>
      </c>
      <c r="K629" s="338"/>
      <c r="L629" s="338"/>
      <c r="M629" s="336"/>
    </row>
    <row r="630" spans="1:13" hidden="1" outlineLevel="2" x14ac:dyDescent="0.35">
      <c r="A630" s="339" t="s">
        <v>144</v>
      </c>
      <c r="B630" s="331">
        <v>44369</v>
      </c>
      <c r="C630" s="332" t="s">
        <v>1060</v>
      </c>
      <c r="D630" s="332" t="s">
        <v>1065</v>
      </c>
      <c r="E630" s="332" t="s">
        <v>1067</v>
      </c>
      <c r="F630" s="336">
        <v>20000</v>
      </c>
      <c r="G630" s="330" t="s">
        <v>236</v>
      </c>
      <c r="H630" s="329">
        <v>17.052699729163809</v>
      </c>
      <c r="I630" s="338"/>
      <c r="J630" s="338">
        <v>17.052699729163809</v>
      </c>
      <c r="K630" s="338"/>
      <c r="L630" s="338"/>
      <c r="M630" s="336"/>
    </row>
    <row r="631" spans="1:13" hidden="1" outlineLevel="2" x14ac:dyDescent="0.35">
      <c r="A631" s="339" t="s">
        <v>144</v>
      </c>
      <c r="B631" s="331">
        <v>44377</v>
      </c>
      <c r="C631" s="332" t="s">
        <v>1060</v>
      </c>
      <c r="D631" s="332" t="s">
        <v>1068</v>
      </c>
      <c r="E631" s="332" t="s">
        <v>1069</v>
      </c>
      <c r="F631" s="336">
        <v>15000</v>
      </c>
      <c r="G631" s="330" t="s">
        <v>236</v>
      </c>
      <c r="H631" s="329">
        <v>12.789524796872858</v>
      </c>
      <c r="I631" s="338"/>
      <c r="J631" s="338">
        <v>12.789524796872858</v>
      </c>
      <c r="K631" s="338"/>
      <c r="L631" s="338"/>
      <c r="M631" s="336"/>
    </row>
    <row r="632" spans="1:13" hidden="1" outlineLevel="2" x14ac:dyDescent="0.35">
      <c r="A632" s="339" t="s">
        <v>144</v>
      </c>
      <c r="B632" s="331">
        <v>44368</v>
      </c>
      <c r="C632" s="332" t="s">
        <v>1071</v>
      </c>
      <c r="D632" s="332" t="s">
        <v>1072</v>
      </c>
      <c r="E632" s="332" t="s">
        <v>1064</v>
      </c>
      <c r="F632" s="336">
        <v>70000</v>
      </c>
      <c r="G632" s="330" t="s">
        <v>236</v>
      </c>
      <c r="H632" s="329">
        <v>59.684449052073333</v>
      </c>
      <c r="I632" s="338"/>
      <c r="J632" s="338">
        <v>59.684449052073333</v>
      </c>
      <c r="K632" s="338"/>
      <c r="L632" s="338"/>
      <c r="M632" s="336"/>
    </row>
    <row r="633" spans="1:13" hidden="1" outlineLevel="2" x14ac:dyDescent="0.35">
      <c r="A633" s="339" t="s">
        <v>144</v>
      </c>
      <c r="B633" s="331">
        <v>44368</v>
      </c>
      <c r="C633" s="332" t="s">
        <v>1071</v>
      </c>
      <c r="D633" s="332" t="s">
        <v>1072</v>
      </c>
      <c r="E633" s="332" t="s">
        <v>1073</v>
      </c>
      <c r="F633" s="336">
        <v>70000</v>
      </c>
      <c r="G633" s="330" t="s">
        <v>236</v>
      </c>
      <c r="H633" s="329">
        <v>59.684449052073333</v>
      </c>
      <c r="I633" s="338"/>
      <c r="J633" s="338">
        <v>59.684449052073333</v>
      </c>
      <c r="K633" s="338"/>
      <c r="L633" s="338"/>
      <c r="M633" s="336"/>
    </row>
    <row r="634" spans="1:13" hidden="1" outlineLevel="2" x14ac:dyDescent="0.35">
      <c r="A634" s="339" t="s">
        <v>144</v>
      </c>
      <c r="B634" s="331">
        <v>44369</v>
      </c>
      <c r="C634" s="332" t="s">
        <v>1071</v>
      </c>
      <c r="D634" s="332" t="s">
        <v>1072</v>
      </c>
      <c r="E634" s="332" t="s">
        <v>981</v>
      </c>
      <c r="F634" s="336">
        <v>20000</v>
      </c>
      <c r="G634" s="330" t="s">
        <v>236</v>
      </c>
      <c r="H634" s="329">
        <v>17.052699729163809</v>
      </c>
      <c r="I634" s="338"/>
      <c r="J634" s="338">
        <v>17.052699729163809</v>
      </c>
      <c r="K634" s="338"/>
      <c r="L634" s="338"/>
      <c r="M634" s="336"/>
    </row>
    <row r="635" spans="1:13" hidden="1" outlineLevel="2" x14ac:dyDescent="0.35">
      <c r="A635" s="339" t="s">
        <v>144</v>
      </c>
      <c r="B635" s="331">
        <v>44368</v>
      </c>
      <c r="C635" s="332" t="s">
        <v>1071</v>
      </c>
      <c r="D635" s="332" t="s">
        <v>1072</v>
      </c>
      <c r="E635" s="332" t="s">
        <v>981</v>
      </c>
      <c r="F635" s="336">
        <v>84000</v>
      </c>
      <c r="G635" s="330" t="s">
        <v>236</v>
      </c>
      <c r="H635" s="329">
        <v>71.621338862488003</v>
      </c>
      <c r="I635" s="338"/>
      <c r="J635" s="338">
        <v>71.621338862488003</v>
      </c>
      <c r="K635" s="338"/>
      <c r="L635" s="338"/>
      <c r="M635" s="336"/>
    </row>
    <row r="636" spans="1:13" hidden="1" outlineLevel="2" x14ac:dyDescent="0.35">
      <c r="A636" s="339" t="s">
        <v>144</v>
      </c>
      <c r="B636" s="331">
        <v>44368</v>
      </c>
      <c r="C636" s="332" t="s">
        <v>1071</v>
      </c>
      <c r="D636" s="332" t="s">
        <v>1074</v>
      </c>
      <c r="E636" s="332" t="s">
        <v>1069</v>
      </c>
      <c r="F636" s="336">
        <v>15000</v>
      </c>
      <c r="G636" s="330" t="s">
        <v>236</v>
      </c>
      <c r="H636" s="329">
        <v>12.789524796872858</v>
      </c>
      <c r="I636" s="338"/>
      <c r="J636" s="338">
        <v>12.789524796872858</v>
      </c>
      <c r="K636" s="338"/>
      <c r="L636" s="338"/>
      <c r="M636" s="336"/>
    </row>
    <row r="637" spans="1:13" hidden="1" outlineLevel="2" x14ac:dyDescent="0.35">
      <c r="A637" s="339" t="s">
        <v>144</v>
      </c>
      <c r="B637" s="331">
        <v>44372</v>
      </c>
      <c r="C637" s="332" t="s">
        <v>1071</v>
      </c>
      <c r="D637" s="332" t="s">
        <v>1074</v>
      </c>
      <c r="E637" s="332" t="s">
        <v>1067</v>
      </c>
      <c r="F637" s="336">
        <v>5000</v>
      </c>
      <c r="G637" s="330" t="s">
        <v>236</v>
      </c>
      <c r="H637" s="329">
        <v>4.2631749322909522</v>
      </c>
      <c r="I637" s="338"/>
      <c r="J637" s="338">
        <v>4.2631749322909522</v>
      </c>
      <c r="K637" s="338"/>
      <c r="L637" s="338"/>
      <c r="M637" s="336"/>
    </row>
    <row r="638" spans="1:13" hidden="1" outlineLevel="2" x14ac:dyDescent="0.35">
      <c r="A638" s="339" t="s">
        <v>144</v>
      </c>
      <c r="B638" s="331">
        <v>44368</v>
      </c>
      <c r="C638" s="332" t="s">
        <v>1071</v>
      </c>
      <c r="D638" s="332" t="s">
        <v>1074</v>
      </c>
      <c r="E638" s="332" t="s">
        <v>1067</v>
      </c>
      <c r="F638" s="336">
        <v>10000</v>
      </c>
      <c r="G638" s="330" t="s">
        <v>236</v>
      </c>
      <c r="H638" s="329">
        <v>8.5263498645819045</v>
      </c>
      <c r="I638" s="338"/>
      <c r="J638" s="338">
        <v>8.5263498645819045</v>
      </c>
      <c r="K638" s="338"/>
      <c r="L638" s="338"/>
      <c r="M638" s="336"/>
    </row>
    <row r="639" spans="1:13" hidden="1" outlineLevel="2" x14ac:dyDescent="0.35">
      <c r="A639" s="339" t="s">
        <v>144</v>
      </c>
      <c r="B639" s="331">
        <v>44379</v>
      </c>
      <c r="C639" s="332" t="s">
        <v>1071</v>
      </c>
      <c r="D639" s="332" t="s">
        <v>1074</v>
      </c>
      <c r="E639" s="332" t="s">
        <v>1075</v>
      </c>
      <c r="F639" s="336">
        <v>5000</v>
      </c>
      <c r="G639" s="330" t="s">
        <v>236</v>
      </c>
      <c r="H639" s="329">
        <v>4.2631749322909522</v>
      </c>
      <c r="I639" s="338"/>
      <c r="J639" s="338">
        <v>4.2631749322909522</v>
      </c>
      <c r="K639" s="338"/>
      <c r="L639" s="338"/>
      <c r="M639" s="336"/>
    </row>
    <row r="640" spans="1:13" hidden="1" outlineLevel="2" x14ac:dyDescent="0.35">
      <c r="A640" s="339" t="s">
        <v>144</v>
      </c>
      <c r="B640" s="331">
        <v>44383</v>
      </c>
      <c r="C640" s="332" t="s">
        <v>1071</v>
      </c>
      <c r="D640" s="332" t="s">
        <v>1074</v>
      </c>
      <c r="E640" s="332" t="s">
        <v>1067</v>
      </c>
      <c r="F640" s="336">
        <v>10000</v>
      </c>
      <c r="G640" s="330" t="s">
        <v>236</v>
      </c>
      <c r="H640" s="329">
        <v>8.5263498645819045</v>
      </c>
      <c r="I640" s="338"/>
      <c r="J640" s="338">
        <v>8.5263498645819045</v>
      </c>
      <c r="K640" s="338"/>
      <c r="L640" s="338"/>
      <c r="M640" s="336"/>
    </row>
    <row r="641" spans="1:13" hidden="1" outlineLevel="2" x14ac:dyDescent="0.35">
      <c r="A641" s="339" t="s">
        <v>144</v>
      </c>
      <c r="B641" s="331">
        <v>44376</v>
      </c>
      <c r="C641" s="332" t="s">
        <v>1071</v>
      </c>
      <c r="D641" s="332" t="s">
        <v>1074</v>
      </c>
      <c r="E641" s="332" t="s">
        <v>1067</v>
      </c>
      <c r="F641" s="336">
        <v>10000</v>
      </c>
      <c r="G641" s="330" t="s">
        <v>236</v>
      </c>
      <c r="H641" s="329">
        <v>8.5263498645819045</v>
      </c>
      <c r="I641" s="338"/>
      <c r="J641" s="338">
        <v>8.5263498645819045</v>
      </c>
      <c r="K641" s="338"/>
      <c r="L641" s="338"/>
      <c r="M641" s="336"/>
    </row>
    <row r="642" spans="1:13" hidden="1" outlineLevel="2" x14ac:dyDescent="0.35">
      <c r="A642" s="339" t="s">
        <v>144</v>
      </c>
      <c r="B642" s="331">
        <v>44372</v>
      </c>
      <c r="C642" s="332" t="s">
        <v>1071</v>
      </c>
      <c r="D642" s="332" t="s">
        <v>1074</v>
      </c>
      <c r="E642" s="332" t="s">
        <v>1069</v>
      </c>
      <c r="F642" s="336">
        <v>20000</v>
      </c>
      <c r="G642" s="330" t="s">
        <v>236</v>
      </c>
      <c r="H642" s="329">
        <v>17.052699729163809</v>
      </c>
      <c r="I642" s="338"/>
      <c r="J642" s="338">
        <v>17.052699729163809</v>
      </c>
      <c r="K642" s="338"/>
      <c r="L642" s="338"/>
      <c r="M642" s="336"/>
    </row>
    <row r="643" spans="1:13" hidden="1" outlineLevel="2" x14ac:dyDescent="0.35">
      <c r="A643" s="339" t="s">
        <v>144</v>
      </c>
      <c r="B643" s="331">
        <v>44369</v>
      </c>
      <c r="C643" s="332" t="s">
        <v>1071</v>
      </c>
      <c r="D643" s="332" t="s">
        <v>1074</v>
      </c>
      <c r="E643" s="332" t="s">
        <v>1067</v>
      </c>
      <c r="F643" s="336">
        <v>10000</v>
      </c>
      <c r="G643" s="330" t="s">
        <v>236</v>
      </c>
      <c r="H643" s="329">
        <v>8.5263498645819045</v>
      </c>
      <c r="I643" s="338"/>
      <c r="J643" s="338">
        <v>8.5263498645819045</v>
      </c>
      <c r="K643" s="338"/>
      <c r="L643" s="338"/>
      <c r="M643" s="336"/>
    </row>
    <row r="644" spans="1:13" hidden="1" outlineLevel="2" x14ac:dyDescent="0.35">
      <c r="A644" s="339" t="s">
        <v>144</v>
      </c>
      <c r="B644" s="331">
        <v>44320</v>
      </c>
      <c r="C644" s="332" t="s">
        <v>1071</v>
      </c>
      <c r="D644" s="332" t="s">
        <v>1074</v>
      </c>
      <c r="E644" s="332" t="s">
        <v>1067</v>
      </c>
      <c r="F644" s="336">
        <v>5000</v>
      </c>
      <c r="G644" s="330" t="s">
        <v>236</v>
      </c>
      <c r="H644" s="329">
        <v>4.2631749322909522</v>
      </c>
      <c r="I644" s="338"/>
      <c r="J644" s="338">
        <v>4.2631749322909522</v>
      </c>
      <c r="K644" s="338"/>
      <c r="L644" s="338"/>
      <c r="M644" s="336"/>
    </row>
    <row r="645" spans="1:13" hidden="1" outlineLevel="2" x14ac:dyDescent="0.35">
      <c r="A645" s="339" t="s">
        <v>144</v>
      </c>
      <c r="B645" s="331">
        <v>44377</v>
      </c>
      <c r="C645" s="332" t="s">
        <v>1071</v>
      </c>
      <c r="D645" s="332" t="s">
        <v>1074</v>
      </c>
      <c r="E645" s="332" t="s">
        <v>1069</v>
      </c>
      <c r="F645" s="336">
        <v>15000</v>
      </c>
      <c r="G645" s="330" t="s">
        <v>236</v>
      </c>
      <c r="H645" s="329">
        <v>12.789524796872858</v>
      </c>
      <c r="I645" s="338"/>
      <c r="J645" s="338">
        <v>12.789524796872858</v>
      </c>
      <c r="K645" s="338"/>
      <c r="L645" s="338"/>
      <c r="M645" s="336"/>
    </row>
    <row r="646" spans="1:13" hidden="1" outlineLevel="2" x14ac:dyDescent="0.35">
      <c r="A646" s="339" t="s">
        <v>144</v>
      </c>
      <c r="B646" s="331">
        <v>44377</v>
      </c>
      <c r="C646" s="332" t="s">
        <v>1071</v>
      </c>
      <c r="D646" s="332" t="s">
        <v>1074</v>
      </c>
      <c r="E646" s="332" t="s">
        <v>1067</v>
      </c>
      <c r="F646" s="336">
        <v>5000</v>
      </c>
      <c r="G646" s="330" t="s">
        <v>236</v>
      </c>
      <c r="H646" s="329">
        <v>4.2631749322909522</v>
      </c>
      <c r="I646" s="338"/>
      <c r="J646" s="338">
        <v>4.2631749322909522</v>
      </c>
      <c r="K646" s="338"/>
      <c r="L646" s="338"/>
      <c r="M646" s="336"/>
    </row>
    <row r="647" spans="1:13" hidden="1" outlineLevel="2" x14ac:dyDescent="0.35">
      <c r="A647" s="339" t="s">
        <v>144</v>
      </c>
      <c r="B647" s="331">
        <v>44382</v>
      </c>
      <c r="C647" s="332" t="s">
        <v>1071</v>
      </c>
      <c r="D647" s="332" t="s">
        <v>1074</v>
      </c>
      <c r="E647" s="332" t="s">
        <v>1067</v>
      </c>
      <c r="F647" s="336">
        <v>5000</v>
      </c>
      <c r="G647" s="330" t="s">
        <v>236</v>
      </c>
      <c r="H647" s="329">
        <v>4.2631749322909522</v>
      </c>
      <c r="I647" s="338"/>
      <c r="J647" s="338">
        <v>4.2631749322909522</v>
      </c>
      <c r="K647" s="338"/>
      <c r="L647" s="338"/>
      <c r="M647" s="336"/>
    </row>
    <row r="648" spans="1:13" hidden="1" outlineLevel="2" x14ac:dyDescent="0.35">
      <c r="A648" s="339" t="s">
        <v>144</v>
      </c>
      <c r="B648" s="331">
        <v>44374</v>
      </c>
      <c r="C648" s="332" t="s">
        <v>1071</v>
      </c>
      <c r="D648" s="332" t="s">
        <v>1074</v>
      </c>
      <c r="E648" s="332" t="s">
        <v>1069</v>
      </c>
      <c r="F648" s="336">
        <v>15000</v>
      </c>
      <c r="G648" s="330" t="s">
        <v>236</v>
      </c>
      <c r="H648" s="329">
        <v>12.789524796872858</v>
      </c>
      <c r="I648" s="338"/>
      <c r="J648" s="338">
        <v>12.789524796872858</v>
      </c>
      <c r="K648" s="338"/>
      <c r="L648" s="338"/>
      <c r="M648" s="336"/>
    </row>
    <row r="649" spans="1:13" hidden="1" outlineLevel="2" x14ac:dyDescent="0.35">
      <c r="A649" s="339" t="s">
        <v>144</v>
      </c>
      <c r="B649" s="331">
        <v>44372</v>
      </c>
      <c r="C649" s="332" t="s">
        <v>1071</v>
      </c>
      <c r="D649" s="332" t="s">
        <v>1074</v>
      </c>
      <c r="E649" s="332" t="s">
        <v>1067</v>
      </c>
      <c r="F649" s="336">
        <v>5000</v>
      </c>
      <c r="G649" s="330" t="s">
        <v>236</v>
      </c>
      <c r="H649" s="329">
        <v>4.2631749322909522</v>
      </c>
      <c r="I649" s="338"/>
      <c r="J649" s="338">
        <v>4.2631749322909522</v>
      </c>
      <c r="K649" s="338"/>
      <c r="L649" s="338"/>
      <c r="M649" s="336"/>
    </row>
    <row r="650" spans="1:13" hidden="1" outlineLevel="2" x14ac:dyDescent="0.35">
      <c r="A650" s="339" t="s">
        <v>144</v>
      </c>
      <c r="B650" s="331">
        <v>44370</v>
      </c>
      <c r="C650" s="332" t="s">
        <v>1071</v>
      </c>
      <c r="D650" s="332" t="s">
        <v>1074</v>
      </c>
      <c r="E650" s="332" t="s">
        <v>1066</v>
      </c>
      <c r="F650" s="336">
        <v>5000</v>
      </c>
      <c r="G650" s="330" t="s">
        <v>236</v>
      </c>
      <c r="H650" s="329">
        <v>4.2631749322909522</v>
      </c>
      <c r="I650" s="338"/>
      <c r="J650" s="338">
        <v>4.2631749322909522</v>
      </c>
      <c r="K650" s="338"/>
      <c r="L650" s="338"/>
      <c r="M650" s="336"/>
    </row>
    <row r="651" spans="1:13" hidden="1" outlineLevel="2" x14ac:dyDescent="0.35">
      <c r="A651" s="339" t="s">
        <v>144</v>
      </c>
      <c r="B651" s="331">
        <v>44380</v>
      </c>
      <c r="C651" s="332" t="s">
        <v>838</v>
      </c>
      <c r="D651" s="332" t="s">
        <v>1076</v>
      </c>
      <c r="E651" s="332" t="s">
        <v>1077</v>
      </c>
      <c r="F651" s="336">
        <v>70000</v>
      </c>
      <c r="G651" s="330" t="s">
        <v>236</v>
      </c>
      <c r="H651" s="329">
        <v>59.684449052073333</v>
      </c>
      <c r="I651" s="338"/>
      <c r="J651" s="338">
        <v>59.684449052073333</v>
      </c>
      <c r="K651" s="338"/>
      <c r="L651" s="338"/>
      <c r="M651" s="336"/>
    </row>
    <row r="652" spans="1:13" hidden="1" outlineLevel="2" x14ac:dyDescent="0.35">
      <c r="A652" s="339" t="s">
        <v>144</v>
      </c>
      <c r="B652" s="331">
        <v>44380</v>
      </c>
      <c r="C652" s="332" t="s">
        <v>838</v>
      </c>
      <c r="D652" s="332" t="s">
        <v>1076</v>
      </c>
      <c r="E652" s="332" t="s">
        <v>1078</v>
      </c>
      <c r="F652" s="336">
        <v>84000</v>
      </c>
      <c r="G652" s="330" t="s">
        <v>236</v>
      </c>
      <c r="H652" s="329">
        <v>71.621338862488003</v>
      </c>
      <c r="I652" s="338"/>
      <c r="J652" s="338">
        <v>71.621338862488003</v>
      </c>
      <c r="K652" s="338"/>
      <c r="L652" s="338"/>
      <c r="M652" s="336"/>
    </row>
    <row r="653" spans="1:13" hidden="1" outlineLevel="2" x14ac:dyDescent="0.35">
      <c r="A653" s="339" t="s">
        <v>144</v>
      </c>
      <c r="B653" s="331">
        <v>44380</v>
      </c>
      <c r="C653" s="332" t="s">
        <v>838</v>
      </c>
      <c r="D653" s="332" t="s">
        <v>1079</v>
      </c>
      <c r="E653" s="332" t="s">
        <v>1080</v>
      </c>
      <c r="F653" s="336">
        <v>70000</v>
      </c>
      <c r="G653" s="330" t="s">
        <v>236</v>
      </c>
      <c r="H653" s="329">
        <v>59.684449052073333</v>
      </c>
      <c r="I653" s="338"/>
      <c r="J653" s="338">
        <v>59.684449052073333</v>
      </c>
      <c r="K653" s="338"/>
      <c r="L653" s="338"/>
      <c r="M653" s="336"/>
    </row>
    <row r="654" spans="1:13" hidden="1" outlineLevel="2" x14ac:dyDescent="0.35">
      <c r="A654" s="339" t="s">
        <v>144</v>
      </c>
      <c r="B654" s="331">
        <v>44370</v>
      </c>
      <c r="C654" s="332" t="s">
        <v>838</v>
      </c>
      <c r="D654" s="332" t="s">
        <v>1081</v>
      </c>
      <c r="E654" s="332" t="s">
        <v>1000</v>
      </c>
      <c r="F654" s="336">
        <v>15000</v>
      </c>
      <c r="G654" s="330" t="s">
        <v>236</v>
      </c>
      <c r="H654" s="329">
        <v>12.789524796872858</v>
      </c>
      <c r="I654" s="338"/>
      <c r="J654" s="338">
        <v>12.789524796872858</v>
      </c>
      <c r="K654" s="338"/>
      <c r="L654" s="338"/>
      <c r="M654" s="336"/>
    </row>
    <row r="655" spans="1:13" hidden="1" outlineLevel="2" x14ac:dyDescent="0.35">
      <c r="A655" s="339" t="s">
        <v>144</v>
      </c>
      <c r="B655" s="331">
        <v>44366</v>
      </c>
      <c r="C655" s="332" t="s">
        <v>838</v>
      </c>
      <c r="D655" s="332" t="s">
        <v>1081</v>
      </c>
      <c r="E655" s="332" t="s">
        <v>1082</v>
      </c>
      <c r="F655" s="336">
        <v>5000</v>
      </c>
      <c r="G655" s="330" t="s">
        <v>236</v>
      </c>
      <c r="H655" s="329">
        <v>4.2631749322909522</v>
      </c>
      <c r="I655" s="338"/>
      <c r="J655" s="338">
        <v>4.2631749322909522</v>
      </c>
      <c r="K655" s="338"/>
      <c r="L655" s="338"/>
      <c r="M655" s="336"/>
    </row>
    <row r="656" spans="1:13" hidden="1" outlineLevel="2" x14ac:dyDescent="0.35">
      <c r="A656" s="339" t="s">
        <v>144</v>
      </c>
      <c r="B656" s="331">
        <v>44372</v>
      </c>
      <c r="C656" s="332" t="s">
        <v>838</v>
      </c>
      <c r="D656" s="332" t="s">
        <v>1081</v>
      </c>
      <c r="E656" s="332" t="s">
        <v>998</v>
      </c>
      <c r="F656" s="336">
        <v>10000</v>
      </c>
      <c r="G656" s="330" t="s">
        <v>236</v>
      </c>
      <c r="H656" s="329">
        <v>8.5263498645819045</v>
      </c>
      <c r="I656" s="338"/>
      <c r="J656" s="338">
        <v>8.5263498645819045</v>
      </c>
      <c r="K656" s="338"/>
      <c r="L656" s="338"/>
      <c r="M656" s="336"/>
    </row>
    <row r="657" spans="1:13" hidden="1" outlineLevel="2" x14ac:dyDescent="0.35">
      <c r="A657" s="339" t="s">
        <v>144</v>
      </c>
      <c r="B657" s="331">
        <v>44377</v>
      </c>
      <c r="C657" s="332" t="s">
        <v>838</v>
      </c>
      <c r="D657" s="332" t="s">
        <v>1081</v>
      </c>
      <c r="E657" s="332" t="s">
        <v>1000</v>
      </c>
      <c r="F657" s="336">
        <v>15000</v>
      </c>
      <c r="G657" s="330" t="s">
        <v>236</v>
      </c>
      <c r="H657" s="329">
        <v>12.789524796872858</v>
      </c>
      <c r="I657" s="338"/>
      <c r="J657" s="338">
        <v>12.789524796872858</v>
      </c>
      <c r="K657" s="338"/>
      <c r="L657" s="338"/>
      <c r="M657" s="336"/>
    </row>
    <row r="658" spans="1:13" hidden="1" outlineLevel="2" x14ac:dyDescent="0.35">
      <c r="A658" s="339" t="s">
        <v>144</v>
      </c>
      <c r="B658" s="331">
        <v>44376</v>
      </c>
      <c r="C658" s="332" t="s">
        <v>838</v>
      </c>
      <c r="D658" s="332" t="s">
        <v>1081</v>
      </c>
      <c r="E658" s="332" t="s">
        <v>1000</v>
      </c>
      <c r="F658" s="336">
        <v>10000</v>
      </c>
      <c r="G658" s="330" t="s">
        <v>236</v>
      </c>
      <c r="H658" s="329">
        <v>8.5263498645819045</v>
      </c>
      <c r="I658" s="338"/>
      <c r="J658" s="338">
        <v>8.5263498645819045</v>
      </c>
      <c r="K658" s="338"/>
      <c r="L658" s="338"/>
      <c r="M658" s="336"/>
    </row>
    <row r="659" spans="1:13" hidden="1" outlineLevel="2" x14ac:dyDescent="0.35">
      <c r="A659" s="339" t="s">
        <v>144</v>
      </c>
      <c r="B659" s="331">
        <v>44367</v>
      </c>
      <c r="C659" s="332" t="s">
        <v>838</v>
      </c>
      <c r="D659" s="332" t="s">
        <v>1081</v>
      </c>
      <c r="E659" s="332" t="s">
        <v>998</v>
      </c>
      <c r="F659" s="336">
        <v>5000</v>
      </c>
      <c r="G659" s="330" t="s">
        <v>236</v>
      </c>
      <c r="H659" s="329">
        <v>4.2631749322909522</v>
      </c>
      <c r="I659" s="338"/>
      <c r="J659" s="338">
        <v>4.2631749322909522</v>
      </c>
      <c r="K659" s="338"/>
      <c r="L659" s="338"/>
      <c r="M659" s="336"/>
    </row>
    <row r="660" spans="1:13" hidden="1" outlineLevel="2" x14ac:dyDescent="0.35">
      <c r="A660" s="339" t="s">
        <v>144</v>
      </c>
      <c r="B660" s="331">
        <v>44375</v>
      </c>
      <c r="C660" s="332" t="s">
        <v>838</v>
      </c>
      <c r="D660" s="332" t="s">
        <v>1081</v>
      </c>
      <c r="E660" s="332" t="s">
        <v>1067</v>
      </c>
      <c r="F660" s="336">
        <v>10000</v>
      </c>
      <c r="G660" s="330" t="s">
        <v>236</v>
      </c>
      <c r="H660" s="329">
        <v>8.5263498645819045</v>
      </c>
      <c r="I660" s="338"/>
      <c r="J660" s="338">
        <v>8.5263498645819045</v>
      </c>
      <c r="K660" s="338"/>
      <c r="L660" s="338"/>
      <c r="M660" s="336"/>
    </row>
    <row r="661" spans="1:13" hidden="1" outlineLevel="2" x14ac:dyDescent="0.35">
      <c r="A661" s="339" t="s">
        <v>144</v>
      </c>
      <c r="B661" s="331">
        <v>44368</v>
      </c>
      <c r="C661" s="332" t="s">
        <v>838</v>
      </c>
      <c r="D661" s="332" t="s">
        <v>1081</v>
      </c>
      <c r="E661" s="332" t="s">
        <v>1000</v>
      </c>
      <c r="F661" s="336">
        <v>15000</v>
      </c>
      <c r="G661" s="330" t="s">
        <v>236</v>
      </c>
      <c r="H661" s="329">
        <v>12.789524796872858</v>
      </c>
      <c r="I661" s="338"/>
      <c r="J661" s="338">
        <v>12.789524796872858</v>
      </c>
      <c r="K661" s="338"/>
      <c r="L661" s="338"/>
      <c r="M661" s="336"/>
    </row>
    <row r="662" spans="1:13" hidden="1" outlineLevel="2" x14ac:dyDescent="0.35">
      <c r="A662" s="339" t="s">
        <v>144</v>
      </c>
      <c r="B662" s="331">
        <v>44379</v>
      </c>
      <c r="C662" s="332" t="s">
        <v>838</v>
      </c>
      <c r="D662" s="332" t="s">
        <v>1081</v>
      </c>
      <c r="E662" s="332" t="s">
        <v>1083</v>
      </c>
      <c r="F662" s="336">
        <v>10000</v>
      </c>
      <c r="G662" s="330" t="s">
        <v>236</v>
      </c>
      <c r="H662" s="329">
        <v>8.5263498645819045</v>
      </c>
      <c r="I662" s="338"/>
      <c r="J662" s="338">
        <v>8.5263498645819045</v>
      </c>
      <c r="K662" s="338"/>
      <c r="L662" s="338"/>
      <c r="M662" s="336"/>
    </row>
    <row r="663" spans="1:13" hidden="1" outlineLevel="2" x14ac:dyDescent="0.35">
      <c r="A663" s="339" t="s">
        <v>144</v>
      </c>
      <c r="B663" s="331">
        <v>44367</v>
      </c>
      <c r="C663" s="332" t="s">
        <v>838</v>
      </c>
      <c r="D663" s="332" t="s">
        <v>1081</v>
      </c>
      <c r="E663" s="332" t="s">
        <v>1000</v>
      </c>
      <c r="F663" s="336">
        <v>15000</v>
      </c>
      <c r="G663" s="330" t="s">
        <v>236</v>
      </c>
      <c r="H663" s="329">
        <v>12.789524796872858</v>
      </c>
      <c r="I663" s="338"/>
      <c r="J663" s="338">
        <v>12.789524796872858</v>
      </c>
      <c r="K663" s="338"/>
      <c r="L663" s="338"/>
      <c r="M663" s="336"/>
    </row>
    <row r="664" spans="1:13" hidden="1" outlineLevel="2" x14ac:dyDescent="0.35">
      <c r="A664" s="339" t="s">
        <v>144</v>
      </c>
      <c r="B664" s="331">
        <v>44380</v>
      </c>
      <c r="C664" s="332" t="s">
        <v>838</v>
      </c>
      <c r="D664" s="332" t="s">
        <v>1081</v>
      </c>
      <c r="E664" s="332" t="s">
        <v>1000</v>
      </c>
      <c r="F664" s="336">
        <v>15000</v>
      </c>
      <c r="G664" s="330" t="s">
        <v>236</v>
      </c>
      <c r="H664" s="329">
        <v>12.789524796872858</v>
      </c>
      <c r="I664" s="338"/>
      <c r="J664" s="338">
        <v>12.789524796872858</v>
      </c>
      <c r="K664" s="338"/>
      <c r="L664" s="338"/>
      <c r="M664" s="336"/>
    </row>
    <row r="665" spans="1:13" hidden="1" outlineLevel="2" x14ac:dyDescent="0.35">
      <c r="A665" s="339" t="s">
        <v>144</v>
      </c>
      <c r="B665" s="331">
        <v>44378</v>
      </c>
      <c r="C665" s="332" t="s">
        <v>838</v>
      </c>
      <c r="D665" s="332" t="s">
        <v>1081</v>
      </c>
      <c r="E665" s="332" t="s">
        <v>1000</v>
      </c>
      <c r="F665" s="336">
        <v>15000</v>
      </c>
      <c r="G665" s="330" t="s">
        <v>236</v>
      </c>
      <c r="H665" s="329">
        <v>12.789524796872858</v>
      </c>
      <c r="I665" s="338"/>
      <c r="J665" s="338">
        <v>12.789524796872858</v>
      </c>
      <c r="K665" s="338"/>
      <c r="L665" s="338"/>
      <c r="M665" s="336"/>
    </row>
    <row r="666" spans="1:13" hidden="1" outlineLevel="2" x14ac:dyDescent="0.35">
      <c r="A666" s="339" t="s">
        <v>144</v>
      </c>
      <c r="B666" s="331">
        <v>44372</v>
      </c>
      <c r="C666" s="332" t="s">
        <v>838</v>
      </c>
      <c r="D666" s="332" t="s">
        <v>1081</v>
      </c>
      <c r="E666" s="332" t="s">
        <v>662</v>
      </c>
      <c r="F666" s="336">
        <v>20000</v>
      </c>
      <c r="G666" s="330" t="s">
        <v>236</v>
      </c>
      <c r="H666" s="329">
        <v>17.052699729163809</v>
      </c>
      <c r="I666" s="338"/>
      <c r="J666" s="338">
        <v>17.052699729163809</v>
      </c>
      <c r="K666" s="338"/>
      <c r="L666" s="338"/>
      <c r="M666" s="336"/>
    </row>
    <row r="667" spans="1:13" hidden="1" outlineLevel="2" x14ac:dyDescent="0.35">
      <c r="A667" s="339" t="s">
        <v>144</v>
      </c>
      <c r="B667" s="331">
        <v>44285</v>
      </c>
      <c r="C667" s="332" t="s">
        <v>1084</v>
      </c>
      <c r="D667" s="332" t="s">
        <v>1085</v>
      </c>
      <c r="E667" s="332" t="s">
        <v>369</v>
      </c>
      <c r="F667" s="336">
        <v>1308340</v>
      </c>
      <c r="G667" s="330" t="s">
        <v>236</v>
      </c>
      <c r="H667" s="329">
        <v>1115.5364581827089</v>
      </c>
      <c r="I667" s="338"/>
      <c r="J667" s="338">
        <v>1115.5364581827089</v>
      </c>
      <c r="K667" s="338"/>
      <c r="L667" s="338"/>
      <c r="M667" s="336"/>
    </row>
    <row r="668" spans="1:13" hidden="1" outlineLevel="2" x14ac:dyDescent="0.35">
      <c r="A668" s="339" t="s">
        <v>144</v>
      </c>
      <c r="B668" s="331">
        <v>44285</v>
      </c>
      <c r="C668" s="332" t="s">
        <v>1084</v>
      </c>
      <c r="D668" s="332" t="s">
        <v>1085</v>
      </c>
      <c r="E668" s="332" t="s">
        <v>369</v>
      </c>
      <c r="F668" s="336">
        <v>1278292</v>
      </c>
      <c r="G668" s="330" t="s">
        <v>236</v>
      </c>
      <c r="H668" s="329">
        <v>1089.9164821096133</v>
      </c>
      <c r="I668" s="338"/>
      <c r="J668" s="338">
        <v>1089.9164821096133</v>
      </c>
      <c r="K668" s="338"/>
      <c r="L668" s="338"/>
      <c r="M668" s="336"/>
    </row>
    <row r="669" spans="1:13" hidden="1" outlineLevel="2" x14ac:dyDescent="0.35">
      <c r="A669" s="339" t="s">
        <v>144</v>
      </c>
      <c r="B669" s="331">
        <v>44285</v>
      </c>
      <c r="C669" s="332" t="s">
        <v>1084</v>
      </c>
      <c r="D669" s="332" t="s">
        <v>1085</v>
      </c>
      <c r="E669" s="332" t="s">
        <v>369</v>
      </c>
      <c r="F669" s="336">
        <v>1252000</v>
      </c>
      <c r="G669" s="330" t="s">
        <v>236</v>
      </c>
      <c r="H669" s="329">
        <v>1067.4990030456545</v>
      </c>
      <c r="I669" s="338"/>
      <c r="J669" s="338">
        <v>1067.4990030456545</v>
      </c>
      <c r="K669" s="338"/>
      <c r="L669" s="338"/>
      <c r="M669" s="336"/>
    </row>
    <row r="670" spans="1:13" hidden="1" outlineLevel="2" x14ac:dyDescent="0.35">
      <c r="A670" s="339" t="s">
        <v>144</v>
      </c>
      <c r="B670" s="327">
        <v>44285</v>
      </c>
      <c r="C670" s="328" t="s">
        <v>1084</v>
      </c>
      <c r="D670" s="328" t="s">
        <v>1085</v>
      </c>
      <c r="E670" s="328" t="s">
        <v>369</v>
      </c>
      <c r="F670" s="338">
        <v>1252000</v>
      </c>
      <c r="G670" s="330" t="s">
        <v>236</v>
      </c>
      <c r="H670" s="329">
        <v>1067.4990030456545</v>
      </c>
      <c r="I670" s="338"/>
      <c r="J670" s="338">
        <v>1067.4990030456545</v>
      </c>
      <c r="K670" s="338"/>
      <c r="L670" s="338"/>
      <c r="M670" s="338"/>
    </row>
    <row r="671" spans="1:13" hidden="1" outlineLevel="2" x14ac:dyDescent="0.35">
      <c r="A671" s="339" t="s">
        <v>144</v>
      </c>
      <c r="B671" s="331">
        <v>44285</v>
      </c>
      <c r="C671" s="332" t="s">
        <v>1084</v>
      </c>
      <c r="D671" s="332" t="s">
        <v>1085</v>
      </c>
      <c r="E671" s="332" t="s">
        <v>369</v>
      </c>
      <c r="F671" s="336">
        <v>266676</v>
      </c>
      <c r="G671" s="330" t="s">
        <v>236</v>
      </c>
      <c r="H671" s="329">
        <v>227.3772876487244</v>
      </c>
      <c r="I671" s="338"/>
      <c r="J671" s="338">
        <v>227.3772876487244</v>
      </c>
      <c r="K671" s="338"/>
      <c r="L671" s="338"/>
      <c r="M671" s="336"/>
    </row>
    <row r="672" spans="1:13" hidden="1" outlineLevel="2" x14ac:dyDescent="0.35">
      <c r="A672" s="339" t="s">
        <v>144</v>
      </c>
      <c r="B672" s="331">
        <v>44285</v>
      </c>
      <c r="C672" s="332" t="s">
        <v>1084</v>
      </c>
      <c r="D672" s="332" t="s">
        <v>1085</v>
      </c>
      <c r="E672" s="332" t="s">
        <v>369</v>
      </c>
      <c r="F672" s="336">
        <v>1245740</v>
      </c>
      <c r="G672" s="330" t="s">
        <v>236</v>
      </c>
      <c r="H672" s="329">
        <v>1062.1615080304261</v>
      </c>
      <c r="I672" s="338"/>
      <c r="J672" s="338">
        <v>1062.1615080304261</v>
      </c>
      <c r="K672" s="338"/>
      <c r="L672" s="338"/>
      <c r="M672" s="336"/>
    </row>
    <row r="673" spans="1:13" outlineLevel="1" collapsed="1" x14ac:dyDescent="0.35">
      <c r="A673" s="343" t="s">
        <v>1086</v>
      </c>
      <c r="B673" s="331"/>
      <c r="C673" s="332"/>
      <c r="D673" s="332"/>
      <c r="E673" s="332"/>
      <c r="F673" s="336"/>
      <c r="G673" s="330"/>
      <c r="H673" s="329">
        <f t="shared" ref="H673:M673" si="23">SUBTOTAL(9,H539:H672)</f>
        <v>11918.600789955135</v>
      </c>
      <c r="I673" s="338">
        <f t="shared" si="23"/>
        <v>0</v>
      </c>
      <c r="J673" s="338">
        <f t="shared" si="23"/>
        <v>11918.600789955135</v>
      </c>
      <c r="K673" s="338">
        <f t="shared" si="23"/>
        <v>0</v>
      </c>
      <c r="L673" s="338">
        <f t="shared" si="23"/>
        <v>0</v>
      </c>
      <c r="M673" s="336">
        <f t="shared" si="23"/>
        <v>0</v>
      </c>
    </row>
    <row r="674" spans="1:13" hidden="1" outlineLevel="2" x14ac:dyDescent="0.35">
      <c r="A674" s="339" t="s">
        <v>224</v>
      </c>
      <c r="B674" s="331">
        <v>43738</v>
      </c>
      <c r="C674" s="332" t="s">
        <v>1087</v>
      </c>
      <c r="D674" s="332" t="s">
        <v>1088</v>
      </c>
      <c r="E674" s="332" t="s">
        <v>1089</v>
      </c>
      <c r="F674" s="336">
        <v>499.08</v>
      </c>
      <c r="G674" s="330" t="s">
        <v>56</v>
      </c>
      <c r="H674" s="329">
        <v>499.08</v>
      </c>
      <c r="I674" s="338">
        <f t="shared" ref="I674:L684" si="24">$H674/4</f>
        <v>124.77</v>
      </c>
      <c r="J674" s="338">
        <f t="shared" si="24"/>
        <v>124.77</v>
      </c>
      <c r="K674" s="338">
        <f t="shared" si="24"/>
        <v>124.77</v>
      </c>
      <c r="L674" s="338">
        <f t="shared" si="24"/>
        <v>124.77</v>
      </c>
      <c r="M674" s="332"/>
    </row>
    <row r="675" spans="1:13" hidden="1" outlineLevel="2" x14ac:dyDescent="0.35">
      <c r="A675" s="339" t="s">
        <v>224</v>
      </c>
      <c r="B675" s="331">
        <v>43830</v>
      </c>
      <c r="C675" s="332" t="s">
        <v>1090</v>
      </c>
      <c r="D675" s="332" t="s">
        <v>1091</v>
      </c>
      <c r="E675" s="332" t="s">
        <v>1089</v>
      </c>
      <c r="F675" s="336">
        <v>499.08</v>
      </c>
      <c r="G675" s="330" t="s">
        <v>56</v>
      </c>
      <c r="H675" s="329">
        <v>499.08</v>
      </c>
      <c r="I675" s="338">
        <f t="shared" si="24"/>
        <v>124.77</v>
      </c>
      <c r="J675" s="338">
        <f t="shared" si="24"/>
        <v>124.77</v>
      </c>
      <c r="K675" s="338">
        <f t="shared" si="24"/>
        <v>124.77</v>
      </c>
      <c r="L675" s="338">
        <f t="shared" si="24"/>
        <v>124.77</v>
      </c>
      <c r="M675" s="332"/>
    </row>
    <row r="676" spans="1:13" hidden="1" outlineLevel="2" x14ac:dyDescent="0.35">
      <c r="A676" s="339" t="s">
        <v>224</v>
      </c>
      <c r="B676" s="331">
        <v>43921</v>
      </c>
      <c r="C676" s="332" t="s">
        <v>1092</v>
      </c>
      <c r="D676" s="332" t="s">
        <v>1093</v>
      </c>
      <c r="E676" s="332" t="s">
        <v>1089</v>
      </c>
      <c r="F676" s="336">
        <v>598.89</v>
      </c>
      <c r="G676" s="330" t="s">
        <v>56</v>
      </c>
      <c r="H676" s="329">
        <v>598.89</v>
      </c>
      <c r="I676" s="338">
        <f t="shared" si="24"/>
        <v>149.7225</v>
      </c>
      <c r="J676" s="338">
        <f t="shared" si="24"/>
        <v>149.7225</v>
      </c>
      <c r="K676" s="338">
        <f t="shared" si="24"/>
        <v>149.7225</v>
      </c>
      <c r="L676" s="338">
        <f t="shared" si="24"/>
        <v>149.7225</v>
      </c>
      <c r="M676" s="332"/>
    </row>
    <row r="677" spans="1:13" hidden="1" outlineLevel="2" x14ac:dyDescent="0.35">
      <c r="A677" s="339" t="s">
        <v>224</v>
      </c>
      <c r="B677" s="344">
        <v>44012</v>
      </c>
      <c r="C677" s="345" t="s">
        <v>1094</v>
      </c>
      <c r="D677" s="345" t="s">
        <v>1095</v>
      </c>
      <c r="E677" s="345" t="s">
        <v>1089</v>
      </c>
      <c r="F677" s="346">
        <v>598.89</v>
      </c>
      <c r="G677" s="330" t="s">
        <v>56</v>
      </c>
      <c r="H677" s="329">
        <v>598.89</v>
      </c>
      <c r="I677" s="338">
        <f t="shared" si="24"/>
        <v>149.7225</v>
      </c>
      <c r="J677" s="338">
        <f t="shared" si="24"/>
        <v>149.7225</v>
      </c>
      <c r="K677" s="338">
        <f t="shared" si="24"/>
        <v>149.7225</v>
      </c>
      <c r="L677" s="338">
        <f t="shared" si="24"/>
        <v>149.7225</v>
      </c>
      <c r="M677" s="345"/>
    </row>
    <row r="678" spans="1:13" hidden="1" outlineLevel="2" x14ac:dyDescent="0.35">
      <c r="A678" s="339" t="s">
        <v>224</v>
      </c>
      <c r="B678" s="331">
        <v>44104</v>
      </c>
      <c r="C678" s="332" t="s">
        <v>1096</v>
      </c>
      <c r="D678" s="332" t="s">
        <v>1097</v>
      </c>
      <c r="E678" s="332" t="s">
        <v>1098</v>
      </c>
      <c r="F678" s="336">
        <v>349.35</v>
      </c>
      <c r="G678" s="330" t="s">
        <v>56</v>
      </c>
      <c r="H678" s="329">
        <v>349.35</v>
      </c>
      <c r="I678" s="338">
        <f t="shared" si="24"/>
        <v>87.337500000000006</v>
      </c>
      <c r="J678" s="338">
        <f t="shared" si="24"/>
        <v>87.337500000000006</v>
      </c>
      <c r="K678" s="338">
        <f t="shared" si="24"/>
        <v>87.337500000000006</v>
      </c>
      <c r="L678" s="338">
        <f t="shared" si="24"/>
        <v>87.337500000000006</v>
      </c>
      <c r="M678" s="332"/>
    </row>
    <row r="679" spans="1:13" hidden="1" outlineLevel="2" x14ac:dyDescent="0.35">
      <c r="A679" s="339" t="s">
        <v>224</v>
      </c>
      <c r="B679" s="331">
        <v>44196</v>
      </c>
      <c r="C679" s="332" t="s">
        <v>1099</v>
      </c>
      <c r="D679" s="332" t="s">
        <v>1100</v>
      </c>
      <c r="E679" s="332" t="s">
        <v>1089</v>
      </c>
      <c r="F679" s="336">
        <v>349.35</v>
      </c>
      <c r="G679" s="330" t="s">
        <v>56</v>
      </c>
      <c r="H679" s="329">
        <v>349.35</v>
      </c>
      <c r="I679" s="338">
        <f t="shared" si="24"/>
        <v>87.337500000000006</v>
      </c>
      <c r="J679" s="338">
        <f t="shared" si="24"/>
        <v>87.337500000000006</v>
      </c>
      <c r="K679" s="338">
        <f t="shared" si="24"/>
        <v>87.337500000000006</v>
      </c>
      <c r="L679" s="338">
        <f t="shared" si="24"/>
        <v>87.337500000000006</v>
      </c>
      <c r="M679" s="332"/>
    </row>
    <row r="680" spans="1:13" hidden="1" outlineLevel="2" x14ac:dyDescent="0.35">
      <c r="A680" s="339" t="s">
        <v>224</v>
      </c>
      <c r="B680" s="331">
        <v>44286</v>
      </c>
      <c r="C680" s="332" t="s">
        <v>1101</v>
      </c>
      <c r="D680" s="332" t="s">
        <v>1102</v>
      </c>
      <c r="E680" s="332" t="s">
        <v>1089</v>
      </c>
      <c r="F680" s="336">
        <v>474.12</v>
      </c>
      <c r="G680" s="330" t="s">
        <v>56</v>
      </c>
      <c r="H680" s="329">
        <v>474.12</v>
      </c>
      <c r="I680" s="338">
        <f t="shared" si="24"/>
        <v>118.53</v>
      </c>
      <c r="J680" s="338">
        <f t="shared" si="24"/>
        <v>118.53</v>
      </c>
      <c r="K680" s="338">
        <f t="shared" si="24"/>
        <v>118.53</v>
      </c>
      <c r="L680" s="338">
        <f t="shared" si="24"/>
        <v>118.53</v>
      </c>
      <c r="M680" s="332"/>
    </row>
    <row r="681" spans="1:13" hidden="1" outlineLevel="2" x14ac:dyDescent="0.35">
      <c r="A681" s="339" t="s">
        <v>224</v>
      </c>
      <c r="B681" s="344">
        <v>44377</v>
      </c>
      <c r="C681" s="345" t="s">
        <v>1103</v>
      </c>
      <c r="D681" s="345" t="s">
        <v>1104</v>
      </c>
      <c r="E681" s="345" t="s">
        <v>1089</v>
      </c>
      <c r="F681" s="346">
        <v>474.12</v>
      </c>
      <c r="G681" s="330" t="s">
        <v>56</v>
      </c>
      <c r="H681" s="329">
        <v>474.12</v>
      </c>
      <c r="I681" s="338">
        <f t="shared" si="24"/>
        <v>118.53</v>
      </c>
      <c r="J681" s="338">
        <f t="shared" si="24"/>
        <v>118.53</v>
      </c>
      <c r="K681" s="338">
        <f t="shared" si="24"/>
        <v>118.53</v>
      </c>
      <c r="L681" s="338">
        <f t="shared" si="24"/>
        <v>118.53</v>
      </c>
      <c r="M681" s="345"/>
    </row>
    <row r="682" spans="1:13" hidden="1" outlineLevel="2" x14ac:dyDescent="0.35">
      <c r="A682" s="339" t="s">
        <v>224</v>
      </c>
      <c r="B682" s="331">
        <v>44469</v>
      </c>
      <c r="C682" s="332" t="s">
        <v>1105</v>
      </c>
      <c r="D682" s="332" t="s">
        <v>1106</v>
      </c>
      <c r="E682" s="332" t="s">
        <v>1089</v>
      </c>
      <c r="F682" s="336">
        <v>401.18</v>
      </c>
      <c r="G682" s="330" t="s">
        <v>56</v>
      </c>
      <c r="H682" s="329">
        <v>401.18</v>
      </c>
      <c r="I682" s="338">
        <f t="shared" si="24"/>
        <v>100.295</v>
      </c>
      <c r="J682" s="338">
        <f t="shared" si="24"/>
        <v>100.295</v>
      </c>
      <c r="K682" s="338">
        <f t="shared" si="24"/>
        <v>100.295</v>
      </c>
      <c r="L682" s="338">
        <f t="shared" si="24"/>
        <v>100.295</v>
      </c>
      <c r="M682" s="332"/>
    </row>
    <row r="683" spans="1:13" hidden="1" outlineLevel="2" x14ac:dyDescent="0.35">
      <c r="A683" s="339" t="s">
        <v>224</v>
      </c>
      <c r="B683" s="331">
        <v>44561</v>
      </c>
      <c r="C683" s="332" t="s">
        <v>1107</v>
      </c>
      <c r="D683" s="332" t="s">
        <v>1108</v>
      </c>
      <c r="E683" s="332" t="s">
        <v>1089</v>
      </c>
      <c r="F683" s="336">
        <v>200.59</v>
      </c>
      <c r="G683" s="330" t="s">
        <v>56</v>
      </c>
      <c r="H683" s="329">
        <v>200.59</v>
      </c>
      <c r="I683" s="338">
        <f t="shared" si="24"/>
        <v>50.147500000000001</v>
      </c>
      <c r="J683" s="338">
        <f t="shared" si="24"/>
        <v>50.147500000000001</v>
      </c>
      <c r="K683" s="338">
        <f t="shared" si="24"/>
        <v>50.147500000000001</v>
      </c>
      <c r="L683" s="338">
        <f t="shared" si="24"/>
        <v>50.147500000000001</v>
      </c>
      <c r="M683" s="332"/>
    </row>
    <row r="684" spans="1:13" hidden="1" outlineLevel="2" x14ac:dyDescent="0.35">
      <c r="A684" s="339" t="s">
        <v>224</v>
      </c>
      <c r="B684" s="344">
        <v>44561</v>
      </c>
      <c r="C684" s="345" t="s">
        <v>1109</v>
      </c>
      <c r="D684" s="345" t="s">
        <v>1110</v>
      </c>
      <c r="E684" s="345" t="s">
        <v>1089</v>
      </c>
      <c r="F684" s="346">
        <v>200.59</v>
      </c>
      <c r="G684" s="330" t="s">
        <v>56</v>
      </c>
      <c r="H684" s="329">
        <v>200.59</v>
      </c>
      <c r="I684" s="338">
        <f t="shared" si="24"/>
        <v>50.147500000000001</v>
      </c>
      <c r="J684" s="338">
        <f t="shared" si="24"/>
        <v>50.147500000000001</v>
      </c>
      <c r="K684" s="338">
        <f t="shared" si="24"/>
        <v>50.147500000000001</v>
      </c>
      <c r="L684" s="338">
        <f t="shared" si="24"/>
        <v>50.147500000000001</v>
      </c>
      <c r="M684" s="345"/>
    </row>
    <row r="685" spans="1:13" outlineLevel="1" collapsed="1" x14ac:dyDescent="0.35">
      <c r="A685" s="343" t="s">
        <v>1111</v>
      </c>
      <c r="B685" s="344"/>
      <c r="C685" s="345"/>
      <c r="D685" s="345"/>
      <c r="E685" s="345"/>
      <c r="F685" s="346"/>
      <c r="G685" s="330"/>
      <c r="H685" s="329">
        <f t="shared" ref="H685:M685" si="25">SUBTOTAL(9,H674:H684)</f>
        <v>4645.24</v>
      </c>
      <c r="I685" s="338">
        <f t="shared" si="25"/>
        <v>1161.31</v>
      </c>
      <c r="J685" s="338">
        <f t="shared" si="25"/>
        <v>1161.31</v>
      </c>
      <c r="K685" s="338">
        <f t="shared" si="25"/>
        <v>1161.31</v>
      </c>
      <c r="L685" s="338">
        <f t="shared" si="25"/>
        <v>1161.31</v>
      </c>
      <c r="M685" s="345">
        <f t="shared" si="25"/>
        <v>0</v>
      </c>
    </row>
    <row r="686" spans="1:13" hidden="1" outlineLevel="2" x14ac:dyDescent="0.35">
      <c r="A686" s="339" t="s">
        <v>216</v>
      </c>
      <c r="B686" s="331">
        <v>43921</v>
      </c>
      <c r="C686" s="332" t="s">
        <v>1092</v>
      </c>
      <c r="D686" s="332" t="s">
        <v>1112</v>
      </c>
      <c r="E686" s="332" t="s">
        <v>1113</v>
      </c>
      <c r="F686" s="336">
        <v>4550.66</v>
      </c>
      <c r="G686" s="330" t="s">
        <v>56</v>
      </c>
      <c r="H686" s="329">
        <v>4550.66</v>
      </c>
      <c r="I686" s="338">
        <f t="shared" ref="I686:L691" si="26">$H686/4</f>
        <v>1137.665</v>
      </c>
      <c r="J686" s="338">
        <f t="shared" si="26"/>
        <v>1137.665</v>
      </c>
      <c r="K686" s="338">
        <f t="shared" si="26"/>
        <v>1137.665</v>
      </c>
      <c r="L686" s="338">
        <f t="shared" si="26"/>
        <v>1137.665</v>
      </c>
      <c r="M686" s="332"/>
    </row>
    <row r="687" spans="1:13" hidden="1" outlineLevel="2" x14ac:dyDescent="0.35">
      <c r="A687" s="339" t="s">
        <v>216</v>
      </c>
      <c r="B687" s="331">
        <v>44012</v>
      </c>
      <c r="C687" s="332" t="s">
        <v>1094</v>
      </c>
      <c r="D687" s="332" t="s">
        <v>1114</v>
      </c>
      <c r="E687" s="332" t="s">
        <v>1113</v>
      </c>
      <c r="F687" s="336">
        <v>4550.66</v>
      </c>
      <c r="G687" s="330" t="s">
        <v>56</v>
      </c>
      <c r="H687" s="329">
        <v>4550.66</v>
      </c>
      <c r="I687" s="338">
        <f t="shared" si="26"/>
        <v>1137.665</v>
      </c>
      <c r="J687" s="338">
        <f t="shared" si="26"/>
        <v>1137.665</v>
      </c>
      <c r="K687" s="338">
        <f t="shared" si="26"/>
        <v>1137.665</v>
      </c>
      <c r="L687" s="338">
        <f t="shared" si="26"/>
        <v>1137.665</v>
      </c>
      <c r="M687" s="332"/>
    </row>
    <row r="688" spans="1:13" hidden="1" outlineLevel="2" x14ac:dyDescent="0.35">
      <c r="A688" s="339" t="s">
        <v>216</v>
      </c>
      <c r="B688" s="331">
        <v>44104</v>
      </c>
      <c r="C688" s="332" t="s">
        <v>1096</v>
      </c>
      <c r="D688" s="332" t="s">
        <v>1115</v>
      </c>
      <c r="E688" s="332" t="s">
        <v>1116</v>
      </c>
      <c r="F688" s="336">
        <v>79.959999999999994</v>
      </c>
      <c r="G688" s="330" t="s">
        <v>56</v>
      </c>
      <c r="H688" s="329">
        <v>79.959999999999994</v>
      </c>
      <c r="I688" s="338">
        <f t="shared" si="26"/>
        <v>19.989999999999998</v>
      </c>
      <c r="J688" s="338">
        <f t="shared" si="26"/>
        <v>19.989999999999998</v>
      </c>
      <c r="K688" s="338">
        <f t="shared" si="26"/>
        <v>19.989999999999998</v>
      </c>
      <c r="L688" s="338">
        <f t="shared" si="26"/>
        <v>19.989999999999998</v>
      </c>
      <c r="M688" s="332"/>
    </row>
    <row r="689" spans="1:13" hidden="1" outlineLevel="2" x14ac:dyDescent="0.35">
      <c r="A689" s="339" t="s">
        <v>216</v>
      </c>
      <c r="B689" s="344">
        <v>44196</v>
      </c>
      <c r="C689" s="345" t="s">
        <v>1099</v>
      </c>
      <c r="D689" s="345" t="s">
        <v>1117</v>
      </c>
      <c r="E689" s="345" t="s">
        <v>1113</v>
      </c>
      <c r="F689" s="346">
        <v>79.959999999999994</v>
      </c>
      <c r="G689" s="330" t="s">
        <v>56</v>
      </c>
      <c r="H689" s="329">
        <v>79.959999999999994</v>
      </c>
      <c r="I689" s="338">
        <f t="shared" si="26"/>
        <v>19.989999999999998</v>
      </c>
      <c r="J689" s="338">
        <f t="shared" si="26"/>
        <v>19.989999999999998</v>
      </c>
      <c r="K689" s="338">
        <f t="shared" si="26"/>
        <v>19.989999999999998</v>
      </c>
      <c r="L689" s="338">
        <f t="shared" si="26"/>
        <v>19.989999999999998</v>
      </c>
      <c r="M689" s="345"/>
    </row>
    <row r="690" spans="1:13" hidden="1" outlineLevel="2" x14ac:dyDescent="0.35">
      <c r="A690" s="339" t="s">
        <v>216</v>
      </c>
      <c r="B690" s="331">
        <v>44469</v>
      </c>
      <c r="C690" s="332" t="s">
        <v>1118</v>
      </c>
      <c r="D690" s="332" t="s">
        <v>1119</v>
      </c>
      <c r="E690" s="332" t="s">
        <v>1120</v>
      </c>
      <c r="F690" s="336">
        <v>4274.42</v>
      </c>
      <c r="G690" s="330" t="s">
        <v>56</v>
      </c>
      <c r="H690" s="329">
        <v>4274.42</v>
      </c>
      <c r="I690" s="338">
        <f t="shared" si="26"/>
        <v>1068.605</v>
      </c>
      <c r="J690" s="338">
        <f t="shared" si="26"/>
        <v>1068.605</v>
      </c>
      <c r="K690" s="338">
        <f t="shared" si="26"/>
        <v>1068.605</v>
      </c>
      <c r="L690" s="338">
        <f t="shared" si="26"/>
        <v>1068.605</v>
      </c>
      <c r="M690" s="332"/>
    </row>
    <row r="691" spans="1:13" hidden="1" outlineLevel="2" x14ac:dyDescent="0.35">
      <c r="A691" s="339" t="s">
        <v>216</v>
      </c>
      <c r="B691" s="331">
        <v>44561</v>
      </c>
      <c r="C691" s="332" t="s">
        <v>1121</v>
      </c>
      <c r="D691" s="332" t="s">
        <v>1122</v>
      </c>
      <c r="E691" s="332" t="s">
        <v>1120</v>
      </c>
      <c r="F691" s="336">
        <v>2137.21</v>
      </c>
      <c r="G691" s="330" t="s">
        <v>56</v>
      </c>
      <c r="H691" s="329">
        <v>2137.21</v>
      </c>
      <c r="I691" s="338">
        <f t="shared" si="26"/>
        <v>534.30250000000001</v>
      </c>
      <c r="J691" s="338">
        <f t="shared" si="26"/>
        <v>534.30250000000001</v>
      </c>
      <c r="K691" s="338">
        <f t="shared" si="26"/>
        <v>534.30250000000001</v>
      </c>
      <c r="L691" s="338">
        <f t="shared" si="26"/>
        <v>534.30250000000001</v>
      </c>
      <c r="M691" s="332"/>
    </row>
    <row r="692" spans="1:13" outlineLevel="1" collapsed="1" x14ac:dyDescent="0.35">
      <c r="A692" s="343" t="s">
        <v>1123</v>
      </c>
      <c r="B692" s="331"/>
      <c r="C692" s="332"/>
      <c r="D692" s="332"/>
      <c r="E692" s="332"/>
      <c r="F692" s="336"/>
      <c r="G692" s="330"/>
      <c r="H692" s="329">
        <f t="shared" ref="H692:M692" si="27">SUBTOTAL(9,H686:H691)</f>
        <v>15672.869999999999</v>
      </c>
      <c r="I692" s="338">
        <f t="shared" si="27"/>
        <v>3918.2174999999997</v>
      </c>
      <c r="J692" s="338">
        <f t="shared" si="27"/>
        <v>3918.2174999999997</v>
      </c>
      <c r="K692" s="338">
        <f t="shared" si="27"/>
        <v>3918.2174999999997</v>
      </c>
      <c r="L692" s="338">
        <f t="shared" si="27"/>
        <v>3918.2174999999997</v>
      </c>
      <c r="M692" s="332">
        <f t="shared" si="27"/>
        <v>0</v>
      </c>
    </row>
    <row r="693" spans="1:13" hidden="1" outlineLevel="2" x14ac:dyDescent="0.35">
      <c r="A693" s="339" t="s">
        <v>161</v>
      </c>
      <c r="B693" s="331">
        <v>44153</v>
      </c>
      <c r="C693" s="332" t="s">
        <v>1124</v>
      </c>
      <c r="D693" s="332" t="s">
        <v>1125</v>
      </c>
      <c r="E693" s="332" t="s">
        <v>1126</v>
      </c>
      <c r="F693" s="336">
        <v>190000</v>
      </c>
      <c r="G693" s="330" t="s">
        <v>236</v>
      </c>
      <c r="H693" s="329">
        <v>176.52143972278958</v>
      </c>
      <c r="I693" s="338"/>
      <c r="J693" s="338"/>
      <c r="K693" s="338">
        <v>176.52143972278958</v>
      </c>
      <c r="L693" s="338"/>
      <c r="M693" s="336"/>
    </row>
    <row r="694" spans="1:13" outlineLevel="1" collapsed="1" x14ac:dyDescent="0.35">
      <c r="A694" s="343" t="s">
        <v>1127</v>
      </c>
      <c r="B694" s="344"/>
      <c r="C694" s="345"/>
      <c r="D694" s="345"/>
      <c r="E694" s="345"/>
      <c r="F694" s="346"/>
      <c r="G694" s="330"/>
      <c r="H694" s="329">
        <f t="shared" ref="H694:M694" si="28">SUBTOTAL(9,H693:H693)</f>
        <v>176.52143972278958</v>
      </c>
      <c r="I694" s="338">
        <f t="shared" si="28"/>
        <v>0</v>
      </c>
      <c r="J694" s="338">
        <f t="shared" si="28"/>
        <v>0</v>
      </c>
      <c r="K694" s="338">
        <f t="shared" si="28"/>
        <v>176.52143972278958</v>
      </c>
      <c r="L694" s="338">
        <f t="shared" si="28"/>
        <v>0</v>
      </c>
      <c r="M694" s="346">
        <f t="shared" si="28"/>
        <v>0</v>
      </c>
    </row>
    <row r="695" spans="1:13" hidden="1" outlineLevel="2" x14ac:dyDescent="0.35">
      <c r="A695" s="339" t="s">
        <v>159</v>
      </c>
      <c r="B695" s="344">
        <v>44069</v>
      </c>
      <c r="C695" s="345" t="s">
        <v>1128</v>
      </c>
      <c r="D695" s="345" t="s">
        <v>1129</v>
      </c>
      <c r="E695" s="345" t="s">
        <v>472</v>
      </c>
      <c r="F695" s="346">
        <v>985950</v>
      </c>
      <c r="G695" s="330" t="s">
        <v>236</v>
      </c>
      <c r="H695" s="329">
        <v>916.00691312991785</v>
      </c>
      <c r="I695" s="338"/>
      <c r="J695" s="338"/>
      <c r="K695" s="338">
        <v>916.00691312991785</v>
      </c>
      <c r="L695" s="338"/>
      <c r="M695" s="346"/>
    </row>
    <row r="696" spans="1:13" hidden="1" outlineLevel="2" x14ac:dyDescent="0.35">
      <c r="A696" s="339" t="s">
        <v>159</v>
      </c>
      <c r="B696" s="331">
        <v>43889</v>
      </c>
      <c r="C696" s="332" t="s">
        <v>1130</v>
      </c>
      <c r="D696" s="332" t="s">
        <v>1131</v>
      </c>
      <c r="E696" s="332" t="s">
        <v>701</v>
      </c>
      <c r="F696" s="336">
        <v>80100</v>
      </c>
      <c r="G696" s="330" t="s">
        <v>236</v>
      </c>
      <c r="H696" s="329">
        <v>74.417722746291815</v>
      </c>
      <c r="I696" s="338"/>
      <c r="J696" s="338"/>
      <c r="K696" s="338">
        <v>74.417722746291815</v>
      </c>
      <c r="L696" s="338"/>
      <c r="M696" s="336"/>
    </row>
    <row r="697" spans="1:13" hidden="1" outlineLevel="2" x14ac:dyDescent="0.35">
      <c r="A697" s="339" t="s">
        <v>159</v>
      </c>
      <c r="B697" s="331">
        <v>44041</v>
      </c>
      <c r="C697" s="332" t="s">
        <v>1132</v>
      </c>
      <c r="D697" s="332" t="s">
        <v>1133</v>
      </c>
      <c r="E697" s="332" t="s">
        <v>701</v>
      </c>
      <c r="F697" s="336">
        <v>341020</v>
      </c>
      <c r="G697" s="330" t="s">
        <v>236</v>
      </c>
      <c r="H697" s="329">
        <v>316.8281124961353</v>
      </c>
      <c r="I697" s="338"/>
      <c r="J697" s="338"/>
      <c r="K697" s="338">
        <v>316.8281124961353</v>
      </c>
      <c r="L697" s="338"/>
      <c r="M697" s="336"/>
    </row>
    <row r="698" spans="1:13" hidden="1" outlineLevel="2" x14ac:dyDescent="0.35">
      <c r="A698" s="339" t="s">
        <v>159</v>
      </c>
      <c r="B698" s="331">
        <v>44048</v>
      </c>
      <c r="C698" s="332" t="s">
        <v>1132</v>
      </c>
      <c r="D698" s="332" t="s">
        <v>1133</v>
      </c>
      <c r="E698" s="332" t="s">
        <v>701</v>
      </c>
      <c r="F698" s="336">
        <v>350224</v>
      </c>
      <c r="G698" s="330" t="s">
        <v>236</v>
      </c>
      <c r="H698" s="329">
        <v>325.37918266039082</v>
      </c>
      <c r="I698" s="338"/>
      <c r="J698" s="338"/>
      <c r="K698" s="338">
        <v>325.37918266039082</v>
      </c>
      <c r="L698" s="338"/>
      <c r="M698" s="336"/>
    </row>
    <row r="699" spans="1:13" hidden="1" outlineLevel="2" x14ac:dyDescent="0.35">
      <c r="A699" s="339" t="s">
        <v>159</v>
      </c>
      <c r="B699" s="344">
        <v>44153</v>
      </c>
      <c r="C699" s="345" t="s">
        <v>1134</v>
      </c>
      <c r="D699" s="345" t="s">
        <v>1135</v>
      </c>
      <c r="E699" s="345" t="s">
        <v>701</v>
      </c>
      <c r="F699" s="346">
        <v>42747</v>
      </c>
      <c r="G699" s="330" t="s">
        <v>236</v>
      </c>
      <c r="H699" s="329">
        <v>39.714536757000452</v>
      </c>
      <c r="I699" s="338"/>
      <c r="J699" s="338"/>
      <c r="K699" s="338">
        <v>39.714536757000452</v>
      </c>
      <c r="L699" s="338"/>
      <c r="M699" s="346"/>
    </row>
    <row r="700" spans="1:13" hidden="1" outlineLevel="2" x14ac:dyDescent="0.35">
      <c r="A700" s="339" t="s">
        <v>159</v>
      </c>
      <c r="B700" s="331">
        <v>44153</v>
      </c>
      <c r="C700" s="332" t="s">
        <v>1136</v>
      </c>
      <c r="D700" s="332" t="s">
        <v>1137</v>
      </c>
      <c r="E700" s="332" t="s">
        <v>701</v>
      </c>
      <c r="F700" s="336">
        <v>1104480</v>
      </c>
      <c r="G700" s="330" t="s">
        <v>236</v>
      </c>
      <c r="H700" s="329">
        <v>1026.1284197106665</v>
      </c>
      <c r="I700" s="338"/>
      <c r="J700" s="338"/>
      <c r="K700" s="338">
        <v>1026.1284197106665</v>
      </c>
      <c r="L700" s="338"/>
      <c r="M700" s="336"/>
    </row>
    <row r="701" spans="1:13" hidden="1" outlineLevel="2" x14ac:dyDescent="0.35">
      <c r="A701" s="339" t="s">
        <v>159</v>
      </c>
      <c r="B701" s="344">
        <v>43861</v>
      </c>
      <c r="C701" s="345" t="s">
        <v>913</v>
      </c>
      <c r="D701" s="345" t="s">
        <v>1138</v>
      </c>
      <c r="E701" s="345" t="s">
        <v>472</v>
      </c>
      <c r="F701" s="346">
        <v>1628226</v>
      </c>
      <c r="G701" s="330" t="s">
        <v>236</v>
      </c>
      <c r="H701" s="329">
        <v>1512.7199879688358</v>
      </c>
      <c r="I701" s="338"/>
      <c r="J701" s="338"/>
      <c r="K701" s="338">
        <v>1512.7199879688358</v>
      </c>
      <c r="L701" s="338"/>
      <c r="M701" s="346"/>
    </row>
    <row r="702" spans="1:13" hidden="1" outlineLevel="2" x14ac:dyDescent="0.35">
      <c r="A702" s="339" t="s">
        <v>159</v>
      </c>
      <c r="B702" s="331">
        <v>44165</v>
      </c>
      <c r="C702" s="332" t="s">
        <v>917</v>
      </c>
      <c r="D702" s="332" t="s">
        <v>1139</v>
      </c>
      <c r="E702" s="332" t="s">
        <v>1140</v>
      </c>
      <c r="F702" s="336">
        <v>11894</v>
      </c>
      <c r="G702" s="330" t="s">
        <v>236</v>
      </c>
      <c r="H702" s="329">
        <v>11.050242126646628</v>
      </c>
      <c r="I702" s="338"/>
      <c r="J702" s="338"/>
      <c r="K702" s="338">
        <v>11.050242126646628</v>
      </c>
      <c r="L702" s="338"/>
      <c r="M702" s="336"/>
    </row>
    <row r="703" spans="1:13" hidden="1" outlineLevel="2" x14ac:dyDescent="0.35">
      <c r="A703" s="339" t="s">
        <v>159</v>
      </c>
      <c r="B703" s="344">
        <v>44165</v>
      </c>
      <c r="C703" s="345" t="s">
        <v>317</v>
      </c>
      <c r="D703" s="345" t="s">
        <v>1141</v>
      </c>
      <c r="E703" s="345" t="s">
        <v>1140</v>
      </c>
      <c r="F703" s="346">
        <v>2353134</v>
      </c>
      <c r="G703" s="330" t="s">
        <v>236</v>
      </c>
      <c r="H703" s="329">
        <v>2186.203166003404</v>
      </c>
      <c r="I703" s="338"/>
      <c r="J703" s="338"/>
      <c r="K703" s="338">
        <v>2186.203166003404</v>
      </c>
      <c r="L703" s="338"/>
      <c r="M703" s="336"/>
    </row>
    <row r="704" spans="1:13" hidden="1" outlineLevel="2" x14ac:dyDescent="0.35">
      <c r="A704" s="339" t="s">
        <v>159</v>
      </c>
      <c r="B704" s="344">
        <v>43923</v>
      </c>
      <c r="C704" s="345" t="s">
        <v>1142</v>
      </c>
      <c r="D704" s="345" t="s">
        <v>1143</v>
      </c>
      <c r="E704" s="345" t="s">
        <v>1144</v>
      </c>
      <c r="F704" s="346">
        <v>76500</v>
      </c>
      <c r="G704" s="330" t="s">
        <v>236</v>
      </c>
      <c r="H704" s="329">
        <v>71.073105993649492</v>
      </c>
      <c r="I704" s="338"/>
      <c r="J704" s="338"/>
      <c r="K704" s="338">
        <v>71.073105993649492</v>
      </c>
      <c r="L704" s="338"/>
      <c r="M704" s="336"/>
    </row>
    <row r="705" spans="1:13" hidden="1" outlineLevel="2" x14ac:dyDescent="0.35">
      <c r="A705" s="340" t="s">
        <v>159</v>
      </c>
      <c r="B705" s="327">
        <v>44029</v>
      </c>
      <c r="C705" s="328" t="s">
        <v>948</v>
      </c>
      <c r="D705" s="328" t="s">
        <v>1145</v>
      </c>
      <c r="E705" s="328" t="s">
        <v>436</v>
      </c>
      <c r="F705" s="338">
        <v>114750</v>
      </c>
      <c r="G705" s="330" t="s">
        <v>236</v>
      </c>
      <c r="H705" s="329">
        <v>106.60965899047423</v>
      </c>
      <c r="I705" s="338"/>
      <c r="J705" s="338"/>
      <c r="K705" s="338">
        <v>106.60965899047423</v>
      </c>
      <c r="L705" s="338"/>
      <c r="M705" s="338"/>
    </row>
    <row r="706" spans="1:13" hidden="1" outlineLevel="2" x14ac:dyDescent="0.35">
      <c r="A706" s="335" t="s">
        <v>159</v>
      </c>
      <c r="B706" s="331">
        <v>44039</v>
      </c>
      <c r="C706" s="332" t="s">
        <v>1146</v>
      </c>
      <c r="D706" s="332" t="s">
        <v>1147</v>
      </c>
      <c r="E706" s="332" t="s">
        <v>436</v>
      </c>
      <c r="F706" s="336">
        <v>45600</v>
      </c>
      <c r="G706" s="330" t="s">
        <v>236</v>
      </c>
      <c r="H706" s="329">
        <v>42.365145533469502</v>
      </c>
      <c r="I706" s="336"/>
      <c r="J706" s="338"/>
      <c r="K706" s="336">
        <v>42.365145533469502</v>
      </c>
      <c r="L706" s="336"/>
      <c r="M706" s="336"/>
    </row>
    <row r="707" spans="1:13" hidden="1" outlineLevel="2" x14ac:dyDescent="0.35">
      <c r="A707" s="335" t="s">
        <v>159</v>
      </c>
      <c r="B707" s="331">
        <v>44148</v>
      </c>
      <c r="C707" s="332" t="s">
        <v>1148</v>
      </c>
      <c r="D707" s="332" t="s">
        <v>1149</v>
      </c>
      <c r="E707" s="332" t="s">
        <v>1150</v>
      </c>
      <c r="F707" s="336">
        <v>426700</v>
      </c>
      <c r="G707" s="330" t="s">
        <v>236</v>
      </c>
      <c r="H707" s="329">
        <v>396.42999120902272</v>
      </c>
      <c r="I707" s="336"/>
      <c r="J707" s="338"/>
      <c r="K707" s="336">
        <v>396.42999120902272</v>
      </c>
      <c r="L707" s="336"/>
      <c r="M707" s="336"/>
    </row>
    <row r="708" spans="1:13" hidden="1" outlineLevel="2" x14ac:dyDescent="0.35">
      <c r="A708" s="335" t="s">
        <v>159</v>
      </c>
      <c r="B708" s="331">
        <v>44148</v>
      </c>
      <c r="C708" s="332" t="s">
        <v>927</v>
      </c>
      <c r="D708" s="332" t="s">
        <v>1151</v>
      </c>
      <c r="E708" s="332" t="s">
        <v>1150</v>
      </c>
      <c r="F708" s="336">
        <v>103650</v>
      </c>
      <c r="G708" s="330" t="s">
        <v>236</v>
      </c>
      <c r="H708" s="329">
        <v>96.297090669827057</v>
      </c>
      <c r="I708" s="336"/>
      <c r="J708" s="336"/>
      <c r="K708" s="336">
        <v>96.297090669827057</v>
      </c>
      <c r="L708" s="336"/>
      <c r="M708" s="336"/>
    </row>
    <row r="709" spans="1:13" hidden="1" outlineLevel="2" x14ac:dyDescent="0.35">
      <c r="A709" s="335" t="s">
        <v>159</v>
      </c>
      <c r="B709" s="331">
        <v>44148</v>
      </c>
      <c r="C709" s="332" t="s">
        <v>305</v>
      </c>
      <c r="D709" s="332" t="s">
        <v>1152</v>
      </c>
      <c r="E709" s="332" t="s">
        <v>1150</v>
      </c>
      <c r="F709" s="336">
        <v>127840</v>
      </c>
      <c r="G709" s="330" t="s">
        <v>236</v>
      </c>
      <c r="H709" s="329">
        <v>118.77105712716538</v>
      </c>
      <c r="I709" s="336"/>
      <c r="J709" s="338"/>
      <c r="K709" s="336">
        <v>118.77105712716538</v>
      </c>
      <c r="L709" s="336"/>
      <c r="M709" s="336"/>
    </row>
    <row r="710" spans="1:13" hidden="1" outlineLevel="2" x14ac:dyDescent="0.35">
      <c r="A710" s="335" t="s">
        <v>159</v>
      </c>
      <c r="B710" s="331">
        <v>44153</v>
      </c>
      <c r="C710" s="332" t="s">
        <v>1153</v>
      </c>
      <c r="D710" s="332" t="s">
        <v>1154</v>
      </c>
      <c r="E710" s="332" t="s">
        <v>749</v>
      </c>
      <c r="F710" s="336">
        <v>293000</v>
      </c>
      <c r="G710" s="330" t="s">
        <v>236</v>
      </c>
      <c r="H710" s="329">
        <v>272.21464125672287</v>
      </c>
      <c r="I710" s="336"/>
      <c r="J710" s="338"/>
      <c r="K710" s="336">
        <v>272.21464125672287</v>
      </c>
      <c r="L710" s="336"/>
      <c r="M710" s="336"/>
    </row>
    <row r="711" spans="1:13" hidden="1" outlineLevel="2" x14ac:dyDescent="0.35">
      <c r="A711" s="335" t="s">
        <v>159</v>
      </c>
      <c r="B711" s="331">
        <v>44153</v>
      </c>
      <c r="C711" s="332" t="s">
        <v>1153</v>
      </c>
      <c r="D711" s="332" t="s">
        <v>1154</v>
      </c>
      <c r="E711" s="332" t="s">
        <v>1155</v>
      </c>
      <c r="F711" s="336">
        <v>361000</v>
      </c>
      <c r="G711" s="330" t="s">
        <v>236</v>
      </c>
      <c r="H711" s="329">
        <v>335.3907354733002</v>
      </c>
      <c r="I711" s="336"/>
      <c r="J711" s="338"/>
      <c r="K711" s="336">
        <v>335.3907354733002</v>
      </c>
      <c r="L711" s="336"/>
      <c r="M711" s="336"/>
    </row>
    <row r="712" spans="1:13" hidden="1" outlineLevel="2" x14ac:dyDescent="0.35">
      <c r="A712" s="335" t="s">
        <v>159</v>
      </c>
      <c r="B712" s="331">
        <v>44153</v>
      </c>
      <c r="C712" s="332" t="s">
        <v>1153</v>
      </c>
      <c r="D712" s="332" t="s">
        <v>1154</v>
      </c>
      <c r="E712" s="332" t="s">
        <v>1156</v>
      </c>
      <c r="F712" s="336">
        <v>361000</v>
      </c>
      <c r="G712" s="330" t="s">
        <v>236</v>
      </c>
      <c r="H712" s="329">
        <v>335.3907354733002</v>
      </c>
      <c r="I712" s="336"/>
      <c r="J712" s="338"/>
      <c r="K712" s="336">
        <v>335.3907354733002</v>
      </c>
      <c r="L712" s="336"/>
      <c r="M712" s="336"/>
    </row>
    <row r="713" spans="1:13" hidden="1" outlineLevel="2" x14ac:dyDescent="0.35">
      <c r="A713" s="335" t="s">
        <v>159</v>
      </c>
      <c r="B713" s="331">
        <v>44153</v>
      </c>
      <c r="C713" s="332" t="s">
        <v>1157</v>
      </c>
      <c r="D713" s="332" t="s">
        <v>1158</v>
      </c>
      <c r="E713" s="332" t="s">
        <v>649</v>
      </c>
      <c r="F713" s="336">
        <v>360000</v>
      </c>
      <c r="G713" s="330" t="s">
        <v>236</v>
      </c>
      <c r="H713" s="329">
        <v>334.46167526423289</v>
      </c>
      <c r="I713" s="336"/>
      <c r="J713" s="336"/>
      <c r="K713" s="336">
        <v>334.46167526423289</v>
      </c>
      <c r="L713" s="336"/>
      <c r="M713" s="336"/>
    </row>
    <row r="714" spans="1:13" hidden="1" outlineLevel="2" x14ac:dyDescent="0.35">
      <c r="A714" s="335" t="s">
        <v>159</v>
      </c>
      <c r="B714" s="331">
        <v>44153</v>
      </c>
      <c r="C714" s="332" t="s">
        <v>1159</v>
      </c>
      <c r="D714" s="332" t="s">
        <v>1160</v>
      </c>
      <c r="E714" s="332" t="s">
        <v>1126</v>
      </c>
      <c r="F714" s="336">
        <v>162000</v>
      </c>
      <c r="G714" s="330" t="s">
        <v>236</v>
      </c>
      <c r="H714" s="329">
        <v>150.50775386890481</v>
      </c>
      <c r="I714" s="336"/>
      <c r="J714" s="336"/>
      <c r="K714" s="336">
        <v>150.50775386890481</v>
      </c>
      <c r="L714" s="336"/>
      <c r="M714" s="336"/>
    </row>
    <row r="715" spans="1:13" hidden="1" outlineLevel="2" x14ac:dyDescent="0.35">
      <c r="A715" s="335" t="s">
        <v>159</v>
      </c>
      <c r="B715" s="331">
        <v>44153</v>
      </c>
      <c r="C715" s="332" t="s">
        <v>1159</v>
      </c>
      <c r="D715" s="332" t="s">
        <v>1160</v>
      </c>
      <c r="E715" s="332" t="s">
        <v>1126</v>
      </c>
      <c r="F715" s="336">
        <v>180000</v>
      </c>
      <c r="G715" s="330" t="s">
        <v>236</v>
      </c>
      <c r="H715" s="329">
        <v>167.23083763211645</v>
      </c>
      <c r="I715" s="336"/>
      <c r="J715" s="336"/>
      <c r="K715" s="336">
        <v>167.23083763211645</v>
      </c>
      <c r="L715" s="336"/>
      <c r="M715" s="336"/>
    </row>
    <row r="716" spans="1:13" hidden="1" outlineLevel="2" x14ac:dyDescent="0.35">
      <c r="A716" s="335" t="s">
        <v>159</v>
      </c>
      <c r="B716" s="331">
        <v>44153</v>
      </c>
      <c r="C716" s="332" t="s">
        <v>1159</v>
      </c>
      <c r="D716" s="332" t="s">
        <v>1160</v>
      </c>
      <c r="E716" s="332" t="s">
        <v>1126</v>
      </c>
      <c r="F716" s="336">
        <v>360000</v>
      </c>
      <c r="G716" s="330" t="s">
        <v>236</v>
      </c>
      <c r="H716" s="329">
        <v>334.46167526423289</v>
      </c>
      <c r="I716" s="336"/>
      <c r="J716" s="336"/>
      <c r="K716" s="336">
        <v>334.46167526423289</v>
      </c>
      <c r="L716" s="336"/>
      <c r="M716" s="336"/>
    </row>
    <row r="717" spans="1:13" hidden="1" outlineLevel="2" x14ac:dyDescent="0.35">
      <c r="A717" s="335" t="s">
        <v>159</v>
      </c>
      <c r="B717" s="331">
        <v>44153</v>
      </c>
      <c r="C717" s="332" t="s">
        <v>1161</v>
      </c>
      <c r="D717" s="332" t="s">
        <v>1162</v>
      </c>
      <c r="E717" s="332" t="s">
        <v>1163</v>
      </c>
      <c r="F717" s="336">
        <v>201120</v>
      </c>
      <c r="G717" s="330" t="s">
        <v>236</v>
      </c>
      <c r="H717" s="329">
        <v>186.85258924761811</v>
      </c>
      <c r="I717" s="336"/>
      <c r="J717" s="336"/>
      <c r="K717" s="336">
        <v>186.85258924761811</v>
      </c>
      <c r="L717" s="336"/>
      <c r="M717" s="336"/>
    </row>
    <row r="718" spans="1:13" hidden="1" outlineLevel="2" x14ac:dyDescent="0.35">
      <c r="A718" s="335" t="s">
        <v>159</v>
      </c>
      <c r="B718" s="331">
        <v>44153</v>
      </c>
      <c r="C718" s="332" t="s">
        <v>1164</v>
      </c>
      <c r="D718" s="332" t="s">
        <v>1165</v>
      </c>
      <c r="E718" s="332" t="s">
        <v>1126</v>
      </c>
      <c r="F718" s="336">
        <v>270000</v>
      </c>
      <c r="G718" s="330" t="s">
        <v>236</v>
      </c>
      <c r="H718" s="329">
        <v>250.84625644817467</v>
      </c>
      <c r="I718" s="336"/>
      <c r="J718" s="336"/>
      <c r="K718" s="336">
        <v>250.84625644817467</v>
      </c>
      <c r="L718" s="336"/>
      <c r="M718" s="336"/>
    </row>
    <row r="719" spans="1:13" hidden="1" outlineLevel="2" x14ac:dyDescent="0.35">
      <c r="A719" s="335" t="s">
        <v>159</v>
      </c>
      <c r="B719" s="331">
        <v>44153</v>
      </c>
      <c r="C719" s="332" t="s">
        <v>1166</v>
      </c>
      <c r="D719" s="332" t="s">
        <v>1167</v>
      </c>
      <c r="E719" s="332" t="s">
        <v>1126</v>
      </c>
      <c r="F719" s="336">
        <v>120000</v>
      </c>
      <c r="G719" s="330" t="s">
        <v>236</v>
      </c>
      <c r="H719" s="329">
        <v>111.48722508807764</v>
      </c>
      <c r="I719" s="336"/>
      <c r="J719" s="336"/>
      <c r="K719" s="336">
        <v>111.48722508807764</v>
      </c>
      <c r="L719" s="336"/>
      <c r="M719" s="336"/>
    </row>
    <row r="720" spans="1:13" hidden="1" outlineLevel="2" x14ac:dyDescent="0.35">
      <c r="A720" s="335" t="s">
        <v>159</v>
      </c>
      <c r="B720" s="331">
        <v>44153</v>
      </c>
      <c r="C720" s="332" t="s">
        <v>1168</v>
      </c>
      <c r="D720" s="332" t="s">
        <v>1169</v>
      </c>
      <c r="E720" s="332" t="s">
        <v>1126</v>
      </c>
      <c r="F720" s="336">
        <v>90000</v>
      </c>
      <c r="G720" s="330" t="s">
        <v>236</v>
      </c>
      <c r="H720" s="329">
        <v>83.615418816058224</v>
      </c>
      <c r="I720" s="336"/>
      <c r="J720" s="336"/>
      <c r="K720" s="336">
        <v>83.615418816058224</v>
      </c>
      <c r="L720" s="336"/>
      <c r="M720" s="336"/>
    </row>
    <row r="721" spans="1:13" hidden="1" outlineLevel="2" x14ac:dyDescent="0.35">
      <c r="A721" s="335" t="s">
        <v>159</v>
      </c>
      <c r="B721" s="331">
        <v>44153</v>
      </c>
      <c r="C721" s="332" t="s">
        <v>1170</v>
      </c>
      <c r="D721" s="332" t="s">
        <v>1171</v>
      </c>
      <c r="E721" s="332" t="s">
        <v>1126</v>
      </c>
      <c r="F721" s="336">
        <v>62000</v>
      </c>
      <c r="G721" s="330" t="s">
        <v>236</v>
      </c>
      <c r="H721" s="329">
        <v>57.601732962173443</v>
      </c>
      <c r="I721" s="336"/>
      <c r="J721" s="336"/>
      <c r="K721" s="336">
        <v>57.601732962173443</v>
      </c>
      <c r="L721" s="336"/>
      <c r="M721" s="336"/>
    </row>
    <row r="722" spans="1:13" hidden="1" outlineLevel="2" x14ac:dyDescent="0.35">
      <c r="A722" s="335" t="s">
        <v>159</v>
      </c>
      <c r="B722" s="331">
        <v>44153</v>
      </c>
      <c r="C722" s="332" t="s">
        <v>962</v>
      </c>
      <c r="D722" s="332" t="s">
        <v>1172</v>
      </c>
      <c r="E722" s="332" t="s">
        <v>1126</v>
      </c>
      <c r="F722" s="336">
        <v>60000</v>
      </c>
      <c r="G722" s="330" t="s">
        <v>236</v>
      </c>
      <c r="H722" s="329">
        <v>55.743612544038818</v>
      </c>
      <c r="I722" s="336"/>
      <c r="J722" s="336"/>
      <c r="K722" s="336">
        <v>55.743612544038818</v>
      </c>
      <c r="L722" s="336"/>
      <c r="M722" s="336"/>
    </row>
    <row r="723" spans="1:13" hidden="1" outlineLevel="2" x14ac:dyDescent="0.35">
      <c r="A723" s="335" t="s">
        <v>159</v>
      </c>
      <c r="B723" s="331">
        <v>44153</v>
      </c>
      <c r="C723" s="332" t="s">
        <v>962</v>
      </c>
      <c r="D723" s="332" t="s">
        <v>1172</v>
      </c>
      <c r="E723" s="332" t="s">
        <v>1173</v>
      </c>
      <c r="F723" s="336">
        <v>190000</v>
      </c>
      <c r="G723" s="330" t="s">
        <v>236</v>
      </c>
      <c r="H723" s="329">
        <v>176.52143972278958</v>
      </c>
      <c r="I723" s="336"/>
      <c r="J723" s="336"/>
      <c r="K723" s="336">
        <v>176.52143972278958</v>
      </c>
      <c r="L723" s="336"/>
      <c r="M723" s="336"/>
    </row>
    <row r="724" spans="1:13" hidden="1" outlineLevel="2" x14ac:dyDescent="0.35">
      <c r="A724" s="335" t="s">
        <v>159</v>
      </c>
      <c r="B724" s="331">
        <v>44153</v>
      </c>
      <c r="C724" s="332" t="s">
        <v>1174</v>
      </c>
      <c r="D724" s="332" t="s">
        <v>1175</v>
      </c>
      <c r="E724" s="332" t="s">
        <v>1173</v>
      </c>
      <c r="F724" s="336">
        <v>60000</v>
      </c>
      <c r="G724" s="330" t="s">
        <v>236</v>
      </c>
      <c r="H724" s="329">
        <v>55.743612544038818</v>
      </c>
      <c r="I724" s="336"/>
      <c r="J724" s="336"/>
      <c r="K724" s="336">
        <v>55.743612544038818</v>
      </c>
      <c r="L724" s="336"/>
      <c r="M724" s="336"/>
    </row>
    <row r="725" spans="1:13" hidden="1" outlineLevel="2" x14ac:dyDescent="0.35">
      <c r="A725" s="335" t="s">
        <v>159</v>
      </c>
      <c r="B725" s="331">
        <v>44158</v>
      </c>
      <c r="C725" s="332" t="s">
        <v>1168</v>
      </c>
      <c r="D725" s="332" t="s">
        <v>1169</v>
      </c>
      <c r="E725" s="332" t="s">
        <v>1173</v>
      </c>
      <c r="F725" s="336">
        <v>90000</v>
      </c>
      <c r="G725" s="330" t="s">
        <v>236</v>
      </c>
      <c r="H725" s="329">
        <v>83.615418816058224</v>
      </c>
      <c r="I725" s="336"/>
      <c r="J725" s="336"/>
      <c r="K725" s="336">
        <v>83.615418816058224</v>
      </c>
      <c r="L725" s="336"/>
      <c r="M725" s="336"/>
    </row>
    <row r="726" spans="1:13" hidden="1" outlineLevel="2" x14ac:dyDescent="0.35">
      <c r="A726" s="335" t="s">
        <v>159</v>
      </c>
      <c r="B726" s="331">
        <v>44153</v>
      </c>
      <c r="C726" s="332" t="s">
        <v>1168</v>
      </c>
      <c r="D726" s="332" t="s">
        <v>1169</v>
      </c>
      <c r="E726" s="332" t="s">
        <v>1176</v>
      </c>
      <c r="F726" s="336">
        <v>90000</v>
      </c>
      <c r="G726" s="330" t="s">
        <v>236</v>
      </c>
      <c r="H726" s="329">
        <v>83.615418816058224</v>
      </c>
      <c r="I726" s="336"/>
      <c r="J726" s="336"/>
      <c r="K726" s="336">
        <v>83.615418816058224</v>
      </c>
      <c r="L726" s="336"/>
      <c r="M726" s="336"/>
    </row>
    <row r="727" spans="1:13" hidden="1" outlineLevel="2" x14ac:dyDescent="0.35">
      <c r="A727" s="335" t="s">
        <v>159</v>
      </c>
      <c r="B727" s="331">
        <v>44153</v>
      </c>
      <c r="C727" s="332" t="s">
        <v>1177</v>
      </c>
      <c r="D727" s="332" t="s">
        <v>1178</v>
      </c>
      <c r="E727" s="332" t="s">
        <v>1176</v>
      </c>
      <c r="F727" s="336">
        <v>60000</v>
      </c>
      <c r="G727" s="330" t="s">
        <v>236</v>
      </c>
      <c r="H727" s="329">
        <v>55.743612544038818</v>
      </c>
      <c r="I727" s="336"/>
      <c r="J727" s="336"/>
      <c r="K727" s="336">
        <v>55.743612544038818</v>
      </c>
      <c r="L727" s="336"/>
      <c r="M727" s="336"/>
    </row>
    <row r="728" spans="1:13" hidden="1" outlineLevel="2" x14ac:dyDescent="0.35">
      <c r="A728" s="335" t="s">
        <v>159</v>
      </c>
      <c r="B728" s="331">
        <v>44153</v>
      </c>
      <c r="C728" s="332" t="s">
        <v>624</v>
      </c>
      <c r="D728" s="332" t="s">
        <v>1179</v>
      </c>
      <c r="E728" s="332" t="s">
        <v>1176</v>
      </c>
      <c r="F728" s="336">
        <v>62000</v>
      </c>
      <c r="G728" s="330" t="s">
        <v>236</v>
      </c>
      <c r="H728" s="329">
        <v>57.601732962173443</v>
      </c>
      <c r="I728" s="336"/>
      <c r="J728" s="336"/>
      <c r="K728" s="336">
        <v>57.601732962173443</v>
      </c>
      <c r="L728" s="336"/>
      <c r="M728" s="336"/>
    </row>
    <row r="729" spans="1:13" hidden="1" outlineLevel="2" x14ac:dyDescent="0.35">
      <c r="A729" s="335" t="s">
        <v>159</v>
      </c>
      <c r="B729" s="331">
        <v>44153</v>
      </c>
      <c r="C729" s="332" t="s">
        <v>627</v>
      </c>
      <c r="D729" s="332" t="s">
        <v>1180</v>
      </c>
      <c r="E729" s="332" t="s">
        <v>1176</v>
      </c>
      <c r="F729" s="336">
        <v>270000</v>
      </c>
      <c r="G729" s="330" t="s">
        <v>236</v>
      </c>
      <c r="H729" s="329">
        <v>250.84625644817467</v>
      </c>
      <c r="I729" s="336"/>
      <c r="J729" s="336"/>
      <c r="K729" s="336">
        <v>250.84625644817467</v>
      </c>
      <c r="L729" s="336"/>
      <c r="M729" s="336"/>
    </row>
    <row r="730" spans="1:13" hidden="1" outlineLevel="2" x14ac:dyDescent="0.35">
      <c r="A730" s="335" t="s">
        <v>159</v>
      </c>
      <c r="B730" s="331">
        <v>44153</v>
      </c>
      <c r="C730" s="332" t="s">
        <v>1181</v>
      </c>
      <c r="D730" s="332" t="s">
        <v>1182</v>
      </c>
      <c r="E730" s="332" t="s">
        <v>1176</v>
      </c>
      <c r="F730" s="336">
        <v>190000</v>
      </c>
      <c r="G730" s="330" t="s">
        <v>236</v>
      </c>
      <c r="H730" s="329">
        <v>176.52143972278958</v>
      </c>
      <c r="I730" s="336"/>
      <c r="J730" s="336"/>
      <c r="K730" s="336">
        <v>176.52143972278958</v>
      </c>
      <c r="L730" s="336"/>
      <c r="M730" s="336"/>
    </row>
    <row r="731" spans="1:13" hidden="1" outlineLevel="2" x14ac:dyDescent="0.35">
      <c r="A731" s="335" t="s">
        <v>159</v>
      </c>
      <c r="B731" s="331">
        <v>44153</v>
      </c>
      <c r="C731" s="332" t="s">
        <v>1183</v>
      </c>
      <c r="D731" s="332" t="s">
        <v>1184</v>
      </c>
      <c r="E731" s="332" t="s">
        <v>1176</v>
      </c>
      <c r="F731" s="336">
        <v>162000</v>
      </c>
      <c r="G731" s="330" t="s">
        <v>236</v>
      </c>
      <c r="H731" s="329">
        <v>150.50775386890481</v>
      </c>
      <c r="I731" s="336"/>
      <c r="J731" s="336"/>
      <c r="K731" s="336">
        <v>150.50775386890481</v>
      </c>
      <c r="L731" s="336"/>
      <c r="M731" s="336"/>
    </row>
    <row r="732" spans="1:13" hidden="1" outlineLevel="2" x14ac:dyDescent="0.35">
      <c r="A732" s="335" t="s">
        <v>159</v>
      </c>
      <c r="B732" s="331">
        <v>44153</v>
      </c>
      <c r="C732" s="332" t="s">
        <v>691</v>
      </c>
      <c r="D732" s="332" t="s">
        <v>1185</v>
      </c>
      <c r="E732" s="332" t="s">
        <v>1176</v>
      </c>
      <c r="F732" s="336">
        <v>120000</v>
      </c>
      <c r="G732" s="330" t="s">
        <v>236</v>
      </c>
      <c r="H732" s="329">
        <v>111.48722508807764</v>
      </c>
      <c r="I732" s="336"/>
      <c r="J732" s="336"/>
      <c r="K732" s="336">
        <v>111.48722508807764</v>
      </c>
      <c r="L732" s="336"/>
      <c r="M732" s="336"/>
    </row>
    <row r="733" spans="1:13" hidden="1" outlineLevel="2" x14ac:dyDescent="0.35">
      <c r="A733" s="335" t="s">
        <v>159</v>
      </c>
      <c r="B733" s="331">
        <v>44153</v>
      </c>
      <c r="C733" s="332" t="s">
        <v>965</v>
      </c>
      <c r="D733" s="332" t="s">
        <v>1186</v>
      </c>
      <c r="E733" s="332" t="s">
        <v>1176</v>
      </c>
      <c r="F733" s="336">
        <v>180000</v>
      </c>
      <c r="G733" s="330" t="s">
        <v>236</v>
      </c>
      <c r="H733" s="329">
        <v>167.23083763211645</v>
      </c>
      <c r="I733" s="336"/>
      <c r="J733" s="336"/>
      <c r="K733" s="336">
        <v>167.23083763211645</v>
      </c>
      <c r="L733" s="336"/>
      <c r="M733" s="336"/>
    </row>
    <row r="734" spans="1:13" hidden="1" outlineLevel="2" x14ac:dyDescent="0.35">
      <c r="A734" s="335" t="s">
        <v>159</v>
      </c>
      <c r="B734" s="331">
        <v>44153</v>
      </c>
      <c r="C734" s="332" t="s">
        <v>965</v>
      </c>
      <c r="D734" s="332" t="s">
        <v>1186</v>
      </c>
      <c r="E734" s="332" t="s">
        <v>1176</v>
      </c>
      <c r="F734" s="336">
        <v>360000</v>
      </c>
      <c r="G734" s="330" t="s">
        <v>236</v>
      </c>
      <c r="H734" s="329">
        <v>334.46167526423289</v>
      </c>
      <c r="I734" s="336"/>
      <c r="J734" s="336"/>
      <c r="K734" s="336">
        <v>334.46167526423289</v>
      </c>
      <c r="L734" s="336"/>
      <c r="M734" s="336"/>
    </row>
    <row r="735" spans="1:13" hidden="1" outlineLevel="2" x14ac:dyDescent="0.35">
      <c r="A735" s="335" t="s">
        <v>159</v>
      </c>
      <c r="B735" s="331">
        <v>44153</v>
      </c>
      <c r="C735" s="332" t="s">
        <v>965</v>
      </c>
      <c r="D735" s="332" t="s">
        <v>1186</v>
      </c>
      <c r="E735" s="332" t="s">
        <v>1173</v>
      </c>
      <c r="F735" s="336">
        <v>180000</v>
      </c>
      <c r="G735" s="330" t="s">
        <v>236</v>
      </c>
      <c r="H735" s="329">
        <v>167.23083763211645</v>
      </c>
      <c r="I735" s="336"/>
      <c r="J735" s="336"/>
      <c r="K735" s="336">
        <v>167.23083763211645</v>
      </c>
      <c r="L735" s="336"/>
      <c r="M735" s="336"/>
    </row>
    <row r="736" spans="1:13" hidden="1" outlineLevel="2" x14ac:dyDescent="0.35">
      <c r="A736" s="335" t="s">
        <v>159</v>
      </c>
      <c r="B736" s="331">
        <v>44153</v>
      </c>
      <c r="C736" s="332" t="s">
        <v>1170</v>
      </c>
      <c r="D736" s="332" t="s">
        <v>1171</v>
      </c>
      <c r="E736" s="332" t="s">
        <v>1173</v>
      </c>
      <c r="F736" s="336">
        <v>62000</v>
      </c>
      <c r="G736" s="330" t="s">
        <v>236</v>
      </c>
      <c r="H736" s="329">
        <v>57.601732962173443</v>
      </c>
      <c r="I736" s="336"/>
      <c r="J736" s="336"/>
      <c r="K736" s="336">
        <v>57.601732962173443</v>
      </c>
      <c r="L736" s="336"/>
      <c r="M736" s="336"/>
    </row>
    <row r="737" spans="1:13" hidden="1" outlineLevel="2" x14ac:dyDescent="0.35">
      <c r="A737" s="335" t="s">
        <v>159</v>
      </c>
      <c r="B737" s="331">
        <v>44153</v>
      </c>
      <c r="C737" s="332" t="s">
        <v>1187</v>
      </c>
      <c r="D737" s="332" t="s">
        <v>1188</v>
      </c>
      <c r="E737" s="332" t="s">
        <v>1173</v>
      </c>
      <c r="F737" s="336">
        <v>126000</v>
      </c>
      <c r="G737" s="330" t="s">
        <v>236</v>
      </c>
      <c r="H737" s="329">
        <v>117.06158634248152</v>
      </c>
      <c r="I737" s="336"/>
      <c r="J737" s="336"/>
      <c r="K737" s="336">
        <v>117.06158634248152</v>
      </c>
      <c r="L737" s="336"/>
      <c r="M737" s="336"/>
    </row>
    <row r="738" spans="1:13" hidden="1" outlineLevel="2" x14ac:dyDescent="0.35">
      <c r="A738" s="335" t="s">
        <v>159</v>
      </c>
      <c r="B738" s="331">
        <v>44153</v>
      </c>
      <c r="C738" s="332" t="s">
        <v>1187</v>
      </c>
      <c r="D738" s="332" t="s">
        <v>1188</v>
      </c>
      <c r="E738" s="332" t="s">
        <v>1173</v>
      </c>
      <c r="F738" s="336">
        <v>360000</v>
      </c>
      <c r="G738" s="330" t="s">
        <v>236</v>
      </c>
      <c r="H738" s="329">
        <v>334.46167526423289</v>
      </c>
      <c r="I738" s="336"/>
      <c r="J738" s="336"/>
      <c r="K738" s="336">
        <v>334.46167526423289</v>
      </c>
      <c r="L738" s="336"/>
      <c r="M738" s="336"/>
    </row>
    <row r="739" spans="1:13" hidden="1" outlineLevel="2" x14ac:dyDescent="0.35">
      <c r="A739" s="335" t="s">
        <v>159</v>
      </c>
      <c r="B739" s="331">
        <v>44153</v>
      </c>
      <c r="C739" s="332" t="s">
        <v>1189</v>
      </c>
      <c r="D739" s="332" t="s">
        <v>1190</v>
      </c>
      <c r="E739" s="332" t="s">
        <v>1173</v>
      </c>
      <c r="F739" s="336">
        <v>270000</v>
      </c>
      <c r="G739" s="330" t="s">
        <v>236</v>
      </c>
      <c r="H739" s="329">
        <v>250.84625644817467</v>
      </c>
      <c r="I739" s="336"/>
      <c r="J739" s="338"/>
      <c r="K739" s="336">
        <v>250.84625644817467</v>
      </c>
      <c r="L739" s="336"/>
      <c r="M739" s="336"/>
    </row>
    <row r="740" spans="1:13" hidden="1" outlineLevel="2" x14ac:dyDescent="0.35">
      <c r="A740" s="335" t="s">
        <v>159</v>
      </c>
      <c r="B740" s="331">
        <v>44153</v>
      </c>
      <c r="C740" s="332" t="s">
        <v>691</v>
      </c>
      <c r="D740" s="332" t="s">
        <v>1185</v>
      </c>
      <c r="E740" s="332" t="s">
        <v>1173</v>
      </c>
      <c r="F740" s="336">
        <v>120000</v>
      </c>
      <c r="G740" s="330" t="s">
        <v>236</v>
      </c>
      <c r="H740" s="329">
        <v>111.48722508807764</v>
      </c>
      <c r="I740" s="336"/>
      <c r="J740" s="338"/>
      <c r="K740" s="336">
        <v>111.48722508807764</v>
      </c>
      <c r="L740" s="336"/>
      <c r="M740" s="336"/>
    </row>
    <row r="741" spans="1:13" hidden="1" outlineLevel="2" x14ac:dyDescent="0.35">
      <c r="A741" s="335" t="s">
        <v>159</v>
      </c>
      <c r="B741" s="331">
        <v>44160</v>
      </c>
      <c r="C741" s="332" t="s">
        <v>312</v>
      </c>
      <c r="D741" s="332" t="s">
        <v>1191</v>
      </c>
      <c r="E741" s="332" t="s">
        <v>1192</v>
      </c>
      <c r="F741" s="336">
        <v>1304000</v>
      </c>
      <c r="G741" s="330" t="s">
        <v>236</v>
      </c>
      <c r="H741" s="329">
        <v>1211.4945126237769</v>
      </c>
      <c r="I741" s="336"/>
      <c r="J741" s="338"/>
      <c r="K741" s="336">
        <v>1211.4945126237769</v>
      </c>
      <c r="L741" s="336"/>
      <c r="M741" s="336"/>
    </row>
    <row r="742" spans="1:13" hidden="1" outlineLevel="2" x14ac:dyDescent="0.35">
      <c r="A742" s="335" t="s">
        <v>159</v>
      </c>
      <c r="B742" s="331">
        <v>44222</v>
      </c>
      <c r="C742" s="332" t="s">
        <v>1193</v>
      </c>
      <c r="D742" s="332" t="s">
        <v>1194</v>
      </c>
      <c r="E742" s="332" t="s">
        <v>995</v>
      </c>
      <c r="F742" s="336">
        <v>168000</v>
      </c>
      <c r="G742" s="330" t="s">
        <v>236</v>
      </c>
      <c r="H742" s="329">
        <v>143.24267772497601</v>
      </c>
      <c r="I742" s="336"/>
      <c r="J742" s="336"/>
      <c r="K742" s="336">
        <v>143.24267772497601</v>
      </c>
      <c r="L742" s="336"/>
      <c r="M742" s="336"/>
    </row>
    <row r="743" spans="1:13" hidden="1" outlineLevel="2" x14ac:dyDescent="0.35">
      <c r="A743" s="340" t="s">
        <v>159</v>
      </c>
      <c r="B743" s="327">
        <v>44230</v>
      </c>
      <c r="C743" s="328" t="s">
        <v>365</v>
      </c>
      <c r="D743" s="328" t="s">
        <v>1195</v>
      </c>
      <c r="E743" s="328" t="s">
        <v>1196</v>
      </c>
      <c r="F743" s="338">
        <v>1304000</v>
      </c>
      <c r="G743" s="330" t="s">
        <v>236</v>
      </c>
      <c r="H743" s="329">
        <v>1111.8360223414804</v>
      </c>
      <c r="I743" s="338"/>
      <c r="J743" s="338"/>
      <c r="K743" s="338">
        <v>1111.8360223414804</v>
      </c>
      <c r="L743" s="338"/>
      <c r="M743" s="338"/>
    </row>
    <row r="744" spans="1:13" hidden="1" outlineLevel="2" x14ac:dyDescent="0.35">
      <c r="A744" s="335" t="s">
        <v>159</v>
      </c>
      <c r="B744" s="331">
        <v>44561</v>
      </c>
      <c r="C744" s="332" t="s">
        <v>813</v>
      </c>
      <c r="D744" s="332" t="s">
        <v>1197</v>
      </c>
      <c r="E744" s="332" t="s">
        <v>623</v>
      </c>
      <c r="F744" s="336">
        <v>1380000</v>
      </c>
      <c r="G744" s="330" t="s">
        <v>236</v>
      </c>
      <c r="H744" s="329">
        <v>1218.0117392376417</v>
      </c>
      <c r="I744" s="336"/>
      <c r="J744" s="338"/>
      <c r="K744" s="336">
        <v>1218.0117392376417</v>
      </c>
      <c r="L744" s="336"/>
      <c r="M744" s="336"/>
    </row>
    <row r="745" spans="1:13" hidden="1" outlineLevel="2" x14ac:dyDescent="0.35">
      <c r="A745" s="335" t="s">
        <v>159</v>
      </c>
      <c r="B745" s="331">
        <v>44251</v>
      </c>
      <c r="C745" s="332" t="s">
        <v>1198</v>
      </c>
      <c r="D745" s="332" t="s">
        <v>1199</v>
      </c>
      <c r="E745" s="332" t="s">
        <v>285</v>
      </c>
      <c r="F745" s="336">
        <v>107301</v>
      </c>
      <c r="G745" s="330" t="s">
        <v>236</v>
      </c>
      <c r="H745" s="329">
        <v>91.488586681950295</v>
      </c>
      <c r="I745" s="336"/>
      <c r="J745" s="338"/>
      <c r="K745" s="336">
        <v>91.488586681950295</v>
      </c>
      <c r="L745" s="336"/>
      <c r="M745" s="336"/>
    </row>
    <row r="746" spans="1:13" hidden="1" outlineLevel="2" x14ac:dyDescent="0.35">
      <c r="A746" s="335" t="s">
        <v>159</v>
      </c>
      <c r="B746" s="331">
        <v>44460</v>
      </c>
      <c r="C746" s="332" t="s">
        <v>1200</v>
      </c>
      <c r="D746" s="332" t="s">
        <v>1201</v>
      </c>
      <c r="E746" s="332" t="s">
        <v>330</v>
      </c>
      <c r="F746" s="336">
        <v>122000</v>
      </c>
      <c r="G746" s="330" t="s">
        <v>236</v>
      </c>
      <c r="H746" s="329">
        <v>104.02146834789924</v>
      </c>
      <c r="I746" s="336"/>
      <c r="J746" s="336"/>
      <c r="K746" s="336">
        <v>104.02146834789924</v>
      </c>
      <c r="L746" s="336"/>
      <c r="M746" s="336"/>
    </row>
    <row r="747" spans="1:13" hidden="1" outlineLevel="2" x14ac:dyDescent="0.35">
      <c r="A747" s="335" t="s">
        <v>159</v>
      </c>
      <c r="B747" s="331">
        <v>44461</v>
      </c>
      <c r="C747" s="332" t="s">
        <v>1202</v>
      </c>
      <c r="D747" s="332" t="s">
        <v>1203</v>
      </c>
      <c r="E747" s="332" t="s">
        <v>1204</v>
      </c>
      <c r="F747" s="336">
        <v>122000</v>
      </c>
      <c r="G747" s="330" t="s">
        <v>236</v>
      </c>
      <c r="H747" s="329">
        <v>104.02146834789924</v>
      </c>
      <c r="I747" s="336"/>
      <c r="J747" s="336"/>
      <c r="K747" s="336">
        <v>104.02146834789924</v>
      </c>
      <c r="L747" s="336"/>
      <c r="M747" s="336"/>
    </row>
    <row r="748" spans="1:13" hidden="1" outlineLevel="2" x14ac:dyDescent="0.35">
      <c r="A748" s="335" t="s">
        <v>159</v>
      </c>
      <c r="B748" s="331">
        <v>44463</v>
      </c>
      <c r="C748" s="332" t="s">
        <v>569</v>
      </c>
      <c r="D748" s="332" t="s">
        <v>1205</v>
      </c>
      <c r="E748" s="332" t="s">
        <v>1206</v>
      </c>
      <c r="F748" s="336">
        <v>150000</v>
      </c>
      <c r="G748" s="330" t="s">
        <v>236</v>
      </c>
      <c r="H748" s="329">
        <v>127.89524796872857</v>
      </c>
      <c r="I748" s="336"/>
      <c r="J748" s="336"/>
      <c r="K748" s="336">
        <v>127.89524796872857</v>
      </c>
      <c r="L748" s="336"/>
      <c r="M748" s="336"/>
    </row>
    <row r="749" spans="1:13" hidden="1" outlineLevel="2" x14ac:dyDescent="0.35">
      <c r="A749" s="347" t="s">
        <v>159</v>
      </c>
      <c r="B749" s="344">
        <v>44463</v>
      </c>
      <c r="C749" s="345" t="s">
        <v>569</v>
      </c>
      <c r="D749" s="345" t="s">
        <v>1207</v>
      </c>
      <c r="E749" s="345" t="s">
        <v>1206</v>
      </c>
      <c r="F749" s="346">
        <v>75000</v>
      </c>
      <c r="G749" s="330" t="s">
        <v>236</v>
      </c>
      <c r="H749" s="329">
        <v>63.947623984364284</v>
      </c>
      <c r="I749" s="346"/>
      <c r="J749" s="346"/>
      <c r="K749" s="336">
        <v>63.947623984364284</v>
      </c>
      <c r="L749" s="346"/>
      <c r="M749" s="346"/>
    </row>
    <row r="750" spans="1:13" hidden="1" outlineLevel="2" x14ac:dyDescent="0.35">
      <c r="A750" s="340" t="s">
        <v>159</v>
      </c>
      <c r="B750" s="327">
        <v>44467</v>
      </c>
      <c r="C750" s="328" t="s">
        <v>571</v>
      </c>
      <c r="D750" s="328" t="s">
        <v>1208</v>
      </c>
      <c r="E750" s="328" t="s">
        <v>1209</v>
      </c>
      <c r="F750" s="338">
        <v>60000</v>
      </c>
      <c r="G750" s="330" t="s">
        <v>236</v>
      </c>
      <c r="H750" s="329">
        <v>51.15809918749143</v>
      </c>
      <c r="I750" s="338"/>
      <c r="J750" s="338"/>
      <c r="K750" s="336">
        <v>51.15809918749143</v>
      </c>
      <c r="L750" s="338"/>
      <c r="M750" s="338"/>
    </row>
    <row r="751" spans="1:13" hidden="1" outlineLevel="2" x14ac:dyDescent="0.35">
      <c r="A751" s="335" t="s">
        <v>159</v>
      </c>
      <c r="B751" s="331">
        <v>44464</v>
      </c>
      <c r="C751" s="332" t="s">
        <v>1210</v>
      </c>
      <c r="D751" s="332" t="s">
        <v>1211</v>
      </c>
      <c r="E751" s="332" t="s">
        <v>1212</v>
      </c>
      <c r="F751" s="336">
        <v>60000</v>
      </c>
      <c r="G751" s="330" t="s">
        <v>236</v>
      </c>
      <c r="H751" s="329">
        <v>51.15809918749143</v>
      </c>
      <c r="I751" s="336"/>
      <c r="J751" s="336"/>
      <c r="K751" s="336">
        <v>51.15809918749143</v>
      </c>
      <c r="L751" s="336"/>
      <c r="M751" s="336"/>
    </row>
    <row r="752" spans="1:13" hidden="1" outlineLevel="2" x14ac:dyDescent="0.35">
      <c r="A752" s="335" t="s">
        <v>159</v>
      </c>
      <c r="B752" s="331">
        <v>44461</v>
      </c>
      <c r="C752" s="332" t="s">
        <v>776</v>
      </c>
      <c r="D752" s="332" t="s">
        <v>1213</v>
      </c>
      <c r="E752" s="332" t="s">
        <v>1214</v>
      </c>
      <c r="F752" s="336">
        <v>60000</v>
      </c>
      <c r="G752" s="330" t="s">
        <v>236</v>
      </c>
      <c r="H752" s="329">
        <v>51.15809918749143</v>
      </c>
      <c r="I752" s="336"/>
      <c r="J752" s="336"/>
      <c r="K752" s="336">
        <v>51.15809918749143</v>
      </c>
      <c r="L752" s="336"/>
      <c r="M752" s="336"/>
    </row>
    <row r="753" spans="1:13" hidden="1" outlineLevel="2" x14ac:dyDescent="0.35">
      <c r="A753" s="335" t="s">
        <v>159</v>
      </c>
      <c r="B753" s="331">
        <v>44461</v>
      </c>
      <c r="C753" s="332" t="s">
        <v>641</v>
      </c>
      <c r="D753" s="332" t="s">
        <v>1215</v>
      </c>
      <c r="E753" s="332" t="s">
        <v>1214</v>
      </c>
      <c r="F753" s="336">
        <v>75000</v>
      </c>
      <c r="G753" s="330" t="s">
        <v>236</v>
      </c>
      <c r="H753" s="329">
        <v>63.947623984364284</v>
      </c>
      <c r="I753" s="336"/>
      <c r="J753" s="336"/>
      <c r="K753" s="336">
        <v>63.947623984364284</v>
      </c>
      <c r="L753" s="336"/>
      <c r="M753" s="336"/>
    </row>
    <row r="754" spans="1:13" hidden="1" outlineLevel="2" x14ac:dyDescent="0.35">
      <c r="A754" s="335" t="s">
        <v>159</v>
      </c>
      <c r="B754" s="331">
        <v>44461</v>
      </c>
      <c r="C754" s="332" t="s">
        <v>641</v>
      </c>
      <c r="D754" s="332" t="s">
        <v>1215</v>
      </c>
      <c r="E754" s="332" t="s">
        <v>1214</v>
      </c>
      <c r="F754" s="336">
        <v>150000</v>
      </c>
      <c r="G754" s="330" t="s">
        <v>236</v>
      </c>
      <c r="H754" s="329">
        <v>127.89524796872857</v>
      </c>
      <c r="I754" s="336"/>
      <c r="J754" s="336"/>
      <c r="K754" s="336">
        <v>127.89524796872857</v>
      </c>
      <c r="L754" s="336"/>
      <c r="M754" s="336"/>
    </row>
    <row r="755" spans="1:13" hidden="1" outlineLevel="2" x14ac:dyDescent="0.35">
      <c r="A755" s="335" t="s">
        <v>159</v>
      </c>
      <c r="B755" s="331">
        <v>44467</v>
      </c>
      <c r="C755" s="332" t="s">
        <v>598</v>
      </c>
      <c r="D755" s="332" t="s">
        <v>1216</v>
      </c>
      <c r="E755" s="332" t="s">
        <v>1217</v>
      </c>
      <c r="F755" s="336">
        <v>225000</v>
      </c>
      <c r="G755" s="330" t="s">
        <v>236</v>
      </c>
      <c r="H755" s="329">
        <v>191.84287195309287</v>
      </c>
      <c r="I755" s="336"/>
      <c r="J755" s="336"/>
      <c r="K755" s="336">
        <v>191.84287195309287</v>
      </c>
      <c r="L755" s="336"/>
      <c r="M755" s="336"/>
    </row>
    <row r="756" spans="1:13" hidden="1" outlineLevel="2" x14ac:dyDescent="0.35">
      <c r="A756" s="335" t="s">
        <v>159</v>
      </c>
      <c r="B756" s="331">
        <v>44461</v>
      </c>
      <c r="C756" s="332" t="s">
        <v>601</v>
      </c>
      <c r="D756" s="332" t="s">
        <v>1218</v>
      </c>
      <c r="E756" s="332" t="s">
        <v>1219</v>
      </c>
      <c r="F756" s="336">
        <v>65000</v>
      </c>
      <c r="G756" s="330" t="s">
        <v>236</v>
      </c>
      <c r="H756" s="329">
        <v>55.421274119782382</v>
      </c>
      <c r="I756" s="336"/>
      <c r="J756" s="336"/>
      <c r="K756" s="336">
        <v>55.421274119782382</v>
      </c>
      <c r="L756" s="336"/>
      <c r="M756" s="336"/>
    </row>
    <row r="757" spans="1:13" hidden="1" outlineLevel="2" x14ac:dyDescent="0.35">
      <c r="A757" s="347" t="s">
        <v>159</v>
      </c>
      <c r="B757" s="344">
        <v>44480</v>
      </c>
      <c r="C757" s="345" t="s">
        <v>1220</v>
      </c>
      <c r="D757" s="345" t="s">
        <v>1221</v>
      </c>
      <c r="E757" s="345" t="s">
        <v>1222</v>
      </c>
      <c r="F757" s="346">
        <v>30000</v>
      </c>
      <c r="G757" s="330" t="s">
        <v>236</v>
      </c>
      <c r="H757" s="329">
        <v>25.579049593745715</v>
      </c>
      <c r="I757" s="346"/>
      <c r="J757" s="346"/>
      <c r="K757" s="336">
        <v>25.579049593745715</v>
      </c>
      <c r="L757" s="346"/>
      <c r="M757" s="346"/>
    </row>
    <row r="758" spans="1:13" hidden="1" outlineLevel="2" x14ac:dyDescent="0.35">
      <c r="A758" s="340" t="s">
        <v>159</v>
      </c>
      <c r="B758" s="327">
        <v>44466</v>
      </c>
      <c r="C758" s="328" t="s">
        <v>1223</v>
      </c>
      <c r="D758" s="328" t="s">
        <v>1224</v>
      </c>
      <c r="E758" s="328" t="s">
        <v>701</v>
      </c>
      <c r="F758" s="338">
        <v>15000</v>
      </c>
      <c r="G758" s="330" t="s">
        <v>236</v>
      </c>
      <c r="H758" s="329">
        <v>12.789524796872858</v>
      </c>
      <c r="I758" s="338"/>
      <c r="J758" s="338"/>
      <c r="K758" s="336">
        <v>12.789524796872858</v>
      </c>
      <c r="L758" s="338"/>
      <c r="M758" s="338"/>
    </row>
    <row r="759" spans="1:13" hidden="1" outlineLevel="2" x14ac:dyDescent="0.35">
      <c r="A759" s="335" t="s">
        <v>159</v>
      </c>
      <c r="B759" s="331">
        <v>44549</v>
      </c>
      <c r="C759" s="332" t="s">
        <v>1225</v>
      </c>
      <c r="D759" s="332" t="s">
        <v>1226</v>
      </c>
      <c r="E759" s="332" t="s">
        <v>1196</v>
      </c>
      <c r="F759" s="336">
        <v>163000</v>
      </c>
      <c r="G759" s="330" t="s">
        <v>236</v>
      </c>
      <c r="H759" s="329">
        <v>138.97950279268505</v>
      </c>
      <c r="I759" s="336"/>
      <c r="J759" s="336"/>
      <c r="K759" s="336">
        <v>138.97950279268505</v>
      </c>
      <c r="L759" s="336"/>
      <c r="M759" s="336"/>
    </row>
    <row r="760" spans="1:13" hidden="1" outlineLevel="2" x14ac:dyDescent="0.35">
      <c r="A760" s="335" t="s">
        <v>159</v>
      </c>
      <c r="B760" s="331">
        <v>44554</v>
      </c>
      <c r="C760" s="332" t="s">
        <v>1227</v>
      </c>
      <c r="D760" s="332" t="s">
        <v>1228</v>
      </c>
      <c r="E760" s="332" t="s">
        <v>285</v>
      </c>
      <c r="F760" s="336">
        <v>489000</v>
      </c>
      <c r="G760" s="330" t="s">
        <v>236</v>
      </c>
      <c r="H760" s="329">
        <v>416.93850837805513</v>
      </c>
      <c r="I760" s="336"/>
      <c r="J760" s="336"/>
      <c r="K760" s="336">
        <v>416.93850837805513</v>
      </c>
      <c r="L760" s="336"/>
      <c r="M760" s="336"/>
    </row>
    <row r="761" spans="1:13" outlineLevel="1" collapsed="1" x14ac:dyDescent="0.35">
      <c r="A761" s="337" t="s">
        <v>1229</v>
      </c>
      <c r="B761" s="331"/>
      <c r="C761" s="332"/>
      <c r="D761" s="332"/>
      <c r="E761" s="332"/>
      <c r="F761" s="336"/>
      <c r="G761" s="330"/>
      <c r="H761" s="329">
        <f t="shared" ref="H761:M761" si="29">SUBTOTAL(9,H695:H760)</f>
        <v>18021.212208037072</v>
      </c>
      <c r="I761" s="336">
        <f t="shared" si="29"/>
        <v>0</v>
      </c>
      <c r="J761" s="336">
        <f t="shared" si="29"/>
        <v>0</v>
      </c>
      <c r="K761" s="336">
        <f t="shared" si="29"/>
        <v>18021.212208037072</v>
      </c>
      <c r="L761" s="336">
        <f t="shared" si="29"/>
        <v>0</v>
      </c>
      <c r="M761" s="336">
        <f t="shared" si="29"/>
        <v>0</v>
      </c>
    </row>
    <row r="762" spans="1:13" hidden="1" outlineLevel="2" x14ac:dyDescent="0.35">
      <c r="A762" s="341" t="s">
        <v>81</v>
      </c>
      <c r="B762" s="331">
        <v>44085</v>
      </c>
      <c r="C762" s="332" t="s">
        <v>1230</v>
      </c>
      <c r="D762" s="332" t="s">
        <v>1231</v>
      </c>
      <c r="E762" s="332" t="s">
        <v>436</v>
      </c>
      <c r="F762" s="336">
        <v>120602</v>
      </c>
      <c r="G762" s="330" t="s">
        <v>236</v>
      </c>
      <c r="H762" s="329">
        <v>112.04651933393616</v>
      </c>
      <c r="I762" s="336"/>
      <c r="J762" s="336"/>
      <c r="K762" s="336">
        <v>112.04651933393616</v>
      </c>
      <c r="L762" s="336"/>
      <c r="M762" s="336"/>
    </row>
    <row r="763" spans="1:13" hidden="1" outlineLevel="2" x14ac:dyDescent="0.35">
      <c r="A763" s="341" t="s">
        <v>81</v>
      </c>
      <c r="B763" s="331">
        <v>43759</v>
      </c>
      <c r="C763" s="332" t="s">
        <v>1232</v>
      </c>
      <c r="D763" s="332" t="s">
        <v>1233</v>
      </c>
      <c r="E763" s="332" t="s">
        <v>1234</v>
      </c>
      <c r="F763" s="336">
        <v>153400</v>
      </c>
      <c r="G763" s="330" t="s">
        <v>236</v>
      </c>
      <c r="H763" s="329">
        <v>151.02957645647075</v>
      </c>
      <c r="I763" s="336"/>
      <c r="J763" s="336"/>
      <c r="K763" s="336">
        <v>151.02957645647075</v>
      </c>
      <c r="L763" s="336"/>
      <c r="M763" s="336"/>
    </row>
    <row r="764" spans="1:13" hidden="1" outlineLevel="2" x14ac:dyDescent="0.35">
      <c r="A764" s="341" t="s">
        <v>81</v>
      </c>
      <c r="B764" s="331">
        <v>43823</v>
      </c>
      <c r="C764" s="332" t="s">
        <v>415</v>
      </c>
      <c r="D764" s="332" t="s">
        <v>1235</v>
      </c>
      <c r="E764" s="332" t="s">
        <v>623</v>
      </c>
      <c r="F764" s="336">
        <v>6336600</v>
      </c>
      <c r="G764" s="330" t="s">
        <v>236</v>
      </c>
      <c r="H764" s="329">
        <v>6238.6832736249844</v>
      </c>
      <c r="I764" s="336"/>
      <c r="J764" s="336"/>
      <c r="K764" s="336">
        <v>6238.6832736249844</v>
      </c>
      <c r="L764" s="336"/>
      <c r="M764" s="336"/>
    </row>
    <row r="765" spans="1:13" hidden="1" outlineLevel="2" x14ac:dyDescent="0.35">
      <c r="A765" s="341" t="s">
        <v>81</v>
      </c>
      <c r="B765" s="331">
        <v>44347</v>
      </c>
      <c r="C765" s="332" t="s">
        <v>1236</v>
      </c>
      <c r="D765" s="332" t="s">
        <v>1237</v>
      </c>
      <c r="E765" s="332" t="s">
        <v>623</v>
      </c>
      <c r="F765" s="336">
        <v>3371850</v>
      </c>
      <c r="G765" s="330" t="s">
        <v>236</v>
      </c>
      <c r="H765" s="329">
        <v>2874.9572790890497</v>
      </c>
      <c r="I765" s="336"/>
      <c r="J765" s="336"/>
      <c r="K765" s="336">
        <v>2874.9572790890497</v>
      </c>
      <c r="L765" s="336"/>
      <c r="M765" s="336"/>
    </row>
    <row r="766" spans="1:13" outlineLevel="1" collapsed="1" x14ac:dyDescent="0.35">
      <c r="A766" s="342" t="s">
        <v>1238</v>
      </c>
      <c r="B766" s="331"/>
      <c r="C766" s="332"/>
      <c r="D766" s="332"/>
      <c r="E766" s="332"/>
      <c r="F766" s="336"/>
      <c r="G766" s="330"/>
      <c r="H766" s="329">
        <f t="shared" ref="H766:M766" si="30">SUBTOTAL(9,H762:H765)</f>
        <v>9376.7166485044399</v>
      </c>
      <c r="I766" s="336">
        <f t="shared" si="30"/>
        <v>0</v>
      </c>
      <c r="J766" s="336">
        <f t="shared" si="30"/>
        <v>0</v>
      </c>
      <c r="K766" s="336">
        <f t="shared" si="30"/>
        <v>9376.7166485044399</v>
      </c>
      <c r="L766" s="336">
        <f t="shared" si="30"/>
        <v>0</v>
      </c>
      <c r="M766" s="336">
        <f t="shared" si="30"/>
        <v>0</v>
      </c>
    </row>
    <row r="767" spans="1:13" hidden="1" outlineLevel="2" x14ac:dyDescent="0.35">
      <c r="A767" s="335" t="s">
        <v>207</v>
      </c>
      <c r="B767" s="331">
        <v>44413</v>
      </c>
      <c r="C767" s="332" t="s">
        <v>1239</v>
      </c>
      <c r="D767" s="332" t="s">
        <v>1240</v>
      </c>
      <c r="E767" s="332" t="s">
        <v>1241</v>
      </c>
      <c r="F767" s="336">
        <v>200000</v>
      </c>
      <c r="G767" s="330" t="s">
        <v>236</v>
      </c>
      <c r="H767" s="329">
        <v>170.52699729163811</v>
      </c>
      <c r="I767" s="333"/>
      <c r="J767" s="333">
        <v>170.52699729163811</v>
      </c>
      <c r="K767" s="333"/>
      <c r="L767" s="333"/>
      <c r="M767" s="336"/>
    </row>
    <row r="768" spans="1:13" hidden="1" outlineLevel="2" x14ac:dyDescent="0.35">
      <c r="A768" s="335" t="s">
        <v>207</v>
      </c>
      <c r="B768" s="331">
        <v>44217</v>
      </c>
      <c r="C768" s="332" t="s">
        <v>373</v>
      </c>
      <c r="D768" s="332" t="s">
        <v>1242</v>
      </c>
      <c r="E768" s="332" t="s">
        <v>307</v>
      </c>
      <c r="F768" s="336">
        <v>169549</v>
      </c>
      <c r="G768" s="330" t="s">
        <v>236</v>
      </c>
      <c r="H768" s="329">
        <v>149.64686404058182</v>
      </c>
      <c r="I768" s="336"/>
      <c r="J768" s="336">
        <v>149.64686404058182</v>
      </c>
      <c r="K768" s="336"/>
      <c r="L768" s="336"/>
      <c r="M768" s="336"/>
    </row>
    <row r="769" spans="1:13" hidden="1" outlineLevel="2" x14ac:dyDescent="0.35">
      <c r="A769" s="335" t="s">
        <v>207</v>
      </c>
      <c r="B769" s="331">
        <v>44217</v>
      </c>
      <c r="C769" s="332" t="s">
        <v>373</v>
      </c>
      <c r="D769" s="332" t="s">
        <v>1243</v>
      </c>
      <c r="E769" s="332" t="s">
        <v>1244</v>
      </c>
      <c r="F769" s="336">
        <v>201553</v>
      </c>
      <c r="G769" s="330" t="s">
        <v>236</v>
      </c>
      <c r="H769" s="329">
        <v>177.89414498446695</v>
      </c>
      <c r="I769" s="336"/>
      <c r="J769" s="336">
        <v>177.89414498446695</v>
      </c>
      <c r="K769" s="336"/>
      <c r="L769" s="336"/>
      <c r="M769" s="336"/>
    </row>
    <row r="770" spans="1:13" hidden="1" outlineLevel="2" x14ac:dyDescent="0.35">
      <c r="A770" s="335" t="s">
        <v>207</v>
      </c>
      <c r="B770" s="331">
        <v>44217</v>
      </c>
      <c r="C770" s="332" t="s">
        <v>373</v>
      </c>
      <c r="D770" s="332" t="s">
        <v>1245</v>
      </c>
      <c r="E770" s="332" t="s">
        <v>1073</v>
      </c>
      <c r="F770" s="336">
        <v>170549</v>
      </c>
      <c r="G770" s="330" t="s">
        <v>236</v>
      </c>
      <c r="H770" s="329">
        <v>150.52948124292794</v>
      </c>
      <c r="I770" s="336"/>
      <c r="J770" s="336">
        <v>150.52948124292794</v>
      </c>
      <c r="K770" s="336"/>
      <c r="L770" s="336"/>
      <c r="M770" s="336"/>
    </row>
    <row r="771" spans="1:13" hidden="1" outlineLevel="2" x14ac:dyDescent="0.35">
      <c r="A771" s="347" t="s">
        <v>207</v>
      </c>
      <c r="B771" s="344">
        <v>44217</v>
      </c>
      <c r="C771" s="345" t="s">
        <v>373</v>
      </c>
      <c r="D771" s="345" t="s">
        <v>1246</v>
      </c>
      <c r="E771" s="345" t="s">
        <v>1247</v>
      </c>
      <c r="F771" s="346">
        <v>224732</v>
      </c>
      <c r="G771" s="330" t="s">
        <v>236</v>
      </c>
      <c r="H771" s="329">
        <v>198.3523291176476</v>
      </c>
      <c r="I771" s="346"/>
      <c r="J771" s="336">
        <v>198.3523291176476</v>
      </c>
      <c r="K771" s="346"/>
      <c r="L771" s="346"/>
      <c r="M771" s="346"/>
    </row>
    <row r="772" spans="1:13" hidden="1" outlineLevel="2" x14ac:dyDescent="0.35">
      <c r="A772" s="340" t="s">
        <v>207</v>
      </c>
      <c r="B772" s="327">
        <v>44217</v>
      </c>
      <c r="C772" s="328" t="s">
        <v>373</v>
      </c>
      <c r="D772" s="328" t="s">
        <v>1248</v>
      </c>
      <c r="E772" s="328" t="s">
        <v>1062</v>
      </c>
      <c r="F772" s="338">
        <v>59176</v>
      </c>
      <c r="G772" s="330" t="s">
        <v>236</v>
      </c>
      <c r="H772" s="329">
        <v>52.22975556603383</v>
      </c>
      <c r="I772" s="338"/>
      <c r="J772" s="336">
        <v>52.22975556603383</v>
      </c>
      <c r="K772" s="338"/>
      <c r="L772" s="338"/>
      <c r="M772" s="338"/>
    </row>
    <row r="773" spans="1:13" hidden="1" outlineLevel="2" x14ac:dyDescent="0.35">
      <c r="A773" s="335" t="s">
        <v>207</v>
      </c>
      <c r="B773" s="331">
        <v>44217</v>
      </c>
      <c r="C773" s="332" t="s">
        <v>373</v>
      </c>
      <c r="D773" s="332" t="s">
        <v>1249</v>
      </c>
      <c r="E773" s="332" t="s">
        <v>1250</v>
      </c>
      <c r="F773" s="336">
        <v>59176</v>
      </c>
      <c r="G773" s="330" t="s">
        <v>236</v>
      </c>
      <c r="H773" s="329">
        <v>52.22975556603383</v>
      </c>
      <c r="I773" s="336"/>
      <c r="J773" s="336">
        <v>52.22975556603383</v>
      </c>
      <c r="K773" s="336"/>
      <c r="L773" s="336"/>
      <c r="M773" s="336"/>
    </row>
    <row r="774" spans="1:13" hidden="1" outlineLevel="2" x14ac:dyDescent="0.35">
      <c r="A774" s="335" t="s">
        <v>207</v>
      </c>
      <c r="B774" s="331">
        <v>44217</v>
      </c>
      <c r="C774" s="332" t="s">
        <v>376</v>
      </c>
      <c r="D774" s="332" t="s">
        <v>1251</v>
      </c>
      <c r="E774" s="332" t="s">
        <v>307</v>
      </c>
      <c r="F774" s="336">
        <v>346562</v>
      </c>
      <c r="G774" s="330" t="s">
        <v>236</v>
      </c>
      <c r="H774" s="329">
        <v>305.88158287947505</v>
      </c>
      <c r="I774" s="336"/>
      <c r="J774" s="336">
        <v>305.88158287947505</v>
      </c>
      <c r="K774" s="336"/>
      <c r="L774" s="336"/>
      <c r="M774" s="336"/>
    </row>
    <row r="775" spans="1:13" hidden="1" outlineLevel="2" x14ac:dyDescent="0.35">
      <c r="A775" s="335" t="s">
        <v>207</v>
      </c>
      <c r="B775" s="331">
        <v>44217</v>
      </c>
      <c r="C775" s="332" t="s">
        <v>376</v>
      </c>
      <c r="D775" s="332" t="s">
        <v>1252</v>
      </c>
      <c r="E775" s="332" t="s">
        <v>1244</v>
      </c>
      <c r="F775" s="336">
        <v>125849</v>
      </c>
      <c r="G775" s="330" t="s">
        <v>236</v>
      </c>
      <c r="H775" s="329">
        <v>111.07649229805649</v>
      </c>
      <c r="I775" s="336"/>
      <c r="J775" s="336">
        <v>111.07649229805649</v>
      </c>
      <c r="K775" s="336"/>
      <c r="L775" s="336"/>
      <c r="M775" s="336"/>
    </row>
    <row r="776" spans="1:13" hidden="1" outlineLevel="2" x14ac:dyDescent="0.35">
      <c r="A776" s="335" t="s">
        <v>207</v>
      </c>
      <c r="B776" s="331">
        <v>44217</v>
      </c>
      <c r="C776" s="332" t="s">
        <v>376</v>
      </c>
      <c r="D776" s="332" t="s">
        <v>1253</v>
      </c>
      <c r="E776" s="332" t="s">
        <v>1073</v>
      </c>
      <c r="F776" s="336">
        <v>345562</v>
      </c>
      <c r="G776" s="330" t="s">
        <v>236</v>
      </c>
      <c r="H776" s="329">
        <v>304.99896567712892</v>
      </c>
      <c r="I776" s="336"/>
      <c r="J776" s="336">
        <v>304.99896567712892</v>
      </c>
      <c r="K776" s="336"/>
      <c r="L776" s="336"/>
      <c r="M776" s="336"/>
    </row>
    <row r="777" spans="1:13" hidden="1" outlineLevel="2" x14ac:dyDescent="0.35">
      <c r="A777" s="335" t="s">
        <v>207</v>
      </c>
      <c r="B777" s="331">
        <v>44217</v>
      </c>
      <c r="C777" s="332" t="s">
        <v>376</v>
      </c>
      <c r="D777" s="332" t="s">
        <v>1254</v>
      </c>
      <c r="E777" s="332" t="s">
        <v>1247</v>
      </c>
      <c r="F777" s="336">
        <v>143550</v>
      </c>
      <c r="G777" s="330" t="s">
        <v>236</v>
      </c>
      <c r="H777" s="329">
        <v>126.69969939678512</v>
      </c>
      <c r="I777" s="336"/>
      <c r="J777" s="336">
        <v>126.69969939678512</v>
      </c>
      <c r="K777" s="336"/>
      <c r="L777" s="336"/>
      <c r="M777" s="336"/>
    </row>
    <row r="778" spans="1:13" hidden="1" outlineLevel="2" x14ac:dyDescent="0.35">
      <c r="A778" s="335" t="s">
        <v>207</v>
      </c>
      <c r="B778" s="331">
        <v>44217</v>
      </c>
      <c r="C778" s="332" t="s">
        <v>376</v>
      </c>
      <c r="D778" s="332" t="s">
        <v>1255</v>
      </c>
      <c r="E778" s="332" t="s">
        <v>1062</v>
      </c>
      <c r="F778" s="336">
        <v>198352</v>
      </c>
      <c r="G778" s="330" t="s">
        <v>236</v>
      </c>
      <c r="H778" s="329">
        <v>175.06888731975704</v>
      </c>
      <c r="I778" s="336"/>
      <c r="J778" s="336">
        <v>175.06888731975704</v>
      </c>
      <c r="K778" s="336"/>
      <c r="L778" s="336"/>
      <c r="M778" s="336"/>
    </row>
    <row r="779" spans="1:13" hidden="1" outlineLevel="2" x14ac:dyDescent="0.35">
      <c r="A779" s="347" t="s">
        <v>207</v>
      </c>
      <c r="B779" s="344">
        <v>44217</v>
      </c>
      <c r="C779" s="345" t="s">
        <v>376</v>
      </c>
      <c r="D779" s="345" t="s">
        <v>1256</v>
      </c>
      <c r="E779" s="345" t="s">
        <v>1250</v>
      </c>
      <c r="F779" s="346">
        <v>198352</v>
      </c>
      <c r="G779" s="330" t="s">
        <v>236</v>
      </c>
      <c r="H779" s="329">
        <v>175.06888731975704</v>
      </c>
      <c r="I779" s="336"/>
      <c r="J779" s="346">
        <v>175.06888731975704</v>
      </c>
      <c r="K779" s="346"/>
      <c r="L779" s="346"/>
      <c r="M779" s="346"/>
    </row>
    <row r="780" spans="1:13" hidden="1" outlineLevel="2" x14ac:dyDescent="0.35">
      <c r="A780" s="340" t="s">
        <v>207</v>
      </c>
      <c r="B780" s="327">
        <v>44405</v>
      </c>
      <c r="C780" s="328" t="s">
        <v>440</v>
      </c>
      <c r="D780" s="328" t="s">
        <v>1257</v>
      </c>
      <c r="E780" s="328" t="s">
        <v>285</v>
      </c>
      <c r="F780" s="338">
        <v>240526</v>
      </c>
      <c r="G780" s="330" t="s">
        <v>236</v>
      </c>
      <c r="H780" s="329">
        <v>205.08088275284274</v>
      </c>
      <c r="I780" s="329"/>
      <c r="J780" s="333">
        <v>205.08088275284274</v>
      </c>
      <c r="K780" s="329"/>
      <c r="L780" s="329"/>
      <c r="M780" s="338"/>
    </row>
    <row r="781" spans="1:13" hidden="1" outlineLevel="2" x14ac:dyDescent="0.35">
      <c r="A781" s="335" t="s">
        <v>207</v>
      </c>
      <c r="B781" s="331">
        <v>44397</v>
      </c>
      <c r="C781" s="332" t="s">
        <v>1142</v>
      </c>
      <c r="D781" s="332" t="s">
        <v>1258</v>
      </c>
      <c r="E781" s="332" t="s">
        <v>1259</v>
      </c>
      <c r="F781" s="336">
        <v>1398380</v>
      </c>
      <c r="G781" s="330" t="s">
        <v>236</v>
      </c>
      <c r="H781" s="329">
        <v>1192.3077123634043</v>
      </c>
      <c r="I781" s="333"/>
      <c r="J781" s="333">
        <v>1192.3077123634043</v>
      </c>
      <c r="K781" s="333"/>
      <c r="L781" s="333"/>
      <c r="M781" s="336"/>
    </row>
    <row r="782" spans="1:13" hidden="1" outlineLevel="2" x14ac:dyDescent="0.35">
      <c r="A782" s="335" t="s">
        <v>207</v>
      </c>
      <c r="B782" s="331">
        <v>44405</v>
      </c>
      <c r="C782" s="332" t="s">
        <v>790</v>
      </c>
      <c r="D782" s="332" t="s">
        <v>1260</v>
      </c>
      <c r="E782" s="332" t="s">
        <v>1259</v>
      </c>
      <c r="F782" s="336">
        <v>1205500</v>
      </c>
      <c r="G782" s="330" t="s">
        <v>236</v>
      </c>
      <c r="H782" s="329">
        <v>1027.8514761753486</v>
      </c>
      <c r="I782" s="333"/>
      <c r="J782" s="333">
        <v>1027.8514761753486</v>
      </c>
      <c r="K782" s="333"/>
      <c r="L782" s="333"/>
      <c r="M782" s="336"/>
    </row>
    <row r="783" spans="1:13" hidden="1" outlineLevel="2" x14ac:dyDescent="0.35">
      <c r="A783" s="335" t="s">
        <v>207</v>
      </c>
      <c r="B783" s="331">
        <v>44405</v>
      </c>
      <c r="C783" s="332" t="s">
        <v>1261</v>
      </c>
      <c r="D783" s="332" t="s">
        <v>1262</v>
      </c>
      <c r="E783" s="332" t="s">
        <v>285</v>
      </c>
      <c r="F783" s="336">
        <v>232232</v>
      </c>
      <c r="G783" s="330" t="s">
        <v>236</v>
      </c>
      <c r="H783" s="329">
        <v>198.00912817515851</v>
      </c>
      <c r="I783" s="333"/>
      <c r="J783" s="333">
        <v>198.00912817515851</v>
      </c>
      <c r="K783" s="333"/>
      <c r="L783" s="333"/>
      <c r="M783" s="336"/>
    </row>
    <row r="784" spans="1:13" hidden="1" outlineLevel="2" x14ac:dyDescent="0.35">
      <c r="A784" s="335" t="s">
        <v>207</v>
      </c>
      <c r="B784" s="331">
        <v>44407</v>
      </c>
      <c r="C784" s="332" t="s">
        <v>378</v>
      </c>
      <c r="D784" s="332" t="s">
        <v>1263</v>
      </c>
      <c r="E784" s="332" t="s">
        <v>239</v>
      </c>
      <c r="F784" s="336">
        <v>169549</v>
      </c>
      <c r="G784" s="330" t="s">
        <v>236</v>
      </c>
      <c r="H784" s="329">
        <v>144.56340931899973</v>
      </c>
      <c r="I784" s="333"/>
      <c r="J784" s="333">
        <v>144.56340931899973</v>
      </c>
      <c r="K784" s="333"/>
      <c r="L784" s="333"/>
      <c r="M784" s="336"/>
    </row>
    <row r="785" spans="1:13" hidden="1" outlineLevel="2" x14ac:dyDescent="0.35">
      <c r="A785" s="335" t="s">
        <v>207</v>
      </c>
      <c r="B785" s="331">
        <v>44407</v>
      </c>
      <c r="C785" s="332" t="s">
        <v>378</v>
      </c>
      <c r="D785" s="332" t="s">
        <v>1264</v>
      </c>
      <c r="E785" s="332" t="s">
        <v>1244</v>
      </c>
      <c r="F785" s="336">
        <v>201553</v>
      </c>
      <c r="G785" s="330" t="s">
        <v>236</v>
      </c>
      <c r="H785" s="329">
        <v>171.85113942560767</v>
      </c>
      <c r="I785" s="333"/>
      <c r="J785" s="333">
        <v>171.85113942560767</v>
      </c>
      <c r="K785" s="333"/>
      <c r="L785" s="333"/>
      <c r="M785" s="336"/>
    </row>
    <row r="786" spans="1:13" hidden="1" outlineLevel="2" x14ac:dyDescent="0.35">
      <c r="A786" s="335" t="s">
        <v>207</v>
      </c>
      <c r="B786" s="331">
        <v>44407</v>
      </c>
      <c r="C786" s="332" t="s">
        <v>378</v>
      </c>
      <c r="D786" s="332" t="s">
        <v>1265</v>
      </c>
      <c r="E786" s="332" t="s">
        <v>1073</v>
      </c>
      <c r="F786" s="336">
        <v>204549</v>
      </c>
      <c r="G786" s="330" t="s">
        <v>236</v>
      </c>
      <c r="H786" s="329">
        <v>174.40563384503642</v>
      </c>
      <c r="I786" s="333"/>
      <c r="J786" s="333">
        <v>174.40563384503642</v>
      </c>
      <c r="K786" s="333"/>
      <c r="L786" s="333"/>
      <c r="M786" s="336"/>
    </row>
    <row r="787" spans="1:13" hidden="1" outlineLevel="2" x14ac:dyDescent="0.35">
      <c r="A787" s="335" t="s">
        <v>207</v>
      </c>
      <c r="B787" s="331">
        <v>44407</v>
      </c>
      <c r="C787" s="332" t="s">
        <v>378</v>
      </c>
      <c r="D787" s="332" t="s">
        <v>1266</v>
      </c>
      <c r="E787" s="332" t="s">
        <v>1267</v>
      </c>
      <c r="F787" s="336">
        <v>50732</v>
      </c>
      <c r="G787" s="330" t="s">
        <v>236</v>
      </c>
      <c r="H787" s="329">
        <v>43.255878132996919</v>
      </c>
      <c r="I787" s="333"/>
      <c r="J787" s="333">
        <v>43.255878132996919</v>
      </c>
      <c r="K787" s="333"/>
      <c r="L787" s="333"/>
      <c r="M787" s="336"/>
    </row>
    <row r="788" spans="1:13" hidden="1" outlineLevel="2" x14ac:dyDescent="0.35">
      <c r="A788" s="335" t="s">
        <v>207</v>
      </c>
      <c r="B788" s="331">
        <v>44407</v>
      </c>
      <c r="C788" s="332" t="s">
        <v>378</v>
      </c>
      <c r="D788" s="332" t="s">
        <v>1268</v>
      </c>
      <c r="E788" s="332" t="s">
        <v>1269</v>
      </c>
      <c r="F788" s="336">
        <v>162176</v>
      </c>
      <c r="G788" s="330" t="s">
        <v>236</v>
      </c>
      <c r="H788" s="329">
        <v>138.2769315638435</v>
      </c>
      <c r="I788" s="333"/>
      <c r="J788" s="333">
        <v>138.2769315638435</v>
      </c>
      <c r="K788" s="333"/>
      <c r="L788" s="333"/>
      <c r="M788" s="336"/>
    </row>
    <row r="789" spans="1:13" hidden="1" outlineLevel="2" x14ac:dyDescent="0.35">
      <c r="A789" s="335" t="s">
        <v>207</v>
      </c>
      <c r="B789" s="331">
        <v>44407</v>
      </c>
      <c r="C789" s="332" t="s">
        <v>378</v>
      </c>
      <c r="D789" s="332" t="s">
        <v>1270</v>
      </c>
      <c r="E789" s="332" t="s">
        <v>1271</v>
      </c>
      <c r="F789" s="336">
        <v>162176</v>
      </c>
      <c r="G789" s="330" t="s">
        <v>236</v>
      </c>
      <c r="H789" s="329">
        <v>138.2769315638435</v>
      </c>
      <c r="I789" s="333"/>
      <c r="J789" s="333">
        <v>138.2769315638435</v>
      </c>
      <c r="K789" s="333"/>
      <c r="L789" s="333"/>
      <c r="M789" s="336"/>
    </row>
    <row r="790" spans="1:13" hidden="1" outlineLevel="2" x14ac:dyDescent="0.35">
      <c r="A790" s="335" t="s">
        <v>207</v>
      </c>
      <c r="B790" s="331">
        <v>44407</v>
      </c>
      <c r="C790" s="332" t="s">
        <v>378</v>
      </c>
      <c r="D790" s="332" t="s">
        <v>1272</v>
      </c>
      <c r="E790" s="332" t="s">
        <v>239</v>
      </c>
      <c r="F790" s="336">
        <v>346562</v>
      </c>
      <c r="G790" s="330" t="s">
        <v>236</v>
      </c>
      <c r="H790" s="329">
        <v>295.49088617692342</v>
      </c>
      <c r="I790" s="333"/>
      <c r="J790" s="333">
        <v>295.49088617692342</v>
      </c>
      <c r="K790" s="333"/>
      <c r="L790" s="333"/>
      <c r="M790" s="336"/>
    </row>
    <row r="791" spans="1:13" hidden="1" outlineLevel="2" x14ac:dyDescent="0.35">
      <c r="A791" s="347" t="s">
        <v>207</v>
      </c>
      <c r="B791" s="344">
        <v>44407</v>
      </c>
      <c r="C791" s="345" t="s">
        <v>381</v>
      </c>
      <c r="D791" s="345" t="s">
        <v>1273</v>
      </c>
      <c r="E791" s="345" t="s">
        <v>1244</v>
      </c>
      <c r="F791" s="346">
        <v>125849</v>
      </c>
      <c r="G791" s="330" t="s">
        <v>236</v>
      </c>
      <c r="H791" s="329">
        <v>107.30326041077682</v>
      </c>
      <c r="I791" s="348"/>
      <c r="J791" s="348">
        <v>107.30326041077682</v>
      </c>
      <c r="K791" s="348"/>
      <c r="L791" s="333"/>
      <c r="M791" s="346"/>
    </row>
    <row r="792" spans="1:13" hidden="1" outlineLevel="2" x14ac:dyDescent="0.35">
      <c r="A792" s="340" t="s">
        <v>207</v>
      </c>
      <c r="B792" s="327">
        <v>44407</v>
      </c>
      <c r="C792" s="328" t="s">
        <v>381</v>
      </c>
      <c r="D792" s="328" t="s">
        <v>1274</v>
      </c>
      <c r="E792" s="328" t="s">
        <v>1073</v>
      </c>
      <c r="F792" s="338">
        <v>311562</v>
      </c>
      <c r="G792" s="330" t="s">
        <v>236</v>
      </c>
      <c r="H792" s="329">
        <v>265.64866165088677</v>
      </c>
      <c r="I792" s="329"/>
      <c r="J792" s="329">
        <v>265.64866165088677</v>
      </c>
      <c r="K792" s="329"/>
      <c r="L792" s="333"/>
      <c r="M792" s="338"/>
    </row>
    <row r="793" spans="1:13" hidden="1" outlineLevel="2" x14ac:dyDescent="0.35">
      <c r="A793" s="335" t="s">
        <v>207</v>
      </c>
      <c r="B793" s="331">
        <v>44407</v>
      </c>
      <c r="C793" s="332" t="s">
        <v>381</v>
      </c>
      <c r="D793" s="332" t="s">
        <v>1275</v>
      </c>
      <c r="E793" s="332" t="s">
        <v>1267</v>
      </c>
      <c r="F793" s="336">
        <v>317550</v>
      </c>
      <c r="G793" s="330" t="s">
        <v>236</v>
      </c>
      <c r="H793" s="329">
        <v>270.75423994979838</v>
      </c>
      <c r="I793" s="333"/>
      <c r="J793" s="333">
        <v>270.75423994979838</v>
      </c>
      <c r="K793" s="333"/>
      <c r="L793" s="333"/>
      <c r="M793" s="336"/>
    </row>
    <row r="794" spans="1:13" hidden="1" outlineLevel="2" x14ac:dyDescent="0.35">
      <c r="A794" s="335" t="s">
        <v>207</v>
      </c>
      <c r="B794" s="331">
        <v>44407</v>
      </c>
      <c r="C794" s="332" t="s">
        <v>381</v>
      </c>
      <c r="D794" s="332" t="s">
        <v>1276</v>
      </c>
      <c r="E794" s="332" t="s">
        <v>1269</v>
      </c>
      <c r="F794" s="336">
        <v>96593</v>
      </c>
      <c r="G794" s="330" t="s">
        <v>236</v>
      </c>
      <c r="H794" s="329">
        <v>82.358571246955989</v>
      </c>
      <c r="I794" s="333"/>
      <c r="J794" s="333">
        <v>82.358571246955989</v>
      </c>
      <c r="K794" s="333"/>
      <c r="L794" s="333"/>
      <c r="M794" s="336"/>
    </row>
    <row r="795" spans="1:13" hidden="1" outlineLevel="2" x14ac:dyDescent="0.35">
      <c r="A795" s="335" t="s">
        <v>207</v>
      </c>
      <c r="B795" s="331">
        <v>44407</v>
      </c>
      <c r="C795" s="332" t="s">
        <v>381</v>
      </c>
      <c r="D795" s="332" t="s">
        <v>1277</v>
      </c>
      <c r="E795" s="332" t="s">
        <v>1271</v>
      </c>
      <c r="F795" s="336">
        <v>96593</v>
      </c>
      <c r="G795" s="330" t="s">
        <v>236</v>
      </c>
      <c r="H795" s="329">
        <v>82.358571246955989</v>
      </c>
      <c r="I795" s="333"/>
      <c r="J795" s="333">
        <v>82.358571246955989</v>
      </c>
      <c r="K795" s="333"/>
      <c r="L795" s="333"/>
      <c r="M795" s="336"/>
    </row>
    <row r="796" spans="1:13" hidden="1" outlineLevel="2" x14ac:dyDescent="0.35">
      <c r="A796" s="335" t="s">
        <v>207</v>
      </c>
      <c r="B796" s="331">
        <v>44413</v>
      </c>
      <c r="C796" s="332" t="s">
        <v>1278</v>
      </c>
      <c r="D796" s="332" t="s">
        <v>1240</v>
      </c>
      <c r="E796" s="332" t="s">
        <v>1279</v>
      </c>
      <c r="F796" s="336">
        <v>200000</v>
      </c>
      <c r="G796" s="330" t="s">
        <v>236</v>
      </c>
      <c r="H796" s="329">
        <v>170.52699729163811</v>
      </c>
      <c r="I796" s="333"/>
      <c r="J796" s="333">
        <v>170.52699729163811</v>
      </c>
      <c r="K796" s="333"/>
      <c r="L796" s="333"/>
      <c r="M796" s="336"/>
    </row>
    <row r="797" spans="1:13" hidden="1" outlineLevel="2" x14ac:dyDescent="0.35">
      <c r="A797" s="335" t="s">
        <v>207</v>
      </c>
      <c r="B797" s="331">
        <v>44413</v>
      </c>
      <c r="C797" s="332" t="s">
        <v>1280</v>
      </c>
      <c r="D797" s="332" t="s">
        <v>1240</v>
      </c>
      <c r="E797" s="332" t="s">
        <v>1281</v>
      </c>
      <c r="F797" s="336">
        <v>200000</v>
      </c>
      <c r="G797" s="330" t="s">
        <v>236</v>
      </c>
      <c r="H797" s="329">
        <v>170.52699729163811</v>
      </c>
      <c r="I797" s="333"/>
      <c r="J797" s="333">
        <v>170.52699729163811</v>
      </c>
      <c r="K797" s="333"/>
      <c r="L797" s="333"/>
      <c r="M797" s="336"/>
    </row>
    <row r="798" spans="1:13" hidden="1" outlineLevel="2" x14ac:dyDescent="0.35">
      <c r="A798" s="335" t="s">
        <v>207</v>
      </c>
      <c r="B798" s="331">
        <v>44413</v>
      </c>
      <c r="C798" s="332" t="s">
        <v>486</v>
      </c>
      <c r="D798" s="332" t="s">
        <v>1240</v>
      </c>
      <c r="E798" s="332" t="s">
        <v>1282</v>
      </c>
      <c r="F798" s="336">
        <v>200000</v>
      </c>
      <c r="G798" s="330" t="s">
        <v>236</v>
      </c>
      <c r="H798" s="329">
        <v>170.52699729163811</v>
      </c>
      <c r="I798" s="333"/>
      <c r="J798" s="333">
        <v>170.52699729163811</v>
      </c>
      <c r="K798" s="333"/>
      <c r="L798" s="333"/>
      <c r="M798" s="336"/>
    </row>
    <row r="799" spans="1:13" hidden="1" outlineLevel="2" x14ac:dyDescent="0.35">
      <c r="A799" s="347" t="s">
        <v>207</v>
      </c>
      <c r="B799" s="344">
        <v>44413</v>
      </c>
      <c r="C799" s="345" t="s">
        <v>490</v>
      </c>
      <c r="D799" s="345" t="s">
        <v>1240</v>
      </c>
      <c r="E799" s="345" t="s">
        <v>1283</v>
      </c>
      <c r="F799" s="346">
        <v>200000</v>
      </c>
      <c r="G799" s="330" t="s">
        <v>236</v>
      </c>
      <c r="H799" s="329">
        <v>170.52699729163811</v>
      </c>
      <c r="I799" s="348"/>
      <c r="J799" s="348">
        <v>170.52699729163811</v>
      </c>
      <c r="K799" s="348"/>
      <c r="L799" s="333"/>
      <c r="M799" s="346"/>
    </row>
    <row r="800" spans="1:13" hidden="1" outlineLevel="2" x14ac:dyDescent="0.35">
      <c r="A800" s="340" t="s">
        <v>207</v>
      </c>
      <c r="B800" s="327">
        <v>44413</v>
      </c>
      <c r="C800" s="328" t="s">
        <v>1284</v>
      </c>
      <c r="D800" s="328" t="s">
        <v>1285</v>
      </c>
      <c r="E800" s="328" t="s">
        <v>1286</v>
      </c>
      <c r="F800" s="338">
        <v>200000</v>
      </c>
      <c r="G800" s="330" t="s">
        <v>236</v>
      </c>
      <c r="H800" s="329">
        <v>170.52699729163811</v>
      </c>
      <c r="I800" s="329"/>
      <c r="J800" s="329">
        <v>170.52699729163811</v>
      </c>
      <c r="K800" s="329"/>
      <c r="L800" s="333"/>
      <c r="M800" s="338"/>
    </row>
    <row r="801" spans="1:13" hidden="1" outlineLevel="2" x14ac:dyDescent="0.35">
      <c r="A801" s="335" t="s">
        <v>207</v>
      </c>
      <c r="B801" s="331">
        <v>44419</v>
      </c>
      <c r="C801" s="332" t="s">
        <v>1287</v>
      </c>
      <c r="D801" s="332" t="s">
        <v>1288</v>
      </c>
      <c r="E801" s="332" t="s">
        <v>285</v>
      </c>
      <c r="F801" s="336">
        <v>211764</v>
      </c>
      <c r="G801" s="330" t="s">
        <v>236</v>
      </c>
      <c r="H801" s="329">
        <v>180.55739527233226</v>
      </c>
      <c r="I801" s="333"/>
      <c r="J801" s="333">
        <v>180.55739527233226</v>
      </c>
      <c r="K801" s="333"/>
      <c r="L801" s="333"/>
      <c r="M801" s="336"/>
    </row>
    <row r="802" spans="1:13" hidden="1" outlineLevel="2" x14ac:dyDescent="0.35">
      <c r="A802" s="335" t="s">
        <v>207</v>
      </c>
      <c r="B802" s="331">
        <v>44419</v>
      </c>
      <c r="C802" s="332" t="s">
        <v>492</v>
      </c>
      <c r="D802" s="332" t="s">
        <v>1289</v>
      </c>
      <c r="E802" s="332" t="s">
        <v>285</v>
      </c>
      <c r="F802" s="336">
        <v>9000</v>
      </c>
      <c r="G802" s="330" t="s">
        <v>236</v>
      </c>
      <c r="H802" s="329">
        <v>7.6737148781237146</v>
      </c>
      <c r="I802" s="333"/>
      <c r="J802" s="333">
        <v>7.6737148781237146</v>
      </c>
      <c r="K802" s="333"/>
      <c r="L802" s="333"/>
      <c r="M802" s="336"/>
    </row>
    <row r="803" spans="1:13" hidden="1" outlineLevel="2" x14ac:dyDescent="0.35">
      <c r="A803" s="335" t="s">
        <v>207</v>
      </c>
      <c r="B803" s="331">
        <v>44441</v>
      </c>
      <c r="C803" s="332" t="s">
        <v>1290</v>
      </c>
      <c r="D803" s="332" t="s">
        <v>1291</v>
      </c>
      <c r="E803" s="332" t="s">
        <v>1292</v>
      </c>
      <c r="F803" s="336">
        <v>51000</v>
      </c>
      <c r="G803" s="330" t="s">
        <v>236</v>
      </c>
      <c r="H803" s="329">
        <v>43.484384309367712</v>
      </c>
      <c r="I803" s="333"/>
      <c r="J803" s="333">
        <v>43.484384309367712</v>
      </c>
      <c r="K803" s="333"/>
      <c r="L803" s="333"/>
      <c r="M803" s="336"/>
    </row>
    <row r="804" spans="1:13" hidden="1" outlineLevel="2" x14ac:dyDescent="0.35">
      <c r="A804" s="335" t="s">
        <v>207</v>
      </c>
      <c r="B804" s="331">
        <v>44428</v>
      </c>
      <c r="C804" s="332" t="s">
        <v>384</v>
      </c>
      <c r="D804" s="332" t="s">
        <v>1293</v>
      </c>
      <c r="E804" s="332" t="s">
        <v>239</v>
      </c>
      <c r="F804" s="336">
        <v>170549</v>
      </c>
      <c r="G804" s="330" t="s">
        <v>236</v>
      </c>
      <c r="H804" s="329">
        <v>145.41604430545794</v>
      </c>
      <c r="I804" s="333"/>
      <c r="J804" s="333">
        <v>145.41604430545794</v>
      </c>
      <c r="K804" s="333"/>
      <c r="L804" s="333"/>
      <c r="M804" s="336"/>
    </row>
    <row r="805" spans="1:13" hidden="1" outlineLevel="2" x14ac:dyDescent="0.35">
      <c r="A805" s="335" t="s">
        <v>207</v>
      </c>
      <c r="B805" s="331">
        <v>44428</v>
      </c>
      <c r="C805" s="332" t="s">
        <v>384</v>
      </c>
      <c r="D805" s="332" t="s">
        <v>1294</v>
      </c>
      <c r="E805" s="332" t="s">
        <v>1244</v>
      </c>
      <c r="F805" s="336">
        <v>201553</v>
      </c>
      <c r="G805" s="330" t="s">
        <v>236</v>
      </c>
      <c r="H805" s="329">
        <v>171.85113942560767</v>
      </c>
      <c r="I805" s="333"/>
      <c r="J805" s="333">
        <v>171.85113942560767</v>
      </c>
      <c r="K805" s="333"/>
      <c r="L805" s="333"/>
      <c r="M805" s="336"/>
    </row>
    <row r="806" spans="1:13" hidden="1" outlineLevel="2" x14ac:dyDescent="0.35">
      <c r="A806" s="347" t="s">
        <v>207</v>
      </c>
      <c r="B806" s="344">
        <v>44428</v>
      </c>
      <c r="C806" s="345" t="s">
        <v>384</v>
      </c>
      <c r="D806" s="345" t="s">
        <v>1295</v>
      </c>
      <c r="E806" s="345" t="s">
        <v>1296</v>
      </c>
      <c r="F806" s="346">
        <v>204549</v>
      </c>
      <c r="G806" s="330" t="s">
        <v>236</v>
      </c>
      <c r="H806" s="329">
        <v>174.40563384503642</v>
      </c>
      <c r="I806" s="348"/>
      <c r="J806" s="348">
        <v>174.40563384503642</v>
      </c>
      <c r="K806" s="348"/>
      <c r="L806" s="348"/>
      <c r="M806" s="346"/>
    </row>
    <row r="807" spans="1:13" hidden="1" outlineLevel="2" x14ac:dyDescent="0.35">
      <c r="A807" s="340" t="s">
        <v>207</v>
      </c>
      <c r="B807" s="327">
        <v>44428</v>
      </c>
      <c r="C807" s="328" t="s">
        <v>384</v>
      </c>
      <c r="D807" s="328" t="s">
        <v>1297</v>
      </c>
      <c r="E807" s="328" t="s">
        <v>1267</v>
      </c>
      <c r="F807" s="338">
        <v>52732</v>
      </c>
      <c r="G807" s="330" t="s">
        <v>236</v>
      </c>
      <c r="H807" s="329">
        <v>44.961148105913303</v>
      </c>
      <c r="I807" s="329"/>
      <c r="J807" s="348">
        <v>44.961148105913303</v>
      </c>
      <c r="K807" s="329"/>
      <c r="L807" s="329"/>
      <c r="M807" s="338"/>
    </row>
    <row r="808" spans="1:13" hidden="1" outlineLevel="2" x14ac:dyDescent="0.35">
      <c r="A808" s="335" t="s">
        <v>207</v>
      </c>
      <c r="B808" s="331">
        <v>44428</v>
      </c>
      <c r="C808" s="332" t="s">
        <v>384</v>
      </c>
      <c r="D808" s="332" t="s">
        <v>1298</v>
      </c>
      <c r="E808" s="332" t="s">
        <v>1269</v>
      </c>
      <c r="F808" s="336">
        <v>162176</v>
      </c>
      <c r="G808" s="330" t="s">
        <v>236</v>
      </c>
      <c r="H808" s="329">
        <v>138.2769315638435</v>
      </c>
      <c r="I808" s="333"/>
      <c r="J808" s="348">
        <v>138.2769315638435</v>
      </c>
      <c r="K808" s="333"/>
      <c r="L808" s="333"/>
      <c r="M808" s="336"/>
    </row>
    <row r="809" spans="1:13" hidden="1" outlineLevel="2" x14ac:dyDescent="0.35">
      <c r="A809" s="335" t="s">
        <v>207</v>
      </c>
      <c r="B809" s="331">
        <v>44428</v>
      </c>
      <c r="C809" s="332" t="s">
        <v>384</v>
      </c>
      <c r="D809" s="332" t="s">
        <v>1299</v>
      </c>
      <c r="E809" s="332" t="s">
        <v>1271</v>
      </c>
      <c r="F809" s="336">
        <v>162176</v>
      </c>
      <c r="G809" s="330" t="s">
        <v>236</v>
      </c>
      <c r="H809" s="329">
        <v>138.2769315638435</v>
      </c>
      <c r="I809" s="333"/>
      <c r="J809" s="333">
        <v>138.2769315638435</v>
      </c>
      <c r="K809" s="333"/>
      <c r="L809" s="333"/>
      <c r="M809" s="336"/>
    </row>
    <row r="810" spans="1:13" hidden="1" outlineLevel="2" x14ac:dyDescent="0.35">
      <c r="A810" s="335" t="s">
        <v>207</v>
      </c>
      <c r="B810" s="331">
        <v>44428</v>
      </c>
      <c r="C810" s="332" t="s">
        <v>386</v>
      </c>
      <c r="D810" s="332" t="s">
        <v>1300</v>
      </c>
      <c r="E810" s="332" t="s">
        <v>239</v>
      </c>
      <c r="F810" s="336">
        <v>345562</v>
      </c>
      <c r="G810" s="330" t="s">
        <v>236</v>
      </c>
      <c r="H810" s="329">
        <v>294.63825119046521</v>
      </c>
      <c r="I810" s="333"/>
      <c r="J810" s="333">
        <v>294.63825119046521</v>
      </c>
      <c r="K810" s="333"/>
      <c r="L810" s="333"/>
      <c r="M810" s="336"/>
    </row>
    <row r="811" spans="1:13" hidden="1" outlineLevel="2" x14ac:dyDescent="0.35">
      <c r="A811" s="335" t="s">
        <v>207</v>
      </c>
      <c r="B811" s="331">
        <v>44428</v>
      </c>
      <c r="C811" s="332" t="s">
        <v>386</v>
      </c>
      <c r="D811" s="332" t="s">
        <v>1301</v>
      </c>
      <c r="E811" s="332" t="s">
        <v>1244</v>
      </c>
      <c r="F811" s="336">
        <v>125849</v>
      </c>
      <c r="G811" s="330" t="s">
        <v>236</v>
      </c>
      <c r="H811" s="329">
        <v>107.30326041077682</v>
      </c>
      <c r="I811" s="333"/>
      <c r="J811" s="333">
        <v>107.30326041077682</v>
      </c>
      <c r="K811" s="333"/>
      <c r="L811" s="333"/>
      <c r="M811" s="336"/>
    </row>
    <row r="812" spans="1:13" hidden="1" outlineLevel="2" x14ac:dyDescent="0.35">
      <c r="A812" s="335" t="s">
        <v>207</v>
      </c>
      <c r="B812" s="331">
        <v>44428</v>
      </c>
      <c r="C812" s="332" t="s">
        <v>386</v>
      </c>
      <c r="D812" s="332" t="s">
        <v>1302</v>
      </c>
      <c r="E812" s="332" t="s">
        <v>1073</v>
      </c>
      <c r="F812" s="336">
        <v>311562</v>
      </c>
      <c r="G812" s="330" t="s">
        <v>236</v>
      </c>
      <c r="H812" s="329">
        <v>265.64866165088677</v>
      </c>
      <c r="I812" s="333"/>
      <c r="J812" s="333">
        <v>265.64866165088677</v>
      </c>
      <c r="K812" s="333"/>
      <c r="L812" s="333"/>
      <c r="M812" s="336"/>
    </row>
    <row r="813" spans="1:13" hidden="1" outlineLevel="2" x14ac:dyDescent="0.35">
      <c r="A813" s="335" t="s">
        <v>207</v>
      </c>
      <c r="B813" s="331">
        <v>44428</v>
      </c>
      <c r="C813" s="332" t="s">
        <v>386</v>
      </c>
      <c r="D813" s="332" t="s">
        <v>1303</v>
      </c>
      <c r="E813" s="332" t="s">
        <v>1267</v>
      </c>
      <c r="F813" s="336">
        <v>315550</v>
      </c>
      <c r="G813" s="330" t="s">
        <v>236</v>
      </c>
      <c r="H813" s="329">
        <v>269.04896997688201</v>
      </c>
      <c r="I813" s="333"/>
      <c r="J813" s="333">
        <v>269.04896997688201</v>
      </c>
      <c r="K813" s="333"/>
      <c r="L813" s="333"/>
      <c r="M813" s="336"/>
    </row>
    <row r="814" spans="1:13" hidden="1" outlineLevel="2" x14ac:dyDescent="0.35">
      <c r="A814" s="347" t="s">
        <v>207</v>
      </c>
      <c r="B814" s="344">
        <v>44428</v>
      </c>
      <c r="C814" s="345" t="s">
        <v>386</v>
      </c>
      <c r="D814" s="345" t="s">
        <v>1304</v>
      </c>
      <c r="E814" s="345" t="s">
        <v>1269</v>
      </c>
      <c r="F814" s="346">
        <v>95352</v>
      </c>
      <c r="G814" s="330" t="s">
        <v>236</v>
      </c>
      <c r="H814" s="329">
        <v>81.300451228761375</v>
      </c>
      <c r="I814" s="333"/>
      <c r="J814" s="348">
        <v>81.300451228761375</v>
      </c>
      <c r="K814" s="348"/>
      <c r="L814" s="348"/>
      <c r="M814" s="346"/>
    </row>
    <row r="815" spans="1:13" hidden="1" outlineLevel="2" x14ac:dyDescent="0.35">
      <c r="A815" s="340" t="s">
        <v>207</v>
      </c>
      <c r="B815" s="327">
        <v>44428</v>
      </c>
      <c r="C815" s="328" t="s">
        <v>386</v>
      </c>
      <c r="D815" s="328" t="s">
        <v>1305</v>
      </c>
      <c r="E815" s="328" t="s">
        <v>1306</v>
      </c>
      <c r="F815" s="338">
        <v>95352</v>
      </c>
      <c r="G815" s="330" t="s">
        <v>236</v>
      </c>
      <c r="H815" s="329">
        <v>81.300451228761375</v>
      </c>
      <c r="I815" s="329"/>
      <c r="J815" s="329">
        <v>81.300451228761375</v>
      </c>
      <c r="K815" s="329"/>
      <c r="L815" s="329"/>
      <c r="M815" s="338"/>
    </row>
    <row r="816" spans="1:13" hidden="1" outlineLevel="2" x14ac:dyDescent="0.35">
      <c r="A816" s="335" t="s">
        <v>207</v>
      </c>
      <c r="B816" s="331">
        <v>44432</v>
      </c>
      <c r="C816" s="332" t="s">
        <v>1146</v>
      </c>
      <c r="D816" s="332" t="s">
        <v>1307</v>
      </c>
      <c r="E816" s="332" t="s">
        <v>1308</v>
      </c>
      <c r="F816" s="336">
        <v>1000000</v>
      </c>
      <c r="G816" s="330" t="s">
        <v>236</v>
      </c>
      <c r="H816" s="329">
        <v>852.6349864581905</v>
      </c>
      <c r="I816" s="333"/>
      <c r="J816" s="333">
        <v>852.6349864581905</v>
      </c>
      <c r="K816" s="329"/>
      <c r="L816" s="333"/>
      <c r="M816" s="336"/>
    </row>
    <row r="817" spans="1:13" hidden="1" outlineLevel="2" x14ac:dyDescent="0.35">
      <c r="A817" s="335" t="s">
        <v>207</v>
      </c>
      <c r="B817" s="331">
        <v>44432</v>
      </c>
      <c r="C817" s="332" t="s">
        <v>1309</v>
      </c>
      <c r="D817" s="332" t="s">
        <v>1310</v>
      </c>
      <c r="E817" s="332" t="s">
        <v>1308</v>
      </c>
      <c r="F817" s="336">
        <v>1000000</v>
      </c>
      <c r="G817" s="330" t="s">
        <v>236</v>
      </c>
      <c r="H817" s="329">
        <v>852.6349864581905</v>
      </c>
      <c r="I817" s="333"/>
      <c r="J817" s="333">
        <v>852.6349864581905</v>
      </c>
      <c r="K817" s="329"/>
      <c r="L817" s="333"/>
      <c r="M817" s="336"/>
    </row>
    <row r="818" spans="1:13" hidden="1" outlineLevel="2" x14ac:dyDescent="0.35">
      <c r="A818" s="335" t="s">
        <v>207</v>
      </c>
      <c r="B818" s="331">
        <v>44441</v>
      </c>
      <c r="C818" s="332" t="s">
        <v>809</v>
      </c>
      <c r="D818" s="332" t="s">
        <v>1311</v>
      </c>
      <c r="E818" s="332" t="s">
        <v>1312</v>
      </c>
      <c r="F818" s="336">
        <v>200000</v>
      </c>
      <c r="G818" s="330" t="s">
        <v>236</v>
      </c>
      <c r="H818" s="329">
        <v>170.52699729163811</v>
      </c>
      <c r="I818" s="333"/>
      <c r="J818" s="333">
        <v>170.52699729163811</v>
      </c>
      <c r="K818" s="333"/>
      <c r="L818" s="333"/>
      <c r="M818" s="336"/>
    </row>
    <row r="819" spans="1:13" hidden="1" outlineLevel="2" x14ac:dyDescent="0.35">
      <c r="A819" s="335" t="s">
        <v>207</v>
      </c>
      <c r="B819" s="331">
        <v>44441</v>
      </c>
      <c r="C819" s="332" t="s">
        <v>811</v>
      </c>
      <c r="D819" s="332" t="s">
        <v>1311</v>
      </c>
      <c r="E819" s="332" t="s">
        <v>1281</v>
      </c>
      <c r="F819" s="336">
        <v>200000</v>
      </c>
      <c r="G819" s="330" t="s">
        <v>236</v>
      </c>
      <c r="H819" s="329">
        <v>170.52699729163811</v>
      </c>
      <c r="I819" s="333"/>
      <c r="J819" s="333">
        <v>170.52699729163811</v>
      </c>
      <c r="K819" s="333"/>
      <c r="L819" s="333"/>
      <c r="M819" s="336"/>
    </row>
    <row r="820" spans="1:13" hidden="1" outlineLevel="2" x14ac:dyDescent="0.35">
      <c r="A820" s="335" t="s">
        <v>207</v>
      </c>
      <c r="B820" s="331">
        <v>44441</v>
      </c>
      <c r="C820" s="332" t="s">
        <v>702</v>
      </c>
      <c r="D820" s="332" t="s">
        <v>1313</v>
      </c>
      <c r="E820" s="332" t="s">
        <v>1282</v>
      </c>
      <c r="F820" s="336">
        <v>200000</v>
      </c>
      <c r="G820" s="330" t="s">
        <v>236</v>
      </c>
      <c r="H820" s="329">
        <v>170.52699729163811</v>
      </c>
      <c r="I820" s="333"/>
      <c r="J820" s="333">
        <v>170.52699729163811</v>
      </c>
      <c r="K820" s="333"/>
      <c r="L820" s="333"/>
      <c r="M820" s="336"/>
    </row>
    <row r="821" spans="1:13" hidden="1" outlineLevel="2" x14ac:dyDescent="0.35">
      <c r="A821" s="335" t="s">
        <v>207</v>
      </c>
      <c r="B821" s="331">
        <v>44441</v>
      </c>
      <c r="C821" s="332" t="s">
        <v>704</v>
      </c>
      <c r="D821" s="332" t="s">
        <v>1314</v>
      </c>
      <c r="E821" s="332" t="s">
        <v>1315</v>
      </c>
      <c r="F821" s="336">
        <v>200000</v>
      </c>
      <c r="G821" s="330" t="s">
        <v>236</v>
      </c>
      <c r="H821" s="329">
        <v>170.52699729163811</v>
      </c>
      <c r="I821" s="333"/>
      <c r="J821" s="333">
        <v>170.52699729163811</v>
      </c>
      <c r="K821" s="333"/>
      <c r="L821" s="333"/>
      <c r="M821" s="336"/>
    </row>
    <row r="822" spans="1:13" hidden="1" outlineLevel="2" x14ac:dyDescent="0.35">
      <c r="A822" s="335" t="s">
        <v>207</v>
      </c>
      <c r="B822" s="331">
        <v>44441</v>
      </c>
      <c r="C822" s="332" t="s">
        <v>706</v>
      </c>
      <c r="D822" s="332" t="s">
        <v>1316</v>
      </c>
      <c r="E822" s="332" t="s">
        <v>1283</v>
      </c>
      <c r="F822" s="336">
        <v>200000</v>
      </c>
      <c r="G822" s="330" t="s">
        <v>236</v>
      </c>
      <c r="H822" s="329">
        <v>170.52699729163811</v>
      </c>
      <c r="I822" s="333"/>
      <c r="J822" s="333">
        <v>170.52699729163811</v>
      </c>
      <c r="K822" s="333"/>
      <c r="L822" s="333"/>
      <c r="M822" s="336"/>
    </row>
    <row r="823" spans="1:13" hidden="1" outlineLevel="2" x14ac:dyDescent="0.35">
      <c r="A823" s="335" t="s">
        <v>207</v>
      </c>
      <c r="B823" s="331">
        <v>44441</v>
      </c>
      <c r="C823" s="332" t="s">
        <v>1317</v>
      </c>
      <c r="D823" s="332" t="s">
        <v>1318</v>
      </c>
      <c r="E823" s="332" t="s">
        <v>1319</v>
      </c>
      <c r="F823" s="336">
        <v>200000</v>
      </c>
      <c r="G823" s="330" t="s">
        <v>236</v>
      </c>
      <c r="H823" s="329">
        <v>170.52699729163811</v>
      </c>
      <c r="I823" s="333"/>
      <c r="J823" s="333">
        <v>170.52699729163811</v>
      </c>
      <c r="K823" s="333"/>
      <c r="L823" s="333"/>
      <c r="M823" s="336"/>
    </row>
    <row r="824" spans="1:13" hidden="1" outlineLevel="2" x14ac:dyDescent="0.35">
      <c r="A824" s="335" t="s">
        <v>207</v>
      </c>
      <c r="B824" s="331">
        <v>44442</v>
      </c>
      <c r="C824" s="332" t="s">
        <v>1320</v>
      </c>
      <c r="D824" s="332" t="s">
        <v>1288</v>
      </c>
      <c r="E824" s="332" t="s">
        <v>1321</v>
      </c>
      <c r="F824" s="336">
        <v>211764</v>
      </c>
      <c r="G824" s="330" t="s">
        <v>236</v>
      </c>
      <c r="H824" s="329">
        <v>180.55739527233226</v>
      </c>
      <c r="I824" s="333"/>
      <c r="J824" s="333">
        <v>180.55739527233226</v>
      </c>
      <c r="K824" s="333"/>
      <c r="L824" s="333"/>
      <c r="M824" s="336"/>
    </row>
    <row r="825" spans="1:13" hidden="1" outlineLevel="2" x14ac:dyDescent="0.35">
      <c r="A825" s="335" t="s">
        <v>207</v>
      </c>
      <c r="B825" s="331">
        <v>44460</v>
      </c>
      <c r="C825" s="332" t="s">
        <v>388</v>
      </c>
      <c r="D825" s="332" t="s">
        <v>1293</v>
      </c>
      <c r="E825" s="332" t="s">
        <v>239</v>
      </c>
      <c r="F825" s="336">
        <v>169549</v>
      </c>
      <c r="G825" s="330" t="s">
        <v>236</v>
      </c>
      <c r="H825" s="329">
        <v>144.56340931899973</v>
      </c>
      <c r="I825" s="333"/>
      <c r="J825" s="333">
        <v>144.56340931899973</v>
      </c>
      <c r="K825" s="333"/>
      <c r="L825" s="333"/>
      <c r="M825" s="336"/>
    </row>
    <row r="826" spans="1:13" hidden="1" outlineLevel="2" x14ac:dyDescent="0.35">
      <c r="A826" s="347" t="s">
        <v>207</v>
      </c>
      <c r="B826" s="344">
        <v>44460</v>
      </c>
      <c r="C826" s="345" t="s">
        <v>388</v>
      </c>
      <c r="D826" s="345" t="s">
        <v>1294</v>
      </c>
      <c r="E826" s="345" t="s">
        <v>1244</v>
      </c>
      <c r="F826" s="346">
        <v>201553</v>
      </c>
      <c r="G826" s="330" t="s">
        <v>236</v>
      </c>
      <c r="H826" s="329">
        <v>171.85113942560767</v>
      </c>
      <c r="I826" s="348"/>
      <c r="J826" s="348">
        <v>171.85113942560767</v>
      </c>
      <c r="K826" s="348"/>
      <c r="L826" s="348"/>
      <c r="M826" s="346"/>
    </row>
    <row r="827" spans="1:13" hidden="1" outlineLevel="2" x14ac:dyDescent="0.35">
      <c r="A827" s="340" t="s">
        <v>207</v>
      </c>
      <c r="B827" s="327">
        <v>44460</v>
      </c>
      <c r="C827" s="328" t="s">
        <v>388</v>
      </c>
      <c r="D827" s="328" t="s">
        <v>1295</v>
      </c>
      <c r="E827" s="328" t="s">
        <v>1296</v>
      </c>
      <c r="F827" s="338">
        <v>204549</v>
      </c>
      <c r="G827" s="330" t="s">
        <v>236</v>
      </c>
      <c r="H827" s="329">
        <v>174.40563384503642</v>
      </c>
      <c r="I827" s="329"/>
      <c r="J827" s="329">
        <v>174.40563384503642</v>
      </c>
      <c r="K827" s="329"/>
      <c r="L827" s="329"/>
      <c r="M827" s="338"/>
    </row>
    <row r="828" spans="1:13" hidden="1" outlineLevel="2" x14ac:dyDescent="0.35">
      <c r="A828" s="335" t="s">
        <v>207</v>
      </c>
      <c r="B828" s="331">
        <v>44460</v>
      </c>
      <c r="C828" s="332" t="s">
        <v>388</v>
      </c>
      <c r="D828" s="332" t="s">
        <v>1297</v>
      </c>
      <c r="E828" s="332" t="s">
        <v>1267</v>
      </c>
      <c r="F828" s="336">
        <v>50732</v>
      </c>
      <c r="G828" s="330" t="s">
        <v>236</v>
      </c>
      <c r="H828" s="329">
        <v>43.255878132996919</v>
      </c>
      <c r="I828" s="333"/>
      <c r="J828" s="333">
        <v>43.255878132996919</v>
      </c>
      <c r="K828" s="333"/>
      <c r="L828" s="333"/>
      <c r="M828" s="336"/>
    </row>
    <row r="829" spans="1:13" hidden="1" outlineLevel="2" x14ac:dyDescent="0.35">
      <c r="A829" s="335" t="s">
        <v>207</v>
      </c>
      <c r="B829" s="331">
        <v>44460</v>
      </c>
      <c r="C829" s="332" t="s">
        <v>388</v>
      </c>
      <c r="D829" s="332" t="s">
        <v>1298</v>
      </c>
      <c r="E829" s="332" t="s">
        <v>1269</v>
      </c>
      <c r="F829" s="336">
        <v>162176</v>
      </c>
      <c r="G829" s="330" t="s">
        <v>236</v>
      </c>
      <c r="H829" s="329">
        <v>138.2769315638435</v>
      </c>
      <c r="I829" s="333"/>
      <c r="J829" s="333">
        <v>138.2769315638435</v>
      </c>
      <c r="K829" s="333"/>
      <c r="L829" s="333"/>
      <c r="M829" s="336"/>
    </row>
    <row r="830" spans="1:13" hidden="1" outlineLevel="2" x14ac:dyDescent="0.35">
      <c r="A830" s="335" t="s">
        <v>207</v>
      </c>
      <c r="B830" s="331">
        <v>44460</v>
      </c>
      <c r="C830" s="332" t="s">
        <v>388</v>
      </c>
      <c r="D830" s="332" t="s">
        <v>1299</v>
      </c>
      <c r="E830" s="332" t="s">
        <v>1271</v>
      </c>
      <c r="F830" s="336">
        <v>162176</v>
      </c>
      <c r="G830" s="330" t="s">
        <v>236</v>
      </c>
      <c r="H830" s="329">
        <v>138.2769315638435</v>
      </c>
      <c r="I830" s="333"/>
      <c r="J830" s="333">
        <v>138.2769315638435</v>
      </c>
      <c r="K830" s="333"/>
      <c r="L830" s="333"/>
      <c r="M830" s="336"/>
    </row>
    <row r="831" spans="1:13" hidden="1" outlineLevel="2" x14ac:dyDescent="0.35">
      <c r="A831" s="335" t="s">
        <v>207</v>
      </c>
      <c r="B831" s="331">
        <v>44460</v>
      </c>
      <c r="C831" s="332" t="s">
        <v>389</v>
      </c>
      <c r="D831" s="332" t="s">
        <v>1300</v>
      </c>
      <c r="E831" s="332" t="s">
        <v>239</v>
      </c>
      <c r="F831" s="336">
        <v>346562</v>
      </c>
      <c r="G831" s="330" t="s">
        <v>236</v>
      </c>
      <c r="H831" s="329">
        <v>295.49088617692342</v>
      </c>
      <c r="I831" s="333"/>
      <c r="J831" s="329">
        <v>295.49088617692342</v>
      </c>
      <c r="K831" s="333"/>
      <c r="L831" s="333"/>
      <c r="M831" s="336"/>
    </row>
    <row r="832" spans="1:13" hidden="1" outlineLevel="2" x14ac:dyDescent="0.35">
      <c r="A832" s="335" t="s">
        <v>207</v>
      </c>
      <c r="B832" s="331">
        <v>44460</v>
      </c>
      <c r="C832" s="332" t="s">
        <v>389</v>
      </c>
      <c r="D832" s="332" t="s">
        <v>1301</v>
      </c>
      <c r="E832" s="332" t="s">
        <v>1244</v>
      </c>
      <c r="F832" s="336">
        <v>125849</v>
      </c>
      <c r="G832" s="330" t="s">
        <v>236</v>
      </c>
      <c r="H832" s="329">
        <v>107.30326041077682</v>
      </c>
      <c r="I832" s="333"/>
      <c r="J832" s="329">
        <v>107.30326041077682</v>
      </c>
      <c r="K832" s="333"/>
      <c r="L832" s="333"/>
      <c r="M832" s="336"/>
    </row>
    <row r="833" spans="1:13" hidden="1" outlineLevel="2" x14ac:dyDescent="0.35">
      <c r="A833" s="335" t="s">
        <v>207</v>
      </c>
      <c r="B833" s="331">
        <v>44460</v>
      </c>
      <c r="C833" s="332" t="s">
        <v>389</v>
      </c>
      <c r="D833" s="332" t="s">
        <v>1302</v>
      </c>
      <c r="E833" s="332" t="s">
        <v>1296</v>
      </c>
      <c r="F833" s="336">
        <v>311562</v>
      </c>
      <c r="G833" s="330" t="s">
        <v>236</v>
      </c>
      <c r="H833" s="329">
        <v>265.64866165088677</v>
      </c>
      <c r="I833" s="333"/>
      <c r="J833" s="333">
        <v>265.64866165088677</v>
      </c>
      <c r="K833" s="333"/>
      <c r="L833" s="333"/>
      <c r="M833" s="336"/>
    </row>
    <row r="834" spans="1:13" hidden="1" outlineLevel="2" x14ac:dyDescent="0.35">
      <c r="A834" s="347" t="s">
        <v>207</v>
      </c>
      <c r="B834" s="344">
        <v>44460</v>
      </c>
      <c r="C834" s="345" t="s">
        <v>389</v>
      </c>
      <c r="D834" s="345" t="s">
        <v>1303</v>
      </c>
      <c r="E834" s="345" t="s">
        <v>1267</v>
      </c>
      <c r="F834" s="346">
        <v>317550</v>
      </c>
      <c r="G834" s="330" t="s">
        <v>236</v>
      </c>
      <c r="H834" s="329">
        <v>270.75423994979838</v>
      </c>
      <c r="I834" s="333"/>
      <c r="J834" s="348">
        <v>270.75423994979838</v>
      </c>
      <c r="K834" s="348"/>
      <c r="L834" s="348"/>
      <c r="M834" s="346"/>
    </row>
    <row r="835" spans="1:13" hidden="1" outlineLevel="2" x14ac:dyDescent="0.35">
      <c r="A835" s="340" t="s">
        <v>207</v>
      </c>
      <c r="B835" s="327">
        <v>44460</v>
      </c>
      <c r="C835" s="328" t="s">
        <v>389</v>
      </c>
      <c r="D835" s="328" t="s">
        <v>1304</v>
      </c>
      <c r="E835" s="328" t="s">
        <v>1269</v>
      </c>
      <c r="F835" s="338">
        <v>95352</v>
      </c>
      <c r="G835" s="330" t="s">
        <v>236</v>
      </c>
      <c r="H835" s="329">
        <v>81.300451228761375</v>
      </c>
      <c r="I835" s="329"/>
      <c r="J835" s="329">
        <v>81.300451228761375</v>
      </c>
      <c r="K835" s="329"/>
      <c r="L835" s="329"/>
      <c r="M835" s="338"/>
    </row>
    <row r="836" spans="1:13" hidden="1" outlineLevel="2" x14ac:dyDescent="0.35">
      <c r="A836" s="335" t="s">
        <v>207</v>
      </c>
      <c r="B836" s="331">
        <v>44460</v>
      </c>
      <c r="C836" s="332" t="s">
        <v>389</v>
      </c>
      <c r="D836" s="332" t="s">
        <v>1305</v>
      </c>
      <c r="E836" s="332" t="s">
        <v>1271</v>
      </c>
      <c r="F836" s="336">
        <v>95352</v>
      </c>
      <c r="G836" s="330" t="s">
        <v>236</v>
      </c>
      <c r="H836" s="329">
        <v>81.300451228761375</v>
      </c>
      <c r="I836" s="333"/>
      <c r="J836" s="333">
        <v>81.300451228761375</v>
      </c>
      <c r="K836" s="333"/>
      <c r="L836" s="333"/>
      <c r="M836" s="336"/>
    </row>
    <row r="837" spans="1:13" hidden="1" outlineLevel="2" x14ac:dyDescent="0.35">
      <c r="A837" s="335" t="s">
        <v>207</v>
      </c>
      <c r="B837" s="331">
        <v>44490</v>
      </c>
      <c r="C837" s="332" t="s">
        <v>390</v>
      </c>
      <c r="D837" s="332" t="s">
        <v>1322</v>
      </c>
      <c r="E837" s="332" t="s">
        <v>307</v>
      </c>
      <c r="F837" s="336">
        <v>169549</v>
      </c>
      <c r="G837" s="330" t="s">
        <v>236</v>
      </c>
      <c r="H837" s="329">
        <v>144.56340931899973</v>
      </c>
      <c r="I837" s="333"/>
      <c r="J837" s="333">
        <v>144.56340931899973</v>
      </c>
      <c r="K837" s="333"/>
      <c r="L837" s="333"/>
      <c r="M837" s="336"/>
    </row>
    <row r="838" spans="1:13" hidden="1" outlineLevel="2" x14ac:dyDescent="0.35">
      <c r="A838" s="335" t="s">
        <v>207</v>
      </c>
      <c r="B838" s="331">
        <v>44490</v>
      </c>
      <c r="C838" s="332" t="s">
        <v>390</v>
      </c>
      <c r="D838" s="332" t="s">
        <v>1323</v>
      </c>
      <c r="E838" s="332" t="s">
        <v>1324</v>
      </c>
      <c r="F838" s="336">
        <v>201553</v>
      </c>
      <c r="G838" s="330" t="s">
        <v>236</v>
      </c>
      <c r="H838" s="329">
        <v>171.85113942560767</v>
      </c>
      <c r="I838" s="333"/>
      <c r="J838" s="333">
        <v>171.85113942560767</v>
      </c>
      <c r="K838" s="329"/>
      <c r="L838" s="333"/>
      <c r="M838" s="336"/>
    </row>
    <row r="839" spans="1:13" hidden="1" outlineLevel="2" x14ac:dyDescent="0.35">
      <c r="A839" s="335" t="s">
        <v>207</v>
      </c>
      <c r="B839" s="331">
        <v>44490</v>
      </c>
      <c r="C839" s="332" t="s">
        <v>390</v>
      </c>
      <c r="D839" s="332" t="s">
        <v>1325</v>
      </c>
      <c r="E839" s="332" t="s">
        <v>1073</v>
      </c>
      <c r="F839" s="336">
        <v>308549</v>
      </c>
      <c r="G839" s="330" t="s">
        <v>236</v>
      </c>
      <c r="H839" s="329">
        <v>263.07967243668821</v>
      </c>
      <c r="I839" s="333"/>
      <c r="J839" s="333">
        <v>263.07967243668821</v>
      </c>
      <c r="K839" s="329"/>
      <c r="L839" s="333"/>
      <c r="M839" s="336"/>
    </row>
    <row r="840" spans="1:13" hidden="1" outlineLevel="2" x14ac:dyDescent="0.35">
      <c r="A840" s="335" t="s">
        <v>207</v>
      </c>
      <c r="B840" s="331">
        <v>44490</v>
      </c>
      <c r="C840" s="332" t="s">
        <v>390</v>
      </c>
      <c r="D840" s="332" t="s">
        <v>1326</v>
      </c>
      <c r="E840" s="332" t="s">
        <v>1327</v>
      </c>
      <c r="F840" s="336">
        <v>50732</v>
      </c>
      <c r="G840" s="330" t="s">
        <v>236</v>
      </c>
      <c r="H840" s="329">
        <v>43.255878132996919</v>
      </c>
      <c r="I840" s="333"/>
      <c r="J840" s="333">
        <v>43.255878132996919</v>
      </c>
      <c r="K840" s="333"/>
      <c r="L840" s="333"/>
      <c r="M840" s="336"/>
    </row>
    <row r="841" spans="1:13" hidden="1" outlineLevel="2" x14ac:dyDescent="0.35">
      <c r="A841" s="335" t="s">
        <v>207</v>
      </c>
      <c r="B841" s="331">
        <v>44490</v>
      </c>
      <c r="C841" s="332" t="s">
        <v>390</v>
      </c>
      <c r="D841" s="332" t="s">
        <v>1328</v>
      </c>
      <c r="E841" s="332" t="s">
        <v>1062</v>
      </c>
      <c r="F841" s="336">
        <v>162176</v>
      </c>
      <c r="G841" s="330" t="s">
        <v>236</v>
      </c>
      <c r="H841" s="329">
        <v>138.2769315638435</v>
      </c>
      <c r="I841" s="333"/>
      <c r="J841" s="333">
        <v>138.2769315638435</v>
      </c>
      <c r="K841" s="333"/>
      <c r="L841" s="333"/>
      <c r="M841" s="336"/>
    </row>
    <row r="842" spans="1:13" hidden="1" outlineLevel="2" x14ac:dyDescent="0.35">
      <c r="A842" s="335" t="s">
        <v>207</v>
      </c>
      <c r="B842" s="331">
        <v>44490</v>
      </c>
      <c r="C842" s="332" t="s">
        <v>390</v>
      </c>
      <c r="D842" s="332" t="s">
        <v>1329</v>
      </c>
      <c r="E842" s="332" t="s">
        <v>1250</v>
      </c>
      <c r="F842" s="336">
        <v>162176</v>
      </c>
      <c r="G842" s="330" t="s">
        <v>236</v>
      </c>
      <c r="H842" s="329">
        <v>138.2769315638435</v>
      </c>
      <c r="I842" s="333"/>
      <c r="J842" s="333">
        <v>138.2769315638435</v>
      </c>
      <c r="K842" s="333"/>
      <c r="L842" s="333"/>
      <c r="M842" s="336"/>
    </row>
    <row r="843" spans="1:13" hidden="1" outlineLevel="2" x14ac:dyDescent="0.35">
      <c r="A843" s="335" t="s">
        <v>207</v>
      </c>
      <c r="B843" s="331">
        <v>44498</v>
      </c>
      <c r="C843" s="332" t="s">
        <v>392</v>
      </c>
      <c r="D843" s="332" t="s">
        <v>1330</v>
      </c>
      <c r="E843" s="332" t="s">
        <v>307</v>
      </c>
      <c r="F843" s="336">
        <v>346562</v>
      </c>
      <c r="G843" s="330" t="s">
        <v>236</v>
      </c>
      <c r="H843" s="329">
        <v>295.49088617692342</v>
      </c>
      <c r="I843" s="333"/>
      <c r="J843" s="333">
        <v>295.49088617692342</v>
      </c>
      <c r="K843" s="333"/>
      <c r="L843" s="333"/>
      <c r="M843" s="336"/>
    </row>
    <row r="844" spans="1:13" hidden="1" outlineLevel="2" x14ac:dyDescent="0.35">
      <c r="A844" s="335" t="s">
        <v>207</v>
      </c>
      <c r="B844" s="331">
        <v>44498</v>
      </c>
      <c r="C844" s="332" t="s">
        <v>392</v>
      </c>
      <c r="D844" s="332" t="s">
        <v>1331</v>
      </c>
      <c r="E844" s="332" t="s">
        <v>1324</v>
      </c>
      <c r="F844" s="336">
        <v>125849</v>
      </c>
      <c r="G844" s="330" t="s">
        <v>236</v>
      </c>
      <c r="H844" s="329">
        <v>107.30326041077682</v>
      </c>
      <c r="I844" s="333"/>
      <c r="J844" s="333">
        <v>107.30326041077682</v>
      </c>
      <c r="K844" s="333"/>
      <c r="L844" s="333"/>
      <c r="M844" s="336"/>
    </row>
    <row r="845" spans="1:13" hidden="1" outlineLevel="2" x14ac:dyDescent="0.35">
      <c r="A845" s="335" t="s">
        <v>207</v>
      </c>
      <c r="B845" s="331">
        <v>44498</v>
      </c>
      <c r="C845" s="332" t="s">
        <v>392</v>
      </c>
      <c r="D845" s="332" t="s">
        <v>1332</v>
      </c>
      <c r="E845" s="332" t="s">
        <v>1073</v>
      </c>
      <c r="F845" s="336">
        <v>207562</v>
      </c>
      <c r="G845" s="330" t="s">
        <v>236</v>
      </c>
      <c r="H845" s="329">
        <v>176.97462305923494</v>
      </c>
      <c r="I845" s="333"/>
      <c r="J845" s="333">
        <v>176.97462305923494</v>
      </c>
      <c r="K845" s="333"/>
      <c r="L845" s="333"/>
      <c r="M845" s="336"/>
    </row>
    <row r="846" spans="1:13" hidden="1" outlineLevel="2" x14ac:dyDescent="0.35">
      <c r="A846" s="347" t="s">
        <v>207</v>
      </c>
      <c r="B846" s="344">
        <v>44498</v>
      </c>
      <c r="C846" s="345" t="s">
        <v>392</v>
      </c>
      <c r="D846" s="345" t="s">
        <v>1333</v>
      </c>
      <c r="E846" s="345" t="s">
        <v>1327</v>
      </c>
      <c r="F846" s="346">
        <v>317550</v>
      </c>
      <c r="G846" s="330" t="s">
        <v>236</v>
      </c>
      <c r="H846" s="329">
        <v>270.75423994979838</v>
      </c>
      <c r="I846" s="348"/>
      <c r="J846" s="333">
        <v>270.75423994979838</v>
      </c>
      <c r="K846" s="348"/>
      <c r="L846" s="348"/>
      <c r="M846" s="346"/>
    </row>
    <row r="847" spans="1:13" hidden="1" outlineLevel="2" x14ac:dyDescent="0.35">
      <c r="A847" s="340" t="s">
        <v>207</v>
      </c>
      <c r="B847" s="327">
        <v>44498</v>
      </c>
      <c r="C847" s="328" t="s">
        <v>392</v>
      </c>
      <c r="D847" s="328" t="s">
        <v>1334</v>
      </c>
      <c r="E847" s="328" t="s">
        <v>1062</v>
      </c>
      <c r="F847" s="338">
        <v>95352</v>
      </c>
      <c r="G847" s="330" t="s">
        <v>236</v>
      </c>
      <c r="H847" s="329">
        <v>81.300451228761375</v>
      </c>
      <c r="I847" s="329"/>
      <c r="J847" s="333">
        <v>81.300451228761375</v>
      </c>
      <c r="K847" s="329"/>
      <c r="L847" s="329"/>
      <c r="M847" s="338"/>
    </row>
    <row r="848" spans="1:13" hidden="1" outlineLevel="2" x14ac:dyDescent="0.35">
      <c r="A848" s="335" t="s">
        <v>207</v>
      </c>
      <c r="B848" s="331">
        <v>44498</v>
      </c>
      <c r="C848" s="332" t="s">
        <v>392</v>
      </c>
      <c r="D848" s="332" t="s">
        <v>1335</v>
      </c>
      <c r="E848" s="332" t="s">
        <v>1250</v>
      </c>
      <c r="F848" s="336">
        <v>95352</v>
      </c>
      <c r="G848" s="330" t="s">
        <v>236</v>
      </c>
      <c r="H848" s="329">
        <v>81.300451228761375</v>
      </c>
      <c r="I848" s="333"/>
      <c r="J848" s="333">
        <v>81.300451228761375</v>
      </c>
      <c r="K848" s="333"/>
      <c r="L848" s="333"/>
      <c r="M848" s="336"/>
    </row>
    <row r="849" spans="1:13" hidden="1" outlineLevel="2" x14ac:dyDescent="0.35">
      <c r="A849" s="335" t="s">
        <v>207</v>
      </c>
      <c r="B849" s="331">
        <v>44509</v>
      </c>
      <c r="C849" s="332" t="s">
        <v>1336</v>
      </c>
      <c r="D849" s="332" t="s">
        <v>1337</v>
      </c>
      <c r="E849" s="332" t="s">
        <v>1283</v>
      </c>
      <c r="F849" s="336">
        <v>200000</v>
      </c>
      <c r="G849" s="330" t="s">
        <v>236</v>
      </c>
      <c r="H849" s="329">
        <v>170.52699729163811</v>
      </c>
      <c r="I849" s="333"/>
      <c r="J849" s="333">
        <v>170.52699729163811</v>
      </c>
      <c r="K849" s="333"/>
      <c r="L849" s="333"/>
      <c r="M849" s="336"/>
    </row>
    <row r="850" spans="1:13" hidden="1" outlineLevel="2" x14ac:dyDescent="0.35">
      <c r="A850" s="335" t="s">
        <v>207</v>
      </c>
      <c r="B850" s="331">
        <v>44510</v>
      </c>
      <c r="C850" s="332" t="s">
        <v>1338</v>
      </c>
      <c r="D850" s="332" t="s">
        <v>1339</v>
      </c>
      <c r="E850" s="332" t="s">
        <v>1281</v>
      </c>
      <c r="F850" s="336">
        <v>200000</v>
      </c>
      <c r="G850" s="330" t="s">
        <v>236</v>
      </c>
      <c r="H850" s="329">
        <v>170.52699729163811</v>
      </c>
      <c r="I850" s="333"/>
      <c r="J850" s="333">
        <v>170.52699729163811</v>
      </c>
      <c r="K850" s="333"/>
      <c r="L850" s="333"/>
      <c r="M850" s="336"/>
    </row>
    <row r="851" spans="1:13" hidden="1" outlineLevel="2" x14ac:dyDescent="0.35">
      <c r="A851" s="335" t="s">
        <v>207</v>
      </c>
      <c r="B851" s="331">
        <v>44518</v>
      </c>
      <c r="C851" s="332" t="s">
        <v>1340</v>
      </c>
      <c r="D851" s="332" t="s">
        <v>1339</v>
      </c>
      <c r="E851" s="332" t="s">
        <v>1341</v>
      </c>
      <c r="F851" s="336">
        <v>200000</v>
      </c>
      <c r="G851" s="330" t="s">
        <v>236</v>
      </c>
      <c r="H851" s="329">
        <v>170.52699729163811</v>
      </c>
      <c r="I851" s="333"/>
      <c r="J851" s="333">
        <v>170.52699729163811</v>
      </c>
      <c r="K851" s="333"/>
      <c r="L851" s="333"/>
      <c r="M851" s="336"/>
    </row>
    <row r="852" spans="1:13" hidden="1" outlineLevel="2" x14ac:dyDescent="0.35">
      <c r="A852" s="335" t="s">
        <v>207</v>
      </c>
      <c r="B852" s="331">
        <v>44510</v>
      </c>
      <c r="C852" s="332" t="s">
        <v>1342</v>
      </c>
      <c r="D852" s="332" t="s">
        <v>1343</v>
      </c>
      <c r="E852" s="332" t="s">
        <v>1344</v>
      </c>
      <c r="F852" s="336">
        <v>1380000</v>
      </c>
      <c r="G852" s="330" t="s">
        <v>236</v>
      </c>
      <c r="H852" s="329">
        <v>1176.6362813123028</v>
      </c>
      <c r="I852" s="333"/>
      <c r="J852" s="333">
        <v>1176.6362813123028</v>
      </c>
      <c r="K852" s="333"/>
      <c r="L852" s="333"/>
      <c r="M852" s="336"/>
    </row>
    <row r="853" spans="1:13" hidden="1" outlineLevel="2" x14ac:dyDescent="0.35">
      <c r="A853" s="335" t="s">
        <v>207</v>
      </c>
      <c r="B853" s="331">
        <v>44510</v>
      </c>
      <c r="C853" s="332" t="s">
        <v>1345</v>
      </c>
      <c r="D853" s="332" t="s">
        <v>1346</v>
      </c>
      <c r="E853" s="332" t="s">
        <v>1347</v>
      </c>
      <c r="F853" s="336">
        <v>90000</v>
      </c>
      <c r="G853" s="330" t="s">
        <v>236</v>
      </c>
      <c r="H853" s="329">
        <v>76.737148781237138</v>
      </c>
      <c r="I853" s="333"/>
      <c r="J853" s="333">
        <v>76.737148781237138</v>
      </c>
      <c r="K853" s="333"/>
      <c r="L853" s="333"/>
      <c r="M853" s="336"/>
    </row>
    <row r="854" spans="1:13" hidden="1" outlineLevel="2" x14ac:dyDescent="0.35">
      <c r="A854" s="347" t="s">
        <v>207</v>
      </c>
      <c r="B854" s="344">
        <v>44519</v>
      </c>
      <c r="C854" s="345" t="s">
        <v>394</v>
      </c>
      <c r="D854" s="345" t="s">
        <v>1348</v>
      </c>
      <c r="E854" s="345" t="s">
        <v>307</v>
      </c>
      <c r="F854" s="346">
        <v>170549</v>
      </c>
      <c r="G854" s="330" t="s">
        <v>236</v>
      </c>
      <c r="H854" s="329">
        <v>145.41604430545794</v>
      </c>
      <c r="I854" s="348"/>
      <c r="J854" s="348">
        <v>145.41604430545794</v>
      </c>
      <c r="K854" s="333"/>
      <c r="L854" s="348"/>
      <c r="M854" s="346"/>
    </row>
    <row r="855" spans="1:13" hidden="1" outlineLevel="2" x14ac:dyDescent="0.35">
      <c r="A855" s="340" t="s">
        <v>207</v>
      </c>
      <c r="B855" s="327">
        <v>44519</v>
      </c>
      <c r="C855" s="328" t="s">
        <v>394</v>
      </c>
      <c r="D855" s="328" t="s">
        <v>1349</v>
      </c>
      <c r="E855" s="328" t="s">
        <v>1324</v>
      </c>
      <c r="F855" s="338">
        <v>201553</v>
      </c>
      <c r="G855" s="330" t="s">
        <v>236</v>
      </c>
      <c r="H855" s="329">
        <v>171.85113942560767</v>
      </c>
      <c r="I855" s="329"/>
      <c r="J855" s="333">
        <v>171.85113942560767</v>
      </c>
      <c r="K855" s="329"/>
      <c r="L855" s="329"/>
      <c r="M855" s="338"/>
    </row>
    <row r="856" spans="1:13" hidden="1" outlineLevel="2" x14ac:dyDescent="0.35">
      <c r="A856" s="335" t="s">
        <v>207</v>
      </c>
      <c r="B856" s="331">
        <v>44519</v>
      </c>
      <c r="C856" s="332" t="s">
        <v>394</v>
      </c>
      <c r="D856" s="332" t="s">
        <v>1350</v>
      </c>
      <c r="E856" s="332" t="s">
        <v>1073</v>
      </c>
      <c r="F856" s="336">
        <v>169549</v>
      </c>
      <c r="G856" s="330" t="s">
        <v>236</v>
      </c>
      <c r="H856" s="329">
        <v>144.56340931899973</v>
      </c>
      <c r="I856" s="333"/>
      <c r="J856" s="333">
        <v>144.56340931899973</v>
      </c>
      <c r="K856" s="333"/>
      <c r="L856" s="333"/>
      <c r="M856" s="336"/>
    </row>
    <row r="857" spans="1:13" hidden="1" outlineLevel="2" x14ac:dyDescent="0.35">
      <c r="A857" s="335" t="s">
        <v>207</v>
      </c>
      <c r="B857" s="331">
        <v>44519</v>
      </c>
      <c r="C857" s="332" t="s">
        <v>394</v>
      </c>
      <c r="D857" s="332" t="s">
        <v>1351</v>
      </c>
      <c r="E857" s="332" t="s">
        <v>1327</v>
      </c>
      <c r="F857" s="336">
        <v>52732</v>
      </c>
      <c r="G857" s="330" t="s">
        <v>236</v>
      </c>
      <c r="H857" s="329">
        <v>44.961148105913303</v>
      </c>
      <c r="I857" s="333"/>
      <c r="J857" s="333">
        <v>44.961148105913303</v>
      </c>
      <c r="K857" s="333"/>
      <c r="L857" s="333"/>
      <c r="M857" s="336"/>
    </row>
    <row r="858" spans="1:13" hidden="1" outlineLevel="2" x14ac:dyDescent="0.35">
      <c r="A858" s="335" t="s">
        <v>207</v>
      </c>
      <c r="B858" s="331">
        <v>44519</v>
      </c>
      <c r="C858" s="332" t="s">
        <v>394</v>
      </c>
      <c r="D858" s="332" t="s">
        <v>1352</v>
      </c>
      <c r="E858" s="332" t="s">
        <v>1062</v>
      </c>
      <c r="F858" s="336">
        <v>58176</v>
      </c>
      <c r="G858" s="330" t="s">
        <v>236</v>
      </c>
      <c r="H858" s="329">
        <v>49.60289297219169</v>
      </c>
      <c r="I858" s="333"/>
      <c r="J858" s="333">
        <v>49.60289297219169</v>
      </c>
      <c r="K858" s="333"/>
      <c r="L858" s="333"/>
      <c r="M858" s="336"/>
    </row>
    <row r="859" spans="1:13" hidden="1" outlineLevel="2" x14ac:dyDescent="0.35">
      <c r="A859" s="335" t="s">
        <v>207</v>
      </c>
      <c r="B859" s="331">
        <v>44519</v>
      </c>
      <c r="C859" s="332" t="s">
        <v>394</v>
      </c>
      <c r="D859" s="332" t="s">
        <v>1353</v>
      </c>
      <c r="E859" s="332" t="s">
        <v>1250</v>
      </c>
      <c r="F859" s="336">
        <v>58176</v>
      </c>
      <c r="G859" s="330" t="s">
        <v>236</v>
      </c>
      <c r="H859" s="329">
        <v>49.60289297219169</v>
      </c>
      <c r="I859" s="333"/>
      <c r="J859" s="333">
        <v>49.60289297219169</v>
      </c>
      <c r="K859" s="333"/>
      <c r="L859" s="333"/>
      <c r="M859" s="336"/>
    </row>
    <row r="860" spans="1:13" hidden="1" outlineLevel="2" x14ac:dyDescent="0.35">
      <c r="A860" s="335" t="s">
        <v>207</v>
      </c>
      <c r="B860" s="331">
        <v>44519</v>
      </c>
      <c r="C860" s="332" t="s">
        <v>396</v>
      </c>
      <c r="D860" s="332" t="s">
        <v>1354</v>
      </c>
      <c r="E860" s="332" t="s">
        <v>307</v>
      </c>
      <c r="F860" s="336">
        <v>345562</v>
      </c>
      <c r="G860" s="330" t="s">
        <v>236</v>
      </c>
      <c r="H860" s="329">
        <v>294.63825119046521</v>
      </c>
      <c r="I860" s="333"/>
      <c r="J860" s="333">
        <v>294.63825119046521</v>
      </c>
      <c r="K860" s="333"/>
      <c r="L860" s="333"/>
      <c r="M860" s="336"/>
    </row>
    <row r="861" spans="1:13" hidden="1" outlineLevel="2" x14ac:dyDescent="0.35">
      <c r="A861" s="335" t="s">
        <v>207</v>
      </c>
      <c r="B861" s="331">
        <v>44519</v>
      </c>
      <c r="C861" s="332" t="s">
        <v>396</v>
      </c>
      <c r="D861" s="332" t="s">
        <v>1355</v>
      </c>
      <c r="E861" s="332" t="s">
        <v>1324</v>
      </c>
      <c r="F861" s="336">
        <v>125849</v>
      </c>
      <c r="G861" s="330" t="s">
        <v>236</v>
      </c>
      <c r="H861" s="329">
        <v>107.30326041077682</v>
      </c>
      <c r="I861" s="333"/>
      <c r="J861" s="333">
        <v>107.30326041077682</v>
      </c>
      <c r="K861" s="333"/>
      <c r="L861" s="333"/>
      <c r="M861" s="336"/>
    </row>
    <row r="862" spans="1:13" hidden="1" outlineLevel="2" x14ac:dyDescent="0.35">
      <c r="A862" s="335" t="s">
        <v>207</v>
      </c>
      <c r="B862" s="331">
        <v>44519</v>
      </c>
      <c r="C862" s="332" t="s">
        <v>396</v>
      </c>
      <c r="D862" s="332" t="s">
        <v>1356</v>
      </c>
      <c r="E862" s="332" t="s">
        <v>1073</v>
      </c>
      <c r="F862" s="336">
        <v>346562</v>
      </c>
      <c r="G862" s="330" t="s">
        <v>236</v>
      </c>
      <c r="H862" s="329">
        <v>295.49088617692342</v>
      </c>
      <c r="I862" s="333"/>
      <c r="J862" s="333">
        <v>295.49088617692342</v>
      </c>
      <c r="K862" s="333"/>
      <c r="L862" s="333"/>
      <c r="M862" s="336"/>
    </row>
    <row r="863" spans="1:13" hidden="1" outlineLevel="2" x14ac:dyDescent="0.35">
      <c r="A863" s="335" t="s">
        <v>207</v>
      </c>
      <c r="B863" s="331">
        <v>44519</v>
      </c>
      <c r="C863" s="332" t="s">
        <v>396</v>
      </c>
      <c r="D863" s="332" t="s">
        <v>1357</v>
      </c>
      <c r="E863" s="332" t="s">
        <v>1327</v>
      </c>
      <c r="F863" s="336">
        <v>315550</v>
      </c>
      <c r="G863" s="330" t="s">
        <v>236</v>
      </c>
      <c r="H863" s="329">
        <v>269.04896997688201</v>
      </c>
      <c r="I863" s="333"/>
      <c r="J863" s="333">
        <v>269.04896997688201</v>
      </c>
      <c r="K863" s="333"/>
      <c r="L863" s="333"/>
      <c r="M863" s="336"/>
    </row>
    <row r="864" spans="1:13" hidden="1" outlineLevel="2" x14ac:dyDescent="0.35">
      <c r="A864" s="335" t="s">
        <v>207</v>
      </c>
      <c r="B864" s="331">
        <v>44519</v>
      </c>
      <c r="C864" s="332" t="s">
        <v>396</v>
      </c>
      <c r="D864" s="332" t="s">
        <v>1358</v>
      </c>
      <c r="E864" s="332" t="s">
        <v>1062</v>
      </c>
      <c r="F864" s="336">
        <v>199352</v>
      </c>
      <c r="G864" s="330" t="s">
        <v>236</v>
      </c>
      <c r="H864" s="329">
        <v>169.9744898204132</v>
      </c>
      <c r="I864" s="333"/>
      <c r="J864" s="333">
        <v>169.9744898204132</v>
      </c>
      <c r="K864" s="333"/>
      <c r="L864" s="333"/>
      <c r="M864" s="336"/>
    </row>
    <row r="865" spans="1:13" hidden="1" outlineLevel="2" x14ac:dyDescent="0.35">
      <c r="A865" s="335" t="s">
        <v>207</v>
      </c>
      <c r="B865" s="331">
        <v>44519</v>
      </c>
      <c r="C865" s="332" t="s">
        <v>396</v>
      </c>
      <c r="D865" s="332" t="s">
        <v>1359</v>
      </c>
      <c r="E865" s="332" t="s">
        <v>1250</v>
      </c>
      <c r="F865" s="336">
        <v>199352</v>
      </c>
      <c r="G865" s="330" t="s">
        <v>236</v>
      </c>
      <c r="H865" s="329">
        <v>169.9744898204132</v>
      </c>
      <c r="I865" s="333"/>
      <c r="J865" s="333">
        <v>169.9744898204132</v>
      </c>
      <c r="K865" s="333"/>
      <c r="L865" s="333"/>
      <c r="M865" s="336"/>
    </row>
    <row r="866" spans="1:13" hidden="1" outlineLevel="2" x14ac:dyDescent="0.35">
      <c r="A866" s="347" t="s">
        <v>207</v>
      </c>
      <c r="B866" s="344">
        <v>44530</v>
      </c>
      <c r="C866" s="345" t="s">
        <v>1360</v>
      </c>
      <c r="D866" s="345" t="s">
        <v>1361</v>
      </c>
      <c r="E866" s="345" t="s">
        <v>1362</v>
      </c>
      <c r="F866" s="346">
        <v>102000</v>
      </c>
      <c r="G866" s="330" t="s">
        <v>236</v>
      </c>
      <c r="H866" s="329">
        <v>86.968768618735425</v>
      </c>
      <c r="I866" s="348"/>
      <c r="J866" s="348">
        <v>86.968768618735425</v>
      </c>
      <c r="K866" s="348"/>
      <c r="L866" s="348"/>
      <c r="M866" s="346"/>
    </row>
    <row r="867" spans="1:13" hidden="1" outlineLevel="2" x14ac:dyDescent="0.35">
      <c r="A867" s="340" t="s">
        <v>207</v>
      </c>
      <c r="B867" s="327">
        <v>44539</v>
      </c>
      <c r="C867" s="328" t="s">
        <v>508</v>
      </c>
      <c r="D867" s="328" t="s">
        <v>1363</v>
      </c>
      <c r="E867" s="328" t="s">
        <v>1341</v>
      </c>
      <c r="F867" s="338">
        <v>200000</v>
      </c>
      <c r="G867" s="330" t="s">
        <v>236</v>
      </c>
      <c r="H867" s="329">
        <v>170.52699729163811</v>
      </c>
      <c r="I867" s="329"/>
      <c r="J867" s="329">
        <v>170.52699729163811</v>
      </c>
      <c r="K867" s="348"/>
      <c r="L867" s="329"/>
      <c r="M867" s="338"/>
    </row>
    <row r="868" spans="1:13" hidden="1" outlineLevel="2" x14ac:dyDescent="0.35">
      <c r="A868" s="335" t="s">
        <v>207</v>
      </c>
      <c r="B868" s="331">
        <v>44539</v>
      </c>
      <c r="C868" s="332" t="s">
        <v>510</v>
      </c>
      <c r="D868" s="332" t="s">
        <v>1363</v>
      </c>
      <c r="E868" s="332" t="s">
        <v>1283</v>
      </c>
      <c r="F868" s="336">
        <v>200000</v>
      </c>
      <c r="G868" s="330" t="s">
        <v>236</v>
      </c>
      <c r="H868" s="329">
        <v>170.52699729163811</v>
      </c>
      <c r="I868" s="333"/>
      <c r="J868" s="333">
        <v>170.52699729163811</v>
      </c>
      <c r="K868" s="348"/>
      <c r="L868" s="333"/>
      <c r="M868" s="336"/>
    </row>
    <row r="869" spans="1:13" hidden="1" outlineLevel="2" x14ac:dyDescent="0.35">
      <c r="A869" s="335" t="s">
        <v>207</v>
      </c>
      <c r="B869" s="331">
        <v>44539</v>
      </c>
      <c r="C869" s="332" t="s">
        <v>1364</v>
      </c>
      <c r="D869" s="332" t="s">
        <v>1363</v>
      </c>
      <c r="E869" s="332" t="s">
        <v>1292</v>
      </c>
      <c r="F869" s="336">
        <v>200000</v>
      </c>
      <c r="G869" s="330" t="s">
        <v>236</v>
      </c>
      <c r="H869" s="329">
        <v>170.52699729163811</v>
      </c>
      <c r="I869" s="333"/>
      <c r="J869" s="333">
        <v>170.52699729163811</v>
      </c>
      <c r="K869" s="348"/>
      <c r="L869" s="333"/>
      <c r="M869" s="336"/>
    </row>
    <row r="870" spans="1:13" hidden="1" outlineLevel="2" x14ac:dyDescent="0.35">
      <c r="A870" s="335" t="s">
        <v>207</v>
      </c>
      <c r="B870" s="331">
        <v>44539</v>
      </c>
      <c r="C870" s="332" t="s">
        <v>1365</v>
      </c>
      <c r="D870" s="332" t="s">
        <v>1366</v>
      </c>
      <c r="E870" s="332" t="s">
        <v>1292</v>
      </c>
      <c r="F870" s="336">
        <v>51000</v>
      </c>
      <c r="G870" s="330" t="s">
        <v>236</v>
      </c>
      <c r="H870" s="329">
        <v>43.484384309367712</v>
      </c>
      <c r="I870" s="333"/>
      <c r="J870" s="333">
        <v>43.484384309367712</v>
      </c>
      <c r="K870" s="333"/>
      <c r="L870" s="333"/>
      <c r="M870" s="336"/>
    </row>
    <row r="871" spans="1:13" hidden="1" outlineLevel="2" x14ac:dyDescent="0.35">
      <c r="A871" s="335" t="s">
        <v>207</v>
      </c>
      <c r="B871" s="331">
        <v>44539</v>
      </c>
      <c r="C871" s="332" t="s">
        <v>1365</v>
      </c>
      <c r="D871" s="332" t="s">
        <v>1366</v>
      </c>
      <c r="E871" s="332" t="s">
        <v>1367</v>
      </c>
      <c r="F871" s="336">
        <v>17000</v>
      </c>
      <c r="G871" s="330" t="s">
        <v>236</v>
      </c>
      <c r="H871" s="329">
        <v>14.494794769789239</v>
      </c>
      <c r="I871" s="333"/>
      <c r="J871" s="333">
        <v>14.494794769789239</v>
      </c>
      <c r="K871" s="333"/>
      <c r="L871" s="333"/>
      <c r="M871" s="336"/>
    </row>
    <row r="872" spans="1:13" hidden="1" outlineLevel="2" x14ac:dyDescent="0.35">
      <c r="A872" s="335" t="s">
        <v>207</v>
      </c>
      <c r="B872" s="331">
        <v>44539</v>
      </c>
      <c r="C872" s="332" t="s">
        <v>1365</v>
      </c>
      <c r="D872" s="332" t="s">
        <v>1366</v>
      </c>
      <c r="E872" s="332" t="s">
        <v>1368</v>
      </c>
      <c r="F872" s="336">
        <v>17000</v>
      </c>
      <c r="G872" s="330" t="s">
        <v>236</v>
      </c>
      <c r="H872" s="329">
        <v>14.494794769789239</v>
      </c>
      <c r="I872" s="333"/>
      <c r="J872" s="333">
        <v>14.494794769789239</v>
      </c>
      <c r="K872" s="333"/>
      <c r="L872" s="333"/>
      <c r="M872" s="336"/>
    </row>
    <row r="873" spans="1:13" hidden="1" outlineLevel="2" x14ac:dyDescent="0.35">
      <c r="A873" s="335" t="s">
        <v>207</v>
      </c>
      <c r="B873" s="331">
        <v>44543</v>
      </c>
      <c r="C873" s="332" t="s">
        <v>398</v>
      </c>
      <c r="D873" s="332" t="s">
        <v>1369</v>
      </c>
      <c r="E873" s="332" t="s">
        <v>307</v>
      </c>
      <c r="F873" s="336">
        <v>169549</v>
      </c>
      <c r="G873" s="330" t="s">
        <v>236</v>
      </c>
      <c r="H873" s="329">
        <v>144.56340931899973</v>
      </c>
      <c r="I873" s="333"/>
      <c r="J873" s="333">
        <v>144.56340931899973</v>
      </c>
      <c r="K873" s="333"/>
      <c r="L873" s="333"/>
      <c r="M873" s="336"/>
    </row>
    <row r="874" spans="1:13" hidden="1" outlineLevel="2" x14ac:dyDescent="0.35">
      <c r="A874" s="335" t="s">
        <v>207</v>
      </c>
      <c r="B874" s="331">
        <v>44543</v>
      </c>
      <c r="C874" s="332" t="s">
        <v>398</v>
      </c>
      <c r="D874" s="332" t="s">
        <v>1370</v>
      </c>
      <c r="E874" s="332" t="s">
        <v>1244</v>
      </c>
      <c r="F874" s="336">
        <v>201553</v>
      </c>
      <c r="G874" s="330" t="s">
        <v>236</v>
      </c>
      <c r="H874" s="329">
        <v>171.85113942560767</v>
      </c>
      <c r="I874" s="333"/>
      <c r="J874" s="333">
        <v>171.85113942560767</v>
      </c>
      <c r="K874" s="333"/>
      <c r="L874" s="333"/>
      <c r="M874" s="336"/>
    </row>
    <row r="875" spans="1:13" hidden="1" outlineLevel="2" x14ac:dyDescent="0.35">
      <c r="A875" s="335" t="s">
        <v>207</v>
      </c>
      <c r="B875" s="331">
        <v>44543</v>
      </c>
      <c r="C875" s="332" t="s">
        <v>398</v>
      </c>
      <c r="D875" s="332" t="s">
        <v>1371</v>
      </c>
      <c r="E875" s="332" t="s">
        <v>1073</v>
      </c>
      <c r="F875" s="336">
        <v>169549</v>
      </c>
      <c r="G875" s="330" t="s">
        <v>236</v>
      </c>
      <c r="H875" s="329">
        <v>144.56340931899973</v>
      </c>
      <c r="I875" s="333"/>
      <c r="J875" s="333">
        <v>144.56340931899973</v>
      </c>
      <c r="K875" s="333"/>
      <c r="L875" s="333"/>
      <c r="M875" s="336"/>
    </row>
    <row r="876" spans="1:13" hidden="1" outlineLevel="2" x14ac:dyDescent="0.35">
      <c r="A876" s="347" t="s">
        <v>207</v>
      </c>
      <c r="B876" s="344">
        <v>44543</v>
      </c>
      <c r="C876" s="345" t="s">
        <v>398</v>
      </c>
      <c r="D876" s="345" t="s">
        <v>1372</v>
      </c>
      <c r="E876" s="345" t="s">
        <v>1373</v>
      </c>
      <c r="F876" s="346">
        <v>50732</v>
      </c>
      <c r="G876" s="330" t="s">
        <v>236</v>
      </c>
      <c r="H876" s="329">
        <v>43.255878132996919</v>
      </c>
      <c r="I876" s="348"/>
      <c r="J876" s="333">
        <v>43.255878132996919</v>
      </c>
      <c r="K876" s="348"/>
      <c r="L876" s="348"/>
      <c r="M876" s="346"/>
    </row>
    <row r="877" spans="1:13" hidden="1" outlineLevel="2" x14ac:dyDescent="0.35">
      <c r="A877" s="340" t="s">
        <v>207</v>
      </c>
      <c r="B877" s="327">
        <v>44543</v>
      </c>
      <c r="C877" s="328" t="s">
        <v>398</v>
      </c>
      <c r="D877" s="328" t="s">
        <v>1374</v>
      </c>
      <c r="E877" s="328" t="s">
        <v>1062</v>
      </c>
      <c r="F877" s="338">
        <v>58176</v>
      </c>
      <c r="G877" s="330" t="s">
        <v>236</v>
      </c>
      <c r="H877" s="329">
        <v>49.60289297219169</v>
      </c>
      <c r="I877" s="329"/>
      <c r="J877" s="333">
        <v>49.60289297219169</v>
      </c>
      <c r="K877" s="329"/>
      <c r="L877" s="329"/>
      <c r="M877" s="338"/>
    </row>
    <row r="878" spans="1:13" hidden="1" outlineLevel="2" x14ac:dyDescent="0.35">
      <c r="A878" s="335" t="s">
        <v>207</v>
      </c>
      <c r="B878" s="331">
        <v>44543</v>
      </c>
      <c r="C878" s="332" t="s">
        <v>398</v>
      </c>
      <c r="D878" s="332" t="s">
        <v>1375</v>
      </c>
      <c r="E878" s="332" t="s">
        <v>1250</v>
      </c>
      <c r="F878" s="336">
        <v>58176</v>
      </c>
      <c r="G878" s="330" t="s">
        <v>236</v>
      </c>
      <c r="H878" s="329">
        <v>49.60289297219169</v>
      </c>
      <c r="I878" s="333"/>
      <c r="J878" s="333">
        <v>49.60289297219169</v>
      </c>
      <c r="K878" s="333"/>
      <c r="L878" s="333"/>
      <c r="M878" s="336"/>
    </row>
    <row r="879" spans="1:13" hidden="1" outlineLevel="2" x14ac:dyDescent="0.35">
      <c r="A879" s="335" t="s">
        <v>207</v>
      </c>
      <c r="B879" s="331">
        <v>44543</v>
      </c>
      <c r="C879" s="332" t="s">
        <v>401</v>
      </c>
      <c r="D879" s="332" t="s">
        <v>1376</v>
      </c>
      <c r="E879" s="332" t="s">
        <v>307</v>
      </c>
      <c r="F879" s="336">
        <v>158682</v>
      </c>
      <c r="G879" s="330" t="s">
        <v>236</v>
      </c>
      <c r="H879" s="329">
        <v>135.29782492115859</v>
      </c>
      <c r="I879" s="333"/>
      <c r="J879" s="333">
        <v>135.29782492115859</v>
      </c>
      <c r="K879" s="333"/>
      <c r="L879" s="333"/>
      <c r="M879" s="336"/>
    </row>
    <row r="880" spans="1:13" hidden="1" outlineLevel="2" x14ac:dyDescent="0.35">
      <c r="A880" s="339" t="s">
        <v>207</v>
      </c>
      <c r="B880" s="331">
        <v>44543</v>
      </c>
      <c r="C880" s="332" t="s">
        <v>401</v>
      </c>
      <c r="D880" s="332" t="s">
        <v>1377</v>
      </c>
      <c r="E880" s="332" t="s">
        <v>1244</v>
      </c>
      <c r="F880" s="336">
        <v>100662</v>
      </c>
      <c r="G880" s="330" t="s">
        <v>236</v>
      </c>
      <c r="H880" s="329">
        <v>85.827943006854369</v>
      </c>
      <c r="I880" s="333"/>
      <c r="J880" s="333">
        <v>85.827943006854369</v>
      </c>
      <c r="K880" s="333"/>
      <c r="L880" s="333"/>
      <c r="M880" s="336"/>
    </row>
    <row r="881" spans="1:13" hidden="1" outlineLevel="2" x14ac:dyDescent="0.35">
      <c r="A881" s="339" t="s">
        <v>207</v>
      </c>
      <c r="B881" s="331">
        <v>44543</v>
      </c>
      <c r="C881" s="332" t="s">
        <v>401</v>
      </c>
      <c r="D881" s="332" t="s">
        <v>1378</v>
      </c>
      <c r="E881" s="332" t="s">
        <v>1073</v>
      </c>
      <c r="F881" s="336">
        <v>158682</v>
      </c>
      <c r="G881" s="330" t="s">
        <v>236</v>
      </c>
      <c r="H881" s="329">
        <v>135.29782492115859</v>
      </c>
      <c r="I881" s="333"/>
      <c r="J881" s="333">
        <v>135.29782492115859</v>
      </c>
      <c r="K881" s="333"/>
      <c r="L881" s="333"/>
      <c r="M881" s="336"/>
    </row>
    <row r="882" spans="1:13" hidden="1" outlineLevel="2" x14ac:dyDescent="0.35">
      <c r="A882" s="339" t="s">
        <v>207</v>
      </c>
      <c r="B882" s="331">
        <v>44543</v>
      </c>
      <c r="C882" s="332" t="s">
        <v>401</v>
      </c>
      <c r="D882" s="332" t="s">
        <v>1379</v>
      </c>
      <c r="E882" s="332" t="s">
        <v>1373</v>
      </c>
      <c r="F882" s="336">
        <v>113231</v>
      </c>
      <c r="G882" s="330" t="s">
        <v>236</v>
      </c>
      <c r="H882" s="329">
        <v>96.544712151647374</v>
      </c>
      <c r="I882" s="333"/>
      <c r="J882" s="333">
        <v>96.544712151647374</v>
      </c>
      <c r="K882" s="333"/>
      <c r="L882" s="333"/>
      <c r="M882" s="336"/>
    </row>
    <row r="883" spans="1:13" hidden="1" outlineLevel="2" x14ac:dyDescent="0.35">
      <c r="A883" s="339" t="s">
        <v>207</v>
      </c>
      <c r="B883" s="331">
        <v>44543</v>
      </c>
      <c r="C883" s="332" t="s">
        <v>401</v>
      </c>
      <c r="D883" s="332" t="s">
        <v>1380</v>
      </c>
      <c r="E883" s="332" t="s">
        <v>1062</v>
      </c>
      <c r="F883" s="336">
        <v>79179</v>
      </c>
      <c r="G883" s="330" t="s">
        <v>236</v>
      </c>
      <c r="H883" s="329">
        <v>67.510785592773061</v>
      </c>
      <c r="I883" s="333"/>
      <c r="J883" s="333">
        <v>67.510785592773061</v>
      </c>
      <c r="K883" s="333"/>
      <c r="L883" s="333"/>
      <c r="M883" s="336"/>
    </row>
    <row r="884" spans="1:13" hidden="1" outlineLevel="2" x14ac:dyDescent="0.35">
      <c r="A884" s="339" t="s">
        <v>207</v>
      </c>
      <c r="B884" s="331">
        <v>44543</v>
      </c>
      <c r="C884" s="332" t="s">
        <v>401</v>
      </c>
      <c r="D884" s="332" t="s">
        <v>1381</v>
      </c>
      <c r="E884" s="332" t="s">
        <v>1250</v>
      </c>
      <c r="F884" s="336">
        <v>79179</v>
      </c>
      <c r="G884" s="330" t="s">
        <v>236</v>
      </c>
      <c r="H884" s="329">
        <v>67.510785592773061</v>
      </c>
      <c r="I884" s="333"/>
      <c r="J884" s="333">
        <v>67.510785592773061</v>
      </c>
      <c r="K884" s="333"/>
      <c r="L884" s="333"/>
      <c r="M884" s="336"/>
    </row>
    <row r="885" spans="1:13" hidden="1" outlineLevel="2" x14ac:dyDescent="0.35">
      <c r="A885" s="339" t="s">
        <v>207</v>
      </c>
      <c r="B885" s="331">
        <v>44543</v>
      </c>
      <c r="C885" s="332" t="s">
        <v>403</v>
      </c>
      <c r="D885" s="332" t="s">
        <v>1382</v>
      </c>
      <c r="E885" s="332" t="s">
        <v>307</v>
      </c>
      <c r="F885" s="336">
        <v>346562</v>
      </c>
      <c r="G885" s="330" t="s">
        <v>236</v>
      </c>
      <c r="H885" s="329">
        <v>295.49088617692342</v>
      </c>
      <c r="I885" s="333"/>
      <c r="J885" s="333">
        <v>295.49088617692342</v>
      </c>
      <c r="K885" s="333"/>
      <c r="L885" s="333"/>
      <c r="M885" s="336"/>
    </row>
    <row r="886" spans="1:13" hidden="1" outlineLevel="2" x14ac:dyDescent="0.35">
      <c r="A886" s="339" t="s">
        <v>207</v>
      </c>
      <c r="B886" s="331">
        <v>44543</v>
      </c>
      <c r="C886" s="332" t="s">
        <v>403</v>
      </c>
      <c r="D886" s="332" t="s">
        <v>1383</v>
      </c>
      <c r="E886" s="332" t="s">
        <v>1244</v>
      </c>
      <c r="F886" s="336">
        <v>125849</v>
      </c>
      <c r="G886" s="330" t="s">
        <v>236</v>
      </c>
      <c r="H886" s="329">
        <v>107.30326041077682</v>
      </c>
      <c r="I886" s="333"/>
      <c r="J886" s="333">
        <v>107.30326041077682</v>
      </c>
      <c r="K886" s="333"/>
      <c r="L886" s="333"/>
      <c r="M886" s="336"/>
    </row>
    <row r="887" spans="1:13" hidden="1" outlineLevel="2" x14ac:dyDescent="0.35">
      <c r="A887" s="339" t="s">
        <v>207</v>
      </c>
      <c r="B887" s="331">
        <v>44543</v>
      </c>
      <c r="C887" s="332" t="s">
        <v>403</v>
      </c>
      <c r="D887" s="332" t="s">
        <v>1384</v>
      </c>
      <c r="E887" s="332" t="s">
        <v>1073</v>
      </c>
      <c r="F887" s="336">
        <v>346562</v>
      </c>
      <c r="G887" s="330" t="s">
        <v>236</v>
      </c>
      <c r="H887" s="329">
        <v>295.49088617692342</v>
      </c>
      <c r="I887" s="333"/>
      <c r="J887" s="333">
        <v>295.49088617692342</v>
      </c>
      <c r="K887" s="333"/>
      <c r="L887" s="333"/>
      <c r="M887" s="336"/>
    </row>
    <row r="888" spans="1:13" hidden="1" outlineLevel="2" x14ac:dyDescent="0.35">
      <c r="A888" s="339" t="s">
        <v>207</v>
      </c>
      <c r="B888" s="344">
        <v>44543</v>
      </c>
      <c r="C888" s="345" t="s">
        <v>403</v>
      </c>
      <c r="D888" s="345" t="s">
        <v>1385</v>
      </c>
      <c r="E888" s="345" t="s">
        <v>1373</v>
      </c>
      <c r="F888" s="346">
        <v>317550</v>
      </c>
      <c r="G888" s="330" t="s">
        <v>236</v>
      </c>
      <c r="H888" s="329">
        <v>270.75423994979838</v>
      </c>
      <c r="I888" s="348"/>
      <c r="J888" s="348">
        <v>270.75423994979838</v>
      </c>
      <c r="K888" s="333"/>
      <c r="L888" s="348"/>
      <c r="M888" s="346"/>
    </row>
    <row r="889" spans="1:13" hidden="1" outlineLevel="2" x14ac:dyDescent="0.35">
      <c r="A889" s="339" t="s">
        <v>207</v>
      </c>
      <c r="B889" s="327">
        <v>44543</v>
      </c>
      <c r="C889" s="328" t="s">
        <v>403</v>
      </c>
      <c r="D889" s="328" t="s">
        <v>1386</v>
      </c>
      <c r="E889" s="328" t="s">
        <v>1062</v>
      </c>
      <c r="F889" s="338">
        <v>199352</v>
      </c>
      <c r="G889" s="330" t="s">
        <v>236</v>
      </c>
      <c r="H889" s="329">
        <v>169.9744898204132</v>
      </c>
      <c r="I889" s="329"/>
      <c r="J889" s="329">
        <v>169.9744898204132</v>
      </c>
      <c r="K889" s="333"/>
      <c r="L889" s="329"/>
      <c r="M889" s="338"/>
    </row>
    <row r="890" spans="1:13" hidden="1" outlineLevel="2" x14ac:dyDescent="0.35">
      <c r="A890" s="339" t="s">
        <v>207</v>
      </c>
      <c r="B890" s="331">
        <v>44543</v>
      </c>
      <c r="C890" s="332" t="s">
        <v>403</v>
      </c>
      <c r="D890" s="332" t="s">
        <v>1387</v>
      </c>
      <c r="E890" s="332" t="s">
        <v>1250</v>
      </c>
      <c r="F890" s="336">
        <v>199352</v>
      </c>
      <c r="G890" s="330" t="s">
        <v>236</v>
      </c>
      <c r="H890" s="329">
        <v>169.9744898204132</v>
      </c>
      <c r="I890" s="333"/>
      <c r="J890" s="333">
        <v>169.9744898204132</v>
      </c>
      <c r="K890" s="333"/>
      <c r="L890" s="333"/>
      <c r="M890" s="336"/>
    </row>
    <row r="891" spans="1:13" hidden="1" outlineLevel="2" x14ac:dyDescent="0.35">
      <c r="A891" s="339" t="s">
        <v>207</v>
      </c>
      <c r="B891" s="331">
        <v>44543</v>
      </c>
      <c r="C891" s="332" t="s">
        <v>405</v>
      </c>
      <c r="D891" s="332" t="s">
        <v>1388</v>
      </c>
      <c r="E891" s="332" t="s">
        <v>307</v>
      </c>
      <c r="F891" s="336">
        <v>93089</v>
      </c>
      <c r="G891" s="330" t="s">
        <v>236</v>
      </c>
      <c r="H891" s="329">
        <v>79.370938254406497</v>
      </c>
      <c r="I891" s="333"/>
      <c r="J891" s="333">
        <v>79.370938254406497</v>
      </c>
      <c r="K891" s="333"/>
      <c r="L891" s="333"/>
      <c r="M891" s="336"/>
    </row>
    <row r="892" spans="1:13" hidden="1" outlineLevel="2" x14ac:dyDescent="0.35">
      <c r="A892" s="339" t="s">
        <v>207</v>
      </c>
      <c r="B892" s="331">
        <v>44543</v>
      </c>
      <c r="C892" s="332" t="s">
        <v>405</v>
      </c>
      <c r="D892" s="332" t="s">
        <v>1389</v>
      </c>
      <c r="E892" s="332" t="s">
        <v>1244</v>
      </c>
      <c r="F892" s="336">
        <v>59053</v>
      </c>
      <c r="G892" s="330" t="s">
        <v>236</v>
      </c>
      <c r="H892" s="329">
        <v>50.350653855315521</v>
      </c>
      <c r="I892" s="333"/>
      <c r="J892" s="333">
        <v>50.350653855315521</v>
      </c>
      <c r="K892" s="333"/>
      <c r="L892" s="333"/>
      <c r="M892" s="336"/>
    </row>
    <row r="893" spans="1:13" hidden="1" outlineLevel="2" x14ac:dyDescent="0.35">
      <c r="A893" s="339" t="s">
        <v>207</v>
      </c>
      <c r="B893" s="331">
        <v>44543</v>
      </c>
      <c r="C893" s="332" t="s">
        <v>405</v>
      </c>
      <c r="D893" s="332" t="s">
        <v>1390</v>
      </c>
      <c r="E893" s="332" t="s">
        <v>1073</v>
      </c>
      <c r="F893" s="336">
        <v>93089</v>
      </c>
      <c r="G893" s="330" t="s">
        <v>236</v>
      </c>
      <c r="H893" s="329">
        <v>79.370938254406497</v>
      </c>
      <c r="I893" s="333"/>
      <c r="J893" s="333">
        <v>79.370938254406497</v>
      </c>
      <c r="K893" s="333"/>
      <c r="L893" s="333"/>
      <c r="M893" s="336"/>
    </row>
    <row r="894" spans="1:13" hidden="1" outlineLevel="2" x14ac:dyDescent="0.35">
      <c r="A894" s="339" t="s">
        <v>207</v>
      </c>
      <c r="B894" s="331">
        <v>44543</v>
      </c>
      <c r="C894" s="332" t="s">
        <v>405</v>
      </c>
      <c r="D894" s="332" t="s">
        <v>1391</v>
      </c>
      <c r="E894" s="332" t="s">
        <v>1373</v>
      </c>
      <c r="F894" s="336">
        <v>66426</v>
      </c>
      <c r="G894" s="330" t="s">
        <v>236</v>
      </c>
      <c r="H894" s="329">
        <v>56.637131610471762</v>
      </c>
      <c r="I894" s="333"/>
      <c r="J894" s="333">
        <v>56.637131610471762</v>
      </c>
      <c r="K894" s="333"/>
      <c r="L894" s="333"/>
      <c r="M894" s="336"/>
    </row>
    <row r="895" spans="1:13" hidden="1" outlineLevel="2" x14ac:dyDescent="0.35">
      <c r="A895" s="339" t="s">
        <v>207</v>
      </c>
      <c r="B895" s="331">
        <v>44543</v>
      </c>
      <c r="C895" s="332" t="s">
        <v>405</v>
      </c>
      <c r="D895" s="332" t="s">
        <v>1392</v>
      </c>
      <c r="E895" s="332" t="s">
        <v>1062</v>
      </c>
      <c r="F895" s="336">
        <v>46449</v>
      </c>
      <c r="G895" s="330" t="s">
        <v>236</v>
      </c>
      <c r="H895" s="329">
        <v>39.604042485996487</v>
      </c>
      <c r="I895" s="333"/>
      <c r="J895" s="333">
        <v>39.604042485996487</v>
      </c>
      <c r="K895" s="333"/>
      <c r="L895" s="333"/>
      <c r="M895" s="336"/>
    </row>
    <row r="896" spans="1:13" hidden="1" outlineLevel="2" x14ac:dyDescent="0.35">
      <c r="A896" s="339" t="s">
        <v>207</v>
      </c>
      <c r="B896" s="331">
        <v>44543</v>
      </c>
      <c r="C896" s="332" t="s">
        <v>405</v>
      </c>
      <c r="D896" s="332" t="s">
        <v>1393</v>
      </c>
      <c r="E896" s="332" t="s">
        <v>1250</v>
      </c>
      <c r="F896" s="336">
        <v>46449</v>
      </c>
      <c r="G896" s="330" t="s">
        <v>236</v>
      </c>
      <c r="H896" s="329">
        <v>39.604042485996487</v>
      </c>
      <c r="I896" s="333"/>
      <c r="J896" s="333">
        <v>39.604042485996487</v>
      </c>
      <c r="K896" s="333"/>
      <c r="L896" s="333"/>
      <c r="M896" s="336"/>
    </row>
    <row r="897" spans="1:13" hidden="1" outlineLevel="2" x14ac:dyDescent="0.35">
      <c r="A897" s="339" t="s">
        <v>207</v>
      </c>
      <c r="B897" s="331">
        <v>44547</v>
      </c>
      <c r="C897" s="332" t="s">
        <v>1394</v>
      </c>
      <c r="D897" s="332" t="s">
        <v>1395</v>
      </c>
      <c r="E897" s="332" t="s">
        <v>285</v>
      </c>
      <c r="F897" s="336">
        <v>105882</v>
      </c>
      <c r="G897" s="330" t="s">
        <v>236</v>
      </c>
      <c r="H897" s="329">
        <v>90.278697636166129</v>
      </c>
      <c r="I897" s="333"/>
      <c r="J897" s="333">
        <v>90.278697636166129</v>
      </c>
      <c r="K897" s="333"/>
      <c r="L897" s="333"/>
      <c r="M897" s="336"/>
    </row>
    <row r="898" spans="1:13" hidden="1" outlineLevel="2" x14ac:dyDescent="0.35">
      <c r="A898" s="339" t="s">
        <v>207</v>
      </c>
      <c r="B898" s="344">
        <v>44547</v>
      </c>
      <c r="C898" s="345" t="s">
        <v>1136</v>
      </c>
      <c r="D898" s="345" t="s">
        <v>1395</v>
      </c>
      <c r="E898" s="345" t="s">
        <v>285</v>
      </c>
      <c r="F898" s="346">
        <v>15882</v>
      </c>
      <c r="G898" s="330" t="s">
        <v>236</v>
      </c>
      <c r="H898" s="329">
        <v>13.541548854928982</v>
      </c>
      <c r="I898" s="348"/>
      <c r="J898" s="348">
        <v>13.541548854928982</v>
      </c>
      <c r="K898" s="333"/>
      <c r="L898" s="348"/>
      <c r="M898" s="346"/>
    </row>
    <row r="899" spans="1:13" hidden="1" outlineLevel="2" x14ac:dyDescent="0.35">
      <c r="A899" s="339" t="s">
        <v>207</v>
      </c>
      <c r="B899" s="327">
        <v>44552</v>
      </c>
      <c r="C899" s="328" t="s">
        <v>1396</v>
      </c>
      <c r="D899" s="328" t="s">
        <v>1397</v>
      </c>
      <c r="E899" s="328" t="s">
        <v>285</v>
      </c>
      <c r="F899" s="338">
        <v>9000</v>
      </c>
      <c r="G899" s="330" t="s">
        <v>236</v>
      </c>
      <c r="H899" s="329">
        <v>7.6737148781237146</v>
      </c>
      <c r="I899" s="329"/>
      <c r="J899" s="329">
        <v>7.6737148781237146</v>
      </c>
      <c r="K899" s="333"/>
      <c r="L899" s="329"/>
      <c r="M899" s="338"/>
    </row>
    <row r="900" spans="1:13" hidden="1" outlineLevel="2" x14ac:dyDescent="0.35">
      <c r="A900" s="339" t="s">
        <v>207</v>
      </c>
      <c r="B900" s="331">
        <v>44559</v>
      </c>
      <c r="C900" s="332" t="s">
        <v>1398</v>
      </c>
      <c r="D900" s="332" t="s">
        <v>1399</v>
      </c>
      <c r="E900" s="332" t="s">
        <v>1400</v>
      </c>
      <c r="F900" s="336">
        <v>51000</v>
      </c>
      <c r="G900" s="330" t="s">
        <v>236</v>
      </c>
      <c r="H900" s="329">
        <v>43.484384309367712</v>
      </c>
      <c r="I900" s="333"/>
      <c r="J900" s="333">
        <v>43.484384309367712</v>
      </c>
      <c r="K900" s="333"/>
      <c r="L900" s="333"/>
      <c r="M900" s="336"/>
    </row>
    <row r="901" spans="1:13" hidden="1" outlineLevel="2" x14ac:dyDescent="0.35">
      <c r="A901" s="339" t="s">
        <v>207</v>
      </c>
      <c r="B901" s="331">
        <v>44559</v>
      </c>
      <c r="C901" s="332" t="s">
        <v>1401</v>
      </c>
      <c r="D901" s="332" t="s">
        <v>1402</v>
      </c>
      <c r="E901" s="332" t="s">
        <v>1292</v>
      </c>
      <c r="F901" s="336">
        <v>200000</v>
      </c>
      <c r="G901" s="330" t="s">
        <v>236</v>
      </c>
      <c r="H901" s="329">
        <v>170.52699729163811</v>
      </c>
      <c r="I901" s="333"/>
      <c r="J901" s="333">
        <v>170.52699729163811</v>
      </c>
      <c r="K901" s="333"/>
      <c r="L901" s="333"/>
      <c r="M901" s="336"/>
    </row>
    <row r="902" spans="1:13" hidden="1" outlineLevel="2" x14ac:dyDescent="0.35">
      <c r="A902" s="339" t="s">
        <v>207</v>
      </c>
      <c r="B902" s="331">
        <v>44559</v>
      </c>
      <c r="C902" s="332" t="s">
        <v>1403</v>
      </c>
      <c r="D902" s="332" t="s">
        <v>1404</v>
      </c>
      <c r="E902" s="332" t="s">
        <v>1283</v>
      </c>
      <c r="F902" s="336">
        <v>200000</v>
      </c>
      <c r="G902" s="330" t="s">
        <v>236</v>
      </c>
      <c r="H902" s="329">
        <v>170.52699729163811</v>
      </c>
      <c r="I902" s="333"/>
      <c r="J902" s="333">
        <v>170.52699729163811</v>
      </c>
      <c r="K902" s="333"/>
      <c r="L902" s="333"/>
      <c r="M902" s="336"/>
    </row>
    <row r="903" spans="1:13" hidden="1" outlineLevel="2" x14ac:dyDescent="0.35">
      <c r="A903" s="339" t="s">
        <v>207</v>
      </c>
      <c r="B903" s="331">
        <v>44559</v>
      </c>
      <c r="C903" s="332" t="s">
        <v>1405</v>
      </c>
      <c r="D903" s="332" t="s">
        <v>1406</v>
      </c>
      <c r="E903" s="332" t="s">
        <v>1282</v>
      </c>
      <c r="F903" s="336">
        <v>200000</v>
      </c>
      <c r="G903" s="330" t="s">
        <v>236</v>
      </c>
      <c r="H903" s="329">
        <v>170.52699729163811</v>
      </c>
      <c r="I903" s="333"/>
      <c r="J903" s="333">
        <v>170.52699729163811</v>
      </c>
      <c r="K903" s="333"/>
      <c r="L903" s="333"/>
      <c r="M903" s="336"/>
    </row>
    <row r="904" spans="1:13" hidden="1" outlineLevel="2" x14ac:dyDescent="0.35">
      <c r="A904" s="339" t="s">
        <v>207</v>
      </c>
      <c r="B904" s="331">
        <v>44559</v>
      </c>
      <c r="C904" s="332" t="s">
        <v>1407</v>
      </c>
      <c r="D904" s="332" t="s">
        <v>1408</v>
      </c>
      <c r="E904" s="332" t="s">
        <v>285</v>
      </c>
      <c r="F904" s="336">
        <v>35294</v>
      </c>
      <c r="G904" s="330" t="s">
        <v>236</v>
      </c>
      <c r="H904" s="329">
        <v>30.092899212055375</v>
      </c>
      <c r="I904" s="333"/>
      <c r="J904" s="333">
        <v>30.092899212055375</v>
      </c>
      <c r="K904" s="333"/>
      <c r="L904" s="333"/>
      <c r="M904" s="336"/>
    </row>
    <row r="905" spans="1:13" hidden="1" outlineLevel="2" x14ac:dyDescent="0.35">
      <c r="A905" s="339" t="s">
        <v>207</v>
      </c>
      <c r="B905" s="331">
        <v>44559</v>
      </c>
      <c r="C905" s="332" t="s">
        <v>1409</v>
      </c>
      <c r="D905" s="332" t="s">
        <v>1408</v>
      </c>
      <c r="E905" s="332" t="s">
        <v>285</v>
      </c>
      <c r="F905" s="336">
        <v>35294</v>
      </c>
      <c r="G905" s="330" t="s">
        <v>236</v>
      </c>
      <c r="H905" s="329">
        <v>30.092899212055375</v>
      </c>
      <c r="I905" s="333"/>
      <c r="J905" s="333">
        <v>30.092899212055375</v>
      </c>
      <c r="K905" s="333"/>
      <c r="L905" s="333"/>
      <c r="M905" s="336"/>
    </row>
    <row r="906" spans="1:13" hidden="1" outlineLevel="2" x14ac:dyDescent="0.35">
      <c r="A906" s="339" t="s">
        <v>207</v>
      </c>
      <c r="B906" s="331">
        <v>44559</v>
      </c>
      <c r="C906" s="332" t="s">
        <v>1410</v>
      </c>
      <c r="D906" s="332" t="s">
        <v>1411</v>
      </c>
      <c r="E906" s="332" t="s">
        <v>285</v>
      </c>
      <c r="F906" s="336">
        <v>9000</v>
      </c>
      <c r="G906" s="330" t="s">
        <v>236</v>
      </c>
      <c r="H906" s="329">
        <v>7.6737148781237146</v>
      </c>
      <c r="I906" s="333"/>
      <c r="J906" s="333">
        <v>7.6737148781237146</v>
      </c>
      <c r="K906" s="333"/>
      <c r="L906" s="333"/>
      <c r="M906" s="336"/>
    </row>
    <row r="907" spans="1:13" hidden="1" outlineLevel="2" x14ac:dyDescent="0.35">
      <c r="A907" s="339" t="s">
        <v>207</v>
      </c>
      <c r="B907" s="331">
        <v>44559</v>
      </c>
      <c r="C907" s="332" t="s">
        <v>1412</v>
      </c>
      <c r="D907" s="332" t="s">
        <v>1411</v>
      </c>
      <c r="E907" s="332" t="s">
        <v>285</v>
      </c>
      <c r="F907" s="336">
        <v>35294</v>
      </c>
      <c r="G907" s="330" t="s">
        <v>236</v>
      </c>
      <c r="H907" s="329">
        <v>30.092899212055375</v>
      </c>
      <c r="I907" s="333"/>
      <c r="J907" s="333">
        <v>30.092899212055375</v>
      </c>
      <c r="K907" s="333"/>
      <c r="L907" s="333"/>
      <c r="M907" s="336"/>
    </row>
    <row r="908" spans="1:13" hidden="1" outlineLevel="2" x14ac:dyDescent="0.35">
      <c r="A908" s="339" t="s">
        <v>207</v>
      </c>
      <c r="B908" s="331">
        <v>44561</v>
      </c>
      <c r="C908" s="332" t="s">
        <v>1413</v>
      </c>
      <c r="D908" s="332" t="s">
        <v>1414</v>
      </c>
      <c r="E908" s="332" t="s">
        <v>1415</v>
      </c>
      <c r="F908" s="336">
        <v>6031073</v>
      </c>
      <c r="G908" s="330" t="s">
        <v>236</v>
      </c>
      <c r="H908" s="329">
        <v>5142.3038456833583</v>
      </c>
      <c r="I908" s="333"/>
      <c r="J908" s="333">
        <v>5142.3038456833583</v>
      </c>
      <c r="K908" s="333"/>
      <c r="L908" s="333"/>
      <c r="M908" s="336"/>
    </row>
    <row r="909" spans="1:13" hidden="1" outlineLevel="2" x14ac:dyDescent="0.35">
      <c r="A909" s="339" t="s">
        <v>207</v>
      </c>
      <c r="B909" s="331">
        <v>44561</v>
      </c>
      <c r="C909" s="332" t="s">
        <v>1416</v>
      </c>
      <c r="D909" s="332" t="s">
        <v>1417</v>
      </c>
      <c r="E909" s="332" t="s">
        <v>1415</v>
      </c>
      <c r="F909" s="336">
        <v>6031073</v>
      </c>
      <c r="G909" s="330" t="s">
        <v>236</v>
      </c>
      <c r="H909" s="329">
        <v>5142.3038456833583</v>
      </c>
      <c r="I909" s="333"/>
      <c r="J909" s="333">
        <v>5142.3038456833583</v>
      </c>
      <c r="K909" s="333"/>
      <c r="L909" s="333"/>
      <c r="M909" s="336"/>
    </row>
    <row r="910" spans="1:13" hidden="1" outlineLevel="2" x14ac:dyDescent="0.35">
      <c r="A910" s="339" t="s">
        <v>207</v>
      </c>
      <c r="B910" s="344">
        <v>44561</v>
      </c>
      <c r="C910" s="345" t="s">
        <v>1418</v>
      </c>
      <c r="D910" s="345" t="s">
        <v>1419</v>
      </c>
      <c r="E910" s="345" t="s">
        <v>1415</v>
      </c>
      <c r="F910" s="346">
        <v>6031073</v>
      </c>
      <c r="G910" s="330" t="s">
        <v>236</v>
      </c>
      <c r="H910" s="329">
        <v>5142.3038456833583</v>
      </c>
      <c r="I910" s="348"/>
      <c r="J910" s="348">
        <v>5142.3038456833583</v>
      </c>
      <c r="K910" s="333"/>
      <c r="L910" s="348"/>
      <c r="M910" s="346"/>
    </row>
    <row r="911" spans="1:13" hidden="1" outlineLevel="2" x14ac:dyDescent="0.35">
      <c r="A911" s="339" t="s">
        <v>207</v>
      </c>
      <c r="B911" s="327">
        <v>44561</v>
      </c>
      <c r="C911" s="328" t="s">
        <v>1420</v>
      </c>
      <c r="D911" s="328" t="s">
        <v>1421</v>
      </c>
      <c r="E911" s="328" t="s">
        <v>1422</v>
      </c>
      <c r="F911" s="338">
        <v>31764</v>
      </c>
      <c r="G911" s="330" t="s">
        <v>236</v>
      </c>
      <c r="H911" s="329">
        <v>27.083097709857963</v>
      </c>
      <c r="I911" s="329"/>
      <c r="J911" s="329">
        <v>27.083097709857963</v>
      </c>
      <c r="K911" s="333"/>
      <c r="L911" s="329"/>
      <c r="M911" s="338"/>
    </row>
    <row r="912" spans="1:13" outlineLevel="1" collapsed="1" x14ac:dyDescent="0.35">
      <c r="A912" s="343" t="s">
        <v>1423</v>
      </c>
      <c r="B912" s="327"/>
      <c r="C912" s="328"/>
      <c r="D912" s="328"/>
      <c r="E912" s="328"/>
      <c r="F912" s="338"/>
      <c r="G912" s="330"/>
      <c r="H912" s="329">
        <f t="shared" ref="H912:M912" si="31">SUBTOTAL(9,H767:H911)</f>
        <v>39830.888526309151</v>
      </c>
      <c r="I912" s="329">
        <f t="shared" si="31"/>
        <v>0</v>
      </c>
      <c r="J912" s="329">
        <f t="shared" si="31"/>
        <v>39830.888526309151</v>
      </c>
      <c r="K912" s="333">
        <f t="shared" si="31"/>
        <v>0</v>
      </c>
      <c r="L912" s="329">
        <f t="shared" si="31"/>
        <v>0</v>
      </c>
      <c r="M912" s="338">
        <f t="shared" si="31"/>
        <v>0</v>
      </c>
    </row>
    <row r="913" spans="1:13" hidden="1" outlineLevel="2" x14ac:dyDescent="0.35">
      <c r="A913" s="339" t="s">
        <v>103</v>
      </c>
      <c r="B913" s="331">
        <v>44369</v>
      </c>
      <c r="C913" s="332" t="s">
        <v>1424</v>
      </c>
      <c r="D913" s="332" t="s">
        <v>1425</v>
      </c>
      <c r="E913" s="332" t="s">
        <v>1426</v>
      </c>
      <c r="F913" s="336">
        <v>180000</v>
      </c>
      <c r="G913" s="330" t="s">
        <v>236</v>
      </c>
      <c r="H913" s="329">
        <v>153.47429756247428</v>
      </c>
      <c r="I913" s="333"/>
      <c r="J913" s="333">
        <v>153.47429756247428</v>
      </c>
      <c r="K913" s="333"/>
      <c r="L913" s="333"/>
      <c r="M913" s="336"/>
    </row>
    <row r="914" spans="1:13" hidden="1" outlineLevel="2" x14ac:dyDescent="0.35">
      <c r="A914" s="339" t="s">
        <v>103</v>
      </c>
      <c r="B914" s="331">
        <v>44371</v>
      </c>
      <c r="C914" s="332" t="s">
        <v>438</v>
      </c>
      <c r="D914" s="332" t="s">
        <v>1427</v>
      </c>
      <c r="E914" s="332" t="s">
        <v>1428</v>
      </c>
      <c r="F914" s="336">
        <v>3500000</v>
      </c>
      <c r="G914" s="330" t="s">
        <v>236</v>
      </c>
      <c r="H914" s="329">
        <v>2984.2224526036666</v>
      </c>
      <c r="I914" s="333"/>
      <c r="J914" s="333">
        <v>2984.2224526036666</v>
      </c>
      <c r="K914" s="333"/>
      <c r="L914" s="333"/>
      <c r="M914" s="336"/>
    </row>
    <row r="915" spans="1:13" hidden="1" outlineLevel="2" x14ac:dyDescent="0.35">
      <c r="A915" s="339" t="s">
        <v>103</v>
      </c>
      <c r="B915" s="331">
        <v>44397</v>
      </c>
      <c r="C915" s="332" t="s">
        <v>1429</v>
      </c>
      <c r="D915" s="332" t="s">
        <v>1430</v>
      </c>
      <c r="E915" s="332" t="s">
        <v>1362</v>
      </c>
      <c r="F915" s="336">
        <v>40000</v>
      </c>
      <c r="G915" s="330" t="s">
        <v>236</v>
      </c>
      <c r="H915" s="329">
        <v>34.105399458327618</v>
      </c>
      <c r="I915" s="333"/>
      <c r="J915" s="333">
        <v>34.105399458327618</v>
      </c>
      <c r="K915" s="333"/>
      <c r="L915" s="333"/>
      <c r="M915" s="336"/>
    </row>
    <row r="916" spans="1:13" hidden="1" outlineLevel="2" x14ac:dyDescent="0.35">
      <c r="A916" s="339" t="s">
        <v>103</v>
      </c>
      <c r="B916" s="331">
        <v>44377</v>
      </c>
      <c r="C916" s="332" t="s">
        <v>650</v>
      </c>
      <c r="D916" s="332" t="s">
        <v>1431</v>
      </c>
      <c r="E916" s="332" t="s">
        <v>1362</v>
      </c>
      <c r="F916" s="336">
        <v>39000</v>
      </c>
      <c r="G916" s="330" t="s">
        <v>236</v>
      </c>
      <c r="H916" s="329">
        <v>33.252764471869426</v>
      </c>
      <c r="I916" s="333"/>
      <c r="J916" s="333">
        <v>33.252764471869426</v>
      </c>
      <c r="K916" s="333"/>
      <c r="L916" s="333"/>
      <c r="M916" s="336"/>
    </row>
    <row r="917" spans="1:13" hidden="1" outlineLevel="2" x14ac:dyDescent="0.35">
      <c r="A917" s="339" t="s">
        <v>103</v>
      </c>
      <c r="B917" s="331">
        <v>44397</v>
      </c>
      <c r="C917" s="332" t="s">
        <v>1432</v>
      </c>
      <c r="D917" s="332" t="s">
        <v>1433</v>
      </c>
      <c r="E917" s="332" t="s">
        <v>1362</v>
      </c>
      <c r="F917" s="336">
        <v>25000</v>
      </c>
      <c r="G917" s="330" t="s">
        <v>236</v>
      </c>
      <c r="H917" s="329">
        <v>21.315874661454764</v>
      </c>
      <c r="I917" s="333"/>
      <c r="J917" s="333">
        <v>21.315874661454764</v>
      </c>
      <c r="K917" s="333"/>
      <c r="L917" s="333"/>
      <c r="M917" s="336"/>
    </row>
    <row r="918" spans="1:13" hidden="1" outlineLevel="2" x14ac:dyDescent="0.35">
      <c r="A918" s="339" t="s">
        <v>103</v>
      </c>
      <c r="B918" s="331">
        <v>44417</v>
      </c>
      <c r="C918" s="332" t="s">
        <v>1434</v>
      </c>
      <c r="D918" s="332" t="s">
        <v>1435</v>
      </c>
      <c r="E918" s="332" t="s">
        <v>1436</v>
      </c>
      <c r="F918" s="336">
        <v>80000</v>
      </c>
      <c r="G918" s="330" t="s">
        <v>236</v>
      </c>
      <c r="H918" s="329">
        <v>68.210798916655236</v>
      </c>
      <c r="I918" s="333"/>
      <c r="J918" s="333">
        <v>68.210798916655236</v>
      </c>
      <c r="K918" s="333"/>
      <c r="L918" s="333"/>
      <c r="M918" s="336"/>
    </row>
    <row r="919" spans="1:13" hidden="1" outlineLevel="2" x14ac:dyDescent="0.35">
      <c r="A919" s="339" t="s">
        <v>103</v>
      </c>
      <c r="B919" s="331">
        <v>44573</v>
      </c>
      <c r="C919" s="332" t="s">
        <v>479</v>
      </c>
      <c r="D919" s="332" t="s">
        <v>1437</v>
      </c>
      <c r="E919" s="332" t="s">
        <v>1438</v>
      </c>
      <c r="F919" s="336">
        <v>3000</v>
      </c>
      <c r="G919" s="330" t="s">
        <v>236</v>
      </c>
      <c r="H919" s="329">
        <v>2.5579049593745715</v>
      </c>
      <c r="I919" s="333"/>
      <c r="J919" s="333">
        <v>2.5579049593745715</v>
      </c>
      <c r="K919" s="333"/>
      <c r="L919" s="333"/>
      <c r="M919" s="336"/>
    </row>
    <row r="920" spans="1:13" hidden="1" outlineLevel="2" x14ac:dyDescent="0.35">
      <c r="A920" s="339" t="s">
        <v>103</v>
      </c>
      <c r="B920" s="331">
        <v>44584</v>
      </c>
      <c r="C920" s="332" t="s">
        <v>479</v>
      </c>
      <c r="D920" s="332" t="s">
        <v>1437</v>
      </c>
      <c r="E920" s="332" t="s">
        <v>1438</v>
      </c>
      <c r="F920" s="336">
        <v>3000</v>
      </c>
      <c r="G920" s="330" t="s">
        <v>236</v>
      </c>
      <c r="H920" s="329">
        <v>2.5579049593745715</v>
      </c>
      <c r="I920" s="333"/>
      <c r="J920" s="333">
        <v>2.5579049593745715</v>
      </c>
      <c r="K920" s="333"/>
      <c r="L920" s="333"/>
      <c r="M920" s="336"/>
    </row>
    <row r="921" spans="1:13" hidden="1" outlineLevel="2" x14ac:dyDescent="0.35">
      <c r="A921" s="339" t="s">
        <v>103</v>
      </c>
      <c r="B921" s="344">
        <v>44418</v>
      </c>
      <c r="C921" s="345" t="s">
        <v>479</v>
      </c>
      <c r="D921" s="345" t="s">
        <v>1437</v>
      </c>
      <c r="E921" s="345" t="s">
        <v>1438</v>
      </c>
      <c r="F921" s="346">
        <v>3500</v>
      </c>
      <c r="G921" s="330" t="s">
        <v>236</v>
      </c>
      <c r="H921" s="329">
        <v>2.9842224526036669</v>
      </c>
      <c r="I921" s="348"/>
      <c r="J921" s="348">
        <v>2.9842224526036669</v>
      </c>
      <c r="K921" s="333"/>
      <c r="L921" s="348"/>
      <c r="M921" s="346"/>
    </row>
    <row r="922" spans="1:13" hidden="1" outlineLevel="2" x14ac:dyDescent="0.35">
      <c r="A922" s="339" t="s">
        <v>103</v>
      </c>
      <c r="B922" s="327">
        <v>44560</v>
      </c>
      <c r="C922" s="328" t="s">
        <v>479</v>
      </c>
      <c r="D922" s="328" t="s">
        <v>1437</v>
      </c>
      <c r="E922" s="328" t="s">
        <v>1438</v>
      </c>
      <c r="F922" s="338">
        <v>3900</v>
      </c>
      <c r="G922" s="330" t="s">
        <v>236</v>
      </c>
      <c r="H922" s="329">
        <v>3.3252764471869427</v>
      </c>
      <c r="I922" s="329"/>
      <c r="J922" s="329">
        <v>3.3252764471869427</v>
      </c>
      <c r="K922" s="333"/>
      <c r="L922" s="329"/>
      <c r="M922" s="338"/>
    </row>
    <row r="923" spans="1:13" hidden="1" outlineLevel="2" x14ac:dyDescent="0.35">
      <c r="A923" s="339" t="s">
        <v>103</v>
      </c>
      <c r="B923" s="331">
        <v>44572</v>
      </c>
      <c r="C923" s="332" t="s">
        <v>479</v>
      </c>
      <c r="D923" s="332" t="s">
        <v>1437</v>
      </c>
      <c r="E923" s="332" t="s">
        <v>1438</v>
      </c>
      <c r="F923" s="336">
        <v>4500</v>
      </c>
      <c r="G923" s="330" t="s">
        <v>236</v>
      </c>
      <c r="H923" s="329">
        <v>3.8368574390618573</v>
      </c>
      <c r="I923" s="333"/>
      <c r="J923" s="333">
        <v>3.8368574390618573</v>
      </c>
      <c r="K923" s="333"/>
      <c r="L923" s="333"/>
      <c r="M923" s="336"/>
    </row>
    <row r="924" spans="1:13" hidden="1" outlineLevel="2" x14ac:dyDescent="0.35">
      <c r="A924" s="339" t="s">
        <v>103</v>
      </c>
      <c r="B924" s="331">
        <v>44585</v>
      </c>
      <c r="C924" s="332" t="s">
        <v>479</v>
      </c>
      <c r="D924" s="332" t="s">
        <v>1437</v>
      </c>
      <c r="E924" s="332" t="s">
        <v>1439</v>
      </c>
      <c r="F924" s="336">
        <v>5000</v>
      </c>
      <c r="G924" s="330" t="s">
        <v>236</v>
      </c>
      <c r="H924" s="329">
        <v>4.2631749322909522</v>
      </c>
      <c r="I924" s="333"/>
      <c r="J924" s="333">
        <v>4.2631749322909522</v>
      </c>
      <c r="K924" s="333"/>
      <c r="L924" s="333"/>
      <c r="M924" s="336"/>
    </row>
    <row r="925" spans="1:13" hidden="1" outlineLevel="2" x14ac:dyDescent="0.35">
      <c r="A925" s="339" t="s">
        <v>103</v>
      </c>
      <c r="B925" s="331">
        <v>44558</v>
      </c>
      <c r="C925" s="332" t="s">
        <v>479</v>
      </c>
      <c r="D925" s="332" t="s">
        <v>1437</v>
      </c>
      <c r="E925" s="332" t="s">
        <v>1438</v>
      </c>
      <c r="F925" s="336">
        <v>5400</v>
      </c>
      <c r="G925" s="330" t="s">
        <v>236</v>
      </c>
      <c r="H925" s="329">
        <v>4.6042289268742289</v>
      </c>
      <c r="I925" s="333"/>
      <c r="J925" s="333">
        <v>4.6042289268742289</v>
      </c>
      <c r="K925" s="333"/>
      <c r="L925" s="333"/>
      <c r="M925" s="336"/>
    </row>
    <row r="926" spans="1:13" hidden="1" outlineLevel="2" x14ac:dyDescent="0.35">
      <c r="A926" s="339" t="s">
        <v>103</v>
      </c>
      <c r="B926" s="331">
        <v>44564</v>
      </c>
      <c r="C926" s="332" t="s">
        <v>479</v>
      </c>
      <c r="D926" s="332" t="s">
        <v>1437</v>
      </c>
      <c r="E926" s="332" t="s">
        <v>1438</v>
      </c>
      <c r="F926" s="336">
        <v>6000</v>
      </c>
      <c r="G926" s="330" t="s">
        <v>236</v>
      </c>
      <c r="H926" s="329">
        <v>5.115809918749143</v>
      </c>
      <c r="I926" s="333"/>
      <c r="J926" s="333">
        <v>5.115809918749143</v>
      </c>
      <c r="K926" s="333"/>
      <c r="L926" s="333"/>
      <c r="M926" s="336"/>
    </row>
    <row r="927" spans="1:13" hidden="1" outlineLevel="2" x14ac:dyDescent="0.35">
      <c r="A927" s="339" t="s">
        <v>103</v>
      </c>
      <c r="B927" s="331">
        <v>44428</v>
      </c>
      <c r="C927" s="332" t="s">
        <v>479</v>
      </c>
      <c r="D927" s="332" t="s">
        <v>1437</v>
      </c>
      <c r="E927" s="332" t="s">
        <v>1438</v>
      </c>
      <c r="F927" s="336">
        <v>6000</v>
      </c>
      <c r="G927" s="330" t="s">
        <v>236</v>
      </c>
      <c r="H927" s="329">
        <v>5.115809918749143</v>
      </c>
      <c r="I927" s="333"/>
      <c r="J927" s="333">
        <v>5.115809918749143</v>
      </c>
      <c r="K927" s="333"/>
      <c r="L927" s="333"/>
      <c r="M927" s="336"/>
    </row>
    <row r="928" spans="1:13" hidden="1" outlineLevel="2" x14ac:dyDescent="0.35">
      <c r="A928" s="339" t="s">
        <v>103</v>
      </c>
      <c r="B928" s="331">
        <v>44450</v>
      </c>
      <c r="C928" s="332" t="s">
        <v>479</v>
      </c>
      <c r="D928" s="332" t="s">
        <v>1437</v>
      </c>
      <c r="E928" s="332" t="s">
        <v>1438</v>
      </c>
      <c r="F928" s="336">
        <v>6000</v>
      </c>
      <c r="G928" s="330" t="s">
        <v>236</v>
      </c>
      <c r="H928" s="329">
        <v>5.115809918749143</v>
      </c>
      <c r="I928" s="333"/>
      <c r="J928" s="333">
        <v>5.115809918749143</v>
      </c>
      <c r="K928" s="333"/>
      <c r="L928" s="333"/>
      <c r="M928" s="336"/>
    </row>
    <row r="929" spans="1:13" hidden="1" outlineLevel="2" x14ac:dyDescent="0.35">
      <c r="A929" s="339" t="s">
        <v>103</v>
      </c>
      <c r="B929" s="331">
        <v>44379</v>
      </c>
      <c r="C929" s="332" t="s">
        <v>479</v>
      </c>
      <c r="D929" s="332" t="s">
        <v>1437</v>
      </c>
      <c r="E929" s="332" t="s">
        <v>1438</v>
      </c>
      <c r="F929" s="336">
        <v>6000</v>
      </c>
      <c r="G929" s="330" t="s">
        <v>236</v>
      </c>
      <c r="H929" s="329">
        <v>5.115809918749143</v>
      </c>
      <c r="I929" s="333"/>
      <c r="J929" s="333">
        <v>5.115809918749143</v>
      </c>
      <c r="K929" s="333"/>
      <c r="L929" s="333"/>
      <c r="M929" s="336"/>
    </row>
    <row r="930" spans="1:13" hidden="1" outlineLevel="2" x14ac:dyDescent="0.35">
      <c r="A930" s="339" t="s">
        <v>103</v>
      </c>
      <c r="B930" s="331">
        <v>44567</v>
      </c>
      <c r="C930" s="332" t="s">
        <v>479</v>
      </c>
      <c r="D930" s="332" t="s">
        <v>1437</v>
      </c>
      <c r="E930" s="332" t="s">
        <v>1438</v>
      </c>
      <c r="F930" s="336">
        <v>6000</v>
      </c>
      <c r="G930" s="330" t="s">
        <v>236</v>
      </c>
      <c r="H930" s="329">
        <v>5.115809918749143</v>
      </c>
      <c r="I930" s="333"/>
      <c r="J930" s="333">
        <v>5.115809918749143</v>
      </c>
      <c r="K930" s="333"/>
      <c r="L930" s="333"/>
      <c r="M930" s="336"/>
    </row>
    <row r="931" spans="1:13" hidden="1" outlineLevel="2" x14ac:dyDescent="0.35">
      <c r="A931" s="339" t="s">
        <v>103</v>
      </c>
      <c r="B931" s="331">
        <v>44389</v>
      </c>
      <c r="C931" s="332" t="s">
        <v>479</v>
      </c>
      <c r="D931" s="332" t="s">
        <v>1437</v>
      </c>
      <c r="E931" s="332" t="s">
        <v>1438</v>
      </c>
      <c r="F931" s="336">
        <v>6000</v>
      </c>
      <c r="G931" s="330" t="s">
        <v>236</v>
      </c>
      <c r="H931" s="329">
        <v>5.115809918749143</v>
      </c>
      <c r="I931" s="333"/>
      <c r="J931" s="333">
        <v>5.115809918749143</v>
      </c>
      <c r="K931" s="333"/>
      <c r="L931" s="333"/>
      <c r="M931" s="336"/>
    </row>
    <row r="932" spans="1:13" hidden="1" outlineLevel="2" x14ac:dyDescent="0.35">
      <c r="A932" s="339" t="s">
        <v>103</v>
      </c>
      <c r="B932" s="331">
        <v>44412</v>
      </c>
      <c r="C932" s="332" t="s">
        <v>479</v>
      </c>
      <c r="D932" s="332" t="s">
        <v>1437</v>
      </c>
      <c r="E932" s="332" t="s">
        <v>1438</v>
      </c>
      <c r="F932" s="336">
        <v>6000</v>
      </c>
      <c r="G932" s="330" t="s">
        <v>236</v>
      </c>
      <c r="H932" s="329">
        <v>5.115809918749143</v>
      </c>
      <c r="I932" s="333"/>
      <c r="J932" s="333">
        <v>5.115809918749143</v>
      </c>
      <c r="K932" s="333"/>
      <c r="L932" s="333"/>
      <c r="M932" s="336"/>
    </row>
    <row r="933" spans="1:13" hidden="1" outlineLevel="2" x14ac:dyDescent="0.35">
      <c r="A933" s="339" t="s">
        <v>103</v>
      </c>
      <c r="B933" s="344">
        <v>44422</v>
      </c>
      <c r="C933" s="345" t="s">
        <v>479</v>
      </c>
      <c r="D933" s="345" t="s">
        <v>1437</v>
      </c>
      <c r="E933" s="345" t="s">
        <v>1438</v>
      </c>
      <c r="F933" s="346">
        <v>6000</v>
      </c>
      <c r="G933" s="330" t="s">
        <v>236</v>
      </c>
      <c r="H933" s="329">
        <v>5.115809918749143</v>
      </c>
      <c r="I933" s="348"/>
      <c r="J933" s="333">
        <v>5.115809918749143</v>
      </c>
      <c r="K933" s="348"/>
      <c r="L933" s="348"/>
      <c r="M933" s="346"/>
    </row>
    <row r="934" spans="1:13" hidden="1" outlineLevel="2" x14ac:dyDescent="0.35">
      <c r="A934" s="339" t="s">
        <v>103</v>
      </c>
      <c r="B934" s="327">
        <v>44438</v>
      </c>
      <c r="C934" s="328" t="s">
        <v>479</v>
      </c>
      <c r="D934" s="328" t="s">
        <v>1437</v>
      </c>
      <c r="E934" s="328" t="s">
        <v>1438</v>
      </c>
      <c r="F934" s="338">
        <v>7500</v>
      </c>
      <c r="G934" s="330" t="s">
        <v>236</v>
      </c>
      <c r="H934" s="329">
        <v>6.3947623984364288</v>
      </c>
      <c r="I934" s="329"/>
      <c r="J934" s="333">
        <v>6.3947623984364288</v>
      </c>
      <c r="K934" s="329"/>
      <c r="L934" s="329"/>
      <c r="M934" s="338"/>
    </row>
    <row r="935" spans="1:13" hidden="1" outlineLevel="2" x14ac:dyDescent="0.35">
      <c r="A935" s="339" t="s">
        <v>103</v>
      </c>
      <c r="B935" s="327">
        <v>44584</v>
      </c>
      <c r="C935" s="328" t="s">
        <v>479</v>
      </c>
      <c r="D935" s="328" t="s">
        <v>1437</v>
      </c>
      <c r="E935" s="328" t="s">
        <v>1438</v>
      </c>
      <c r="F935" s="338">
        <v>7500</v>
      </c>
      <c r="G935" s="330" t="s">
        <v>236</v>
      </c>
      <c r="H935" s="329">
        <v>6.3947623984364288</v>
      </c>
      <c r="I935" s="329"/>
      <c r="J935" s="329">
        <v>6.3947623984364288</v>
      </c>
      <c r="K935" s="329"/>
      <c r="L935" s="329"/>
      <c r="M935" s="338"/>
    </row>
    <row r="936" spans="1:13" hidden="1" outlineLevel="2" x14ac:dyDescent="0.35">
      <c r="A936" s="339" t="s">
        <v>103</v>
      </c>
      <c r="B936" s="331">
        <v>44470</v>
      </c>
      <c r="C936" s="332" t="s">
        <v>479</v>
      </c>
      <c r="D936" s="332" t="s">
        <v>1437</v>
      </c>
      <c r="E936" s="332" t="s">
        <v>1438</v>
      </c>
      <c r="F936" s="336">
        <v>9000</v>
      </c>
      <c r="G936" s="330" t="s">
        <v>236</v>
      </c>
      <c r="H936" s="329">
        <v>7.6737148781237146</v>
      </c>
      <c r="I936" s="333"/>
      <c r="J936" s="333">
        <v>7.6737148781237146</v>
      </c>
      <c r="K936" s="333"/>
      <c r="L936" s="333"/>
      <c r="M936" s="336"/>
    </row>
    <row r="937" spans="1:13" hidden="1" outlineLevel="2" x14ac:dyDescent="0.35">
      <c r="A937" s="339" t="s">
        <v>103</v>
      </c>
      <c r="B937" s="331">
        <v>44381</v>
      </c>
      <c r="C937" s="332" t="s">
        <v>479</v>
      </c>
      <c r="D937" s="332" t="s">
        <v>1437</v>
      </c>
      <c r="E937" s="332" t="s">
        <v>1438</v>
      </c>
      <c r="F937" s="336">
        <v>9000</v>
      </c>
      <c r="G937" s="330" t="s">
        <v>236</v>
      </c>
      <c r="H937" s="329">
        <v>7.6737148781237146</v>
      </c>
      <c r="I937" s="333"/>
      <c r="J937" s="333">
        <v>7.6737148781237146</v>
      </c>
      <c r="K937" s="333"/>
      <c r="L937" s="333"/>
      <c r="M937" s="336"/>
    </row>
    <row r="938" spans="1:13" hidden="1" outlineLevel="2" x14ac:dyDescent="0.35">
      <c r="A938" s="339" t="s">
        <v>103</v>
      </c>
      <c r="B938" s="331">
        <v>44407</v>
      </c>
      <c r="C938" s="332" t="s">
        <v>479</v>
      </c>
      <c r="D938" s="332" t="s">
        <v>1437</v>
      </c>
      <c r="E938" s="332" t="s">
        <v>1438</v>
      </c>
      <c r="F938" s="336">
        <v>9000</v>
      </c>
      <c r="G938" s="330" t="s">
        <v>236</v>
      </c>
      <c r="H938" s="329">
        <v>7.6737148781237146</v>
      </c>
      <c r="I938" s="333"/>
      <c r="J938" s="333">
        <v>7.6737148781237146</v>
      </c>
      <c r="K938" s="333"/>
      <c r="L938" s="333"/>
      <c r="M938" s="336"/>
    </row>
    <row r="939" spans="1:13" hidden="1" outlineLevel="2" x14ac:dyDescent="0.35">
      <c r="A939" s="339" t="s">
        <v>103</v>
      </c>
      <c r="B939" s="331">
        <v>44383</v>
      </c>
      <c r="C939" s="332" t="s">
        <v>479</v>
      </c>
      <c r="D939" s="332" t="s">
        <v>1437</v>
      </c>
      <c r="E939" s="332" t="s">
        <v>1438</v>
      </c>
      <c r="F939" s="336">
        <v>9000</v>
      </c>
      <c r="G939" s="330" t="s">
        <v>236</v>
      </c>
      <c r="H939" s="329">
        <v>7.6737148781237146</v>
      </c>
      <c r="I939" s="333"/>
      <c r="J939" s="333">
        <v>7.6737148781237146</v>
      </c>
      <c r="K939" s="333"/>
      <c r="L939" s="333"/>
      <c r="M939" s="336"/>
    </row>
    <row r="940" spans="1:13" hidden="1" outlineLevel="2" x14ac:dyDescent="0.35">
      <c r="A940" s="339" t="s">
        <v>103</v>
      </c>
      <c r="B940" s="331">
        <v>44466</v>
      </c>
      <c r="C940" s="332" t="s">
        <v>479</v>
      </c>
      <c r="D940" s="332" t="s">
        <v>1437</v>
      </c>
      <c r="E940" s="332" t="s">
        <v>1438</v>
      </c>
      <c r="F940" s="336">
        <v>10500</v>
      </c>
      <c r="G940" s="330" t="s">
        <v>236</v>
      </c>
      <c r="H940" s="329">
        <v>8.9526673578110003</v>
      </c>
      <c r="I940" s="333"/>
      <c r="J940" s="333">
        <v>8.9526673578110003</v>
      </c>
      <c r="K940" s="333"/>
      <c r="L940" s="333"/>
      <c r="M940" s="336"/>
    </row>
    <row r="941" spans="1:13" hidden="1" outlineLevel="2" x14ac:dyDescent="0.35">
      <c r="A941" s="339" t="s">
        <v>103</v>
      </c>
      <c r="B941" s="331">
        <v>44578</v>
      </c>
      <c r="C941" s="332" t="s">
        <v>479</v>
      </c>
      <c r="D941" s="332" t="s">
        <v>1437</v>
      </c>
      <c r="E941" s="332" t="s">
        <v>1438</v>
      </c>
      <c r="F941" s="336">
        <v>10500</v>
      </c>
      <c r="G941" s="330" t="s">
        <v>236</v>
      </c>
      <c r="H941" s="329">
        <v>8.9526673578110003</v>
      </c>
      <c r="I941" s="333"/>
      <c r="J941" s="333">
        <v>8.9526673578110003</v>
      </c>
      <c r="K941" s="333"/>
      <c r="L941" s="333"/>
      <c r="M941" s="336"/>
    </row>
    <row r="942" spans="1:13" hidden="1" outlineLevel="2" x14ac:dyDescent="0.35">
      <c r="A942" s="339" t="s">
        <v>103</v>
      </c>
      <c r="B942" s="331">
        <v>44431</v>
      </c>
      <c r="C942" s="332" t="s">
        <v>479</v>
      </c>
      <c r="D942" s="332" t="s">
        <v>1437</v>
      </c>
      <c r="E942" s="332" t="s">
        <v>1438</v>
      </c>
      <c r="F942" s="336">
        <v>12000</v>
      </c>
      <c r="G942" s="330" t="s">
        <v>236</v>
      </c>
      <c r="H942" s="329">
        <v>10.231619837498286</v>
      </c>
      <c r="I942" s="333"/>
      <c r="J942" s="333">
        <v>10.231619837498286</v>
      </c>
      <c r="K942" s="333"/>
      <c r="L942" s="333"/>
      <c r="M942" s="336"/>
    </row>
    <row r="943" spans="1:13" hidden="1" outlineLevel="2" x14ac:dyDescent="0.35">
      <c r="A943" s="339" t="s">
        <v>103</v>
      </c>
      <c r="B943" s="331">
        <v>44425</v>
      </c>
      <c r="C943" s="332" t="s">
        <v>479</v>
      </c>
      <c r="D943" s="332" t="s">
        <v>1437</v>
      </c>
      <c r="E943" s="332" t="s">
        <v>1438</v>
      </c>
      <c r="F943" s="336">
        <v>12000</v>
      </c>
      <c r="G943" s="330" t="s">
        <v>236</v>
      </c>
      <c r="H943" s="329">
        <v>10.231619837498286</v>
      </c>
      <c r="I943" s="333"/>
      <c r="J943" s="333">
        <v>10.231619837498286</v>
      </c>
      <c r="K943" s="333"/>
      <c r="L943" s="333"/>
      <c r="M943" s="336"/>
    </row>
    <row r="944" spans="1:13" hidden="1" outlineLevel="2" x14ac:dyDescent="0.35">
      <c r="A944" s="339" t="s">
        <v>103</v>
      </c>
      <c r="B944" s="331">
        <v>44394</v>
      </c>
      <c r="C944" s="332" t="s">
        <v>479</v>
      </c>
      <c r="D944" s="332" t="s">
        <v>1437</v>
      </c>
      <c r="E944" s="332" t="s">
        <v>1438</v>
      </c>
      <c r="F944" s="336">
        <v>12000</v>
      </c>
      <c r="G944" s="330" t="s">
        <v>236</v>
      </c>
      <c r="H944" s="329">
        <v>10.231619837498286</v>
      </c>
      <c r="I944" s="333"/>
      <c r="J944" s="333">
        <v>10.231619837498286</v>
      </c>
      <c r="K944" s="333"/>
      <c r="L944" s="333"/>
      <c r="M944" s="336"/>
    </row>
    <row r="945" spans="1:13" hidden="1" outlineLevel="2" x14ac:dyDescent="0.35">
      <c r="A945" s="339" t="s">
        <v>103</v>
      </c>
      <c r="B945" s="331">
        <v>44400</v>
      </c>
      <c r="C945" s="332" t="s">
        <v>479</v>
      </c>
      <c r="D945" s="332" t="s">
        <v>1437</v>
      </c>
      <c r="E945" s="332" t="s">
        <v>1438</v>
      </c>
      <c r="F945" s="336">
        <v>15000</v>
      </c>
      <c r="G945" s="330" t="s">
        <v>236</v>
      </c>
      <c r="H945" s="329">
        <v>12.789524796872858</v>
      </c>
      <c r="I945" s="333"/>
      <c r="J945" s="333">
        <v>12.789524796872858</v>
      </c>
      <c r="K945" s="333"/>
      <c r="L945" s="333"/>
      <c r="M945" s="336"/>
    </row>
    <row r="946" spans="1:13" hidden="1" outlineLevel="2" x14ac:dyDescent="0.35">
      <c r="A946" s="339" t="s">
        <v>103</v>
      </c>
      <c r="B946" s="331">
        <v>44398</v>
      </c>
      <c r="C946" s="332" t="s">
        <v>479</v>
      </c>
      <c r="D946" s="332" t="s">
        <v>1437</v>
      </c>
      <c r="E946" s="332" t="s">
        <v>1438</v>
      </c>
      <c r="F946" s="336">
        <v>15000</v>
      </c>
      <c r="G946" s="330" t="s">
        <v>236</v>
      </c>
      <c r="H946" s="329">
        <v>12.789524796872858</v>
      </c>
      <c r="I946" s="333"/>
      <c r="J946" s="333">
        <v>12.789524796872858</v>
      </c>
      <c r="K946" s="333"/>
      <c r="L946" s="333"/>
      <c r="M946" s="336"/>
    </row>
    <row r="947" spans="1:13" hidden="1" outlineLevel="2" x14ac:dyDescent="0.35">
      <c r="A947" s="339" t="s">
        <v>103</v>
      </c>
      <c r="B947" s="331">
        <v>44387</v>
      </c>
      <c r="C947" s="332" t="s">
        <v>479</v>
      </c>
      <c r="D947" s="332" t="s">
        <v>1437</v>
      </c>
      <c r="E947" s="332" t="s">
        <v>1438</v>
      </c>
      <c r="F947" s="336">
        <v>15000</v>
      </c>
      <c r="G947" s="330" t="s">
        <v>236</v>
      </c>
      <c r="H947" s="329">
        <v>12.789524796872858</v>
      </c>
      <c r="I947" s="333"/>
      <c r="J947" s="333">
        <v>12.789524796872858</v>
      </c>
      <c r="K947" s="333"/>
      <c r="L947" s="333"/>
      <c r="M947" s="336"/>
    </row>
    <row r="948" spans="1:13" hidden="1" outlineLevel="2" x14ac:dyDescent="0.35">
      <c r="A948" s="339" t="s">
        <v>103</v>
      </c>
      <c r="B948" s="331">
        <v>44585</v>
      </c>
      <c r="C948" s="332" t="s">
        <v>479</v>
      </c>
      <c r="D948" s="332" t="s">
        <v>1437</v>
      </c>
      <c r="E948" s="332" t="s">
        <v>1440</v>
      </c>
      <c r="F948" s="336">
        <v>20000</v>
      </c>
      <c r="G948" s="330" t="s">
        <v>236</v>
      </c>
      <c r="H948" s="329">
        <v>17.052699729163809</v>
      </c>
      <c r="I948" s="333"/>
      <c r="J948" s="333">
        <v>17.052699729163809</v>
      </c>
      <c r="K948" s="333"/>
      <c r="L948" s="333"/>
      <c r="M948" s="336"/>
    </row>
    <row r="949" spans="1:13" hidden="1" outlineLevel="2" x14ac:dyDescent="0.35">
      <c r="A949" s="339" t="s">
        <v>103</v>
      </c>
      <c r="B949" s="331">
        <v>44564</v>
      </c>
      <c r="C949" s="332" t="s">
        <v>479</v>
      </c>
      <c r="D949" s="332" t="s">
        <v>1437</v>
      </c>
      <c r="E949" s="332" t="s">
        <v>1441</v>
      </c>
      <c r="F949" s="336">
        <v>20700</v>
      </c>
      <c r="G949" s="330" t="s">
        <v>236</v>
      </c>
      <c r="H949" s="329">
        <v>17.649544219684543</v>
      </c>
      <c r="I949" s="333"/>
      <c r="J949" s="333">
        <v>17.649544219684543</v>
      </c>
      <c r="K949" s="333"/>
      <c r="L949" s="333"/>
      <c r="M949" s="336"/>
    </row>
    <row r="950" spans="1:13" hidden="1" outlineLevel="2" x14ac:dyDescent="0.35">
      <c r="A950" s="339" t="s">
        <v>103</v>
      </c>
      <c r="B950" s="331">
        <v>44407</v>
      </c>
      <c r="C950" s="332" t="s">
        <v>1442</v>
      </c>
      <c r="D950" s="332" t="s">
        <v>1443</v>
      </c>
      <c r="E950" s="332" t="s">
        <v>1444</v>
      </c>
      <c r="F950" s="336">
        <v>3000</v>
      </c>
      <c r="G950" s="330" t="s">
        <v>236</v>
      </c>
      <c r="H950" s="329">
        <v>2.5579049593745715</v>
      </c>
      <c r="I950" s="333"/>
      <c r="J950" s="333">
        <v>2.5579049593745715</v>
      </c>
      <c r="K950" s="333"/>
      <c r="L950" s="333"/>
      <c r="M950" s="336"/>
    </row>
    <row r="951" spans="1:13" hidden="1" outlineLevel="2" x14ac:dyDescent="0.35">
      <c r="A951" s="339" t="s">
        <v>103</v>
      </c>
      <c r="B951" s="331">
        <v>44385</v>
      </c>
      <c r="C951" s="332" t="s">
        <v>1442</v>
      </c>
      <c r="D951" s="332" t="s">
        <v>1443</v>
      </c>
      <c r="E951" s="332" t="s">
        <v>1445</v>
      </c>
      <c r="F951" s="336">
        <v>7000</v>
      </c>
      <c r="G951" s="330" t="s">
        <v>236</v>
      </c>
      <c r="H951" s="329">
        <v>5.9684449052073338</v>
      </c>
      <c r="I951" s="333"/>
      <c r="J951" s="333">
        <v>5.9684449052073338</v>
      </c>
      <c r="K951" s="333"/>
      <c r="L951" s="333"/>
      <c r="M951" s="336"/>
    </row>
    <row r="952" spans="1:13" hidden="1" outlineLevel="2" x14ac:dyDescent="0.35">
      <c r="A952" s="339" t="s">
        <v>103</v>
      </c>
      <c r="B952" s="331">
        <v>44454</v>
      </c>
      <c r="C952" s="332" t="s">
        <v>1446</v>
      </c>
      <c r="D952" s="332" t="s">
        <v>1447</v>
      </c>
      <c r="E952" s="332" t="s">
        <v>1000</v>
      </c>
      <c r="F952" s="336">
        <v>3500000</v>
      </c>
      <c r="G952" s="330" t="s">
        <v>236</v>
      </c>
      <c r="H952" s="329">
        <v>2984.2224526036666</v>
      </c>
      <c r="I952" s="333"/>
      <c r="J952" s="333">
        <v>2984.2224526036666</v>
      </c>
      <c r="K952" s="333"/>
      <c r="L952" s="333"/>
      <c r="M952" s="336"/>
    </row>
    <row r="953" spans="1:13" hidden="1" outlineLevel="2" x14ac:dyDescent="0.35">
      <c r="A953" s="339" t="s">
        <v>103</v>
      </c>
      <c r="B953" s="331">
        <v>44377</v>
      </c>
      <c r="C953" s="332" t="s">
        <v>590</v>
      </c>
      <c r="D953" s="332" t="s">
        <v>1448</v>
      </c>
      <c r="E953" s="332" t="s">
        <v>369</v>
      </c>
      <c r="F953" s="336">
        <v>35682</v>
      </c>
      <c r="G953" s="330" t="s">
        <v>236</v>
      </c>
      <c r="H953" s="329">
        <v>30.423721586801154</v>
      </c>
      <c r="I953" s="333"/>
      <c r="J953" s="333">
        <v>30.423721586801154</v>
      </c>
      <c r="K953" s="333"/>
      <c r="L953" s="333"/>
      <c r="M953" s="336"/>
    </row>
    <row r="954" spans="1:13" hidden="1" outlineLevel="2" x14ac:dyDescent="0.35">
      <c r="A954" s="339" t="s">
        <v>103</v>
      </c>
      <c r="B954" s="331">
        <v>44403</v>
      </c>
      <c r="C954" s="332" t="s">
        <v>592</v>
      </c>
      <c r="D954" s="332" t="s">
        <v>1449</v>
      </c>
      <c r="E954" s="332" t="s">
        <v>1450</v>
      </c>
      <c r="F954" s="336">
        <v>650000</v>
      </c>
      <c r="G954" s="330" t="s">
        <v>236</v>
      </c>
      <c r="H954" s="329">
        <v>554.21274119782379</v>
      </c>
      <c r="I954" s="333"/>
      <c r="J954" s="333">
        <v>554.21274119782379</v>
      </c>
      <c r="K954" s="333"/>
      <c r="L954" s="333"/>
      <c r="M954" s="336"/>
    </row>
    <row r="955" spans="1:13" hidden="1" outlineLevel="2" x14ac:dyDescent="0.35">
      <c r="A955" s="339" t="s">
        <v>103</v>
      </c>
      <c r="B955" s="331">
        <v>44442</v>
      </c>
      <c r="C955" s="332" t="s">
        <v>1132</v>
      </c>
      <c r="D955" s="332" t="s">
        <v>1435</v>
      </c>
      <c r="E955" s="332" t="s">
        <v>1362</v>
      </c>
      <c r="F955" s="336">
        <v>80000</v>
      </c>
      <c r="G955" s="330" t="s">
        <v>236</v>
      </c>
      <c r="H955" s="329">
        <v>68.210798916655236</v>
      </c>
      <c r="I955" s="333"/>
      <c r="J955" s="333">
        <v>68.210798916655236</v>
      </c>
      <c r="K955" s="333"/>
      <c r="L955" s="333"/>
      <c r="M955" s="336"/>
    </row>
    <row r="956" spans="1:13" hidden="1" outlineLevel="2" x14ac:dyDescent="0.35">
      <c r="A956" s="339" t="s">
        <v>103</v>
      </c>
      <c r="B956" s="331">
        <v>44444</v>
      </c>
      <c r="C956" s="332" t="s">
        <v>1451</v>
      </c>
      <c r="D956" s="332" t="s">
        <v>1452</v>
      </c>
      <c r="E956" s="332" t="s">
        <v>1362</v>
      </c>
      <c r="F956" s="336">
        <v>20000</v>
      </c>
      <c r="G956" s="330" t="s">
        <v>236</v>
      </c>
      <c r="H956" s="329">
        <v>17.052699729163809</v>
      </c>
      <c r="I956" s="333"/>
      <c r="J956" s="333">
        <v>17.052699729163809</v>
      </c>
      <c r="K956" s="333"/>
      <c r="L956" s="333"/>
      <c r="M956" s="336"/>
    </row>
    <row r="957" spans="1:13" hidden="1" outlineLevel="2" x14ac:dyDescent="0.35">
      <c r="A957" s="339" t="s">
        <v>103</v>
      </c>
      <c r="B957" s="331">
        <v>44433</v>
      </c>
      <c r="C957" s="332" t="s">
        <v>561</v>
      </c>
      <c r="D957" s="332" t="s">
        <v>1453</v>
      </c>
      <c r="E957" s="332" t="s">
        <v>1454</v>
      </c>
      <c r="F957" s="336">
        <v>35000</v>
      </c>
      <c r="G957" s="330" t="s">
        <v>236</v>
      </c>
      <c r="H957" s="329">
        <v>29.842224526036667</v>
      </c>
      <c r="I957" s="333"/>
      <c r="J957" s="333">
        <v>29.842224526036667</v>
      </c>
      <c r="K957" s="333"/>
      <c r="L957" s="333"/>
      <c r="M957" s="336"/>
    </row>
    <row r="958" spans="1:13" hidden="1" outlineLevel="2" x14ac:dyDescent="0.35">
      <c r="A958" s="339" t="s">
        <v>103</v>
      </c>
      <c r="B958" s="331">
        <v>44437</v>
      </c>
      <c r="C958" s="332" t="s">
        <v>1455</v>
      </c>
      <c r="D958" s="332" t="s">
        <v>1453</v>
      </c>
      <c r="E958" s="332" t="s">
        <v>1454</v>
      </c>
      <c r="F958" s="336">
        <v>35000</v>
      </c>
      <c r="G958" s="330" t="s">
        <v>236</v>
      </c>
      <c r="H958" s="329">
        <v>29.842224526036667</v>
      </c>
      <c r="I958" s="333"/>
      <c r="J958" s="333">
        <v>29.842224526036667</v>
      </c>
      <c r="K958" s="333"/>
      <c r="L958" s="333"/>
      <c r="M958" s="336"/>
    </row>
    <row r="959" spans="1:13" hidden="1" outlineLevel="2" x14ac:dyDescent="0.35">
      <c r="A959" s="339" t="s">
        <v>103</v>
      </c>
      <c r="B959" s="331">
        <v>44433</v>
      </c>
      <c r="C959" s="332" t="s">
        <v>1128</v>
      </c>
      <c r="D959" s="332" t="s">
        <v>1456</v>
      </c>
      <c r="E959" s="332" t="s">
        <v>1457</v>
      </c>
      <c r="F959" s="336">
        <v>240162</v>
      </c>
      <c r="G959" s="330" t="s">
        <v>236</v>
      </c>
      <c r="H959" s="329">
        <v>204.77052361777194</v>
      </c>
      <c r="I959" s="333"/>
      <c r="J959" s="333">
        <v>204.77052361777194</v>
      </c>
      <c r="K959" s="333"/>
      <c r="L959" s="333"/>
      <c r="M959" s="336"/>
    </row>
    <row r="960" spans="1:13" hidden="1" outlineLevel="2" x14ac:dyDescent="0.35">
      <c r="A960" s="339" t="s">
        <v>103</v>
      </c>
      <c r="B960" s="331">
        <v>44433</v>
      </c>
      <c r="C960" s="332" t="s">
        <v>444</v>
      </c>
      <c r="D960" s="332" t="s">
        <v>1456</v>
      </c>
      <c r="E960" s="332" t="s">
        <v>1457</v>
      </c>
      <c r="F960" s="336">
        <v>250782</v>
      </c>
      <c r="G960" s="330" t="s">
        <v>236</v>
      </c>
      <c r="H960" s="329">
        <v>213.82550717395793</v>
      </c>
      <c r="I960" s="333"/>
      <c r="J960" s="333">
        <v>213.82550717395793</v>
      </c>
      <c r="K960" s="333"/>
      <c r="L960" s="333"/>
      <c r="M960" s="336"/>
    </row>
    <row r="961" spans="1:13" hidden="1" outlineLevel="2" x14ac:dyDescent="0.35">
      <c r="A961" s="339" t="s">
        <v>103</v>
      </c>
      <c r="B961" s="331">
        <v>44421</v>
      </c>
      <c r="C961" s="332" t="s">
        <v>1458</v>
      </c>
      <c r="D961" s="332" t="s">
        <v>1459</v>
      </c>
      <c r="E961" s="332" t="s">
        <v>623</v>
      </c>
      <c r="F961" s="336">
        <v>40000</v>
      </c>
      <c r="G961" s="330" t="s">
        <v>236</v>
      </c>
      <c r="H961" s="329">
        <v>34.105399458327618</v>
      </c>
      <c r="I961" s="333"/>
      <c r="J961" s="333">
        <v>34.105399458327618</v>
      </c>
      <c r="K961" s="333"/>
      <c r="L961" s="333"/>
      <c r="M961" s="336"/>
    </row>
    <row r="962" spans="1:13" hidden="1" outlineLevel="2" x14ac:dyDescent="0.35">
      <c r="A962" s="339" t="s">
        <v>103</v>
      </c>
      <c r="B962" s="331">
        <v>44442</v>
      </c>
      <c r="C962" s="332" t="s">
        <v>1460</v>
      </c>
      <c r="D962" s="332" t="s">
        <v>1461</v>
      </c>
      <c r="E962" s="332" t="s">
        <v>1462</v>
      </c>
      <c r="F962" s="336">
        <v>321000</v>
      </c>
      <c r="G962" s="330" t="s">
        <v>236</v>
      </c>
      <c r="H962" s="329">
        <v>273.69583065307916</v>
      </c>
      <c r="I962" s="333"/>
      <c r="J962" s="333">
        <v>273.69583065307916</v>
      </c>
      <c r="K962" s="333"/>
      <c r="L962" s="333"/>
      <c r="M962" s="336"/>
    </row>
    <row r="963" spans="1:13" hidden="1" outlineLevel="2" x14ac:dyDescent="0.35">
      <c r="A963" s="339" t="s">
        <v>103</v>
      </c>
      <c r="B963" s="331">
        <v>44498</v>
      </c>
      <c r="C963" s="332" t="s">
        <v>1183</v>
      </c>
      <c r="D963" s="332" t="s">
        <v>1463</v>
      </c>
      <c r="E963" s="332" t="s">
        <v>369</v>
      </c>
      <c r="F963" s="336">
        <v>21910</v>
      </c>
      <c r="G963" s="330" t="s">
        <v>236</v>
      </c>
      <c r="H963" s="329">
        <v>18.681232553298955</v>
      </c>
      <c r="I963" s="333"/>
      <c r="J963" s="333">
        <v>18.681232553298955</v>
      </c>
      <c r="K963" s="333"/>
      <c r="L963" s="333"/>
      <c r="M963" s="336"/>
    </row>
    <row r="964" spans="1:13" hidden="1" outlineLevel="2" x14ac:dyDescent="0.35">
      <c r="A964" s="339" t="s">
        <v>103</v>
      </c>
      <c r="B964" s="331">
        <v>44489</v>
      </c>
      <c r="C964" s="332" t="s">
        <v>1183</v>
      </c>
      <c r="D964" s="332" t="s">
        <v>1463</v>
      </c>
      <c r="E964" s="332" t="s">
        <v>369</v>
      </c>
      <c r="F964" s="336">
        <v>47576</v>
      </c>
      <c r="G964" s="330" t="s">
        <v>236</v>
      </c>
      <c r="H964" s="329">
        <v>40.564962115734872</v>
      </c>
      <c r="I964" s="333"/>
      <c r="J964" s="333">
        <v>40.564962115734872</v>
      </c>
      <c r="K964" s="333"/>
      <c r="L964" s="333"/>
      <c r="M964" s="336"/>
    </row>
    <row r="965" spans="1:13" hidden="1" outlineLevel="2" x14ac:dyDescent="0.35">
      <c r="A965" s="339" t="s">
        <v>103</v>
      </c>
      <c r="B965" s="331">
        <v>44445</v>
      </c>
      <c r="C965" s="332" t="s">
        <v>1464</v>
      </c>
      <c r="D965" s="332" t="s">
        <v>1465</v>
      </c>
      <c r="E965" s="332" t="s">
        <v>1457</v>
      </c>
      <c r="F965" s="336">
        <v>487299</v>
      </c>
      <c r="G965" s="330" t="s">
        <v>236</v>
      </c>
      <c r="H965" s="329">
        <v>415.48817626608979</v>
      </c>
      <c r="I965" s="333"/>
      <c r="J965" s="333">
        <v>415.48817626608979</v>
      </c>
      <c r="K965" s="333"/>
      <c r="L965" s="333"/>
      <c r="M965" s="336"/>
    </row>
    <row r="966" spans="1:13" hidden="1" outlineLevel="2" x14ac:dyDescent="0.35">
      <c r="A966" s="339" t="s">
        <v>103</v>
      </c>
      <c r="B966" s="331">
        <v>44547</v>
      </c>
      <c r="C966" s="332" t="s">
        <v>1466</v>
      </c>
      <c r="D966" s="332" t="s">
        <v>1467</v>
      </c>
      <c r="E966" s="332" t="s">
        <v>1468</v>
      </c>
      <c r="F966" s="336">
        <v>332800</v>
      </c>
      <c r="G966" s="330" t="s">
        <v>236</v>
      </c>
      <c r="H966" s="329">
        <v>283.7569234932858</v>
      </c>
      <c r="I966" s="333"/>
      <c r="J966" s="333">
        <v>283.7569234932858</v>
      </c>
      <c r="K966" s="333"/>
      <c r="L966" s="333"/>
      <c r="M966" s="336"/>
    </row>
    <row r="967" spans="1:13" hidden="1" outlineLevel="2" x14ac:dyDescent="0.35">
      <c r="A967" s="339" t="s">
        <v>103</v>
      </c>
      <c r="B967" s="331">
        <v>44559</v>
      </c>
      <c r="C967" s="332" t="s">
        <v>1134</v>
      </c>
      <c r="D967" s="332" t="s">
        <v>1467</v>
      </c>
      <c r="E967" s="332" t="s">
        <v>1469</v>
      </c>
      <c r="F967" s="336">
        <v>345000</v>
      </c>
      <c r="G967" s="330" t="s">
        <v>236</v>
      </c>
      <c r="H967" s="329">
        <v>294.1590703280757</v>
      </c>
      <c r="I967" s="333"/>
      <c r="J967" s="333">
        <v>294.1590703280757</v>
      </c>
      <c r="K967" s="333"/>
      <c r="L967" s="333"/>
      <c r="M967" s="336"/>
    </row>
    <row r="968" spans="1:13" hidden="1" outlineLevel="2" x14ac:dyDescent="0.35">
      <c r="A968" s="339" t="s">
        <v>103</v>
      </c>
      <c r="B968" s="331">
        <v>44540</v>
      </c>
      <c r="C968" s="332" t="s">
        <v>892</v>
      </c>
      <c r="D968" s="332" t="s">
        <v>1470</v>
      </c>
      <c r="E968" s="332" t="s">
        <v>1471</v>
      </c>
      <c r="F968" s="336">
        <v>127500</v>
      </c>
      <c r="G968" s="330" t="s">
        <v>236</v>
      </c>
      <c r="H968" s="329">
        <v>108.71096077341929</v>
      </c>
      <c r="I968" s="333"/>
      <c r="J968" s="333">
        <v>108.71096077341929</v>
      </c>
      <c r="K968" s="333"/>
      <c r="L968" s="333"/>
      <c r="M968" s="336"/>
    </row>
    <row r="969" spans="1:13" hidden="1" outlineLevel="2" x14ac:dyDescent="0.35">
      <c r="A969" s="339" t="s">
        <v>103</v>
      </c>
      <c r="B969" s="331">
        <v>44543</v>
      </c>
      <c r="C969" s="332" t="s">
        <v>512</v>
      </c>
      <c r="D969" s="332" t="s">
        <v>1472</v>
      </c>
      <c r="E969" s="332" t="s">
        <v>1473</v>
      </c>
      <c r="F969" s="336">
        <v>250000</v>
      </c>
      <c r="G969" s="330" t="s">
        <v>236</v>
      </c>
      <c r="H969" s="329">
        <v>213.15874661454762</v>
      </c>
      <c r="I969" s="333"/>
      <c r="J969" s="333">
        <v>213.15874661454762</v>
      </c>
      <c r="K969" s="333"/>
      <c r="L969" s="333"/>
      <c r="M969" s="336"/>
    </row>
    <row r="970" spans="1:13" hidden="1" outlineLevel="2" x14ac:dyDescent="0.35">
      <c r="A970" s="339" t="s">
        <v>103</v>
      </c>
      <c r="B970" s="331">
        <v>44546</v>
      </c>
      <c r="C970" s="332" t="s">
        <v>1474</v>
      </c>
      <c r="D970" s="332" t="s">
        <v>1475</v>
      </c>
      <c r="E970" s="332" t="s">
        <v>1476</v>
      </c>
      <c r="F970" s="336">
        <v>1672532</v>
      </c>
      <c r="G970" s="330" t="s">
        <v>236</v>
      </c>
      <c r="H970" s="329">
        <v>1426.0592991708902</v>
      </c>
      <c r="I970" s="333"/>
      <c r="J970" s="333">
        <v>1426.0592991708902</v>
      </c>
      <c r="K970" s="333"/>
      <c r="L970" s="333"/>
      <c r="M970" s="336"/>
    </row>
    <row r="971" spans="1:13" hidden="1" outlineLevel="2" x14ac:dyDescent="0.35">
      <c r="A971" s="339" t="s">
        <v>103</v>
      </c>
      <c r="B971" s="331">
        <v>44547</v>
      </c>
      <c r="C971" s="332" t="s">
        <v>1477</v>
      </c>
      <c r="D971" s="332" t="s">
        <v>1478</v>
      </c>
      <c r="E971" s="332" t="s">
        <v>1476</v>
      </c>
      <c r="F971" s="336">
        <v>2149488</v>
      </c>
      <c r="G971" s="330" t="s">
        <v>236</v>
      </c>
      <c r="H971" s="329">
        <v>1832.7286717720431</v>
      </c>
      <c r="I971" s="333"/>
      <c r="J971" s="333">
        <v>1832.7286717720431</v>
      </c>
      <c r="K971" s="333"/>
      <c r="L971" s="333"/>
      <c r="M971" s="336"/>
    </row>
    <row r="972" spans="1:13" hidden="1" outlineLevel="2" x14ac:dyDescent="0.35">
      <c r="A972" s="339" t="s">
        <v>103</v>
      </c>
      <c r="B972" s="331">
        <v>44530</v>
      </c>
      <c r="C972" s="332" t="s">
        <v>1479</v>
      </c>
      <c r="D972" s="332" t="s">
        <v>1480</v>
      </c>
      <c r="E972" s="332" t="s">
        <v>1471</v>
      </c>
      <c r="F972" s="336">
        <v>154000</v>
      </c>
      <c r="G972" s="330" t="s">
        <v>236</v>
      </c>
      <c r="H972" s="329">
        <v>131.30578791456134</v>
      </c>
      <c r="I972" s="333"/>
      <c r="J972" s="333">
        <v>131.30578791456134</v>
      </c>
      <c r="K972" s="333"/>
      <c r="L972" s="333"/>
      <c r="M972" s="336"/>
    </row>
    <row r="973" spans="1:13" hidden="1" outlineLevel="2" x14ac:dyDescent="0.35">
      <c r="A973" s="339" t="s">
        <v>103</v>
      </c>
      <c r="B973" s="331">
        <v>44552</v>
      </c>
      <c r="C973" s="332" t="s">
        <v>1481</v>
      </c>
      <c r="D973" s="332" t="s">
        <v>1482</v>
      </c>
      <c r="E973" s="332" t="s">
        <v>1483</v>
      </c>
      <c r="F973" s="336">
        <v>800000</v>
      </c>
      <c r="G973" s="330" t="s">
        <v>236</v>
      </c>
      <c r="H973" s="329">
        <v>682.10798916655244</v>
      </c>
      <c r="I973" s="333"/>
      <c r="J973" s="333">
        <v>682.10798916655244</v>
      </c>
      <c r="K973" s="333"/>
      <c r="L973" s="333"/>
      <c r="M973" s="336"/>
    </row>
    <row r="974" spans="1:13" hidden="1" outlineLevel="2" x14ac:dyDescent="0.35">
      <c r="A974" s="339" t="s">
        <v>103</v>
      </c>
      <c r="B974" s="331">
        <v>44552</v>
      </c>
      <c r="C974" s="332" t="s">
        <v>1484</v>
      </c>
      <c r="D974" s="332" t="s">
        <v>1482</v>
      </c>
      <c r="E974" s="332" t="s">
        <v>1485</v>
      </c>
      <c r="F974" s="336">
        <v>500000</v>
      </c>
      <c r="G974" s="330" t="s">
        <v>236</v>
      </c>
      <c r="H974" s="329">
        <v>426.31749322909525</v>
      </c>
      <c r="I974" s="333"/>
      <c r="J974" s="333">
        <v>426.31749322909525</v>
      </c>
      <c r="K974" s="333"/>
      <c r="L974" s="333"/>
      <c r="M974" s="336"/>
    </row>
    <row r="975" spans="1:13" hidden="1" outlineLevel="2" x14ac:dyDescent="0.35">
      <c r="A975" s="339" t="s">
        <v>103</v>
      </c>
      <c r="B975" s="331">
        <v>44552</v>
      </c>
      <c r="C975" s="332" t="s">
        <v>1486</v>
      </c>
      <c r="D975" s="332" t="s">
        <v>1482</v>
      </c>
      <c r="E975" s="332" t="s">
        <v>1485</v>
      </c>
      <c r="F975" s="336">
        <v>1492000</v>
      </c>
      <c r="G975" s="330" t="s">
        <v>236</v>
      </c>
      <c r="H975" s="329">
        <v>1272.1313997956202</v>
      </c>
      <c r="I975" s="333"/>
      <c r="J975" s="333">
        <v>1272.1313997956202</v>
      </c>
      <c r="K975" s="333"/>
      <c r="L975" s="333"/>
      <c r="M975" s="336"/>
    </row>
    <row r="976" spans="1:13" hidden="1" outlineLevel="2" x14ac:dyDescent="0.35">
      <c r="A976" s="339" t="s">
        <v>103</v>
      </c>
      <c r="B976" s="331">
        <v>44553</v>
      </c>
      <c r="C976" s="332" t="s">
        <v>1487</v>
      </c>
      <c r="D976" s="332" t="s">
        <v>1482</v>
      </c>
      <c r="E976" s="332" t="s">
        <v>1488</v>
      </c>
      <c r="F976" s="336">
        <v>495000</v>
      </c>
      <c r="G976" s="330" t="s">
        <v>236</v>
      </c>
      <c r="H976" s="329">
        <v>422.0543182968043</v>
      </c>
      <c r="I976" s="333"/>
      <c r="J976" s="333">
        <v>422.0543182968043</v>
      </c>
      <c r="K976" s="333"/>
      <c r="L976" s="333"/>
      <c r="M976" s="336"/>
    </row>
    <row r="977" spans="1:13" hidden="1" outlineLevel="2" x14ac:dyDescent="0.35">
      <c r="A977" s="339" t="s">
        <v>103</v>
      </c>
      <c r="B977" s="331">
        <v>44553</v>
      </c>
      <c r="C977" s="332" t="s">
        <v>1489</v>
      </c>
      <c r="D977" s="332" t="s">
        <v>1482</v>
      </c>
      <c r="E977" s="332" t="s">
        <v>1488</v>
      </c>
      <c r="F977" s="336">
        <v>168000</v>
      </c>
      <c r="G977" s="330" t="s">
        <v>236</v>
      </c>
      <c r="H977" s="329">
        <v>143.24267772497601</v>
      </c>
      <c r="I977" s="333"/>
      <c r="J977" s="333">
        <v>143.24267772497601</v>
      </c>
      <c r="K977" s="333"/>
      <c r="L977" s="333"/>
      <c r="M977" s="336"/>
    </row>
    <row r="978" spans="1:13" hidden="1" outlineLevel="2" x14ac:dyDescent="0.35">
      <c r="A978" s="339" t="s">
        <v>103</v>
      </c>
      <c r="B978" s="331">
        <v>44553</v>
      </c>
      <c r="C978" s="332" t="s">
        <v>1490</v>
      </c>
      <c r="D978" s="332" t="s">
        <v>1491</v>
      </c>
      <c r="E978" s="332" t="s">
        <v>1492</v>
      </c>
      <c r="F978" s="336">
        <v>1932250</v>
      </c>
      <c r="G978" s="330" t="s">
        <v>236</v>
      </c>
      <c r="H978" s="329">
        <v>1647.5039525838386</v>
      </c>
      <c r="I978" s="333"/>
      <c r="J978" s="333">
        <v>1647.5039525838386</v>
      </c>
      <c r="K978" s="333"/>
      <c r="L978" s="333"/>
      <c r="M978" s="336"/>
    </row>
    <row r="979" spans="1:13" hidden="1" outlineLevel="2" x14ac:dyDescent="0.35">
      <c r="A979" s="339" t="s">
        <v>103</v>
      </c>
      <c r="B979" s="331">
        <v>44552</v>
      </c>
      <c r="C979" s="332" t="s">
        <v>1493</v>
      </c>
      <c r="D979" s="332" t="s">
        <v>1494</v>
      </c>
      <c r="E979" s="332" t="s">
        <v>1483</v>
      </c>
      <c r="F979" s="336">
        <v>160000</v>
      </c>
      <c r="G979" s="330" t="s">
        <v>236</v>
      </c>
      <c r="H979" s="329">
        <v>136.42159783331047</v>
      </c>
      <c r="I979" s="333"/>
      <c r="J979" s="333">
        <v>136.42159783331047</v>
      </c>
      <c r="K979" s="333"/>
      <c r="L979" s="333"/>
      <c r="M979" s="336"/>
    </row>
    <row r="980" spans="1:13" hidden="1" outlineLevel="2" x14ac:dyDescent="0.35">
      <c r="A980" s="339" t="s">
        <v>103</v>
      </c>
      <c r="B980" s="331">
        <v>44553</v>
      </c>
      <c r="C980" s="332" t="s">
        <v>1495</v>
      </c>
      <c r="D980" s="332" t="s">
        <v>1482</v>
      </c>
      <c r="E980" s="332" t="s">
        <v>1488</v>
      </c>
      <c r="F980" s="336">
        <v>1692500</v>
      </c>
      <c r="G980" s="330" t="s">
        <v>236</v>
      </c>
      <c r="H980" s="329">
        <v>1443.0847145804873</v>
      </c>
      <c r="I980" s="333"/>
      <c r="J980" s="333">
        <v>1443.0847145804873</v>
      </c>
      <c r="K980" s="333"/>
      <c r="L980" s="333"/>
      <c r="M980" s="336"/>
    </row>
    <row r="981" spans="1:13" hidden="1" outlineLevel="2" x14ac:dyDescent="0.35">
      <c r="A981" s="339" t="s">
        <v>103</v>
      </c>
      <c r="B981" s="331">
        <v>44559</v>
      </c>
      <c r="C981" s="332" t="s">
        <v>1496</v>
      </c>
      <c r="D981" s="332" t="s">
        <v>1497</v>
      </c>
      <c r="E981" s="332" t="s">
        <v>1498</v>
      </c>
      <c r="F981" s="336">
        <v>900000</v>
      </c>
      <c r="G981" s="330" t="s">
        <v>236</v>
      </c>
      <c r="H981" s="329">
        <v>767.37148781237147</v>
      </c>
      <c r="I981" s="333"/>
      <c r="J981" s="333">
        <v>767.37148781237147</v>
      </c>
      <c r="K981" s="333"/>
      <c r="L981" s="333"/>
      <c r="M981" s="336"/>
    </row>
    <row r="982" spans="1:13" hidden="1" outlineLevel="2" x14ac:dyDescent="0.35">
      <c r="A982" s="339" t="s">
        <v>103</v>
      </c>
      <c r="B982" s="331">
        <v>44559</v>
      </c>
      <c r="C982" s="332" t="s">
        <v>1499</v>
      </c>
      <c r="D982" s="332" t="s">
        <v>1500</v>
      </c>
      <c r="E982" s="332" t="s">
        <v>1485</v>
      </c>
      <c r="F982" s="336">
        <v>94500</v>
      </c>
      <c r="G982" s="330" t="s">
        <v>236</v>
      </c>
      <c r="H982" s="329">
        <v>80.574006220298998</v>
      </c>
      <c r="I982" s="333"/>
      <c r="J982" s="333">
        <v>80.574006220298998</v>
      </c>
      <c r="K982" s="333"/>
      <c r="L982" s="333"/>
      <c r="M982" s="336"/>
    </row>
    <row r="983" spans="1:13" hidden="1" outlineLevel="2" x14ac:dyDescent="0.35">
      <c r="A983" s="339" t="s">
        <v>103</v>
      </c>
      <c r="B983" s="331">
        <v>44222</v>
      </c>
      <c r="C983" s="332" t="s">
        <v>1501</v>
      </c>
      <c r="D983" s="332" t="s">
        <v>1502</v>
      </c>
      <c r="E983" s="332" t="s">
        <v>1428</v>
      </c>
      <c r="F983" s="336">
        <v>3000000</v>
      </c>
      <c r="G983" s="330" t="s">
        <v>236</v>
      </c>
      <c r="H983" s="329">
        <v>2557.9049593745713</v>
      </c>
      <c r="I983" s="333"/>
      <c r="J983" s="333">
        <v>2557.9049593745713</v>
      </c>
      <c r="K983" s="333"/>
      <c r="L983" s="333"/>
      <c r="M983" s="336"/>
    </row>
    <row r="984" spans="1:13" hidden="1" outlineLevel="2" x14ac:dyDescent="0.35">
      <c r="A984" s="339" t="s">
        <v>103</v>
      </c>
      <c r="B984" s="331">
        <v>44230</v>
      </c>
      <c r="C984" s="332" t="s">
        <v>1503</v>
      </c>
      <c r="D984" s="332" t="s">
        <v>1504</v>
      </c>
      <c r="E984" s="332" t="s">
        <v>1505</v>
      </c>
      <c r="F984" s="336">
        <v>259848</v>
      </c>
      <c r="G984" s="330" t="s">
        <v>236</v>
      </c>
      <c r="H984" s="329">
        <v>221.55549596118789</v>
      </c>
      <c r="I984" s="333"/>
      <c r="J984" s="333">
        <v>221.55549596118789</v>
      </c>
      <c r="K984" s="333"/>
      <c r="L984" s="333"/>
      <c r="M984" s="336"/>
    </row>
    <row r="985" spans="1:13" hidden="1" outlineLevel="2" x14ac:dyDescent="0.35">
      <c r="A985" s="339" t="s">
        <v>103</v>
      </c>
      <c r="B985" s="331">
        <v>44257</v>
      </c>
      <c r="C985" s="332" t="s">
        <v>1506</v>
      </c>
      <c r="D985" s="332" t="s">
        <v>1507</v>
      </c>
      <c r="E985" s="332" t="s">
        <v>1508</v>
      </c>
      <c r="F985" s="336">
        <v>4000</v>
      </c>
      <c r="G985" s="330" t="s">
        <v>236</v>
      </c>
      <c r="H985" s="329">
        <v>3.4105399458327619</v>
      </c>
      <c r="I985" s="333"/>
      <c r="J985" s="333">
        <v>3.4105399458327619</v>
      </c>
      <c r="K985" s="333"/>
      <c r="L985" s="333"/>
      <c r="M985" s="336"/>
    </row>
    <row r="986" spans="1:13" hidden="1" outlineLevel="2" x14ac:dyDescent="0.35">
      <c r="A986" s="339" t="s">
        <v>103</v>
      </c>
      <c r="B986" s="331">
        <v>44237</v>
      </c>
      <c r="C986" s="332" t="s">
        <v>1506</v>
      </c>
      <c r="D986" s="332" t="s">
        <v>1509</v>
      </c>
      <c r="E986" s="332" t="s">
        <v>1510</v>
      </c>
      <c r="F986" s="336">
        <v>69000</v>
      </c>
      <c r="G986" s="330" t="s">
        <v>236</v>
      </c>
      <c r="H986" s="329">
        <v>58.831814065615141</v>
      </c>
      <c r="I986" s="333"/>
      <c r="J986" s="333">
        <v>58.831814065615141</v>
      </c>
      <c r="K986" s="333"/>
      <c r="L986" s="333"/>
      <c r="M986" s="336"/>
    </row>
    <row r="987" spans="1:13" hidden="1" outlineLevel="2" x14ac:dyDescent="0.35">
      <c r="A987" s="339" t="s">
        <v>103</v>
      </c>
      <c r="B987" s="331">
        <v>44237</v>
      </c>
      <c r="C987" s="332" t="s">
        <v>1506</v>
      </c>
      <c r="D987" s="332" t="s">
        <v>1509</v>
      </c>
      <c r="E987" s="332" t="s">
        <v>1510</v>
      </c>
      <c r="F987" s="336">
        <v>69000</v>
      </c>
      <c r="G987" s="330" t="s">
        <v>236</v>
      </c>
      <c r="H987" s="329">
        <v>58.831814065615141</v>
      </c>
      <c r="I987" s="333"/>
      <c r="J987" s="333">
        <v>58.831814065615141</v>
      </c>
      <c r="K987" s="333"/>
      <c r="L987" s="333"/>
      <c r="M987" s="336"/>
    </row>
    <row r="988" spans="1:13" hidden="1" outlineLevel="2" x14ac:dyDescent="0.35">
      <c r="A988" s="339" t="s">
        <v>103</v>
      </c>
      <c r="B988" s="331">
        <v>44237</v>
      </c>
      <c r="C988" s="332" t="s">
        <v>1506</v>
      </c>
      <c r="D988" s="332" t="s">
        <v>1509</v>
      </c>
      <c r="E988" s="332" t="s">
        <v>1510</v>
      </c>
      <c r="F988" s="336">
        <v>69000</v>
      </c>
      <c r="G988" s="330" t="s">
        <v>236</v>
      </c>
      <c r="H988" s="329">
        <v>58.831814065615141</v>
      </c>
      <c r="I988" s="333"/>
      <c r="J988" s="333">
        <v>58.831814065615141</v>
      </c>
      <c r="K988" s="333"/>
      <c r="L988" s="333"/>
      <c r="M988" s="336"/>
    </row>
    <row r="989" spans="1:13" hidden="1" outlineLevel="2" x14ac:dyDescent="0.35">
      <c r="A989" s="339" t="s">
        <v>103</v>
      </c>
      <c r="B989" s="331">
        <v>44206</v>
      </c>
      <c r="C989" s="332" t="s">
        <v>1511</v>
      </c>
      <c r="D989" s="332" t="s">
        <v>1512</v>
      </c>
      <c r="E989" s="332" t="s">
        <v>1513</v>
      </c>
      <c r="F989" s="336">
        <v>5760</v>
      </c>
      <c r="G989" s="330" t="s">
        <v>236</v>
      </c>
      <c r="H989" s="329">
        <v>4.9111775219991776</v>
      </c>
      <c r="I989" s="333"/>
      <c r="J989" s="333">
        <v>4.9111775219991776</v>
      </c>
      <c r="K989" s="333"/>
      <c r="L989" s="333"/>
      <c r="M989" s="336"/>
    </row>
    <row r="990" spans="1:13" hidden="1" outlineLevel="2" x14ac:dyDescent="0.35">
      <c r="A990" s="339" t="s">
        <v>103</v>
      </c>
      <c r="B990" s="331">
        <v>44246</v>
      </c>
      <c r="C990" s="332" t="s">
        <v>1511</v>
      </c>
      <c r="D990" s="332" t="s">
        <v>1514</v>
      </c>
      <c r="E990" s="332" t="s">
        <v>1515</v>
      </c>
      <c r="F990" s="336">
        <v>45000</v>
      </c>
      <c r="G990" s="330" t="s">
        <v>236</v>
      </c>
      <c r="H990" s="329">
        <v>38.368574390618569</v>
      </c>
      <c r="I990" s="333"/>
      <c r="J990" s="333">
        <v>38.368574390618569</v>
      </c>
      <c r="K990" s="333"/>
      <c r="L990" s="333"/>
      <c r="M990" s="336"/>
    </row>
    <row r="991" spans="1:13" hidden="1" outlineLevel="2" x14ac:dyDescent="0.35">
      <c r="A991" s="339" t="s">
        <v>103</v>
      </c>
      <c r="B991" s="331">
        <v>44246</v>
      </c>
      <c r="C991" s="332" t="s">
        <v>1511</v>
      </c>
      <c r="D991" s="332" t="s">
        <v>1514</v>
      </c>
      <c r="E991" s="332" t="s">
        <v>1516</v>
      </c>
      <c r="F991" s="336">
        <v>45000</v>
      </c>
      <c r="G991" s="330" t="s">
        <v>236</v>
      </c>
      <c r="H991" s="329">
        <v>38.368574390618569</v>
      </c>
      <c r="I991" s="333"/>
      <c r="J991" s="333">
        <v>38.368574390618569</v>
      </c>
      <c r="K991" s="333"/>
      <c r="L991" s="333"/>
      <c r="M991" s="336"/>
    </row>
    <row r="992" spans="1:13" hidden="1" outlineLevel="2" x14ac:dyDescent="0.35">
      <c r="A992" s="339" t="s">
        <v>103</v>
      </c>
      <c r="B992" s="331">
        <v>44255</v>
      </c>
      <c r="C992" s="332" t="s">
        <v>1517</v>
      </c>
      <c r="D992" s="332" t="s">
        <v>1518</v>
      </c>
      <c r="E992" s="332" t="s">
        <v>285</v>
      </c>
      <c r="F992" s="336">
        <v>3750</v>
      </c>
      <c r="G992" s="330" t="s">
        <v>236</v>
      </c>
      <c r="H992" s="329">
        <v>3.1973811992182144</v>
      </c>
      <c r="I992" s="333"/>
      <c r="J992" s="333">
        <v>3.1973811992182144</v>
      </c>
      <c r="K992" s="333"/>
      <c r="L992" s="333"/>
      <c r="M992" s="336"/>
    </row>
    <row r="993" spans="1:13" hidden="1" outlineLevel="2" x14ac:dyDescent="0.35">
      <c r="A993" s="339" t="s">
        <v>103</v>
      </c>
      <c r="B993" s="331">
        <v>44214</v>
      </c>
      <c r="C993" s="332" t="s">
        <v>1517</v>
      </c>
      <c r="D993" s="332" t="s">
        <v>1519</v>
      </c>
      <c r="E993" s="332" t="s">
        <v>1520</v>
      </c>
      <c r="F993" s="336">
        <v>21970</v>
      </c>
      <c r="G993" s="330" t="s">
        <v>236</v>
      </c>
      <c r="H993" s="329">
        <v>18.732390652486444</v>
      </c>
      <c r="I993" s="333"/>
      <c r="J993" s="333">
        <v>18.732390652486444</v>
      </c>
      <c r="K993" s="333"/>
      <c r="L993" s="333"/>
      <c r="M993" s="336"/>
    </row>
    <row r="994" spans="1:13" hidden="1" outlineLevel="2" x14ac:dyDescent="0.35">
      <c r="A994" s="339" t="s">
        <v>103</v>
      </c>
      <c r="B994" s="331">
        <v>44227</v>
      </c>
      <c r="C994" s="332" t="s">
        <v>1521</v>
      </c>
      <c r="D994" s="332" t="s">
        <v>1522</v>
      </c>
      <c r="E994" s="332" t="s">
        <v>369</v>
      </c>
      <c r="F994" s="336">
        <v>57592</v>
      </c>
      <c r="G994" s="330" t="s">
        <v>236</v>
      </c>
      <c r="H994" s="329">
        <v>49.104954140100105</v>
      </c>
      <c r="I994" s="333"/>
      <c r="J994" s="333">
        <v>49.104954140100105</v>
      </c>
      <c r="K994" s="333"/>
      <c r="L994" s="333"/>
      <c r="M994" s="336"/>
    </row>
    <row r="995" spans="1:13" hidden="1" outlineLevel="2" x14ac:dyDescent="0.35">
      <c r="A995" s="339" t="s">
        <v>103</v>
      </c>
      <c r="B995" s="331">
        <v>44256</v>
      </c>
      <c r="C995" s="332" t="s">
        <v>1523</v>
      </c>
      <c r="D995" s="332" t="s">
        <v>1524</v>
      </c>
      <c r="E995" s="332" t="s">
        <v>1415</v>
      </c>
      <c r="F995" s="336">
        <v>35000</v>
      </c>
      <c r="G995" s="330" t="s">
        <v>236</v>
      </c>
      <c r="H995" s="329">
        <v>29.842224526036667</v>
      </c>
      <c r="I995" s="333"/>
      <c r="J995" s="333">
        <v>29.842224526036667</v>
      </c>
      <c r="K995" s="333"/>
      <c r="L995" s="333"/>
      <c r="M995" s="336"/>
    </row>
    <row r="996" spans="1:13" hidden="1" outlineLevel="2" x14ac:dyDescent="0.35">
      <c r="A996" s="339" t="s">
        <v>103</v>
      </c>
      <c r="B996" s="331">
        <v>44243</v>
      </c>
      <c r="C996" s="332" t="s">
        <v>1525</v>
      </c>
      <c r="D996" s="332" t="s">
        <v>1526</v>
      </c>
      <c r="E996" s="332" t="s">
        <v>1527</v>
      </c>
      <c r="F996" s="336">
        <v>55000</v>
      </c>
      <c r="G996" s="330" t="s">
        <v>236</v>
      </c>
      <c r="H996" s="329">
        <v>46.894924255200479</v>
      </c>
      <c r="I996" s="333"/>
      <c r="J996" s="333">
        <v>46.894924255200479</v>
      </c>
      <c r="K996" s="333"/>
      <c r="L996" s="333"/>
      <c r="M996" s="336"/>
    </row>
    <row r="997" spans="1:13" hidden="1" outlineLevel="2" x14ac:dyDescent="0.35">
      <c r="A997" s="339" t="s">
        <v>103</v>
      </c>
      <c r="B997" s="331">
        <v>44546</v>
      </c>
      <c r="C997" s="332" t="s">
        <v>1528</v>
      </c>
      <c r="D997" s="332" t="s">
        <v>1529</v>
      </c>
      <c r="E997" s="332" t="s">
        <v>1476</v>
      </c>
      <c r="F997" s="336">
        <v>837800</v>
      </c>
      <c r="G997" s="330" t="s">
        <v>236</v>
      </c>
      <c r="H997" s="329">
        <v>714.337591654672</v>
      </c>
      <c r="I997" s="333"/>
      <c r="J997" s="333">
        <v>714.337591654672</v>
      </c>
      <c r="K997" s="333"/>
      <c r="L997" s="333"/>
      <c r="M997" s="336"/>
    </row>
    <row r="998" spans="1:13" outlineLevel="1" collapsed="1" x14ac:dyDescent="0.35">
      <c r="A998" s="343" t="s">
        <v>1530</v>
      </c>
      <c r="B998" s="331"/>
      <c r="C998" s="332"/>
      <c r="D998" s="332"/>
      <c r="E998" s="332"/>
      <c r="F998" s="336"/>
      <c r="G998" s="330"/>
      <c r="H998" s="329">
        <f t="shared" ref="H998:M998" si="32">SUBTOTAL(9,H913:H997)</f>
        <v>23662.071206326757</v>
      </c>
      <c r="I998" s="333">
        <f t="shared" si="32"/>
        <v>0</v>
      </c>
      <c r="J998" s="333">
        <f t="shared" si="32"/>
        <v>23662.071206326757</v>
      </c>
      <c r="K998" s="333">
        <f t="shared" si="32"/>
        <v>0</v>
      </c>
      <c r="L998" s="333">
        <f t="shared" si="32"/>
        <v>0</v>
      </c>
      <c r="M998" s="336">
        <f t="shared" si="32"/>
        <v>0</v>
      </c>
    </row>
    <row r="999" spans="1:13" hidden="1" outlineLevel="2" x14ac:dyDescent="0.35">
      <c r="A999" s="339" t="s">
        <v>132</v>
      </c>
      <c r="B999" s="331">
        <v>43979</v>
      </c>
      <c r="C999" s="332" t="s">
        <v>1280</v>
      </c>
      <c r="D999" s="332" t="s">
        <v>1531</v>
      </c>
      <c r="E999" s="332" t="s">
        <v>701</v>
      </c>
      <c r="F999" s="336">
        <v>280840</v>
      </c>
      <c r="G999" s="330" t="s">
        <v>236</v>
      </c>
      <c r="H999" s="329">
        <v>260.91726911446437</v>
      </c>
      <c r="I999" s="336"/>
      <c r="J999" s="336">
        <v>260.91726911446437</v>
      </c>
      <c r="K999" s="336"/>
      <c r="L999" s="336"/>
      <c r="M999" s="336"/>
    </row>
    <row r="1000" spans="1:13" hidden="1" outlineLevel="2" x14ac:dyDescent="0.35">
      <c r="A1000" s="339" t="s">
        <v>132</v>
      </c>
      <c r="B1000" s="331">
        <v>43899</v>
      </c>
      <c r="C1000" s="332" t="s">
        <v>281</v>
      </c>
      <c r="D1000" s="332" t="s">
        <v>1532</v>
      </c>
      <c r="E1000" s="332" t="s">
        <v>436</v>
      </c>
      <c r="F1000" s="336">
        <v>140060</v>
      </c>
      <c r="G1000" s="330" t="s">
        <v>236</v>
      </c>
      <c r="H1000" s="329">
        <v>130.12417288196795</v>
      </c>
      <c r="I1000" s="336"/>
      <c r="J1000" s="336">
        <v>130.12417288196795</v>
      </c>
      <c r="K1000" s="336"/>
      <c r="L1000" s="336"/>
      <c r="M1000" s="336"/>
    </row>
    <row r="1001" spans="1:13" hidden="1" outlineLevel="2" x14ac:dyDescent="0.35">
      <c r="A1001" s="339" t="s">
        <v>132</v>
      </c>
      <c r="B1001" s="331">
        <v>43823</v>
      </c>
      <c r="C1001" s="332" t="s">
        <v>1533</v>
      </c>
      <c r="D1001" s="332" t="s">
        <v>1534</v>
      </c>
      <c r="E1001" s="332" t="s">
        <v>710</v>
      </c>
      <c r="F1001" s="336">
        <v>491820</v>
      </c>
      <c r="G1001" s="330" t="s">
        <v>236</v>
      </c>
      <c r="H1001" s="329">
        <v>484.220119249162</v>
      </c>
      <c r="I1001" s="336"/>
      <c r="J1001" s="336">
        <v>484.220119249162</v>
      </c>
      <c r="K1001" s="336"/>
      <c r="L1001" s="336"/>
      <c r="M1001" s="336"/>
    </row>
    <row r="1002" spans="1:13" hidden="1" outlineLevel="2" x14ac:dyDescent="0.35">
      <c r="A1002" s="339" t="s">
        <v>132</v>
      </c>
      <c r="B1002" s="331">
        <v>43829</v>
      </c>
      <c r="C1002" s="332" t="s">
        <v>610</v>
      </c>
      <c r="D1002" s="332" t="s">
        <v>1535</v>
      </c>
      <c r="E1002" s="332" t="s">
        <v>701</v>
      </c>
      <c r="F1002" s="336">
        <v>830720</v>
      </c>
      <c r="G1002" s="330" t="s">
        <v>236</v>
      </c>
      <c r="H1002" s="329">
        <v>817.88324481042628</v>
      </c>
      <c r="I1002" s="336"/>
      <c r="J1002" s="336">
        <v>817.88324481042628</v>
      </c>
      <c r="K1002" s="336"/>
      <c r="L1002" s="336"/>
      <c r="M1002" s="336"/>
    </row>
    <row r="1003" spans="1:13" outlineLevel="1" collapsed="1" x14ac:dyDescent="0.35">
      <c r="A1003" s="343" t="s">
        <v>1536</v>
      </c>
      <c r="B1003" s="331"/>
      <c r="C1003" s="332"/>
      <c r="D1003" s="332"/>
      <c r="E1003" s="332"/>
      <c r="F1003" s="336"/>
      <c r="G1003" s="330"/>
      <c r="H1003" s="329">
        <f t="shared" ref="H1003:M1003" si="33">SUBTOTAL(9,H999:H1002)</f>
        <v>1693.1448060560206</v>
      </c>
      <c r="I1003" s="336">
        <f t="shared" si="33"/>
        <v>0</v>
      </c>
      <c r="J1003" s="336">
        <f t="shared" si="33"/>
        <v>1693.1448060560206</v>
      </c>
      <c r="K1003" s="336">
        <f t="shared" si="33"/>
        <v>0</v>
      </c>
      <c r="L1003" s="336">
        <f t="shared" si="33"/>
        <v>0</v>
      </c>
      <c r="M1003" s="336">
        <f t="shared" si="33"/>
        <v>0</v>
      </c>
    </row>
    <row r="1004" spans="1:13" hidden="1" outlineLevel="2" x14ac:dyDescent="0.35">
      <c r="A1004" s="326" t="s">
        <v>89</v>
      </c>
      <c r="B1004" s="331">
        <v>44446</v>
      </c>
      <c r="C1004" s="332" t="s">
        <v>1537</v>
      </c>
      <c r="D1004" s="332" t="s">
        <v>1538</v>
      </c>
      <c r="E1004" s="332" t="s">
        <v>1539</v>
      </c>
      <c r="F1004" s="336">
        <v>153400</v>
      </c>
      <c r="G1004" s="330" t="s">
        <v>236</v>
      </c>
      <c r="H1004" s="329">
        <v>130.79420692268641</v>
      </c>
      <c r="I1004" s="336"/>
      <c r="J1004" s="336"/>
      <c r="K1004" s="336"/>
      <c r="L1004" s="336">
        <v>130.79420692268641</v>
      </c>
      <c r="M1004" s="336"/>
    </row>
    <row r="1005" spans="1:13" hidden="1" outlineLevel="2" x14ac:dyDescent="0.35">
      <c r="A1005" s="326" t="s">
        <v>89</v>
      </c>
      <c r="B1005" s="331">
        <v>44496</v>
      </c>
      <c r="C1005" s="332" t="s">
        <v>1540</v>
      </c>
      <c r="D1005" s="332" t="s">
        <v>1541</v>
      </c>
      <c r="E1005" s="332" t="s">
        <v>1542</v>
      </c>
      <c r="F1005" s="336">
        <v>4968500</v>
      </c>
      <c r="G1005" s="330" t="s">
        <v>236</v>
      </c>
      <c r="H1005" s="329">
        <v>4236.3169302175193</v>
      </c>
      <c r="I1005" s="336"/>
      <c r="J1005" s="336"/>
      <c r="K1005" s="336"/>
      <c r="L1005" s="336">
        <v>4236.3169302175193</v>
      </c>
      <c r="M1005" s="336"/>
    </row>
    <row r="1006" spans="1:13" outlineLevel="1" collapsed="1" x14ac:dyDescent="0.35">
      <c r="A1006" s="334" t="s">
        <v>1543</v>
      </c>
      <c r="B1006" s="331"/>
      <c r="C1006" s="332"/>
      <c r="D1006" s="332"/>
      <c r="E1006" s="332"/>
      <c r="F1006" s="336"/>
      <c r="G1006" s="330"/>
      <c r="H1006" s="329">
        <f t="shared" ref="H1006:M1006" si="34">SUBTOTAL(9,H1004:H1005)</f>
        <v>4367.1111371402058</v>
      </c>
      <c r="I1006" s="336">
        <f t="shared" si="34"/>
        <v>0</v>
      </c>
      <c r="J1006" s="336">
        <f t="shared" si="34"/>
        <v>0</v>
      </c>
      <c r="K1006" s="336">
        <f t="shared" si="34"/>
        <v>0</v>
      </c>
      <c r="L1006" s="336">
        <f t="shared" si="34"/>
        <v>4367.1111371402058</v>
      </c>
      <c r="M1006" s="336">
        <f t="shared" si="34"/>
        <v>0</v>
      </c>
    </row>
    <row r="1007" spans="1:13" hidden="1" outlineLevel="2" x14ac:dyDescent="0.35">
      <c r="A1007" s="339" t="s">
        <v>220</v>
      </c>
      <c r="B1007" s="331">
        <v>43738</v>
      </c>
      <c r="C1007" s="332" t="s">
        <v>1087</v>
      </c>
      <c r="D1007" s="332" t="s">
        <v>1544</v>
      </c>
      <c r="E1007" s="332" t="s">
        <v>1545</v>
      </c>
      <c r="F1007" s="336">
        <v>366.63</v>
      </c>
      <c r="G1007" s="330" t="s">
        <v>56</v>
      </c>
      <c r="H1007" s="329">
        <v>366.63</v>
      </c>
      <c r="I1007" s="336">
        <f t="shared" ref="I1007:L1017" si="35">$H1007/4</f>
        <v>91.657499999999999</v>
      </c>
      <c r="J1007" s="336">
        <f t="shared" si="35"/>
        <v>91.657499999999999</v>
      </c>
      <c r="K1007" s="336">
        <f t="shared" si="35"/>
        <v>91.657499999999999</v>
      </c>
      <c r="L1007" s="336">
        <f t="shared" si="35"/>
        <v>91.657499999999999</v>
      </c>
      <c r="M1007" s="332"/>
    </row>
    <row r="1008" spans="1:13" hidden="1" outlineLevel="2" x14ac:dyDescent="0.35">
      <c r="A1008" s="339" t="s">
        <v>220</v>
      </c>
      <c r="B1008" s="331">
        <v>43830</v>
      </c>
      <c r="C1008" s="332" t="s">
        <v>1090</v>
      </c>
      <c r="D1008" s="332" t="s">
        <v>1546</v>
      </c>
      <c r="E1008" s="332" t="s">
        <v>1545</v>
      </c>
      <c r="F1008" s="336">
        <v>366.63</v>
      </c>
      <c r="G1008" s="330" t="s">
        <v>56</v>
      </c>
      <c r="H1008" s="329">
        <v>366.63</v>
      </c>
      <c r="I1008" s="336">
        <f t="shared" si="35"/>
        <v>91.657499999999999</v>
      </c>
      <c r="J1008" s="336">
        <f t="shared" si="35"/>
        <v>91.657499999999999</v>
      </c>
      <c r="K1008" s="336">
        <f t="shared" si="35"/>
        <v>91.657499999999999</v>
      </c>
      <c r="L1008" s="336">
        <f t="shared" si="35"/>
        <v>91.657499999999999</v>
      </c>
      <c r="M1008" s="332"/>
    </row>
    <row r="1009" spans="1:13" hidden="1" outlineLevel="2" x14ac:dyDescent="0.35">
      <c r="A1009" s="339" t="s">
        <v>220</v>
      </c>
      <c r="B1009" s="331">
        <v>43921</v>
      </c>
      <c r="C1009" s="332" t="s">
        <v>1092</v>
      </c>
      <c r="D1009" s="332" t="s">
        <v>1547</v>
      </c>
      <c r="E1009" s="332" t="s">
        <v>1545</v>
      </c>
      <c r="F1009" s="336">
        <v>439.95</v>
      </c>
      <c r="G1009" s="330" t="s">
        <v>56</v>
      </c>
      <c r="H1009" s="329">
        <v>439.95</v>
      </c>
      <c r="I1009" s="336">
        <f t="shared" si="35"/>
        <v>109.9875</v>
      </c>
      <c r="J1009" s="336">
        <f t="shared" si="35"/>
        <v>109.9875</v>
      </c>
      <c r="K1009" s="336">
        <f t="shared" si="35"/>
        <v>109.9875</v>
      </c>
      <c r="L1009" s="336">
        <f t="shared" si="35"/>
        <v>109.9875</v>
      </c>
      <c r="M1009" s="332"/>
    </row>
    <row r="1010" spans="1:13" hidden="1" outlineLevel="2" x14ac:dyDescent="0.35">
      <c r="A1010" s="339" t="s">
        <v>220</v>
      </c>
      <c r="B1010" s="331">
        <v>44012</v>
      </c>
      <c r="C1010" s="332" t="s">
        <v>1094</v>
      </c>
      <c r="D1010" s="332" t="s">
        <v>1548</v>
      </c>
      <c r="E1010" s="332" t="s">
        <v>1545</v>
      </c>
      <c r="F1010" s="336">
        <v>439.95</v>
      </c>
      <c r="G1010" s="330" t="s">
        <v>56</v>
      </c>
      <c r="H1010" s="329">
        <v>439.95</v>
      </c>
      <c r="I1010" s="336">
        <f t="shared" si="35"/>
        <v>109.9875</v>
      </c>
      <c r="J1010" s="336">
        <f t="shared" si="35"/>
        <v>109.9875</v>
      </c>
      <c r="K1010" s="336">
        <f t="shared" si="35"/>
        <v>109.9875</v>
      </c>
      <c r="L1010" s="336">
        <f t="shared" si="35"/>
        <v>109.9875</v>
      </c>
      <c r="M1010" s="332"/>
    </row>
    <row r="1011" spans="1:13" hidden="1" outlineLevel="2" x14ac:dyDescent="0.35">
      <c r="A1011" s="339" t="s">
        <v>220</v>
      </c>
      <c r="B1011" s="331">
        <v>44104</v>
      </c>
      <c r="C1011" s="332" t="s">
        <v>1096</v>
      </c>
      <c r="D1011" s="332" t="s">
        <v>1549</v>
      </c>
      <c r="E1011" s="332" t="s">
        <v>1545</v>
      </c>
      <c r="F1011" s="336">
        <v>256.64</v>
      </c>
      <c r="G1011" s="330" t="s">
        <v>56</v>
      </c>
      <c r="H1011" s="329">
        <v>256.64</v>
      </c>
      <c r="I1011" s="336">
        <f t="shared" si="35"/>
        <v>64.16</v>
      </c>
      <c r="J1011" s="336">
        <f t="shared" si="35"/>
        <v>64.16</v>
      </c>
      <c r="K1011" s="336">
        <f t="shared" si="35"/>
        <v>64.16</v>
      </c>
      <c r="L1011" s="336">
        <f t="shared" si="35"/>
        <v>64.16</v>
      </c>
      <c r="M1011" s="332"/>
    </row>
    <row r="1012" spans="1:13" hidden="1" outlineLevel="2" x14ac:dyDescent="0.35">
      <c r="A1012" s="339" t="s">
        <v>220</v>
      </c>
      <c r="B1012" s="331">
        <v>44196</v>
      </c>
      <c r="C1012" s="332" t="s">
        <v>1099</v>
      </c>
      <c r="D1012" s="332" t="s">
        <v>1550</v>
      </c>
      <c r="E1012" s="332" t="s">
        <v>1545</v>
      </c>
      <c r="F1012" s="336">
        <v>256.64</v>
      </c>
      <c r="G1012" s="330" t="s">
        <v>56</v>
      </c>
      <c r="H1012" s="329">
        <v>256.64</v>
      </c>
      <c r="I1012" s="336">
        <f t="shared" si="35"/>
        <v>64.16</v>
      </c>
      <c r="J1012" s="336">
        <f t="shared" si="35"/>
        <v>64.16</v>
      </c>
      <c r="K1012" s="336">
        <f t="shared" si="35"/>
        <v>64.16</v>
      </c>
      <c r="L1012" s="336">
        <f t="shared" si="35"/>
        <v>64.16</v>
      </c>
      <c r="M1012" s="332"/>
    </row>
    <row r="1013" spans="1:13" hidden="1" outlineLevel="2" x14ac:dyDescent="0.35">
      <c r="A1013" s="339" t="s">
        <v>220</v>
      </c>
      <c r="B1013" s="331">
        <v>44286</v>
      </c>
      <c r="C1013" s="332" t="s">
        <v>1101</v>
      </c>
      <c r="D1013" s="332" t="s">
        <v>1551</v>
      </c>
      <c r="E1013" s="332" t="s">
        <v>1545</v>
      </c>
      <c r="F1013" s="336">
        <v>348.29</v>
      </c>
      <c r="G1013" s="330" t="s">
        <v>56</v>
      </c>
      <c r="H1013" s="329">
        <v>348.29</v>
      </c>
      <c r="I1013" s="336">
        <f t="shared" si="35"/>
        <v>87.072500000000005</v>
      </c>
      <c r="J1013" s="336">
        <f t="shared" si="35"/>
        <v>87.072500000000005</v>
      </c>
      <c r="K1013" s="336">
        <f t="shared" si="35"/>
        <v>87.072500000000005</v>
      </c>
      <c r="L1013" s="336">
        <f t="shared" si="35"/>
        <v>87.072500000000005</v>
      </c>
      <c r="M1013" s="332"/>
    </row>
    <row r="1014" spans="1:13" hidden="1" outlineLevel="2" x14ac:dyDescent="0.35">
      <c r="A1014" s="339" t="s">
        <v>220</v>
      </c>
      <c r="B1014" s="331">
        <v>44377</v>
      </c>
      <c r="C1014" s="332" t="s">
        <v>1103</v>
      </c>
      <c r="D1014" s="332" t="s">
        <v>1552</v>
      </c>
      <c r="E1014" s="332" t="s">
        <v>1545</v>
      </c>
      <c r="F1014" s="336">
        <v>348.29</v>
      </c>
      <c r="G1014" s="330" t="s">
        <v>56</v>
      </c>
      <c r="H1014" s="329">
        <v>348.29</v>
      </c>
      <c r="I1014" s="336">
        <f t="shared" si="35"/>
        <v>87.072500000000005</v>
      </c>
      <c r="J1014" s="336">
        <f t="shared" si="35"/>
        <v>87.072500000000005</v>
      </c>
      <c r="K1014" s="336">
        <f t="shared" si="35"/>
        <v>87.072500000000005</v>
      </c>
      <c r="L1014" s="336">
        <f t="shared" si="35"/>
        <v>87.072500000000005</v>
      </c>
      <c r="M1014" s="332"/>
    </row>
    <row r="1015" spans="1:13" hidden="1" outlineLevel="2" x14ac:dyDescent="0.35">
      <c r="A1015" s="339" t="s">
        <v>220</v>
      </c>
      <c r="B1015" s="331">
        <v>44469</v>
      </c>
      <c r="C1015" s="332" t="s">
        <v>1553</v>
      </c>
      <c r="D1015" s="332" t="s">
        <v>1554</v>
      </c>
      <c r="E1015" s="332" t="s">
        <v>1545</v>
      </c>
      <c r="F1015" s="336">
        <v>348.29</v>
      </c>
      <c r="G1015" s="330" t="s">
        <v>56</v>
      </c>
      <c r="H1015" s="329">
        <v>348.29</v>
      </c>
      <c r="I1015" s="336">
        <f t="shared" si="35"/>
        <v>87.072500000000005</v>
      </c>
      <c r="J1015" s="336">
        <f t="shared" si="35"/>
        <v>87.072500000000005</v>
      </c>
      <c r="K1015" s="336">
        <f t="shared" si="35"/>
        <v>87.072500000000005</v>
      </c>
      <c r="L1015" s="336">
        <f t="shared" si="35"/>
        <v>87.072500000000005</v>
      </c>
      <c r="M1015" s="332"/>
    </row>
    <row r="1016" spans="1:13" hidden="1" outlineLevel="2" x14ac:dyDescent="0.35">
      <c r="A1016" s="339" t="s">
        <v>220</v>
      </c>
      <c r="B1016" s="331">
        <v>44561</v>
      </c>
      <c r="C1016" s="332" t="s">
        <v>1555</v>
      </c>
      <c r="D1016" s="332" t="s">
        <v>1556</v>
      </c>
      <c r="E1016" s="332" t="s">
        <v>1545</v>
      </c>
      <c r="F1016" s="336">
        <v>174.14</v>
      </c>
      <c r="G1016" s="330" t="s">
        <v>56</v>
      </c>
      <c r="H1016" s="329">
        <v>174.14</v>
      </c>
      <c r="I1016" s="336">
        <f t="shared" si="35"/>
        <v>43.534999999999997</v>
      </c>
      <c r="J1016" s="336">
        <f t="shared" si="35"/>
        <v>43.534999999999997</v>
      </c>
      <c r="K1016" s="336">
        <f t="shared" si="35"/>
        <v>43.534999999999997</v>
      </c>
      <c r="L1016" s="336">
        <f t="shared" si="35"/>
        <v>43.534999999999997</v>
      </c>
      <c r="M1016" s="332"/>
    </row>
    <row r="1017" spans="1:13" hidden="1" outlineLevel="2" x14ac:dyDescent="0.35">
      <c r="A1017" s="339" t="s">
        <v>220</v>
      </c>
      <c r="B1017" s="331">
        <v>44561</v>
      </c>
      <c r="C1017" s="332" t="s">
        <v>1557</v>
      </c>
      <c r="D1017" s="332" t="s">
        <v>1558</v>
      </c>
      <c r="E1017" s="332" t="s">
        <v>1545</v>
      </c>
      <c r="F1017" s="336">
        <v>174.15</v>
      </c>
      <c r="G1017" s="330" t="s">
        <v>56</v>
      </c>
      <c r="H1017" s="329">
        <v>174.15</v>
      </c>
      <c r="I1017" s="336">
        <f t="shared" si="35"/>
        <v>43.537500000000001</v>
      </c>
      <c r="J1017" s="336">
        <f t="shared" si="35"/>
        <v>43.537500000000001</v>
      </c>
      <c r="K1017" s="336">
        <f t="shared" si="35"/>
        <v>43.537500000000001</v>
      </c>
      <c r="L1017" s="336">
        <f t="shared" si="35"/>
        <v>43.537500000000001</v>
      </c>
      <c r="M1017" s="332"/>
    </row>
    <row r="1018" spans="1:13" outlineLevel="1" collapsed="1" x14ac:dyDescent="0.35">
      <c r="A1018" s="343" t="s">
        <v>1559</v>
      </c>
      <c r="B1018" s="331"/>
      <c r="C1018" s="332"/>
      <c r="D1018" s="332"/>
      <c r="E1018" s="332"/>
      <c r="F1018" s="336"/>
      <c r="G1018" s="330"/>
      <c r="H1018" s="329">
        <f t="shared" ref="H1018:M1018" si="36">SUBTOTAL(9,H1007:H1017)</f>
        <v>3519.6</v>
      </c>
      <c r="I1018" s="336">
        <f t="shared" si="36"/>
        <v>879.9</v>
      </c>
      <c r="J1018" s="336">
        <f t="shared" si="36"/>
        <v>879.9</v>
      </c>
      <c r="K1018" s="336">
        <f t="shared" si="36"/>
        <v>879.9</v>
      </c>
      <c r="L1018" s="336">
        <f t="shared" si="36"/>
        <v>879.9</v>
      </c>
      <c r="M1018" s="332">
        <f t="shared" si="36"/>
        <v>0</v>
      </c>
    </row>
    <row r="1019" spans="1:13" hidden="1" outlineLevel="2" x14ac:dyDescent="0.35">
      <c r="A1019" s="339" t="s">
        <v>68</v>
      </c>
      <c r="B1019" s="331">
        <v>43755</v>
      </c>
      <c r="C1019" s="332" t="s">
        <v>1560</v>
      </c>
      <c r="D1019" s="332" t="s">
        <v>1561</v>
      </c>
      <c r="E1019" s="332" t="s">
        <v>701</v>
      </c>
      <c r="F1019" s="336">
        <v>3327600</v>
      </c>
      <c r="G1019" s="330" t="s">
        <v>236</v>
      </c>
      <c r="H1019" s="329">
        <v>3276.1800431326733</v>
      </c>
      <c r="I1019" s="336">
        <v>3276.1800431326733</v>
      </c>
      <c r="J1019" s="336"/>
      <c r="K1019" s="336"/>
      <c r="L1019" s="336"/>
      <c r="M1019" s="336"/>
    </row>
    <row r="1020" spans="1:13" outlineLevel="1" collapsed="1" x14ac:dyDescent="0.35">
      <c r="A1020" s="343" t="s">
        <v>1562</v>
      </c>
      <c r="B1020" s="331"/>
      <c r="C1020" s="332"/>
      <c r="D1020" s="332"/>
      <c r="E1020" s="332"/>
      <c r="F1020" s="336"/>
      <c r="G1020" s="330"/>
      <c r="H1020" s="329">
        <f t="shared" ref="H1020:M1020" si="37">SUBTOTAL(9,H1019:H1019)</f>
        <v>3276.1800431326733</v>
      </c>
      <c r="I1020" s="336">
        <f t="shared" si="37"/>
        <v>3276.1800431326733</v>
      </c>
      <c r="J1020" s="336">
        <f t="shared" si="37"/>
        <v>0</v>
      </c>
      <c r="K1020" s="336">
        <f t="shared" si="37"/>
        <v>0</v>
      </c>
      <c r="L1020" s="336">
        <f t="shared" si="37"/>
        <v>0</v>
      </c>
      <c r="M1020" s="336">
        <f t="shared" si="37"/>
        <v>0</v>
      </c>
    </row>
    <row r="1021" spans="1:13" hidden="1" outlineLevel="2" x14ac:dyDescent="0.35">
      <c r="A1021" s="339" t="s">
        <v>79</v>
      </c>
      <c r="B1021" s="331">
        <v>43755</v>
      </c>
      <c r="C1021" s="332" t="s">
        <v>1050</v>
      </c>
      <c r="D1021" s="332" t="s">
        <v>1561</v>
      </c>
      <c r="E1021" s="332" t="s">
        <v>701</v>
      </c>
      <c r="F1021" s="336">
        <v>2950000</v>
      </c>
      <c r="G1021" s="330" t="s">
        <v>236</v>
      </c>
      <c r="H1021" s="329">
        <v>2904.4149318552068</v>
      </c>
      <c r="I1021" s="336"/>
      <c r="J1021" s="336"/>
      <c r="K1021" s="336">
        <v>2904.4149318552068</v>
      </c>
      <c r="L1021" s="336"/>
      <c r="M1021" s="336"/>
    </row>
    <row r="1022" spans="1:13" outlineLevel="1" collapsed="1" x14ac:dyDescent="0.35">
      <c r="A1022" s="343" t="s">
        <v>1563</v>
      </c>
      <c r="B1022" s="331"/>
      <c r="C1022" s="332"/>
      <c r="D1022" s="332"/>
      <c r="E1022" s="332"/>
      <c r="F1022" s="336"/>
      <c r="G1022" s="330"/>
      <c r="H1022" s="329">
        <f t="shared" ref="H1022:M1022" si="38">SUBTOTAL(9,H1021:H1021)</f>
        <v>2904.4149318552068</v>
      </c>
      <c r="I1022" s="336">
        <f t="shared" si="38"/>
        <v>0</v>
      </c>
      <c r="J1022" s="336">
        <f t="shared" si="38"/>
        <v>0</v>
      </c>
      <c r="K1022" s="336">
        <f t="shared" si="38"/>
        <v>2904.4149318552068</v>
      </c>
      <c r="L1022" s="336">
        <f t="shared" si="38"/>
        <v>0</v>
      </c>
      <c r="M1022" s="336">
        <f t="shared" si="38"/>
        <v>0</v>
      </c>
    </row>
    <row r="1023" spans="1:13" hidden="1" outlineLevel="2" x14ac:dyDescent="0.35">
      <c r="A1023" s="339" t="s">
        <v>217</v>
      </c>
      <c r="B1023" s="331">
        <v>43921</v>
      </c>
      <c r="C1023" s="332" t="s">
        <v>1092</v>
      </c>
      <c r="D1023" s="332" t="s">
        <v>1564</v>
      </c>
      <c r="E1023" s="332" t="s">
        <v>1098</v>
      </c>
      <c r="F1023" s="336">
        <v>1101.3699999999999</v>
      </c>
      <c r="G1023" s="330" t="s">
        <v>56</v>
      </c>
      <c r="H1023" s="329">
        <v>1101.3699999999999</v>
      </c>
      <c r="I1023" s="336">
        <f t="shared" ref="I1023:L1031" si="39">$H1023/4</f>
        <v>275.34249999999997</v>
      </c>
      <c r="J1023" s="336">
        <f t="shared" si="39"/>
        <v>275.34249999999997</v>
      </c>
      <c r="K1023" s="336">
        <f t="shared" si="39"/>
        <v>275.34249999999997</v>
      </c>
      <c r="L1023" s="336">
        <f t="shared" si="39"/>
        <v>275.34249999999997</v>
      </c>
      <c r="M1023" s="332"/>
    </row>
    <row r="1024" spans="1:13" hidden="1" outlineLevel="2" x14ac:dyDescent="0.35">
      <c r="A1024" s="339" t="s">
        <v>217</v>
      </c>
      <c r="B1024" s="331">
        <v>44012</v>
      </c>
      <c r="C1024" s="332" t="s">
        <v>1094</v>
      </c>
      <c r="D1024" s="332" t="s">
        <v>1565</v>
      </c>
      <c r="E1024" s="332" t="s">
        <v>1098</v>
      </c>
      <c r="F1024" s="336">
        <v>1101.3699999999999</v>
      </c>
      <c r="G1024" s="330" t="s">
        <v>56</v>
      </c>
      <c r="H1024" s="329">
        <v>1101.3699999999999</v>
      </c>
      <c r="I1024" s="336">
        <f t="shared" si="39"/>
        <v>275.34249999999997</v>
      </c>
      <c r="J1024" s="336">
        <f t="shared" si="39"/>
        <v>275.34249999999997</v>
      </c>
      <c r="K1024" s="336">
        <f t="shared" si="39"/>
        <v>275.34249999999997</v>
      </c>
      <c r="L1024" s="336">
        <f t="shared" si="39"/>
        <v>275.34249999999997</v>
      </c>
      <c r="M1024" s="332"/>
    </row>
    <row r="1025" spans="1:13" hidden="1" outlineLevel="2" x14ac:dyDescent="0.35">
      <c r="A1025" s="339" t="s">
        <v>217</v>
      </c>
      <c r="B1025" s="331">
        <v>44104</v>
      </c>
      <c r="C1025" s="332" t="s">
        <v>1096</v>
      </c>
      <c r="D1025" s="332" t="s">
        <v>1566</v>
      </c>
      <c r="E1025" s="332" t="s">
        <v>1113</v>
      </c>
      <c r="F1025" s="336">
        <v>-2202.75</v>
      </c>
      <c r="G1025" s="330" t="s">
        <v>56</v>
      </c>
      <c r="H1025" s="329">
        <v>-2202.75</v>
      </c>
      <c r="I1025" s="336">
        <f t="shared" si="39"/>
        <v>-550.6875</v>
      </c>
      <c r="J1025" s="336">
        <f t="shared" si="39"/>
        <v>-550.6875</v>
      </c>
      <c r="K1025" s="336">
        <f t="shared" si="39"/>
        <v>-550.6875</v>
      </c>
      <c r="L1025" s="336">
        <f t="shared" si="39"/>
        <v>-550.6875</v>
      </c>
      <c r="M1025" s="332"/>
    </row>
    <row r="1026" spans="1:13" hidden="1" outlineLevel="2" x14ac:dyDescent="0.35">
      <c r="A1026" s="339" t="s">
        <v>217</v>
      </c>
      <c r="B1026" s="331">
        <v>44196</v>
      </c>
      <c r="C1026" s="332" t="s">
        <v>1567</v>
      </c>
      <c r="D1026" s="332" t="s">
        <v>1568</v>
      </c>
      <c r="E1026" s="332" t="s">
        <v>1569</v>
      </c>
      <c r="F1026" s="336">
        <v>4084.25</v>
      </c>
      <c r="G1026" s="330" t="s">
        <v>56</v>
      </c>
      <c r="H1026" s="329">
        <v>4084.25</v>
      </c>
      <c r="I1026" s="336">
        <f t="shared" si="39"/>
        <v>1021.0625</v>
      </c>
      <c r="J1026" s="336">
        <f t="shared" si="39"/>
        <v>1021.0625</v>
      </c>
      <c r="K1026" s="336">
        <f t="shared" si="39"/>
        <v>1021.0625</v>
      </c>
      <c r="L1026" s="336">
        <f t="shared" si="39"/>
        <v>1021.0625</v>
      </c>
      <c r="M1026" s="332"/>
    </row>
    <row r="1027" spans="1:13" hidden="1" outlineLevel="2" x14ac:dyDescent="0.35">
      <c r="A1027" s="339" t="s">
        <v>217</v>
      </c>
      <c r="B1027" s="331">
        <v>44196</v>
      </c>
      <c r="C1027" s="332" t="s">
        <v>1570</v>
      </c>
      <c r="D1027" s="332" t="s">
        <v>1571</v>
      </c>
      <c r="E1027" s="332" t="s">
        <v>1569</v>
      </c>
      <c r="F1027" s="336">
        <v>4109.96</v>
      </c>
      <c r="G1027" s="330" t="s">
        <v>56</v>
      </c>
      <c r="H1027" s="329">
        <v>4109.96</v>
      </c>
      <c r="I1027" s="336">
        <f t="shared" si="39"/>
        <v>1027.49</v>
      </c>
      <c r="J1027" s="336">
        <f t="shared" si="39"/>
        <v>1027.49</v>
      </c>
      <c r="K1027" s="336">
        <f t="shared" si="39"/>
        <v>1027.49</v>
      </c>
      <c r="L1027" s="336">
        <f t="shared" si="39"/>
        <v>1027.49</v>
      </c>
      <c r="M1027" s="332"/>
    </row>
    <row r="1028" spans="1:13" hidden="1" outlineLevel="2" x14ac:dyDescent="0.35">
      <c r="A1028" s="339" t="s">
        <v>217</v>
      </c>
      <c r="B1028" s="331">
        <v>44469</v>
      </c>
      <c r="C1028" s="332" t="s">
        <v>1572</v>
      </c>
      <c r="D1028" s="332" t="s">
        <v>1573</v>
      </c>
      <c r="E1028" s="332" t="s">
        <v>1574</v>
      </c>
      <c r="F1028" s="336">
        <v>2612.44</v>
      </c>
      <c r="G1028" s="330" t="s">
        <v>56</v>
      </c>
      <c r="H1028" s="329">
        <v>2612.44</v>
      </c>
      <c r="I1028" s="336">
        <f t="shared" si="39"/>
        <v>653.11</v>
      </c>
      <c r="J1028" s="336">
        <f t="shared" si="39"/>
        <v>653.11</v>
      </c>
      <c r="K1028" s="336">
        <f t="shared" si="39"/>
        <v>653.11</v>
      </c>
      <c r="L1028" s="336">
        <f t="shared" si="39"/>
        <v>653.11</v>
      </c>
      <c r="M1028" s="332"/>
    </row>
    <row r="1029" spans="1:13" hidden="1" outlineLevel="2" x14ac:dyDescent="0.35">
      <c r="A1029" s="339" t="s">
        <v>217</v>
      </c>
      <c r="B1029" s="331">
        <v>44561</v>
      </c>
      <c r="C1029" s="332" t="s">
        <v>1575</v>
      </c>
      <c r="D1029" s="332" t="s">
        <v>1576</v>
      </c>
      <c r="E1029" s="332" t="s">
        <v>1574</v>
      </c>
      <c r="F1029" s="336">
        <v>1306.22</v>
      </c>
      <c r="G1029" s="330" t="s">
        <v>56</v>
      </c>
      <c r="H1029" s="329">
        <v>1306.22</v>
      </c>
      <c r="I1029" s="336">
        <f t="shared" si="39"/>
        <v>326.55500000000001</v>
      </c>
      <c r="J1029" s="336">
        <f t="shared" si="39"/>
        <v>326.55500000000001</v>
      </c>
      <c r="K1029" s="336">
        <f t="shared" si="39"/>
        <v>326.55500000000001</v>
      </c>
      <c r="L1029" s="336">
        <f t="shared" si="39"/>
        <v>326.55500000000001</v>
      </c>
      <c r="M1029" s="332"/>
    </row>
    <row r="1030" spans="1:13" hidden="1" outlineLevel="2" x14ac:dyDescent="0.35">
      <c r="A1030" s="339" t="s">
        <v>217</v>
      </c>
      <c r="B1030" s="331">
        <v>44561</v>
      </c>
      <c r="C1030" s="332" t="s">
        <v>1577</v>
      </c>
      <c r="D1030" s="332" t="s">
        <v>1578</v>
      </c>
      <c r="E1030" s="332" t="s">
        <v>1574</v>
      </c>
      <c r="F1030" s="336">
        <v>1306.22</v>
      </c>
      <c r="G1030" s="330" t="s">
        <v>56</v>
      </c>
      <c r="H1030" s="329">
        <v>1306.22</v>
      </c>
      <c r="I1030" s="336">
        <f t="shared" si="39"/>
        <v>326.55500000000001</v>
      </c>
      <c r="J1030" s="336">
        <f t="shared" si="39"/>
        <v>326.55500000000001</v>
      </c>
      <c r="K1030" s="336">
        <f t="shared" si="39"/>
        <v>326.55500000000001</v>
      </c>
      <c r="L1030" s="336">
        <f t="shared" si="39"/>
        <v>326.55500000000001</v>
      </c>
      <c r="M1030" s="332"/>
    </row>
    <row r="1031" spans="1:13" hidden="1" outlineLevel="2" x14ac:dyDescent="0.35">
      <c r="A1031" s="339" t="s">
        <v>217</v>
      </c>
      <c r="B1031" s="331">
        <v>44561</v>
      </c>
      <c r="C1031" s="332" t="s">
        <v>1579</v>
      </c>
      <c r="D1031" s="332" t="s">
        <v>1580</v>
      </c>
      <c r="E1031" s="332" t="s">
        <v>1120</v>
      </c>
      <c r="F1031" s="336">
        <v>2137.21</v>
      </c>
      <c r="G1031" s="330" t="s">
        <v>56</v>
      </c>
      <c r="H1031" s="329">
        <v>2137.21</v>
      </c>
      <c r="I1031" s="336">
        <f t="shared" si="39"/>
        <v>534.30250000000001</v>
      </c>
      <c r="J1031" s="336">
        <f t="shared" si="39"/>
        <v>534.30250000000001</v>
      </c>
      <c r="K1031" s="336">
        <f t="shared" si="39"/>
        <v>534.30250000000001</v>
      </c>
      <c r="L1031" s="336">
        <f t="shared" si="39"/>
        <v>534.30250000000001</v>
      </c>
      <c r="M1031" s="332"/>
    </row>
    <row r="1032" spans="1:13" outlineLevel="1" collapsed="1" x14ac:dyDescent="0.35">
      <c r="A1032" s="343" t="s">
        <v>1581</v>
      </c>
      <c r="B1032" s="331"/>
      <c r="C1032" s="332"/>
      <c r="D1032" s="332"/>
      <c r="E1032" s="332"/>
      <c r="F1032" s="336"/>
      <c r="G1032" s="330"/>
      <c r="H1032" s="329">
        <f t="shared" ref="H1032:M1032" si="40">SUBTOTAL(9,H1023:H1031)</f>
        <v>15556.29</v>
      </c>
      <c r="I1032" s="336">
        <f t="shared" si="40"/>
        <v>3889.0725000000002</v>
      </c>
      <c r="J1032" s="336">
        <f t="shared" si="40"/>
        <v>3889.0725000000002</v>
      </c>
      <c r="K1032" s="336">
        <f t="shared" si="40"/>
        <v>3889.0725000000002</v>
      </c>
      <c r="L1032" s="336">
        <f t="shared" si="40"/>
        <v>3889.0725000000002</v>
      </c>
      <c r="M1032" s="332">
        <f t="shared" si="40"/>
        <v>0</v>
      </c>
    </row>
    <row r="1033" spans="1:13" hidden="1" outlineLevel="2" x14ac:dyDescent="0.35">
      <c r="A1033" s="339" t="s">
        <v>219</v>
      </c>
      <c r="B1033" s="331">
        <v>43738</v>
      </c>
      <c r="C1033" s="332" t="s">
        <v>1087</v>
      </c>
      <c r="D1033" s="332" t="s">
        <v>1582</v>
      </c>
      <c r="E1033" s="332" t="s">
        <v>1583</v>
      </c>
      <c r="F1033" s="336">
        <v>1331.8</v>
      </c>
      <c r="G1033" s="330" t="s">
        <v>56</v>
      </c>
      <c r="H1033" s="329">
        <v>1331.8</v>
      </c>
      <c r="I1033" s="336">
        <f t="shared" ref="I1033:L1044" si="41">$H1033/4</f>
        <v>332.95</v>
      </c>
      <c r="J1033" s="336">
        <f t="shared" si="41"/>
        <v>332.95</v>
      </c>
      <c r="K1033" s="336">
        <f t="shared" si="41"/>
        <v>332.95</v>
      </c>
      <c r="L1033" s="336">
        <f t="shared" si="41"/>
        <v>332.95</v>
      </c>
      <c r="M1033" s="332"/>
    </row>
    <row r="1034" spans="1:13" hidden="1" outlineLevel="2" x14ac:dyDescent="0.35">
      <c r="A1034" s="339" t="s">
        <v>219</v>
      </c>
      <c r="B1034" s="331">
        <v>43830</v>
      </c>
      <c r="C1034" s="332" t="s">
        <v>1090</v>
      </c>
      <c r="D1034" s="332" t="s">
        <v>1584</v>
      </c>
      <c r="E1034" s="332" t="s">
        <v>1583</v>
      </c>
      <c r="F1034" s="336">
        <v>1331.8</v>
      </c>
      <c r="G1034" s="330" t="s">
        <v>56</v>
      </c>
      <c r="H1034" s="329">
        <v>1331.8</v>
      </c>
      <c r="I1034" s="336">
        <f t="shared" si="41"/>
        <v>332.95</v>
      </c>
      <c r="J1034" s="336">
        <f t="shared" si="41"/>
        <v>332.95</v>
      </c>
      <c r="K1034" s="336">
        <f t="shared" si="41"/>
        <v>332.95</v>
      </c>
      <c r="L1034" s="336">
        <f t="shared" si="41"/>
        <v>332.95</v>
      </c>
      <c r="M1034" s="332"/>
    </row>
    <row r="1035" spans="1:13" hidden="1" outlineLevel="2" x14ac:dyDescent="0.35">
      <c r="A1035" s="339" t="s">
        <v>219</v>
      </c>
      <c r="B1035" s="331">
        <v>43921</v>
      </c>
      <c r="C1035" s="332" t="s">
        <v>1092</v>
      </c>
      <c r="D1035" s="332" t="s">
        <v>1585</v>
      </c>
      <c r="E1035" s="332" t="s">
        <v>1583</v>
      </c>
      <c r="F1035" s="336">
        <v>479.76</v>
      </c>
      <c r="G1035" s="330" t="s">
        <v>56</v>
      </c>
      <c r="H1035" s="329">
        <v>479.76</v>
      </c>
      <c r="I1035" s="336">
        <f t="shared" si="41"/>
        <v>119.94</v>
      </c>
      <c r="J1035" s="336">
        <f t="shared" si="41"/>
        <v>119.94</v>
      </c>
      <c r="K1035" s="336">
        <f t="shared" si="41"/>
        <v>119.94</v>
      </c>
      <c r="L1035" s="336">
        <f t="shared" si="41"/>
        <v>119.94</v>
      </c>
      <c r="M1035" s="332"/>
    </row>
    <row r="1036" spans="1:13" hidden="1" outlineLevel="2" x14ac:dyDescent="0.35">
      <c r="A1036" s="339" t="s">
        <v>219</v>
      </c>
      <c r="B1036" s="331">
        <v>44012</v>
      </c>
      <c r="C1036" s="332" t="s">
        <v>1094</v>
      </c>
      <c r="D1036" s="332" t="s">
        <v>1586</v>
      </c>
      <c r="E1036" s="332" t="s">
        <v>1583</v>
      </c>
      <c r="F1036" s="336">
        <v>479.76</v>
      </c>
      <c r="G1036" s="330" t="s">
        <v>56</v>
      </c>
      <c r="H1036" s="329">
        <v>479.76</v>
      </c>
      <c r="I1036" s="336">
        <f t="shared" si="41"/>
        <v>119.94</v>
      </c>
      <c r="J1036" s="336">
        <f t="shared" si="41"/>
        <v>119.94</v>
      </c>
      <c r="K1036" s="336">
        <f t="shared" si="41"/>
        <v>119.94</v>
      </c>
      <c r="L1036" s="336">
        <f t="shared" si="41"/>
        <v>119.94</v>
      </c>
      <c r="M1036" s="332"/>
    </row>
    <row r="1037" spans="1:13" hidden="1" outlineLevel="2" x14ac:dyDescent="0.35">
      <c r="A1037" s="339" t="s">
        <v>219</v>
      </c>
      <c r="B1037" s="331">
        <v>44104</v>
      </c>
      <c r="C1037" s="332" t="s">
        <v>1096</v>
      </c>
      <c r="D1037" s="332" t="s">
        <v>1587</v>
      </c>
      <c r="E1037" s="332" t="s">
        <v>1583</v>
      </c>
      <c r="F1037" s="336">
        <v>2050.66</v>
      </c>
      <c r="G1037" s="330" t="s">
        <v>56</v>
      </c>
      <c r="H1037" s="329">
        <v>2050.66</v>
      </c>
      <c r="I1037" s="336">
        <f t="shared" si="41"/>
        <v>512.66499999999996</v>
      </c>
      <c r="J1037" s="336">
        <f t="shared" si="41"/>
        <v>512.66499999999996</v>
      </c>
      <c r="K1037" s="336">
        <f t="shared" si="41"/>
        <v>512.66499999999996</v>
      </c>
      <c r="L1037" s="336">
        <f t="shared" si="41"/>
        <v>512.66499999999996</v>
      </c>
      <c r="M1037" s="332"/>
    </row>
    <row r="1038" spans="1:13" hidden="1" outlineLevel="2" x14ac:dyDescent="0.35">
      <c r="A1038" s="339" t="s">
        <v>219</v>
      </c>
      <c r="B1038" s="331">
        <v>44196</v>
      </c>
      <c r="C1038" s="332" t="s">
        <v>1099</v>
      </c>
      <c r="D1038" s="332" t="s">
        <v>1588</v>
      </c>
      <c r="E1038" s="332" t="s">
        <v>1583</v>
      </c>
      <c r="F1038" s="336">
        <v>2050.66</v>
      </c>
      <c r="G1038" s="330" t="s">
        <v>56</v>
      </c>
      <c r="H1038" s="329">
        <v>2050.66</v>
      </c>
      <c r="I1038" s="336">
        <f t="shared" si="41"/>
        <v>512.66499999999996</v>
      </c>
      <c r="J1038" s="336">
        <f t="shared" si="41"/>
        <v>512.66499999999996</v>
      </c>
      <c r="K1038" s="336">
        <f t="shared" si="41"/>
        <v>512.66499999999996</v>
      </c>
      <c r="L1038" s="336">
        <f t="shared" si="41"/>
        <v>512.66499999999996</v>
      </c>
      <c r="M1038" s="332"/>
    </row>
    <row r="1039" spans="1:13" hidden="1" outlineLevel="2" x14ac:dyDescent="0.35">
      <c r="A1039" s="339" t="s">
        <v>219</v>
      </c>
      <c r="B1039" s="331">
        <v>44286</v>
      </c>
      <c r="C1039" s="332" t="s">
        <v>1101</v>
      </c>
      <c r="D1039" s="332" t="s">
        <v>1589</v>
      </c>
      <c r="E1039" s="332" t="s">
        <v>1583</v>
      </c>
      <c r="F1039" s="336">
        <v>1265.21</v>
      </c>
      <c r="G1039" s="330" t="s">
        <v>56</v>
      </c>
      <c r="H1039" s="329">
        <v>1265.21</v>
      </c>
      <c r="I1039" s="336">
        <f t="shared" si="41"/>
        <v>316.30250000000001</v>
      </c>
      <c r="J1039" s="336">
        <f t="shared" si="41"/>
        <v>316.30250000000001</v>
      </c>
      <c r="K1039" s="336">
        <f t="shared" si="41"/>
        <v>316.30250000000001</v>
      </c>
      <c r="L1039" s="336">
        <f t="shared" si="41"/>
        <v>316.30250000000001</v>
      </c>
      <c r="M1039" s="332"/>
    </row>
    <row r="1040" spans="1:13" hidden="1" outlineLevel="2" x14ac:dyDescent="0.35">
      <c r="A1040" s="339" t="s">
        <v>219</v>
      </c>
      <c r="B1040" s="331">
        <v>44377</v>
      </c>
      <c r="C1040" s="332" t="s">
        <v>1103</v>
      </c>
      <c r="D1040" s="332" t="s">
        <v>1590</v>
      </c>
      <c r="E1040" s="332" t="s">
        <v>1583</v>
      </c>
      <c r="F1040" s="336">
        <v>1265.21</v>
      </c>
      <c r="G1040" s="330" t="s">
        <v>56</v>
      </c>
      <c r="H1040" s="329">
        <v>1265.21</v>
      </c>
      <c r="I1040" s="336">
        <f t="shared" si="41"/>
        <v>316.30250000000001</v>
      </c>
      <c r="J1040" s="336">
        <f t="shared" si="41"/>
        <v>316.30250000000001</v>
      </c>
      <c r="K1040" s="336">
        <f t="shared" si="41"/>
        <v>316.30250000000001</v>
      </c>
      <c r="L1040" s="336">
        <f t="shared" si="41"/>
        <v>316.30250000000001</v>
      </c>
      <c r="M1040" s="332"/>
    </row>
    <row r="1041" spans="1:13" hidden="1" outlineLevel="2" x14ac:dyDescent="0.35">
      <c r="A1041" s="339" t="s">
        <v>219</v>
      </c>
      <c r="B1041" s="331">
        <v>44469</v>
      </c>
      <c r="C1041" s="332" t="s">
        <v>1591</v>
      </c>
      <c r="D1041" s="332" t="s">
        <v>1592</v>
      </c>
      <c r="E1041" s="332" t="s">
        <v>1583</v>
      </c>
      <c r="F1041" s="336">
        <v>1070.56</v>
      </c>
      <c r="G1041" s="330" t="s">
        <v>56</v>
      </c>
      <c r="H1041" s="329">
        <v>1070.56</v>
      </c>
      <c r="I1041" s="336">
        <f t="shared" si="41"/>
        <v>267.64</v>
      </c>
      <c r="J1041" s="336">
        <f t="shared" si="41"/>
        <v>267.64</v>
      </c>
      <c r="K1041" s="336">
        <f t="shared" si="41"/>
        <v>267.64</v>
      </c>
      <c r="L1041" s="336">
        <f t="shared" si="41"/>
        <v>267.64</v>
      </c>
      <c r="M1041" s="332"/>
    </row>
    <row r="1042" spans="1:13" hidden="1" outlineLevel="2" x14ac:dyDescent="0.35">
      <c r="A1042" s="339" t="s">
        <v>219</v>
      </c>
      <c r="B1042" s="331">
        <v>44561</v>
      </c>
      <c r="C1042" s="332" t="s">
        <v>1593</v>
      </c>
      <c r="D1042" s="332" t="s">
        <v>1594</v>
      </c>
      <c r="E1042" s="332" t="s">
        <v>1583</v>
      </c>
      <c r="F1042" s="336">
        <v>535.28</v>
      </c>
      <c r="G1042" s="330" t="s">
        <v>56</v>
      </c>
      <c r="H1042" s="329">
        <v>535.28</v>
      </c>
      <c r="I1042" s="336">
        <f t="shared" si="41"/>
        <v>133.82</v>
      </c>
      <c r="J1042" s="336">
        <f t="shared" si="41"/>
        <v>133.82</v>
      </c>
      <c r="K1042" s="336">
        <f t="shared" si="41"/>
        <v>133.82</v>
      </c>
      <c r="L1042" s="336">
        <f t="shared" si="41"/>
        <v>133.82</v>
      </c>
      <c r="M1042" s="332"/>
    </row>
    <row r="1043" spans="1:13" hidden="1" outlineLevel="2" x14ac:dyDescent="0.35">
      <c r="A1043" s="339" t="s">
        <v>219</v>
      </c>
      <c r="B1043" s="331">
        <v>44561</v>
      </c>
      <c r="C1043" s="332" t="s">
        <v>1595</v>
      </c>
      <c r="D1043" s="332" t="s">
        <v>1596</v>
      </c>
      <c r="E1043" s="332" t="s">
        <v>1583</v>
      </c>
      <c r="F1043" s="336">
        <v>535.28</v>
      </c>
      <c r="G1043" s="330" t="s">
        <v>56</v>
      </c>
      <c r="H1043" s="329">
        <v>535.28</v>
      </c>
      <c r="I1043" s="336">
        <f t="shared" si="41"/>
        <v>133.82</v>
      </c>
      <c r="J1043" s="336">
        <f t="shared" si="41"/>
        <v>133.82</v>
      </c>
      <c r="K1043" s="336">
        <f t="shared" si="41"/>
        <v>133.82</v>
      </c>
      <c r="L1043" s="336">
        <f t="shared" si="41"/>
        <v>133.82</v>
      </c>
      <c r="M1043" s="332"/>
    </row>
    <row r="1044" spans="1:13" hidden="1" outlineLevel="2" x14ac:dyDescent="0.35">
      <c r="A1044" s="339" t="s">
        <v>219</v>
      </c>
      <c r="B1044" s="331">
        <v>44561</v>
      </c>
      <c r="C1044" s="332" t="s">
        <v>1597</v>
      </c>
      <c r="D1044" s="332" t="s">
        <v>1598</v>
      </c>
      <c r="E1044" s="332" t="s">
        <v>1599</v>
      </c>
      <c r="F1044" s="336">
        <v>1926.43</v>
      </c>
      <c r="G1044" s="330" t="s">
        <v>56</v>
      </c>
      <c r="H1044" s="329">
        <v>1926.43</v>
      </c>
      <c r="I1044" s="336">
        <f t="shared" si="41"/>
        <v>481.60750000000002</v>
      </c>
      <c r="J1044" s="336">
        <f t="shared" si="41"/>
        <v>481.60750000000002</v>
      </c>
      <c r="K1044" s="336">
        <f t="shared" si="41"/>
        <v>481.60750000000002</v>
      </c>
      <c r="L1044" s="336">
        <f t="shared" si="41"/>
        <v>481.60750000000002</v>
      </c>
      <c r="M1044" s="332"/>
    </row>
    <row r="1045" spans="1:13" outlineLevel="1" collapsed="1" x14ac:dyDescent="0.35">
      <c r="A1045" s="343" t="s">
        <v>1600</v>
      </c>
      <c r="B1045" s="331"/>
      <c r="C1045" s="332"/>
      <c r="D1045" s="332"/>
      <c r="E1045" s="332"/>
      <c r="F1045" s="336"/>
      <c r="G1045" s="330"/>
      <c r="H1045" s="329">
        <f t="shared" ref="H1045:M1045" si="42">SUBTOTAL(9,H1033:H1044)</f>
        <v>14322.410000000002</v>
      </c>
      <c r="I1045" s="336">
        <f t="shared" si="42"/>
        <v>3580.6025000000004</v>
      </c>
      <c r="J1045" s="336">
        <f t="shared" si="42"/>
        <v>3580.6025000000004</v>
      </c>
      <c r="K1045" s="336">
        <f t="shared" si="42"/>
        <v>3580.6025000000004</v>
      </c>
      <c r="L1045" s="336">
        <f t="shared" si="42"/>
        <v>3580.6025000000004</v>
      </c>
      <c r="M1045" s="332">
        <f t="shared" si="42"/>
        <v>0</v>
      </c>
    </row>
    <row r="1046" spans="1:13" hidden="1" outlineLevel="2" x14ac:dyDescent="0.35">
      <c r="A1046" s="339" t="s">
        <v>218</v>
      </c>
      <c r="B1046" s="331">
        <v>43738</v>
      </c>
      <c r="C1046" s="332" t="s">
        <v>1087</v>
      </c>
      <c r="D1046" s="332" t="s">
        <v>1601</v>
      </c>
      <c r="E1046" s="332" t="s">
        <v>1602</v>
      </c>
      <c r="F1046" s="336">
        <v>1082.45</v>
      </c>
      <c r="G1046" s="330" t="s">
        <v>56</v>
      </c>
      <c r="H1046" s="329">
        <v>1082.45</v>
      </c>
      <c r="I1046" s="336">
        <f t="shared" ref="I1046:L1057" si="43">$H1046/4</f>
        <v>270.61250000000001</v>
      </c>
      <c r="J1046" s="336">
        <f t="shared" si="43"/>
        <v>270.61250000000001</v>
      </c>
      <c r="K1046" s="336">
        <f t="shared" si="43"/>
        <v>270.61250000000001</v>
      </c>
      <c r="L1046" s="336">
        <f t="shared" si="43"/>
        <v>270.61250000000001</v>
      </c>
      <c r="M1046" s="332"/>
    </row>
    <row r="1047" spans="1:13" hidden="1" outlineLevel="2" x14ac:dyDescent="0.35">
      <c r="A1047" s="339" t="s">
        <v>218</v>
      </c>
      <c r="B1047" s="331">
        <v>43830</v>
      </c>
      <c r="C1047" s="332" t="s">
        <v>1090</v>
      </c>
      <c r="D1047" s="332" t="s">
        <v>1603</v>
      </c>
      <c r="E1047" s="332" t="s">
        <v>1602</v>
      </c>
      <c r="F1047" s="336">
        <v>1082.45</v>
      </c>
      <c r="G1047" s="330" t="s">
        <v>56</v>
      </c>
      <c r="H1047" s="329">
        <v>1082.45</v>
      </c>
      <c r="I1047" s="336">
        <f t="shared" si="43"/>
        <v>270.61250000000001</v>
      </c>
      <c r="J1047" s="336">
        <f t="shared" si="43"/>
        <v>270.61250000000001</v>
      </c>
      <c r="K1047" s="336">
        <f t="shared" si="43"/>
        <v>270.61250000000001</v>
      </c>
      <c r="L1047" s="336">
        <f t="shared" si="43"/>
        <v>270.61250000000001</v>
      </c>
      <c r="M1047" s="332"/>
    </row>
    <row r="1048" spans="1:13" hidden="1" outlineLevel="2" x14ac:dyDescent="0.35">
      <c r="A1048" s="339" t="s">
        <v>218</v>
      </c>
      <c r="B1048" s="331">
        <v>43921</v>
      </c>
      <c r="C1048" s="332" t="s">
        <v>1092</v>
      </c>
      <c r="D1048" s="332" t="s">
        <v>1604</v>
      </c>
      <c r="E1048" s="332" t="s">
        <v>1602</v>
      </c>
      <c r="F1048" s="336">
        <v>1885.72</v>
      </c>
      <c r="G1048" s="330" t="s">
        <v>56</v>
      </c>
      <c r="H1048" s="329">
        <v>1885.72</v>
      </c>
      <c r="I1048" s="336">
        <f t="shared" si="43"/>
        <v>471.43</v>
      </c>
      <c r="J1048" s="336">
        <f t="shared" si="43"/>
        <v>471.43</v>
      </c>
      <c r="K1048" s="336">
        <f t="shared" si="43"/>
        <v>471.43</v>
      </c>
      <c r="L1048" s="336">
        <f t="shared" si="43"/>
        <v>471.43</v>
      </c>
      <c r="M1048" s="332"/>
    </row>
    <row r="1049" spans="1:13" hidden="1" outlineLevel="2" x14ac:dyDescent="0.35">
      <c r="A1049" s="339" t="s">
        <v>218</v>
      </c>
      <c r="B1049" s="331">
        <v>44012</v>
      </c>
      <c r="C1049" s="332" t="s">
        <v>1094</v>
      </c>
      <c r="D1049" s="332" t="s">
        <v>1605</v>
      </c>
      <c r="E1049" s="332" t="s">
        <v>1602</v>
      </c>
      <c r="F1049" s="336">
        <v>1885.72</v>
      </c>
      <c r="G1049" s="330" t="s">
        <v>56</v>
      </c>
      <c r="H1049" s="329">
        <v>1885.72</v>
      </c>
      <c r="I1049" s="336">
        <f t="shared" si="43"/>
        <v>471.43</v>
      </c>
      <c r="J1049" s="336">
        <f t="shared" si="43"/>
        <v>471.43</v>
      </c>
      <c r="K1049" s="336">
        <f t="shared" si="43"/>
        <v>471.43</v>
      </c>
      <c r="L1049" s="336">
        <f t="shared" si="43"/>
        <v>471.43</v>
      </c>
      <c r="M1049" s="332"/>
    </row>
    <row r="1050" spans="1:13" hidden="1" outlineLevel="2" x14ac:dyDescent="0.35">
      <c r="A1050" s="339" t="s">
        <v>218</v>
      </c>
      <c r="B1050" s="331">
        <v>44104</v>
      </c>
      <c r="C1050" s="332" t="s">
        <v>1096</v>
      </c>
      <c r="D1050" s="332" t="s">
        <v>1606</v>
      </c>
      <c r="E1050" s="332" t="s">
        <v>1602</v>
      </c>
      <c r="F1050" s="336">
        <v>799.1</v>
      </c>
      <c r="G1050" s="330" t="s">
        <v>56</v>
      </c>
      <c r="H1050" s="329">
        <v>799.1</v>
      </c>
      <c r="I1050" s="336">
        <f t="shared" si="43"/>
        <v>199.77500000000001</v>
      </c>
      <c r="J1050" s="336">
        <f t="shared" si="43"/>
        <v>199.77500000000001</v>
      </c>
      <c r="K1050" s="336">
        <f t="shared" si="43"/>
        <v>199.77500000000001</v>
      </c>
      <c r="L1050" s="336">
        <f t="shared" si="43"/>
        <v>199.77500000000001</v>
      </c>
      <c r="M1050" s="332"/>
    </row>
    <row r="1051" spans="1:13" hidden="1" outlineLevel="2" x14ac:dyDescent="0.35">
      <c r="A1051" s="339" t="s">
        <v>218</v>
      </c>
      <c r="B1051" s="331">
        <v>44196</v>
      </c>
      <c r="C1051" s="332" t="s">
        <v>1099</v>
      </c>
      <c r="D1051" s="332" t="s">
        <v>1607</v>
      </c>
      <c r="E1051" s="332" t="s">
        <v>1602</v>
      </c>
      <c r="F1051" s="336">
        <v>799.1</v>
      </c>
      <c r="G1051" s="330" t="s">
        <v>56</v>
      </c>
      <c r="H1051" s="329">
        <v>799.1</v>
      </c>
      <c r="I1051" s="336">
        <f t="shared" si="43"/>
        <v>199.77500000000001</v>
      </c>
      <c r="J1051" s="336">
        <f t="shared" si="43"/>
        <v>199.77500000000001</v>
      </c>
      <c r="K1051" s="336">
        <f t="shared" si="43"/>
        <v>199.77500000000001</v>
      </c>
      <c r="L1051" s="336">
        <f t="shared" si="43"/>
        <v>199.77500000000001</v>
      </c>
      <c r="M1051" s="332"/>
    </row>
    <row r="1052" spans="1:13" hidden="1" outlineLevel="2" x14ac:dyDescent="0.35">
      <c r="A1052" s="339" t="s">
        <v>218</v>
      </c>
      <c r="B1052" s="331">
        <v>44286</v>
      </c>
      <c r="C1052" s="332" t="s">
        <v>1101</v>
      </c>
      <c r="D1052" s="332" t="s">
        <v>1608</v>
      </c>
      <c r="E1052" s="332" t="s">
        <v>1602</v>
      </c>
      <c r="F1052" s="336">
        <v>1342.41</v>
      </c>
      <c r="G1052" s="330" t="s">
        <v>56</v>
      </c>
      <c r="H1052" s="329">
        <v>1342.41</v>
      </c>
      <c r="I1052" s="336">
        <f t="shared" si="43"/>
        <v>335.60250000000002</v>
      </c>
      <c r="J1052" s="336">
        <f t="shared" si="43"/>
        <v>335.60250000000002</v>
      </c>
      <c r="K1052" s="336">
        <f t="shared" si="43"/>
        <v>335.60250000000002</v>
      </c>
      <c r="L1052" s="336">
        <f t="shared" si="43"/>
        <v>335.60250000000002</v>
      </c>
      <c r="M1052" s="332"/>
    </row>
    <row r="1053" spans="1:13" hidden="1" outlineLevel="2" x14ac:dyDescent="0.35">
      <c r="A1053" s="339" t="s">
        <v>218</v>
      </c>
      <c r="B1053" s="331">
        <v>44377</v>
      </c>
      <c r="C1053" s="332" t="s">
        <v>1103</v>
      </c>
      <c r="D1053" s="332" t="s">
        <v>1609</v>
      </c>
      <c r="E1053" s="332" t="s">
        <v>1602</v>
      </c>
      <c r="F1053" s="336">
        <v>1342.41</v>
      </c>
      <c r="G1053" s="330" t="s">
        <v>56</v>
      </c>
      <c r="H1053" s="329">
        <v>1342.41</v>
      </c>
      <c r="I1053" s="336">
        <f t="shared" si="43"/>
        <v>335.60250000000002</v>
      </c>
      <c r="J1053" s="336">
        <f t="shared" si="43"/>
        <v>335.60250000000002</v>
      </c>
      <c r="K1053" s="336">
        <f t="shared" si="43"/>
        <v>335.60250000000002</v>
      </c>
      <c r="L1053" s="336">
        <f t="shared" si="43"/>
        <v>335.60250000000002</v>
      </c>
      <c r="M1053" s="332"/>
    </row>
    <row r="1054" spans="1:13" hidden="1" outlineLevel="2" x14ac:dyDescent="0.35">
      <c r="A1054" s="339" t="s">
        <v>218</v>
      </c>
      <c r="B1054" s="331">
        <v>44469</v>
      </c>
      <c r="C1054" s="332" t="s">
        <v>1610</v>
      </c>
      <c r="D1054" s="332" t="s">
        <v>1611</v>
      </c>
      <c r="E1054" s="332" t="s">
        <v>1602</v>
      </c>
      <c r="F1054" s="336">
        <v>1922.24</v>
      </c>
      <c r="G1054" s="330" t="s">
        <v>56</v>
      </c>
      <c r="H1054" s="329">
        <v>1922.24</v>
      </c>
      <c r="I1054" s="336">
        <f t="shared" si="43"/>
        <v>480.56</v>
      </c>
      <c r="J1054" s="336">
        <f t="shared" si="43"/>
        <v>480.56</v>
      </c>
      <c r="K1054" s="336">
        <f t="shared" si="43"/>
        <v>480.56</v>
      </c>
      <c r="L1054" s="336">
        <f t="shared" si="43"/>
        <v>480.56</v>
      </c>
      <c r="M1054" s="332"/>
    </row>
    <row r="1055" spans="1:13" hidden="1" outlineLevel="2" x14ac:dyDescent="0.35">
      <c r="A1055" s="339" t="s">
        <v>218</v>
      </c>
      <c r="B1055" s="331">
        <v>44561</v>
      </c>
      <c r="C1055" s="332" t="s">
        <v>1612</v>
      </c>
      <c r="D1055" s="332" t="s">
        <v>1613</v>
      </c>
      <c r="E1055" s="332" t="s">
        <v>1602</v>
      </c>
      <c r="F1055" s="336">
        <v>961.12</v>
      </c>
      <c r="G1055" s="330" t="s">
        <v>56</v>
      </c>
      <c r="H1055" s="329">
        <v>961.12</v>
      </c>
      <c r="I1055" s="336">
        <f t="shared" si="43"/>
        <v>240.28</v>
      </c>
      <c r="J1055" s="336">
        <f t="shared" si="43"/>
        <v>240.28</v>
      </c>
      <c r="K1055" s="336">
        <f t="shared" si="43"/>
        <v>240.28</v>
      </c>
      <c r="L1055" s="336">
        <f t="shared" si="43"/>
        <v>240.28</v>
      </c>
      <c r="M1055" s="332"/>
    </row>
    <row r="1056" spans="1:13" hidden="1" outlineLevel="2" x14ac:dyDescent="0.35">
      <c r="A1056" s="339" t="s">
        <v>218</v>
      </c>
      <c r="B1056" s="331">
        <v>44561</v>
      </c>
      <c r="C1056" s="332" t="s">
        <v>1614</v>
      </c>
      <c r="D1056" s="332" t="s">
        <v>1615</v>
      </c>
      <c r="E1056" s="332" t="s">
        <v>1602</v>
      </c>
      <c r="F1056" s="336">
        <v>961.12</v>
      </c>
      <c r="G1056" s="330" t="s">
        <v>56</v>
      </c>
      <c r="H1056" s="329">
        <v>961.12</v>
      </c>
      <c r="I1056" s="336">
        <f t="shared" si="43"/>
        <v>240.28</v>
      </c>
      <c r="J1056" s="336">
        <f t="shared" si="43"/>
        <v>240.28</v>
      </c>
      <c r="K1056" s="336">
        <f t="shared" si="43"/>
        <v>240.28</v>
      </c>
      <c r="L1056" s="336">
        <f t="shared" si="43"/>
        <v>240.28</v>
      </c>
      <c r="M1056" s="332"/>
    </row>
    <row r="1057" spans="1:13" hidden="1" outlineLevel="2" x14ac:dyDescent="0.35">
      <c r="A1057" s="339" t="s">
        <v>218</v>
      </c>
      <c r="B1057" s="331">
        <v>44561</v>
      </c>
      <c r="C1057" s="332" t="s">
        <v>1616</v>
      </c>
      <c r="D1057" s="332" t="s">
        <v>1617</v>
      </c>
      <c r="E1057" s="332" t="s">
        <v>1599</v>
      </c>
      <c r="F1057" s="336">
        <v>1926.43</v>
      </c>
      <c r="G1057" s="330" t="s">
        <v>56</v>
      </c>
      <c r="H1057" s="329">
        <v>1926.43</v>
      </c>
      <c r="I1057" s="336">
        <f t="shared" si="43"/>
        <v>481.60750000000002</v>
      </c>
      <c r="J1057" s="336">
        <f t="shared" si="43"/>
        <v>481.60750000000002</v>
      </c>
      <c r="K1057" s="336">
        <f t="shared" si="43"/>
        <v>481.60750000000002</v>
      </c>
      <c r="L1057" s="336">
        <f t="shared" si="43"/>
        <v>481.60750000000002</v>
      </c>
      <c r="M1057" s="332"/>
    </row>
    <row r="1058" spans="1:13" outlineLevel="1" collapsed="1" x14ac:dyDescent="0.35">
      <c r="A1058" s="343" t="s">
        <v>1618</v>
      </c>
      <c r="B1058" s="331"/>
      <c r="C1058" s="332"/>
      <c r="D1058" s="332"/>
      <c r="E1058" s="332"/>
      <c r="F1058" s="336"/>
      <c r="G1058" s="330"/>
      <c r="H1058" s="329">
        <f t="shared" ref="H1058:M1058" si="44">SUBTOTAL(9,H1046:H1057)</f>
        <v>15990.270000000002</v>
      </c>
      <c r="I1058" s="336">
        <f t="shared" si="44"/>
        <v>3997.5675000000006</v>
      </c>
      <c r="J1058" s="336">
        <f t="shared" si="44"/>
        <v>3997.5675000000006</v>
      </c>
      <c r="K1058" s="336">
        <f t="shared" si="44"/>
        <v>3997.5675000000006</v>
      </c>
      <c r="L1058" s="336">
        <f t="shared" si="44"/>
        <v>3997.5675000000006</v>
      </c>
      <c r="M1058" s="332">
        <f t="shared" si="44"/>
        <v>0</v>
      </c>
    </row>
    <row r="1059" spans="1:13" hidden="1" outlineLevel="2" x14ac:dyDescent="0.35">
      <c r="A1059" s="339" t="s">
        <v>94</v>
      </c>
      <c r="B1059" s="331">
        <v>43829</v>
      </c>
      <c r="C1059" s="332" t="s">
        <v>1619</v>
      </c>
      <c r="D1059" s="332" t="s">
        <v>1620</v>
      </c>
      <c r="E1059" s="332" t="s">
        <v>472</v>
      </c>
      <c r="F1059" s="336">
        <v>68860</v>
      </c>
      <c r="G1059" s="330" t="s">
        <v>236</v>
      </c>
      <c r="H1059" s="329">
        <v>63.975085996375213</v>
      </c>
      <c r="I1059" s="336">
        <v>15.993771499093803</v>
      </c>
      <c r="J1059" s="336">
        <v>15.993771499093803</v>
      </c>
      <c r="K1059" s="336">
        <v>15.993771499093803</v>
      </c>
      <c r="L1059" s="336">
        <v>15.993771499093803</v>
      </c>
      <c r="M1059" s="336"/>
    </row>
    <row r="1060" spans="1:13" hidden="1" outlineLevel="2" x14ac:dyDescent="0.35">
      <c r="A1060" s="339" t="s">
        <v>94</v>
      </c>
      <c r="B1060" s="331">
        <v>43830</v>
      </c>
      <c r="C1060" s="332" t="s">
        <v>1621</v>
      </c>
      <c r="D1060" s="332" t="s">
        <v>1622</v>
      </c>
      <c r="E1060" s="332" t="s">
        <v>472</v>
      </c>
      <c r="F1060" s="336">
        <v>56340</v>
      </c>
      <c r="G1060" s="330" t="s">
        <v>236</v>
      </c>
      <c r="H1060" s="329">
        <v>52.343252178852453</v>
      </c>
      <c r="I1060" s="336">
        <v>13.085813044713113</v>
      </c>
      <c r="J1060" s="336">
        <v>13.085813044713113</v>
      </c>
      <c r="K1060" s="336">
        <v>13.085813044713113</v>
      </c>
      <c r="L1060" s="336">
        <v>13.085813044713113</v>
      </c>
      <c r="M1060" s="336"/>
    </row>
    <row r="1061" spans="1:13" hidden="1" outlineLevel="2" x14ac:dyDescent="0.35">
      <c r="A1061" s="339" t="s">
        <v>94</v>
      </c>
      <c r="B1061" s="331">
        <v>43861</v>
      </c>
      <c r="C1061" s="332" t="s">
        <v>911</v>
      </c>
      <c r="D1061" s="332" t="s">
        <v>1623</v>
      </c>
      <c r="E1061" s="332" t="s">
        <v>472</v>
      </c>
      <c r="F1061" s="336">
        <v>25666</v>
      </c>
      <c r="G1061" s="330" t="s">
        <v>236</v>
      </c>
      <c r="H1061" s="329">
        <v>23.845259325921671</v>
      </c>
      <c r="I1061" s="336">
        <v>5.9613148314804176</v>
      </c>
      <c r="J1061" s="336">
        <v>5.9613148314804176</v>
      </c>
      <c r="K1061" s="336">
        <v>5.9613148314804176</v>
      </c>
      <c r="L1061" s="336">
        <v>5.9613148314804176</v>
      </c>
      <c r="M1061" s="336"/>
    </row>
    <row r="1062" spans="1:13" hidden="1" outlineLevel="2" x14ac:dyDescent="0.35">
      <c r="A1062" s="339" t="s">
        <v>94</v>
      </c>
      <c r="B1062" s="331">
        <v>43885</v>
      </c>
      <c r="C1062" s="332" t="s">
        <v>678</v>
      </c>
      <c r="D1062" s="332" t="s">
        <v>1624</v>
      </c>
      <c r="E1062" s="332" t="s">
        <v>472</v>
      </c>
      <c r="F1062" s="336">
        <v>45072</v>
      </c>
      <c r="G1062" s="330" t="s">
        <v>236</v>
      </c>
      <c r="H1062" s="329">
        <v>41.874601743081961</v>
      </c>
      <c r="I1062" s="336">
        <v>10.46865043577049</v>
      </c>
      <c r="J1062" s="336">
        <v>10.46865043577049</v>
      </c>
      <c r="K1062" s="336">
        <v>10.46865043577049</v>
      </c>
      <c r="L1062" s="336">
        <v>10.46865043577049</v>
      </c>
      <c r="M1062" s="336"/>
    </row>
    <row r="1063" spans="1:13" hidden="1" outlineLevel="2" x14ac:dyDescent="0.35">
      <c r="A1063" s="339" t="s">
        <v>94</v>
      </c>
      <c r="B1063" s="331">
        <v>43921</v>
      </c>
      <c r="C1063" s="332" t="s">
        <v>289</v>
      </c>
      <c r="D1063" s="332" t="s">
        <v>1625</v>
      </c>
      <c r="E1063" s="332" t="s">
        <v>472</v>
      </c>
      <c r="F1063" s="336">
        <v>53210</v>
      </c>
      <c r="G1063" s="330" t="s">
        <v>236</v>
      </c>
      <c r="H1063" s="329">
        <v>49.435293724471755</v>
      </c>
      <c r="I1063" s="336">
        <v>12.358823431117939</v>
      </c>
      <c r="J1063" s="336">
        <v>12.358823431117939</v>
      </c>
      <c r="K1063" s="336">
        <v>12.358823431117939</v>
      </c>
      <c r="L1063" s="336">
        <v>12.358823431117939</v>
      </c>
      <c r="M1063" s="336"/>
    </row>
    <row r="1064" spans="1:13" hidden="1" outlineLevel="2" x14ac:dyDescent="0.35">
      <c r="A1064" s="339" t="s">
        <v>94</v>
      </c>
      <c r="B1064" s="331">
        <v>43921</v>
      </c>
      <c r="C1064" s="332" t="s">
        <v>286</v>
      </c>
      <c r="D1064" s="332" t="s">
        <v>1626</v>
      </c>
      <c r="E1064" s="332" t="s">
        <v>472</v>
      </c>
      <c r="F1064" s="336">
        <v>6886</v>
      </c>
      <c r="G1064" s="330" t="s">
        <v>236</v>
      </c>
      <c r="H1064" s="329">
        <v>6.3975085996375212</v>
      </c>
      <c r="I1064" s="336">
        <v>1.5993771499093803</v>
      </c>
      <c r="J1064" s="336">
        <v>1.5993771499093803</v>
      </c>
      <c r="K1064" s="336">
        <v>1.5993771499093803</v>
      </c>
      <c r="L1064" s="336">
        <v>1.5993771499093803</v>
      </c>
      <c r="M1064" s="336"/>
    </row>
    <row r="1065" spans="1:13" hidden="1" outlineLevel="2" x14ac:dyDescent="0.35">
      <c r="A1065" s="339" t="s">
        <v>94</v>
      </c>
      <c r="B1065" s="331">
        <v>43956</v>
      </c>
      <c r="C1065" s="332" t="s">
        <v>915</v>
      </c>
      <c r="D1065" s="332" t="s">
        <v>1627</v>
      </c>
      <c r="E1065" s="332" t="s">
        <v>472</v>
      </c>
      <c r="F1065" s="336">
        <v>6886</v>
      </c>
      <c r="G1065" s="330" t="s">
        <v>236</v>
      </c>
      <c r="H1065" s="329">
        <v>6.3975085996375212</v>
      </c>
      <c r="I1065" s="336">
        <v>1.5993771499093803</v>
      </c>
      <c r="J1065" s="336">
        <v>1.5993771499093803</v>
      </c>
      <c r="K1065" s="336">
        <v>1.5993771499093803</v>
      </c>
      <c r="L1065" s="336">
        <v>1.5993771499093803</v>
      </c>
      <c r="M1065" s="336"/>
    </row>
    <row r="1066" spans="1:13" hidden="1" outlineLevel="2" x14ac:dyDescent="0.35">
      <c r="A1066" s="339" t="s">
        <v>94</v>
      </c>
      <c r="B1066" s="331">
        <v>43746</v>
      </c>
      <c r="C1066" s="332" t="s">
        <v>1628</v>
      </c>
      <c r="D1066" s="332" t="s">
        <v>1629</v>
      </c>
      <c r="E1066" s="332" t="s">
        <v>1630</v>
      </c>
      <c r="F1066" s="336">
        <v>750000</v>
      </c>
      <c r="G1066" s="330" t="s">
        <v>236</v>
      </c>
      <c r="H1066" s="329">
        <v>738.41057589539162</v>
      </c>
      <c r="I1066" s="336">
        <v>184.6026439738479</v>
      </c>
      <c r="J1066" s="336">
        <v>184.6026439738479</v>
      </c>
      <c r="K1066" s="336">
        <v>184.6026439738479</v>
      </c>
      <c r="L1066" s="336">
        <v>184.6026439738479</v>
      </c>
      <c r="M1066" s="336"/>
    </row>
    <row r="1067" spans="1:13" hidden="1" outlineLevel="2" x14ac:dyDescent="0.35">
      <c r="A1067" s="339" t="s">
        <v>94</v>
      </c>
      <c r="B1067" s="331">
        <v>43727</v>
      </c>
      <c r="C1067" s="332" t="s">
        <v>1631</v>
      </c>
      <c r="D1067" s="332" t="s">
        <v>1632</v>
      </c>
      <c r="E1067" s="332" t="s">
        <v>472</v>
      </c>
      <c r="F1067" s="336">
        <v>12520</v>
      </c>
      <c r="G1067" s="330" t="s">
        <v>236</v>
      </c>
      <c r="H1067" s="329">
        <v>12.326533880280403</v>
      </c>
      <c r="I1067" s="336">
        <v>3.0816334700701007</v>
      </c>
      <c r="J1067" s="336">
        <v>3.0816334700701007</v>
      </c>
      <c r="K1067" s="336">
        <v>3.0816334700701007</v>
      </c>
      <c r="L1067" s="336">
        <v>3.0816334700701007</v>
      </c>
      <c r="M1067" s="336"/>
    </row>
    <row r="1068" spans="1:13" hidden="1" outlineLevel="2" x14ac:dyDescent="0.35">
      <c r="A1068" s="339" t="s">
        <v>94</v>
      </c>
      <c r="B1068" s="331">
        <v>43739</v>
      </c>
      <c r="C1068" s="332" t="s">
        <v>1633</v>
      </c>
      <c r="D1068" s="332" t="s">
        <v>1634</v>
      </c>
      <c r="E1068" s="332" t="s">
        <v>472</v>
      </c>
      <c r="F1068" s="336">
        <v>16902</v>
      </c>
      <c r="G1068" s="330" t="s">
        <v>236</v>
      </c>
      <c r="H1068" s="329">
        <v>16.640820738378544</v>
      </c>
      <c r="I1068" s="336">
        <v>4.160205184594636</v>
      </c>
      <c r="J1068" s="336">
        <v>4.160205184594636</v>
      </c>
      <c r="K1068" s="336">
        <v>4.160205184594636</v>
      </c>
      <c r="L1068" s="336">
        <v>4.160205184594636</v>
      </c>
      <c r="M1068" s="336"/>
    </row>
    <row r="1069" spans="1:13" hidden="1" outlineLevel="2" x14ac:dyDescent="0.35">
      <c r="A1069" s="339" t="s">
        <v>94</v>
      </c>
      <c r="B1069" s="331">
        <v>44195</v>
      </c>
      <c r="C1069" s="332" t="s">
        <v>1635</v>
      </c>
      <c r="D1069" s="332" t="s">
        <v>1636</v>
      </c>
      <c r="E1069" s="332" t="s">
        <v>472</v>
      </c>
      <c r="F1069" s="336">
        <v>38186</v>
      </c>
      <c r="G1069" s="330" t="s">
        <v>236</v>
      </c>
      <c r="H1069" s="329">
        <v>32.558719592892459</v>
      </c>
      <c r="I1069" s="333">
        <v>8.1396798982231147</v>
      </c>
      <c r="J1069" s="333">
        <v>8.1396798982231147</v>
      </c>
      <c r="K1069" s="333">
        <v>8.1396798982231147</v>
      </c>
      <c r="L1069" s="333">
        <v>8.1396798982231147</v>
      </c>
      <c r="M1069" s="336"/>
    </row>
    <row r="1070" spans="1:13" hidden="1" outlineLevel="2" x14ac:dyDescent="0.35">
      <c r="A1070" s="339" t="s">
        <v>94</v>
      </c>
      <c r="B1070" s="331">
        <v>44560</v>
      </c>
      <c r="C1070" s="332" t="s">
        <v>1637</v>
      </c>
      <c r="D1070" s="332" t="s">
        <v>1638</v>
      </c>
      <c r="E1070" s="332" t="s">
        <v>1639</v>
      </c>
      <c r="F1070" s="336">
        <v>500000</v>
      </c>
      <c r="G1070" s="330" t="s">
        <v>236</v>
      </c>
      <c r="H1070" s="329">
        <v>441.30860117305861</v>
      </c>
      <c r="I1070" s="336">
        <v>110.32715029326465</v>
      </c>
      <c r="J1070" s="336">
        <v>110.32715029326465</v>
      </c>
      <c r="K1070" s="336">
        <v>110.32715029326465</v>
      </c>
      <c r="L1070" s="336">
        <v>110.32715029326465</v>
      </c>
      <c r="M1070" s="336"/>
    </row>
    <row r="1071" spans="1:13" hidden="1" outlineLevel="2" x14ac:dyDescent="0.35">
      <c r="A1071" s="339" t="s">
        <v>94</v>
      </c>
      <c r="B1071" s="331">
        <v>44560</v>
      </c>
      <c r="C1071" s="332" t="s">
        <v>1640</v>
      </c>
      <c r="D1071" s="332" t="s">
        <v>1641</v>
      </c>
      <c r="E1071" s="332" t="s">
        <v>1642</v>
      </c>
      <c r="F1071" s="336">
        <v>55714</v>
      </c>
      <c r="G1071" s="330" t="s">
        <v>236</v>
      </c>
      <c r="H1071" s="329">
        <v>49.174134811511571</v>
      </c>
      <c r="I1071" s="336">
        <v>12.293533702877893</v>
      </c>
      <c r="J1071" s="336">
        <v>12.293533702877893</v>
      </c>
      <c r="K1071" s="336">
        <v>12.293533702877893</v>
      </c>
      <c r="L1071" s="336">
        <v>12.293533702877893</v>
      </c>
      <c r="M1071" s="336"/>
    </row>
    <row r="1072" spans="1:13" hidden="1" outlineLevel="2" x14ac:dyDescent="0.35">
      <c r="A1072" s="339" t="s">
        <v>94</v>
      </c>
      <c r="B1072" s="331">
        <v>44155</v>
      </c>
      <c r="C1072" s="332" t="s">
        <v>1643</v>
      </c>
      <c r="D1072" s="332" t="s">
        <v>1644</v>
      </c>
      <c r="E1072" s="332" t="s">
        <v>369</v>
      </c>
      <c r="F1072" s="336">
        <v>45698</v>
      </c>
      <c r="G1072" s="330" t="s">
        <v>236</v>
      </c>
      <c r="H1072" s="329">
        <v>38.963713611166391</v>
      </c>
      <c r="I1072" s="333">
        <v>9.7409284027915977</v>
      </c>
      <c r="J1072" s="333">
        <v>9.7409284027915977</v>
      </c>
      <c r="K1072" s="333">
        <v>9.7409284027915977</v>
      </c>
      <c r="L1072" s="333">
        <v>9.7409284027915977</v>
      </c>
      <c r="M1072" s="336"/>
    </row>
    <row r="1073" spans="1:13" hidden="1" outlineLevel="2" x14ac:dyDescent="0.35">
      <c r="A1073" s="339" t="s">
        <v>94</v>
      </c>
      <c r="B1073" s="331">
        <v>44227</v>
      </c>
      <c r="C1073" s="332" t="s">
        <v>1645</v>
      </c>
      <c r="D1073" s="332" t="s">
        <v>1646</v>
      </c>
      <c r="E1073" s="332" t="s">
        <v>369</v>
      </c>
      <c r="F1073" s="336">
        <v>29422</v>
      </c>
      <c r="G1073" s="330" t="s">
        <v>236</v>
      </c>
      <c r="H1073" s="329">
        <v>25.08622657157288</v>
      </c>
      <c r="I1073" s="333">
        <v>6.2715566428932199</v>
      </c>
      <c r="J1073" s="333">
        <v>6.2715566428932199</v>
      </c>
      <c r="K1073" s="333">
        <v>6.2715566428932199</v>
      </c>
      <c r="L1073" s="333">
        <v>6.2715566428932199</v>
      </c>
      <c r="M1073" s="336"/>
    </row>
    <row r="1074" spans="1:13" hidden="1" outlineLevel="2" x14ac:dyDescent="0.35">
      <c r="A1074" s="339" t="s">
        <v>94</v>
      </c>
      <c r="B1074" s="331">
        <v>44592</v>
      </c>
      <c r="C1074" s="332" t="s">
        <v>1560</v>
      </c>
      <c r="D1074" s="332" t="s">
        <v>1641</v>
      </c>
      <c r="E1074" s="332" t="s">
        <v>369</v>
      </c>
      <c r="F1074" s="336">
        <v>63226</v>
      </c>
      <c r="G1074" s="330" t="s">
        <v>236</v>
      </c>
      <c r="H1074" s="329">
        <v>55.804355235535603</v>
      </c>
      <c r="I1074" s="336">
        <v>13.951088808883901</v>
      </c>
      <c r="J1074" s="336">
        <v>13.951088808883901</v>
      </c>
      <c r="K1074" s="336">
        <v>13.951088808883901</v>
      </c>
      <c r="L1074" s="336">
        <v>13.951088808883901</v>
      </c>
      <c r="M1074" s="336"/>
    </row>
    <row r="1075" spans="1:13" hidden="1" outlineLevel="2" x14ac:dyDescent="0.35">
      <c r="A1075" s="339" t="s">
        <v>94</v>
      </c>
      <c r="B1075" s="331">
        <v>43759</v>
      </c>
      <c r="C1075" s="332" t="s">
        <v>1647</v>
      </c>
      <c r="D1075" s="332" t="s">
        <v>1648</v>
      </c>
      <c r="E1075" s="332" t="s">
        <v>472</v>
      </c>
      <c r="F1075" s="336">
        <v>54462</v>
      </c>
      <c r="G1075" s="330" t="s">
        <v>236</v>
      </c>
      <c r="H1075" s="329">
        <v>53.620422379219754</v>
      </c>
      <c r="I1075" s="336">
        <v>13.405105594804938</v>
      </c>
      <c r="J1075" s="336">
        <v>13.405105594804938</v>
      </c>
      <c r="K1075" s="336">
        <v>13.405105594804938</v>
      </c>
      <c r="L1075" s="336">
        <v>13.405105594804938</v>
      </c>
      <c r="M1075" s="336"/>
    </row>
    <row r="1076" spans="1:13" hidden="1" outlineLevel="2" x14ac:dyDescent="0.35">
      <c r="A1076" s="339" t="s">
        <v>94</v>
      </c>
      <c r="B1076" s="331">
        <v>44255</v>
      </c>
      <c r="C1076" s="332" t="s">
        <v>1649</v>
      </c>
      <c r="D1076" s="332" t="s">
        <v>1650</v>
      </c>
      <c r="E1076" s="332" t="s">
        <v>369</v>
      </c>
      <c r="F1076" s="336">
        <v>622280</v>
      </c>
      <c r="G1076" s="330" t="s">
        <v>236</v>
      </c>
      <c r="H1076" s="329">
        <v>530.57769937320279</v>
      </c>
      <c r="I1076" s="333">
        <v>132.6444248433007</v>
      </c>
      <c r="J1076" s="333">
        <v>132.6444248433007</v>
      </c>
      <c r="K1076" s="333">
        <v>132.6444248433007</v>
      </c>
      <c r="L1076" s="333">
        <v>132.6444248433007</v>
      </c>
      <c r="M1076" s="336"/>
    </row>
    <row r="1077" spans="1:13" hidden="1" outlineLevel="2" x14ac:dyDescent="0.35">
      <c r="A1077" s="339" t="s">
        <v>94</v>
      </c>
      <c r="B1077" s="331">
        <v>44255</v>
      </c>
      <c r="C1077" s="332" t="s">
        <v>1651</v>
      </c>
      <c r="D1077" s="332" t="s">
        <v>1652</v>
      </c>
      <c r="E1077" s="332" t="s">
        <v>369</v>
      </c>
      <c r="F1077" s="336">
        <v>863254</v>
      </c>
      <c r="G1077" s="330" t="s">
        <v>236</v>
      </c>
      <c r="H1077" s="329">
        <v>736.04056259997878</v>
      </c>
      <c r="I1077" s="333">
        <v>184.0101406499947</v>
      </c>
      <c r="J1077" s="333">
        <v>184.0101406499947</v>
      </c>
      <c r="K1077" s="333">
        <v>184.0101406499947</v>
      </c>
      <c r="L1077" s="333">
        <v>184.0101406499947</v>
      </c>
      <c r="M1077" s="336"/>
    </row>
    <row r="1078" spans="1:13" hidden="1" outlineLevel="2" x14ac:dyDescent="0.35">
      <c r="A1078" s="339" t="s">
        <v>94</v>
      </c>
      <c r="B1078" s="331">
        <v>44255</v>
      </c>
      <c r="C1078" s="332" t="s">
        <v>834</v>
      </c>
      <c r="D1078" s="332" t="s">
        <v>1653</v>
      </c>
      <c r="E1078" s="332" t="s">
        <v>369</v>
      </c>
      <c r="F1078" s="336">
        <v>308618</v>
      </c>
      <c r="G1078" s="330" t="s">
        <v>236</v>
      </c>
      <c r="H1078" s="329">
        <v>263.13850425075384</v>
      </c>
      <c r="I1078" s="333">
        <v>65.78462606268846</v>
      </c>
      <c r="J1078" s="333">
        <v>65.78462606268846</v>
      </c>
      <c r="K1078" s="333">
        <v>65.78462606268846</v>
      </c>
      <c r="L1078" s="333">
        <v>65.78462606268846</v>
      </c>
      <c r="M1078" s="336"/>
    </row>
    <row r="1079" spans="1:13" hidden="1" outlineLevel="2" x14ac:dyDescent="0.35">
      <c r="A1079" s="339" t="s">
        <v>94</v>
      </c>
      <c r="B1079" s="331">
        <v>44592</v>
      </c>
      <c r="C1079" s="332" t="s">
        <v>836</v>
      </c>
      <c r="D1079" s="332" t="s">
        <v>1654</v>
      </c>
      <c r="E1079" s="332" t="s">
        <v>1642</v>
      </c>
      <c r="F1079" s="336">
        <v>13146</v>
      </c>
      <c r="G1079" s="330" t="s">
        <v>236</v>
      </c>
      <c r="H1079" s="329">
        <v>11.602885742042057</v>
      </c>
      <c r="I1079" s="336">
        <v>2.9007214355105142</v>
      </c>
      <c r="J1079" s="336">
        <v>2.9007214355105142</v>
      </c>
      <c r="K1079" s="336">
        <v>2.9007214355105142</v>
      </c>
      <c r="L1079" s="336">
        <v>2.9007214355105142</v>
      </c>
      <c r="M1079" s="336"/>
    </row>
    <row r="1080" spans="1:13" hidden="1" outlineLevel="2" x14ac:dyDescent="0.35">
      <c r="A1080" s="339" t="s">
        <v>94</v>
      </c>
      <c r="B1080" s="331">
        <v>43773</v>
      </c>
      <c r="C1080" s="332" t="s">
        <v>1655</v>
      </c>
      <c r="D1080" s="332" t="s">
        <v>1656</v>
      </c>
      <c r="E1080" s="332" t="s">
        <v>472</v>
      </c>
      <c r="F1080" s="336">
        <v>70112</v>
      </c>
      <c r="G1080" s="330" t="s">
        <v>236</v>
      </c>
      <c r="H1080" s="329">
        <v>69.028589729570257</v>
      </c>
      <c r="I1080" s="336">
        <v>17.257147432392564</v>
      </c>
      <c r="J1080" s="336">
        <v>17.257147432392564</v>
      </c>
      <c r="K1080" s="336">
        <v>17.257147432392564</v>
      </c>
      <c r="L1080" s="336">
        <v>17.257147432392564</v>
      </c>
      <c r="M1080" s="336"/>
    </row>
    <row r="1081" spans="1:13" hidden="1" outlineLevel="2" x14ac:dyDescent="0.35">
      <c r="A1081" s="339" t="s">
        <v>94</v>
      </c>
      <c r="B1081" s="331">
        <v>43773</v>
      </c>
      <c r="C1081" s="332" t="s">
        <v>1657</v>
      </c>
      <c r="D1081" s="332" t="s">
        <v>1658</v>
      </c>
      <c r="E1081" s="332" t="s">
        <v>472</v>
      </c>
      <c r="F1081" s="336">
        <v>254782</v>
      </c>
      <c r="G1081" s="330" t="s">
        <v>236</v>
      </c>
      <c r="H1081" s="329">
        <v>250.84496446370622</v>
      </c>
      <c r="I1081" s="336">
        <v>62.711241115926555</v>
      </c>
      <c r="J1081" s="336">
        <v>62.711241115926555</v>
      </c>
      <c r="K1081" s="336">
        <v>62.711241115926555</v>
      </c>
      <c r="L1081" s="336">
        <v>62.711241115926555</v>
      </c>
      <c r="M1081" s="336"/>
    </row>
    <row r="1082" spans="1:13" hidden="1" outlineLevel="2" x14ac:dyDescent="0.35">
      <c r="A1082" s="339" t="s">
        <v>94</v>
      </c>
      <c r="B1082" s="331">
        <v>43773</v>
      </c>
      <c r="C1082" s="332" t="s">
        <v>1659</v>
      </c>
      <c r="D1082" s="332" t="s">
        <v>1660</v>
      </c>
      <c r="E1082" s="332" t="s">
        <v>472</v>
      </c>
      <c r="F1082" s="336">
        <v>13146</v>
      </c>
      <c r="G1082" s="330" t="s">
        <v>236</v>
      </c>
      <c r="H1082" s="329">
        <v>12.942860574294423</v>
      </c>
      <c r="I1082" s="336">
        <v>3.2357151435736058</v>
      </c>
      <c r="J1082" s="336">
        <v>3.2357151435736058</v>
      </c>
      <c r="K1082" s="336">
        <v>3.2357151435736058</v>
      </c>
      <c r="L1082" s="336">
        <v>3.2357151435736058</v>
      </c>
      <c r="M1082" s="336"/>
    </row>
    <row r="1083" spans="1:13" hidden="1" outlineLevel="2" x14ac:dyDescent="0.35">
      <c r="A1083" s="339" t="s">
        <v>94</v>
      </c>
      <c r="B1083" s="331">
        <v>43773</v>
      </c>
      <c r="C1083" s="332" t="s">
        <v>1661</v>
      </c>
      <c r="D1083" s="332" t="s">
        <v>1662</v>
      </c>
      <c r="E1083" s="332" t="s">
        <v>472</v>
      </c>
      <c r="F1083" s="336">
        <v>9390</v>
      </c>
      <c r="G1083" s="330" t="s">
        <v>236</v>
      </c>
      <c r="H1083" s="329">
        <v>9.2449004102103025</v>
      </c>
      <c r="I1083" s="336">
        <v>2.3112251025525756</v>
      </c>
      <c r="J1083" s="336">
        <v>2.3112251025525756</v>
      </c>
      <c r="K1083" s="336">
        <v>2.3112251025525756</v>
      </c>
      <c r="L1083" s="336">
        <v>2.3112251025525756</v>
      </c>
      <c r="M1083" s="336"/>
    </row>
    <row r="1084" spans="1:13" hidden="1" outlineLevel="2" x14ac:dyDescent="0.35">
      <c r="A1084" s="339" t="s">
        <v>94</v>
      </c>
      <c r="B1084" s="331">
        <v>44282</v>
      </c>
      <c r="C1084" s="332" t="s">
        <v>1663</v>
      </c>
      <c r="D1084" s="332" t="s">
        <v>1664</v>
      </c>
      <c r="E1084" s="332" t="s">
        <v>369</v>
      </c>
      <c r="F1084" s="336">
        <v>496418</v>
      </c>
      <c r="G1084" s="330" t="s">
        <v>236</v>
      </c>
      <c r="H1084" s="329">
        <v>423.26335470760199</v>
      </c>
      <c r="I1084" s="333">
        <v>105.8158386769005</v>
      </c>
      <c r="J1084" s="333">
        <v>105.8158386769005</v>
      </c>
      <c r="K1084" s="333">
        <v>105.8158386769005</v>
      </c>
      <c r="L1084" s="333">
        <v>105.8158386769005</v>
      </c>
      <c r="M1084" s="336"/>
    </row>
    <row r="1085" spans="1:13" hidden="1" outlineLevel="2" x14ac:dyDescent="0.35">
      <c r="A1085" s="339" t="s">
        <v>94</v>
      </c>
      <c r="B1085" s="331">
        <v>43791</v>
      </c>
      <c r="C1085" s="332" t="s">
        <v>1665</v>
      </c>
      <c r="D1085" s="332" t="s">
        <v>1666</v>
      </c>
      <c r="E1085" s="332" t="s">
        <v>713</v>
      </c>
      <c r="F1085" s="336">
        <v>14000</v>
      </c>
      <c r="G1085" s="330" t="s">
        <v>236</v>
      </c>
      <c r="H1085" s="329">
        <v>13.783664083380643</v>
      </c>
      <c r="I1085" s="336">
        <v>3.4459160208451607</v>
      </c>
      <c r="J1085" s="336">
        <v>3.4459160208451607</v>
      </c>
      <c r="K1085" s="336">
        <v>3.4459160208451607</v>
      </c>
      <c r="L1085" s="336">
        <v>3.4459160208451607</v>
      </c>
      <c r="M1085" s="336"/>
    </row>
    <row r="1086" spans="1:13" hidden="1" outlineLevel="2" x14ac:dyDescent="0.35">
      <c r="A1086" s="339" t="s">
        <v>94</v>
      </c>
      <c r="B1086" s="331">
        <v>43790</v>
      </c>
      <c r="C1086" s="332" t="s">
        <v>1667</v>
      </c>
      <c r="D1086" s="332" t="s">
        <v>1668</v>
      </c>
      <c r="E1086" s="332" t="s">
        <v>472</v>
      </c>
      <c r="F1086" s="336">
        <v>60096</v>
      </c>
      <c r="G1086" s="330" t="s">
        <v>236</v>
      </c>
      <c r="H1086" s="329">
        <v>59.167362625345937</v>
      </c>
      <c r="I1086" s="336">
        <v>14.791840656336484</v>
      </c>
      <c r="J1086" s="336">
        <v>14.791840656336484</v>
      </c>
      <c r="K1086" s="336">
        <v>14.791840656336484</v>
      </c>
      <c r="L1086" s="336">
        <v>14.791840656336484</v>
      </c>
      <c r="M1086" s="336"/>
    </row>
    <row r="1087" spans="1:13" hidden="1" outlineLevel="2" x14ac:dyDescent="0.35">
      <c r="A1087" s="339" t="s">
        <v>94</v>
      </c>
      <c r="B1087" s="331">
        <v>43795</v>
      </c>
      <c r="C1087" s="332" t="s">
        <v>1669</v>
      </c>
      <c r="D1087" s="332" t="s">
        <v>1670</v>
      </c>
      <c r="E1087" s="332" t="s">
        <v>472</v>
      </c>
      <c r="F1087" s="336">
        <v>51332</v>
      </c>
      <c r="G1087" s="330" t="s">
        <v>236</v>
      </c>
      <c r="H1087" s="329">
        <v>50.538788909149652</v>
      </c>
      <c r="I1087" s="336">
        <v>12.634697227287413</v>
      </c>
      <c r="J1087" s="336">
        <v>12.634697227287413</v>
      </c>
      <c r="K1087" s="336">
        <v>12.634697227287413</v>
      </c>
      <c r="L1087" s="336">
        <v>12.634697227287413</v>
      </c>
      <c r="M1087" s="336"/>
    </row>
    <row r="1088" spans="1:13" hidden="1" outlineLevel="2" x14ac:dyDescent="0.35">
      <c r="A1088" s="339" t="s">
        <v>94</v>
      </c>
      <c r="B1088" s="331">
        <v>43802</v>
      </c>
      <c r="C1088" s="332" t="s">
        <v>1671</v>
      </c>
      <c r="D1088" s="332" t="s">
        <v>1672</v>
      </c>
      <c r="E1088" s="332" t="s">
        <v>472</v>
      </c>
      <c r="F1088" s="336">
        <v>200320</v>
      </c>
      <c r="G1088" s="330" t="s">
        <v>236</v>
      </c>
      <c r="H1088" s="329">
        <v>197.22454208448644</v>
      </c>
      <c r="I1088" s="336">
        <v>49.306135521121611</v>
      </c>
      <c r="J1088" s="336">
        <v>49.306135521121611</v>
      </c>
      <c r="K1088" s="336">
        <v>49.306135521121611</v>
      </c>
      <c r="L1088" s="336">
        <v>49.306135521121611</v>
      </c>
      <c r="M1088" s="336"/>
    </row>
    <row r="1089" spans="1:13" hidden="1" outlineLevel="2" x14ac:dyDescent="0.35">
      <c r="A1089" s="339" t="s">
        <v>94</v>
      </c>
      <c r="B1089" s="331">
        <v>43802</v>
      </c>
      <c r="C1089" s="332" t="s">
        <v>822</v>
      </c>
      <c r="D1089" s="332" t="s">
        <v>1673</v>
      </c>
      <c r="E1089" s="332" t="s">
        <v>472</v>
      </c>
      <c r="F1089" s="336">
        <v>38186</v>
      </c>
      <c r="G1089" s="330" t="s">
        <v>236</v>
      </c>
      <c r="H1089" s="329">
        <v>37.59592833485523</v>
      </c>
      <c r="I1089" s="336">
        <v>9.3989820837138076</v>
      </c>
      <c r="J1089" s="336">
        <v>9.3989820837138076</v>
      </c>
      <c r="K1089" s="336">
        <v>9.3989820837138076</v>
      </c>
      <c r="L1089" s="336">
        <v>9.3989820837138076</v>
      </c>
      <c r="M1089" s="336"/>
    </row>
    <row r="1090" spans="1:13" hidden="1" outlineLevel="2" x14ac:dyDescent="0.35">
      <c r="A1090" s="339" t="s">
        <v>94</v>
      </c>
      <c r="B1090" s="331">
        <v>43802</v>
      </c>
      <c r="C1090" s="332" t="s">
        <v>1674</v>
      </c>
      <c r="D1090" s="332" t="s">
        <v>1675</v>
      </c>
      <c r="E1090" s="332" t="s">
        <v>472</v>
      </c>
      <c r="F1090" s="336">
        <v>398762</v>
      </c>
      <c r="G1090" s="330" t="s">
        <v>236</v>
      </c>
      <c r="H1090" s="329">
        <v>392.60010408693086</v>
      </c>
      <c r="I1090" s="336">
        <v>98.150026021732714</v>
      </c>
      <c r="J1090" s="336">
        <v>98.150026021732714</v>
      </c>
      <c r="K1090" s="336">
        <v>98.150026021732714</v>
      </c>
      <c r="L1090" s="336">
        <v>98.150026021732714</v>
      </c>
      <c r="M1090" s="336"/>
    </row>
    <row r="1091" spans="1:13" hidden="1" outlineLevel="2" x14ac:dyDescent="0.35">
      <c r="A1091" s="339" t="s">
        <v>94</v>
      </c>
      <c r="B1091" s="331">
        <v>44312</v>
      </c>
      <c r="C1091" s="332" t="s">
        <v>1674</v>
      </c>
      <c r="D1091" s="332" t="s">
        <v>1676</v>
      </c>
      <c r="E1091" s="332" t="s">
        <v>369</v>
      </c>
      <c r="F1091" s="336">
        <v>7512</v>
      </c>
      <c r="G1091" s="330" t="s">
        <v>236</v>
      </c>
      <c r="H1091" s="329">
        <v>6.4049940182739267</v>
      </c>
      <c r="I1091" s="333">
        <v>1.6012485045684817</v>
      </c>
      <c r="J1091" s="333">
        <v>1.6012485045684817</v>
      </c>
      <c r="K1091" s="333">
        <v>1.6012485045684817</v>
      </c>
      <c r="L1091" s="333">
        <v>1.6012485045684817</v>
      </c>
      <c r="M1091" s="336"/>
    </row>
    <row r="1092" spans="1:13" hidden="1" outlineLevel="2" x14ac:dyDescent="0.35">
      <c r="A1092" s="339" t="s">
        <v>94</v>
      </c>
      <c r="B1092" s="331">
        <v>44312</v>
      </c>
      <c r="C1092" s="332" t="s">
        <v>1674</v>
      </c>
      <c r="D1092" s="332" t="s">
        <v>1677</v>
      </c>
      <c r="E1092" s="332" t="s">
        <v>369</v>
      </c>
      <c r="F1092" s="336">
        <v>33178</v>
      </c>
      <c r="G1092" s="330" t="s">
        <v>236</v>
      </c>
      <c r="H1092" s="329">
        <v>28.288723580709846</v>
      </c>
      <c r="I1092" s="333">
        <v>7.0721808951774614</v>
      </c>
      <c r="J1092" s="333">
        <v>7.0721808951774614</v>
      </c>
      <c r="K1092" s="333">
        <v>7.0721808951774614</v>
      </c>
      <c r="L1092" s="333">
        <v>7.0721808951774614</v>
      </c>
      <c r="M1092" s="336"/>
    </row>
    <row r="1093" spans="1:13" hidden="1" outlineLevel="2" x14ac:dyDescent="0.35">
      <c r="A1093" s="339" t="s">
        <v>94</v>
      </c>
      <c r="B1093" s="331">
        <v>44312</v>
      </c>
      <c r="C1093" s="332" t="s">
        <v>1674</v>
      </c>
      <c r="D1093" s="332" t="s">
        <v>1678</v>
      </c>
      <c r="E1093" s="332" t="s">
        <v>369</v>
      </c>
      <c r="F1093" s="336">
        <v>274188</v>
      </c>
      <c r="G1093" s="330" t="s">
        <v>236</v>
      </c>
      <c r="H1093" s="329">
        <v>233.78228166699833</v>
      </c>
      <c r="I1093" s="333">
        <v>58.445570416749582</v>
      </c>
      <c r="J1093" s="333">
        <v>58.445570416749582</v>
      </c>
      <c r="K1093" s="333">
        <v>58.445570416749582</v>
      </c>
      <c r="L1093" s="333">
        <v>58.445570416749582</v>
      </c>
      <c r="M1093" s="336"/>
    </row>
    <row r="1094" spans="1:13" hidden="1" outlineLevel="2" x14ac:dyDescent="0.35">
      <c r="A1094" s="339" t="s">
        <v>94</v>
      </c>
      <c r="B1094" s="331">
        <v>44312</v>
      </c>
      <c r="C1094" s="332" t="s">
        <v>1674</v>
      </c>
      <c r="D1094" s="332" t="s">
        <v>1679</v>
      </c>
      <c r="E1094" s="332" t="s">
        <v>369</v>
      </c>
      <c r="F1094" s="336">
        <v>297350</v>
      </c>
      <c r="G1094" s="330" t="s">
        <v>236</v>
      </c>
      <c r="H1094" s="329">
        <v>253.53101322334294</v>
      </c>
      <c r="I1094" s="333">
        <v>63.382753305835735</v>
      </c>
      <c r="J1094" s="333">
        <v>63.382753305835735</v>
      </c>
      <c r="K1094" s="333">
        <v>63.382753305835735</v>
      </c>
      <c r="L1094" s="333">
        <v>63.382753305835735</v>
      </c>
      <c r="M1094" s="336"/>
    </row>
    <row r="1095" spans="1:13" hidden="1" outlineLevel="2" x14ac:dyDescent="0.35">
      <c r="A1095" s="339" t="s">
        <v>94</v>
      </c>
      <c r="B1095" s="331">
        <v>43817</v>
      </c>
      <c r="C1095" s="332" t="s">
        <v>826</v>
      </c>
      <c r="D1095" s="332" t="s">
        <v>1680</v>
      </c>
      <c r="E1095" s="332" t="s">
        <v>472</v>
      </c>
      <c r="F1095" s="336">
        <v>221604</v>
      </c>
      <c r="G1095" s="330" t="s">
        <v>236</v>
      </c>
      <c r="H1095" s="329">
        <v>218.17964968096314</v>
      </c>
      <c r="I1095" s="336">
        <v>54.544912420240784</v>
      </c>
      <c r="J1095" s="336">
        <v>54.544912420240784</v>
      </c>
      <c r="K1095" s="336">
        <v>54.544912420240784</v>
      </c>
      <c r="L1095" s="336">
        <v>54.544912420240784</v>
      </c>
      <c r="M1095" s="336"/>
    </row>
    <row r="1096" spans="1:13" hidden="1" outlineLevel="2" x14ac:dyDescent="0.35">
      <c r="A1096" s="339" t="s">
        <v>94</v>
      </c>
      <c r="B1096" s="331">
        <v>44326</v>
      </c>
      <c r="C1096" s="332" t="s">
        <v>1681</v>
      </c>
      <c r="D1096" s="332" t="s">
        <v>1682</v>
      </c>
      <c r="E1096" s="332" t="s">
        <v>369</v>
      </c>
      <c r="F1096" s="336">
        <v>24414</v>
      </c>
      <c r="G1096" s="330" t="s">
        <v>236</v>
      </c>
      <c r="H1096" s="329">
        <v>20.816230559390263</v>
      </c>
      <c r="I1096" s="333">
        <v>5.2040576398475658</v>
      </c>
      <c r="J1096" s="333">
        <v>5.2040576398475658</v>
      </c>
      <c r="K1096" s="333">
        <v>5.2040576398475658</v>
      </c>
      <c r="L1096" s="333">
        <v>5.2040576398475658</v>
      </c>
      <c r="M1096" s="336"/>
    </row>
    <row r="1097" spans="1:13" hidden="1" outlineLevel="2" x14ac:dyDescent="0.35">
      <c r="A1097" s="339" t="s">
        <v>94</v>
      </c>
      <c r="B1097" s="331">
        <v>44316</v>
      </c>
      <c r="C1097" s="332" t="s">
        <v>1681</v>
      </c>
      <c r="D1097" s="332" t="s">
        <v>1683</v>
      </c>
      <c r="E1097" s="332" t="s">
        <v>369</v>
      </c>
      <c r="F1097" s="336">
        <v>38812</v>
      </c>
      <c r="G1097" s="330" t="s">
        <v>236</v>
      </c>
      <c r="H1097" s="329">
        <v>33.092469094415293</v>
      </c>
      <c r="I1097" s="333">
        <v>8.2731172736038232</v>
      </c>
      <c r="J1097" s="333">
        <v>8.2731172736038232</v>
      </c>
      <c r="K1097" s="333">
        <v>8.2731172736038232</v>
      </c>
      <c r="L1097" s="333">
        <v>8.2731172736038232</v>
      </c>
      <c r="M1097" s="336"/>
    </row>
    <row r="1098" spans="1:13" hidden="1" outlineLevel="2" x14ac:dyDescent="0.35">
      <c r="A1098" s="339" t="s">
        <v>94</v>
      </c>
      <c r="B1098" s="331">
        <v>44316</v>
      </c>
      <c r="C1098" s="332" t="s">
        <v>1681</v>
      </c>
      <c r="D1098" s="332" t="s">
        <v>1684</v>
      </c>
      <c r="E1098" s="332" t="s">
        <v>369</v>
      </c>
      <c r="F1098" s="336">
        <v>375600</v>
      </c>
      <c r="G1098" s="330" t="s">
        <v>236</v>
      </c>
      <c r="H1098" s="329">
        <v>320.24970091369636</v>
      </c>
      <c r="I1098" s="333">
        <v>80.06242522842409</v>
      </c>
      <c r="J1098" s="333">
        <v>80.06242522842409</v>
      </c>
      <c r="K1098" s="333">
        <v>80.06242522842409</v>
      </c>
      <c r="L1098" s="333">
        <v>80.06242522842409</v>
      </c>
      <c r="M1098" s="336"/>
    </row>
    <row r="1099" spans="1:13" hidden="1" outlineLevel="2" x14ac:dyDescent="0.35">
      <c r="A1099" s="339" t="s">
        <v>94</v>
      </c>
      <c r="B1099" s="331">
        <v>44343</v>
      </c>
      <c r="C1099" s="332" t="s">
        <v>1685</v>
      </c>
      <c r="D1099" s="332" t="s">
        <v>1686</v>
      </c>
      <c r="E1099" s="332" t="s">
        <v>369</v>
      </c>
      <c r="F1099" s="336">
        <v>413160</v>
      </c>
      <c r="G1099" s="330" t="s">
        <v>236</v>
      </c>
      <c r="H1099" s="329">
        <v>352.27467100506601</v>
      </c>
      <c r="I1099" s="333">
        <v>88.068667751266503</v>
      </c>
      <c r="J1099" s="333">
        <v>88.068667751266503</v>
      </c>
      <c r="K1099" s="333">
        <v>88.068667751266503</v>
      </c>
      <c r="L1099" s="333">
        <v>88.068667751266503</v>
      </c>
      <c r="M1099" s="336"/>
    </row>
    <row r="1100" spans="1:13" hidden="1" outlineLevel="2" x14ac:dyDescent="0.35">
      <c r="A1100" s="339" t="s">
        <v>94</v>
      </c>
      <c r="B1100" s="331">
        <v>44368</v>
      </c>
      <c r="C1100" s="332" t="s">
        <v>1687</v>
      </c>
      <c r="D1100" s="332" t="s">
        <v>1688</v>
      </c>
      <c r="E1100" s="332" t="s">
        <v>369</v>
      </c>
      <c r="F1100" s="336">
        <v>32552</v>
      </c>
      <c r="G1100" s="330" t="s">
        <v>236</v>
      </c>
      <c r="H1100" s="329">
        <v>27.754974079187019</v>
      </c>
      <c r="I1100" s="333">
        <v>6.9387435197967546</v>
      </c>
      <c r="J1100" s="333">
        <v>6.9387435197967546</v>
      </c>
      <c r="K1100" s="333">
        <v>6.9387435197967546</v>
      </c>
      <c r="L1100" s="333">
        <v>6.9387435197967546</v>
      </c>
      <c r="M1100" s="336"/>
    </row>
    <row r="1101" spans="1:13" hidden="1" outlineLevel="2" x14ac:dyDescent="0.35">
      <c r="A1101" s="339" t="s">
        <v>94</v>
      </c>
      <c r="B1101" s="331">
        <v>44368</v>
      </c>
      <c r="C1101" s="332" t="s">
        <v>1687</v>
      </c>
      <c r="D1101" s="332" t="s">
        <v>1688</v>
      </c>
      <c r="E1101" s="332" t="s">
        <v>369</v>
      </c>
      <c r="F1101" s="336">
        <v>304560</v>
      </c>
      <c r="G1101" s="330" t="s">
        <v>236</v>
      </c>
      <c r="H1101" s="329">
        <v>259.6785114757065</v>
      </c>
      <c r="I1101" s="333">
        <v>64.919627868926625</v>
      </c>
      <c r="J1101" s="333">
        <v>64.919627868926625</v>
      </c>
      <c r="K1101" s="333">
        <v>64.919627868926625</v>
      </c>
      <c r="L1101" s="333">
        <v>64.919627868926625</v>
      </c>
      <c r="M1101" s="336"/>
    </row>
    <row r="1102" spans="1:13" hidden="1" outlineLevel="2" x14ac:dyDescent="0.35">
      <c r="A1102" s="339" t="s">
        <v>94</v>
      </c>
      <c r="B1102" s="331">
        <v>44377</v>
      </c>
      <c r="C1102" s="332" t="s">
        <v>558</v>
      </c>
      <c r="D1102" s="332" t="s">
        <v>1689</v>
      </c>
      <c r="E1102" s="332" t="s">
        <v>369</v>
      </c>
      <c r="F1102" s="336">
        <v>567156</v>
      </c>
      <c r="G1102" s="330" t="s">
        <v>236</v>
      </c>
      <c r="H1102" s="329">
        <v>483.57704837968151</v>
      </c>
      <c r="I1102" s="333">
        <v>120.89426209492038</v>
      </c>
      <c r="J1102" s="333">
        <v>120.89426209492038</v>
      </c>
      <c r="K1102" s="333">
        <v>120.89426209492038</v>
      </c>
      <c r="L1102" s="333">
        <v>120.89426209492038</v>
      </c>
      <c r="M1102" s="336"/>
    </row>
    <row r="1103" spans="1:13" hidden="1" outlineLevel="2" x14ac:dyDescent="0.35">
      <c r="A1103" s="339" t="s">
        <v>94</v>
      </c>
      <c r="B1103" s="331">
        <v>44438</v>
      </c>
      <c r="C1103" s="332" t="s">
        <v>498</v>
      </c>
      <c r="D1103" s="332" t="s">
        <v>1690</v>
      </c>
      <c r="E1103" s="332" t="s">
        <v>350</v>
      </c>
      <c r="F1103" s="336">
        <v>1650000</v>
      </c>
      <c r="G1103" s="330" t="s">
        <v>236</v>
      </c>
      <c r="H1103" s="329">
        <v>1406.8477276560143</v>
      </c>
      <c r="I1103" s="333">
        <v>351.71193191400357</v>
      </c>
      <c r="J1103" s="333">
        <v>351.71193191400357</v>
      </c>
      <c r="K1103" s="333">
        <v>351.71193191400357</v>
      </c>
      <c r="L1103" s="333">
        <v>351.71193191400357</v>
      </c>
      <c r="M1103" s="336"/>
    </row>
    <row r="1104" spans="1:13" hidden="1" outlineLevel="2" x14ac:dyDescent="0.35">
      <c r="A1104" s="339" t="s">
        <v>94</v>
      </c>
      <c r="B1104" s="331">
        <v>44413</v>
      </c>
      <c r="C1104" s="332" t="s">
        <v>1691</v>
      </c>
      <c r="D1104" s="332" t="s">
        <v>1692</v>
      </c>
      <c r="E1104" s="332" t="s">
        <v>369</v>
      </c>
      <c r="F1104" s="336">
        <v>378104</v>
      </c>
      <c r="G1104" s="330" t="s">
        <v>236</v>
      </c>
      <c r="H1104" s="329">
        <v>322.38469891978764</v>
      </c>
      <c r="I1104" s="333">
        <v>80.59617472994691</v>
      </c>
      <c r="J1104" s="333">
        <v>80.59617472994691</v>
      </c>
      <c r="K1104" s="333">
        <v>80.59617472994691</v>
      </c>
      <c r="L1104" s="333">
        <v>80.59617472994691</v>
      </c>
      <c r="M1104" s="336"/>
    </row>
    <row r="1105" spans="1:13" hidden="1" outlineLevel="2" x14ac:dyDescent="0.35">
      <c r="A1105" s="339" t="s">
        <v>94</v>
      </c>
      <c r="B1105" s="331">
        <v>44467</v>
      </c>
      <c r="C1105" s="332" t="s">
        <v>1693</v>
      </c>
      <c r="D1105" s="332" t="s">
        <v>1694</v>
      </c>
      <c r="E1105" s="332" t="s">
        <v>1695</v>
      </c>
      <c r="F1105" s="336">
        <v>25000</v>
      </c>
      <c r="G1105" s="330" t="s">
        <v>236</v>
      </c>
      <c r="H1105" s="329">
        <v>21.315874661454764</v>
      </c>
      <c r="I1105" s="333">
        <v>5.328968665363691</v>
      </c>
      <c r="J1105" s="333">
        <v>5.328968665363691</v>
      </c>
      <c r="K1105" s="333">
        <v>5.328968665363691</v>
      </c>
      <c r="L1105" s="333">
        <v>5.328968665363691</v>
      </c>
      <c r="M1105" s="336"/>
    </row>
    <row r="1106" spans="1:13" hidden="1" outlineLevel="2" x14ac:dyDescent="0.35">
      <c r="A1106" s="339" t="s">
        <v>94</v>
      </c>
      <c r="B1106" s="331">
        <v>44486</v>
      </c>
      <c r="C1106" s="332" t="s">
        <v>1696</v>
      </c>
      <c r="D1106" s="332" t="s">
        <v>1697</v>
      </c>
      <c r="E1106" s="332" t="s">
        <v>239</v>
      </c>
      <c r="F1106" s="336">
        <v>25000</v>
      </c>
      <c r="G1106" s="330" t="s">
        <v>236</v>
      </c>
      <c r="H1106" s="329">
        <v>21.315874661454764</v>
      </c>
      <c r="I1106" s="333">
        <v>5.328968665363691</v>
      </c>
      <c r="J1106" s="333">
        <v>5.328968665363691</v>
      </c>
      <c r="K1106" s="333">
        <v>5.328968665363691</v>
      </c>
      <c r="L1106" s="333">
        <v>5.328968665363691</v>
      </c>
      <c r="M1106" s="336"/>
    </row>
    <row r="1107" spans="1:13" hidden="1" outlineLevel="2" x14ac:dyDescent="0.35">
      <c r="A1107" s="339" t="s">
        <v>94</v>
      </c>
      <c r="B1107" s="331">
        <v>44463</v>
      </c>
      <c r="C1107" s="332" t="s">
        <v>502</v>
      </c>
      <c r="D1107" s="332" t="s">
        <v>1698</v>
      </c>
      <c r="E1107" s="332" t="s">
        <v>369</v>
      </c>
      <c r="F1107" s="336">
        <v>504556</v>
      </c>
      <c r="G1107" s="330" t="s">
        <v>236</v>
      </c>
      <c r="H1107" s="329">
        <v>430.20209822739878</v>
      </c>
      <c r="I1107" s="333">
        <v>107.55052455684969</v>
      </c>
      <c r="J1107" s="333">
        <v>107.55052455684969</v>
      </c>
      <c r="K1107" s="333">
        <v>107.55052455684969</v>
      </c>
      <c r="L1107" s="333">
        <v>107.55052455684969</v>
      </c>
      <c r="M1107" s="336"/>
    </row>
    <row r="1108" spans="1:13" hidden="1" outlineLevel="2" x14ac:dyDescent="0.35">
      <c r="A1108" s="339" t="s">
        <v>94</v>
      </c>
      <c r="B1108" s="331">
        <v>44463</v>
      </c>
      <c r="C1108" s="332" t="s">
        <v>1699</v>
      </c>
      <c r="D1108" s="332" t="s">
        <v>1700</v>
      </c>
      <c r="E1108" s="332" t="s">
        <v>369</v>
      </c>
      <c r="F1108" s="336">
        <v>60722</v>
      </c>
      <c r="G1108" s="330" t="s">
        <v>236</v>
      </c>
      <c r="H1108" s="329">
        <v>51.77370164771424</v>
      </c>
      <c r="I1108" s="333">
        <v>12.94342541192856</v>
      </c>
      <c r="J1108" s="333">
        <v>12.94342541192856</v>
      </c>
      <c r="K1108" s="333">
        <v>12.94342541192856</v>
      </c>
      <c r="L1108" s="333">
        <v>12.94342541192856</v>
      </c>
      <c r="M1108" s="336"/>
    </row>
    <row r="1109" spans="1:13" hidden="1" outlineLevel="2" x14ac:dyDescent="0.35">
      <c r="A1109" s="339" t="s">
        <v>94</v>
      </c>
      <c r="B1109" s="331">
        <v>44489</v>
      </c>
      <c r="C1109" s="332" t="s">
        <v>1701</v>
      </c>
      <c r="D1109" s="332" t="s">
        <v>1702</v>
      </c>
      <c r="E1109" s="332" t="s">
        <v>369</v>
      </c>
      <c r="F1109" s="336">
        <v>78020</v>
      </c>
      <c r="G1109" s="330" t="s">
        <v>236</v>
      </c>
      <c r="H1109" s="329">
        <v>66.522581643468015</v>
      </c>
      <c r="I1109" s="333">
        <v>16.630645410867004</v>
      </c>
      <c r="J1109" s="333">
        <v>16.630645410867004</v>
      </c>
      <c r="K1109" s="333">
        <v>16.630645410867004</v>
      </c>
      <c r="L1109" s="333">
        <v>16.630645410867004</v>
      </c>
      <c r="M1109" s="336"/>
    </row>
    <row r="1110" spans="1:13" hidden="1" outlineLevel="2" x14ac:dyDescent="0.35">
      <c r="A1110" s="339" t="s">
        <v>94</v>
      </c>
      <c r="B1110" s="331">
        <v>44469</v>
      </c>
      <c r="C1110" s="332" t="s">
        <v>1703</v>
      </c>
      <c r="D1110" s="332" t="s">
        <v>1704</v>
      </c>
      <c r="E1110" s="332" t="s">
        <v>369</v>
      </c>
      <c r="F1110" s="336">
        <v>14398</v>
      </c>
      <c r="G1110" s="330" t="s">
        <v>236</v>
      </c>
      <c r="H1110" s="329">
        <v>12.276238535025026</v>
      </c>
      <c r="I1110" s="333">
        <v>3.0690596337562566</v>
      </c>
      <c r="J1110" s="333">
        <v>3.0690596337562566</v>
      </c>
      <c r="K1110" s="333">
        <v>3.0690596337562566</v>
      </c>
      <c r="L1110" s="333">
        <v>3.0690596337562566</v>
      </c>
      <c r="M1110" s="336"/>
    </row>
    <row r="1111" spans="1:13" hidden="1" outlineLevel="2" x14ac:dyDescent="0.35">
      <c r="A1111" s="339" t="s">
        <v>94</v>
      </c>
      <c r="B1111" s="331">
        <v>44489</v>
      </c>
      <c r="C1111" s="332" t="s">
        <v>1705</v>
      </c>
      <c r="D1111" s="332" t="s">
        <v>1706</v>
      </c>
      <c r="E1111" s="332" t="s">
        <v>369</v>
      </c>
      <c r="F1111" s="336">
        <v>497044</v>
      </c>
      <c r="G1111" s="330" t="s">
        <v>236</v>
      </c>
      <c r="H1111" s="329">
        <v>423.79710420912483</v>
      </c>
      <c r="I1111" s="333">
        <v>105.94927605228121</v>
      </c>
      <c r="J1111" s="333">
        <v>105.94927605228121</v>
      </c>
      <c r="K1111" s="333">
        <v>105.94927605228121</v>
      </c>
      <c r="L1111" s="333">
        <v>105.94927605228121</v>
      </c>
      <c r="M1111" s="336"/>
    </row>
    <row r="1112" spans="1:13" hidden="1" outlineLevel="2" x14ac:dyDescent="0.35">
      <c r="A1112" s="339" t="s">
        <v>94</v>
      </c>
      <c r="B1112" s="331">
        <v>44498</v>
      </c>
      <c r="C1112" s="332" t="s">
        <v>644</v>
      </c>
      <c r="D1112" s="332" t="s">
        <v>1707</v>
      </c>
      <c r="E1112" s="332" t="s">
        <v>369</v>
      </c>
      <c r="F1112" s="336">
        <v>350560</v>
      </c>
      <c r="G1112" s="330" t="s">
        <v>236</v>
      </c>
      <c r="H1112" s="329">
        <v>298.89972085278328</v>
      </c>
      <c r="I1112" s="333">
        <v>74.724930213195819</v>
      </c>
      <c r="J1112" s="333">
        <v>74.724930213195819</v>
      </c>
      <c r="K1112" s="333">
        <v>74.724930213195819</v>
      </c>
      <c r="L1112" s="333">
        <v>74.724930213195819</v>
      </c>
      <c r="M1112" s="336"/>
    </row>
    <row r="1113" spans="1:13" hidden="1" outlineLevel="2" x14ac:dyDescent="0.35">
      <c r="A1113" s="339" t="s">
        <v>94</v>
      </c>
      <c r="B1113" s="331">
        <v>44498</v>
      </c>
      <c r="C1113" s="332" t="s">
        <v>1708</v>
      </c>
      <c r="D1113" s="332" t="s">
        <v>1709</v>
      </c>
      <c r="E1113" s="332" t="s">
        <v>369</v>
      </c>
      <c r="F1113" s="336">
        <v>16902</v>
      </c>
      <c r="G1113" s="330" t="s">
        <v>236</v>
      </c>
      <c r="H1113" s="329">
        <v>14.411236541116336</v>
      </c>
      <c r="I1113" s="333">
        <v>3.6028091352790841</v>
      </c>
      <c r="J1113" s="333">
        <v>3.6028091352790841</v>
      </c>
      <c r="K1113" s="333">
        <v>3.6028091352790841</v>
      </c>
      <c r="L1113" s="333">
        <v>3.6028091352790841</v>
      </c>
      <c r="M1113" s="336"/>
    </row>
    <row r="1114" spans="1:13" hidden="1" outlineLevel="2" x14ac:dyDescent="0.35">
      <c r="A1114" s="339" t="s">
        <v>94</v>
      </c>
      <c r="B1114" s="331">
        <v>44489</v>
      </c>
      <c r="C1114" s="332" t="s">
        <v>1708</v>
      </c>
      <c r="D1114" s="332" t="s">
        <v>1709</v>
      </c>
      <c r="E1114" s="332" t="s">
        <v>369</v>
      </c>
      <c r="F1114" s="336">
        <v>51332</v>
      </c>
      <c r="G1114" s="330" t="s">
        <v>236</v>
      </c>
      <c r="H1114" s="329">
        <v>43.767459124871834</v>
      </c>
      <c r="I1114" s="333">
        <v>10.941864781217959</v>
      </c>
      <c r="J1114" s="333">
        <v>10.941864781217959</v>
      </c>
      <c r="K1114" s="333">
        <v>10.941864781217959</v>
      </c>
      <c r="L1114" s="333">
        <v>10.941864781217959</v>
      </c>
      <c r="M1114" s="336"/>
    </row>
    <row r="1115" spans="1:13" hidden="1" outlineLevel="2" x14ac:dyDescent="0.35">
      <c r="A1115" s="339" t="s">
        <v>94</v>
      </c>
      <c r="B1115" s="331">
        <v>44522</v>
      </c>
      <c r="C1115" s="332" t="s">
        <v>1710</v>
      </c>
      <c r="D1115" s="332" t="s">
        <v>1709</v>
      </c>
      <c r="E1115" s="332" t="s">
        <v>369</v>
      </c>
      <c r="F1115" s="336">
        <v>27544</v>
      </c>
      <c r="G1115" s="330" t="s">
        <v>236</v>
      </c>
      <c r="H1115" s="329">
        <v>23.484978067004398</v>
      </c>
      <c r="I1115" s="333">
        <v>5.8712445167510996</v>
      </c>
      <c r="J1115" s="333">
        <v>5.8712445167510996</v>
      </c>
      <c r="K1115" s="333">
        <v>5.8712445167510996</v>
      </c>
      <c r="L1115" s="333">
        <v>5.8712445167510996</v>
      </c>
      <c r="M1115" s="336"/>
    </row>
    <row r="1116" spans="1:13" hidden="1" outlineLevel="2" x14ac:dyDescent="0.35">
      <c r="A1116" s="339" t="s">
        <v>94</v>
      </c>
      <c r="B1116" s="331">
        <v>44522</v>
      </c>
      <c r="C1116" s="332" t="s">
        <v>647</v>
      </c>
      <c r="D1116" s="332" t="s">
        <v>1711</v>
      </c>
      <c r="E1116" s="332" t="s">
        <v>369</v>
      </c>
      <c r="F1116" s="336">
        <v>413160</v>
      </c>
      <c r="G1116" s="330" t="s">
        <v>236</v>
      </c>
      <c r="H1116" s="329">
        <v>352.27467100506601</v>
      </c>
      <c r="I1116" s="333">
        <v>88.068667751266503</v>
      </c>
      <c r="J1116" s="333">
        <v>88.068667751266503</v>
      </c>
      <c r="K1116" s="333">
        <v>88.068667751266503</v>
      </c>
      <c r="L1116" s="333">
        <v>88.068667751266503</v>
      </c>
      <c r="M1116" s="336"/>
    </row>
    <row r="1117" spans="1:13" hidden="1" outlineLevel="2" x14ac:dyDescent="0.35">
      <c r="A1117" s="339" t="s">
        <v>94</v>
      </c>
      <c r="B1117" s="331">
        <v>44526</v>
      </c>
      <c r="C1117" s="332" t="s">
        <v>1712</v>
      </c>
      <c r="D1117" s="332" t="s">
        <v>1713</v>
      </c>
      <c r="E1117" s="332" t="s">
        <v>369</v>
      </c>
      <c r="F1117" s="336">
        <v>3130</v>
      </c>
      <c r="G1117" s="330" t="s">
        <v>236</v>
      </c>
      <c r="H1117" s="329">
        <v>2.6687475076141363</v>
      </c>
      <c r="I1117" s="333">
        <v>0.66718687690353407</v>
      </c>
      <c r="J1117" s="333">
        <v>0.66718687690353407</v>
      </c>
      <c r="K1117" s="333">
        <v>0.66718687690353407</v>
      </c>
      <c r="L1117" s="333">
        <v>0.66718687690353407</v>
      </c>
      <c r="M1117" s="336"/>
    </row>
    <row r="1118" spans="1:13" hidden="1" outlineLevel="2" x14ac:dyDescent="0.35">
      <c r="A1118" s="339" t="s">
        <v>94</v>
      </c>
      <c r="B1118" s="331">
        <v>44526</v>
      </c>
      <c r="C1118" s="332" t="s">
        <v>1712</v>
      </c>
      <c r="D1118" s="332" t="s">
        <v>1713</v>
      </c>
      <c r="E1118" s="332" t="s">
        <v>369</v>
      </c>
      <c r="F1118" s="336">
        <v>405022</v>
      </c>
      <c r="G1118" s="330" t="s">
        <v>236</v>
      </c>
      <c r="H1118" s="329">
        <v>345.33592748526922</v>
      </c>
      <c r="I1118" s="333">
        <v>86.333981871317306</v>
      </c>
      <c r="J1118" s="333">
        <v>86.333981871317306</v>
      </c>
      <c r="K1118" s="333">
        <v>86.333981871317306</v>
      </c>
      <c r="L1118" s="333">
        <v>86.333981871317306</v>
      </c>
      <c r="M1118" s="336"/>
    </row>
    <row r="1119" spans="1:13" hidden="1" outlineLevel="2" x14ac:dyDescent="0.35">
      <c r="A1119" s="339" t="s">
        <v>94</v>
      </c>
      <c r="B1119" s="331">
        <v>44049</v>
      </c>
      <c r="C1119" s="332" t="s">
        <v>1714</v>
      </c>
      <c r="D1119" s="332" t="s">
        <v>1715</v>
      </c>
      <c r="E1119" s="332" t="s">
        <v>472</v>
      </c>
      <c r="F1119" s="336">
        <v>65730</v>
      </c>
      <c r="G1119" s="330" t="s">
        <v>236</v>
      </c>
      <c r="H1119" s="329">
        <v>61.067127541994523</v>
      </c>
      <c r="I1119" s="336">
        <v>15.266781885498631</v>
      </c>
      <c r="J1119" s="336">
        <v>15.266781885498631</v>
      </c>
      <c r="K1119" s="336">
        <v>15.266781885498631</v>
      </c>
      <c r="L1119" s="336">
        <v>15.266781885498631</v>
      </c>
      <c r="M1119" s="336"/>
    </row>
    <row r="1120" spans="1:13" hidden="1" outlineLevel="2" x14ac:dyDescent="0.35">
      <c r="A1120" s="339" t="s">
        <v>94</v>
      </c>
      <c r="B1120" s="331">
        <v>44074</v>
      </c>
      <c r="C1120" s="332" t="s">
        <v>1128</v>
      </c>
      <c r="D1120" s="332" t="s">
        <v>1129</v>
      </c>
      <c r="E1120" s="332" t="s">
        <v>472</v>
      </c>
      <c r="F1120" s="336">
        <v>477520</v>
      </c>
      <c r="G1120" s="330" t="s">
        <v>236</v>
      </c>
      <c r="H1120" s="329">
        <v>443.64483103382361</v>
      </c>
      <c r="I1120" s="336">
        <v>110.9112077584559</v>
      </c>
      <c r="J1120" s="336">
        <v>110.9112077584559</v>
      </c>
      <c r="K1120" s="336">
        <v>110.9112077584559</v>
      </c>
      <c r="L1120" s="336">
        <v>110.9112077584559</v>
      </c>
      <c r="M1120" s="336"/>
    </row>
    <row r="1121" spans="1:13" hidden="1" outlineLevel="2" x14ac:dyDescent="0.35">
      <c r="A1121" s="339" t="s">
        <v>94</v>
      </c>
      <c r="B1121" s="331">
        <v>44088</v>
      </c>
      <c r="C1121" s="332" t="s">
        <v>917</v>
      </c>
      <c r="D1121" s="332" t="s">
        <v>1139</v>
      </c>
      <c r="E1121" s="332" t="s">
        <v>472</v>
      </c>
      <c r="F1121" s="336">
        <v>78250</v>
      </c>
      <c r="G1121" s="330" t="s">
        <v>236</v>
      </c>
      <c r="H1121" s="329">
        <v>72.698961359517284</v>
      </c>
      <c r="I1121" s="336">
        <v>18.174740339879321</v>
      </c>
      <c r="J1121" s="336">
        <v>18.174740339879321</v>
      </c>
      <c r="K1121" s="336">
        <v>18.174740339879321</v>
      </c>
      <c r="L1121" s="336">
        <v>18.174740339879321</v>
      </c>
      <c r="M1121" s="336"/>
    </row>
    <row r="1122" spans="1:13" hidden="1" outlineLevel="2" x14ac:dyDescent="0.35">
      <c r="A1122" s="339" t="s">
        <v>94</v>
      </c>
      <c r="B1122" s="331">
        <v>44132</v>
      </c>
      <c r="C1122" s="332" t="s">
        <v>1128</v>
      </c>
      <c r="D1122" s="332" t="s">
        <v>1129</v>
      </c>
      <c r="E1122" s="332" t="s">
        <v>472</v>
      </c>
      <c r="F1122" s="336">
        <v>48828</v>
      </c>
      <c r="G1122" s="330" t="s">
        <v>236</v>
      </c>
      <c r="H1122" s="329">
        <v>45.364151888338789</v>
      </c>
      <c r="I1122" s="336">
        <v>11.341037972084697</v>
      </c>
      <c r="J1122" s="336">
        <v>11.341037972084697</v>
      </c>
      <c r="K1122" s="336">
        <v>11.341037972084697</v>
      </c>
      <c r="L1122" s="336">
        <v>11.341037972084697</v>
      </c>
      <c r="M1122" s="336"/>
    </row>
    <row r="1123" spans="1:13" hidden="1" outlineLevel="2" x14ac:dyDescent="0.35">
      <c r="A1123" s="339" t="s">
        <v>94</v>
      </c>
      <c r="B1123" s="331">
        <v>44183</v>
      </c>
      <c r="C1123" s="332" t="s">
        <v>333</v>
      </c>
      <c r="D1123" s="332" t="s">
        <v>1716</v>
      </c>
      <c r="E1123" s="332" t="s">
        <v>1140</v>
      </c>
      <c r="F1123" s="336">
        <v>279976</v>
      </c>
      <c r="G1123" s="330" t="s">
        <v>236</v>
      </c>
      <c r="H1123" s="329">
        <v>260.11456109383022</v>
      </c>
      <c r="I1123" s="336">
        <v>65.028640273457555</v>
      </c>
      <c r="J1123" s="336">
        <v>65.028640273457555</v>
      </c>
      <c r="K1123" s="336">
        <v>65.028640273457555</v>
      </c>
      <c r="L1123" s="336">
        <v>65.028640273457555</v>
      </c>
      <c r="M1123" s="336"/>
    </row>
    <row r="1124" spans="1:13" hidden="1" outlineLevel="2" x14ac:dyDescent="0.35">
      <c r="A1124" s="339" t="s">
        <v>94</v>
      </c>
      <c r="B1124" s="331" t="s">
        <v>1717</v>
      </c>
      <c r="C1124" s="332" t="s">
        <v>1290</v>
      </c>
      <c r="D1124" s="332" t="s">
        <v>1718</v>
      </c>
      <c r="E1124" s="332" t="s">
        <v>472</v>
      </c>
      <c r="F1124" s="336">
        <v>87014</v>
      </c>
      <c r="G1124" s="330" t="s">
        <v>236</v>
      </c>
      <c r="H1124" s="329">
        <v>80.841245031783231</v>
      </c>
      <c r="I1124" s="336">
        <v>20.210311257945808</v>
      </c>
      <c r="J1124" s="336">
        <v>20.210311257945808</v>
      </c>
      <c r="K1124" s="336">
        <v>20.210311257945808</v>
      </c>
      <c r="L1124" s="336">
        <v>20.210311257945808</v>
      </c>
      <c r="M1124" s="336"/>
    </row>
    <row r="1125" spans="1:13" hidden="1" outlineLevel="2" x14ac:dyDescent="0.35">
      <c r="A1125" s="339" t="s">
        <v>94</v>
      </c>
      <c r="B1125" s="331">
        <v>44026</v>
      </c>
      <c r="C1125" s="332" t="s">
        <v>1719</v>
      </c>
      <c r="D1125" s="332" t="s">
        <v>1720</v>
      </c>
      <c r="E1125" s="332" t="s">
        <v>472</v>
      </c>
      <c r="F1125" s="336">
        <v>11268</v>
      </c>
      <c r="G1125" s="330" t="s">
        <v>236</v>
      </c>
      <c r="H1125" s="329">
        <v>10.46865043577049</v>
      </c>
      <c r="I1125" s="336">
        <v>2.6171626089426225</v>
      </c>
      <c r="J1125" s="336">
        <v>2.6171626089426225</v>
      </c>
      <c r="K1125" s="336">
        <v>2.6171626089426225</v>
      </c>
      <c r="L1125" s="336">
        <v>2.6171626089426225</v>
      </c>
      <c r="M1125" s="336"/>
    </row>
    <row r="1126" spans="1:13" hidden="1" outlineLevel="2" x14ac:dyDescent="0.35">
      <c r="A1126" s="339" t="s">
        <v>94</v>
      </c>
      <c r="B1126" s="331">
        <v>44104</v>
      </c>
      <c r="C1126" s="332" t="s">
        <v>1721</v>
      </c>
      <c r="D1126" s="332" t="s">
        <v>1722</v>
      </c>
      <c r="E1126" s="332" t="s">
        <v>1723</v>
      </c>
      <c r="F1126" s="336">
        <v>727834</v>
      </c>
      <c r="G1126" s="330" t="s">
        <v>236</v>
      </c>
      <c r="H1126" s="329">
        <v>676.20160820629917</v>
      </c>
      <c r="I1126" s="336">
        <v>169.05040205157479</v>
      </c>
      <c r="J1126" s="336">
        <v>169.05040205157479</v>
      </c>
      <c r="K1126" s="336">
        <v>169.05040205157479</v>
      </c>
      <c r="L1126" s="336">
        <v>169.05040205157479</v>
      </c>
      <c r="M1126" s="336"/>
    </row>
    <row r="1127" spans="1:13" hidden="1" outlineLevel="2" x14ac:dyDescent="0.35">
      <c r="A1127" s="339" t="s">
        <v>94</v>
      </c>
      <c r="B1127" s="331">
        <v>44138</v>
      </c>
      <c r="C1127" s="332" t="s">
        <v>1128</v>
      </c>
      <c r="D1127" s="332" t="s">
        <v>1129</v>
      </c>
      <c r="E1127" s="332" t="s">
        <v>472</v>
      </c>
      <c r="F1127" s="336">
        <v>445086</v>
      </c>
      <c r="G1127" s="330" t="s">
        <v>236</v>
      </c>
      <c r="H1127" s="329">
        <v>413.51169221293435</v>
      </c>
      <c r="I1127" s="336">
        <v>103.37792305323359</v>
      </c>
      <c r="J1127" s="336">
        <v>103.37792305323359</v>
      </c>
      <c r="K1127" s="336">
        <v>103.37792305323359</v>
      </c>
      <c r="L1127" s="336">
        <v>103.37792305323359</v>
      </c>
      <c r="M1127" s="336"/>
    </row>
    <row r="1128" spans="1:13" hidden="1" outlineLevel="2" x14ac:dyDescent="0.35">
      <c r="A1128" s="339" t="s">
        <v>94</v>
      </c>
      <c r="B1128" s="331">
        <v>44039</v>
      </c>
      <c r="C1128" s="332" t="s">
        <v>1309</v>
      </c>
      <c r="D1128" s="332" t="s">
        <v>1724</v>
      </c>
      <c r="E1128" s="332" t="s">
        <v>472</v>
      </c>
      <c r="F1128" s="336">
        <v>1004124</v>
      </c>
      <c r="G1128" s="330" t="s">
        <v>236</v>
      </c>
      <c r="H1128" s="329">
        <v>932.89165336950725</v>
      </c>
      <c r="I1128" s="336">
        <v>233.22291334237681</v>
      </c>
      <c r="J1128" s="336">
        <v>233.22291334237681</v>
      </c>
      <c r="K1128" s="336">
        <v>233.22291334237681</v>
      </c>
      <c r="L1128" s="336">
        <v>233.22291334237681</v>
      </c>
      <c r="M1128" s="336"/>
    </row>
    <row r="1129" spans="1:13" hidden="1" outlineLevel="2" x14ac:dyDescent="0.35">
      <c r="A1129" s="339" t="s">
        <v>94</v>
      </c>
      <c r="B1129" s="331">
        <v>44063</v>
      </c>
      <c r="C1129" s="332" t="s">
        <v>1725</v>
      </c>
      <c r="D1129" s="332" t="s">
        <v>1726</v>
      </c>
      <c r="E1129" s="332" t="s">
        <v>436</v>
      </c>
      <c r="F1129" s="336">
        <v>152000</v>
      </c>
      <c r="G1129" s="330" t="s">
        <v>236</v>
      </c>
      <c r="H1129" s="329">
        <v>141.21715177823168</v>
      </c>
      <c r="I1129" s="336">
        <v>35.30428794455792</v>
      </c>
      <c r="J1129" s="336">
        <v>35.30428794455792</v>
      </c>
      <c r="K1129" s="336">
        <v>35.30428794455792</v>
      </c>
      <c r="L1129" s="336">
        <v>35.30428794455792</v>
      </c>
      <c r="M1129" s="336"/>
    </row>
    <row r="1130" spans="1:13" hidden="1" outlineLevel="2" x14ac:dyDescent="0.35">
      <c r="A1130" s="339" t="s">
        <v>94</v>
      </c>
      <c r="B1130" s="331">
        <v>44074</v>
      </c>
      <c r="C1130" s="332" t="s">
        <v>1128</v>
      </c>
      <c r="D1130" s="332" t="s">
        <v>1129</v>
      </c>
      <c r="E1130" s="332" t="s">
        <v>472</v>
      </c>
      <c r="F1130" s="336">
        <v>80128</v>
      </c>
      <c r="G1130" s="330" t="s">
        <v>236</v>
      </c>
      <c r="H1130" s="329">
        <v>74.443736432145698</v>
      </c>
      <c r="I1130" s="336">
        <v>18.610934108036425</v>
      </c>
      <c r="J1130" s="336">
        <v>18.610934108036425</v>
      </c>
      <c r="K1130" s="336">
        <v>18.610934108036425</v>
      </c>
      <c r="L1130" s="336">
        <v>18.610934108036425</v>
      </c>
      <c r="M1130" s="336"/>
    </row>
    <row r="1131" spans="1:13" hidden="1" outlineLevel="2" x14ac:dyDescent="0.35">
      <c r="A1131" s="339" t="s">
        <v>94</v>
      </c>
      <c r="B1131" s="331">
        <v>44063</v>
      </c>
      <c r="C1131" s="332" t="s">
        <v>1128</v>
      </c>
      <c r="D1131" s="332" t="s">
        <v>1129</v>
      </c>
      <c r="E1131" s="332" t="s">
        <v>472</v>
      </c>
      <c r="F1131" s="336">
        <v>650176</v>
      </c>
      <c r="G1131" s="330" t="s">
        <v>236</v>
      </c>
      <c r="H1131" s="329">
        <v>604.05265049054969</v>
      </c>
      <c r="I1131" s="336">
        <v>151.01316262263742</v>
      </c>
      <c r="J1131" s="336">
        <v>151.01316262263742</v>
      </c>
      <c r="K1131" s="336">
        <v>151.01316262263742</v>
      </c>
      <c r="L1131" s="336">
        <v>151.01316262263742</v>
      </c>
      <c r="M1131" s="336"/>
    </row>
    <row r="1132" spans="1:13" outlineLevel="1" collapsed="1" x14ac:dyDescent="0.35">
      <c r="A1132" s="343" t="s">
        <v>1727</v>
      </c>
      <c r="B1132" s="331"/>
      <c r="C1132" s="332"/>
      <c r="D1132" s="332"/>
      <c r="E1132" s="332"/>
      <c r="F1132" s="336"/>
      <c r="G1132" s="330"/>
      <c r="H1132" s="329">
        <f t="shared" ref="H1132:M1132" si="45">SUBTOTAL(9,H1059:H1131)</f>
        <v>14657.18425532983</v>
      </c>
      <c r="I1132" s="336">
        <f t="shared" si="45"/>
        <v>3664.2960638324575</v>
      </c>
      <c r="J1132" s="336">
        <f t="shared" si="45"/>
        <v>3664.2960638324575</v>
      </c>
      <c r="K1132" s="336">
        <f t="shared" si="45"/>
        <v>3664.2960638324575</v>
      </c>
      <c r="L1132" s="336">
        <f t="shared" si="45"/>
        <v>3664.2960638324575</v>
      </c>
      <c r="M1132" s="336">
        <f t="shared" si="45"/>
        <v>0</v>
      </c>
    </row>
    <row r="1133" spans="1:13" hidden="1" outlineLevel="2" x14ac:dyDescent="0.35">
      <c r="A1133" s="339" t="s">
        <v>102</v>
      </c>
      <c r="B1133" s="331">
        <v>44123</v>
      </c>
      <c r="C1133" s="332" t="s">
        <v>1728</v>
      </c>
      <c r="D1133" s="332" t="s">
        <v>1729</v>
      </c>
      <c r="E1133" s="332" t="s">
        <v>701</v>
      </c>
      <c r="F1133" s="336">
        <v>28000</v>
      </c>
      <c r="G1133" s="330" t="s">
        <v>236</v>
      </c>
      <c r="H1133" s="329">
        <v>26.01368585388478</v>
      </c>
      <c r="I1133" s="336"/>
      <c r="J1133" s="336">
        <v>26.01368585388478</v>
      </c>
      <c r="K1133" s="336"/>
      <c r="L1133" s="336"/>
      <c r="M1133" s="336"/>
    </row>
    <row r="1134" spans="1:13" hidden="1" outlineLevel="2" x14ac:dyDescent="0.35">
      <c r="A1134" s="339" t="s">
        <v>102</v>
      </c>
      <c r="B1134" s="331">
        <v>44124</v>
      </c>
      <c r="C1134" s="332" t="s">
        <v>1730</v>
      </c>
      <c r="D1134" s="332" t="s">
        <v>1731</v>
      </c>
      <c r="E1134" s="332" t="s">
        <v>701</v>
      </c>
      <c r="F1134" s="336">
        <v>1505000</v>
      </c>
      <c r="G1134" s="330" t="s">
        <v>236</v>
      </c>
      <c r="H1134" s="329">
        <v>1398.2356146463069</v>
      </c>
      <c r="I1134" s="336"/>
      <c r="J1134" s="336">
        <v>1398.2356146463069</v>
      </c>
      <c r="K1134" s="336"/>
      <c r="L1134" s="336"/>
      <c r="M1134" s="336"/>
    </row>
    <row r="1135" spans="1:13" hidden="1" outlineLevel="2" x14ac:dyDescent="0.35">
      <c r="A1135" s="339" t="s">
        <v>102</v>
      </c>
      <c r="B1135" s="331">
        <v>44099</v>
      </c>
      <c r="C1135" s="332" t="s">
        <v>1732</v>
      </c>
      <c r="D1135" s="332" t="s">
        <v>1733</v>
      </c>
      <c r="E1135" s="332" t="s">
        <v>1734</v>
      </c>
      <c r="F1135" s="336">
        <v>100000</v>
      </c>
      <c r="G1135" s="330" t="s">
        <v>236</v>
      </c>
      <c r="H1135" s="329">
        <v>92.906020906731356</v>
      </c>
      <c r="I1135" s="336"/>
      <c r="J1135" s="336">
        <v>92.906020906731356</v>
      </c>
      <c r="K1135" s="336"/>
      <c r="L1135" s="336"/>
      <c r="M1135" s="336"/>
    </row>
    <row r="1136" spans="1:13" hidden="1" outlineLevel="2" x14ac:dyDescent="0.35">
      <c r="A1136" s="339" t="s">
        <v>102</v>
      </c>
      <c r="B1136" s="331">
        <v>44099</v>
      </c>
      <c r="C1136" s="332" t="s">
        <v>1084</v>
      </c>
      <c r="D1136" s="332" t="s">
        <v>1735</v>
      </c>
      <c r="E1136" s="332" t="s">
        <v>1736</v>
      </c>
      <c r="F1136" s="336">
        <v>354000</v>
      </c>
      <c r="G1136" s="330" t="s">
        <v>236</v>
      </c>
      <c r="H1136" s="329">
        <v>328.88731400982903</v>
      </c>
      <c r="I1136" s="336"/>
      <c r="J1136" s="336">
        <v>328.88731400982903</v>
      </c>
      <c r="K1136" s="336"/>
      <c r="L1136" s="336"/>
      <c r="M1136" s="336"/>
    </row>
    <row r="1137" spans="1:13" hidden="1" outlineLevel="2" x14ac:dyDescent="0.35">
      <c r="A1137" s="339" t="s">
        <v>102</v>
      </c>
      <c r="B1137" s="331">
        <v>44099</v>
      </c>
      <c r="C1137" s="332" t="s">
        <v>1732</v>
      </c>
      <c r="D1137" s="332" t="s">
        <v>1733</v>
      </c>
      <c r="E1137" s="332" t="s">
        <v>1734</v>
      </c>
      <c r="F1137" s="336">
        <v>354000</v>
      </c>
      <c r="G1137" s="330" t="s">
        <v>236</v>
      </c>
      <c r="H1137" s="329">
        <v>328.88731400982903</v>
      </c>
      <c r="I1137" s="336"/>
      <c r="J1137" s="336">
        <v>328.88731400982903</v>
      </c>
      <c r="K1137" s="336"/>
      <c r="L1137" s="336"/>
      <c r="M1137" s="336"/>
    </row>
    <row r="1138" spans="1:13" hidden="1" outlineLevel="2" x14ac:dyDescent="0.35">
      <c r="A1138" s="339" t="s">
        <v>102</v>
      </c>
      <c r="B1138" s="331">
        <v>44099</v>
      </c>
      <c r="C1138" s="332" t="s">
        <v>392</v>
      </c>
      <c r="D1138" s="332" t="s">
        <v>1737</v>
      </c>
      <c r="E1138" s="332" t="s">
        <v>1738</v>
      </c>
      <c r="F1138" s="336">
        <v>3000000</v>
      </c>
      <c r="G1138" s="330" t="s">
        <v>236</v>
      </c>
      <c r="H1138" s="329">
        <v>2787.1806272019408</v>
      </c>
      <c r="I1138" s="336"/>
      <c r="J1138" s="336">
        <v>2787.1806272019408</v>
      </c>
      <c r="K1138" s="336"/>
      <c r="L1138" s="336"/>
      <c r="M1138" s="336"/>
    </row>
    <row r="1139" spans="1:13" hidden="1" outlineLevel="2" x14ac:dyDescent="0.35">
      <c r="A1139" s="339" t="s">
        <v>102</v>
      </c>
      <c r="B1139" s="331">
        <v>44113</v>
      </c>
      <c r="C1139" s="332" t="s">
        <v>655</v>
      </c>
      <c r="D1139" s="332" t="s">
        <v>656</v>
      </c>
      <c r="E1139" s="332" t="s">
        <v>1739</v>
      </c>
      <c r="F1139" s="336">
        <v>25000</v>
      </c>
      <c r="G1139" s="330" t="s">
        <v>236</v>
      </c>
      <c r="H1139" s="329">
        <v>23.226505226682839</v>
      </c>
      <c r="I1139" s="336"/>
      <c r="J1139" s="336">
        <v>23.226505226682839</v>
      </c>
      <c r="K1139" s="336"/>
      <c r="L1139" s="336"/>
      <c r="M1139" s="336"/>
    </row>
    <row r="1140" spans="1:13" outlineLevel="1" collapsed="1" x14ac:dyDescent="0.35">
      <c r="A1140" s="343" t="s">
        <v>1740</v>
      </c>
      <c r="B1140" s="331"/>
      <c r="C1140" s="332"/>
      <c r="D1140" s="332"/>
      <c r="E1140" s="332"/>
      <c r="F1140" s="336"/>
      <c r="G1140" s="330"/>
      <c r="H1140" s="329">
        <f t="shared" ref="H1140:M1140" si="46">SUBTOTAL(9,H1133:H1139)</f>
        <v>4985.3370818552048</v>
      </c>
      <c r="I1140" s="336">
        <f t="shared" si="46"/>
        <v>0</v>
      </c>
      <c r="J1140" s="336">
        <f t="shared" si="46"/>
        <v>4985.3370818552048</v>
      </c>
      <c r="K1140" s="336">
        <f t="shared" si="46"/>
        <v>0</v>
      </c>
      <c r="L1140" s="336">
        <f t="shared" si="46"/>
        <v>0</v>
      </c>
      <c r="M1140" s="336">
        <f t="shared" si="46"/>
        <v>0</v>
      </c>
    </row>
    <row r="1141" spans="1:13" hidden="1" outlineLevel="2" x14ac:dyDescent="0.35">
      <c r="A1141" s="339" t="s">
        <v>194</v>
      </c>
      <c r="B1141" s="331">
        <v>43847</v>
      </c>
      <c r="C1141" s="332" t="s">
        <v>1741</v>
      </c>
      <c r="D1141" s="332" t="s">
        <v>1742</v>
      </c>
      <c r="E1141" s="332" t="s">
        <v>758</v>
      </c>
      <c r="F1141" s="336">
        <v>260776</v>
      </c>
      <c r="G1141" s="330" t="s">
        <v>236</v>
      </c>
      <c r="H1141" s="329">
        <v>242.27660507973778</v>
      </c>
      <c r="I1141" s="336">
        <v>60.569151269934444</v>
      </c>
      <c r="J1141" s="336">
        <v>60.569151269934444</v>
      </c>
      <c r="K1141" s="336">
        <v>60.569151269934444</v>
      </c>
      <c r="L1141" s="336">
        <v>60.569151269934444</v>
      </c>
      <c r="M1141" s="336"/>
    </row>
    <row r="1142" spans="1:13" hidden="1" outlineLevel="2" x14ac:dyDescent="0.35">
      <c r="A1142" s="339" t="s">
        <v>194</v>
      </c>
      <c r="B1142" s="331">
        <v>43847</v>
      </c>
      <c r="C1142" s="332" t="s">
        <v>1743</v>
      </c>
      <c r="D1142" s="332" t="s">
        <v>1744</v>
      </c>
      <c r="E1142" s="332" t="s">
        <v>758</v>
      </c>
      <c r="F1142" s="336">
        <v>503455</v>
      </c>
      <c r="G1142" s="330" t="s">
        <v>236</v>
      </c>
      <c r="H1142" s="329">
        <v>467.74000755598439</v>
      </c>
      <c r="I1142" s="336">
        <v>116.9350018889961</v>
      </c>
      <c r="J1142" s="336">
        <v>116.9350018889961</v>
      </c>
      <c r="K1142" s="336">
        <v>116.9350018889961</v>
      </c>
      <c r="L1142" s="336">
        <v>116.9350018889961</v>
      </c>
      <c r="M1142" s="336"/>
    </row>
    <row r="1143" spans="1:13" hidden="1" outlineLevel="2" x14ac:dyDescent="0.35">
      <c r="A1143" s="339" t="s">
        <v>194</v>
      </c>
      <c r="B1143" s="331">
        <v>43881</v>
      </c>
      <c r="C1143" s="332" t="s">
        <v>1741</v>
      </c>
      <c r="D1143" s="332" t="s">
        <v>1742</v>
      </c>
      <c r="E1143" s="332" t="s">
        <v>758</v>
      </c>
      <c r="F1143" s="336">
        <v>256776</v>
      </c>
      <c r="G1143" s="330" t="s">
        <v>236</v>
      </c>
      <c r="H1143" s="329">
        <v>238.56036424346851</v>
      </c>
      <c r="I1143" s="336">
        <v>59.640091060867128</v>
      </c>
      <c r="J1143" s="336">
        <v>59.640091060867128</v>
      </c>
      <c r="K1143" s="336">
        <v>59.640091060867128</v>
      </c>
      <c r="L1143" s="336">
        <v>59.640091060867128</v>
      </c>
      <c r="M1143" s="336"/>
    </row>
    <row r="1144" spans="1:13" hidden="1" outlineLevel="2" x14ac:dyDescent="0.35">
      <c r="A1144" s="339" t="s">
        <v>194</v>
      </c>
      <c r="B1144" s="331">
        <v>43881</v>
      </c>
      <c r="C1144" s="332" t="s">
        <v>1071</v>
      </c>
      <c r="D1144" s="332" t="s">
        <v>1745</v>
      </c>
      <c r="E1144" s="332" t="s">
        <v>758</v>
      </c>
      <c r="F1144" s="336">
        <v>920156</v>
      </c>
      <c r="G1144" s="330" t="s">
        <v>236</v>
      </c>
      <c r="H1144" s="329">
        <v>854.88032573454302</v>
      </c>
      <c r="I1144" s="336">
        <v>213.72008143363576</v>
      </c>
      <c r="J1144" s="336">
        <v>213.72008143363576</v>
      </c>
      <c r="K1144" s="336">
        <v>213.72008143363576</v>
      </c>
      <c r="L1144" s="336">
        <v>213.72008143363576</v>
      </c>
      <c r="M1144" s="336"/>
    </row>
    <row r="1145" spans="1:13" hidden="1" outlineLevel="2" x14ac:dyDescent="0.35">
      <c r="A1145" s="339" t="s">
        <v>194</v>
      </c>
      <c r="B1145" s="331">
        <v>43910</v>
      </c>
      <c r="C1145" s="332" t="s">
        <v>474</v>
      </c>
      <c r="D1145" s="332" t="s">
        <v>1746</v>
      </c>
      <c r="E1145" s="332" t="s">
        <v>758</v>
      </c>
      <c r="F1145" s="336">
        <v>253229</v>
      </c>
      <c r="G1145" s="330" t="s">
        <v>236</v>
      </c>
      <c r="H1145" s="329">
        <v>235.26498768190675</v>
      </c>
      <c r="I1145" s="336">
        <v>58.816246920476686</v>
      </c>
      <c r="J1145" s="336">
        <v>58.816246920476686</v>
      </c>
      <c r="K1145" s="336">
        <v>58.816246920476686</v>
      </c>
      <c r="L1145" s="336">
        <v>58.816246920476686</v>
      </c>
      <c r="M1145" s="336"/>
    </row>
    <row r="1146" spans="1:13" hidden="1" outlineLevel="2" x14ac:dyDescent="0.35">
      <c r="A1146" s="339" t="s">
        <v>194</v>
      </c>
      <c r="B1146" s="331">
        <v>43910</v>
      </c>
      <c r="C1146" s="332" t="s">
        <v>477</v>
      </c>
      <c r="D1146" s="332" t="s">
        <v>1747</v>
      </c>
      <c r="E1146" s="332" t="s">
        <v>758</v>
      </c>
      <c r="F1146" s="336">
        <v>923703</v>
      </c>
      <c r="G1146" s="330" t="s">
        <v>236</v>
      </c>
      <c r="H1146" s="329">
        <v>858.17570229610476</v>
      </c>
      <c r="I1146" s="336">
        <v>214.54392557402619</v>
      </c>
      <c r="J1146" s="336">
        <v>214.54392557402619</v>
      </c>
      <c r="K1146" s="336">
        <v>214.54392557402619</v>
      </c>
      <c r="L1146" s="336">
        <v>214.54392557402619</v>
      </c>
      <c r="M1146" s="336"/>
    </row>
    <row r="1147" spans="1:13" hidden="1" outlineLevel="2" x14ac:dyDescent="0.35">
      <c r="A1147" s="339" t="s">
        <v>194</v>
      </c>
      <c r="B1147" s="331">
        <v>43941</v>
      </c>
      <c r="C1147" s="332" t="s">
        <v>479</v>
      </c>
      <c r="D1147" s="332" t="s">
        <v>1748</v>
      </c>
      <c r="E1147" s="332" t="s">
        <v>758</v>
      </c>
      <c r="F1147" s="336">
        <v>253229</v>
      </c>
      <c r="G1147" s="330" t="s">
        <v>236</v>
      </c>
      <c r="H1147" s="329">
        <v>235.26498768190675</v>
      </c>
      <c r="I1147" s="336">
        <v>58.816246920476686</v>
      </c>
      <c r="J1147" s="336">
        <v>58.816246920476686</v>
      </c>
      <c r="K1147" s="336">
        <v>58.816246920476686</v>
      </c>
      <c r="L1147" s="336">
        <v>58.816246920476686</v>
      </c>
      <c r="M1147" s="336"/>
    </row>
    <row r="1148" spans="1:13" hidden="1" outlineLevel="2" x14ac:dyDescent="0.35">
      <c r="A1148" s="339" t="s">
        <v>194</v>
      </c>
      <c r="B1148" s="331">
        <v>43941</v>
      </c>
      <c r="C1148" s="332" t="s">
        <v>481</v>
      </c>
      <c r="D1148" s="332" t="s">
        <v>1749</v>
      </c>
      <c r="E1148" s="332" t="s">
        <v>758</v>
      </c>
      <c r="F1148" s="336">
        <v>923703</v>
      </c>
      <c r="G1148" s="330" t="s">
        <v>236</v>
      </c>
      <c r="H1148" s="329">
        <v>858.17570229610476</v>
      </c>
      <c r="I1148" s="336">
        <v>214.54392557402619</v>
      </c>
      <c r="J1148" s="336">
        <v>214.54392557402619</v>
      </c>
      <c r="K1148" s="336">
        <v>214.54392557402619</v>
      </c>
      <c r="L1148" s="336">
        <v>214.54392557402619</v>
      </c>
      <c r="M1148" s="336"/>
    </row>
    <row r="1149" spans="1:13" hidden="1" outlineLevel="2" x14ac:dyDescent="0.35">
      <c r="A1149" s="339" t="s">
        <v>194</v>
      </c>
      <c r="B1149" s="331">
        <v>43783</v>
      </c>
      <c r="C1149" s="332" t="s">
        <v>1663</v>
      </c>
      <c r="D1149" s="332" t="s">
        <v>1750</v>
      </c>
      <c r="E1149" s="332" t="s">
        <v>1751</v>
      </c>
      <c r="F1149" s="336">
        <v>915156</v>
      </c>
      <c r="G1149" s="330" t="s">
        <v>236</v>
      </c>
      <c r="H1149" s="329">
        <v>901.01449199216404</v>
      </c>
      <c r="I1149" s="336">
        <v>225.25362299804101</v>
      </c>
      <c r="J1149" s="336">
        <v>225.25362299804101</v>
      </c>
      <c r="K1149" s="336">
        <v>225.25362299804101</v>
      </c>
      <c r="L1149" s="336">
        <v>225.25362299804101</v>
      </c>
      <c r="M1149" s="336"/>
    </row>
    <row r="1150" spans="1:13" hidden="1" outlineLevel="2" x14ac:dyDescent="0.35">
      <c r="A1150" s="339" t="s">
        <v>194</v>
      </c>
      <c r="B1150" s="331">
        <v>43783</v>
      </c>
      <c r="C1150" s="332" t="s">
        <v>1663</v>
      </c>
      <c r="D1150" s="332" t="s">
        <v>1752</v>
      </c>
      <c r="E1150" s="332" t="s">
        <v>1751</v>
      </c>
      <c r="F1150" s="336">
        <v>261776</v>
      </c>
      <c r="G1150" s="330" t="s">
        <v>236</v>
      </c>
      <c r="H1150" s="329">
        <v>257.73088922078938</v>
      </c>
      <c r="I1150" s="336">
        <v>64.432722305197345</v>
      </c>
      <c r="J1150" s="336">
        <v>64.432722305197345</v>
      </c>
      <c r="K1150" s="336">
        <v>64.432722305197345</v>
      </c>
      <c r="L1150" s="336">
        <v>64.432722305197345</v>
      </c>
      <c r="M1150" s="336"/>
    </row>
    <row r="1151" spans="1:13" hidden="1" outlineLevel="2" x14ac:dyDescent="0.35">
      <c r="A1151" s="339" t="s">
        <v>194</v>
      </c>
      <c r="B1151" s="331">
        <v>43817</v>
      </c>
      <c r="C1151" s="332" t="s">
        <v>1753</v>
      </c>
      <c r="D1151" s="332" t="s">
        <v>1754</v>
      </c>
      <c r="E1151" s="332" t="s">
        <v>1751</v>
      </c>
      <c r="F1151" s="336">
        <v>397668</v>
      </c>
      <c r="G1151" s="330" t="s">
        <v>236</v>
      </c>
      <c r="H1151" s="329">
        <v>391.5230091935581</v>
      </c>
      <c r="I1151" s="336">
        <v>97.880752298389524</v>
      </c>
      <c r="J1151" s="336">
        <v>97.880752298389524</v>
      </c>
      <c r="K1151" s="336">
        <v>97.880752298389524</v>
      </c>
      <c r="L1151" s="336">
        <v>97.880752298389524</v>
      </c>
      <c r="M1151" s="336"/>
    </row>
    <row r="1152" spans="1:13" hidden="1" outlineLevel="2" x14ac:dyDescent="0.35">
      <c r="A1152" s="339" t="s">
        <v>194</v>
      </c>
      <c r="B1152" s="331">
        <v>43817</v>
      </c>
      <c r="C1152" s="332" t="s">
        <v>1755</v>
      </c>
      <c r="D1152" s="332" t="s">
        <v>1756</v>
      </c>
      <c r="E1152" s="332" t="s">
        <v>1751</v>
      </c>
      <c r="F1152" s="336">
        <v>1063728</v>
      </c>
      <c r="G1152" s="330" t="s">
        <v>236</v>
      </c>
      <c r="H1152" s="329">
        <v>1047.2906734347375</v>
      </c>
      <c r="I1152" s="336">
        <v>261.82266835868438</v>
      </c>
      <c r="J1152" s="336">
        <v>261.82266835868438</v>
      </c>
      <c r="K1152" s="336">
        <v>261.82266835868438</v>
      </c>
      <c r="L1152" s="336">
        <v>261.82266835868438</v>
      </c>
      <c r="M1152" s="336"/>
    </row>
    <row r="1153" spans="1:13" hidden="1" outlineLevel="2" x14ac:dyDescent="0.35">
      <c r="A1153" s="339" t="s">
        <v>194</v>
      </c>
      <c r="B1153" s="331">
        <v>43817</v>
      </c>
      <c r="C1153" s="332" t="s">
        <v>824</v>
      </c>
      <c r="D1153" s="332" t="s">
        <v>1757</v>
      </c>
      <c r="E1153" s="332" t="s">
        <v>1751</v>
      </c>
      <c r="F1153" s="336">
        <v>260776</v>
      </c>
      <c r="G1153" s="330" t="s">
        <v>236</v>
      </c>
      <c r="H1153" s="329">
        <v>256.74634178626218</v>
      </c>
      <c r="I1153" s="336">
        <v>64.186585446565545</v>
      </c>
      <c r="J1153" s="336">
        <v>64.186585446565545</v>
      </c>
      <c r="K1153" s="336">
        <v>64.186585446565545</v>
      </c>
      <c r="L1153" s="336">
        <v>64.186585446565545</v>
      </c>
      <c r="M1153" s="336"/>
    </row>
    <row r="1154" spans="1:13" outlineLevel="1" collapsed="1" x14ac:dyDescent="0.35">
      <c r="A1154" s="343" t="s">
        <v>1758</v>
      </c>
      <c r="B1154" s="331"/>
      <c r="C1154" s="332"/>
      <c r="D1154" s="332"/>
      <c r="E1154" s="332"/>
      <c r="F1154" s="336"/>
      <c r="G1154" s="330"/>
      <c r="H1154" s="329">
        <f t="shared" ref="H1154:M1154" si="47">SUBTOTAL(9,H1141:H1153)</f>
        <v>6844.6440881972667</v>
      </c>
      <c r="I1154" s="336">
        <f t="shared" si="47"/>
        <v>1711.1610220493167</v>
      </c>
      <c r="J1154" s="336">
        <f t="shared" si="47"/>
        <v>1711.1610220493167</v>
      </c>
      <c r="K1154" s="336">
        <f t="shared" si="47"/>
        <v>1711.1610220493167</v>
      </c>
      <c r="L1154" s="336">
        <f t="shared" si="47"/>
        <v>1711.1610220493167</v>
      </c>
      <c r="M1154" s="336">
        <f t="shared" si="47"/>
        <v>0</v>
      </c>
    </row>
    <row r="1155" spans="1:13" hidden="1" outlineLevel="2" x14ac:dyDescent="0.35">
      <c r="A1155" s="339" t="s">
        <v>193</v>
      </c>
      <c r="B1155" s="331">
        <v>43847</v>
      </c>
      <c r="C1155" s="332" t="s">
        <v>1741</v>
      </c>
      <c r="D1155" s="332" t="s">
        <v>1759</v>
      </c>
      <c r="E1155" s="332" t="s">
        <v>1760</v>
      </c>
      <c r="F1155" s="336">
        <v>398560</v>
      </c>
      <c r="G1155" s="330" t="s">
        <v>236</v>
      </c>
      <c r="H1155" s="329">
        <v>370.28623692586854</v>
      </c>
      <c r="I1155" s="336">
        <v>92.571559231467134</v>
      </c>
      <c r="J1155" s="336">
        <v>92.571559231467134</v>
      </c>
      <c r="K1155" s="336">
        <v>92.571559231467134</v>
      </c>
      <c r="L1155" s="336">
        <v>92.571559231467134</v>
      </c>
      <c r="M1155" s="336"/>
    </row>
    <row r="1156" spans="1:13" hidden="1" outlineLevel="2" x14ac:dyDescent="0.35">
      <c r="A1156" s="339" t="s">
        <v>193</v>
      </c>
      <c r="B1156" s="331">
        <v>43847</v>
      </c>
      <c r="C1156" s="332" t="s">
        <v>1743</v>
      </c>
      <c r="D1156" s="332" t="s">
        <v>1761</v>
      </c>
      <c r="E1156" s="332" t="s">
        <v>1760</v>
      </c>
      <c r="F1156" s="336">
        <v>274429</v>
      </c>
      <c r="G1156" s="330" t="s">
        <v>236</v>
      </c>
      <c r="H1156" s="329">
        <v>254.96106411413382</v>
      </c>
      <c r="I1156" s="336">
        <v>63.740266028533455</v>
      </c>
      <c r="J1156" s="336">
        <v>63.740266028533455</v>
      </c>
      <c r="K1156" s="336">
        <v>63.740266028533455</v>
      </c>
      <c r="L1156" s="336">
        <v>63.740266028533455</v>
      </c>
      <c r="M1156" s="336"/>
    </row>
    <row r="1157" spans="1:13" hidden="1" outlineLevel="2" x14ac:dyDescent="0.35">
      <c r="A1157" s="339" t="s">
        <v>193</v>
      </c>
      <c r="B1157" s="331">
        <v>43881</v>
      </c>
      <c r="C1157" s="332" t="s">
        <v>1060</v>
      </c>
      <c r="D1157" s="332" t="s">
        <v>1762</v>
      </c>
      <c r="E1157" s="332" t="s">
        <v>1760</v>
      </c>
      <c r="F1157" s="336">
        <v>266560</v>
      </c>
      <c r="G1157" s="330" t="s">
        <v>236</v>
      </c>
      <c r="H1157" s="329">
        <v>247.65028932898312</v>
      </c>
      <c r="I1157" s="336">
        <v>61.91257233224578</v>
      </c>
      <c r="J1157" s="336">
        <v>61.91257233224578</v>
      </c>
      <c r="K1157" s="336">
        <v>61.91257233224578</v>
      </c>
      <c r="L1157" s="336">
        <v>61.91257233224578</v>
      </c>
      <c r="M1157" s="336"/>
    </row>
    <row r="1158" spans="1:13" hidden="1" outlineLevel="2" x14ac:dyDescent="0.35">
      <c r="A1158" s="339" t="s">
        <v>193</v>
      </c>
      <c r="B1158" s="331">
        <v>43881</v>
      </c>
      <c r="C1158" s="332" t="s">
        <v>1071</v>
      </c>
      <c r="D1158" s="332" t="s">
        <v>1763</v>
      </c>
      <c r="E1158" s="332" t="s">
        <v>1760</v>
      </c>
      <c r="F1158" s="336">
        <v>273429</v>
      </c>
      <c r="G1158" s="330" t="s">
        <v>236</v>
      </c>
      <c r="H1158" s="329">
        <v>254.03200390506649</v>
      </c>
      <c r="I1158" s="336">
        <v>63.508000976266622</v>
      </c>
      <c r="J1158" s="336">
        <v>63.508000976266622</v>
      </c>
      <c r="K1158" s="336">
        <v>63.508000976266622</v>
      </c>
      <c r="L1158" s="336">
        <v>63.508000976266622</v>
      </c>
      <c r="M1158" s="336"/>
    </row>
    <row r="1159" spans="1:13" hidden="1" outlineLevel="2" x14ac:dyDescent="0.35">
      <c r="A1159" s="339" t="s">
        <v>193</v>
      </c>
      <c r="B1159" s="331">
        <v>43910</v>
      </c>
      <c r="C1159" s="332" t="s">
        <v>474</v>
      </c>
      <c r="D1159" s="332" t="s">
        <v>1764</v>
      </c>
      <c r="E1159" s="332" t="s">
        <v>1760</v>
      </c>
      <c r="F1159" s="336">
        <v>263497</v>
      </c>
      <c r="G1159" s="330" t="s">
        <v>236</v>
      </c>
      <c r="H1159" s="329">
        <v>244.80457790860993</v>
      </c>
      <c r="I1159" s="336">
        <v>61.201144477152482</v>
      </c>
      <c r="J1159" s="336">
        <v>61.201144477152482</v>
      </c>
      <c r="K1159" s="336">
        <v>61.201144477152482</v>
      </c>
      <c r="L1159" s="336">
        <v>61.201144477152482</v>
      </c>
      <c r="M1159" s="336"/>
    </row>
    <row r="1160" spans="1:13" hidden="1" outlineLevel="2" x14ac:dyDescent="0.35">
      <c r="A1160" s="339" t="s">
        <v>193</v>
      </c>
      <c r="B1160" s="331">
        <v>43910</v>
      </c>
      <c r="C1160" s="332" t="s">
        <v>477</v>
      </c>
      <c r="D1160" s="332" t="s">
        <v>1765</v>
      </c>
      <c r="E1160" s="332" t="s">
        <v>1760</v>
      </c>
      <c r="F1160" s="336">
        <v>409492</v>
      </c>
      <c r="G1160" s="330" t="s">
        <v>236</v>
      </c>
      <c r="H1160" s="329">
        <v>380.44272313139237</v>
      </c>
      <c r="I1160" s="336">
        <v>95.110680782848092</v>
      </c>
      <c r="J1160" s="336">
        <v>95.110680782848092</v>
      </c>
      <c r="K1160" s="336">
        <v>95.110680782848092</v>
      </c>
      <c r="L1160" s="336">
        <v>95.110680782848092</v>
      </c>
      <c r="M1160" s="336"/>
    </row>
    <row r="1161" spans="1:13" outlineLevel="1" collapsed="1" x14ac:dyDescent="0.35">
      <c r="A1161" s="343" t="s">
        <v>1766</v>
      </c>
      <c r="B1161" s="331"/>
      <c r="C1161" s="332"/>
      <c r="D1161" s="332"/>
      <c r="E1161" s="332"/>
      <c r="F1161" s="336"/>
      <c r="G1161" s="330"/>
      <c r="H1161" s="329">
        <f t="shared" ref="H1161:M1161" si="48">SUBTOTAL(9,H1155:H1160)</f>
        <v>1752.1768953140543</v>
      </c>
      <c r="I1161" s="336">
        <f t="shared" si="48"/>
        <v>438.04422382851357</v>
      </c>
      <c r="J1161" s="336">
        <f t="shared" si="48"/>
        <v>438.04422382851357</v>
      </c>
      <c r="K1161" s="336">
        <f t="shared" si="48"/>
        <v>438.04422382851357</v>
      </c>
      <c r="L1161" s="336">
        <f t="shared" si="48"/>
        <v>438.04422382851357</v>
      </c>
      <c r="M1161" s="336">
        <f t="shared" si="48"/>
        <v>0</v>
      </c>
    </row>
    <row r="1162" spans="1:13" hidden="1" outlineLevel="2" x14ac:dyDescent="0.35">
      <c r="A1162" s="339" t="s">
        <v>198</v>
      </c>
      <c r="B1162" s="331">
        <v>43847</v>
      </c>
      <c r="C1162" s="332" t="s">
        <v>1741</v>
      </c>
      <c r="D1162" s="332" t="s">
        <v>1767</v>
      </c>
      <c r="E1162" s="332" t="s">
        <v>1768</v>
      </c>
      <c r="F1162" s="336">
        <v>960188</v>
      </c>
      <c r="G1162" s="330" t="s">
        <v>236</v>
      </c>
      <c r="H1162" s="329">
        <v>892.0724640239257</v>
      </c>
      <c r="I1162" s="336">
        <v>223.01811600598143</v>
      </c>
      <c r="J1162" s="336">
        <v>223.01811600598143</v>
      </c>
      <c r="K1162" s="336">
        <v>223.01811600598143</v>
      </c>
      <c r="L1162" s="336">
        <v>223.01811600598143</v>
      </c>
      <c r="M1162" s="336"/>
    </row>
    <row r="1163" spans="1:13" hidden="1" outlineLevel="2" x14ac:dyDescent="0.35">
      <c r="A1163" s="339" t="s">
        <v>198</v>
      </c>
      <c r="B1163" s="331">
        <v>43847</v>
      </c>
      <c r="C1163" s="332" t="s">
        <v>1743</v>
      </c>
      <c r="D1163" s="332" t="s">
        <v>1769</v>
      </c>
      <c r="E1163" s="332" t="s">
        <v>1768</v>
      </c>
      <c r="F1163" s="336">
        <v>707352</v>
      </c>
      <c r="G1163" s="330" t="s">
        <v>236</v>
      </c>
      <c r="H1163" s="329">
        <v>657.17259700418242</v>
      </c>
      <c r="I1163" s="336">
        <v>164.29314925104561</v>
      </c>
      <c r="J1163" s="336">
        <v>164.29314925104561</v>
      </c>
      <c r="K1163" s="336">
        <v>164.29314925104561</v>
      </c>
      <c r="L1163" s="336">
        <v>164.29314925104561</v>
      </c>
      <c r="M1163" s="336"/>
    </row>
    <row r="1164" spans="1:13" hidden="1" outlineLevel="2" x14ac:dyDescent="0.35">
      <c r="A1164" s="339" t="s">
        <v>198</v>
      </c>
      <c r="B1164" s="331">
        <v>43881</v>
      </c>
      <c r="C1164" s="332" t="s">
        <v>1060</v>
      </c>
      <c r="D1164" s="332" t="s">
        <v>1770</v>
      </c>
      <c r="E1164" s="332" t="s">
        <v>1768</v>
      </c>
      <c r="F1164" s="336">
        <v>960188</v>
      </c>
      <c r="G1164" s="330" t="s">
        <v>236</v>
      </c>
      <c r="H1164" s="329">
        <v>892.0724640239257</v>
      </c>
      <c r="I1164" s="336">
        <v>223.01811600598143</v>
      </c>
      <c r="J1164" s="336">
        <v>223.01811600598143</v>
      </c>
      <c r="K1164" s="336">
        <v>223.01811600598143</v>
      </c>
      <c r="L1164" s="336">
        <v>223.01811600598143</v>
      </c>
      <c r="M1164" s="336"/>
    </row>
    <row r="1165" spans="1:13" hidden="1" outlineLevel="2" x14ac:dyDescent="0.35">
      <c r="A1165" s="339" t="s">
        <v>198</v>
      </c>
      <c r="B1165" s="331">
        <v>43881</v>
      </c>
      <c r="C1165" s="332" t="s">
        <v>1071</v>
      </c>
      <c r="D1165" s="332" t="s">
        <v>1771</v>
      </c>
      <c r="E1165" s="332" t="s">
        <v>1768</v>
      </c>
      <c r="F1165" s="336">
        <v>696472</v>
      </c>
      <c r="G1165" s="330" t="s">
        <v>236</v>
      </c>
      <c r="H1165" s="329">
        <v>647.06442192953</v>
      </c>
      <c r="I1165" s="336">
        <v>161.7661054823825</v>
      </c>
      <c r="J1165" s="336">
        <v>161.7661054823825</v>
      </c>
      <c r="K1165" s="336">
        <v>161.7661054823825</v>
      </c>
      <c r="L1165" s="336">
        <v>161.7661054823825</v>
      </c>
      <c r="M1165" s="336"/>
    </row>
    <row r="1166" spans="1:13" hidden="1" outlineLevel="2" x14ac:dyDescent="0.35">
      <c r="A1166" s="339" t="s">
        <v>198</v>
      </c>
      <c r="B1166" s="331">
        <v>43910</v>
      </c>
      <c r="C1166" s="332" t="s">
        <v>474</v>
      </c>
      <c r="D1166" s="332" t="s">
        <v>1772</v>
      </c>
      <c r="E1166" s="332" t="s">
        <v>1768</v>
      </c>
      <c r="F1166" s="336">
        <v>955227</v>
      </c>
      <c r="G1166" s="330" t="s">
        <v>236</v>
      </c>
      <c r="H1166" s="329">
        <v>887.46339632674278</v>
      </c>
      <c r="I1166" s="336">
        <v>221.8658490816857</v>
      </c>
      <c r="J1166" s="336">
        <v>221.8658490816857</v>
      </c>
      <c r="K1166" s="336">
        <v>221.8658490816857</v>
      </c>
      <c r="L1166" s="336">
        <v>221.8658490816857</v>
      </c>
      <c r="M1166" s="336"/>
    </row>
    <row r="1167" spans="1:13" hidden="1" outlineLevel="2" x14ac:dyDescent="0.35">
      <c r="A1167" s="339" t="s">
        <v>198</v>
      </c>
      <c r="B1167" s="331">
        <v>43910</v>
      </c>
      <c r="C1167" s="332" t="s">
        <v>477</v>
      </c>
      <c r="D1167" s="332" t="s">
        <v>1773</v>
      </c>
      <c r="E1167" s="332" t="s">
        <v>1768</v>
      </c>
      <c r="F1167" s="336">
        <v>701433</v>
      </c>
      <c r="G1167" s="330" t="s">
        <v>236</v>
      </c>
      <c r="H1167" s="329">
        <v>651.67348962671304</v>
      </c>
      <c r="I1167" s="336">
        <v>162.91837240667826</v>
      </c>
      <c r="J1167" s="336">
        <v>162.91837240667826</v>
      </c>
      <c r="K1167" s="336">
        <v>162.91837240667826</v>
      </c>
      <c r="L1167" s="336">
        <v>162.91837240667826</v>
      </c>
      <c r="M1167" s="336"/>
    </row>
    <row r="1168" spans="1:13" hidden="1" outlineLevel="2" x14ac:dyDescent="0.35">
      <c r="A1168" s="339" t="s">
        <v>198</v>
      </c>
      <c r="B1168" s="331">
        <v>43941</v>
      </c>
      <c r="C1168" s="332" t="s">
        <v>479</v>
      </c>
      <c r="D1168" s="332" t="s">
        <v>1774</v>
      </c>
      <c r="E1168" s="332" t="s">
        <v>1768</v>
      </c>
      <c r="F1168" s="336">
        <v>955227</v>
      </c>
      <c r="G1168" s="330" t="s">
        <v>236</v>
      </c>
      <c r="H1168" s="329">
        <v>887.46339632674278</v>
      </c>
      <c r="I1168" s="336">
        <v>221.8658490816857</v>
      </c>
      <c r="J1168" s="336">
        <v>221.8658490816857</v>
      </c>
      <c r="K1168" s="336">
        <v>221.8658490816857</v>
      </c>
      <c r="L1168" s="336">
        <v>221.8658490816857</v>
      </c>
      <c r="M1168" s="336"/>
    </row>
    <row r="1169" spans="1:13" hidden="1" outlineLevel="2" x14ac:dyDescent="0.35">
      <c r="A1169" s="339" t="s">
        <v>198</v>
      </c>
      <c r="B1169" s="331">
        <v>43941</v>
      </c>
      <c r="C1169" s="332" t="s">
        <v>481</v>
      </c>
      <c r="D1169" s="332" t="s">
        <v>1775</v>
      </c>
      <c r="E1169" s="332" t="s">
        <v>1768</v>
      </c>
      <c r="F1169" s="336">
        <v>701433</v>
      </c>
      <c r="G1169" s="330" t="s">
        <v>236</v>
      </c>
      <c r="H1169" s="329">
        <v>651.67348962671304</v>
      </c>
      <c r="I1169" s="336">
        <v>162.91837240667826</v>
      </c>
      <c r="J1169" s="336">
        <v>162.91837240667826</v>
      </c>
      <c r="K1169" s="336">
        <v>162.91837240667826</v>
      </c>
      <c r="L1169" s="336">
        <v>162.91837240667826</v>
      </c>
      <c r="M1169" s="336"/>
    </row>
    <row r="1170" spans="1:13" outlineLevel="1" collapsed="1" x14ac:dyDescent="0.35">
      <c r="A1170" s="343" t="s">
        <v>1776</v>
      </c>
      <c r="B1170" s="331"/>
      <c r="C1170" s="332"/>
      <c r="D1170" s="332"/>
      <c r="E1170" s="332"/>
      <c r="F1170" s="336"/>
      <c r="G1170" s="330"/>
      <c r="H1170" s="329">
        <f t="shared" ref="H1170:M1170" si="49">SUBTOTAL(9,H1162:H1169)</f>
        <v>6166.6557188884744</v>
      </c>
      <c r="I1170" s="336">
        <f t="shared" si="49"/>
        <v>1541.6639297221186</v>
      </c>
      <c r="J1170" s="336">
        <f t="shared" si="49"/>
        <v>1541.6639297221186</v>
      </c>
      <c r="K1170" s="336">
        <f t="shared" si="49"/>
        <v>1541.6639297221186</v>
      </c>
      <c r="L1170" s="336">
        <f t="shared" si="49"/>
        <v>1541.6639297221186</v>
      </c>
      <c r="M1170" s="336">
        <f t="shared" si="49"/>
        <v>0</v>
      </c>
    </row>
    <row r="1171" spans="1:13" hidden="1" outlineLevel="2" x14ac:dyDescent="0.35">
      <c r="A1171" s="339" t="s">
        <v>197</v>
      </c>
      <c r="B1171" s="331">
        <v>43847</v>
      </c>
      <c r="C1171" s="332" t="s">
        <v>1741</v>
      </c>
      <c r="D1171" s="332" t="s">
        <v>1777</v>
      </c>
      <c r="E1171" s="332" t="s">
        <v>1778</v>
      </c>
      <c r="F1171" s="336">
        <v>974608</v>
      </c>
      <c r="G1171" s="330" t="s">
        <v>236</v>
      </c>
      <c r="H1171" s="329">
        <v>905.46951223867643</v>
      </c>
      <c r="I1171" s="336">
        <v>226.36737805966911</v>
      </c>
      <c r="J1171" s="336">
        <v>226.36737805966911</v>
      </c>
      <c r="K1171" s="336">
        <v>226.36737805966911</v>
      </c>
      <c r="L1171" s="336">
        <v>226.36737805966911</v>
      </c>
      <c r="M1171" s="336"/>
    </row>
    <row r="1172" spans="1:13" hidden="1" outlineLevel="2" x14ac:dyDescent="0.35">
      <c r="A1172" s="339" t="s">
        <v>197</v>
      </c>
      <c r="B1172" s="331">
        <v>43847</v>
      </c>
      <c r="C1172" s="332" t="s">
        <v>1743</v>
      </c>
      <c r="D1172" s="332" t="s">
        <v>1779</v>
      </c>
      <c r="E1172" s="332" t="s">
        <v>1778</v>
      </c>
      <c r="F1172" s="336">
        <v>696472</v>
      </c>
      <c r="G1172" s="330" t="s">
        <v>236</v>
      </c>
      <c r="H1172" s="329">
        <v>647.06442192953</v>
      </c>
      <c r="I1172" s="336">
        <v>161.7661054823825</v>
      </c>
      <c r="J1172" s="336">
        <v>161.7661054823825</v>
      </c>
      <c r="K1172" s="336">
        <v>161.7661054823825</v>
      </c>
      <c r="L1172" s="336">
        <v>161.7661054823825</v>
      </c>
      <c r="M1172" s="336"/>
    </row>
    <row r="1173" spans="1:13" hidden="1" outlineLevel="2" x14ac:dyDescent="0.35">
      <c r="A1173" s="339" t="s">
        <v>197</v>
      </c>
      <c r="B1173" s="331">
        <v>43881</v>
      </c>
      <c r="C1173" s="332" t="s">
        <v>1741</v>
      </c>
      <c r="D1173" s="332" t="s">
        <v>1777</v>
      </c>
      <c r="E1173" s="332" t="s">
        <v>1778</v>
      </c>
      <c r="F1173" s="336">
        <v>972608</v>
      </c>
      <c r="G1173" s="330" t="s">
        <v>236</v>
      </c>
      <c r="H1173" s="329">
        <v>903.61139182054171</v>
      </c>
      <c r="I1173" s="336">
        <v>225.90284795513543</v>
      </c>
      <c r="J1173" s="336">
        <v>225.90284795513543</v>
      </c>
      <c r="K1173" s="336">
        <v>225.90284795513543</v>
      </c>
      <c r="L1173" s="336">
        <v>225.90284795513543</v>
      </c>
      <c r="M1173" s="336"/>
    </row>
    <row r="1174" spans="1:13" hidden="1" outlineLevel="2" x14ac:dyDescent="0.35">
      <c r="A1174" s="339" t="s">
        <v>197</v>
      </c>
      <c r="B1174" s="331">
        <v>43881</v>
      </c>
      <c r="C1174" s="332" t="s">
        <v>1071</v>
      </c>
      <c r="D1174" s="332" t="s">
        <v>1780</v>
      </c>
      <c r="E1174" s="332" t="s">
        <v>1778</v>
      </c>
      <c r="F1174" s="336">
        <v>709352</v>
      </c>
      <c r="G1174" s="330" t="s">
        <v>236</v>
      </c>
      <c r="H1174" s="329">
        <v>659.03071742231703</v>
      </c>
      <c r="I1174" s="336">
        <v>164.75767935557926</v>
      </c>
      <c r="J1174" s="336">
        <v>164.75767935557926</v>
      </c>
      <c r="K1174" s="336">
        <v>164.75767935557926</v>
      </c>
      <c r="L1174" s="336">
        <v>164.75767935557926</v>
      </c>
      <c r="M1174" s="336"/>
    </row>
    <row r="1175" spans="1:13" hidden="1" outlineLevel="2" x14ac:dyDescent="0.35">
      <c r="A1175" s="339" t="s">
        <v>197</v>
      </c>
      <c r="B1175" s="331">
        <v>43910</v>
      </c>
      <c r="C1175" s="332" t="s">
        <v>474</v>
      </c>
      <c r="D1175" s="332" t="s">
        <v>1781</v>
      </c>
      <c r="E1175" s="332" t="s">
        <v>1778</v>
      </c>
      <c r="F1175" s="336">
        <v>957073</v>
      </c>
      <c r="G1175" s="330" t="s">
        <v>236</v>
      </c>
      <c r="H1175" s="329">
        <v>889.17844147268102</v>
      </c>
      <c r="I1175" s="336">
        <v>222.29461036817025</v>
      </c>
      <c r="J1175" s="336">
        <v>222.29461036817025</v>
      </c>
      <c r="K1175" s="336">
        <v>222.29461036817025</v>
      </c>
      <c r="L1175" s="336">
        <v>222.29461036817025</v>
      </c>
      <c r="M1175" s="336"/>
    </row>
    <row r="1176" spans="1:13" hidden="1" outlineLevel="2" x14ac:dyDescent="0.35">
      <c r="A1176" s="339" t="s">
        <v>197</v>
      </c>
      <c r="B1176" s="331">
        <v>43910</v>
      </c>
      <c r="C1176" s="332" t="s">
        <v>477</v>
      </c>
      <c r="D1176" s="332" t="s">
        <v>1782</v>
      </c>
      <c r="E1176" s="332" t="s">
        <v>1778</v>
      </c>
      <c r="F1176" s="336">
        <v>724887</v>
      </c>
      <c r="G1176" s="330" t="s">
        <v>236</v>
      </c>
      <c r="H1176" s="329">
        <v>673.46366777017772</v>
      </c>
      <c r="I1176" s="336">
        <v>168.36591694254443</v>
      </c>
      <c r="J1176" s="336">
        <v>168.36591694254443</v>
      </c>
      <c r="K1176" s="336">
        <v>168.36591694254443</v>
      </c>
      <c r="L1176" s="336">
        <v>168.36591694254443</v>
      </c>
      <c r="M1176" s="336"/>
    </row>
    <row r="1177" spans="1:13" hidden="1" outlineLevel="2" x14ac:dyDescent="0.35">
      <c r="A1177" s="339" t="s">
        <v>197</v>
      </c>
      <c r="B1177" s="331">
        <v>43941</v>
      </c>
      <c r="C1177" s="332" t="s">
        <v>479</v>
      </c>
      <c r="D1177" s="332" t="s">
        <v>1783</v>
      </c>
      <c r="E1177" s="332" t="s">
        <v>1778</v>
      </c>
      <c r="F1177" s="336">
        <v>830573</v>
      </c>
      <c r="G1177" s="330" t="s">
        <v>236</v>
      </c>
      <c r="H1177" s="329">
        <v>771.65232502566585</v>
      </c>
      <c r="I1177" s="336">
        <v>192.91308125641646</v>
      </c>
      <c r="J1177" s="336">
        <v>192.91308125641646</v>
      </c>
      <c r="K1177" s="336">
        <v>192.91308125641646</v>
      </c>
      <c r="L1177" s="336">
        <v>192.91308125641646</v>
      </c>
      <c r="M1177" s="336"/>
    </row>
    <row r="1178" spans="1:13" hidden="1" outlineLevel="2" x14ac:dyDescent="0.35">
      <c r="A1178" s="339" t="s">
        <v>197</v>
      </c>
      <c r="B1178" s="331">
        <v>43941</v>
      </c>
      <c r="C1178" s="332" t="s">
        <v>481</v>
      </c>
      <c r="D1178" s="332" t="s">
        <v>1784</v>
      </c>
      <c r="E1178" s="332" t="s">
        <v>1778</v>
      </c>
      <c r="F1178" s="336">
        <v>851387</v>
      </c>
      <c r="G1178" s="330" t="s">
        <v>236</v>
      </c>
      <c r="H1178" s="329">
        <v>790.98978421719289</v>
      </c>
      <c r="I1178" s="336">
        <v>197.74744605429822</v>
      </c>
      <c r="J1178" s="336">
        <v>197.74744605429822</v>
      </c>
      <c r="K1178" s="336">
        <v>197.74744605429822</v>
      </c>
      <c r="L1178" s="336">
        <v>197.74744605429822</v>
      </c>
      <c r="M1178" s="336"/>
    </row>
    <row r="1179" spans="1:13" outlineLevel="1" collapsed="1" x14ac:dyDescent="0.35">
      <c r="A1179" s="343" t="s">
        <v>1785</v>
      </c>
      <c r="B1179" s="331"/>
      <c r="C1179" s="332"/>
      <c r="D1179" s="332"/>
      <c r="E1179" s="332"/>
      <c r="F1179" s="336"/>
      <c r="G1179" s="330"/>
      <c r="H1179" s="329">
        <f t="shared" ref="H1179:M1179" si="50">SUBTOTAL(9,H1171:H1178)</f>
        <v>6240.4602618967829</v>
      </c>
      <c r="I1179" s="336">
        <f t="shared" si="50"/>
        <v>1560.1150654741957</v>
      </c>
      <c r="J1179" s="336">
        <f t="shared" si="50"/>
        <v>1560.1150654741957</v>
      </c>
      <c r="K1179" s="336">
        <f t="shared" si="50"/>
        <v>1560.1150654741957</v>
      </c>
      <c r="L1179" s="336">
        <f t="shared" si="50"/>
        <v>1560.1150654741957</v>
      </c>
      <c r="M1179" s="336">
        <f t="shared" si="50"/>
        <v>0</v>
      </c>
    </row>
    <row r="1180" spans="1:13" hidden="1" outlineLevel="2" x14ac:dyDescent="0.35">
      <c r="A1180" s="339" t="s">
        <v>187</v>
      </c>
      <c r="B1180" s="331">
        <v>43847</v>
      </c>
      <c r="C1180" s="332" t="s">
        <v>1741</v>
      </c>
      <c r="D1180" s="332" t="s">
        <v>1786</v>
      </c>
      <c r="E1180" s="332" t="s">
        <v>758</v>
      </c>
      <c r="F1180" s="336">
        <v>689281</v>
      </c>
      <c r="G1180" s="330" t="s">
        <v>236</v>
      </c>
      <c r="H1180" s="329">
        <v>640.38354996612702</v>
      </c>
      <c r="I1180" s="336">
        <v>160.09588749153176</v>
      </c>
      <c r="J1180" s="336">
        <v>160.09588749153176</v>
      </c>
      <c r="K1180" s="336">
        <v>160.09588749153176</v>
      </c>
      <c r="L1180" s="336">
        <v>160.09588749153176</v>
      </c>
      <c r="M1180" s="336"/>
    </row>
    <row r="1181" spans="1:13" hidden="1" outlineLevel="2" x14ac:dyDescent="0.35">
      <c r="A1181" s="339" t="s">
        <v>187</v>
      </c>
      <c r="B1181" s="331">
        <v>43847</v>
      </c>
      <c r="C1181" s="332" t="s">
        <v>1743</v>
      </c>
      <c r="D1181" s="332" t="s">
        <v>1787</v>
      </c>
      <c r="E1181" s="332" t="s">
        <v>758</v>
      </c>
      <c r="F1181" s="336">
        <v>916156</v>
      </c>
      <c r="G1181" s="330" t="s">
        <v>236</v>
      </c>
      <c r="H1181" s="329">
        <v>851.16408489827381</v>
      </c>
      <c r="I1181" s="336">
        <v>212.79102122456845</v>
      </c>
      <c r="J1181" s="336">
        <v>212.79102122456845</v>
      </c>
      <c r="K1181" s="336">
        <v>212.79102122456845</v>
      </c>
      <c r="L1181" s="336">
        <v>212.79102122456845</v>
      </c>
      <c r="M1181" s="336"/>
    </row>
    <row r="1182" spans="1:13" hidden="1" outlineLevel="2" x14ac:dyDescent="0.35">
      <c r="A1182" s="339" t="s">
        <v>187</v>
      </c>
      <c r="B1182" s="331">
        <v>43881</v>
      </c>
      <c r="C1182" s="332" t="s">
        <v>1060</v>
      </c>
      <c r="D1182" s="332" t="s">
        <v>1788</v>
      </c>
      <c r="E1182" s="332" t="s">
        <v>758</v>
      </c>
      <c r="F1182" s="336">
        <v>688381</v>
      </c>
      <c r="G1182" s="330" t="s">
        <v>236</v>
      </c>
      <c r="H1182" s="329">
        <v>639.54739577796636</v>
      </c>
      <c r="I1182" s="336">
        <v>159.88684894449159</v>
      </c>
      <c r="J1182" s="336">
        <v>159.88684894449159</v>
      </c>
      <c r="K1182" s="336">
        <v>159.88684894449159</v>
      </c>
      <c r="L1182" s="336">
        <v>159.88684894449159</v>
      </c>
      <c r="M1182" s="336"/>
    </row>
    <row r="1183" spans="1:13" hidden="1" outlineLevel="2" x14ac:dyDescent="0.35">
      <c r="A1183" s="339" t="s">
        <v>187</v>
      </c>
      <c r="B1183" s="331">
        <v>43881</v>
      </c>
      <c r="C1183" s="332" t="s">
        <v>1071</v>
      </c>
      <c r="D1183" s="332" t="s">
        <v>1789</v>
      </c>
      <c r="E1183" s="332" t="s">
        <v>758</v>
      </c>
      <c r="F1183" s="336">
        <v>504355</v>
      </c>
      <c r="G1183" s="330" t="s">
        <v>236</v>
      </c>
      <c r="H1183" s="329">
        <v>468.57616174414494</v>
      </c>
      <c r="I1183" s="336">
        <v>117.14404043603624</v>
      </c>
      <c r="J1183" s="336">
        <v>117.14404043603624</v>
      </c>
      <c r="K1183" s="336">
        <v>117.14404043603624</v>
      </c>
      <c r="L1183" s="336">
        <v>117.14404043603624</v>
      </c>
      <c r="M1183" s="336"/>
    </row>
    <row r="1184" spans="1:13" hidden="1" outlineLevel="2" x14ac:dyDescent="0.35">
      <c r="A1184" s="339" t="s">
        <v>187</v>
      </c>
      <c r="B1184" s="331">
        <v>43910</v>
      </c>
      <c r="C1184" s="332" t="s">
        <v>474</v>
      </c>
      <c r="D1184" s="332" t="s">
        <v>1790</v>
      </c>
      <c r="E1184" s="332" t="s">
        <v>758</v>
      </c>
      <c r="F1184" s="336">
        <v>678387</v>
      </c>
      <c r="G1184" s="330" t="s">
        <v>236</v>
      </c>
      <c r="H1184" s="329">
        <v>630.26236804854773</v>
      </c>
      <c r="I1184" s="336">
        <v>157.56559201213693</v>
      </c>
      <c r="J1184" s="336">
        <v>157.56559201213693</v>
      </c>
      <c r="K1184" s="336">
        <v>157.56559201213693</v>
      </c>
      <c r="L1184" s="336">
        <v>157.56559201213693</v>
      </c>
      <c r="M1184" s="336"/>
    </row>
    <row r="1185" spans="1:13" hidden="1" outlineLevel="2" x14ac:dyDescent="0.35">
      <c r="A1185" s="339" t="s">
        <v>187</v>
      </c>
      <c r="B1185" s="331">
        <v>43910</v>
      </c>
      <c r="C1185" s="332" t="s">
        <v>477</v>
      </c>
      <c r="D1185" s="332" t="s">
        <v>1791</v>
      </c>
      <c r="E1185" s="332" t="s">
        <v>758</v>
      </c>
      <c r="F1185" s="336">
        <v>514349</v>
      </c>
      <c r="G1185" s="330" t="s">
        <v>236</v>
      </c>
      <c r="H1185" s="329">
        <v>477.86118947356368</v>
      </c>
      <c r="I1185" s="336">
        <v>119.46529736839092</v>
      </c>
      <c r="J1185" s="336">
        <v>119.46529736839092</v>
      </c>
      <c r="K1185" s="336">
        <v>119.46529736839092</v>
      </c>
      <c r="L1185" s="336">
        <v>119.46529736839092</v>
      </c>
      <c r="M1185" s="336"/>
    </row>
    <row r="1186" spans="1:13" hidden="1" outlineLevel="2" x14ac:dyDescent="0.35">
      <c r="A1186" s="339" t="s">
        <v>187</v>
      </c>
      <c r="B1186" s="331">
        <v>43941</v>
      </c>
      <c r="C1186" s="332" t="s">
        <v>479</v>
      </c>
      <c r="D1186" s="332" t="s">
        <v>1792</v>
      </c>
      <c r="E1186" s="332" t="s">
        <v>758</v>
      </c>
      <c r="F1186" s="336">
        <v>692187</v>
      </c>
      <c r="G1186" s="330" t="s">
        <v>236</v>
      </c>
      <c r="H1186" s="329">
        <v>643.08339893367656</v>
      </c>
      <c r="I1186" s="336">
        <v>160.77084973341914</v>
      </c>
      <c r="J1186" s="336">
        <v>160.77084973341914</v>
      </c>
      <c r="K1186" s="336">
        <v>160.77084973341914</v>
      </c>
      <c r="L1186" s="336">
        <v>160.77084973341914</v>
      </c>
      <c r="M1186" s="336"/>
    </row>
    <row r="1187" spans="1:13" hidden="1" outlineLevel="2" x14ac:dyDescent="0.35">
      <c r="A1187" s="339" t="s">
        <v>187</v>
      </c>
      <c r="B1187" s="331">
        <v>43941</v>
      </c>
      <c r="C1187" s="332" t="s">
        <v>481</v>
      </c>
      <c r="D1187" s="332" t="s">
        <v>1793</v>
      </c>
      <c r="E1187" s="332" t="s">
        <v>758</v>
      </c>
      <c r="F1187" s="336">
        <v>500549</v>
      </c>
      <c r="G1187" s="330" t="s">
        <v>236</v>
      </c>
      <c r="H1187" s="329">
        <v>465.04015858843474</v>
      </c>
      <c r="I1187" s="336">
        <v>116.26003964710868</v>
      </c>
      <c r="J1187" s="336">
        <v>116.26003964710868</v>
      </c>
      <c r="K1187" s="336">
        <v>116.26003964710868</v>
      </c>
      <c r="L1187" s="336">
        <v>116.26003964710868</v>
      </c>
      <c r="M1187" s="336"/>
    </row>
    <row r="1188" spans="1:13" hidden="1" outlineLevel="2" x14ac:dyDescent="0.35">
      <c r="A1188" s="339" t="s">
        <v>187</v>
      </c>
      <c r="B1188" s="331">
        <v>43977</v>
      </c>
      <c r="C1188" s="332" t="s">
        <v>381</v>
      </c>
      <c r="D1188" s="332" t="s">
        <v>1794</v>
      </c>
      <c r="E1188" s="332" t="s">
        <v>758</v>
      </c>
      <c r="F1188" s="336">
        <v>511549</v>
      </c>
      <c r="G1188" s="330" t="s">
        <v>236</v>
      </c>
      <c r="H1188" s="329">
        <v>475.25982088817523</v>
      </c>
      <c r="I1188" s="336">
        <v>118.81495522204381</v>
      </c>
      <c r="J1188" s="336">
        <v>118.81495522204381</v>
      </c>
      <c r="K1188" s="336">
        <v>118.81495522204381</v>
      </c>
      <c r="L1188" s="336">
        <v>118.81495522204381</v>
      </c>
      <c r="M1188" s="336"/>
    </row>
    <row r="1189" spans="1:13" hidden="1" outlineLevel="2" x14ac:dyDescent="0.35">
      <c r="A1189" s="339" t="s">
        <v>187</v>
      </c>
      <c r="B1189" s="331">
        <v>43977</v>
      </c>
      <c r="C1189" s="332" t="s">
        <v>484</v>
      </c>
      <c r="D1189" s="332" t="s">
        <v>1795</v>
      </c>
      <c r="E1189" s="332" t="s">
        <v>758</v>
      </c>
      <c r="F1189" s="336">
        <v>681187</v>
      </c>
      <c r="G1189" s="330" t="s">
        <v>236</v>
      </c>
      <c r="H1189" s="329">
        <v>632.86373663393613</v>
      </c>
      <c r="I1189" s="336">
        <v>158.21593415848403</v>
      </c>
      <c r="J1189" s="336">
        <v>158.21593415848403</v>
      </c>
      <c r="K1189" s="336">
        <v>158.21593415848403</v>
      </c>
      <c r="L1189" s="336">
        <v>158.21593415848403</v>
      </c>
      <c r="M1189" s="336"/>
    </row>
    <row r="1190" spans="1:13" hidden="1" outlineLevel="2" x14ac:dyDescent="0.35">
      <c r="A1190" s="339" t="s">
        <v>187</v>
      </c>
      <c r="B1190" s="331">
        <v>44001</v>
      </c>
      <c r="C1190" s="332" t="s">
        <v>486</v>
      </c>
      <c r="D1190" s="332" t="s">
        <v>1796</v>
      </c>
      <c r="E1190" s="332" t="s">
        <v>758</v>
      </c>
      <c r="F1190" s="336">
        <v>692187</v>
      </c>
      <c r="G1190" s="330" t="s">
        <v>236</v>
      </c>
      <c r="H1190" s="329">
        <v>643.08339893367656</v>
      </c>
      <c r="I1190" s="336">
        <v>160.77084973341914</v>
      </c>
      <c r="J1190" s="336">
        <v>160.77084973341914</v>
      </c>
      <c r="K1190" s="336">
        <v>160.77084973341914</v>
      </c>
      <c r="L1190" s="336">
        <v>160.77084973341914</v>
      </c>
      <c r="M1190" s="336"/>
    </row>
    <row r="1191" spans="1:13" hidden="1" outlineLevel="2" x14ac:dyDescent="0.35">
      <c r="A1191" s="339" t="s">
        <v>187</v>
      </c>
      <c r="B1191" s="331">
        <v>44001</v>
      </c>
      <c r="C1191" s="332" t="s">
        <v>488</v>
      </c>
      <c r="D1191" s="332" t="s">
        <v>1797</v>
      </c>
      <c r="E1191" s="332" t="s">
        <v>758</v>
      </c>
      <c r="F1191" s="336">
        <v>500549</v>
      </c>
      <c r="G1191" s="330" t="s">
        <v>236</v>
      </c>
      <c r="H1191" s="329">
        <v>465.04015858843474</v>
      </c>
      <c r="I1191" s="336">
        <v>116.26003964710868</v>
      </c>
      <c r="J1191" s="336">
        <v>116.26003964710868</v>
      </c>
      <c r="K1191" s="336">
        <v>116.26003964710868</v>
      </c>
      <c r="L1191" s="336">
        <v>116.26003964710868</v>
      </c>
      <c r="M1191" s="336"/>
    </row>
    <row r="1192" spans="1:13" hidden="1" outlineLevel="2" x14ac:dyDescent="0.35">
      <c r="A1192" s="339" t="s">
        <v>187</v>
      </c>
      <c r="B1192" s="331">
        <v>44001</v>
      </c>
      <c r="C1192" s="332" t="s">
        <v>490</v>
      </c>
      <c r="D1192" s="332" t="s">
        <v>1798</v>
      </c>
      <c r="E1192" s="332" t="s">
        <v>758</v>
      </c>
      <c r="F1192" s="336">
        <v>197289</v>
      </c>
      <c r="G1192" s="330" t="s">
        <v>236</v>
      </c>
      <c r="H1192" s="329">
        <v>183.29335958668125</v>
      </c>
      <c r="I1192" s="336">
        <v>45.823339896670312</v>
      </c>
      <c r="J1192" s="336">
        <v>45.823339896670312</v>
      </c>
      <c r="K1192" s="336">
        <v>45.823339896670312</v>
      </c>
      <c r="L1192" s="336">
        <v>45.823339896670312</v>
      </c>
      <c r="M1192" s="336"/>
    </row>
    <row r="1193" spans="1:13" hidden="1" outlineLevel="2" x14ac:dyDescent="0.35">
      <c r="A1193" s="339" t="s">
        <v>187</v>
      </c>
      <c r="B1193" s="331">
        <v>44001</v>
      </c>
      <c r="C1193" s="332" t="s">
        <v>492</v>
      </c>
      <c r="D1193" s="332" t="s">
        <v>1799</v>
      </c>
      <c r="E1193" s="332" t="s">
        <v>758</v>
      </c>
      <c r="F1193" s="336">
        <v>368557</v>
      </c>
      <c r="G1193" s="330" t="s">
        <v>236</v>
      </c>
      <c r="H1193" s="329">
        <v>342.41164347322189</v>
      </c>
      <c r="I1193" s="336">
        <v>85.602910868305472</v>
      </c>
      <c r="J1193" s="336">
        <v>85.602910868305472</v>
      </c>
      <c r="K1193" s="336">
        <v>85.602910868305472</v>
      </c>
      <c r="L1193" s="336">
        <v>85.602910868305472</v>
      </c>
      <c r="M1193" s="336"/>
    </row>
    <row r="1194" spans="1:13" hidden="1" outlineLevel="2" x14ac:dyDescent="0.35">
      <c r="A1194" s="339" t="s">
        <v>187</v>
      </c>
      <c r="B1194" s="331">
        <v>44012</v>
      </c>
      <c r="C1194" s="332" t="s">
        <v>1800</v>
      </c>
      <c r="D1194" s="332" t="s">
        <v>1801</v>
      </c>
      <c r="E1194" s="332" t="s">
        <v>758</v>
      </c>
      <c r="F1194" s="336">
        <v>16000</v>
      </c>
      <c r="G1194" s="330" t="s">
        <v>236</v>
      </c>
      <c r="H1194" s="329">
        <v>14.864963345077017</v>
      </c>
      <c r="I1194" s="336">
        <v>3.7162408362692543</v>
      </c>
      <c r="J1194" s="336">
        <v>3.7162408362692543</v>
      </c>
      <c r="K1194" s="336">
        <v>3.7162408362692543</v>
      </c>
      <c r="L1194" s="336">
        <v>3.7162408362692543</v>
      </c>
      <c r="M1194" s="336"/>
    </row>
    <row r="1195" spans="1:13" hidden="1" outlineLevel="2" x14ac:dyDescent="0.35">
      <c r="A1195" s="339" t="s">
        <v>187</v>
      </c>
      <c r="B1195" s="331">
        <v>44035</v>
      </c>
      <c r="C1195" s="332" t="s">
        <v>494</v>
      </c>
      <c r="D1195" s="332" t="s">
        <v>1802</v>
      </c>
      <c r="E1195" s="332" t="s">
        <v>758</v>
      </c>
      <c r="F1195" s="336">
        <v>719238</v>
      </c>
      <c r="G1195" s="330" t="s">
        <v>236</v>
      </c>
      <c r="H1195" s="329">
        <v>668.21540664915653</v>
      </c>
      <c r="I1195" s="336">
        <v>167.05385166228913</v>
      </c>
      <c r="J1195" s="336">
        <v>167.05385166228913</v>
      </c>
      <c r="K1195" s="336">
        <v>167.05385166228913</v>
      </c>
      <c r="L1195" s="336">
        <v>167.05385166228913</v>
      </c>
      <c r="M1195" s="336"/>
    </row>
    <row r="1196" spans="1:13" hidden="1" outlineLevel="2" x14ac:dyDescent="0.35">
      <c r="A1196" s="339" t="s">
        <v>187</v>
      </c>
      <c r="B1196" s="331">
        <v>44035</v>
      </c>
      <c r="C1196" s="332" t="s">
        <v>496</v>
      </c>
      <c r="D1196" s="332" t="s">
        <v>1803</v>
      </c>
      <c r="E1196" s="332" t="s">
        <v>758</v>
      </c>
      <c r="F1196" s="336">
        <v>521203</v>
      </c>
      <c r="G1196" s="330" t="s">
        <v>236</v>
      </c>
      <c r="H1196" s="329">
        <v>484.22896814651108</v>
      </c>
      <c r="I1196" s="336">
        <v>121.05724203662777</v>
      </c>
      <c r="J1196" s="336">
        <v>121.05724203662777</v>
      </c>
      <c r="K1196" s="336">
        <v>121.05724203662777</v>
      </c>
      <c r="L1196" s="336">
        <v>121.05724203662777</v>
      </c>
      <c r="M1196" s="336"/>
    </row>
    <row r="1197" spans="1:13" hidden="1" outlineLevel="2" x14ac:dyDescent="0.35">
      <c r="A1197" s="339" t="s">
        <v>187</v>
      </c>
      <c r="B1197" s="331">
        <v>44063</v>
      </c>
      <c r="C1197" s="332" t="s">
        <v>496</v>
      </c>
      <c r="D1197" s="332" t="s">
        <v>1803</v>
      </c>
      <c r="E1197" s="332" t="s">
        <v>758</v>
      </c>
      <c r="F1197" s="336">
        <v>521203</v>
      </c>
      <c r="G1197" s="330" t="s">
        <v>236</v>
      </c>
      <c r="H1197" s="329">
        <v>484.22896814651108</v>
      </c>
      <c r="I1197" s="336">
        <v>121.05724203662777</v>
      </c>
      <c r="J1197" s="336">
        <v>121.05724203662777</v>
      </c>
      <c r="K1197" s="336">
        <v>121.05724203662777</v>
      </c>
      <c r="L1197" s="336">
        <v>121.05724203662777</v>
      </c>
      <c r="M1197" s="336"/>
    </row>
    <row r="1198" spans="1:13" hidden="1" outlineLevel="2" x14ac:dyDescent="0.35">
      <c r="A1198" s="339" t="s">
        <v>187</v>
      </c>
      <c r="B1198" s="331">
        <v>44063</v>
      </c>
      <c r="C1198" s="332" t="s">
        <v>498</v>
      </c>
      <c r="D1198" s="332" t="s">
        <v>1804</v>
      </c>
      <c r="E1198" s="332" t="s">
        <v>758</v>
      </c>
      <c r="F1198" s="336">
        <v>719238</v>
      </c>
      <c r="G1198" s="330" t="s">
        <v>236</v>
      </c>
      <c r="H1198" s="329">
        <v>668.21540664915653</v>
      </c>
      <c r="I1198" s="336">
        <v>167.05385166228913</v>
      </c>
      <c r="J1198" s="336">
        <v>167.05385166228913</v>
      </c>
      <c r="K1198" s="336">
        <v>167.05385166228913</v>
      </c>
      <c r="L1198" s="336">
        <v>167.05385166228913</v>
      </c>
      <c r="M1198" s="336"/>
    </row>
    <row r="1199" spans="1:13" hidden="1" outlineLevel="2" x14ac:dyDescent="0.35">
      <c r="A1199" s="339" t="s">
        <v>187</v>
      </c>
      <c r="B1199" s="331">
        <v>44091</v>
      </c>
      <c r="C1199" s="332" t="s">
        <v>500</v>
      </c>
      <c r="D1199" s="332" t="s">
        <v>1805</v>
      </c>
      <c r="E1199" s="332" t="s">
        <v>758</v>
      </c>
      <c r="F1199" s="336">
        <v>521203</v>
      </c>
      <c r="G1199" s="330" t="s">
        <v>236</v>
      </c>
      <c r="H1199" s="329">
        <v>484.22896814651108</v>
      </c>
      <c r="I1199" s="336">
        <v>121.05724203662777</v>
      </c>
      <c r="J1199" s="336">
        <v>121.05724203662777</v>
      </c>
      <c r="K1199" s="336">
        <v>121.05724203662777</v>
      </c>
      <c r="L1199" s="336">
        <v>121.05724203662777</v>
      </c>
      <c r="M1199" s="336"/>
    </row>
    <row r="1200" spans="1:13" hidden="1" outlineLevel="2" x14ac:dyDescent="0.35">
      <c r="A1200" s="339" t="s">
        <v>187</v>
      </c>
      <c r="B1200" s="331">
        <v>44095</v>
      </c>
      <c r="C1200" s="332" t="s">
        <v>502</v>
      </c>
      <c r="D1200" s="332" t="s">
        <v>1806</v>
      </c>
      <c r="E1200" s="332" t="s">
        <v>758</v>
      </c>
      <c r="F1200" s="336">
        <v>719238</v>
      </c>
      <c r="G1200" s="330" t="s">
        <v>236</v>
      </c>
      <c r="H1200" s="329">
        <v>668.21540664915653</v>
      </c>
      <c r="I1200" s="336">
        <v>167.05385166228913</v>
      </c>
      <c r="J1200" s="336">
        <v>167.05385166228913</v>
      </c>
      <c r="K1200" s="336">
        <v>167.05385166228913</v>
      </c>
      <c r="L1200" s="336">
        <v>167.05385166228913</v>
      </c>
      <c r="M1200" s="336"/>
    </row>
    <row r="1201" spans="1:13" hidden="1" outlineLevel="2" x14ac:dyDescent="0.35">
      <c r="A1201" s="339" t="s">
        <v>187</v>
      </c>
      <c r="B1201" s="331">
        <v>44123</v>
      </c>
      <c r="C1201" s="332" t="s">
        <v>504</v>
      </c>
      <c r="D1201" s="332" t="s">
        <v>1807</v>
      </c>
      <c r="E1201" s="332" t="s">
        <v>758</v>
      </c>
      <c r="F1201" s="336">
        <v>521203</v>
      </c>
      <c r="G1201" s="330" t="s">
        <v>236</v>
      </c>
      <c r="H1201" s="329">
        <v>484.22896814651108</v>
      </c>
      <c r="I1201" s="336">
        <v>121.05724203662777</v>
      </c>
      <c r="J1201" s="336">
        <v>121.05724203662777</v>
      </c>
      <c r="K1201" s="336">
        <v>121.05724203662777</v>
      </c>
      <c r="L1201" s="336">
        <v>121.05724203662777</v>
      </c>
      <c r="M1201" s="336"/>
    </row>
    <row r="1202" spans="1:13" hidden="1" outlineLevel="2" x14ac:dyDescent="0.35">
      <c r="A1202" s="339" t="s">
        <v>187</v>
      </c>
      <c r="B1202" s="331">
        <v>44123</v>
      </c>
      <c r="C1202" s="332" t="s">
        <v>504</v>
      </c>
      <c r="D1202" s="332" t="s">
        <v>1808</v>
      </c>
      <c r="E1202" s="332" t="s">
        <v>1809</v>
      </c>
      <c r="F1202" s="336">
        <v>482839</v>
      </c>
      <c r="G1202" s="330" t="s">
        <v>236</v>
      </c>
      <c r="H1202" s="329">
        <v>448.58650228585265</v>
      </c>
      <c r="I1202" s="336">
        <v>112.14662557146316</v>
      </c>
      <c r="J1202" s="336">
        <v>112.14662557146316</v>
      </c>
      <c r="K1202" s="336">
        <v>112.14662557146316</v>
      </c>
      <c r="L1202" s="336">
        <v>112.14662557146316</v>
      </c>
      <c r="M1202" s="336"/>
    </row>
    <row r="1203" spans="1:13" hidden="1" outlineLevel="2" x14ac:dyDescent="0.35">
      <c r="A1203" s="339" t="s">
        <v>187</v>
      </c>
      <c r="B1203" s="331">
        <v>44123</v>
      </c>
      <c r="C1203" s="332" t="s">
        <v>506</v>
      </c>
      <c r="D1203" s="332" t="s">
        <v>1810</v>
      </c>
      <c r="E1203" s="332" t="s">
        <v>758</v>
      </c>
      <c r="F1203" s="336">
        <v>719238</v>
      </c>
      <c r="G1203" s="330" t="s">
        <v>236</v>
      </c>
      <c r="H1203" s="329">
        <v>668.21540664915653</v>
      </c>
      <c r="I1203" s="336">
        <v>167.05385166228913</v>
      </c>
      <c r="J1203" s="336">
        <v>167.05385166228913</v>
      </c>
      <c r="K1203" s="336">
        <v>167.05385166228913</v>
      </c>
      <c r="L1203" s="336">
        <v>167.05385166228913</v>
      </c>
      <c r="M1203" s="336"/>
    </row>
    <row r="1204" spans="1:13" hidden="1" outlineLevel="2" x14ac:dyDescent="0.35">
      <c r="A1204" s="339" t="s">
        <v>187</v>
      </c>
      <c r="B1204" s="331">
        <v>44123</v>
      </c>
      <c r="C1204" s="332" t="s">
        <v>506</v>
      </c>
      <c r="D1204" s="332" t="s">
        <v>1811</v>
      </c>
      <c r="E1204" s="332" t="s">
        <v>1809</v>
      </c>
      <c r="F1204" s="336">
        <v>511611</v>
      </c>
      <c r="G1204" s="330" t="s">
        <v>236</v>
      </c>
      <c r="H1204" s="329">
        <v>475.31742262113738</v>
      </c>
      <c r="I1204" s="336">
        <v>118.82935565528435</v>
      </c>
      <c r="J1204" s="336">
        <v>118.82935565528435</v>
      </c>
      <c r="K1204" s="336">
        <v>118.82935565528435</v>
      </c>
      <c r="L1204" s="336">
        <v>118.82935565528435</v>
      </c>
      <c r="M1204" s="336"/>
    </row>
    <row r="1205" spans="1:13" hidden="1" outlineLevel="2" x14ac:dyDescent="0.35">
      <c r="A1205" s="339" t="s">
        <v>187</v>
      </c>
      <c r="B1205" s="331">
        <v>44274</v>
      </c>
      <c r="C1205" s="332" t="s">
        <v>531</v>
      </c>
      <c r="D1205" s="332" t="s">
        <v>1812</v>
      </c>
      <c r="E1205" s="332" t="s">
        <v>1813</v>
      </c>
      <c r="F1205" s="336">
        <v>721203</v>
      </c>
      <c r="G1205" s="330" t="s">
        <v>236</v>
      </c>
      <c r="H1205" s="329">
        <v>614.92291013860631</v>
      </c>
      <c r="I1205" s="333">
        <v>153.73072753465158</v>
      </c>
      <c r="J1205" s="333">
        <v>153.73072753465158</v>
      </c>
      <c r="K1205" s="333">
        <v>153.73072753465158</v>
      </c>
      <c r="L1205" s="333">
        <v>153.73072753465158</v>
      </c>
      <c r="M1205" s="336"/>
    </row>
    <row r="1206" spans="1:13" hidden="1" outlineLevel="2" x14ac:dyDescent="0.35">
      <c r="A1206" s="339" t="s">
        <v>187</v>
      </c>
      <c r="B1206" s="331">
        <v>44274</v>
      </c>
      <c r="C1206" s="332" t="s">
        <v>533</v>
      </c>
      <c r="D1206" s="332" t="s">
        <v>1814</v>
      </c>
      <c r="E1206" s="332" t="s">
        <v>1813</v>
      </c>
      <c r="F1206" s="336">
        <v>519238</v>
      </c>
      <c r="G1206" s="330" t="s">
        <v>236</v>
      </c>
      <c r="H1206" s="329">
        <v>442.72048509857791</v>
      </c>
      <c r="I1206" s="333">
        <v>110.68012127464448</v>
      </c>
      <c r="J1206" s="333">
        <v>110.68012127464448</v>
      </c>
      <c r="K1206" s="333">
        <v>110.68012127464448</v>
      </c>
      <c r="L1206" s="333">
        <v>110.68012127464448</v>
      </c>
      <c r="M1206" s="336"/>
    </row>
    <row r="1207" spans="1:13" hidden="1" outlineLevel="2" x14ac:dyDescent="0.35">
      <c r="A1207" s="339" t="s">
        <v>187</v>
      </c>
      <c r="B1207" s="331">
        <v>44306</v>
      </c>
      <c r="C1207" s="332" t="s">
        <v>408</v>
      </c>
      <c r="D1207" s="332" t="s">
        <v>1815</v>
      </c>
      <c r="E1207" s="332" t="s">
        <v>1813</v>
      </c>
      <c r="F1207" s="336">
        <v>419238</v>
      </c>
      <c r="G1207" s="330" t="s">
        <v>236</v>
      </c>
      <c r="H1207" s="329">
        <v>357.45698645275888</v>
      </c>
      <c r="I1207" s="333">
        <v>89.364246613189721</v>
      </c>
      <c r="J1207" s="333">
        <v>89.364246613189721</v>
      </c>
      <c r="K1207" s="333">
        <v>89.364246613189721</v>
      </c>
      <c r="L1207" s="333">
        <v>89.364246613189721</v>
      </c>
      <c r="M1207" s="336"/>
    </row>
    <row r="1208" spans="1:13" hidden="1" outlineLevel="2" x14ac:dyDescent="0.35">
      <c r="A1208" s="339" t="s">
        <v>187</v>
      </c>
      <c r="B1208" s="331">
        <v>44306</v>
      </c>
      <c r="C1208" s="332" t="s">
        <v>411</v>
      </c>
      <c r="D1208" s="332" t="s">
        <v>1816</v>
      </c>
      <c r="E1208" s="332" t="s">
        <v>1813</v>
      </c>
      <c r="F1208" s="336">
        <v>821203</v>
      </c>
      <c r="G1208" s="330" t="s">
        <v>236</v>
      </c>
      <c r="H1208" s="329">
        <v>700.18640878442545</v>
      </c>
      <c r="I1208" s="333">
        <v>175.04660219610636</v>
      </c>
      <c r="J1208" s="333">
        <v>175.04660219610636</v>
      </c>
      <c r="K1208" s="333">
        <v>175.04660219610636</v>
      </c>
      <c r="L1208" s="333">
        <v>175.04660219610636</v>
      </c>
      <c r="M1208" s="336"/>
    </row>
    <row r="1209" spans="1:13" hidden="1" outlineLevel="2" x14ac:dyDescent="0.35">
      <c r="A1209" s="339" t="s">
        <v>187</v>
      </c>
      <c r="B1209" s="331">
        <v>43783</v>
      </c>
      <c r="C1209" s="332" t="s">
        <v>1817</v>
      </c>
      <c r="D1209" s="332" t="s">
        <v>1818</v>
      </c>
      <c r="E1209" s="332" t="s">
        <v>758</v>
      </c>
      <c r="F1209" s="336">
        <v>504855</v>
      </c>
      <c r="G1209" s="330" t="s">
        <v>236</v>
      </c>
      <c r="H1209" s="329">
        <v>497.05369505822392</v>
      </c>
      <c r="I1209" s="336">
        <v>124.26342376455598</v>
      </c>
      <c r="J1209" s="336">
        <v>124.26342376455598</v>
      </c>
      <c r="K1209" s="336">
        <v>124.26342376455598</v>
      </c>
      <c r="L1209" s="336">
        <v>124.26342376455598</v>
      </c>
      <c r="M1209" s="336"/>
    </row>
    <row r="1210" spans="1:13" hidden="1" outlineLevel="2" x14ac:dyDescent="0.35">
      <c r="A1210" s="339" t="s">
        <v>187</v>
      </c>
      <c r="B1210" s="331">
        <v>43783</v>
      </c>
      <c r="C1210" s="332" t="s">
        <v>1663</v>
      </c>
      <c r="D1210" s="332" t="s">
        <v>1819</v>
      </c>
      <c r="E1210" s="332" t="s">
        <v>758</v>
      </c>
      <c r="F1210" s="336">
        <v>687881</v>
      </c>
      <c r="G1210" s="330" t="s">
        <v>236</v>
      </c>
      <c r="H1210" s="329">
        <v>677.25147380999715</v>
      </c>
      <c r="I1210" s="336">
        <v>169.31286845249929</v>
      </c>
      <c r="J1210" s="336">
        <v>169.31286845249929</v>
      </c>
      <c r="K1210" s="336">
        <v>169.31286845249929</v>
      </c>
      <c r="L1210" s="336">
        <v>169.31286845249929</v>
      </c>
      <c r="M1210" s="336"/>
    </row>
    <row r="1211" spans="1:13" hidden="1" outlineLevel="2" x14ac:dyDescent="0.35">
      <c r="A1211" s="339" t="s">
        <v>187</v>
      </c>
      <c r="B1211" s="331">
        <v>43817</v>
      </c>
      <c r="C1211" s="332" t="s">
        <v>1753</v>
      </c>
      <c r="D1211" s="332" t="s">
        <v>1820</v>
      </c>
      <c r="E1211" s="332" t="s">
        <v>758</v>
      </c>
      <c r="F1211" s="336">
        <v>402792</v>
      </c>
      <c r="G1211" s="330" t="s">
        <v>236</v>
      </c>
      <c r="H1211" s="329">
        <v>396.56783024807544</v>
      </c>
      <c r="I1211" s="336">
        <v>99.14195756201886</v>
      </c>
      <c r="J1211" s="336">
        <v>99.14195756201886</v>
      </c>
      <c r="K1211" s="336">
        <v>99.14195756201886</v>
      </c>
      <c r="L1211" s="336">
        <v>99.14195756201886</v>
      </c>
      <c r="M1211" s="336"/>
    </row>
    <row r="1212" spans="1:13" hidden="1" outlineLevel="2" x14ac:dyDescent="0.35">
      <c r="A1212" s="339" t="s">
        <v>187</v>
      </c>
      <c r="B1212" s="331">
        <v>43817</v>
      </c>
      <c r="C1212" s="332" t="s">
        <v>1755</v>
      </c>
      <c r="D1212" s="332" t="s">
        <v>1821</v>
      </c>
      <c r="E1212" s="332" t="s">
        <v>758</v>
      </c>
      <c r="F1212" s="336">
        <v>650223</v>
      </c>
      <c r="G1212" s="330" t="s">
        <v>236</v>
      </c>
      <c r="H1212" s="329">
        <v>640.17538652057226</v>
      </c>
      <c r="I1212" s="336">
        <v>160.04384663014307</v>
      </c>
      <c r="J1212" s="336">
        <v>160.04384663014307</v>
      </c>
      <c r="K1212" s="336">
        <v>160.04384663014307</v>
      </c>
      <c r="L1212" s="336">
        <v>160.04384663014307</v>
      </c>
      <c r="M1212" s="336"/>
    </row>
    <row r="1213" spans="1:13" hidden="1" outlineLevel="2" x14ac:dyDescent="0.35">
      <c r="A1213" s="339" t="s">
        <v>187</v>
      </c>
      <c r="B1213" s="331">
        <v>43817</v>
      </c>
      <c r="C1213" s="332" t="s">
        <v>824</v>
      </c>
      <c r="D1213" s="332" t="s">
        <v>1822</v>
      </c>
      <c r="E1213" s="332" t="s">
        <v>758</v>
      </c>
      <c r="F1213" s="336">
        <v>692281</v>
      </c>
      <c r="G1213" s="330" t="s">
        <v>236</v>
      </c>
      <c r="H1213" s="329">
        <v>681.58348252191684</v>
      </c>
      <c r="I1213" s="336">
        <v>170.39587063047921</v>
      </c>
      <c r="J1213" s="336">
        <v>170.39587063047921</v>
      </c>
      <c r="K1213" s="336">
        <v>170.39587063047921</v>
      </c>
      <c r="L1213" s="336">
        <v>170.39587063047921</v>
      </c>
      <c r="M1213" s="336"/>
    </row>
    <row r="1214" spans="1:13" hidden="1" outlineLevel="2" x14ac:dyDescent="0.35">
      <c r="A1214" s="339" t="s">
        <v>187</v>
      </c>
      <c r="B1214" s="331">
        <v>44334</v>
      </c>
      <c r="C1214" s="332" t="s">
        <v>413</v>
      </c>
      <c r="D1214" s="332" t="s">
        <v>1823</v>
      </c>
      <c r="E1214" s="332" t="s">
        <v>1813</v>
      </c>
      <c r="F1214" s="336">
        <v>419238</v>
      </c>
      <c r="G1214" s="330" t="s">
        <v>236</v>
      </c>
      <c r="H1214" s="329">
        <v>357.45698645275888</v>
      </c>
      <c r="I1214" s="333">
        <v>89.364246613189721</v>
      </c>
      <c r="J1214" s="333">
        <v>89.364246613189721</v>
      </c>
      <c r="K1214" s="333">
        <v>89.364246613189721</v>
      </c>
      <c r="L1214" s="333">
        <v>89.364246613189721</v>
      </c>
      <c r="M1214" s="336"/>
    </row>
    <row r="1215" spans="1:13" hidden="1" outlineLevel="2" x14ac:dyDescent="0.35">
      <c r="A1215" s="339" t="s">
        <v>187</v>
      </c>
      <c r="B1215" s="331">
        <v>44334</v>
      </c>
      <c r="C1215" s="332" t="s">
        <v>415</v>
      </c>
      <c r="D1215" s="332" t="s">
        <v>1824</v>
      </c>
      <c r="E1215" s="332" t="s">
        <v>1813</v>
      </c>
      <c r="F1215" s="336">
        <v>821203</v>
      </c>
      <c r="G1215" s="330" t="s">
        <v>236</v>
      </c>
      <c r="H1215" s="329">
        <v>700.18640878442545</v>
      </c>
      <c r="I1215" s="333">
        <v>175.04660219610636</v>
      </c>
      <c r="J1215" s="333">
        <v>175.04660219610636</v>
      </c>
      <c r="K1215" s="333">
        <v>175.04660219610636</v>
      </c>
      <c r="L1215" s="333">
        <v>175.04660219610636</v>
      </c>
      <c r="M1215" s="336"/>
    </row>
    <row r="1216" spans="1:13" hidden="1" outlineLevel="2" x14ac:dyDescent="0.35">
      <c r="A1216" s="339" t="s">
        <v>187</v>
      </c>
      <c r="B1216" s="331">
        <v>44365</v>
      </c>
      <c r="C1216" s="332" t="s">
        <v>417</v>
      </c>
      <c r="D1216" s="332" t="s">
        <v>1825</v>
      </c>
      <c r="E1216" s="332" t="s">
        <v>1813</v>
      </c>
      <c r="F1216" s="336">
        <v>479238</v>
      </c>
      <c r="G1216" s="330" t="s">
        <v>236</v>
      </c>
      <c r="H1216" s="329">
        <v>408.6150856402503</v>
      </c>
      <c r="I1216" s="333">
        <v>102.15377141006257</v>
      </c>
      <c r="J1216" s="333">
        <v>102.15377141006257</v>
      </c>
      <c r="K1216" s="333">
        <v>102.15377141006257</v>
      </c>
      <c r="L1216" s="333">
        <v>102.15377141006257</v>
      </c>
      <c r="M1216" s="336"/>
    </row>
    <row r="1217" spans="1:13" hidden="1" outlineLevel="2" x14ac:dyDescent="0.35">
      <c r="A1217" s="339" t="s">
        <v>187</v>
      </c>
      <c r="B1217" s="331">
        <v>44365</v>
      </c>
      <c r="C1217" s="332" t="s">
        <v>419</v>
      </c>
      <c r="D1217" s="332" t="s">
        <v>1826</v>
      </c>
      <c r="E1217" s="332" t="s">
        <v>1813</v>
      </c>
      <c r="F1217" s="336">
        <v>381383</v>
      </c>
      <c r="G1217" s="330" t="s">
        <v>236</v>
      </c>
      <c r="H1217" s="329">
        <v>325.18048904038409</v>
      </c>
      <c r="I1217" s="333">
        <v>81.295122260096022</v>
      </c>
      <c r="J1217" s="333">
        <v>81.295122260096022</v>
      </c>
      <c r="K1217" s="333">
        <v>81.295122260096022</v>
      </c>
      <c r="L1217" s="333">
        <v>81.295122260096022</v>
      </c>
      <c r="M1217" s="336"/>
    </row>
    <row r="1218" spans="1:13" hidden="1" outlineLevel="2" x14ac:dyDescent="0.35">
      <c r="A1218" s="339" t="s">
        <v>187</v>
      </c>
      <c r="B1218" s="331">
        <v>44365</v>
      </c>
      <c r="C1218" s="332" t="s">
        <v>421</v>
      </c>
      <c r="D1218" s="332" t="s">
        <v>1827</v>
      </c>
      <c r="E1218" s="332" t="s">
        <v>1813</v>
      </c>
      <c r="F1218" s="336">
        <v>223736</v>
      </c>
      <c r="G1218" s="330" t="s">
        <v>236</v>
      </c>
      <c r="H1218" s="329">
        <v>190.7651413302097</v>
      </c>
      <c r="I1218" s="333">
        <v>47.691285332552425</v>
      </c>
      <c r="J1218" s="333">
        <v>47.691285332552425</v>
      </c>
      <c r="K1218" s="333">
        <v>47.691285332552425</v>
      </c>
      <c r="L1218" s="333">
        <v>47.691285332552425</v>
      </c>
      <c r="M1218" s="336"/>
    </row>
    <row r="1219" spans="1:13" hidden="1" outlineLevel="2" x14ac:dyDescent="0.35">
      <c r="A1219" s="339" t="s">
        <v>187</v>
      </c>
      <c r="B1219" s="331">
        <v>44365</v>
      </c>
      <c r="C1219" s="332" t="s">
        <v>423</v>
      </c>
      <c r="D1219" s="332" t="s">
        <v>1828</v>
      </c>
      <c r="E1219" s="332" t="s">
        <v>1813</v>
      </c>
      <c r="F1219" s="336">
        <v>761203</v>
      </c>
      <c r="G1219" s="330" t="s">
        <v>236</v>
      </c>
      <c r="H1219" s="329">
        <v>649.02830959693392</v>
      </c>
      <c r="I1219" s="333">
        <v>162.25707739923348</v>
      </c>
      <c r="J1219" s="333">
        <v>162.25707739923348</v>
      </c>
      <c r="K1219" s="333">
        <v>162.25707739923348</v>
      </c>
      <c r="L1219" s="333">
        <v>162.25707739923348</v>
      </c>
      <c r="M1219" s="336"/>
    </row>
    <row r="1220" spans="1:13" hidden="1" outlineLevel="2" x14ac:dyDescent="0.35">
      <c r="A1220" s="339" t="s">
        <v>187</v>
      </c>
      <c r="B1220" s="331">
        <v>44407</v>
      </c>
      <c r="C1220" s="332" t="s">
        <v>378</v>
      </c>
      <c r="D1220" s="332" t="s">
        <v>1829</v>
      </c>
      <c r="E1220" s="332" t="s">
        <v>330</v>
      </c>
      <c r="F1220" s="336">
        <v>747370</v>
      </c>
      <c r="G1220" s="330" t="s">
        <v>236</v>
      </c>
      <c r="H1220" s="329">
        <v>637.23380982925778</v>
      </c>
      <c r="I1220" s="333">
        <v>159.30845245731444</v>
      </c>
      <c r="J1220" s="333">
        <v>159.30845245731444</v>
      </c>
      <c r="K1220" s="333">
        <v>159.30845245731444</v>
      </c>
      <c r="L1220" s="333">
        <v>159.30845245731444</v>
      </c>
      <c r="M1220" s="336"/>
    </row>
    <row r="1221" spans="1:13" hidden="1" outlineLevel="2" x14ac:dyDescent="0.35">
      <c r="A1221" s="339" t="s">
        <v>187</v>
      </c>
      <c r="B1221" s="331">
        <v>44407</v>
      </c>
      <c r="C1221" s="332" t="s">
        <v>381</v>
      </c>
      <c r="D1221" s="332" t="s">
        <v>1830</v>
      </c>
      <c r="E1221" s="332" t="s">
        <v>330</v>
      </c>
      <c r="F1221" s="336">
        <v>542691</v>
      </c>
      <c r="G1221" s="330" t="s">
        <v>236</v>
      </c>
      <c r="H1221" s="329">
        <v>462.71733343598186</v>
      </c>
      <c r="I1221" s="333">
        <v>115.67933335899546</v>
      </c>
      <c r="J1221" s="333">
        <v>115.67933335899546</v>
      </c>
      <c r="K1221" s="333">
        <v>115.67933335899546</v>
      </c>
      <c r="L1221" s="333">
        <v>115.67933335899546</v>
      </c>
      <c r="M1221" s="336"/>
    </row>
    <row r="1222" spans="1:13" hidden="1" outlineLevel="2" x14ac:dyDescent="0.35">
      <c r="A1222" s="339" t="s">
        <v>187</v>
      </c>
      <c r="B1222" s="331">
        <v>44428</v>
      </c>
      <c r="C1222" s="332" t="s">
        <v>384</v>
      </c>
      <c r="D1222" s="332" t="s">
        <v>1831</v>
      </c>
      <c r="E1222" s="332" t="s">
        <v>1832</v>
      </c>
      <c r="F1222" s="336">
        <v>747370</v>
      </c>
      <c r="G1222" s="330" t="s">
        <v>236</v>
      </c>
      <c r="H1222" s="329">
        <v>637.23380982925778</v>
      </c>
      <c r="I1222" s="333">
        <v>159.30845245731444</v>
      </c>
      <c r="J1222" s="333">
        <v>159.30845245731444</v>
      </c>
      <c r="K1222" s="333">
        <v>159.30845245731444</v>
      </c>
      <c r="L1222" s="333">
        <v>159.30845245731444</v>
      </c>
      <c r="M1222" s="336"/>
    </row>
    <row r="1223" spans="1:13" hidden="1" outlineLevel="2" x14ac:dyDescent="0.35">
      <c r="A1223" s="339" t="s">
        <v>187</v>
      </c>
      <c r="B1223" s="331">
        <v>44428</v>
      </c>
      <c r="C1223" s="332" t="s">
        <v>386</v>
      </c>
      <c r="D1223" s="332" t="s">
        <v>1833</v>
      </c>
      <c r="E1223" s="332" t="s">
        <v>1834</v>
      </c>
      <c r="F1223" s="336">
        <v>542691</v>
      </c>
      <c r="G1223" s="330" t="s">
        <v>236</v>
      </c>
      <c r="H1223" s="329">
        <v>462.71733343598186</v>
      </c>
      <c r="I1223" s="333">
        <v>115.67933335899546</v>
      </c>
      <c r="J1223" s="333">
        <v>115.67933335899546</v>
      </c>
      <c r="K1223" s="333">
        <v>115.67933335899546</v>
      </c>
      <c r="L1223" s="333">
        <v>115.67933335899546</v>
      </c>
      <c r="M1223" s="336"/>
    </row>
    <row r="1224" spans="1:13" outlineLevel="1" collapsed="1" x14ac:dyDescent="0.35">
      <c r="A1224" s="343" t="s">
        <v>1835</v>
      </c>
      <c r="B1224" s="331"/>
      <c r="C1224" s="332"/>
      <c r="D1224" s="332"/>
      <c r="E1224" s="332"/>
      <c r="F1224" s="336"/>
      <c r="G1224" s="330"/>
      <c r="H1224" s="329">
        <f t="shared" ref="H1224:M1224" si="51">SUBTOTAL(9,H1180:H1223)</f>
        <v>22945.470178978194</v>
      </c>
      <c r="I1224" s="333">
        <f t="shared" si="51"/>
        <v>5736.3675447445485</v>
      </c>
      <c r="J1224" s="333">
        <f t="shared" si="51"/>
        <v>5736.3675447445485</v>
      </c>
      <c r="K1224" s="333">
        <f t="shared" si="51"/>
        <v>5736.3675447445485</v>
      </c>
      <c r="L1224" s="333">
        <f t="shared" si="51"/>
        <v>5736.3675447445485</v>
      </c>
      <c r="M1224" s="336">
        <f t="shared" si="51"/>
        <v>0</v>
      </c>
    </row>
    <row r="1225" spans="1:13" hidden="1" outlineLevel="2" x14ac:dyDescent="0.35">
      <c r="A1225" s="339" t="s">
        <v>192</v>
      </c>
      <c r="B1225" s="331">
        <v>43847</v>
      </c>
      <c r="C1225" s="332" t="s">
        <v>1741</v>
      </c>
      <c r="D1225" s="332" t="s">
        <v>1836</v>
      </c>
      <c r="E1225" s="332" t="s">
        <v>749</v>
      </c>
      <c r="F1225" s="336">
        <v>824496</v>
      </c>
      <c r="G1225" s="330" t="s">
        <v>236</v>
      </c>
      <c r="H1225" s="329">
        <v>766.00642613516379</v>
      </c>
      <c r="I1225" s="336">
        <v>191.50160653379095</v>
      </c>
      <c r="J1225" s="336">
        <v>191.50160653379095</v>
      </c>
      <c r="K1225" s="336">
        <v>191.50160653379095</v>
      </c>
      <c r="L1225" s="336">
        <v>191.50160653379095</v>
      </c>
      <c r="M1225" s="336"/>
    </row>
    <row r="1226" spans="1:13" hidden="1" outlineLevel="2" x14ac:dyDescent="0.35">
      <c r="A1226" s="339" t="s">
        <v>192</v>
      </c>
      <c r="B1226" s="331">
        <v>43847</v>
      </c>
      <c r="C1226" s="332" t="s">
        <v>1743</v>
      </c>
      <c r="D1226" s="332" t="s">
        <v>1837</v>
      </c>
      <c r="E1226" s="332" t="s">
        <v>749</v>
      </c>
      <c r="F1226" s="336">
        <v>481926</v>
      </c>
      <c r="G1226" s="330" t="s">
        <v>236</v>
      </c>
      <c r="H1226" s="329">
        <v>447.73827031497416</v>
      </c>
      <c r="I1226" s="336">
        <v>111.93456757874354</v>
      </c>
      <c r="J1226" s="336">
        <v>111.93456757874354</v>
      </c>
      <c r="K1226" s="336">
        <v>111.93456757874354</v>
      </c>
      <c r="L1226" s="336">
        <v>111.93456757874354</v>
      </c>
      <c r="M1226" s="336"/>
    </row>
    <row r="1227" spans="1:13" hidden="1" outlineLevel="2" x14ac:dyDescent="0.35">
      <c r="A1227" s="339" t="s">
        <v>192</v>
      </c>
      <c r="B1227" s="331">
        <v>43881</v>
      </c>
      <c r="C1227" s="332" t="s">
        <v>1060</v>
      </c>
      <c r="D1227" s="332" t="s">
        <v>1838</v>
      </c>
      <c r="E1227" s="332" t="s">
        <v>749</v>
      </c>
      <c r="F1227" s="336">
        <v>824496</v>
      </c>
      <c r="G1227" s="330" t="s">
        <v>236</v>
      </c>
      <c r="H1227" s="329">
        <v>766.00642613516379</v>
      </c>
      <c r="I1227" s="336">
        <v>191.50160653379095</v>
      </c>
      <c r="J1227" s="336">
        <v>191.50160653379095</v>
      </c>
      <c r="K1227" s="336">
        <v>191.50160653379095</v>
      </c>
      <c r="L1227" s="336">
        <v>191.50160653379095</v>
      </c>
      <c r="M1227" s="336"/>
    </row>
    <row r="1228" spans="1:13" hidden="1" outlineLevel="2" x14ac:dyDescent="0.35">
      <c r="A1228" s="339" t="s">
        <v>192</v>
      </c>
      <c r="B1228" s="331">
        <v>43881</v>
      </c>
      <c r="C1228" s="332" t="s">
        <v>1071</v>
      </c>
      <c r="D1228" s="332" t="s">
        <v>1839</v>
      </c>
      <c r="E1228" s="332" t="s">
        <v>749</v>
      </c>
      <c r="F1228" s="336">
        <v>594078</v>
      </c>
      <c r="G1228" s="330" t="s">
        <v>236</v>
      </c>
      <c r="H1228" s="329">
        <v>551.93423088229156</v>
      </c>
      <c r="I1228" s="336">
        <v>137.98355772057289</v>
      </c>
      <c r="J1228" s="336">
        <v>137.98355772057289</v>
      </c>
      <c r="K1228" s="336">
        <v>137.98355772057289</v>
      </c>
      <c r="L1228" s="336">
        <v>137.98355772057289</v>
      </c>
      <c r="M1228" s="336"/>
    </row>
    <row r="1229" spans="1:13" hidden="1" outlineLevel="2" x14ac:dyDescent="0.35">
      <c r="A1229" s="339" t="s">
        <v>192</v>
      </c>
      <c r="B1229" s="331">
        <v>43910</v>
      </c>
      <c r="C1229" s="332" t="s">
        <v>474</v>
      </c>
      <c r="D1229" s="332" t="s">
        <v>1840</v>
      </c>
      <c r="E1229" s="332" t="s">
        <v>749</v>
      </c>
      <c r="F1229" s="336">
        <v>820236</v>
      </c>
      <c r="G1229" s="330" t="s">
        <v>236</v>
      </c>
      <c r="H1229" s="329">
        <v>762.04862964453707</v>
      </c>
      <c r="I1229" s="336">
        <v>190.51215741113427</v>
      </c>
      <c r="J1229" s="336">
        <v>190.51215741113427</v>
      </c>
      <c r="K1229" s="336">
        <v>190.51215741113427</v>
      </c>
      <c r="L1229" s="336">
        <v>190.51215741113427</v>
      </c>
      <c r="M1229" s="336"/>
    </row>
    <row r="1230" spans="1:13" hidden="1" outlineLevel="2" x14ac:dyDescent="0.35">
      <c r="A1230" s="339" t="s">
        <v>192</v>
      </c>
      <c r="B1230" s="331">
        <v>43910</v>
      </c>
      <c r="C1230" s="332" t="s">
        <v>477</v>
      </c>
      <c r="D1230" s="332" t="s">
        <v>1841</v>
      </c>
      <c r="E1230" s="332" t="s">
        <v>749</v>
      </c>
      <c r="F1230" s="336">
        <v>832417</v>
      </c>
      <c r="G1230" s="330" t="s">
        <v>236</v>
      </c>
      <c r="H1230" s="329">
        <v>773.36551205118599</v>
      </c>
      <c r="I1230" s="336">
        <v>193.3413780127965</v>
      </c>
      <c r="J1230" s="336">
        <v>193.3413780127965</v>
      </c>
      <c r="K1230" s="336">
        <v>193.3413780127965</v>
      </c>
      <c r="L1230" s="336">
        <v>193.3413780127965</v>
      </c>
      <c r="M1230" s="336"/>
    </row>
    <row r="1231" spans="1:13" hidden="1" outlineLevel="2" x14ac:dyDescent="0.35">
      <c r="A1231" s="339" t="s">
        <v>192</v>
      </c>
      <c r="B1231" s="331">
        <v>43941</v>
      </c>
      <c r="C1231" s="332" t="s">
        <v>479</v>
      </c>
      <c r="D1231" s="332" t="s">
        <v>1842</v>
      </c>
      <c r="E1231" s="332" t="s">
        <v>749</v>
      </c>
      <c r="F1231" s="336">
        <v>820236</v>
      </c>
      <c r="G1231" s="330" t="s">
        <v>236</v>
      </c>
      <c r="H1231" s="329">
        <v>762.04862964453707</v>
      </c>
      <c r="I1231" s="336">
        <v>190.51215741113427</v>
      </c>
      <c r="J1231" s="336">
        <v>190.51215741113427</v>
      </c>
      <c r="K1231" s="336">
        <v>190.51215741113427</v>
      </c>
      <c r="L1231" s="336">
        <v>190.51215741113427</v>
      </c>
      <c r="M1231" s="336"/>
    </row>
    <row r="1232" spans="1:13" hidden="1" outlineLevel="2" x14ac:dyDescent="0.35">
      <c r="A1232" s="339" t="s">
        <v>192</v>
      </c>
      <c r="B1232" s="331">
        <v>43941</v>
      </c>
      <c r="C1232" s="332" t="s">
        <v>481</v>
      </c>
      <c r="D1232" s="332" t="s">
        <v>1843</v>
      </c>
      <c r="E1232" s="332" t="s">
        <v>749</v>
      </c>
      <c r="F1232" s="336">
        <v>598337</v>
      </c>
      <c r="G1232" s="330" t="s">
        <v>236</v>
      </c>
      <c r="H1232" s="329">
        <v>555.89109831270923</v>
      </c>
      <c r="I1232" s="336">
        <v>138.97277457817731</v>
      </c>
      <c r="J1232" s="336">
        <v>138.97277457817731</v>
      </c>
      <c r="K1232" s="336">
        <v>138.97277457817731</v>
      </c>
      <c r="L1232" s="336">
        <v>138.97277457817731</v>
      </c>
      <c r="M1232" s="336"/>
    </row>
    <row r="1233" spans="1:13" hidden="1" outlineLevel="2" x14ac:dyDescent="0.35">
      <c r="A1233" s="339" t="s">
        <v>192</v>
      </c>
      <c r="B1233" s="331">
        <v>43760</v>
      </c>
      <c r="C1233" s="332" t="s">
        <v>1844</v>
      </c>
      <c r="D1233" s="332" t="s">
        <v>1845</v>
      </c>
      <c r="E1233" s="332" t="s">
        <v>1846</v>
      </c>
      <c r="F1233" s="336">
        <v>824496</v>
      </c>
      <c r="G1233" s="330" t="s">
        <v>236</v>
      </c>
      <c r="H1233" s="329">
        <v>811.75542157792904</v>
      </c>
      <c r="I1233" s="336">
        <v>202.93885539448226</v>
      </c>
      <c r="J1233" s="336">
        <v>202.93885539448226</v>
      </c>
      <c r="K1233" s="336">
        <v>202.93885539448226</v>
      </c>
      <c r="L1233" s="336">
        <v>202.93885539448226</v>
      </c>
      <c r="M1233" s="336"/>
    </row>
    <row r="1234" spans="1:13" hidden="1" outlineLevel="2" x14ac:dyDescent="0.35">
      <c r="A1234" s="339" t="s">
        <v>192</v>
      </c>
      <c r="B1234" s="331">
        <v>43760</v>
      </c>
      <c r="C1234" s="332" t="s">
        <v>1847</v>
      </c>
      <c r="D1234" s="332" t="s">
        <v>1848</v>
      </c>
      <c r="E1234" s="332" t="s">
        <v>1846</v>
      </c>
      <c r="F1234" s="336">
        <v>594078</v>
      </c>
      <c r="G1234" s="330" t="s">
        <v>236</v>
      </c>
      <c r="H1234" s="329">
        <v>584.89797080904327</v>
      </c>
      <c r="I1234" s="336">
        <v>146.22449270226082</v>
      </c>
      <c r="J1234" s="336">
        <v>146.22449270226082</v>
      </c>
      <c r="K1234" s="336">
        <v>146.22449270226082</v>
      </c>
      <c r="L1234" s="336">
        <v>146.22449270226082</v>
      </c>
      <c r="M1234" s="336"/>
    </row>
    <row r="1235" spans="1:13" hidden="1" outlineLevel="2" x14ac:dyDescent="0.35">
      <c r="A1235" s="339" t="s">
        <v>192</v>
      </c>
      <c r="B1235" s="331">
        <v>43783</v>
      </c>
      <c r="C1235" s="332" t="s">
        <v>1817</v>
      </c>
      <c r="D1235" s="332" t="s">
        <v>1849</v>
      </c>
      <c r="E1235" s="332" t="s">
        <v>1850</v>
      </c>
      <c r="F1235" s="336">
        <v>594078</v>
      </c>
      <c r="G1235" s="330" t="s">
        <v>236</v>
      </c>
      <c r="H1235" s="329">
        <v>584.89797080904327</v>
      </c>
      <c r="I1235" s="336">
        <v>146.22449270226082</v>
      </c>
      <c r="J1235" s="336">
        <v>146.22449270226082</v>
      </c>
      <c r="K1235" s="336">
        <v>146.22449270226082</v>
      </c>
      <c r="L1235" s="336">
        <v>146.22449270226082</v>
      </c>
      <c r="M1235" s="336"/>
    </row>
    <row r="1236" spans="1:13" hidden="1" outlineLevel="2" x14ac:dyDescent="0.35">
      <c r="A1236" s="339" t="s">
        <v>192</v>
      </c>
      <c r="B1236" s="331">
        <v>43783</v>
      </c>
      <c r="C1236" s="332" t="s">
        <v>1663</v>
      </c>
      <c r="D1236" s="332" t="s">
        <v>1851</v>
      </c>
      <c r="E1236" s="332" t="s">
        <v>1850</v>
      </c>
      <c r="F1236" s="336">
        <v>824496</v>
      </c>
      <c r="G1236" s="330" t="s">
        <v>236</v>
      </c>
      <c r="H1236" s="329">
        <v>811.75542157792904</v>
      </c>
      <c r="I1236" s="336">
        <v>202.93885539448226</v>
      </c>
      <c r="J1236" s="336">
        <v>202.93885539448226</v>
      </c>
      <c r="K1236" s="336">
        <v>202.93885539448226</v>
      </c>
      <c r="L1236" s="336">
        <v>202.93885539448226</v>
      </c>
      <c r="M1236" s="336"/>
    </row>
    <row r="1237" spans="1:13" hidden="1" outlineLevel="2" x14ac:dyDescent="0.35">
      <c r="A1237" s="339" t="s">
        <v>192</v>
      </c>
      <c r="B1237" s="331">
        <v>43817</v>
      </c>
      <c r="C1237" s="332" t="s">
        <v>1755</v>
      </c>
      <c r="D1237" s="332" t="s">
        <v>1852</v>
      </c>
      <c r="E1237" s="332" t="s">
        <v>1850</v>
      </c>
      <c r="F1237" s="336">
        <v>594078</v>
      </c>
      <c r="G1237" s="330" t="s">
        <v>236</v>
      </c>
      <c r="H1237" s="329">
        <v>584.89797080904327</v>
      </c>
      <c r="I1237" s="336">
        <v>146.22449270226082</v>
      </c>
      <c r="J1237" s="336">
        <v>146.22449270226082</v>
      </c>
      <c r="K1237" s="336">
        <v>146.22449270226082</v>
      </c>
      <c r="L1237" s="336">
        <v>146.22449270226082</v>
      </c>
      <c r="M1237" s="336"/>
    </row>
    <row r="1238" spans="1:13" hidden="1" outlineLevel="2" x14ac:dyDescent="0.35">
      <c r="A1238" s="339" t="s">
        <v>192</v>
      </c>
      <c r="B1238" s="331">
        <v>43817</v>
      </c>
      <c r="C1238" s="332" t="s">
        <v>824</v>
      </c>
      <c r="D1238" s="332" t="s">
        <v>1853</v>
      </c>
      <c r="E1238" s="332" t="s">
        <v>1850</v>
      </c>
      <c r="F1238" s="336">
        <v>824496</v>
      </c>
      <c r="G1238" s="330" t="s">
        <v>236</v>
      </c>
      <c r="H1238" s="329">
        <v>811.75542157792904</v>
      </c>
      <c r="I1238" s="336">
        <v>202.93885539448226</v>
      </c>
      <c r="J1238" s="336">
        <v>202.93885539448226</v>
      </c>
      <c r="K1238" s="336">
        <v>202.93885539448226</v>
      </c>
      <c r="L1238" s="336">
        <v>202.93885539448226</v>
      </c>
      <c r="M1238" s="336"/>
    </row>
    <row r="1239" spans="1:13" outlineLevel="1" collapsed="1" x14ac:dyDescent="0.35">
      <c r="A1239" s="343" t="s">
        <v>1854</v>
      </c>
      <c r="B1239" s="331"/>
      <c r="C1239" s="332"/>
      <c r="D1239" s="332"/>
      <c r="E1239" s="332"/>
      <c r="F1239" s="336"/>
      <c r="G1239" s="330"/>
      <c r="H1239" s="329">
        <f t="shared" ref="H1239:M1239" si="52">SUBTOTAL(9,H1225:H1238)</f>
        <v>9574.9994002814783</v>
      </c>
      <c r="I1239" s="336">
        <f t="shared" si="52"/>
        <v>2393.7498500703696</v>
      </c>
      <c r="J1239" s="336">
        <f t="shared" si="52"/>
        <v>2393.7498500703696</v>
      </c>
      <c r="K1239" s="336">
        <f t="shared" si="52"/>
        <v>2393.7498500703696</v>
      </c>
      <c r="L1239" s="336">
        <f t="shared" si="52"/>
        <v>2393.7498500703696</v>
      </c>
      <c r="M1239" s="336">
        <f t="shared" si="52"/>
        <v>0</v>
      </c>
    </row>
    <row r="1240" spans="1:13" hidden="1" outlineLevel="2" x14ac:dyDescent="0.35">
      <c r="A1240" s="339" t="s">
        <v>195</v>
      </c>
      <c r="B1240" s="331">
        <v>43847</v>
      </c>
      <c r="C1240" s="332" t="s">
        <v>1741</v>
      </c>
      <c r="D1240" s="332" t="s">
        <v>1855</v>
      </c>
      <c r="E1240" s="332" t="s">
        <v>1739</v>
      </c>
      <c r="F1240" s="336">
        <v>213973</v>
      </c>
      <c r="G1240" s="330" t="s">
        <v>236</v>
      </c>
      <c r="H1240" s="329">
        <v>198.7938001147603</v>
      </c>
      <c r="I1240" s="336">
        <v>49.698450028690075</v>
      </c>
      <c r="J1240" s="336">
        <v>49.698450028690075</v>
      </c>
      <c r="K1240" s="336">
        <v>49.698450028690075</v>
      </c>
      <c r="L1240" s="336">
        <v>49.698450028690075</v>
      </c>
      <c r="M1240" s="336"/>
    </row>
    <row r="1241" spans="1:13" hidden="1" outlineLevel="2" x14ac:dyDescent="0.35">
      <c r="A1241" s="339" t="s">
        <v>195</v>
      </c>
      <c r="B1241" s="331">
        <v>43847</v>
      </c>
      <c r="C1241" s="332" t="s">
        <v>1743</v>
      </c>
      <c r="D1241" s="332" t="s">
        <v>1856</v>
      </c>
      <c r="E1241" s="332" t="s">
        <v>1739</v>
      </c>
      <c r="F1241" s="336">
        <v>742230</v>
      </c>
      <c r="G1241" s="330" t="s">
        <v>236</v>
      </c>
      <c r="H1241" s="329">
        <v>689.57635897603222</v>
      </c>
      <c r="I1241" s="336">
        <v>172.39408974400806</v>
      </c>
      <c r="J1241" s="336">
        <v>172.39408974400806</v>
      </c>
      <c r="K1241" s="336">
        <v>172.39408974400806</v>
      </c>
      <c r="L1241" s="336">
        <v>172.39408974400806</v>
      </c>
      <c r="M1241" s="336"/>
    </row>
    <row r="1242" spans="1:13" hidden="1" outlineLevel="2" x14ac:dyDescent="0.35">
      <c r="A1242" s="339" t="s">
        <v>195</v>
      </c>
      <c r="B1242" s="331">
        <v>43881</v>
      </c>
      <c r="C1242" s="332" t="s">
        <v>1741</v>
      </c>
      <c r="D1242" s="332" t="s">
        <v>1855</v>
      </c>
      <c r="E1242" s="332" t="s">
        <v>1739</v>
      </c>
      <c r="F1242" s="336">
        <v>213973</v>
      </c>
      <c r="G1242" s="330" t="s">
        <v>236</v>
      </c>
      <c r="H1242" s="329">
        <v>198.7938001147603</v>
      </c>
      <c r="I1242" s="336">
        <v>49.698450028690075</v>
      </c>
      <c r="J1242" s="336">
        <v>49.698450028690075</v>
      </c>
      <c r="K1242" s="336">
        <v>49.698450028690075</v>
      </c>
      <c r="L1242" s="336">
        <v>49.698450028690075</v>
      </c>
      <c r="M1242" s="336"/>
    </row>
    <row r="1243" spans="1:13" hidden="1" outlineLevel="2" x14ac:dyDescent="0.35">
      <c r="A1243" s="339" t="s">
        <v>195</v>
      </c>
      <c r="B1243" s="331">
        <v>43881</v>
      </c>
      <c r="C1243" s="332" t="s">
        <v>1071</v>
      </c>
      <c r="D1243" s="332" t="s">
        <v>1857</v>
      </c>
      <c r="E1243" s="332" t="s">
        <v>1739</v>
      </c>
      <c r="F1243" s="336">
        <v>742230</v>
      </c>
      <c r="G1243" s="330" t="s">
        <v>236</v>
      </c>
      <c r="H1243" s="329">
        <v>689.57635897603222</v>
      </c>
      <c r="I1243" s="336">
        <v>172.39408974400806</v>
      </c>
      <c r="J1243" s="336">
        <v>172.39408974400806</v>
      </c>
      <c r="K1243" s="336">
        <v>172.39408974400806</v>
      </c>
      <c r="L1243" s="336">
        <v>172.39408974400806</v>
      </c>
      <c r="M1243" s="336"/>
    </row>
    <row r="1244" spans="1:13" hidden="1" outlineLevel="2" x14ac:dyDescent="0.35">
      <c r="A1244" s="339" t="s">
        <v>195</v>
      </c>
      <c r="B1244" s="331">
        <v>43910</v>
      </c>
      <c r="C1244" s="332" t="s">
        <v>474</v>
      </c>
      <c r="D1244" s="332" t="s">
        <v>1858</v>
      </c>
      <c r="E1244" s="332" t="s">
        <v>1739</v>
      </c>
      <c r="F1244" s="336">
        <v>209676</v>
      </c>
      <c r="G1244" s="330" t="s">
        <v>236</v>
      </c>
      <c r="H1244" s="329">
        <v>194.80162839639806</v>
      </c>
      <c r="I1244" s="336">
        <v>48.700407099099515</v>
      </c>
      <c r="J1244" s="336">
        <v>48.700407099099515</v>
      </c>
      <c r="K1244" s="336">
        <v>48.700407099099515</v>
      </c>
      <c r="L1244" s="336">
        <v>48.700407099099515</v>
      </c>
      <c r="M1244" s="336"/>
    </row>
    <row r="1245" spans="1:13" hidden="1" outlineLevel="2" x14ac:dyDescent="0.35">
      <c r="A1245" s="339" t="s">
        <v>195</v>
      </c>
      <c r="B1245" s="331">
        <v>43910</v>
      </c>
      <c r="C1245" s="332" t="s">
        <v>477</v>
      </c>
      <c r="D1245" s="332" t="s">
        <v>1859</v>
      </c>
      <c r="E1245" s="332" t="s">
        <v>1739</v>
      </c>
      <c r="F1245" s="336">
        <v>746527</v>
      </c>
      <c r="G1245" s="330" t="s">
        <v>236</v>
      </c>
      <c r="H1245" s="329">
        <v>693.56853069439444</v>
      </c>
      <c r="I1245" s="336">
        <v>173.39213267359861</v>
      </c>
      <c r="J1245" s="336">
        <v>173.39213267359861</v>
      </c>
      <c r="K1245" s="336">
        <v>173.39213267359861</v>
      </c>
      <c r="L1245" s="336">
        <v>173.39213267359861</v>
      </c>
      <c r="M1245" s="336"/>
    </row>
    <row r="1246" spans="1:13" hidden="1" outlineLevel="2" x14ac:dyDescent="0.35">
      <c r="A1246" s="339" t="s">
        <v>195</v>
      </c>
      <c r="B1246" s="331">
        <v>43941</v>
      </c>
      <c r="C1246" s="332" t="s">
        <v>479</v>
      </c>
      <c r="D1246" s="332" t="s">
        <v>1860</v>
      </c>
      <c r="E1246" s="332" t="s">
        <v>1739</v>
      </c>
      <c r="F1246" s="336">
        <v>558076</v>
      </c>
      <c r="G1246" s="330" t="s">
        <v>236</v>
      </c>
      <c r="H1246" s="329">
        <v>518.48620523545014</v>
      </c>
      <c r="I1246" s="336">
        <v>129.62155130886254</v>
      </c>
      <c r="J1246" s="336">
        <v>129.62155130886254</v>
      </c>
      <c r="K1246" s="336">
        <v>129.62155130886254</v>
      </c>
      <c r="L1246" s="336">
        <v>129.62155130886254</v>
      </c>
      <c r="M1246" s="336"/>
    </row>
    <row r="1247" spans="1:13" hidden="1" outlineLevel="2" x14ac:dyDescent="0.35">
      <c r="A1247" s="339" t="s">
        <v>195</v>
      </c>
      <c r="B1247" s="331">
        <v>43941</v>
      </c>
      <c r="C1247" s="332" t="s">
        <v>481</v>
      </c>
      <c r="D1247" s="332" t="s">
        <v>1861</v>
      </c>
      <c r="E1247" s="332" t="s">
        <v>1739</v>
      </c>
      <c r="F1247" s="336">
        <v>398127</v>
      </c>
      <c r="G1247" s="330" t="s">
        <v>236</v>
      </c>
      <c r="H1247" s="329">
        <v>369.88395385534238</v>
      </c>
      <c r="I1247" s="336">
        <v>92.470988463835596</v>
      </c>
      <c r="J1247" s="336">
        <v>92.470988463835596</v>
      </c>
      <c r="K1247" s="336">
        <v>92.470988463835596</v>
      </c>
      <c r="L1247" s="336">
        <v>92.470988463835596</v>
      </c>
      <c r="M1247" s="336"/>
    </row>
    <row r="1248" spans="1:13" outlineLevel="1" collapsed="1" x14ac:dyDescent="0.35">
      <c r="A1248" s="343" t="s">
        <v>1862</v>
      </c>
      <c r="B1248" s="331"/>
      <c r="C1248" s="332"/>
      <c r="D1248" s="332"/>
      <c r="E1248" s="332"/>
      <c r="F1248" s="336"/>
      <c r="G1248" s="330"/>
      <c r="H1248" s="329">
        <f t="shared" ref="H1248:M1248" si="53">SUBTOTAL(9,H1240:H1247)</f>
        <v>3553.4806363631701</v>
      </c>
      <c r="I1248" s="336">
        <f t="shared" si="53"/>
        <v>888.37015909079253</v>
      </c>
      <c r="J1248" s="336">
        <f t="shared" si="53"/>
        <v>888.37015909079253</v>
      </c>
      <c r="K1248" s="336">
        <f t="shared" si="53"/>
        <v>888.37015909079253</v>
      </c>
      <c r="L1248" s="336">
        <f t="shared" si="53"/>
        <v>888.37015909079253</v>
      </c>
      <c r="M1248" s="336">
        <f t="shared" si="53"/>
        <v>0</v>
      </c>
    </row>
    <row r="1249" spans="1:13" hidden="1" outlineLevel="2" x14ac:dyDescent="0.35">
      <c r="A1249" s="339" t="s">
        <v>199</v>
      </c>
      <c r="B1249" s="331">
        <v>43847</v>
      </c>
      <c r="C1249" s="332" t="s">
        <v>1741</v>
      </c>
      <c r="D1249" s="332" t="s">
        <v>1863</v>
      </c>
      <c r="E1249" s="332" t="s">
        <v>1864</v>
      </c>
      <c r="F1249" s="336">
        <v>675867</v>
      </c>
      <c r="G1249" s="330" t="s">
        <v>236</v>
      </c>
      <c r="H1249" s="329">
        <v>627.9211363216981</v>
      </c>
      <c r="I1249" s="336">
        <v>156.98028408042452</v>
      </c>
      <c r="J1249" s="336">
        <v>156.98028408042452</v>
      </c>
      <c r="K1249" s="336">
        <v>156.98028408042452</v>
      </c>
      <c r="L1249" s="336">
        <v>156.98028408042452</v>
      </c>
      <c r="M1249" s="336"/>
    </row>
    <row r="1250" spans="1:13" hidden="1" outlineLevel="2" x14ac:dyDescent="0.35">
      <c r="A1250" s="339" t="s">
        <v>199</v>
      </c>
      <c r="B1250" s="331">
        <v>43847</v>
      </c>
      <c r="C1250" s="332" t="s">
        <v>1743</v>
      </c>
      <c r="D1250" s="332" t="s">
        <v>1865</v>
      </c>
      <c r="E1250" s="332" t="s">
        <v>1864</v>
      </c>
      <c r="F1250" s="336">
        <v>594078</v>
      </c>
      <c r="G1250" s="330" t="s">
        <v>236</v>
      </c>
      <c r="H1250" s="329">
        <v>551.93423088229156</v>
      </c>
      <c r="I1250" s="336">
        <v>137.98355772057289</v>
      </c>
      <c r="J1250" s="336">
        <v>137.98355772057289</v>
      </c>
      <c r="K1250" s="336">
        <v>137.98355772057289</v>
      </c>
      <c r="L1250" s="336">
        <v>137.98355772057289</v>
      </c>
      <c r="M1250" s="336"/>
    </row>
    <row r="1251" spans="1:13" hidden="1" outlineLevel="2" x14ac:dyDescent="0.35">
      <c r="A1251" s="339" t="s">
        <v>199</v>
      </c>
      <c r="B1251" s="327">
        <v>43881</v>
      </c>
      <c r="C1251" s="328" t="s">
        <v>1060</v>
      </c>
      <c r="D1251" s="328" t="s">
        <v>1866</v>
      </c>
      <c r="E1251" s="328" t="s">
        <v>1864</v>
      </c>
      <c r="F1251" s="338">
        <v>328867</v>
      </c>
      <c r="G1251" s="330" t="s">
        <v>236</v>
      </c>
      <c r="H1251" s="329">
        <v>305.53724377534024</v>
      </c>
      <c r="I1251" s="338">
        <v>76.384310943835061</v>
      </c>
      <c r="J1251" s="338">
        <v>76.384310943835061</v>
      </c>
      <c r="K1251" s="336">
        <v>76.384310943835061</v>
      </c>
      <c r="L1251" s="338">
        <v>76.384310943835061</v>
      </c>
      <c r="M1251" s="338"/>
    </row>
    <row r="1252" spans="1:13" hidden="1" outlineLevel="2" x14ac:dyDescent="0.35">
      <c r="A1252" s="339" t="s">
        <v>199</v>
      </c>
      <c r="B1252" s="331">
        <v>43881</v>
      </c>
      <c r="C1252" s="332" t="s">
        <v>1071</v>
      </c>
      <c r="D1252" s="332" t="s">
        <v>1867</v>
      </c>
      <c r="E1252" s="332" t="s">
        <v>1864</v>
      </c>
      <c r="F1252" s="336">
        <v>828926</v>
      </c>
      <c r="G1252" s="330" t="s">
        <v>236</v>
      </c>
      <c r="H1252" s="329">
        <v>770.12216286133196</v>
      </c>
      <c r="I1252" s="336">
        <v>192.53054071533299</v>
      </c>
      <c r="J1252" s="336">
        <v>192.53054071533299</v>
      </c>
      <c r="K1252" s="336">
        <v>192.53054071533299</v>
      </c>
      <c r="L1252" s="336">
        <v>192.53054071533299</v>
      </c>
      <c r="M1252" s="336"/>
    </row>
    <row r="1253" spans="1:13" hidden="1" outlineLevel="2" x14ac:dyDescent="0.35">
      <c r="A1253" s="339" t="s">
        <v>199</v>
      </c>
      <c r="B1253" s="331">
        <v>43910</v>
      </c>
      <c r="C1253" s="332" t="s">
        <v>474</v>
      </c>
      <c r="D1253" s="332" t="s">
        <v>1868</v>
      </c>
      <c r="E1253" s="332" t="s">
        <v>1864</v>
      </c>
      <c r="F1253" s="336">
        <v>325376</v>
      </c>
      <c r="G1253" s="330" t="s">
        <v>236</v>
      </c>
      <c r="H1253" s="329">
        <v>302.29389458548621</v>
      </c>
      <c r="I1253" s="336">
        <v>75.573473646371554</v>
      </c>
      <c r="J1253" s="336">
        <v>75.573473646371554</v>
      </c>
      <c r="K1253" s="336">
        <v>75.573473646371554</v>
      </c>
      <c r="L1253" s="336">
        <v>75.573473646371554</v>
      </c>
      <c r="M1253" s="336"/>
    </row>
    <row r="1254" spans="1:13" hidden="1" outlineLevel="2" x14ac:dyDescent="0.35">
      <c r="A1254" s="339" t="s">
        <v>199</v>
      </c>
      <c r="B1254" s="331">
        <v>43910</v>
      </c>
      <c r="C1254" s="332" t="s">
        <v>477</v>
      </c>
      <c r="D1254" s="332" t="s">
        <v>1869</v>
      </c>
      <c r="E1254" s="332" t="s">
        <v>1864</v>
      </c>
      <c r="F1254" s="336">
        <v>598337</v>
      </c>
      <c r="G1254" s="330" t="s">
        <v>236</v>
      </c>
      <c r="H1254" s="329">
        <v>555.89109831270923</v>
      </c>
      <c r="I1254" s="336">
        <v>138.97277457817731</v>
      </c>
      <c r="J1254" s="336">
        <v>138.97277457817731</v>
      </c>
      <c r="K1254" s="336">
        <v>138.97277457817731</v>
      </c>
      <c r="L1254" s="336">
        <v>138.97277457817731</v>
      </c>
      <c r="M1254" s="336"/>
    </row>
    <row r="1255" spans="1:13" hidden="1" outlineLevel="2" x14ac:dyDescent="0.35">
      <c r="A1255" s="339" t="s">
        <v>199</v>
      </c>
      <c r="B1255" s="331">
        <v>43941</v>
      </c>
      <c r="C1255" s="332" t="s">
        <v>479</v>
      </c>
      <c r="D1255" s="332" t="s">
        <v>1870</v>
      </c>
      <c r="E1255" s="332" t="s">
        <v>1864</v>
      </c>
      <c r="F1255" s="336">
        <v>326376</v>
      </c>
      <c r="G1255" s="330" t="s">
        <v>236</v>
      </c>
      <c r="H1255" s="329">
        <v>303.22295479455357</v>
      </c>
      <c r="I1255" s="336">
        <v>75.805738698638393</v>
      </c>
      <c r="J1255" s="336">
        <v>75.805738698638393</v>
      </c>
      <c r="K1255" s="336">
        <v>75.805738698638393</v>
      </c>
      <c r="L1255" s="336">
        <v>75.805738698638393</v>
      </c>
      <c r="M1255" s="336"/>
    </row>
    <row r="1256" spans="1:13" hidden="1" outlineLevel="2" x14ac:dyDescent="0.35">
      <c r="A1256" s="339" t="s">
        <v>199</v>
      </c>
      <c r="B1256" s="331">
        <v>43941</v>
      </c>
      <c r="C1256" s="332" t="s">
        <v>481</v>
      </c>
      <c r="D1256" s="332" t="s">
        <v>1871</v>
      </c>
      <c r="E1256" s="332" t="s">
        <v>1864</v>
      </c>
      <c r="F1256" s="336">
        <v>831417</v>
      </c>
      <c r="G1256" s="330" t="s">
        <v>236</v>
      </c>
      <c r="H1256" s="329">
        <v>772.43645184211869</v>
      </c>
      <c r="I1256" s="336">
        <v>193.10911296052967</v>
      </c>
      <c r="J1256" s="336">
        <v>193.10911296052967</v>
      </c>
      <c r="K1256" s="336">
        <v>193.10911296052967</v>
      </c>
      <c r="L1256" s="336">
        <v>193.10911296052967</v>
      </c>
      <c r="M1256" s="336"/>
    </row>
    <row r="1257" spans="1:13" hidden="1" outlineLevel="2" x14ac:dyDescent="0.35">
      <c r="A1257" s="339" t="s">
        <v>199</v>
      </c>
      <c r="B1257" s="331">
        <v>43760</v>
      </c>
      <c r="C1257" s="332" t="s">
        <v>1844</v>
      </c>
      <c r="D1257" s="332" t="s">
        <v>1872</v>
      </c>
      <c r="E1257" s="332" t="s">
        <v>1873</v>
      </c>
      <c r="F1257" s="336">
        <v>425867</v>
      </c>
      <c r="G1257" s="330" t="s">
        <v>236</v>
      </c>
      <c r="H1257" s="329">
        <v>419.28626229979028</v>
      </c>
      <c r="I1257" s="336">
        <v>104.82156557494757</v>
      </c>
      <c r="J1257" s="336">
        <v>104.82156557494757</v>
      </c>
      <c r="K1257" s="336">
        <v>104.82156557494757</v>
      </c>
      <c r="L1257" s="336">
        <v>104.82156557494757</v>
      </c>
      <c r="M1257" s="336"/>
    </row>
    <row r="1258" spans="1:13" hidden="1" outlineLevel="2" x14ac:dyDescent="0.35">
      <c r="A1258" s="339" t="s">
        <v>199</v>
      </c>
      <c r="B1258" s="331">
        <v>43760</v>
      </c>
      <c r="C1258" s="332" t="s">
        <v>1847</v>
      </c>
      <c r="D1258" s="332" t="s">
        <v>1874</v>
      </c>
      <c r="E1258" s="332" t="s">
        <v>1873</v>
      </c>
      <c r="F1258" s="336">
        <v>481926</v>
      </c>
      <c r="G1258" s="330" t="s">
        <v>236</v>
      </c>
      <c r="H1258" s="329">
        <v>474.47900693194998</v>
      </c>
      <c r="I1258" s="336">
        <v>118.6197517329875</v>
      </c>
      <c r="J1258" s="336">
        <v>118.6197517329875</v>
      </c>
      <c r="K1258" s="336">
        <v>118.6197517329875</v>
      </c>
      <c r="L1258" s="336">
        <v>118.6197517329875</v>
      </c>
      <c r="M1258" s="336"/>
    </row>
    <row r="1259" spans="1:13" hidden="1" outlineLevel="2" x14ac:dyDescent="0.35">
      <c r="A1259" s="339" t="s">
        <v>199</v>
      </c>
      <c r="B1259" s="331">
        <v>43783</v>
      </c>
      <c r="C1259" s="332" t="s">
        <v>1817</v>
      </c>
      <c r="D1259" s="332" t="s">
        <v>1875</v>
      </c>
      <c r="E1259" s="332" t="s">
        <v>1864</v>
      </c>
      <c r="F1259" s="336">
        <v>481926</v>
      </c>
      <c r="G1259" s="330" t="s">
        <v>236</v>
      </c>
      <c r="H1259" s="329">
        <v>474.47900693194998</v>
      </c>
      <c r="I1259" s="336">
        <v>118.6197517329875</v>
      </c>
      <c r="J1259" s="336">
        <v>118.6197517329875</v>
      </c>
      <c r="K1259" s="336">
        <v>118.6197517329875</v>
      </c>
      <c r="L1259" s="336">
        <v>118.6197517329875</v>
      </c>
      <c r="M1259" s="336"/>
    </row>
    <row r="1260" spans="1:13" hidden="1" outlineLevel="2" x14ac:dyDescent="0.35">
      <c r="A1260" s="339" t="s">
        <v>199</v>
      </c>
      <c r="B1260" s="331">
        <v>43783</v>
      </c>
      <c r="C1260" s="332" t="s">
        <v>1663</v>
      </c>
      <c r="D1260" s="332" t="s">
        <v>1876</v>
      </c>
      <c r="E1260" s="332" t="s">
        <v>1864</v>
      </c>
      <c r="F1260" s="336">
        <v>425867</v>
      </c>
      <c r="G1260" s="330" t="s">
        <v>236</v>
      </c>
      <c r="H1260" s="329">
        <v>419.28626229979028</v>
      </c>
      <c r="I1260" s="336">
        <v>104.82156557494757</v>
      </c>
      <c r="J1260" s="336">
        <v>104.82156557494757</v>
      </c>
      <c r="K1260" s="336">
        <v>104.82156557494757</v>
      </c>
      <c r="L1260" s="336">
        <v>104.82156557494757</v>
      </c>
      <c r="M1260" s="336"/>
    </row>
    <row r="1261" spans="1:13" hidden="1" outlineLevel="2" x14ac:dyDescent="0.35">
      <c r="A1261" s="339" t="s">
        <v>199</v>
      </c>
      <c r="B1261" s="331">
        <v>43817</v>
      </c>
      <c r="C1261" s="332" t="s">
        <v>1755</v>
      </c>
      <c r="D1261" s="332" t="s">
        <v>1877</v>
      </c>
      <c r="E1261" s="332" t="s">
        <v>1864</v>
      </c>
      <c r="F1261" s="336">
        <v>481926</v>
      </c>
      <c r="G1261" s="330" t="s">
        <v>236</v>
      </c>
      <c r="H1261" s="329">
        <v>474.47900693194998</v>
      </c>
      <c r="I1261" s="336">
        <v>118.6197517329875</v>
      </c>
      <c r="J1261" s="336">
        <v>118.6197517329875</v>
      </c>
      <c r="K1261" s="336">
        <v>118.6197517329875</v>
      </c>
      <c r="L1261" s="336">
        <v>118.6197517329875</v>
      </c>
      <c r="M1261" s="336"/>
    </row>
    <row r="1262" spans="1:13" hidden="1" outlineLevel="2" x14ac:dyDescent="0.35">
      <c r="A1262" s="339" t="s">
        <v>199</v>
      </c>
      <c r="B1262" s="331">
        <v>43817</v>
      </c>
      <c r="C1262" s="332" t="s">
        <v>824</v>
      </c>
      <c r="D1262" s="332" t="s">
        <v>1878</v>
      </c>
      <c r="E1262" s="332" t="s">
        <v>1864</v>
      </c>
      <c r="F1262" s="336">
        <v>675867</v>
      </c>
      <c r="G1262" s="330" t="s">
        <v>236</v>
      </c>
      <c r="H1262" s="329">
        <v>665.4231209315875</v>
      </c>
      <c r="I1262" s="336">
        <v>166.35578023289688</v>
      </c>
      <c r="J1262" s="336">
        <v>166.35578023289688</v>
      </c>
      <c r="K1262" s="336">
        <v>166.35578023289688</v>
      </c>
      <c r="L1262" s="336">
        <v>166.35578023289688</v>
      </c>
      <c r="M1262" s="336"/>
    </row>
    <row r="1263" spans="1:13" outlineLevel="1" collapsed="1" x14ac:dyDescent="0.35">
      <c r="A1263" s="343" t="s">
        <v>1879</v>
      </c>
      <c r="B1263" s="331"/>
      <c r="C1263" s="332"/>
      <c r="D1263" s="332"/>
      <c r="E1263" s="332"/>
      <c r="F1263" s="336"/>
      <c r="G1263" s="330"/>
      <c r="H1263" s="329">
        <f t="shared" ref="H1263:M1263" si="54">SUBTOTAL(9,H1249:H1262)</f>
        <v>7116.7918397025469</v>
      </c>
      <c r="I1263" s="336">
        <f t="shared" si="54"/>
        <v>1779.1979599256367</v>
      </c>
      <c r="J1263" s="336">
        <f t="shared" si="54"/>
        <v>1779.1979599256367</v>
      </c>
      <c r="K1263" s="336">
        <f t="shared" si="54"/>
        <v>1779.1979599256367</v>
      </c>
      <c r="L1263" s="336">
        <f t="shared" si="54"/>
        <v>1779.1979599256367</v>
      </c>
      <c r="M1263" s="336">
        <f t="shared" si="54"/>
        <v>0</v>
      </c>
    </row>
    <row r="1264" spans="1:13" hidden="1" outlineLevel="2" x14ac:dyDescent="0.35">
      <c r="A1264" s="339" t="s">
        <v>200</v>
      </c>
      <c r="B1264" s="331">
        <v>43847</v>
      </c>
      <c r="C1264" s="332" t="s">
        <v>1741</v>
      </c>
      <c r="D1264" s="332" t="s">
        <v>1880</v>
      </c>
      <c r="E1264" s="332" t="s">
        <v>1881</v>
      </c>
      <c r="F1264" s="336">
        <v>815830</v>
      </c>
      <c r="G1264" s="330" t="s">
        <v>236</v>
      </c>
      <c r="H1264" s="329">
        <v>757.95519036338646</v>
      </c>
      <c r="I1264" s="336">
        <v>189.48879759084662</v>
      </c>
      <c r="J1264" s="336">
        <v>189.48879759084662</v>
      </c>
      <c r="K1264" s="336">
        <v>189.48879759084662</v>
      </c>
      <c r="L1264" s="336">
        <v>189.48879759084662</v>
      </c>
      <c r="M1264" s="336"/>
    </row>
    <row r="1265" spans="1:13" hidden="1" outlineLevel="2" x14ac:dyDescent="0.35">
      <c r="A1265" s="339" t="s">
        <v>200</v>
      </c>
      <c r="B1265" s="331">
        <v>43847</v>
      </c>
      <c r="C1265" s="332" t="s">
        <v>1743</v>
      </c>
      <c r="D1265" s="332" t="s">
        <v>1882</v>
      </c>
      <c r="E1265" s="332" t="s">
        <v>1881</v>
      </c>
      <c r="F1265" s="336">
        <v>592804</v>
      </c>
      <c r="G1265" s="330" t="s">
        <v>236</v>
      </c>
      <c r="H1265" s="329">
        <v>550.75060817593976</v>
      </c>
      <c r="I1265" s="336">
        <v>137.68765204398494</v>
      </c>
      <c r="J1265" s="336">
        <v>137.68765204398494</v>
      </c>
      <c r="K1265" s="336">
        <v>137.68765204398494</v>
      </c>
      <c r="L1265" s="336">
        <v>137.68765204398494</v>
      </c>
      <c r="M1265" s="336"/>
    </row>
    <row r="1266" spans="1:13" hidden="1" outlineLevel="2" x14ac:dyDescent="0.35">
      <c r="A1266" s="339" t="s">
        <v>200</v>
      </c>
      <c r="B1266" s="331">
        <v>43881</v>
      </c>
      <c r="C1266" s="332" t="s">
        <v>1741</v>
      </c>
      <c r="D1266" s="332" t="s">
        <v>1880</v>
      </c>
      <c r="E1266" s="332" t="s">
        <v>873</v>
      </c>
      <c r="F1266" s="336">
        <v>813830</v>
      </c>
      <c r="G1266" s="330" t="s">
        <v>236</v>
      </c>
      <c r="H1266" s="329">
        <v>756.09706994525186</v>
      </c>
      <c r="I1266" s="336">
        <v>189.02426748631297</v>
      </c>
      <c r="J1266" s="336">
        <v>189.02426748631297</v>
      </c>
      <c r="K1266" s="336">
        <v>189.02426748631297</v>
      </c>
      <c r="L1266" s="336">
        <v>189.02426748631297</v>
      </c>
      <c r="M1266" s="336"/>
    </row>
    <row r="1267" spans="1:13" hidden="1" outlineLevel="2" x14ac:dyDescent="0.35">
      <c r="A1267" s="339" t="s">
        <v>200</v>
      </c>
      <c r="B1267" s="331">
        <v>43881</v>
      </c>
      <c r="C1267" s="332" t="s">
        <v>1071</v>
      </c>
      <c r="D1267" s="332" t="s">
        <v>1883</v>
      </c>
      <c r="E1267" s="332" t="s">
        <v>873</v>
      </c>
      <c r="F1267" s="336">
        <v>594804</v>
      </c>
      <c r="G1267" s="330" t="s">
        <v>236</v>
      </c>
      <c r="H1267" s="329">
        <v>552.60872859407436</v>
      </c>
      <c r="I1267" s="336">
        <v>138.15218214851859</v>
      </c>
      <c r="J1267" s="336">
        <v>138.15218214851859</v>
      </c>
      <c r="K1267" s="336">
        <v>138.15218214851859</v>
      </c>
      <c r="L1267" s="336">
        <v>138.15218214851859</v>
      </c>
      <c r="M1267" s="336"/>
    </row>
    <row r="1268" spans="1:13" hidden="1" outlineLevel="2" x14ac:dyDescent="0.35">
      <c r="A1268" s="335" t="s">
        <v>200</v>
      </c>
      <c r="B1268" s="331">
        <v>43910</v>
      </c>
      <c r="C1268" s="332" t="s">
        <v>474</v>
      </c>
      <c r="D1268" s="332" t="s">
        <v>1884</v>
      </c>
      <c r="E1268" s="332" t="s">
        <v>873</v>
      </c>
      <c r="F1268" s="336">
        <v>801600</v>
      </c>
      <c r="G1268" s="330" t="s">
        <v>236</v>
      </c>
      <c r="H1268" s="329">
        <v>744.73466358835856</v>
      </c>
      <c r="I1268" s="336">
        <v>186.18366589708964</v>
      </c>
      <c r="J1268" s="336">
        <v>186.18366589708964</v>
      </c>
      <c r="K1268" s="336">
        <v>186.18366589708964</v>
      </c>
      <c r="L1268" s="336">
        <v>186.18366589708964</v>
      </c>
      <c r="M1268" s="336"/>
    </row>
    <row r="1269" spans="1:13" hidden="1" outlineLevel="2" x14ac:dyDescent="0.35">
      <c r="A1269" s="335" t="s">
        <v>200</v>
      </c>
      <c r="B1269" s="331">
        <v>43910</v>
      </c>
      <c r="C1269" s="332" t="s">
        <v>477</v>
      </c>
      <c r="D1269" s="332" t="s">
        <v>1885</v>
      </c>
      <c r="E1269" s="332" t="s">
        <v>873</v>
      </c>
      <c r="F1269" s="336">
        <v>607034</v>
      </c>
      <c r="G1269" s="330" t="s">
        <v>236</v>
      </c>
      <c r="H1269" s="329">
        <v>563.97113495096767</v>
      </c>
      <c r="I1269" s="336">
        <v>140.99278373774192</v>
      </c>
      <c r="J1269" s="336">
        <v>140.99278373774192</v>
      </c>
      <c r="K1269" s="336">
        <v>140.99278373774192</v>
      </c>
      <c r="L1269" s="336">
        <v>140.99278373774192</v>
      </c>
      <c r="M1269" s="336"/>
    </row>
    <row r="1270" spans="1:13" hidden="1" outlineLevel="2" x14ac:dyDescent="0.35">
      <c r="A1270" s="335" t="s">
        <v>200</v>
      </c>
      <c r="B1270" s="331">
        <v>43941</v>
      </c>
      <c r="C1270" s="332" t="s">
        <v>479</v>
      </c>
      <c r="D1270" s="332" t="s">
        <v>1886</v>
      </c>
      <c r="E1270" s="332" t="s">
        <v>873</v>
      </c>
      <c r="F1270" s="336">
        <v>814600</v>
      </c>
      <c r="G1270" s="330" t="s">
        <v>236</v>
      </c>
      <c r="H1270" s="329">
        <v>756.81244630623371</v>
      </c>
      <c r="I1270" s="336">
        <v>189.20311157655843</v>
      </c>
      <c r="J1270" s="336">
        <v>189.20311157655843</v>
      </c>
      <c r="K1270" s="336">
        <v>189.20311157655843</v>
      </c>
      <c r="L1270" s="336">
        <v>189.20311157655843</v>
      </c>
      <c r="M1270" s="336"/>
    </row>
    <row r="1271" spans="1:13" hidden="1" outlineLevel="2" x14ac:dyDescent="0.35">
      <c r="A1271" s="335" t="s">
        <v>200</v>
      </c>
      <c r="B1271" s="331">
        <v>43941</v>
      </c>
      <c r="C1271" s="332" t="s">
        <v>481</v>
      </c>
      <c r="D1271" s="332" t="s">
        <v>1887</v>
      </c>
      <c r="E1271" s="332" t="s">
        <v>873</v>
      </c>
      <c r="F1271" s="336">
        <v>594034</v>
      </c>
      <c r="G1271" s="330" t="s">
        <v>236</v>
      </c>
      <c r="H1271" s="329">
        <v>551.89335223309263</v>
      </c>
      <c r="I1271" s="336">
        <v>137.97333805827316</v>
      </c>
      <c r="J1271" s="336">
        <v>137.97333805827316</v>
      </c>
      <c r="K1271" s="336">
        <v>137.97333805827316</v>
      </c>
      <c r="L1271" s="336">
        <v>137.97333805827316</v>
      </c>
      <c r="M1271" s="336"/>
    </row>
    <row r="1272" spans="1:13" outlineLevel="1" collapsed="1" x14ac:dyDescent="0.35">
      <c r="A1272" s="337" t="s">
        <v>1888</v>
      </c>
      <c r="B1272" s="331"/>
      <c r="C1272" s="332"/>
      <c r="D1272" s="332"/>
      <c r="E1272" s="332"/>
      <c r="F1272" s="336"/>
      <c r="G1272" s="330"/>
      <c r="H1272" s="329">
        <f t="shared" ref="H1272:M1272" si="55">SUBTOTAL(9,H1264:H1271)</f>
        <v>5234.8231941573049</v>
      </c>
      <c r="I1272" s="336">
        <f t="shared" si="55"/>
        <v>1308.7057985393262</v>
      </c>
      <c r="J1272" s="336">
        <f t="shared" si="55"/>
        <v>1308.7057985393262</v>
      </c>
      <c r="K1272" s="336">
        <f t="shared" si="55"/>
        <v>1308.7057985393262</v>
      </c>
      <c r="L1272" s="336">
        <f t="shared" si="55"/>
        <v>1308.7057985393262</v>
      </c>
      <c r="M1272" s="336">
        <f t="shared" si="55"/>
        <v>0</v>
      </c>
    </row>
    <row r="1273" spans="1:13" hidden="1" outlineLevel="2" x14ac:dyDescent="0.35">
      <c r="A1273" s="341" t="s">
        <v>69</v>
      </c>
      <c r="B1273" s="331">
        <v>43742</v>
      </c>
      <c r="C1273" s="332" t="s">
        <v>1889</v>
      </c>
      <c r="D1273" s="332" t="s">
        <v>1890</v>
      </c>
      <c r="E1273" s="332" t="s">
        <v>1891</v>
      </c>
      <c r="F1273" s="336">
        <v>349200</v>
      </c>
      <c r="G1273" s="330" t="s">
        <v>236</v>
      </c>
      <c r="H1273" s="329">
        <v>343.80396413689431</v>
      </c>
      <c r="I1273" s="336">
        <v>343.80396413689431</v>
      </c>
      <c r="J1273" s="336"/>
      <c r="K1273" s="336"/>
      <c r="L1273" s="336"/>
      <c r="M1273" s="336"/>
    </row>
    <row r="1274" spans="1:13" hidden="1" outlineLevel="2" x14ac:dyDescent="0.35">
      <c r="A1274" s="341" t="s">
        <v>69</v>
      </c>
      <c r="B1274" s="331">
        <v>43742</v>
      </c>
      <c r="C1274" s="332" t="s">
        <v>1892</v>
      </c>
      <c r="D1274" s="332" t="s">
        <v>1893</v>
      </c>
      <c r="E1274" s="332" t="s">
        <v>1894</v>
      </c>
      <c r="F1274" s="336">
        <v>1078000</v>
      </c>
      <c r="G1274" s="330" t="s">
        <v>236</v>
      </c>
      <c r="H1274" s="329">
        <v>1061.3421344203095</v>
      </c>
      <c r="I1274" s="336">
        <v>1061.3421344203095</v>
      </c>
      <c r="J1274" s="336"/>
      <c r="K1274" s="336"/>
      <c r="L1274" s="336"/>
      <c r="M1274" s="336"/>
    </row>
    <row r="1275" spans="1:13" hidden="1" outlineLevel="2" x14ac:dyDescent="0.35">
      <c r="A1275" s="341" t="s">
        <v>69</v>
      </c>
      <c r="B1275" s="331">
        <v>43795</v>
      </c>
      <c r="C1275" s="332" t="s">
        <v>1895</v>
      </c>
      <c r="D1275" s="332" t="s">
        <v>1896</v>
      </c>
      <c r="E1275" s="332" t="s">
        <v>1539</v>
      </c>
      <c r="F1275" s="336">
        <v>153400</v>
      </c>
      <c r="G1275" s="330" t="s">
        <v>236</v>
      </c>
      <c r="H1275" s="329">
        <v>151.02957645647075</v>
      </c>
      <c r="I1275" s="336">
        <v>151.02957645647075</v>
      </c>
      <c r="J1275" s="336"/>
      <c r="K1275" s="336"/>
      <c r="L1275" s="336"/>
      <c r="M1275" s="336"/>
    </row>
    <row r="1276" spans="1:13" hidden="1" outlineLevel="2" x14ac:dyDescent="0.35">
      <c r="A1276" s="341" t="s">
        <v>69</v>
      </c>
      <c r="B1276" s="331">
        <v>43819</v>
      </c>
      <c r="C1276" s="332" t="s">
        <v>943</v>
      </c>
      <c r="D1276" s="332" t="s">
        <v>1897</v>
      </c>
      <c r="E1276" s="332" t="s">
        <v>1898</v>
      </c>
      <c r="F1276" s="336">
        <v>261600</v>
      </c>
      <c r="G1276" s="330" t="s">
        <v>236</v>
      </c>
      <c r="H1276" s="329">
        <v>257.55760887231258</v>
      </c>
      <c r="I1276" s="336">
        <v>257.55760887231258</v>
      </c>
      <c r="J1276" s="336"/>
      <c r="K1276" s="336"/>
      <c r="L1276" s="336"/>
      <c r="M1276" s="336"/>
    </row>
    <row r="1277" spans="1:13" outlineLevel="1" collapsed="1" x14ac:dyDescent="0.35">
      <c r="A1277" s="342" t="s">
        <v>1899</v>
      </c>
      <c r="B1277" s="331"/>
      <c r="C1277" s="332"/>
      <c r="D1277" s="332"/>
      <c r="E1277" s="332"/>
      <c r="F1277" s="336"/>
      <c r="G1277" s="330"/>
      <c r="H1277" s="329">
        <f t="shared" ref="H1277:M1277" si="56">SUBTOTAL(9,H1273:H1276)</f>
        <v>1813.7332838859872</v>
      </c>
      <c r="I1277" s="336">
        <f t="shared" si="56"/>
        <v>1813.7332838859872</v>
      </c>
      <c r="J1277" s="336">
        <f t="shared" si="56"/>
        <v>0</v>
      </c>
      <c r="K1277" s="336">
        <f t="shared" si="56"/>
        <v>0</v>
      </c>
      <c r="L1277" s="336">
        <f t="shared" si="56"/>
        <v>0</v>
      </c>
      <c r="M1277" s="336">
        <f t="shared" si="56"/>
        <v>0</v>
      </c>
    </row>
    <row r="1278" spans="1:13" hidden="1" outlineLevel="2" x14ac:dyDescent="0.35">
      <c r="A1278" s="335" t="s">
        <v>169</v>
      </c>
      <c r="B1278" s="331">
        <v>44560</v>
      </c>
      <c r="C1278" s="332" t="s">
        <v>1045</v>
      </c>
      <c r="D1278" s="332" t="s">
        <v>1900</v>
      </c>
      <c r="E1278" s="332" t="s">
        <v>369</v>
      </c>
      <c r="F1278" s="336">
        <v>375060</v>
      </c>
      <c r="G1278" s="330" t="s">
        <v>236</v>
      </c>
      <c r="H1278" s="329">
        <v>331.03440791193469</v>
      </c>
      <c r="I1278" s="336"/>
      <c r="J1278" s="336"/>
      <c r="K1278" s="336"/>
      <c r="L1278" s="336">
        <v>331.03440791193469</v>
      </c>
      <c r="M1278" s="336"/>
    </row>
    <row r="1279" spans="1:13" outlineLevel="1" collapsed="1" x14ac:dyDescent="0.35">
      <c r="A1279" s="337" t="s">
        <v>1901</v>
      </c>
      <c r="B1279" s="331"/>
      <c r="C1279" s="332"/>
      <c r="D1279" s="332"/>
      <c r="E1279" s="332"/>
      <c r="F1279" s="336"/>
      <c r="G1279" s="330"/>
      <c r="H1279" s="329">
        <f t="shared" ref="H1279:M1279" si="57">SUBTOTAL(9,H1278:H1278)</f>
        <v>331.03440791193469</v>
      </c>
      <c r="I1279" s="336">
        <f t="shared" si="57"/>
        <v>0</v>
      </c>
      <c r="J1279" s="336">
        <f t="shared" si="57"/>
        <v>0</v>
      </c>
      <c r="K1279" s="336">
        <f t="shared" si="57"/>
        <v>0</v>
      </c>
      <c r="L1279" s="336">
        <f t="shared" si="57"/>
        <v>331.03440791193469</v>
      </c>
      <c r="M1279" s="336">
        <f t="shared" si="57"/>
        <v>0</v>
      </c>
    </row>
    <row r="1280" spans="1:13" hidden="1" outlineLevel="2" x14ac:dyDescent="0.35">
      <c r="A1280" s="335" t="s">
        <v>98</v>
      </c>
      <c r="B1280" s="331">
        <v>43963</v>
      </c>
      <c r="C1280" s="332" t="s">
        <v>1902</v>
      </c>
      <c r="D1280" s="332" t="s">
        <v>1903</v>
      </c>
      <c r="E1280" s="332" t="s">
        <v>1904</v>
      </c>
      <c r="F1280" s="336">
        <v>1062000</v>
      </c>
      <c r="G1280" s="330" t="s">
        <v>236</v>
      </c>
      <c r="H1280" s="329">
        <v>986.66194202948702</v>
      </c>
      <c r="I1280" s="336">
        <v>246.66548550737176</v>
      </c>
      <c r="J1280" s="336">
        <v>246.66548550737176</v>
      </c>
      <c r="K1280" s="336">
        <v>246.66548550737176</v>
      </c>
      <c r="L1280" s="336">
        <v>246.66548550737176</v>
      </c>
      <c r="M1280" s="336"/>
    </row>
    <row r="1281" spans="1:13" hidden="1" outlineLevel="2" x14ac:dyDescent="0.35">
      <c r="A1281" s="335" t="s">
        <v>98</v>
      </c>
      <c r="B1281" s="331">
        <v>43833</v>
      </c>
      <c r="C1281" s="332" t="s">
        <v>1905</v>
      </c>
      <c r="D1281" s="332" t="s">
        <v>1906</v>
      </c>
      <c r="E1281" s="332" t="s">
        <v>1904</v>
      </c>
      <c r="F1281" s="336">
        <v>708000</v>
      </c>
      <c r="G1281" s="330" t="s">
        <v>236</v>
      </c>
      <c r="H1281" s="329">
        <v>657.77462801965805</v>
      </c>
      <c r="I1281" s="336">
        <v>164.44365700491451</v>
      </c>
      <c r="J1281" s="336">
        <v>164.44365700491451</v>
      </c>
      <c r="K1281" s="336">
        <v>164.44365700491451</v>
      </c>
      <c r="L1281" s="336">
        <v>164.44365700491451</v>
      </c>
      <c r="M1281" s="336"/>
    </row>
    <row r="1282" spans="1:13" hidden="1" outlineLevel="2" x14ac:dyDescent="0.35">
      <c r="A1282" s="335" t="s">
        <v>98</v>
      </c>
      <c r="B1282" s="331">
        <v>44613</v>
      </c>
      <c r="C1282" s="332" t="s">
        <v>1907</v>
      </c>
      <c r="D1282" s="332" t="s">
        <v>1908</v>
      </c>
      <c r="E1282" s="332" t="s">
        <v>1909</v>
      </c>
      <c r="F1282" s="336">
        <v>885000</v>
      </c>
      <c r="G1282" s="330" t="s">
        <v>236</v>
      </c>
      <c r="H1282" s="329">
        <v>781.11622407631364</v>
      </c>
      <c r="I1282" s="336">
        <v>195.27905601907841</v>
      </c>
      <c r="J1282" s="336">
        <v>195.27905601907841</v>
      </c>
      <c r="K1282" s="336">
        <v>195.27905601907841</v>
      </c>
      <c r="L1282" s="336">
        <v>195.27905601907841</v>
      </c>
      <c r="M1282" s="336"/>
    </row>
    <row r="1283" spans="1:13" hidden="1" outlineLevel="2" x14ac:dyDescent="0.35">
      <c r="A1283" s="335" t="s">
        <v>98</v>
      </c>
      <c r="B1283" s="331">
        <v>44662</v>
      </c>
      <c r="C1283" s="332" t="s">
        <v>1910</v>
      </c>
      <c r="D1283" s="332" t="s">
        <v>1911</v>
      </c>
      <c r="E1283" s="332" t="s">
        <v>1912</v>
      </c>
      <c r="F1283" s="336">
        <v>885000</v>
      </c>
      <c r="G1283" s="330" t="s">
        <v>236</v>
      </c>
      <c r="H1283" s="329">
        <v>781.11622407631364</v>
      </c>
      <c r="I1283" s="336">
        <v>195.27905601907841</v>
      </c>
      <c r="J1283" s="336">
        <v>195.27905601907841</v>
      </c>
      <c r="K1283" s="336">
        <v>195.27905601907841</v>
      </c>
      <c r="L1283" s="336">
        <v>195.27905601907841</v>
      </c>
      <c r="M1283" s="336"/>
    </row>
    <row r="1284" spans="1:13" hidden="1" outlineLevel="2" x14ac:dyDescent="0.35">
      <c r="A1284" s="335" t="s">
        <v>98</v>
      </c>
      <c r="B1284" s="331">
        <v>44306</v>
      </c>
      <c r="C1284" s="332" t="s">
        <v>1913</v>
      </c>
      <c r="D1284" s="332" t="s">
        <v>1914</v>
      </c>
      <c r="E1284" s="332" t="s">
        <v>1915</v>
      </c>
      <c r="F1284" s="336">
        <v>2183000</v>
      </c>
      <c r="G1284" s="330" t="s">
        <v>236</v>
      </c>
      <c r="H1284" s="329">
        <v>1861.3021754382298</v>
      </c>
      <c r="I1284" s="333">
        <v>465.32554385955746</v>
      </c>
      <c r="J1284" s="333">
        <v>465.32554385955746</v>
      </c>
      <c r="K1284" s="333">
        <v>465.32554385955746</v>
      </c>
      <c r="L1284" s="333">
        <v>465.32554385955746</v>
      </c>
      <c r="M1284" s="336"/>
    </row>
    <row r="1285" spans="1:13" hidden="1" outlineLevel="2" x14ac:dyDescent="0.35">
      <c r="A1285" s="335" t="s">
        <v>98</v>
      </c>
      <c r="B1285" s="331">
        <v>44700</v>
      </c>
      <c r="C1285" s="332" t="s">
        <v>1913</v>
      </c>
      <c r="D1285" s="332" t="s">
        <v>1916</v>
      </c>
      <c r="E1285" s="332" t="s">
        <v>613</v>
      </c>
      <c r="F1285" s="336">
        <v>543620</v>
      </c>
      <c r="G1285" s="330" t="s">
        <v>236</v>
      </c>
      <c r="H1285" s="329">
        <v>479.80836353939623</v>
      </c>
      <c r="I1285" s="336">
        <v>119.95209088484906</v>
      </c>
      <c r="J1285" s="336">
        <v>119.95209088484906</v>
      </c>
      <c r="K1285" s="336">
        <v>119.95209088484906</v>
      </c>
      <c r="L1285" s="336">
        <v>119.95209088484906</v>
      </c>
      <c r="M1285" s="336"/>
    </row>
    <row r="1286" spans="1:13" hidden="1" outlineLevel="2" x14ac:dyDescent="0.35">
      <c r="A1286" s="335" t="s">
        <v>98</v>
      </c>
      <c r="B1286" s="331">
        <v>44712</v>
      </c>
      <c r="C1286" s="332" t="s">
        <v>1917</v>
      </c>
      <c r="D1286" s="332" t="s">
        <v>1918</v>
      </c>
      <c r="E1286" s="332" t="s">
        <v>369</v>
      </c>
      <c r="F1286" s="336">
        <v>627878</v>
      </c>
      <c r="G1286" s="330" t="s">
        <v>236</v>
      </c>
      <c r="H1286" s="329">
        <v>554.17592377467531</v>
      </c>
      <c r="I1286" s="336">
        <v>138.54398094366883</v>
      </c>
      <c r="J1286" s="336">
        <v>138.54398094366883</v>
      </c>
      <c r="K1286" s="336">
        <v>138.54398094366883</v>
      </c>
      <c r="L1286" s="336">
        <v>138.54398094366883</v>
      </c>
      <c r="M1286" s="336"/>
    </row>
    <row r="1287" spans="1:13" hidden="1" outlineLevel="2" x14ac:dyDescent="0.35">
      <c r="A1287" s="340" t="s">
        <v>98</v>
      </c>
      <c r="B1287" s="327">
        <v>44712</v>
      </c>
      <c r="C1287" s="328" t="s">
        <v>1919</v>
      </c>
      <c r="D1287" s="328" t="s">
        <v>1920</v>
      </c>
      <c r="E1287" s="328" t="s">
        <v>1915</v>
      </c>
      <c r="F1287" s="338">
        <v>1000000</v>
      </c>
      <c r="G1287" s="330" t="s">
        <v>236</v>
      </c>
      <c r="H1287" s="329">
        <v>882.61720234611721</v>
      </c>
      <c r="I1287" s="338">
        <v>220.6543005865293</v>
      </c>
      <c r="J1287" s="338">
        <v>220.6543005865293</v>
      </c>
      <c r="K1287" s="338">
        <v>220.6543005865293</v>
      </c>
      <c r="L1287" s="338">
        <v>220.6543005865293</v>
      </c>
      <c r="M1287" s="338"/>
    </row>
    <row r="1288" spans="1:13" outlineLevel="1" collapsed="1" x14ac:dyDescent="0.35">
      <c r="A1288" s="349" t="s">
        <v>1921</v>
      </c>
      <c r="B1288" s="327"/>
      <c r="C1288" s="328"/>
      <c r="D1288" s="328"/>
      <c r="E1288" s="328"/>
      <c r="F1288" s="338"/>
      <c r="G1288" s="330"/>
      <c r="H1288" s="329">
        <f t="shared" ref="H1288:M1288" si="58">SUBTOTAL(9,H1280:H1287)</f>
        <v>6984.57268330019</v>
      </c>
      <c r="I1288" s="338">
        <f t="shared" si="58"/>
        <v>1746.1431708250475</v>
      </c>
      <c r="J1288" s="338">
        <f t="shared" si="58"/>
        <v>1746.1431708250475</v>
      </c>
      <c r="K1288" s="338">
        <f t="shared" si="58"/>
        <v>1746.1431708250475</v>
      </c>
      <c r="L1288" s="338">
        <f t="shared" si="58"/>
        <v>1746.1431708250475</v>
      </c>
      <c r="M1288" s="338">
        <f t="shared" si="58"/>
        <v>0</v>
      </c>
    </row>
    <row r="1289" spans="1:13" hidden="1" outlineLevel="2" x14ac:dyDescent="0.35">
      <c r="A1289" s="335" t="s">
        <v>201</v>
      </c>
      <c r="B1289" s="331">
        <v>43847</v>
      </c>
      <c r="C1289" s="332" t="s">
        <v>1741</v>
      </c>
      <c r="D1289" s="332" t="s">
        <v>1922</v>
      </c>
      <c r="E1289" s="332" t="s">
        <v>1923</v>
      </c>
      <c r="F1289" s="336">
        <v>583926</v>
      </c>
      <c r="G1289" s="330" t="s">
        <v>236</v>
      </c>
      <c r="H1289" s="329">
        <v>542.50241163984015</v>
      </c>
      <c r="I1289" s="338">
        <v>135.62560290996004</v>
      </c>
      <c r="J1289" s="338">
        <v>135.62560290996004</v>
      </c>
      <c r="K1289" s="338">
        <v>135.62560290996004</v>
      </c>
      <c r="L1289" s="338">
        <v>135.62560290996004</v>
      </c>
      <c r="M1289" s="336"/>
    </row>
    <row r="1290" spans="1:13" hidden="1" outlineLevel="2" x14ac:dyDescent="0.35">
      <c r="A1290" s="335" t="s">
        <v>201</v>
      </c>
      <c r="B1290" s="331">
        <v>43847</v>
      </c>
      <c r="C1290" s="332" t="s">
        <v>1743</v>
      </c>
      <c r="D1290" s="332" t="s">
        <v>1924</v>
      </c>
      <c r="E1290" s="332" t="s">
        <v>1923</v>
      </c>
      <c r="F1290" s="336">
        <v>412549</v>
      </c>
      <c r="G1290" s="330" t="s">
        <v>236</v>
      </c>
      <c r="H1290" s="329">
        <v>383.28286019051114</v>
      </c>
      <c r="I1290" s="338">
        <v>95.820715047627786</v>
      </c>
      <c r="J1290" s="338">
        <v>95.820715047627786</v>
      </c>
      <c r="K1290" s="338">
        <v>95.820715047627786</v>
      </c>
      <c r="L1290" s="338">
        <v>95.820715047627786</v>
      </c>
      <c r="M1290" s="336"/>
    </row>
    <row r="1291" spans="1:13" hidden="1" outlineLevel="2" x14ac:dyDescent="0.35">
      <c r="A1291" s="335" t="s">
        <v>201</v>
      </c>
      <c r="B1291" s="331">
        <v>43881</v>
      </c>
      <c r="C1291" s="332" t="s">
        <v>1741</v>
      </c>
      <c r="D1291" s="332" t="s">
        <v>1922</v>
      </c>
      <c r="E1291" s="332" t="s">
        <v>1923</v>
      </c>
      <c r="F1291" s="336">
        <v>583926</v>
      </c>
      <c r="G1291" s="330" t="s">
        <v>236</v>
      </c>
      <c r="H1291" s="329">
        <v>542.50241163984015</v>
      </c>
      <c r="I1291" s="338">
        <v>135.62560290996004</v>
      </c>
      <c r="J1291" s="338">
        <v>135.62560290996004</v>
      </c>
      <c r="K1291" s="338">
        <v>135.62560290996004</v>
      </c>
      <c r="L1291" s="338">
        <v>135.62560290996004</v>
      </c>
      <c r="M1291" s="336"/>
    </row>
    <row r="1292" spans="1:13" hidden="1" outlineLevel="2" x14ac:dyDescent="0.35">
      <c r="A1292" s="335" t="s">
        <v>201</v>
      </c>
      <c r="B1292" s="331">
        <v>43881</v>
      </c>
      <c r="C1292" s="332" t="s">
        <v>1071</v>
      </c>
      <c r="D1292" s="332" t="s">
        <v>1925</v>
      </c>
      <c r="E1292" s="332" t="s">
        <v>1923</v>
      </c>
      <c r="F1292" s="336">
        <v>412549</v>
      </c>
      <c r="G1292" s="330" t="s">
        <v>236</v>
      </c>
      <c r="H1292" s="329">
        <v>383.28286019051114</v>
      </c>
      <c r="I1292" s="338">
        <v>95.820715047627786</v>
      </c>
      <c r="J1292" s="338">
        <v>95.820715047627786</v>
      </c>
      <c r="K1292" s="338">
        <v>95.820715047627786</v>
      </c>
      <c r="L1292" s="338">
        <v>95.820715047627786</v>
      </c>
      <c r="M1292" s="336"/>
    </row>
    <row r="1293" spans="1:13" hidden="1" outlineLevel="2" x14ac:dyDescent="0.35">
      <c r="A1293" s="335" t="s">
        <v>201</v>
      </c>
      <c r="B1293" s="331">
        <v>43910</v>
      </c>
      <c r="C1293" s="332" t="s">
        <v>474</v>
      </c>
      <c r="D1293" s="332" t="s">
        <v>1926</v>
      </c>
      <c r="E1293" s="332" t="s">
        <v>1923</v>
      </c>
      <c r="F1293" s="336">
        <v>580910</v>
      </c>
      <c r="G1293" s="330" t="s">
        <v>236</v>
      </c>
      <c r="H1293" s="329">
        <v>539.70036604929317</v>
      </c>
      <c r="I1293" s="338">
        <v>134.92509151232329</v>
      </c>
      <c r="J1293" s="338">
        <v>134.92509151232329</v>
      </c>
      <c r="K1293" s="338">
        <v>134.92509151232329</v>
      </c>
      <c r="L1293" s="338">
        <v>134.92509151232329</v>
      </c>
      <c r="M1293" s="336"/>
    </row>
    <row r="1294" spans="1:13" hidden="1" outlineLevel="2" x14ac:dyDescent="0.35">
      <c r="A1294" s="335" t="s">
        <v>201</v>
      </c>
      <c r="B1294" s="331">
        <v>43910</v>
      </c>
      <c r="C1294" s="332" t="s">
        <v>477</v>
      </c>
      <c r="D1294" s="332" t="s">
        <v>1927</v>
      </c>
      <c r="E1294" s="332" t="s">
        <v>1923</v>
      </c>
      <c r="F1294" s="336">
        <v>415565</v>
      </c>
      <c r="G1294" s="330" t="s">
        <v>236</v>
      </c>
      <c r="H1294" s="329">
        <v>386.08490578105818</v>
      </c>
      <c r="I1294" s="338">
        <v>96.521226445264546</v>
      </c>
      <c r="J1294" s="338">
        <v>96.521226445264546</v>
      </c>
      <c r="K1294" s="338">
        <v>96.521226445264546</v>
      </c>
      <c r="L1294" s="338">
        <v>96.521226445264546</v>
      </c>
      <c r="M1294" s="336"/>
    </row>
    <row r="1295" spans="1:13" hidden="1" outlineLevel="2" x14ac:dyDescent="0.35">
      <c r="A1295" s="335" t="s">
        <v>201</v>
      </c>
      <c r="B1295" s="331">
        <v>43941</v>
      </c>
      <c r="C1295" s="332" t="s">
        <v>479</v>
      </c>
      <c r="D1295" s="332" t="s">
        <v>1928</v>
      </c>
      <c r="E1295" s="332" t="s">
        <v>1923</v>
      </c>
      <c r="F1295" s="336">
        <v>580910</v>
      </c>
      <c r="G1295" s="330" t="s">
        <v>236</v>
      </c>
      <c r="H1295" s="329">
        <v>539.70036604929317</v>
      </c>
      <c r="I1295" s="338">
        <v>134.92509151232329</v>
      </c>
      <c r="J1295" s="338">
        <v>134.92509151232329</v>
      </c>
      <c r="K1295" s="338">
        <v>134.92509151232329</v>
      </c>
      <c r="L1295" s="338">
        <v>134.92509151232329</v>
      </c>
      <c r="M1295" s="336"/>
    </row>
    <row r="1296" spans="1:13" hidden="1" outlineLevel="2" x14ac:dyDescent="0.35">
      <c r="A1296" s="335" t="s">
        <v>201</v>
      </c>
      <c r="B1296" s="331">
        <v>43941</v>
      </c>
      <c r="C1296" s="332" t="s">
        <v>481</v>
      </c>
      <c r="D1296" s="332" t="s">
        <v>1929</v>
      </c>
      <c r="E1296" s="332" t="s">
        <v>1923</v>
      </c>
      <c r="F1296" s="336">
        <v>415565</v>
      </c>
      <c r="G1296" s="330" t="s">
        <v>236</v>
      </c>
      <c r="H1296" s="329">
        <v>386.08490578105818</v>
      </c>
      <c r="I1296" s="338">
        <v>96.521226445264546</v>
      </c>
      <c r="J1296" s="338">
        <v>96.521226445264546</v>
      </c>
      <c r="K1296" s="338">
        <v>96.521226445264546</v>
      </c>
      <c r="L1296" s="338">
        <v>96.521226445264546</v>
      </c>
      <c r="M1296" s="336"/>
    </row>
    <row r="1297" spans="1:13" hidden="1" outlineLevel="2" x14ac:dyDescent="0.35">
      <c r="A1297" s="335" t="s">
        <v>201</v>
      </c>
      <c r="B1297" s="331">
        <v>43977</v>
      </c>
      <c r="C1297" s="332" t="s">
        <v>381</v>
      </c>
      <c r="D1297" s="332" t="s">
        <v>1930</v>
      </c>
      <c r="E1297" s="332" t="s">
        <v>1923</v>
      </c>
      <c r="F1297" s="336">
        <v>415565</v>
      </c>
      <c r="G1297" s="330" t="s">
        <v>236</v>
      </c>
      <c r="H1297" s="329">
        <v>386.08490578105818</v>
      </c>
      <c r="I1297" s="338">
        <v>96.521226445264546</v>
      </c>
      <c r="J1297" s="338">
        <v>96.521226445264546</v>
      </c>
      <c r="K1297" s="338">
        <v>96.521226445264546</v>
      </c>
      <c r="L1297" s="338">
        <v>96.521226445264546</v>
      </c>
      <c r="M1297" s="336"/>
    </row>
    <row r="1298" spans="1:13" hidden="1" outlineLevel="2" x14ac:dyDescent="0.35">
      <c r="A1298" s="335" t="s">
        <v>201</v>
      </c>
      <c r="B1298" s="331">
        <v>43977</v>
      </c>
      <c r="C1298" s="332" t="s">
        <v>484</v>
      </c>
      <c r="D1298" s="332" t="s">
        <v>1931</v>
      </c>
      <c r="E1298" s="332" t="s">
        <v>1923</v>
      </c>
      <c r="F1298" s="336">
        <v>580910</v>
      </c>
      <c r="G1298" s="330" t="s">
        <v>236</v>
      </c>
      <c r="H1298" s="329">
        <v>539.70036604929317</v>
      </c>
      <c r="I1298" s="338">
        <v>134.92509151232329</v>
      </c>
      <c r="J1298" s="338">
        <v>134.92509151232329</v>
      </c>
      <c r="K1298" s="338">
        <v>134.92509151232329</v>
      </c>
      <c r="L1298" s="338">
        <v>134.92509151232329</v>
      </c>
      <c r="M1298" s="336"/>
    </row>
    <row r="1299" spans="1:13" outlineLevel="1" collapsed="1" x14ac:dyDescent="0.35">
      <c r="A1299" s="337" t="s">
        <v>1932</v>
      </c>
      <c r="B1299" s="331"/>
      <c r="C1299" s="332"/>
      <c r="D1299" s="332"/>
      <c r="E1299" s="332"/>
      <c r="F1299" s="336"/>
      <c r="G1299" s="330"/>
      <c r="H1299" s="329">
        <f t="shared" ref="H1299:M1299" si="59">SUBTOTAL(9,H1289:H1298)</f>
        <v>4628.9263591517574</v>
      </c>
      <c r="I1299" s="338">
        <f t="shared" si="59"/>
        <v>1157.2315897879394</v>
      </c>
      <c r="J1299" s="338">
        <f t="shared" si="59"/>
        <v>1157.2315897879394</v>
      </c>
      <c r="K1299" s="338">
        <f t="shared" si="59"/>
        <v>1157.2315897879394</v>
      </c>
      <c r="L1299" s="338">
        <f t="shared" si="59"/>
        <v>1157.2315897879394</v>
      </c>
      <c r="M1299" s="336">
        <f t="shared" si="59"/>
        <v>0</v>
      </c>
    </row>
    <row r="1300" spans="1:13" hidden="1" outlineLevel="2" x14ac:dyDescent="0.35">
      <c r="A1300" s="335" t="s">
        <v>202</v>
      </c>
      <c r="B1300" s="331">
        <v>43847</v>
      </c>
      <c r="C1300" s="332" t="s">
        <v>1741</v>
      </c>
      <c r="D1300" s="332" t="s">
        <v>1933</v>
      </c>
      <c r="E1300" s="332" t="s">
        <v>763</v>
      </c>
      <c r="F1300" s="336">
        <v>757199</v>
      </c>
      <c r="G1300" s="330" t="s">
        <v>236</v>
      </c>
      <c r="H1300" s="329">
        <v>703.48346124556076</v>
      </c>
      <c r="I1300" s="338">
        <v>175.87086531139019</v>
      </c>
      <c r="J1300" s="338">
        <v>175.87086531139019</v>
      </c>
      <c r="K1300" s="338">
        <v>175.87086531139019</v>
      </c>
      <c r="L1300" s="338">
        <v>175.87086531139019</v>
      </c>
      <c r="M1300" s="336"/>
    </row>
    <row r="1301" spans="1:13" hidden="1" outlineLevel="2" x14ac:dyDescent="0.35">
      <c r="A1301" s="335" t="s">
        <v>202</v>
      </c>
      <c r="B1301" s="331">
        <v>43847</v>
      </c>
      <c r="C1301" s="332" t="s">
        <v>1743</v>
      </c>
      <c r="D1301" s="332" t="s">
        <v>1934</v>
      </c>
      <c r="E1301" s="332" t="s">
        <v>763</v>
      </c>
      <c r="F1301" s="336">
        <v>558212</v>
      </c>
      <c r="G1301" s="330" t="s">
        <v>236</v>
      </c>
      <c r="H1301" s="329">
        <v>518.61255742388323</v>
      </c>
      <c r="I1301" s="338">
        <v>129.65313935597081</v>
      </c>
      <c r="J1301" s="338">
        <v>129.65313935597081</v>
      </c>
      <c r="K1301" s="338">
        <v>129.65313935597081</v>
      </c>
      <c r="L1301" s="338">
        <v>129.65313935597081</v>
      </c>
      <c r="M1301" s="336"/>
    </row>
    <row r="1302" spans="1:13" hidden="1" outlineLevel="2" x14ac:dyDescent="0.35">
      <c r="A1302" s="335" t="s">
        <v>202</v>
      </c>
      <c r="B1302" s="331">
        <v>43881</v>
      </c>
      <c r="C1302" s="332" t="s">
        <v>1060</v>
      </c>
      <c r="D1302" s="332" t="s">
        <v>1935</v>
      </c>
      <c r="E1302" s="332" t="s">
        <v>763</v>
      </c>
      <c r="F1302" s="336">
        <v>760699</v>
      </c>
      <c r="G1302" s="330" t="s">
        <v>236</v>
      </c>
      <c r="H1302" s="329">
        <v>706.73517197729643</v>
      </c>
      <c r="I1302" s="338">
        <v>176.68379299432411</v>
      </c>
      <c r="J1302" s="338">
        <v>176.68379299432411</v>
      </c>
      <c r="K1302" s="338">
        <v>176.68379299432411</v>
      </c>
      <c r="L1302" s="338">
        <v>176.68379299432411</v>
      </c>
      <c r="M1302" s="336"/>
    </row>
    <row r="1303" spans="1:13" hidden="1" outlineLevel="2" x14ac:dyDescent="0.35">
      <c r="A1303" s="335" t="s">
        <v>202</v>
      </c>
      <c r="B1303" s="331">
        <v>43881</v>
      </c>
      <c r="C1303" s="332" t="s">
        <v>1071</v>
      </c>
      <c r="D1303" s="332" t="s">
        <v>1936</v>
      </c>
      <c r="E1303" s="332" t="s">
        <v>763</v>
      </c>
      <c r="F1303" s="336">
        <v>554712</v>
      </c>
      <c r="G1303" s="330" t="s">
        <v>236</v>
      </c>
      <c r="H1303" s="329">
        <v>515.36084669214767</v>
      </c>
      <c r="I1303" s="338">
        <v>128.84021167303692</v>
      </c>
      <c r="J1303" s="338">
        <v>128.84021167303692</v>
      </c>
      <c r="K1303" s="338">
        <v>128.84021167303692</v>
      </c>
      <c r="L1303" s="338">
        <v>128.84021167303692</v>
      </c>
      <c r="M1303" s="336"/>
    </row>
    <row r="1304" spans="1:13" hidden="1" outlineLevel="2" x14ac:dyDescent="0.35">
      <c r="A1304" s="335" t="s">
        <v>202</v>
      </c>
      <c r="B1304" s="331">
        <v>43910</v>
      </c>
      <c r="C1304" s="332" t="s">
        <v>474</v>
      </c>
      <c r="D1304" s="332" t="s">
        <v>1937</v>
      </c>
      <c r="E1304" s="332" t="s">
        <v>763</v>
      </c>
      <c r="F1304" s="336">
        <v>745244</v>
      </c>
      <c r="G1304" s="330" t="s">
        <v>236</v>
      </c>
      <c r="H1304" s="329">
        <v>692.37654644616111</v>
      </c>
      <c r="I1304" s="338">
        <v>173.09413661154028</v>
      </c>
      <c r="J1304" s="338">
        <v>173.09413661154028</v>
      </c>
      <c r="K1304" s="338">
        <v>173.09413661154028</v>
      </c>
      <c r="L1304" s="338">
        <v>173.09413661154028</v>
      </c>
      <c r="M1304" s="336"/>
    </row>
    <row r="1305" spans="1:13" hidden="1" outlineLevel="2" x14ac:dyDescent="0.35">
      <c r="A1305" s="335" t="s">
        <v>202</v>
      </c>
      <c r="B1305" s="331">
        <v>43910</v>
      </c>
      <c r="C1305" s="332" t="s">
        <v>477</v>
      </c>
      <c r="D1305" s="332" t="s">
        <v>1938</v>
      </c>
      <c r="E1305" s="332" t="s">
        <v>763</v>
      </c>
      <c r="F1305" s="336">
        <v>570167</v>
      </c>
      <c r="G1305" s="330" t="s">
        <v>236</v>
      </c>
      <c r="H1305" s="329">
        <v>529.71947222328299</v>
      </c>
      <c r="I1305" s="338">
        <v>132.42986805582075</v>
      </c>
      <c r="J1305" s="338">
        <v>132.42986805582075</v>
      </c>
      <c r="K1305" s="338">
        <v>132.42986805582075</v>
      </c>
      <c r="L1305" s="338">
        <v>132.42986805582075</v>
      </c>
      <c r="M1305" s="336"/>
    </row>
    <row r="1306" spans="1:13" hidden="1" outlineLevel="2" x14ac:dyDescent="0.35">
      <c r="A1306" s="335" t="s">
        <v>202</v>
      </c>
      <c r="B1306" s="331">
        <v>43731</v>
      </c>
      <c r="C1306" s="332" t="s">
        <v>1939</v>
      </c>
      <c r="D1306" s="332" t="s">
        <v>1940</v>
      </c>
      <c r="E1306" s="332" t="s">
        <v>1941</v>
      </c>
      <c r="F1306" s="336">
        <v>555212</v>
      </c>
      <c r="G1306" s="330" t="s">
        <v>236</v>
      </c>
      <c r="H1306" s="329">
        <v>546.63255021870953</v>
      </c>
      <c r="I1306" s="338">
        <v>136.65813755467738</v>
      </c>
      <c r="J1306" s="338">
        <v>136.65813755467738</v>
      </c>
      <c r="K1306" s="338">
        <v>136.65813755467738</v>
      </c>
      <c r="L1306" s="338">
        <v>136.65813755467738</v>
      </c>
      <c r="M1306" s="336"/>
    </row>
    <row r="1307" spans="1:13" hidden="1" outlineLevel="2" x14ac:dyDescent="0.35">
      <c r="A1307" s="335" t="s">
        <v>202</v>
      </c>
      <c r="B1307" s="331">
        <v>43731</v>
      </c>
      <c r="C1307" s="332" t="s">
        <v>1942</v>
      </c>
      <c r="D1307" s="332" t="s">
        <v>1943</v>
      </c>
      <c r="E1307" s="332" t="s">
        <v>1944</v>
      </c>
      <c r="F1307" s="336">
        <v>760199</v>
      </c>
      <c r="G1307" s="330" t="s">
        <v>236</v>
      </c>
      <c r="H1307" s="329">
        <v>748.45197518013435</v>
      </c>
      <c r="I1307" s="338">
        <v>187.11299379503359</v>
      </c>
      <c r="J1307" s="338">
        <v>187.11299379503359</v>
      </c>
      <c r="K1307" s="338">
        <v>187.11299379503359</v>
      </c>
      <c r="L1307" s="338">
        <v>187.11299379503359</v>
      </c>
      <c r="M1307" s="336"/>
    </row>
    <row r="1308" spans="1:13" hidden="1" outlineLevel="2" x14ac:dyDescent="0.35">
      <c r="A1308" s="335" t="s">
        <v>202</v>
      </c>
      <c r="B1308" s="331">
        <v>43760</v>
      </c>
      <c r="C1308" s="332" t="s">
        <v>1844</v>
      </c>
      <c r="D1308" s="332" t="s">
        <v>1945</v>
      </c>
      <c r="E1308" s="332" t="s">
        <v>1941</v>
      </c>
      <c r="F1308" s="336">
        <v>762699</v>
      </c>
      <c r="G1308" s="330" t="s">
        <v>236</v>
      </c>
      <c r="H1308" s="329">
        <v>750.91334376645239</v>
      </c>
      <c r="I1308" s="338">
        <v>187.7283359416131</v>
      </c>
      <c r="J1308" s="338">
        <v>187.7283359416131</v>
      </c>
      <c r="K1308" s="338">
        <v>187.7283359416131</v>
      </c>
      <c r="L1308" s="338">
        <v>187.7283359416131</v>
      </c>
      <c r="M1308" s="336"/>
    </row>
    <row r="1309" spans="1:13" hidden="1" outlineLevel="2" x14ac:dyDescent="0.35">
      <c r="A1309" s="335" t="s">
        <v>202</v>
      </c>
      <c r="B1309" s="331">
        <v>43760</v>
      </c>
      <c r="C1309" s="332" t="s">
        <v>1847</v>
      </c>
      <c r="D1309" s="332" t="s">
        <v>1946</v>
      </c>
      <c r="E1309" s="332" t="s">
        <v>1941</v>
      </c>
      <c r="F1309" s="336">
        <v>552712</v>
      </c>
      <c r="G1309" s="330" t="s">
        <v>236</v>
      </c>
      <c r="H1309" s="329">
        <v>544.17118163239161</v>
      </c>
      <c r="I1309" s="338">
        <v>136.0427954080979</v>
      </c>
      <c r="J1309" s="338">
        <v>136.0427954080979</v>
      </c>
      <c r="K1309" s="338">
        <v>136.0427954080979</v>
      </c>
      <c r="L1309" s="338">
        <v>136.0427954080979</v>
      </c>
      <c r="M1309" s="336"/>
    </row>
    <row r="1310" spans="1:13" hidden="1" outlineLevel="2" x14ac:dyDescent="0.35">
      <c r="A1310" s="335" t="s">
        <v>202</v>
      </c>
      <c r="B1310" s="331">
        <v>43783</v>
      </c>
      <c r="C1310" s="332" t="s">
        <v>1817</v>
      </c>
      <c r="D1310" s="332" t="s">
        <v>1947</v>
      </c>
      <c r="E1310" s="332" t="s">
        <v>763</v>
      </c>
      <c r="F1310" s="336">
        <v>552212</v>
      </c>
      <c r="G1310" s="330" t="s">
        <v>236</v>
      </c>
      <c r="H1310" s="329">
        <v>543.67890791512798</v>
      </c>
      <c r="I1310" s="338">
        <v>135.91972697878199</v>
      </c>
      <c r="J1310" s="338">
        <v>135.91972697878199</v>
      </c>
      <c r="K1310" s="338">
        <v>135.91972697878199</v>
      </c>
      <c r="L1310" s="338">
        <v>135.91972697878199</v>
      </c>
      <c r="M1310" s="336"/>
    </row>
    <row r="1311" spans="1:13" hidden="1" outlineLevel="2" x14ac:dyDescent="0.35">
      <c r="A1311" s="335" t="s">
        <v>202</v>
      </c>
      <c r="B1311" s="331">
        <v>43783</v>
      </c>
      <c r="C1311" s="332" t="s">
        <v>1663</v>
      </c>
      <c r="D1311" s="332" t="s">
        <v>1948</v>
      </c>
      <c r="E1311" s="332" t="s">
        <v>763</v>
      </c>
      <c r="F1311" s="336">
        <v>763199</v>
      </c>
      <c r="G1311" s="330" t="s">
        <v>236</v>
      </c>
      <c r="H1311" s="329">
        <v>751.4056174837159</v>
      </c>
      <c r="I1311" s="338">
        <v>187.85140437092898</v>
      </c>
      <c r="J1311" s="338">
        <v>187.85140437092898</v>
      </c>
      <c r="K1311" s="338">
        <v>187.85140437092898</v>
      </c>
      <c r="L1311" s="338">
        <v>187.85140437092898</v>
      </c>
      <c r="M1311" s="336"/>
    </row>
    <row r="1312" spans="1:13" hidden="1" outlineLevel="2" x14ac:dyDescent="0.35">
      <c r="A1312" s="335" t="s">
        <v>202</v>
      </c>
      <c r="B1312" s="331">
        <v>43817</v>
      </c>
      <c r="C1312" s="332" t="s">
        <v>1755</v>
      </c>
      <c r="D1312" s="332" t="s">
        <v>1949</v>
      </c>
      <c r="E1312" s="332" t="s">
        <v>763</v>
      </c>
      <c r="F1312" s="336">
        <v>552712</v>
      </c>
      <c r="G1312" s="330" t="s">
        <v>236</v>
      </c>
      <c r="H1312" s="329">
        <v>544.17118163239161</v>
      </c>
      <c r="I1312" s="338">
        <v>136.0427954080979</v>
      </c>
      <c r="J1312" s="338">
        <v>136.0427954080979</v>
      </c>
      <c r="K1312" s="338">
        <v>136.0427954080979</v>
      </c>
      <c r="L1312" s="338">
        <v>136.0427954080979</v>
      </c>
      <c r="M1312" s="336"/>
    </row>
    <row r="1313" spans="1:13" hidden="1" outlineLevel="2" x14ac:dyDescent="0.35">
      <c r="A1313" s="335" t="s">
        <v>202</v>
      </c>
      <c r="B1313" s="331">
        <v>43817</v>
      </c>
      <c r="C1313" s="332" t="s">
        <v>824</v>
      </c>
      <c r="D1313" s="332" t="s">
        <v>1950</v>
      </c>
      <c r="E1313" s="332" t="s">
        <v>763</v>
      </c>
      <c r="F1313" s="336">
        <v>762699</v>
      </c>
      <c r="G1313" s="330" t="s">
        <v>236</v>
      </c>
      <c r="H1313" s="329">
        <v>750.91334376645239</v>
      </c>
      <c r="I1313" s="338">
        <v>187.7283359416131</v>
      </c>
      <c r="J1313" s="338">
        <v>187.7283359416131</v>
      </c>
      <c r="K1313" s="338">
        <v>187.7283359416131</v>
      </c>
      <c r="L1313" s="338">
        <v>187.7283359416131</v>
      </c>
      <c r="M1313" s="336"/>
    </row>
    <row r="1314" spans="1:13" outlineLevel="1" collapsed="1" x14ac:dyDescent="0.35">
      <c r="A1314" s="337" t="s">
        <v>1951</v>
      </c>
      <c r="B1314" s="331"/>
      <c r="C1314" s="332"/>
      <c r="D1314" s="332"/>
      <c r="E1314" s="332"/>
      <c r="F1314" s="336"/>
      <c r="G1314" s="330"/>
      <c r="H1314" s="329">
        <f t="shared" ref="H1314:M1314" si="60">SUBTOTAL(9,H1300:H1313)</f>
        <v>8846.6261576037068</v>
      </c>
      <c r="I1314" s="338">
        <f t="shared" si="60"/>
        <v>2211.6565394009267</v>
      </c>
      <c r="J1314" s="338">
        <f t="shared" si="60"/>
        <v>2211.6565394009267</v>
      </c>
      <c r="K1314" s="338">
        <f t="shared" si="60"/>
        <v>2211.6565394009267</v>
      </c>
      <c r="L1314" s="338">
        <f t="shared" si="60"/>
        <v>2211.6565394009267</v>
      </c>
      <c r="M1314" s="336">
        <f t="shared" si="60"/>
        <v>0</v>
      </c>
    </row>
    <row r="1315" spans="1:13" hidden="1" outlineLevel="2" x14ac:dyDescent="0.35">
      <c r="A1315" s="335" t="s">
        <v>221</v>
      </c>
      <c r="B1315" s="331">
        <v>43738</v>
      </c>
      <c r="C1315" s="332" t="s">
        <v>1087</v>
      </c>
      <c r="D1315" s="332" t="s">
        <v>1952</v>
      </c>
      <c r="E1315" s="332" t="s">
        <v>1953</v>
      </c>
      <c r="F1315" s="336">
        <v>483.2</v>
      </c>
      <c r="G1315" s="330" t="s">
        <v>56</v>
      </c>
      <c r="H1315" s="329">
        <v>483.2</v>
      </c>
      <c r="I1315" s="338">
        <f t="shared" ref="I1315:L1319" si="61">$H1315/4</f>
        <v>120.8</v>
      </c>
      <c r="J1315" s="338">
        <f t="shared" si="61"/>
        <v>120.8</v>
      </c>
      <c r="K1315" s="338">
        <f t="shared" si="61"/>
        <v>120.8</v>
      </c>
      <c r="L1315" s="338">
        <f t="shared" si="61"/>
        <v>120.8</v>
      </c>
      <c r="M1315" s="332"/>
    </row>
    <row r="1316" spans="1:13" hidden="1" outlineLevel="2" x14ac:dyDescent="0.35">
      <c r="A1316" s="335" t="s">
        <v>221</v>
      </c>
      <c r="B1316" s="331">
        <v>43830</v>
      </c>
      <c r="C1316" s="332" t="s">
        <v>1090</v>
      </c>
      <c r="D1316" s="332" t="s">
        <v>1954</v>
      </c>
      <c r="E1316" s="332" t="s">
        <v>1953</v>
      </c>
      <c r="F1316" s="336">
        <v>483.2</v>
      </c>
      <c r="G1316" s="330" t="s">
        <v>56</v>
      </c>
      <c r="H1316" s="329">
        <v>483.2</v>
      </c>
      <c r="I1316" s="338">
        <f t="shared" si="61"/>
        <v>120.8</v>
      </c>
      <c r="J1316" s="338">
        <f t="shared" si="61"/>
        <v>120.8</v>
      </c>
      <c r="K1316" s="338">
        <f t="shared" si="61"/>
        <v>120.8</v>
      </c>
      <c r="L1316" s="338">
        <f t="shared" si="61"/>
        <v>120.8</v>
      </c>
      <c r="M1316" s="332"/>
    </row>
    <row r="1317" spans="1:13" hidden="1" outlineLevel="2" x14ac:dyDescent="0.35">
      <c r="A1317" s="335" t="s">
        <v>221</v>
      </c>
      <c r="B1317" s="331">
        <v>43921</v>
      </c>
      <c r="C1317" s="332" t="s">
        <v>1092</v>
      </c>
      <c r="D1317" s="332" t="s">
        <v>1955</v>
      </c>
      <c r="E1317" s="332" t="s">
        <v>1956</v>
      </c>
      <c r="F1317" s="336">
        <v>579.84</v>
      </c>
      <c r="G1317" s="330" t="s">
        <v>56</v>
      </c>
      <c r="H1317" s="329">
        <v>579.84</v>
      </c>
      <c r="I1317" s="338">
        <f t="shared" si="61"/>
        <v>144.96</v>
      </c>
      <c r="J1317" s="338">
        <f t="shared" si="61"/>
        <v>144.96</v>
      </c>
      <c r="K1317" s="338">
        <f t="shared" si="61"/>
        <v>144.96</v>
      </c>
      <c r="L1317" s="338">
        <f t="shared" si="61"/>
        <v>144.96</v>
      </c>
      <c r="M1317" s="332"/>
    </row>
    <row r="1318" spans="1:13" hidden="1" outlineLevel="2" x14ac:dyDescent="0.35">
      <c r="A1318" s="335" t="s">
        <v>221</v>
      </c>
      <c r="B1318" s="331">
        <v>44012</v>
      </c>
      <c r="C1318" s="332" t="s">
        <v>1094</v>
      </c>
      <c r="D1318" s="332" t="s">
        <v>1957</v>
      </c>
      <c r="E1318" s="332" t="s">
        <v>1956</v>
      </c>
      <c r="F1318" s="336">
        <v>579.84</v>
      </c>
      <c r="G1318" s="330" t="s">
        <v>56</v>
      </c>
      <c r="H1318" s="329">
        <v>579.84</v>
      </c>
      <c r="I1318" s="338">
        <f t="shared" si="61"/>
        <v>144.96</v>
      </c>
      <c r="J1318" s="338">
        <f t="shared" si="61"/>
        <v>144.96</v>
      </c>
      <c r="K1318" s="338">
        <f t="shared" si="61"/>
        <v>144.96</v>
      </c>
      <c r="L1318" s="338">
        <f t="shared" si="61"/>
        <v>144.96</v>
      </c>
      <c r="M1318" s="332"/>
    </row>
    <row r="1319" spans="1:13" hidden="1" outlineLevel="2" x14ac:dyDescent="0.35">
      <c r="A1319" s="335" t="s">
        <v>221</v>
      </c>
      <c r="B1319" s="331">
        <v>44104</v>
      </c>
      <c r="C1319" s="332" t="s">
        <v>1096</v>
      </c>
      <c r="D1319" s="332" t="s">
        <v>1958</v>
      </c>
      <c r="E1319" s="332" t="s">
        <v>1959</v>
      </c>
      <c r="F1319" s="336">
        <v>-1159.68</v>
      </c>
      <c r="G1319" s="330" t="s">
        <v>56</v>
      </c>
      <c r="H1319" s="329">
        <v>-1159.68</v>
      </c>
      <c r="I1319" s="338">
        <f t="shared" si="61"/>
        <v>-289.92</v>
      </c>
      <c r="J1319" s="338">
        <f t="shared" si="61"/>
        <v>-289.92</v>
      </c>
      <c r="K1319" s="338">
        <f t="shared" si="61"/>
        <v>-289.92</v>
      </c>
      <c r="L1319" s="338">
        <f t="shared" si="61"/>
        <v>-289.92</v>
      </c>
      <c r="M1319" s="332"/>
    </row>
    <row r="1320" spans="1:13" outlineLevel="1" collapsed="1" x14ac:dyDescent="0.35">
      <c r="A1320" s="337" t="s">
        <v>1960</v>
      </c>
      <c r="B1320" s="331"/>
      <c r="C1320" s="332"/>
      <c r="D1320" s="332"/>
      <c r="E1320" s="332"/>
      <c r="F1320" s="336"/>
      <c r="G1320" s="330"/>
      <c r="H1320" s="329">
        <f t="shared" ref="H1320:M1320" si="62">SUBTOTAL(9,H1315:H1319)</f>
        <v>966.39999999999986</v>
      </c>
      <c r="I1320" s="338">
        <f t="shared" si="62"/>
        <v>241.59999999999997</v>
      </c>
      <c r="J1320" s="338">
        <f t="shared" si="62"/>
        <v>241.59999999999997</v>
      </c>
      <c r="K1320" s="338">
        <f t="shared" si="62"/>
        <v>241.59999999999997</v>
      </c>
      <c r="L1320" s="338">
        <f t="shared" si="62"/>
        <v>241.59999999999997</v>
      </c>
      <c r="M1320" s="332">
        <f t="shared" si="62"/>
        <v>0</v>
      </c>
    </row>
    <row r="1321" spans="1:13" hidden="1" outlineLevel="2" x14ac:dyDescent="0.35">
      <c r="A1321" s="335" t="s">
        <v>223</v>
      </c>
      <c r="B1321" s="331">
        <v>43738</v>
      </c>
      <c r="C1321" s="332" t="s">
        <v>1087</v>
      </c>
      <c r="D1321" s="332" t="s">
        <v>1961</v>
      </c>
      <c r="E1321" s="332" t="s">
        <v>1962</v>
      </c>
      <c r="F1321" s="336">
        <v>3213.68</v>
      </c>
      <c r="G1321" s="330" t="s">
        <v>56</v>
      </c>
      <c r="H1321" s="329">
        <v>3213.68</v>
      </c>
      <c r="I1321" s="338">
        <f t="shared" ref="I1321:L1328" si="63">$H1321/4</f>
        <v>803.42</v>
      </c>
      <c r="J1321" s="338">
        <f t="shared" si="63"/>
        <v>803.42</v>
      </c>
      <c r="K1321" s="338">
        <f t="shared" si="63"/>
        <v>803.42</v>
      </c>
      <c r="L1321" s="338">
        <f t="shared" si="63"/>
        <v>803.42</v>
      </c>
      <c r="M1321" s="332"/>
    </row>
    <row r="1322" spans="1:13" hidden="1" outlineLevel="2" x14ac:dyDescent="0.35">
      <c r="A1322" s="335" t="s">
        <v>223</v>
      </c>
      <c r="B1322" s="331">
        <v>43830</v>
      </c>
      <c r="C1322" s="332" t="s">
        <v>1090</v>
      </c>
      <c r="D1322" s="332" t="s">
        <v>1963</v>
      </c>
      <c r="E1322" s="332" t="s">
        <v>1962</v>
      </c>
      <c r="F1322" s="336">
        <v>3213.68</v>
      </c>
      <c r="G1322" s="330" t="s">
        <v>56</v>
      </c>
      <c r="H1322" s="329">
        <v>3213.68</v>
      </c>
      <c r="I1322" s="338">
        <f t="shared" si="63"/>
        <v>803.42</v>
      </c>
      <c r="J1322" s="338">
        <f t="shared" si="63"/>
        <v>803.42</v>
      </c>
      <c r="K1322" s="338">
        <f t="shared" si="63"/>
        <v>803.42</v>
      </c>
      <c r="L1322" s="338">
        <f t="shared" si="63"/>
        <v>803.42</v>
      </c>
      <c r="M1322" s="332"/>
    </row>
    <row r="1323" spans="1:13" hidden="1" outlineLevel="2" x14ac:dyDescent="0.35">
      <c r="A1323" s="335" t="s">
        <v>223</v>
      </c>
      <c r="B1323" s="331">
        <v>43921</v>
      </c>
      <c r="C1323" s="332" t="s">
        <v>1092</v>
      </c>
      <c r="D1323" s="332" t="s">
        <v>1964</v>
      </c>
      <c r="E1323" s="332" t="s">
        <v>1962</v>
      </c>
      <c r="F1323" s="336">
        <v>1243.8599999999999</v>
      </c>
      <c r="G1323" s="330" t="s">
        <v>56</v>
      </c>
      <c r="H1323" s="329">
        <v>1243.8599999999999</v>
      </c>
      <c r="I1323" s="338">
        <f t="shared" si="63"/>
        <v>310.96499999999997</v>
      </c>
      <c r="J1323" s="338">
        <f t="shared" si="63"/>
        <v>310.96499999999997</v>
      </c>
      <c r="K1323" s="338">
        <f t="shared" si="63"/>
        <v>310.96499999999997</v>
      </c>
      <c r="L1323" s="338">
        <f t="shared" si="63"/>
        <v>310.96499999999997</v>
      </c>
      <c r="M1323" s="332"/>
    </row>
    <row r="1324" spans="1:13" hidden="1" outlineLevel="2" x14ac:dyDescent="0.35">
      <c r="A1324" s="335" t="s">
        <v>223</v>
      </c>
      <c r="B1324" s="331">
        <v>44012</v>
      </c>
      <c r="C1324" s="332" t="s">
        <v>1094</v>
      </c>
      <c r="D1324" s="332" t="s">
        <v>1965</v>
      </c>
      <c r="E1324" s="332" t="s">
        <v>1962</v>
      </c>
      <c r="F1324" s="336">
        <v>1243.8599999999999</v>
      </c>
      <c r="G1324" s="330" t="s">
        <v>56</v>
      </c>
      <c r="H1324" s="329">
        <v>1243.8599999999999</v>
      </c>
      <c r="I1324" s="338">
        <f t="shared" si="63"/>
        <v>310.96499999999997</v>
      </c>
      <c r="J1324" s="338">
        <f t="shared" si="63"/>
        <v>310.96499999999997</v>
      </c>
      <c r="K1324" s="338">
        <f t="shared" si="63"/>
        <v>310.96499999999997</v>
      </c>
      <c r="L1324" s="338">
        <f t="shared" si="63"/>
        <v>310.96499999999997</v>
      </c>
      <c r="M1324" s="332"/>
    </row>
    <row r="1325" spans="1:13" hidden="1" outlineLevel="2" x14ac:dyDescent="0.35">
      <c r="A1325" s="335" t="s">
        <v>223</v>
      </c>
      <c r="B1325" s="331">
        <v>44104</v>
      </c>
      <c r="C1325" s="332" t="s">
        <v>1096</v>
      </c>
      <c r="D1325" s="332" t="s">
        <v>1966</v>
      </c>
      <c r="E1325" s="332" t="s">
        <v>1962</v>
      </c>
      <c r="F1325" s="336">
        <v>517.9</v>
      </c>
      <c r="G1325" s="330" t="s">
        <v>56</v>
      </c>
      <c r="H1325" s="329">
        <v>517.9</v>
      </c>
      <c r="I1325" s="338">
        <f t="shared" si="63"/>
        <v>129.47499999999999</v>
      </c>
      <c r="J1325" s="338">
        <f t="shared" si="63"/>
        <v>129.47499999999999</v>
      </c>
      <c r="K1325" s="338">
        <f t="shared" si="63"/>
        <v>129.47499999999999</v>
      </c>
      <c r="L1325" s="338">
        <f t="shared" si="63"/>
        <v>129.47499999999999</v>
      </c>
      <c r="M1325" s="332"/>
    </row>
    <row r="1326" spans="1:13" hidden="1" outlineLevel="2" x14ac:dyDescent="0.35">
      <c r="A1326" s="335" t="s">
        <v>223</v>
      </c>
      <c r="B1326" s="331">
        <v>44196</v>
      </c>
      <c r="C1326" s="332" t="s">
        <v>1099</v>
      </c>
      <c r="D1326" s="332" t="s">
        <v>1967</v>
      </c>
      <c r="E1326" s="332" t="s">
        <v>1962</v>
      </c>
      <c r="F1326" s="336">
        <v>517.9</v>
      </c>
      <c r="G1326" s="330" t="s">
        <v>56</v>
      </c>
      <c r="H1326" s="329">
        <v>517.9</v>
      </c>
      <c r="I1326" s="338">
        <f t="shared" si="63"/>
        <v>129.47499999999999</v>
      </c>
      <c r="J1326" s="338">
        <f t="shared" si="63"/>
        <v>129.47499999999999</v>
      </c>
      <c r="K1326" s="338">
        <f t="shared" si="63"/>
        <v>129.47499999999999</v>
      </c>
      <c r="L1326" s="338">
        <f t="shared" si="63"/>
        <v>129.47499999999999</v>
      </c>
      <c r="M1326" s="332"/>
    </row>
    <row r="1327" spans="1:13" hidden="1" outlineLevel="2" x14ac:dyDescent="0.35">
      <c r="A1327" s="335" t="s">
        <v>223</v>
      </c>
      <c r="B1327" s="331">
        <v>44469</v>
      </c>
      <c r="C1327" s="332" t="s">
        <v>1968</v>
      </c>
      <c r="D1327" s="332" t="s">
        <v>1969</v>
      </c>
      <c r="E1327" s="332" t="s">
        <v>1599</v>
      </c>
      <c r="F1327" s="336">
        <v>7705.72</v>
      </c>
      <c r="G1327" s="330" t="s">
        <v>56</v>
      </c>
      <c r="H1327" s="329">
        <v>7705.72</v>
      </c>
      <c r="I1327" s="338">
        <f t="shared" si="63"/>
        <v>1926.43</v>
      </c>
      <c r="J1327" s="338">
        <f t="shared" si="63"/>
        <v>1926.43</v>
      </c>
      <c r="K1327" s="338">
        <f t="shared" si="63"/>
        <v>1926.43</v>
      </c>
      <c r="L1327" s="338">
        <f t="shared" si="63"/>
        <v>1926.43</v>
      </c>
      <c r="M1327" s="332"/>
    </row>
    <row r="1328" spans="1:13" hidden="1" outlineLevel="2" x14ac:dyDescent="0.35">
      <c r="A1328" s="335" t="s">
        <v>223</v>
      </c>
      <c r="B1328" s="331">
        <v>44561</v>
      </c>
      <c r="C1328" s="332" t="s">
        <v>1970</v>
      </c>
      <c r="D1328" s="332" t="s">
        <v>1971</v>
      </c>
      <c r="E1328" s="332" t="s">
        <v>1599</v>
      </c>
      <c r="F1328" s="336">
        <v>3852.86</v>
      </c>
      <c r="G1328" s="330" t="s">
        <v>56</v>
      </c>
      <c r="H1328" s="329">
        <v>3852.86</v>
      </c>
      <c r="I1328" s="338">
        <f t="shared" si="63"/>
        <v>963.21500000000003</v>
      </c>
      <c r="J1328" s="338">
        <f t="shared" si="63"/>
        <v>963.21500000000003</v>
      </c>
      <c r="K1328" s="338">
        <f t="shared" si="63"/>
        <v>963.21500000000003</v>
      </c>
      <c r="L1328" s="338">
        <f t="shared" si="63"/>
        <v>963.21500000000003</v>
      </c>
      <c r="M1328" s="332"/>
    </row>
    <row r="1329" spans="1:13" outlineLevel="1" collapsed="1" x14ac:dyDescent="0.35">
      <c r="A1329" s="337" t="s">
        <v>1972</v>
      </c>
      <c r="B1329" s="331"/>
      <c r="C1329" s="332"/>
      <c r="D1329" s="332"/>
      <c r="E1329" s="332"/>
      <c r="F1329" s="336"/>
      <c r="G1329" s="330"/>
      <c r="H1329" s="329">
        <f t="shared" ref="H1329:M1329" si="64">SUBTOTAL(9,H1321:H1328)</f>
        <v>21509.46</v>
      </c>
      <c r="I1329" s="338">
        <f t="shared" si="64"/>
        <v>5377.3649999999998</v>
      </c>
      <c r="J1329" s="338">
        <f t="shared" si="64"/>
        <v>5377.3649999999998</v>
      </c>
      <c r="K1329" s="338">
        <f t="shared" si="64"/>
        <v>5377.3649999999998</v>
      </c>
      <c r="L1329" s="338">
        <f t="shared" si="64"/>
        <v>5377.3649999999998</v>
      </c>
      <c r="M1329" s="332">
        <f t="shared" si="64"/>
        <v>0</v>
      </c>
    </row>
    <row r="1330" spans="1:13" hidden="1" outlineLevel="2" x14ac:dyDescent="0.35">
      <c r="A1330" s="335" t="s">
        <v>107</v>
      </c>
      <c r="B1330" s="331">
        <v>44438</v>
      </c>
      <c r="C1330" s="332" t="s">
        <v>1973</v>
      </c>
      <c r="D1330" s="332" t="s">
        <v>1974</v>
      </c>
      <c r="E1330" s="332" t="s">
        <v>369</v>
      </c>
      <c r="F1330" s="336">
        <v>69486</v>
      </c>
      <c r="G1330" s="330" t="s">
        <v>236</v>
      </c>
      <c r="H1330" s="329">
        <v>59.246194669033827</v>
      </c>
      <c r="I1330" s="329"/>
      <c r="J1330" s="329">
        <v>59.246194669033827</v>
      </c>
      <c r="K1330" s="329"/>
      <c r="L1330" s="329"/>
      <c r="M1330" s="336"/>
    </row>
    <row r="1331" spans="1:13" hidden="1" outlineLevel="2" x14ac:dyDescent="0.35">
      <c r="A1331" s="335" t="s">
        <v>107</v>
      </c>
      <c r="B1331" s="331">
        <v>44188</v>
      </c>
      <c r="C1331" s="332" t="s">
        <v>1975</v>
      </c>
      <c r="D1331" s="332" t="s">
        <v>1976</v>
      </c>
      <c r="E1331" s="332" t="s">
        <v>1977</v>
      </c>
      <c r="F1331" s="336">
        <v>495000</v>
      </c>
      <c r="G1331" s="330" t="s">
        <v>236</v>
      </c>
      <c r="H1331" s="329">
        <v>422.0543182968043</v>
      </c>
      <c r="I1331" s="329"/>
      <c r="J1331" s="329">
        <v>422.0543182968043</v>
      </c>
      <c r="K1331" s="329"/>
      <c r="L1331" s="329"/>
      <c r="M1331" s="336"/>
    </row>
    <row r="1332" spans="1:13" hidden="1" outlineLevel="2" x14ac:dyDescent="0.35">
      <c r="A1332" s="335" t="s">
        <v>107</v>
      </c>
      <c r="B1332" s="331">
        <v>44239</v>
      </c>
      <c r="C1332" s="332" t="s">
        <v>1978</v>
      </c>
      <c r="D1332" s="332" t="s">
        <v>1979</v>
      </c>
      <c r="E1332" s="332" t="s">
        <v>369</v>
      </c>
      <c r="F1332" s="336">
        <v>814040</v>
      </c>
      <c r="G1332" s="330" t="s">
        <v>236</v>
      </c>
      <c r="H1332" s="329">
        <v>694.07898437642541</v>
      </c>
      <c r="I1332" s="329"/>
      <c r="J1332" s="329">
        <v>694.07898437642541</v>
      </c>
      <c r="K1332" s="329"/>
      <c r="L1332" s="329"/>
      <c r="M1332" s="336"/>
    </row>
    <row r="1333" spans="1:13" hidden="1" outlineLevel="2" x14ac:dyDescent="0.35">
      <c r="A1333" s="335" t="s">
        <v>107</v>
      </c>
      <c r="B1333" s="331">
        <v>44255</v>
      </c>
      <c r="C1333" s="332" t="s">
        <v>723</v>
      </c>
      <c r="D1333" s="332" t="s">
        <v>1980</v>
      </c>
      <c r="E1333" s="332" t="s">
        <v>369</v>
      </c>
      <c r="F1333" s="336">
        <v>437574</v>
      </c>
      <c r="G1333" s="330" t="s">
        <v>236</v>
      </c>
      <c r="H1333" s="329">
        <v>373.09090156445626</v>
      </c>
      <c r="I1333" s="329"/>
      <c r="J1333" s="329">
        <v>373.09090156445626</v>
      </c>
      <c r="K1333" s="329"/>
      <c r="L1333" s="329"/>
      <c r="M1333" s="336"/>
    </row>
    <row r="1334" spans="1:13" hidden="1" outlineLevel="2" x14ac:dyDescent="0.35">
      <c r="A1334" s="335" t="s">
        <v>107</v>
      </c>
      <c r="B1334" s="331">
        <v>44312</v>
      </c>
      <c r="C1334" s="332" t="s">
        <v>723</v>
      </c>
      <c r="D1334" s="332" t="s">
        <v>1981</v>
      </c>
      <c r="E1334" s="332" t="s">
        <v>369</v>
      </c>
      <c r="F1334" s="336">
        <v>621618</v>
      </c>
      <c r="G1334" s="330" t="s">
        <v>236</v>
      </c>
      <c r="H1334" s="329">
        <v>530.01325501216741</v>
      </c>
      <c r="I1334" s="329"/>
      <c r="J1334" s="329">
        <v>530.01325501216741</v>
      </c>
      <c r="K1334" s="329"/>
      <c r="L1334" s="329"/>
      <c r="M1334" s="336"/>
    </row>
    <row r="1335" spans="1:13" hidden="1" outlineLevel="2" x14ac:dyDescent="0.35">
      <c r="A1335" s="335" t="s">
        <v>107</v>
      </c>
      <c r="B1335" s="331">
        <v>44227</v>
      </c>
      <c r="C1335" s="332" t="s">
        <v>723</v>
      </c>
      <c r="D1335" s="332" t="s">
        <v>1982</v>
      </c>
      <c r="E1335" s="332" t="s">
        <v>369</v>
      </c>
      <c r="F1335" s="336">
        <v>1124922</v>
      </c>
      <c r="G1335" s="330" t="s">
        <v>236</v>
      </c>
      <c r="H1335" s="329">
        <v>959.14785423652052</v>
      </c>
      <c r="I1335" s="329"/>
      <c r="J1335" s="329">
        <v>959.14785423652052</v>
      </c>
      <c r="K1335" s="329"/>
      <c r="L1335" s="329"/>
      <c r="M1335" s="336"/>
    </row>
    <row r="1336" spans="1:13" hidden="1" outlineLevel="2" x14ac:dyDescent="0.35">
      <c r="A1336" s="335" t="s">
        <v>107</v>
      </c>
      <c r="B1336" s="331">
        <v>44341</v>
      </c>
      <c r="C1336" s="332" t="s">
        <v>1983</v>
      </c>
      <c r="D1336" s="332" t="s">
        <v>1984</v>
      </c>
      <c r="E1336" s="332" t="s">
        <v>1000</v>
      </c>
      <c r="F1336" s="336">
        <v>815000</v>
      </c>
      <c r="G1336" s="330" t="s">
        <v>236</v>
      </c>
      <c r="H1336" s="329">
        <v>694.89751396342524</v>
      </c>
      <c r="I1336" s="329"/>
      <c r="J1336" s="329">
        <v>694.89751396342524</v>
      </c>
      <c r="K1336" s="329"/>
      <c r="L1336" s="329"/>
      <c r="M1336" s="336"/>
    </row>
    <row r="1337" spans="1:13" hidden="1" outlineLevel="2" x14ac:dyDescent="0.35">
      <c r="A1337" s="335" t="s">
        <v>107</v>
      </c>
      <c r="B1337" s="331">
        <v>44368</v>
      </c>
      <c r="C1337" s="332" t="s">
        <v>1985</v>
      </c>
      <c r="D1337" s="332" t="s">
        <v>1986</v>
      </c>
      <c r="E1337" s="332" t="s">
        <v>369</v>
      </c>
      <c r="F1337" s="336">
        <v>195312</v>
      </c>
      <c r="G1337" s="330" t="s">
        <v>236</v>
      </c>
      <c r="H1337" s="329">
        <v>166.5298444751221</v>
      </c>
      <c r="I1337" s="329"/>
      <c r="J1337" s="329">
        <v>166.5298444751221</v>
      </c>
      <c r="K1337" s="329"/>
      <c r="L1337" s="329"/>
      <c r="M1337" s="336"/>
    </row>
    <row r="1338" spans="1:13" hidden="1" outlineLevel="2" x14ac:dyDescent="0.35">
      <c r="A1338" s="335" t="s">
        <v>107</v>
      </c>
      <c r="B1338" s="331">
        <v>44368</v>
      </c>
      <c r="C1338" s="332" t="s">
        <v>1985</v>
      </c>
      <c r="D1338" s="332" t="s">
        <v>1986</v>
      </c>
      <c r="E1338" s="332" t="s">
        <v>1987</v>
      </c>
      <c r="F1338" s="336">
        <v>281074</v>
      </c>
      <c r="G1338" s="330" t="s">
        <v>236</v>
      </c>
      <c r="H1338" s="329">
        <v>239.65352618374945</v>
      </c>
      <c r="I1338" s="329"/>
      <c r="J1338" s="329">
        <v>239.65352618374945</v>
      </c>
      <c r="K1338" s="329"/>
      <c r="L1338" s="329"/>
      <c r="M1338" s="336"/>
    </row>
    <row r="1339" spans="1:13" hidden="1" outlineLevel="2" x14ac:dyDescent="0.35">
      <c r="A1339" s="335" t="s">
        <v>107</v>
      </c>
      <c r="B1339" s="331">
        <v>44421</v>
      </c>
      <c r="C1339" s="332" t="s">
        <v>1988</v>
      </c>
      <c r="D1339" s="332" t="s">
        <v>1989</v>
      </c>
      <c r="E1339" s="332" t="s">
        <v>1000</v>
      </c>
      <c r="F1339" s="336">
        <v>1000000</v>
      </c>
      <c r="G1339" s="330" t="s">
        <v>236</v>
      </c>
      <c r="H1339" s="329">
        <v>852.6349864581905</v>
      </c>
      <c r="I1339" s="329"/>
      <c r="J1339" s="329">
        <v>852.6349864581905</v>
      </c>
      <c r="K1339" s="329"/>
      <c r="L1339" s="329"/>
      <c r="M1339" s="336"/>
    </row>
    <row r="1340" spans="1:13" hidden="1" outlineLevel="2" x14ac:dyDescent="0.35">
      <c r="A1340" s="335" t="s">
        <v>107</v>
      </c>
      <c r="B1340" s="331">
        <v>44509</v>
      </c>
      <c r="C1340" s="332" t="s">
        <v>1990</v>
      </c>
      <c r="D1340" s="332" t="s">
        <v>1991</v>
      </c>
      <c r="E1340" s="332" t="s">
        <v>1000</v>
      </c>
      <c r="F1340" s="336">
        <v>3000000</v>
      </c>
      <c r="G1340" s="330" t="s">
        <v>236</v>
      </c>
      <c r="H1340" s="329">
        <v>2557.9049593745713</v>
      </c>
      <c r="I1340" s="329"/>
      <c r="J1340" s="329">
        <v>2557.9049593745713</v>
      </c>
      <c r="K1340" s="329"/>
      <c r="L1340" s="329"/>
      <c r="M1340" s="336"/>
    </row>
    <row r="1341" spans="1:13" hidden="1" outlineLevel="2" x14ac:dyDescent="0.35">
      <c r="A1341" s="340" t="s">
        <v>107</v>
      </c>
      <c r="B1341" s="327">
        <v>44377</v>
      </c>
      <c r="C1341" s="328" t="s">
        <v>1992</v>
      </c>
      <c r="D1341" s="328" t="s">
        <v>1993</v>
      </c>
      <c r="E1341" s="328" t="s">
        <v>369</v>
      </c>
      <c r="F1341" s="338">
        <v>17528</v>
      </c>
      <c r="G1341" s="330" t="s">
        <v>236</v>
      </c>
      <c r="H1341" s="329">
        <v>14.944986042639163</v>
      </c>
      <c r="I1341" s="329"/>
      <c r="J1341" s="329">
        <v>14.944986042639163</v>
      </c>
      <c r="K1341" s="329"/>
      <c r="L1341" s="329"/>
      <c r="M1341" s="338"/>
    </row>
    <row r="1342" spans="1:13" hidden="1" outlineLevel="2" x14ac:dyDescent="0.35">
      <c r="A1342" s="335" t="s">
        <v>107</v>
      </c>
      <c r="B1342" s="331">
        <v>44463</v>
      </c>
      <c r="C1342" s="332" t="s">
        <v>1992</v>
      </c>
      <c r="D1342" s="332" t="s">
        <v>1994</v>
      </c>
      <c r="E1342" s="332" t="s">
        <v>369</v>
      </c>
      <c r="F1342" s="336">
        <v>30674</v>
      </c>
      <c r="G1342" s="330" t="s">
        <v>236</v>
      </c>
      <c r="H1342" s="329">
        <v>26.153725574618534</v>
      </c>
      <c r="I1342" s="329"/>
      <c r="J1342" s="329">
        <v>26.153725574618534</v>
      </c>
      <c r="K1342" s="329"/>
      <c r="L1342" s="329"/>
      <c r="M1342" s="336"/>
    </row>
    <row r="1343" spans="1:13" hidden="1" outlineLevel="2" x14ac:dyDescent="0.35">
      <c r="A1343" s="335" t="s">
        <v>107</v>
      </c>
      <c r="B1343" s="331">
        <v>44489</v>
      </c>
      <c r="C1343" s="332" t="s">
        <v>1992</v>
      </c>
      <c r="D1343" s="332" t="s">
        <v>1995</v>
      </c>
      <c r="E1343" s="332" t="s">
        <v>369</v>
      </c>
      <c r="F1343" s="336">
        <v>217222</v>
      </c>
      <c r="G1343" s="330" t="s">
        <v>236</v>
      </c>
      <c r="H1343" s="329">
        <v>185.21107702842104</v>
      </c>
      <c r="I1343" s="329"/>
      <c r="J1343" s="329">
        <v>185.21107702842104</v>
      </c>
      <c r="K1343" s="329"/>
      <c r="L1343" s="329"/>
      <c r="M1343" s="336"/>
    </row>
    <row r="1344" spans="1:13" hidden="1" outlineLevel="2" x14ac:dyDescent="0.35">
      <c r="A1344" s="335" t="s">
        <v>107</v>
      </c>
      <c r="B1344" s="331">
        <v>44474</v>
      </c>
      <c r="C1344" s="332" t="s">
        <v>1996</v>
      </c>
      <c r="D1344" s="332" t="s">
        <v>1997</v>
      </c>
      <c r="E1344" s="332" t="s">
        <v>1998</v>
      </c>
      <c r="F1344" s="336">
        <v>52000</v>
      </c>
      <c r="G1344" s="330" t="s">
        <v>236</v>
      </c>
      <c r="H1344" s="329">
        <v>44.337019295825904</v>
      </c>
      <c r="I1344" s="329"/>
      <c r="J1344" s="329">
        <v>44.337019295825904</v>
      </c>
      <c r="K1344" s="329"/>
      <c r="L1344" s="329"/>
      <c r="M1344" s="336"/>
    </row>
    <row r="1345" spans="1:13" hidden="1" outlineLevel="2" x14ac:dyDescent="0.35">
      <c r="A1345" s="335" t="s">
        <v>107</v>
      </c>
      <c r="B1345" s="331">
        <v>44484</v>
      </c>
      <c r="C1345" s="332" t="s">
        <v>1999</v>
      </c>
      <c r="D1345" s="332" t="s">
        <v>2000</v>
      </c>
      <c r="E1345" s="332" t="s">
        <v>701</v>
      </c>
      <c r="F1345" s="336">
        <v>1000000</v>
      </c>
      <c r="G1345" s="330" t="s">
        <v>236</v>
      </c>
      <c r="H1345" s="329">
        <v>852.6349864581905</v>
      </c>
      <c r="I1345" s="329"/>
      <c r="J1345" s="329">
        <v>852.6349864581905</v>
      </c>
      <c r="K1345" s="329"/>
      <c r="L1345" s="329"/>
      <c r="M1345" s="336"/>
    </row>
    <row r="1346" spans="1:13" hidden="1" outlineLevel="2" x14ac:dyDescent="0.35">
      <c r="A1346" s="335" t="s">
        <v>107</v>
      </c>
      <c r="B1346" s="331">
        <v>44508</v>
      </c>
      <c r="C1346" s="332" t="s">
        <v>2001</v>
      </c>
      <c r="D1346" s="332" t="s">
        <v>2002</v>
      </c>
      <c r="E1346" s="332" t="s">
        <v>1362</v>
      </c>
      <c r="F1346" s="336">
        <v>118000</v>
      </c>
      <c r="G1346" s="330" t="s">
        <v>236</v>
      </c>
      <c r="H1346" s="329">
        <v>100.61092840206648</v>
      </c>
      <c r="I1346" s="329"/>
      <c r="J1346" s="329">
        <v>100.61092840206648</v>
      </c>
      <c r="K1346" s="329"/>
      <c r="L1346" s="329"/>
      <c r="M1346" s="336"/>
    </row>
    <row r="1347" spans="1:13" hidden="1" outlineLevel="2" x14ac:dyDescent="0.35">
      <c r="A1347" s="335" t="s">
        <v>107</v>
      </c>
      <c r="B1347" s="331">
        <v>44510</v>
      </c>
      <c r="C1347" s="332" t="s">
        <v>2003</v>
      </c>
      <c r="D1347" s="332" t="s">
        <v>2004</v>
      </c>
      <c r="E1347" s="332" t="s">
        <v>2005</v>
      </c>
      <c r="F1347" s="336">
        <v>162000</v>
      </c>
      <c r="G1347" s="330" t="s">
        <v>236</v>
      </c>
      <c r="H1347" s="329">
        <v>138.12686780622687</v>
      </c>
      <c r="I1347" s="329"/>
      <c r="J1347" s="329">
        <v>138.12686780622687</v>
      </c>
      <c r="K1347" s="329"/>
      <c r="L1347" s="329"/>
      <c r="M1347" s="336"/>
    </row>
    <row r="1348" spans="1:13" hidden="1" outlineLevel="2" x14ac:dyDescent="0.35">
      <c r="A1348" s="335" t="s">
        <v>107</v>
      </c>
      <c r="B1348" s="331">
        <v>44517</v>
      </c>
      <c r="C1348" s="332" t="s">
        <v>2006</v>
      </c>
      <c r="D1348" s="332" t="s">
        <v>2007</v>
      </c>
      <c r="E1348" s="332" t="s">
        <v>2008</v>
      </c>
      <c r="F1348" s="336">
        <v>145000</v>
      </c>
      <c r="G1348" s="330" t="s">
        <v>236</v>
      </c>
      <c r="H1348" s="329">
        <v>123.63207303643762</v>
      </c>
      <c r="I1348" s="329"/>
      <c r="J1348" s="329">
        <v>123.63207303643762</v>
      </c>
      <c r="K1348" s="329"/>
      <c r="L1348" s="329"/>
      <c r="M1348" s="336"/>
    </row>
    <row r="1349" spans="1:13" hidden="1" outlineLevel="2" x14ac:dyDescent="0.35">
      <c r="A1349" s="335" t="s">
        <v>107</v>
      </c>
      <c r="B1349" s="331">
        <v>44515</v>
      </c>
      <c r="C1349" s="332" t="s">
        <v>2009</v>
      </c>
      <c r="D1349" s="332" t="s">
        <v>2010</v>
      </c>
      <c r="E1349" s="332" t="s">
        <v>2008</v>
      </c>
      <c r="F1349" s="336">
        <v>265000</v>
      </c>
      <c r="G1349" s="330" t="s">
        <v>236</v>
      </c>
      <c r="H1349" s="329">
        <v>225.94827141142048</v>
      </c>
      <c r="I1349" s="329"/>
      <c r="J1349" s="329">
        <v>225.94827141142048</v>
      </c>
      <c r="K1349" s="329"/>
      <c r="L1349" s="329"/>
      <c r="M1349" s="336"/>
    </row>
    <row r="1350" spans="1:13" hidden="1" outlineLevel="2" x14ac:dyDescent="0.35">
      <c r="A1350" s="335" t="s">
        <v>107</v>
      </c>
      <c r="B1350" s="331">
        <v>44510</v>
      </c>
      <c r="C1350" s="332" t="s">
        <v>339</v>
      </c>
      <c r="D1350" s="332" t="s">
        <v>2011</v>
      </c>
      <c r="E1350" s="332" t="s">
        <v>2012</v>
      </c>
      <c r="F1350" s="336">
        <v>601505</v>
      </c>
      <c r="G1350" s="330" t="s">
        <v>236</v>
      </c>
      <c r="H1350" s="329">
        <v>512.86420752953393</v>
      </c>
      <c r="I1350" s="329"/>
      <c r="J1350" s="329">
        <v>512.86420752953393</v>
      </c>
      <c r="K1350" s="329"/>
      <c r="L1350" s="329"/>
      <c r="M1350" s="336"/>
    </row>
    <row r="1351" spans="1:13" hidden="1" outlineLevel="2" x14ac:dyDescent="0.35">
      <c r="A1351" s="335" t="s">
        <v>107</v>
      </c>
      <c r="B1351" s="331">
        <v>44285</v>
      </c>
      <c r="C1351" s="332" t="s">
        <v>2013</v>
      </c>
      <c r="D1351" s="332" t="s">
        <v>2014</v>
      </c>
      <c r="E1351" s="332" t="s">
        <v>2015</v>
      </c>
      <c r="F1351" s="336">
        <v>300</v>
      </c>
      <c r="G1351" s="330" t="s">
        <v>236</v>
      </c>
      <c r="H1351" s="329">
        <v>0.25579049593745717</v>
      </c>
      <c r="I1351" s="329"/>
      <c r="J1351" s="329">
        <v>0.25579049593745717</v>
      </c>
      <c r="K1351" s="329"/>
      <c r="L1351" s="329"/>
      <c r="M1351" s="336"/>
    </row>
    <row r="1352" spans="1:13" hidden="1" outlineLevel="2" x14ac:dyDescent="0.35">
      <c r="A1352" s="335" t="s">
        <v>107</v>
      </c>
      <c r="B1352" s="331">
        <v>44254</v>
      </c>
      <c r="C1352" s="332" t="s">
        <v>2013</v>
      </c>
      <c r="D1352" s="332" t="s">
        <v>2016</v>
      </c>
      <c r="E1352" s="332" t="s">
        <v>2017</v>
      </c>
      <c r="F1352" s="336">
        <v>3000</v>
      </c>
      <c r="G1352" s="330" t="s">
        <v>236</v>
      </c>
      <c r="H1352" s="329">
        <v>2.5579049593745715</v>
      </c>
      <c r="I1352" s="329"/>
      <c r="J1352" s="329">
        <v>2.5579049593745715</v>
      </c>
      <c r="K1352" s="329"/>
      <c r="L1352" s="329"/>
      <c r="M1352" s="336"/>
    </row>
    <row r="1353" spans="1:13" hidden="1" outlineLevel="2" x14ac:dyDescent="0.35">
      <c r="A1353" s="335" t="s">
        <v>107</v>
      </c>
      <c r="B1353" s="331">
        <v>44252</v>
      </c>
      <c r="C1353" s="332" t="s">
        <v>2013</v>
      </c>
      <c r="D1353" s="332" t="s">
        <v>2018</v>
      </c>
      <c r="E1353" s="332" t="s">
        <v>2017</v>
      </c>
      <c r="F1353" s="336">
        <v>6000</v>
      </c>
      <c r="G1353" s="330" t="s">
        <v>236</v>
      </c>
      <c r="H1353" s="329">
        <v>5.115809918749143</v>
      </c>
      <c r="I1353" s="329"/>
      <c r="J1353" s="329">
        <v>5.115809918749143</v>
      </c>
      <c r="K1353" s="329"/>
      <c r="L1353" s="329"/>
      <c r="M1353" s="336"/>
    </row>
    <row r="1354" spans="1:13" hidden="1" outlineLevel="2" x14ac:dyDescent="0.35">
      <c r="A1354" s="335" t="s">
        <v>107</v>
      </c>
      <c r="B1354" s="331">
        <v>44254</v>
      </c>
      <c r="C1354" s="332" t="s">
        <v>2013</v>
      </c>
      <c r="D1354" s="332" t="s">
        <v>2019</v>
      </c>
      <c r="E1354" s="332" t="s">
        <v>2020</v>
      </c>
      <c r="F1354" s="336">
        <v>7000</v>
      </c>
      <c r="G1354" s="330" t="s">
        <v>236</v>
      </c>
      <c r="H1354" s="329">
        <v>5.9684449052073338</v>
      </c>
      <c r="I1354" s="329"/>
      <c r="J1354" s="329">
        <v>5.9684449052073338</v>
      </c>
      <c r="K1354" s="329"/>
      <c r="L1354" s="329"/>
      <c r="M1354" s="336"/>
    </row>
    <row r="1355" spans="1:13" hidden="1" outlineLevel="2" x14ac:dyDescent="0.35">
      <c r="A1355" s="335" t="s">
        <v>107</v>
      </c>
      <c r="B1355" s="331">
        <v>44285</v>
      </c>
      <c r="C1355" s="332" t="s">
        <v>2013</v>
      </c>
      <c r="D1355" s="332" t="s">
        <v>2021</v>
      </c>
      <c r="E1355" s="332" t="s">
        <v>2022</v>
      </c>
      <c r="F1355" s="336">
        <v>8100</v>
      </c>
      <c r="G1355" s="330" t="s">
        <v>236</v>
      </c>
      <c r="H1355" s="329">
        <v>6.9063433903113429</v>
      </c>
      <c r="I1355" s="329"/>
      <c r="J1355" s="329">
        <v>6.9063433903113429</v>
      </c>
      <c r="K1355" s="329"/>
      <c r="L1355" s="329"/>
      <c r="M1355" s="336"/>
    </row>
    <row r="1356" spans="1:13" hidden="1" outlineLevel="2" x14ac:dyDescent="0.35">
      <c r="A1356" s="335" t="s">
        <v>107</v>
      </c>
      <c r="B1356" s="331">
        <v>44272</v>
      </c>
      <c r="C1356" s="332" t="s">
        <v>2013</v>
      </c>
      <c r="D1356" s="332" t="s">
        <v>2023</v>
      </c>
      <c r="E1356" s="332" t="s">
        <v>2022</v>
      </c>
      <c r="F1356" s="336">
        <v>15100</v>
      </c>
      <c r="G1356" s="330" t="s">
        <v>236</v>
      </c>
      <c r="H1356" s="329">
        <v>12.874788295518677</v>
      </c>
      <c r="I1356" s="329"/>
      <c r="J1356" s="329">
        <v>12.874788295518677</v>
      </c>
      <c r="K1356" s="329"/>
      <c r="L1356" s="329"/>
      <c r="M1356" s="336"/>
    </row>
    <row r="1357" spans="1:13" hidden="1" outlineLevel="2" x14ac:dyDescent="0.35">
      <c r="A1357" s="335" t="s">
        <v>107</v>
      </c>
      <c r="B1357" s="331">
        <v>44250</v>
      </c>
      <c r="C1357" s="332" t="s">
        <v>2013</v>
      </c>
      <c r="D1357" s="332" t="s">
        <v>2024</v>
      </c>
      <c r="E1357" s="332" t="s">
        <v>2025</v>
      </c>
      <c r="F1357" s="336">
        <v>20000</v>
      </c>
      <c r="G1357" s="330" t="s">
        <v>236</v>
      </c>
      <c r="H1357" s="329">
        <v>17.052699729163809</v>
      </c>
      <c r="I1357" s="329"/>
      <c r="J1357" s="329">
        <v>17.052699729163809</v>
      </c>
      <c r="K1357" s="329"/>
      <c r="L1357" s="329"/>
      <c r="M1357" s="336"/>
    </row>
    <row r="1358" spans="1:13" hidden="1" outlineLevel="2" x14ac:dyDescent="0.35">
      <c r="A1358" s="335" t="s">
        <v>107</v>
      </c>
      <c r="B1358" s="331">
        <v>44272</v>
      </c>
      <c r="C1358" s="332" t="s">
        <v>2013</v>
      </c>
      <c r="D1358" s="332" t="s">
        <v>2026</v>
      </c>
      <c r="E1358" s="332" t="s">
        <v>2027</v>
      </c>
      <c r="F1358" s="336">
        <v>79500</v>
      </c>
      <c r="G1358" s="330" t="s">
        <v>236</v>
      </c>
      <c r="H1358" s="329">
        <v>67.784481423426143</v>
      </c>
      <c r="I1358" s="329"/>
      <c r="J1358" s="329">
        <v>67.784481423426143</v>
      </c>
      <c r="K1358" s="329"/>
      <c r="L1358" s="329"/>
      <c r="M1358" s="336"/>
    </row>
    <row r="1359" spans="1:13" hidden="1" outlineLevel="2" x14ac:dyDescent="0.35">
      <c r="A1359" s="335" t="s">
        <v>107</v>
      </c>
      <c r="B1359" s="331">
        <v>44285</v>
      </c>
      <c r="C1359" s="332" t="s">
        <v>2013</v>
      </c>
      <c r="D1359" s="332" t="s">
        <v>2028</v>
      </c>
      <c r="E1359" s="332" t="s">
        <v>2027</v>
      </c>
      <c r="F1359" s="336">
        <v>85000</v>
      </c>
      <c r="G1359" s="330" t="s">
        <v>236</v>
      </c>
      <c r="H1359" s="329">
        <v>72.473973848946187</v>
      </c>
      <c r="I1359" s="329"/>
      <c r="J1359" s="329">
        <v>72.473973848946187</v>
      </c>
      <c r="K1359" s="329"/>
      <c r="L1359" s="329"/>
      <c r="M1359" s="336"/>
    </row>
    <row r="1360" spans="1:13" hidden="1" outlineLevel="2" x14ac:dyDescent="0.35">
      <c r="A1360" s="335" t="s">
        <v>107</v>
      </c>
      <c r="B1360" s="331">
        <v>44250</v>
      </c>
      <c r="C1360" s="332" t="s">
        <v>2013</v>
      </c>
      <c r="D1360" s="332" t="s">
        <v>2029</v>
      </c>
      <c r="E1360" s="332" t="s">
        <v>2030</v>
      </c>
      <c r="F1360" s="336">
        <v>152000</v>
      </c>
      <c r="G1360" s="330" t="s">
        <v>236</v>
      </c>
      <c r="H1360" s="329">
        <v>129.60051794164497</v>
      </c>
      <c r="I1360" s="329"/>
      <c r="J1360" s="329">
        <v>129.60051794164497</v>
      </c>
      <c r="K1360" s="329"/>
      <c r="L1360" s="329"/>
      <c r="M1360" s="336"/>
    </row>
    <row r="1361" spans="1:13" hidden="1" outlineLevel="2" x14ac:dyDescent="0.35">
      <c r="A1361" s="335" t="s">
        <v>107</v>
      </c>
      <c r="B1361" s="331">
        <v>43707</v>
      </c>
      <c r="C1361" s="332" t="s">
        <v>2031</v>
      </c>
      <c r="D1361" s="332" t="s">
        <v>2032</v>
      </c>
      <c r="E1361" s="332" t="s">
        <v>2033</v>
      </c>
      <c r="F1361" s="336">
        <v>11.2</v>
      </c>
      <c r="G1361" s="330" t="s">
        <v>56</v>
      </c>
      <c r="H1361" s="329">
        <v>11.2</v>
      </c>
      <c r="I1361" s="338">
        <f t="shared" ref="I1361:L1380" si="65">$H1361/4</f>
        <v>2.8</v>
      </c>
      <c r="J1361" s="338">
        <f t="shared" si="65"/>
        <v>2.8</v>
      </c>
      <c r="K1361" s="338">
        <f t="shared" si="65"/>
        <v>2.8</v>
      </c>
      <c r="L1361" s="338">
        <f t="shared" si="65"/>
        <v>2.8</v>
      </c>
      <c r="M1361" s="332"/>
    </row>
    <row r="1362" spans="1:13" hidden="1" outlineLevel="2" x14ac:dyDescent="0.35">
      <c r="A1362" s="335" t="s">
        <v>107</v>
      </c>
      <c r="B1362" s="331">
        <v>43755</v>
      </c>
      <c r="C1362" s="332" t="s">
        <v>2034</v>
      </c>
      <c r="D1362" s="332" t="s">
        <v>2035</v>
      </c>
      <c r="E1362" s="332" t="s">
        <v>2033</v>
      </c>
      <c r="F1362" s="336">
        <v>9.1999999999999993</v>
      </c>
      <c r="G1362" s="330" t="s">
        <v>56</v>
      </c>
      <c r="H1362" s="329">
        <v>9.1999999999999993</v>
      </c>
      <c r="I1362" s="338">
        <f t="shared" si="65"/>
        <v>2.2999999999999998</v>
      </c>
      <c r="J1362" s="338">
        <f t="shared" si="65"/>
        <v>2.2999999999999998</v>
      </c>
      <c r="K1362" s="338">
        <f t="shared" si="65"/>
        <v>2.2999999999999998</v>
      </c>
      <c r="L1362" s="338">
        <f t="shared" si="65"/>
        <v>2.2999999999999998</v>
      </c>
      <c r="M1362" s="332"/>
    </row>
    <row r="1363" spans="1:13" hidden="1" outlineLevel="2" x14ac:dyDescent="0.35">
      <c r="A1363" s="335" t="s">
        <v>107</v>
      </c>
      <c r="B1363" s="331">
        <v>43755</v>
      </c>
      <c r="C1363" s="332" t="s">
        <v>2034</v>
      </c>
      <c r="D1363" s="332" t="s">
        <v>2036</v>
      </c>
      <c r="E1363" s="332" t="s">
        <v>2033</v>
      </c>
      <c r="F1363" s="336">
        <v>15.6</v>
      </c>
      <c r="G1363" s="330" t="s">
        <v>56</v>
      </c>
      <c r="H1363" s="329">
        <v>15.6</v>
      </c>
      <c r="I1363" s="338">
        <f t="shared" si="65"/>
        <v>3.9</v>
      </c>
      <c r="J1363" s="338">
        <f t="shared" si="65"/>
        <v>3.9</v>
      </c>
      <c r="K1363" s="338">
        <f t="shared" si="65"/>
        <v>3.9</v>
      </c>
      <c r="L1363" s="338">
        <f t="shared" si="65"/>
        <v>3.9</v>
      </c>
      <c r="M1363" s="332"/>
    </row>
    <row r="1364" spans="1:13" hidden="1" outlineLevel="2" x14ac:dyDescent="0.35">
      <c r="A1364" s="335" t="s">
        <v>107</v>
      </c>
      <c r="B1364" s="331">
        <v>43755</v>
      </c>
      <c r="C1364" s="332" t="s">
        <v>2034</v>
      </c>
      <c r="D1364" s="332" t="s">
        <v>2036</v>
      </c>
      <c r="E1364" s="332" t="s">
        <v>2033</v>
      </c>
      <c r="F1364" s="336">
        <v>7</v>
      </c>
      <c r="G1364" s="330" t="s">
        <v>56</v>
      </c>
      <c r="H1364" s="329">
        <v>7</v>
      </c>
      <c r="I1364" s="338">
        <f t="shared" si="65"/>
        <v>1.75</v>
      </c>
      <c r="J1364" s="338">
        <f t="shared" si="65"/>
        <v>1.75</v>
      </c>
      <c r="K1364" s="338">
        <f t="shared" si="65"/>
        <v>1.75</v>
      </c>
      <c r="L1364" s="338">
        <f t="shared" si="65"/>
        <v>1.75</v>
      </c>
      <c r="M1364" s="332"/>
    </row>
    <row r="1365" spans="1:13" hidden="1" outlineLevel="2" x14ac:dyDescent="0.35">
      <c r="A1365" s="335" t="s">
        <v>107</v>
      </c>
      <c r="B1365" s="331">
        <v>44518</v>
      </c>
      <c r="C1365" s="332" t="s">
        <v>2037</v>
      </c>
      <c r="D1365" s="332" t="s">
        <v>2038</v>
      </c>
      <c r="E1365" s="332" t="s">
        <v>2039</v>
      </c>
      <c r="F1365" s="336">
        <v>8.69</v>
      </c>
      <c r="G1365" s="330" t="s">
        <v>56</v>
      </c>
      <c r="H1365" s="329">
        <v>8.69</v>
      </c>
      <c r="I1365" s="338">
        <f t="shared" si="65"/>
        <v>2.1724999999999999</v>
      </c>
      <c r="J1365" s="338">
        <f t="shared" si="65"/>
        <v>2.1724999999999999</v>
      </c>
      <c r="K1365" s="338">
        <f t="shared" si="65"/>
        <v>2.1724999999999999</v>
      </c>
      <c r="L1365" s="338">
        <f t="shared" si="65"/>
        <v>2.1724999999999999</v>
      </c>
      <c r="M1365" s="332"/>
    </row>
    <row r="1366" spans="1:13" hidden="1" outlineLevel="2" x14ac:dyDescent="0.35">
      <c r="A1366" s="335" t="s">
        <v>107</v>
      </c>
      <c r="B1366" s="331">
        <v>44511</v>
      </c>
      <c r="C1366" s="332" t="s">
        <v>2040</v>
      </c>
      <c r="D1366" s="332" t="s">
        <v>2041</v>
      </c>
      <c r="E1366" s="332" t="s">
        <v>2039</v>
      </c>
      <c r="F1366" s="336">
        <v>5.9</v>
      </c>
      <c r="G1366" s="330" t="s">
        <v>56</v>
      </c>
      <c r="H1366" s="329">
        <v>5.9</v>
      </c>
      <c r="I1366" s="338">
        <f t="shared" si="65"/>
        <v>1.4750000000000001</v>
      </c>
      <c r="J1366" s="338">
        <f t="shared" si="65"/>
        <v>1.4750000000000001</v>
      </c>
      <c r="K1366" s="338">
        <f t="shared" si="65"/>
        <v>1.4750000000000001</v>
      </c>
      <c r="L1366" s="338">
        <f t="shared" si="65"/>
        <v>1.4750000000000001</v>
      </c>
      <c r="M1366" s="332"/>
    </row>
    <row r="1367" spans="1:13" hidden="1" outlineLevel="2" x14ac:dyDescent="0.35">
      <c r="A1367" s="335" t="s">
        <v>107</v>
      </c>
      <c r="B1367" s="331">
        <v>44512</v>
      </c>
      <c r="C1367" s="332" t="s">
        <v>2042</v>
      </c>
      <c r="D1367" s="332" t="s">
        <v>2043</v>
      </c>
      <c r="E1367" s="332" t="s">
        <v>2039</v>
      </c>
      <c r="F1367" s="336">
        <v>50.15</v>
      </c>
      <c r="G1367" s="330" t="s">
        <v>56</v>
      </c>
      <c r="H1367" s="329">
        <v>50.15</v>
      </c>
      <c r="I1367" s="338">
        <f t="shared" si="65"/>
        <v>12.5375</v>
      </c>
      <c r="J1367" s="338">
        <f t="shared" si="65"/>
        <v>12.5375</v>
      </c>
      <c r="K1367" s="338">
        <f t="shared" si="65"/>
        <v>12.5375</v>
      </c>
      <c r="L1367" s="338">
        <f t="shared" si="65"/>
        <v>12.5375</v>
      </c>
      <c r="M1367" s="332"/>
    </row>
    <row r="1368" spans="1:13" hidden="1" outlineLevel="2" x14ac:dyDescent="0.35">
      <c r="A1368" s="335" t="s">
        <v>107</v>
      </c>
      <c r="B1368" s="331">
        <v>44513</v>
      </c>
      <c r="C1368" s="332" t="s">
        <v>2044</v>
      </c>
      <c r="D1368" s="332" t="s">
        <v>2045</v>
      </c>
      <c r="E1368" s="332" t="s">
        <v>2039</v>
      </c>
      <c r="F1368" s="336">
        <v>50.15</v>
      </c>
      <c r="G1368" s="330" t="s">
        <v>56</v>
      </c>
      <c r="H1368" s="329">
        <v>50.15</v>
      </c>
      <c r="I1368" s="338">
        <f t="shared" si="65"/>
        <v>12.5375</v>
      </c>
      <c r="J1368" s="338">
        <f t="shared" si="65"/>
        <v>12.5375</v>
      </c>
      <c r="K1368" s="338">
        <f t="shared" si="65"/>
        <v>12.5375</v>
      </c>
      <c r="L1368" s="338">
        <f t="shared" si="65"/>
        <v>12.5375</v>
      </c>
      <c r="M1368" s="332"/>
    </row>
    <row r="1369" spans="1:13" hidden="1" outlineLevel="2" x14ac:dyDescent="0.35">
      <c r="A1369" s="335" t="s">
        <v>107</v>
      </c>
      <c r="B1369" s="331">
        <v>44514</v>
      </c>
      <c r="C1369" s="332" t="s">
        <v>2046</v>
      </c>
      <c r="D1369" s="332" t="s">
        <v>2047</v>
      </c>
      <c r="E1369" s="332" t="s">
        <v>2039</v>
      </c>
      <c r="F1369" s="336">
        <v>59</v>
      </c>
      <c r="G1369" s="330" t="s">
        <v>56</v>
      </c>
      <c r="H1369" s="329">
        <v>59</v>
      </c>
      <c r="I1369" s="338">
        <f t="shared" si="65"/>
        <v>14.75</v>
      </c>
      <c r="J1369" s="338">
        <f t="shared" si="65"/>
        <v>14.75</v>
      </c>
      <c r="K1369" s="338">
        <f t="shared" si="65"/>
        <v>14.75</v>
      </c>
      <c r="L1369" s="338">
        <f t="shared" si="65"/>
        <v>14.75</v>
      </c>
      <c r="M1369" s="332"/>
    </row>
    <row r="1370" spans="1:13" hidden="1" outlineLevel="2" x14ac:dyDescent="0.35">
      <c r="A1370" s="335" t="s">
        <v>107</v>
      </c>
      <c r="B1370" s="331">
        <v>44516</v>
      </c>
      <c r="C1370" s="332" t="s">
        <v>2048</v>
      </c>
      <c r="D1370" s="332" t="s">
        <v>2049</v>
      </c>
      <c r="E1370" s="332" t="s">
        <v>2039</v>
      </c>
      <c r="F1370" s="336">
        <v>29.5</v>
      </c>
      <c r="G1370" s="330" t="s">
        <v>56</v>
      </c>
      <c r="H1370" s="329">
        <v>29.5</v>
      </c>
      <c r="I1370" s="338">
        <f t="shared" si="65"/>
        <v>7.375</v>
      </c>
      <c r="J1370" s="338">
        <f t="shared" si="65"/>
        <v>7.375</v>
      </c>
      <c r="K1370" s="338">
        <f t="shared" si="65"/>
        <v>7.375</v>
      </c>
      <c r="L1370" s="338">
        <f t="shared" si="65"/>
        <v>7.375</v>
      </c>
      <c r="M1370" s="332"/>
    </row>
    <row r="1371" spans="1:13" hidden="1" outlineLevel="2" x14ac:dyDescent="0.35">
      <c r="A1371" s="335" t="s">
        <v>107</v>
      </c>
      <c r="B1371" s="331">
        <v>44515</v>
      </c>
      <c r="C1371" s="332" t="s">
        <v>2050</v>
      </c>
      <c r="D1371" s="332" t="s">
        <v>2051</v>
      </c>
      <c r="E1371" s="332" t="s">
        <v>2039</v>
      </c>
      <c r="F1371" s="336">
        <v>50.15</v>
      </c>
      <c r="G1371" s="330" t="s">
        <v>56</v>
      </c>
      <c r="H1371" s="329">
        <v>50.15</v>
      </c>
      <c r="I1371" s="338">
        <f t="shared" si="65"/>
        <v>12.5375</v>
      </c>
      <c r="J1371" s="338">
        <f t="shared" si="65"/>
        <v>12.5375</v>
      </c>
      <c r="K1371" s="338">
        <f t="shared" si="65"/>
        <v>12.5375</v>
      </c>
      <c r="L1371" s="338">
        <f t="shared" si="65"/>
        <v>12.5375</v>
      </c>
      <c r="M1371" s="332"/>
    </row>
    <row r="1372" spans="1:13" hidden="1" outlineLevel="2" x14ac:dyDescent="0.35">
      <c r="A1372" s="335" t="s">
        <v>107</v>
      </c>
      <c r="B1372" s="331">
        <v>44517</v>
      </c>
      <c r="C1372" s="332" t="s">
        <v>2052</v>
      </c>
      <c r="D1372" s="332" t="s">
        <v>2053</v>
      </c>
      <c r="E1372" s="332" t="s">
        <v>2039</v>
      </c>
      <c r="F1372" s="336">
        <v>50.15</v>
      </c>
      <c r="G1372" s="330" t="s">
        <v>56</v>
      </c>
      <c r="H1372" s="329">
        <v>50.15</v>
      </c>
      <c r="I1372" s="338">
        <f t="shared" si="65"/>
        <v>12.5375</v>
      </c>
      <c r="J1372" s="338">
        <f t="shared" si="65"/>
        <v>12.5375</v>
      </c>
      <c r="K1372" s="338">
        <f t="shared" si="65"/>
        <v>12.5375</v>
      </c>
      <c r="L1372" s="338">
        <f t="shared" si="65"/>
        <v>12.5375</v>
      </c>
      <c r="M1372" s="332"/>
    </row>
    <row r="1373" spans="1:13" hidden="1" outlineLevel="2" x14ac:dyDescent="0.35">
      <c r="A1373" s="335" t="s">
        <v>107</v>
      </c>
      <c r="B1373" s="331">
        <v>44519</v>
      </c>
      <c r="C1373" s="332" t="s">
        <v>2054</v>
      </c>
      <c r="D1373" s="332" t="s">
        <v>2055</v>
      </c>
      <c r="E1373" s="332" t="s">
        <v>2039</v>
      </c>
      <c r="F1373" s="336">
        <v>25.08</v>
      </c>
      <c r="G1373" s="330" t="s">
        <v>56</v>
      </c>
      <c r="H1373" s="329">
        <v>25.08</v>
      </c>
      <c r="I1373" s="338">
        <f t="shared" si="65"/>
        <v>6.27</v>
      </c>
      <c r="J1373" s="338">
        <f t="shared" si="65"/>
        <v>6.27</v>
      </c>
      <c r="K1373" s="338">
        <f t="shared" si="65"/>
        <v>6.27</v>
      </c>
      <c r="L1373" s="338">
        <f t="shared" si="65"/>
        <v>6.27</v>
      </c>
      <c r="M1373" s="332"/>
    </row>
    <row r="1374" spans="1:13" hidden="1" outlineLevel="2" x14ac:dyDescent="0.35">
      <c r="A1374" s="335" t="s">
        <v>107</v>
      </c>
      <c r="B1374" s="331">
        <v>44518</v>
      </c>
      <c r="C1374" s="332" t="s">
        <v>2056</v>
      </c>
      <c r="D1374" s="332" t="s">
        <v>2057</v>
      </c>
      <c r="E1374" s="332" t="s">
        <v>2039</v>
      </c>
      <c r="F1374" s="336">
        <v>23.6</v>
      </c>
      <c r="G1374" s="330" t="s">
        <v>56</v>
      </c>
      <c r="H1374" s="329">
        <v>23.6</v>
      </c>
      <c r="I1374" s="338">
        <f t="shared" si="65"/>
        <v>5.9</v>
      </c>
      <c r="J1374" s="338">
        <f t="shared" si="65"/>
        <v>5.9</v>
      </c>
      <c r="K1374" s="338">
        <f t="shared" si="65"/>
        <v>5.9</v>
      </c>
      <c r="L1374" s="338">
        <f t="shared" si="65"/>
        <v>5.9</v>
      </c>
      <c r="M1374" s="332"/>
    </row>
    <row r="1375" spans="1:13" hidden="1" outlineLevel="2" x14ac:dyDescent="0.35">
      <c r="A1375" s="335" t="s">
        <v>107</v>
      </c>
      <c r="B1375" s="331">
        <v>43675</v>
      </c>
      <c r="C1375" s="332" t="s">
        <v>2058</v>
      </c>
      <c r="D1375" s="332" t="s">
        <v>2059</v>
      </c>
      <c r="E1375" s="332" t="s">
        <v>798</v>
      </c>
      <c r="F1375" s="336">
        <v>490.15</v>
      </c>
      <c r="G1375" s="330" t="s">
        <v>56</v>
      </c>
      <c r="H1375" s="329">
        <v>490.15</v>
      </c>
      <c r="I1375" s="338">
        <f t="shared" si="65"/>
        <v>122.53749999999999</v>
      </c>
      <c r="J1375" s="338">
        <f t="shared" si="65"/>
        <v>122.53749999999999</v>
      </c>
      <c r="K1375" s="338">
        <f t="shared" si="65"/>
        <v>122.53749999999999</v>
      </c>
      <c r="L1375" s="338">
        <f t="shared" si="65"/>
        <v>122.53749999999999</v>
      </c>
      <c r="M1375" s="332"/>
    </row>
    <row r="1376" spans="1:13" hidden="1" outlineLevel="2" x14ac:dyDescent="0.35">
      <c r="A1376" s="335" t="s">
        <v>107</v>
      </c>
      <c r="B1376" s="331">
        <v>44480</v>
      </c>
      <c r="C1376" s="332" t="s">
        <v>2060</v>
      </c>
      <c r="D1376" s="332" t="s">
        <v>2061</v>
      </c>
      <c r="E1376" s="332" t="s">
        <v>798</v>
      </c>
      <c r="F1376" s="336">
        <v>654.83000000000004</v>
      </c>
      <c r="G1376" s="330" t="s">
        <v>56</v>
      </c>
      <c r="H1376" s="329">
        <v>654.83000000000004</v>
      </c>
      <c r="I1376" s="338">
        <f t="shared" si="65"/>
        <v>163.70750000000001</v>
      </c>
      <c r="J1376" s="338">
        <f t="shared" si="65"/>
        <v>163.70750000000001</v>
      </c>
      <c r="K1376" s="338">
        <f t="shared" si="65"/>
        <v>163.70750000000001</v>
      </c>
      <c r="L1376" s="338">
        <f t="shared" si="65"/>
        <v>163.70750000000001</v>
      </c>
      <c r="M1376" s="332"/>
    </row>
    <row r="1377" spans="1:13" hidden="1" outlineLevel="2" x14ac:dyDescent="0.35">
      <c r="A1377" s="335" t="s">
        <v>107</v>
      </c>
      <c r="B1377" s="331">
        <v>43707</v>
      </c>
      <c r="C1377" s="332" t="s">
        <v>2031</v>
      </c>
      <c r="D1377" s="332" t="s">
        <v>2062</v>
      </c>
      <c r="E1377" s="332" t="s">
        <v>2033</v>
      </c>
      <c r="F1377" s="336">
        <v>24.2</v>
      </c>
      <c r="G1377" s="330" t="s">
        <v>56</v>
      </c>
      <c r="H1377" s="329">
        <v>24.2</v>
      </c>
      <c r="I1377" s="338">
        <f t="shared" si="65"/>
        <v>6.05</v>
      </c>
      <c r="J1377" s="338">
        <f t="shared" si="65"/>
        <v>6.05</v>
      </c>
      <c r="K1377" s="338">
        <f t="shared" si="65"/>
        <v>6.05</v>
      </c>
      <c r="L1377" s="338">
        <f t="shared" si="65"/>
        <v>6.05</v>
      </c>
      <c r="M1377" s="332"/>
    </row>
    <row r="1378" spans="1:13" hidden="1" outlineLevel="2" x14ac:dyDescent="0.35">
      <c r="A1378" s="335" t="s">
        <v>107</v>
      </c>
      <c r="B1378" s="331">
        <v>43707</v>
      </c>
      <c r="C1378" s="332" t="s">
        <v>2031</v>
      </c>
      <c r="D1378" s="332" t="s">
        <v>2063</v>
      </c>
      <c r="E1378" s="332" t="s">
        <v>2033</v>
      </c>
      <c r="F1378" s="336">
        <v>27.24</v>
      </c>
      <c r="G1378" s="330" t="s">
        <v>56</v>
      </c>
      <c r="H1378" s="329">
        <v>27.24</v>
      </c>
      <c r="I1378" s="338">
        <f t="shared" si="65"/>
        <v>6.81</v>
      </c>
      <c r="J1378" s="338">
        <f t="shared" si="65"/>
        <v>6.81</v>
      </c>
      <c r="K1378" s="338">
        <f t="shared" si="65"/>
        <v>6.81</v>
      </c>
      <c r="L1378" s="338">
        <f t="shared" si="65"/>
        <v>6.81</v>
      </c>
      <c r="M1378" s="332"/>
    </row>
    <row r="1379" spans="1:13" hidden="1" outlineLevel="2" x14ac:dyDescent="0.35">
      <c r="A1379" s="335" t="s">
        <v>107</v>
      </c>
      <c r="B1379" s="331">
        <v>43707</v>
      </c>
      <c r="C1379" s="332" t="s">
        <v>2031</v>
      </c>
      <c r="D1379" s="332" t="s">
        <v>2064</v>
      </c>
      <c r="E1379" s="332" t="s">
        <v>2033</v>
      </c>
      <c r="F1379" s="336">
        <v>91.45</v>
      </c>
      <c r="G1379" s="330" t="s">
        <v>56</v>
      </c>
      <c r="H1379" s="329">
        <v>91.45</v>
      </c>
      <c r="I1379" s="338">
        <f t="shared" si="65"/>
        <v>22.862500000000001</v>
      </c>
      <c r="J1379" s="338">
        <f t="shared" si="65"/>
        <v>22.862500000000001</v>
      </c>
      <c r="K1379" s="338">
        <f t="shared" si="65"/>
        <v>22.862500000000001</v>
      </c>
      <c r="L1379" s="338">
        <f t="shared" si="65"/>
        <v>22.862500000000001</v>
      </c>
      <c r="M1379" s="332"/>
    </row>
    <row r="1380" spans="1:13" hidden="1" outlineLevel="2" x14ac:dyDescent="0.35">
      <c r="A1380" s="335" t="s">
        <v>107</v>
      </c>
      <c r="B1380" s="331">
        <v>43755</v>
      </c>
      <c r="C1380" s="332" t="s">
        <v>2034</v>
      </c>
      <c r="D1380" s="332" t="s">
        <v>2065</v>
      </c>
      <c r="E1380" s="332" t="s">
        <v>2033</v>
      </c>
      <c r="F1380" s="336">
        <v>177</v>
      </c>
      <c r="G1380" s="330" t="s">
        <v>56</v>
      </c>
      <c r="H1380" s="329">
        <v>177</v>
      </c>
      <c r="I1380" s="338">
        <f t="shared" si="65"/>
        <v>44.25</v>
      </c>
      <c r="J1380" s="338">
        <f t="shared" si="65"/>
        <v>44.25</v>
      </c>
      <c r="K1380" s="338">
        <f t="shared" si="65"/>
        <v>44.25</v>
      </c>
      <c r="L1380" s="338">
        <f t="shared" si="65"/>
        <v>44.25</v>
      </c>
      <c r="M1380" s="332"/>
    </row>
    <row r="1381" spans="1:13" hidden="1" outlineLevel="2" x14ac:dyDescent="0.35">
      <c r="A1381" s="335" t="s">
        <v>107</v>
      </c>
      <c r="B1381" s="331">
        <v>44160</v>
      </c>
      <c r="C1381" s="332" t="s">
        <v>2066</v>
      </c>
      <c r="D1381" s="332" t="s">
        <v>2067</v>
      </c>
      <c r="E1381" s="332" t="s">
        <v>2068</v>
      </c>
      <c r="F1381" s="336">
        <v>35</v>
      </c>
      <c r="G1381" s="330" t="s">
        <v>56</v>
      </c>
      <c r="H1381" s="329">
        <v>35</v>
      </c>
      <c r="I1381" s="338">
        <f t="shared" ref="I1381:L1400" si="66">$H1381/4</f>
        <v>8.75</v>
      </c>
      <c r="J1381" s="338">
        <f t="shared" si="66"/>
        <v>8.75</v>
      </c>
      <c r="K1381" s="338">
        <f t="shared" si="66"/>
        <v>8.75</v>
      </c>
      <c r="L1381" s="338">
        <f t="shared" si="66"/>
        <v>8.75</v>
      </c>
      <c r="M1381" s="332"/>
    </row>
    <row r="1382" spans="1:13" hidden="1" outlineLevel="2" x14ac:dyDescent="0.35">
      <c r="A1382" s="335" t="s">
        <v>107</v>
      </c>
      <c r="B1382" s="331">
        <v>44158</v>
      </c>
      <c r="C1382" s="332" t="s">
        <v>2069</v>
      </c>
      <c r="D1382" s="332" t="s">
        <v>2070</v>
      </c>
      <c r="E1382" s="332" t="s">
        <v>2068</v>
      </c>
      <c r="F1382" s="336">
        <v>35</v>
      </c>
      <c r="G1382" s="330" t="s">
        <v>56</v>
      </c>
      <c r="H1382" s="329">
        <v>35</v>
      </c>
      <c r="I1382" s="338">
        <f t="shared" si="66"/>
        <v>8.75</v>
      </c>
      <c r="J1382" s="338">
        <f t="shared" si="66"/>
        <v>8.75</v>
      </c>
      <c r="K1382" s="338">
        <f t="shared" si="66"/>
        <v>8.75</v>
      </c>
      <c r="L1382" s="338">
        <f t="shared" si="66"/>
        <v>8.75</v>
      </c>
      <c r="M1382" s="332"/>
    </row>
    <row r="1383" spans="1:13" hidden="1" outlineLevel="2" x14ac:dyDescent="0.35">
      <c r="A1383" s="335" t="s">
        <v>107</v>
      </c>
      <c r="B1383" s="331">
        <v>44159</v>
      </c>
      <c r="C1383" s="332" t="s">
        <v>2071</v>
      </c>
      <c r="D1383" s="332" t="s">
        <v>2072</v>
      </c>
      <c r="E1383" s="332" t="s">
        <v>2068</v>
      </c>
      <c r="F1383" s="336">
        <v>35</v>
      </c>
      <c r="G1383" s="330" t="s">
        <v>56</v>
      </c>
      <c r="H1383" s="329">
        <v>35</v>
      </c>
      <c r="I1383" s="338">
        <f t="shared" si="66"/>
        <v>8.75</v>
      </c>
      <c r="J1383" s="338">
        <f t="shared" si="66"/>
        <v>8.75</v>
      </c>
      <c r="K1383" s="338">
        <f t="shared" si="66"/>
        <v>8.75</v>
      </c>
      <c r="L1383" s="338">
        <f t="shared" si="66"/>
        <v>8.75</v>
      </c>
      <c r="M1383" s="332"/>
    </row>
    <row r="1384" spans="1:13" hidden="1" outlineLevel="2" x14ac:dyDescent="0.35">
      <c r="A1384" s="335" t="s">
        <v>107</v>
      </c>
      <c r="B1384" s="331">
        <v>44156</v>
      </c>
      <c r="C1384" s="332" t="s">
        <v>2073</v>
      </c>
      <c r="D1384" s="332" t="s">
        <v>2074</v>
      </c>
      <c r="E1384" s="332" t="s">
        <v>2068</v>
      </c>
      <c r="F1384" s="336">
        <v>33.25</v>
      </c>
      <c r="G1384" s="330" t="s">
        <v>56</v>
      </c>
      <c r="H1384" s="329">
        <v>33.25</v>
      </c>
      <c r="I1384" s="338">
        <f t="shared" si="66"/>
        <v>8.3125</v>
      </c>
      <c r="J1384" s="338">
        <f t="shared" si="66"/>
        <v>8.3125</v>
      </c>
      <c r="K1384" s="338">
        <f t="shared" si="66"/>
        <v>8.3125</v>
      </c>
      <c r="L1384" s="338">
        <f t="shared" si="66"/>
        <v>8.3125</v>
      </c>
      <c r="M1384" s="332"/>
    </row>
    <row r="1385" spans="1:13" hidden="1" outlineLevel="2" x14ac:dyDescent="0.35">
      <c r="A1385" s="335" t="s">
        <v>107</v>
      </c>
      <c r="B1385" s="331">
        <v>44153</v>
      </c>
      <c r="C1385" s="332" t="s">
        <v>2075</v>
      </c>
      <c r="D1385" s="332" t="s">
        <v>2076</v>
      </c>
      <c r="E1385" s="332" t="s">
        <v>2068</v>
      </c>
      <c r="F1385" s="336">
        <v>35</v>
      </c>
      <c r="G1385" s="330" t="s">
        <v>56</v>
      </c>
      <c r="H1385" s="329">
        <v>35</v>
      </c>
      <c r="I1385" s="338">
        <f t="shared" si="66"/>
        <v>8.75</v>
      </c>
      <c r="J1385" s="338">
        <f t="shared" si="66"/>
        <v>8.75</v>
      </c>
      <c r="K1385" s="338">
        <f t="shared" si="66"/>
        <v>8.75</v>
      </c>
      <c r="L1385" s="338">
        <f t="shared" si="66"/>
        <v>8.75</v>
      </c>
      <c r="M1385" s="332"/>
    </row>
    <row r="1386" spans="1:13" hidden="1" outlineLevel="2" x14ac:dyDescent="0.35">
      <c r="A1386" s="335" t="s">
        <v>107</v>
      </c>
      <c r="B1386" s="331">
        <v>44155</v>
      </c>
      <c r="C1386" s="332" t="s">
        <v>2077</v>
      </c>
      <c r="D1386" s="332" t="s">
        <v>2078</v>
      </c>
      <c r="E1386" s="332" t="s">
        <v>2068</v>
      </c>
      <c r="F1386" s="336">
        <v>35</v>
      </c>
      <c r="G1386" s="330" t="s">
        <v>56</v>
      </c>
      <c r="H1386" s="329">
        <v>35</v>
      </c>
      <c r="I1386" s="338">
        <f t="shared" si="66"/>
        <v>8.75</v>
      </c>
      <c r="J1386" s="338">
        <f t="shared" si="66"/>
        <v>8.75</v>
      </c>
      <c r="K1386" s="338">
        <f t="shared" si="66"/>
        <v>8.75</v>
      </c>
      <c r="L1386" s="338">
        <f t="shared" si="66"/>
        <v>8.75</v>
      </c>
      <c r="M1386" s="332"/>
    </row>
    <row r="1387" spans="1:13" hidden="1" outlineLevel="2" x14ac:dyDescent="0.35">
      <c r="A1387" s="335" t="s">
        <v>107</v>
      </c>
      <c r="B1387" s="331">
        <v>44144</v>
      </c>
      <c r="C1387" s="332" t="s">
        <v>2079</v>
      </c>
      <c r="D1387" s="332" t="s">
        <v>2080</v>
      </c>
      <c r="E1387" s="332" t="s">
        <v>2068</v>
      </c>
      <c r="F1387" s="336">
        <v>35</v>
      </c>
      <c r="G1387" s="330" t="s">
        <v>56</v>
      </c>
      <c r="H1387" s="329">
        <v>35</v>
      </c>
      <c r="I1387" s="338">
        <f t="shared" si="66"/>
        <v>8.75</v>
      </c>
      <c r="J1387" s="338">
        <f t="shared" si="66"/>
        <v>8.75</v>
      </c>
      <c r="K1387" s="338">
        <f t="shared" si="66"/>
        <v>8.75</v>
      </c>
      <c r="L1387" s="338">
        <f t="shared" si="66"/>
        <v>8.75</v>
      </c>
      <c r="M1387" s="332"/>
    </row>
    <row r="1388" spans="1:13" hidden="1" outlineLevel="2" x14ac:dyDescent="0.35">
      <c r="A1388" s="335" t="s">
        <v>107</v>
      </c>
      <c r="B1388" s="331">
        <v>44152</v>
      </c>
      <c r="C1388" s="332" t="s">
        <v>2081</v>
      </c>
      <c r="D1388" s="332" t="s">
        <v>2082</v>
      </c>
      <c r="E1388" s="332" t="s">
        <v>2068</v>
      </c>
      <c r="F1388" s="336">
        <v>35</v>
      </c>
      <c r="G1388" s="330" t="s">
        <v>56</v>
      </c>
      <c r="H1388" s="329">
        <v>35</v>
      </c>
      <c r="I1388" s="338">
        <f t="shared" si="66"/>
        <v>8.75</v>
      </c>
      <c r="J1388" s="338">
        <f t="shared" si="66"/>
        <v>8.75</v>
      </c>
      <c r="K1388" s="338">
        <f t="shared" si="66"/>
        <v>8.75</v>
      </c>
      <c r="L1388" s="338">
        <f t="shared" si="66"/>
        <v>8.75</v>
      </c>
      <c r="M1388" s="332"/>
    </row>
    <row r="1389" spans="1:13" hidden="1" outlineLevel="2" x14ac:dyDescent="0.35">
      <c r="A1389" s="335" t="s">
        <v>107</v>
      </c>
      <c r="B1389" s="331">
        <v>44146</v>
      </c>
      <c r="C1389" s="332" t="s">
        <v>2083</v>
      </c>
      <c r="D1389" s="332" t="s">
        <v>2084</v>
      </c>
      <c r="E1389" s="332" t="s">
        <v>2068</v>
      </c>
      <c r="F1389" s="336">
        <v>35</v>
      </c>
      <c r="G1389" s="330" t="s">
        <v>56</v>
      </c>
      <c r="H1389" s="329">
        <v>35</v>
      </c>
      <c r="I1389" s="338">
        <f t="shared" si="66"/>
        <v>8.75</v>
      </c>
      <c r="J1389" s="338">
        <f t="shared" si="66"/>
        <v>8.75</v>
      </c>
      <c r="K1389" s="338">
        <f t="shared" si="66"/>
        <v>8.75</v>
      </c>
      <c r="L1389" s="338">
        <f t="shared" si="66"/>
        <v>8.75</v>
      </c>
      <c r="M1389" s="332"/>
    </row>
    <row r="1390" spans="1:13" hidden="1" outlineLevel="2" x14ac:dyDescent="0.35">
      <c r="A1390" s="335" t="s">
        <v>107</v>
      </c>
      <c r="B1390" s="331">
        <v>44154</v>
      </c>
      <c r="C1390" s="332" t="s">
        <v>2085</v>
      </c>
      <c r="D1390" s="332" t="s">
        <v>2086</v>
      </c>
      <c r="E1390" s="332" t="s">
        <v>2068</v>
      </c>
      <c r="F1390" s="336">
        <v>35</v>
      </c>
      <c r="G1390" s="330" t="s">
        <v>56</v>
      </c>
      <c r="H1390" s="329">
        <v>35</v>
      </c>
      <c r="I1390" s="338">
        <f t="shared" si="66"/>
        <v>8.75</v>
      </c>
      <c r="J1390" s="338">
        <f t="shared" si="66"/>
        <v>8.75</v>
      </c>
      <c r="K1390" s="338">
        <f t="shared" si="66"/>
        <v>8.75</v>
      </c>
      <c r="L1390" s="338">
        <f t="shared" si="66"/>
        <v>8.75</v>
      </c>
      <c r="M1390" s="332"/>
    </row>
    <row r="1391" spans="1:13" hidden="1" outlineLevel="2" x14ac:dyDescent="0.35">
      <c r="A1391" s="335" t="s">
        <v>107</v>
      </c>
      <c r="B1391" s="331">
        <v>44182</v>
      </c>
      <c r="C1391" s="332" t="s">
        <v>2087</v>
      </c>
      <c r="D1391" s="332" t="s">
        <v>2088</v>
      </c>
      <c r="E1391" s="332" t="s">
        <v>2068</v>
      </c>
      <c r="F1391" s="336">
        <v>35</v>
      </c>
      <c r="G1391" s="330" t="s">
        <v>56</v>
      </c>
      <c r="H1391" s="329">
        <v>35</v>
      </c>
      <c r="I1391" s="338">
        <f t="shared" si="66"/>
        <v>8.75</v>
      </c>
      <c r="J1391" s="338">
        <f t="shared" si="66"/>
        <v>8.75</v>
      </c>
      <c r="K1391" s="338">
        <f t="shared" si="66"/>
        <v>8.75</v>
      </c>
      <c r="L1391" s="338">
        <f t="shared" si="66"/>
        <v>8.75</v>
      </c>
      <c r="M1391" s="332"/>
    </row>
    <row r="1392" spans="1:13" hidden="1" outlineLevel="2" x14ac:dyDescent="0.35">
      <c r="A1392" s="335" t="s">
        <v>107</v>
      </c>
      <c r="B1392" s="331">
        <v>44183</v>
      </c>
      <c r="C1392" s="332" t="s">
        <v>2089</v>
      </c>
      <c r="D1392" s="332" t="s">
        <v>2090</v>
      </c>
      <c r="E1392" s="332" t="s">
        <v>2068</v>
      </c>
      <c r="F1392" s="336">
        <v>35</v>
      </c>
      <c r="G1392" s="330" t="s">
        <v>56</v>
      </c>
      <c r="H1392" s="329">
        <v>35</v>
      </c>
      <c r="I1392" s="338">
        <f t="shared" si="66"/>
        <v>8.75</v>
      </c>
      <c r="J1392" s="338">
        <f t="shared" si="66"/>
        <v>8.75</v>
      </c>
      <c r="K1392" s="338">
        <f t="shared" si="66"/>
        <v>8.75</v>
      </c>
      <c r="L1392" s="338">
        <f t="shared" si="66"/>
        <v>8.75</v>
      </c>
      <c r="M1392" s="332"/>
    </row>
    <row r="1393" spans="1:13" hidden="1" outlineLevel="2" x14ac:dyDescent="0.35">
      <c r="A1393" s="335" t="s">
        <v>107</v>
      </c>
      <c r="B1393" s="331">
        <v>44180</v>
      </c>
      <c r="C1393" s="332" t="s">
        <v>2091</v>
      </c>
      <c r="D1393" s="332" t="s">
        <v>2092</v>
      </c>
      <c r="E1393" s="332" t="s">
        <v>2068</v>
      </c>
      <c r="F1393" s="336">
        <v>35</v>
      </c>
      <c r="G1393" s="330" t="s">
        <v>56</v>
      </c>
      <c r="H1393" s="329">
        <v>35</v>
      </c>
      <c r="I1393" s="338">
        <f t="shared" si="66"/>
        <v>8.75</v>
      </c>
      <c r="J1393" s="338">
        <f t="shared" si="66"/>
        <v>8.75</v>
      </c>
      <c r="K1393" s="338">
        <f t="shared" si="66"/>
        <v>8.75</v>
      </c>
      <c r="L1393" s="338">
        <f t="shared" si="66"/>
        <v>8.75</v>
      </c>
      <c r="M1393" s="332"/>
    </row>
    <row r="1394" spans="1:13" hidden="1" outlineLevel="2" x14ac:dyDescent="0.35">
      <c r="A1394" s="335" t="s">
        <v>107</v>
      </c>
      <c r="B1394" s="331">
        <v>44185</v>
      </c>
      <c r="C1394" s="332" t="s">
        <v>2093</v>
      </c>
      <c r="D1394" s="332" t="s">
        <v>2094</v>
      </c>
      <c r="E1394" s="332" t="s">
        <v>2068</v>
      </c>
      <c r="F1394" s="336">
        <v>28.02</v>
      </c>
      <c r="G1394" s="330" t="s">
        <v>56</v>
      </c>
      <c r="H1394" s="329">
        <v>28.02</v>
      </c>
      <c r="I1394" s="338">
        <f t="shared" si="66"/>
        <v>7.0049999999999999</v>
      </c>
      <c r="J1394" s="338">
        <f t="shared" si="66"/>
        <v>7.0049999999999999</v>
      </c>
      <c r="K1394" s="338">
        <f t="shared" si="66"/>
        <v>7.0049999999999999</v>
      </c>
      <c r="L1394" s="338">
        <f t="shared" si="66"/>
        <v>7.0049999999999999</v>
      </c>
      <c r="M1394" s="332"/>
    </row>
    <row r="1395" spans="1:13" hidden="1" outlineLevel="2" x14ac:dyDescent="0.35">
      <c r="A1395" s="335" t="s">
        <v>107</v>
      </c>
      <c r="B1395" s="331">
        <v>44184</v>
      </c>
      <c r="C1395" s="332" t="s">
        <v>2095</v>
      </c>
      <c r="D1395" s="332" t="s">
        <v>2096</v>
      </c>
      <c r="E1395" s="332" t="s">
        <v>2068</v>
      </c>
      <c r="F1395" s="336">
        <v>33.25</v>
      </c>
      <c r="G1395" s="330" t="s">
        <v>56</v>
      </c>
      <c r="H1395" s="329">
        <v>33.25</v>
      </c>
      <c r="I1395" s="338">
        <f t="shared" si="66"/>
        <v>8.3125</v>
      </c>
      <c r="J1395" s="338">
        <f t="shared" si="66"/>
        <v>8.3125</v>
      </c>
      <c r="K1395" s="338">
        <f t="shared" si="66"/>
        <v>8.3125</v>
      </c>
      <c r="L1395" s="338">
        <f t="shared" si="66"/>
        <v>8.3125</v>
      </c>
      <c r="M1395" s="332"/>
    </row>
    <row r="1396" spans="1:13" hidden="1" outlineLevel="2" x14ac:dyDescent="0.35">
      <c r="A1396" s="335" t="s">
        <v>107</v>
      </c>
      <c r="B1396" s="331">
        <v>44181</v>
      </c>
      <c r="C1396" s="332" t="s">
        <v>2097</v>
      </c>
      <c r="D1396" s="332" t="s">
        <v>2098</v>
      </c>
      <c r="E1396" s="332" t="s">
        <v>2068</v>
      </c>
      <c r="F1396" s="336">
        <v>35</v>
      </c>
      <c r="G1396" s="330" t="s">
        <v>56</v>
      </c>
      <c r="H1396" s="329">
        <v>35</v>
      </c>
      <c r="I1396" s="338">
        <f t="shared" si="66"/>
        <v>8.75</v>
      </c>
      <c r="J1396" s="338">
        <f t="shared" si="66"/>
        <v>8.75</v>
      </c>
      <c r="K1396" s="338">
        <f t="shared" si="66"/>
        <v>8.75</v>
      </c>
      <c r="L1396" s="338">
        <f t="shared" si="66"/>
        <v>8.75</v>
      </c>
      <c r="M1396" s="332"/>
    </row>
    <row r="1397" spans="1:13" hidden="1" outlineLevel="2" x14ac:dyDescent="0.35">
      <c r="A1397" s="335" t="s">
        <v>107</v>
      </c>
      <c r="B1397" s="331">
        <v>44178</v>
      </c>
      <c r="C1397" s="332" t="s">
        <v>2099</v>
      </c>
      <c r="D1397" s="332" t="s">
        <v>2100</v>
      </c>
      <c r="E1397" s="332" t="s">
        <v>2068</v>
      </c>
      <c r="F1397" s="336">
        <v>33.25</v>
      </c>
      <c r="G1397" s="330" t="s">
        <v>56</v>
      </c>
      <c r="H1397" s="329">
        <v>33.25</v>
      </c>
      <c r="I1397" s="338">
        <f t="shared" si="66"/>
        <v>8.3125</v>
      </c>
      <c r="J1397" s="338">
        <f t="shared" si="66"/>
        <v>8.3125</v>
      </c>
      <c r="K1397" s="338">
        <f t="shared" si="66"/>
        <v>8.3125</v>
      </c>
      <c r="L1397" s="338">
        <f t="shared" si="66"/>
        <v>8.3125</v>
      </c>
      <c r="M1397" s="332"/>
    </row>
    <row r="1398" spans="1:13" hidden="1" outlineLevel="2" x14ac:dyDescent="0.35">
      <c r="A1398" s="335" t="s">
        <v>107</v>
      </c>
      <c r="B1398" s="331">
        <v>44177</v>
      </c>
      <c r="C1398" s="332" t="s">
        <v>2101</v>
      </c>
      <c r="D1398" s="332" t="s">
        <v>2102</v>
      </c>
      <c r="E1398" s="332" t="s">
        <v>2068</v>
      </c>
      <c r="F1398" s="336">
        <v>33.25</v>
      </c>
      <c r="G1398" s="330" t="s">
        <v>56</v>
      </c>
      <c r="H1398" s="329">
        <v>33.25</v>
      </c>
      <c r="I1398" s="338">
        <f t="shared" si="66"/>
        <v>8.3125</v>
      </c>
      <c r="J1398" s="338">
        <f t="shared" si="66"/>
        <v>8.3125</v>
      </c>
      <c r="K1398" s="338">
        <f t="shared" si="66"/>
        <v>8.3125</v>
      </c>
      <c r="L1398" s="338">
        <f t="shared" si="66"/>
        <v>8.3125</v>
      </c>
      <c r="M1398" s="332"/>
    </row>
    <row r="1399" spans="1:13" hidden="1" outlineLevel="2" x14ac:dyDescent="0.35">
      <c r="A1399" s="335" t="s">
        <v>107</v>
      </c>
      <c r="B1399" s="331">
        <v>44176</v>
      </c>
      <c r="C1399" s="332" t="s">
        <v>2103</v>
      </c>
      <c r="D1399" s="332" t="s">
        <v>2104</v>
      </c>
      <c r="E1399" s="332" t="s">
        <v>2068</v>
      </c>
      <c r="F1399" s="336">
        <v>35</v>
      </c>
      <c r="G1399" s="330" t="s">
        <v>56</v>
      </c>
      <c r="H1399" s="329">
        <v>35</v>
      </c>
      <c r="I1399" s="338">
        <f t="shared" si="66"/>
        <v>8.75</v>
      </c>
      <c r="J1399" s="338">
        <f t="shared" si="66"/>
        <v>8.75</v>
      </c>
      <c r="K1399" s="338">
        <f t="shared" si="66"/>
        <v>8.75</v>
      </c>
      <c r="L1399" s="338">
        <f t="shared" si="66"/>
        <v>8.75</v>
      </c>
      <c r="M1399" s="332"/>
    </row>
    <row r="1400" spans="1:13" hidden="1" outlineLevel="2" x14ac:dyDescent="0.35">
      <c r="A1400" s="335" t="s">
        <v>107</v>
      </c>
      <c r="B1400" s="331">
        <v>44175</v>
      </c>
      <c r="C1400" s="332" t="s">
        <v>2105</v>
      </c>
      <c r="D1400" s="332" t="s">
        <v>2106</v>
      </c>
      <c r="E1400" s="332" t="s">
        <v>2068</v>
      </c>
      <c r="F1400" s="336">
        <v>35</v>
      </c>
      <c r="G1400" s="330" t="s">
        <v>56</v>
      </c>
      <c r="H1400" s="329">
        <v>35</v>
      </c>
      <c r="I1400" s="338">
        <f t="shared" si="66"/>
        <v>8.75</v>
      </c>
      <c r="J1400" s="338">
        <f t="shared" si="66"/>
        <v>8.75</v>
      </c>
      <c r="K1400" s="338">
        <f t="shared" si="66"/>
        <v>8.75</v>
      </c>
      <c r="L1400" s="338">
        <f t="shared" si="66"/>
        <v>8.75</v>
      </c>
      <c r="M1400" s="332"/>
    </row>
    <row r="1401" spans="1:13" hidden="1" outlineLevel="2" x14ac:dyDescent="0.35">
      <c r="A1401" s="335" t="s">
        <v>107</v>
      </c>
      <c r="B1401" s="331">
        <v>44179</v>
      </c>
      <c r="C1401" s="332" t="s">
        <v>2107</v>
      </c>
      <c r="D1401" s="332" t="s">
        <v>2108</v>
      </c>
      <c r="E1401" s="332" t="s">
        <v>2068</v>
      </c>
      <c r="F1401" s="336">
        <v>35</v>
      </c>
      <c r="G1401" s="330" t="s">
        <v>56</v>
      </c>
      <c r="H1401" s="329">
        <v>35</v>
      </c>
      <c r="I1401" s="338">
        <f t="shared" ref="I1401:L1420" si="67">$H1401/4</f>
        <v>8.75</v>
      </c>
      <c r="J1401" s="338">
        <f t="shared" si="67"/>
        <v>8.75</v>
      </c>
      <c r="K1401" s="338">
        <f t="shared" si="67"/>
        <v>8.75</v>
      </c>
      <c r="L1401" s="338">
        <f t="shared" si="67"/>
        <v>8.75</v>
      </c>
      <c r="M1401" s="332"/>
    </row>
    <row r="1402" spans="1:13" hidden="1" outlineLevel="2" x14ac:dyDescent="0.35">
      <c r="A1402" s="335" t="s">
        <v>107</v>
      </c>
      <c r="B1402" s="331">
        <v>44174</v>
      </c>
      <c r="C1402" s="332" t="s">
        <v>2109</v>
      </c>
      <c r="D1402" s="332" t="s">
        <v>2110</v>
      </c>
      <c r="E1402" s="332" t="s">
        <v>2068</v>
      </c>
      <c r="F1402" s="336">
        <v>35</v>
      </c>
      <c r="G1402" s="330" t="s">
        <v>56</v>
      </c>
      <c r="H1402" s="329">
        <v>35</v>
      </c>
      <c r="I1402" s="338">
        <f t="shared" si="67"/>
        <v>8.75</v>
      </c>
      <c r="J1402" s="338">
        <f t="shared" si="67"/>
        <v>8.75</v>
      </c>
      <c r="K1402" s="338">
        <f t="shared" si="67"/>
        <v>8.75</v>
      </c>
      <c r="L1402" s="338">
        <f t="shared" si="67"/>
        <v>8.75</v>
      </c>
      <c r="M1402" s="332"/>
    </row>
    <row r="1403" spans="1:13" hidden="1" outlineLevel="2" x14ac:dyDescent="0.35">
      <c r="A1403" s="335" t="s">
        <v>107</v>
      </c>
      <c r="B1403" s="331">
        <v>44172</v>
      </c>
      <c r="C1403" s="332" t="s">
        <v>2111</v>
      </c>
      <c r="D1403" s="332" t="s">
        <v>2112</v>
      </c>
      <c r="E1403" s="332" t="s">
        <v>2068</v>
      </c>
      <c r="F1403" s="336">
        <v>22.75</v>
      </c>
      <c r="G1403" s="330" t="s">
        <v>56</v>
      </c>
      <c r="H1403" s="329">
        <v>22.75</v>
      </c>
      <c r="I1403" s="338">
        <f t="shared" si="67"/>
        <v>5.6875</v>
      </c>
      <c r="J1403" s="338">
        <f t="shared" si="67"/>
        <v>5.6875</v>
      </c>
      <c r="K1403" s="338">
        <f t="shared" si="67"/>
        <v>5.6875</v>
      </c>
      <c r="L1403" s="338">
        <f t="shared" si="67"/>
        <v>5.6875</v>
      </c>
      <c r="M1403" s="332"/>
    </row>
    <row r="1404" spans="1:13" hidden="1" outlineLevel="2" x14ac:dyDescent="0.35">
      <c r="A1404" s="335" t="s">
        <v>107</v>
      </c>
      <c r="B1404" s="331">
        <v>44173</v>
      </c>
      <c r="C1404" s="332" t="s">
        <v>2113</v>
      </c>
      <c r="D1404" s="332" t="s">
        <v>2114</v>
      </c>
      <c r="E1404" s="332" t="s">
        <v>2068</v>
      </c>
      <c r="F1404" s="336">
        <v>35</v>
      </c>
      <c r="G1404" s="330" t="s">
        <v>56</v>
      </c>
      <c r="H1404" s="329">
        <v>35</v>
      </c>
      <c r="I1404" s="338">
        <f t="shared" si="67"/>
        <v>8.75</v>
      </c>
      <c r="J1404" s="338">
        <f t="shared" si="67"/>
        <v>8.75</v>
      </c>
      <c r="K1404" s="338">
        <f t="shared" si="67"/>
        <v>8.75</v>
      </c>
      <c r="L1404" s="338">
        <f t="shared" si="67"/>
        <v>8.75</v>
      </c>
      <c r="M1404" s="332"/>
    </row>
    <row r="1405" spans="1:13" hidden="1" outlineLevel="2" x14ac:dyDescent="0.35">
      <c r="A1405" s="335" t="s">
        <v>107</v>
      </c>
      <c r="B1405" s="331">
        <v>44171</v>
      </c>
      <c r="C1405" s="332" t="s">
        <v>2115</v>
      </c>
      <c r="D1405" s="332" t="s">
        <v>2116</v>
      </c>
      <c r="E1405" s="332" t="s">
        <v>2068</v>
      </c>
      <c r="F1405" s="336">
        <v>35</v>
      </c>
      <c r="G1405" s="330" t="s">
        <v>56</v>
      </c>
      <c r="H1405" s="329">
        <v>35</v>
      </c>
      <c r="I1405" s="338">
        <f t="shared" si="67"/>
        <v>8.75</v>
      </c>
      <c r="J1405" s="338">
        <f t="shared" si="67"/>
        <v>8.75</v>
      </c>
      <c r="K1405" s="338">
        <f t="shared" si="67"/>
        <v>8.75</v>
      </c>
      <c r="L1405" s="338">
        <f t="shared" si="67"/>
        <v>8.75</v>
      </c>
      <c r="M1405" s="332"/>
    </row>
    <row r="1406" spans="1:13" hidden="1" outlineLevel="2" x14ac:dyDescent="0.35">
      <c r="A1406" s="335" t="s">
        <v>107</v>
      </c>
      <c r="B1406" s="331">
        <v>44169</v>
      </c>
      <c r="C1406" s="332" t="s">
        <v>2117</v>
      </c>
      <c r="D1406" s="332" t="s">
        <v>2118</v>
      </c>
      <c r="E1406" s="332" t="s">
        <v>2068</v>
      </c>
      <c r="F1406" s="336">
        <v>35</v>
      </c>
      <c r="G1406" s="330" t="s">
        <v>56</v>
      </c>
      <c r="H1406" s="329">
        <v>35</v>
      </c>
      <c r="I1406" s="338">
        <f t="shared" si="67"/>
        <v>8.75</v>
      </c>
      <c r="J1406" s="338">
        <f t="shared" si="67"/>
        <v>8.75</v>
      </c>
      <c r="K1406" s="338">
        <f t="shared" si="67"/>
        <v>8.75</v>
      </c>
      <c r="L1406" s="338">
        <f t="shared" si="67"/>
        <v>8.75</v>
      </c>
      <c r="M1406" s="332"/>
    </row>
    <row r="1407" spans="1:13" hidden="1" outlineLevel="2" x14ac:dyDescent="0.35">
      <c r="A1407" s="335" t="s">
        <v>107</v>
      </c>
      <c r="B1407" s="331">
        <v>44170</v>
      </c>
      <c r="C1407" s="332" t="s">
        <v>2119</v>
      </c>
      <c r="D1407" s="332" t="s">
        <v>2120</v>
      </c>
      <c r="E1407" s="332" t="s">
        <v>2068</v>
      </c>
      <c r="F1407" s="336">
        <v>35</v>
      </c>
      <c r="G1407" s="330" t="s">
        <v>56</v>
      </c>
      <c r="H1407" s="329">
        <v>35</v>
      </c>
      <c r="I1407" s="338">
        <f t="shared" si="67"/>
        <v>8.75</v>
      </c>
      <c r="J1407" s="338">
        <f t="shared" si="67"/>
        <v>8.75</v>
      </c>
      <c r="K1407" s="338">
        <f t="shared" si="67"/>
        <v>8.75</v>
      </c>
      <c r="L1407" s="338">
        <f t="shared" si="67"/>
        <v>8.75</v>
      </c>
      <c r="M1407" s="332"/>
    </row>
    <row r="1408" spans="1:13" hidden="1" outlineLevel="2" x14ac:dyDescent="0.35">
      <c r="A1408" s="335" t="s">
        <v>107</v>
      </c>
      <c r="B1408" s="331">
        <v>44167</v>
      </c>
      <c r="C1408" s="332" t="s">
        <v>2121</v>
      </c>
      <c r="D1408" s="332" t="s">
        <v>2122</v>
      </c>
      <c r="E1408" s="332" t="s">
        <v>2068</v>
      </c>
      <c r="F1408" s="336">
        <v>35</v>
      </c>
      <c r="G1408" s="330" t="s">
        <v>56</v>
      </c>
      <c r="H1408" s="329">
        <v>35</v>
      </c>
      <c r="I1408" s="338">
        <f t="shared" si="67"/>
        <v>8.75</v>
      </c>
      <c r="J1408" s="338">
        <f t="shared" si="67"/>
        <v>8.75</v>
      </c>
      <c r="K1408" s="338">
        <f t="shared" si="67"/>
        <v>8.75</v>
      </c>
      <c r="L1408" s="338">
        <f t="shared" si="67"/>
        <v>8.75</v>
      </c>
      <c r="M1408" s="332"/>
    </row>
    <row r="1409" spans="1:13" hidden="1" outlineLevel="2" x14ac:dyDescent="0.35">
      <c r="A1409" s="335" t="s">
        <v>107</v>
      </c>
      <c r="B1409" s="331">
        <v>44168</v>
      </c>
      <c r="C1409" s="332" t="s">
        <v>2123</v>
      </c>
      <c r="D1409" s="332" t="s">
        <v>2124</v>
      </c>
      <c r="E1409" s="332" t="s">
        <v>2068</v>
      </c>
      <c r="F1409" s="336">
        <v>35</v>
      </c>
      <c r="G1409" s="330" t="s">
        <v>56</v>
      </c>
      <c r="H1409" s="329">
        <v>35</v>
      </c>
      <c r="I1409" s="338">
        <f t="shared" si="67"/>
        <v>8.75</v>
      </c>
      <c r="J1409" s="338">
        <f t="shared" si="67"/>
        <v>8.75</v>
      </c>
      <c r="K1409" s="338">
        <f t="shared" si="67"/>
        <v>8.75</v>
      </c>
      <c r="L1409" s="338">
        <f t="shared" si="67"/>
        <v>8.75</v>
      </c>
      <c r="M1409" s="332"/>
    </row>
    <row r="1410" spans="1:13" hidden="1" outlineLevel="2" x14ac:dyDescent="0.35">
      <c r="A1410" s="335" t="s">
        <v>107</v>
      </c>
      <c r="B1410" s="331">
        <v>44151</v>
      </c>
      <c r="C1410" s="332" t="s">
        <v>2125</v>
      </c>
      <c r="D1410" s="332" t="s">
        <v>2126</v>
      </c>
      <c r="E1410" s="332" t="s">
        <v>2068</v>
      </c>
      <c r="F1410" s="336">
        <v>35</v>
      </c>
      <c r="G1410" s="330" t="s">
        <v>56</v>
      </c>
      <c r="H1410" s="329">
        <v>35</v>
      </c>
      <c r="I1410" s="338">
        <f t="shared" si="67"/>
        <v>8.75</v>
      </c>
      <c r="J1410" s="338">
        <f t="shared" si="67"/>
        <v>8.75</v>
      </c>
      <c r="K1410" s="338">
        <f t="shared" si="67"/>
        <v>8.75</v>
      </c>
      <c r="L1410" s="338">
        <f t="shared" si="67"/>
        <v>8.75</v>
      </c>
      <c r="M1410" s="332"/>
    </row>
    <row r="1411" spans="1:13" hidden="1" outlineLevel="2" x14ac:dyDescent="0.35">
      <c r="A1411" s="335" t="s">
        <v>107</v>
      </c>
      <c r="B1411" s="331">
        <v>44137</v>
      </c>
      <c r="C1411" s="332" t="s">
        <v>2127</v>
      </c>
      <c r="D1411" s="332" t="s">
        <v>2128</v>
      </c>
      <c r="E1411" s="332" t="s">
        <v>2068</v>
      </c>
      <c r="F1411" s="336">
        <v>35</v>
      </c>
      <c r="G1411" s="330" t="s">
        <v>56</v>
      </c>
      <c r="H1411" s="329">
        <v>35</v>
      </c>
      <c r="I1411" s="338">
        <f t="shared" si="67"/>
        <v>8.75</v>
      </c>
      <c r="J1411" s="338">
        <f t="shared" si="67"/>
        <v>8.75</v>
      </c>
      <c r="K1411" s="338">
        <f t="shared" si="67"/>
        <v>8.75</v>
      </c>
      <c r="L1411" s="338">
        <f t="shared" si="67"/>
        <v>8.75</v>
      </c>
      <c r="M1411" s="332"/>
    </row>
    <row r="1412" spans="1:13" hidden="1" outlineLevel="2" x14ac:dyDescent="0.35">
      <c r="A1412" s="335" t="s">
        <v>107</v>
      </c>
      <c r="B1412" s="331">
        <v>44148</v>
      </c>
      <c r="C1412" s="332" t="s">
        <v>2129</v>
      </c>
      <c r="D1412" s="332" t="s">
        <v>2130</v>
      </c>
      <c r="E1412" s="332" t="s">
        <v>2068</v>
      </c>
      <c r="F1412" s="336">
        <v>35</v>
      </c>
      <c r="G1412" s="330" t="s">
        <v>56</v>
      </c>
      <c r="H1412" s="329">
        <v>35</v>
      </c>
      <c r="I1412" s="338">
        <f t="shared" si="67"/>
        <v>8.75</v>
      </c>
      <c r="J1412" s="338">
        <f t="shared" si="67"/>
        <v>8.75</v>
      </c>
      <c r="K1412" s="338">
        <f t="shared" si="67"/>
        <v>8.75</v>
      </c>
      <c r="L1412" s="338">
        <f t="shared" si="67"/>
        <v>8.75</v>
      </c>
      <c r="M1412" s="332"/>
    </row>
    <row r="1413" spans="1:13" hidden="1" outlineLevel="2" x14ac:dyDescent="0.35">
      <c r="A1413" s="335" t="s">
        <v>107</v>
      </c>
      <c r="B1413" s="331">
        <v>44150</v>
      </c>
      <c r="C1413" s="332" t="s">
        <v>2131</v>
      </c>
      <c r="D1413" s="332" t="s">
        <v>2132</v>
      </c>
      <c r="E1413" s="332" t="s">
        <v>2068</v>
      </c>
      <c r="F1413" s="336">
        <v>33.25</v>
      </c>
      <c r="G1413" s="330" t="s">
        <v>56</v>
      </c>
      <c r="H1413" s="329">
        <v>33.25</v>
      </c>
      <c r="I1413" s="338">
        <f t="shared" si="67"/>
        <v>8.3125</v>
      </c>
      <c r="J1413" s="338">
        <f t="shared" si="67"/>
        <v>8.3125</v>
      </c>
      <c r="K1413" s="338">
        <f t="shared" si="67"/>
        <v>8.3125</v>
      </c>
      <c r="L1413" s="338">
        <f t="shared" si="67"/>
        <v>8.3125</v>
      </c>
      <c r="M1413" s="332"/>
    </row>
    <row r="1414" spans="1:13" hidden="1" outlineLevel="2" x14ac:dyDescent="0.35">
      <c r="A1414" s="335" t="s">
        <v>107</v>
      </c>
      <c r="B1414" s="331">
        <v>44145</v>
      </c>
      <c r="C1414" s="332" t="s">
        <v>2133</v>
      </c>
      <c r="D1414" s="332" t="s">
        <v>2134</v>
      </c>
      <c r="E1414" s="332" t="s">
        <v>2068</v>
      </c>
      <c r="F1414" s="336">
        <v>35</v>
      </c>
      <c r="G1414" s="330" t="s">
        <v>56</v>
      </c>
      <c r="H1414" s="329">
        <v>35</v>
      </c>
      <c r="I1414" s="338">
        <f t="shared" si="67"/>
        <v>8.75</v>
      </c>
      <c r="J1414" s="338">
        <f t="shared" si="67"/>
        <v>8.75</v>
      </c>
      <c r="K1414" s="338">
        <f t="shared" si="67"/>
        <v>8.75</v>
      </c>
      <c r="L1414" s="338">
        <f t="shared" si="67"/>
        <v>8.75</v>
      </c>
      <c r="M1414" s="332"/>
    </row>
    <row r="1415" spans="1:13" hidden="1" outlineLevel="2" x14ac:dyDescent="0.35">
      <c r="A1415" s="335" t="s">
        <v>107</v>
      </c>
      <c r="B1415" s="331">
        <v>44149</v>
      </c>
      <c r="C1415" s="332" t="s">
        <v>2135</v>
      </c>
      <c r="D1415" s="332" t="s">
        <v>2136</v>
      </c>
      <c r="E1415" s="332" t="s">
        <v>2068</v>
      </c>
      <c r="F1415" s="336">
        <v>33.25</v>
      </c>
      <c r="G1415" s="330" t="s">
        <v>56</v>
      </c>
      <c r="H1415" s="329">
        <v>33.25</v>
      </c>
      <c r="I1415" s="338">
        <f t="shared" si="67"/>
        <v>8.3125</v>
      </c>
      <c r="J1415" s="338">
        <f t="shared" si="67"/>
        <v>8.3125</v>
      </c>
      <c r="K1415" s="338">
        <f t="shared" si="67"/>
        <v>8.3125</v>
      </c>
      <c r="L1415" s="338">
        <f t="shared" si="67"/>
        <v>8.3125</v>
      </c>
      <c r="M1415" s="332"/>
    </row>
    <row r="1416" spans="1:13" hidden="1" outlineLevel="2" x14ac:dyDescent="0.35">
      <c r="A1416" s="335" t="s">
        <v>107</v>
      </c>
      <c r="B1416" s="331">
        <v>44141</v>
      </c>
      <c r="C1416" s="332" t="s">
        <v>2137</v>
      </c>
      <c r="D1416" s="332" t="s">
        <v>2138</v>
      </c>
      <c r="E1416" s="332" t="s">
        <v>2068</v>
      </c>
      <c r="F1416" s="336">
        <v>35</v>
      </c>
      <c r="G1416" s="330" t="s">
        <v>56</v>
      </c>
      <c r="H1416" s="329">
        <v>35</v>
      </c>
      <c r="I1416" s="338">
        <f t="shared" si="67"/>
        <v>8.75</v>
      </c>
      <c r="J1416" s="338">
        <f t="shared" si="67"/>
        <v>8.75</v>
      </c>
      <c r="K1416" s="338">
        <f t="shared" si="67"/>
        <v>8.75</v>
      </c>
      <c r="L1416" s="338">
        <f t="shared" si="67"/>
        <v>8.75</v>
      </c>
      <c r="M1416" s="332"/>
    </row>
    <row r="1417" spans="1:13" hidden="1" outlineLevel="2" x14ac:dyDescent="0.35">
      <c r="A1417" s="335" t="s">
        <v>107</v>
      </c>
      <c r="B1417" s="331">
        <v>44142</v>
      </c>
      <c r="C1417" s="332" t="s">
        <v>2139</v>
      </c>
      <c r="D1417" s="332" t="s">
        <v>2140</v>
      </c>
      <c r="E1417" s="332" t="s">
        <v>2068</v>
      </c>
      <c r="F1417" s="336">
        <v>33.25</v>
      </c>
      <c r="G1417" s="330" t="s">
        <v>56</v>
      </c>
      <c r="H1417" s="329">
        <v>33.25</v>
      </c>
      <c r="I1417" s="338">
        <f t="shared" si="67"/>
        <v>8.3125</v>
      </c>
      <c r="J1417" s="338">
        <f t="shared" si="67"/>
        <v>8.3125</v>
      </c>
      <c r="K1417" s="338">
        <f t="shared" si="67"/>
        <v>8.3125</v>
      </c>
      <c r="L1417" s="338">
        <f t="shared" si="67"/>
        <v>8.3125</v>
      </c>
      <c r="M1417" s="332"/>
    </row>
    <row r="1418" spans="1:13" hidden="1" outlineLevel="2" x14ac:dyDescent="0.35">
      <c r="A1418" s="335" t="s">
        <v>107</v>
      </c>
      <c r="B1418" s="331">
        <v>44139</v>
      </c>
      <c r="C1418" s="332" t="s">
        <v>2141</v>
      </c>
      <c r="D1418" s="332" t="s">
        <v>2142</v>
      </c>
      <c r="E1418" s="332" t="s">
        <v>2068</v>
      </c>
      <c r="F1418" s="336">
        <v>35</v>
      </c>
      <c r="G1418" s="330" t="s">
        <v>56</v>
      </c>
      <c r="H1418" s="329">
        <v>35</v>
      </c>
      <c r="I1418" s="338">
        <f t="shared" si="67"/>
        <v>8.75</v>
      </c>
      <c r="J1418" s="338">
        <f t="shared" si="67"/>
        <v>8.75</v>
      </c>
      <c r="K1418" s="338">
        <f t="shared" si="67"/>
        <v>8.75</v>
      </c>
      <c r="L1418" s="338">
        <f t="shared" si="67"/>
        <v>8.75</v>
      </c>
      <c r="M1418" s="332"/>
    </row>
    <row r="1419" spans="1:13" hidden="1" outlineLevel="2" x14ac:dyDescent="0.35">
      <c r="A1419" s="335" t="s">
        <v>107</v>
      </c>
      <c r="B1419" s="331">
        <v>44130</v>
      </c>
      <c r="C1419" s="332" t="s">
        <v>2143</v>
      </c>
      <c r="D1419" s="332" t="s">
        <v>2144</v>
      </c>
      <c r="E1419" s="332" t="s">
        <v>2068</v>
      </c>
      <c r="F1419" s="336">
        <v>35</v>
      </c>
      <c r="G1419" s="330" t="s">
        <v>56</v>
      </c>
      <c r="H1419" s="329">
        <v>35</v>
      </c>
      <c r="I1419" s="338">
        <f t="shared" si="67"/>
        <v>8.75</v>
      </c>
      <c r="J1419" s="338">
        <f t="shared" si="67"/>
        <v>8.75</v>
      </c>
      <c r="K1419" s="338">
        <f t="shared" si="67"/>
        <v>8.75</v>
      </c>
      <c r="L1419" s="338">
        <f t="shared" si="67"/>
        <v>8.75</v>
      </c>
      <c r="M1419" s="332"/>
    </row>
    <row r="1420" spans="1:13" hidden="1" outlineLevel="2" x14ac:dyDescent="0.35">
      <c r="A1420" s="335" t="s">
        <v>107</v>
      </c>
      <c r="B1420" s="331">
        <v>44136</v>
      </c>
      <c r="C1420" s="332" t="s">
        <v>2145</v>
      </c>
      <c r="D1420" s="332" t="s">
        <v>2146</v>
      </c>
      <c r="E1420" s="332" t="s">
        <v>2068</v>
      </c>
      <c r="F1420" s="336">
        <v>33.25</v>
      </c>
      <c r="G1420" s="330" t="s">
        <v>56</v>
      </c>
      <c r="H1420" s="329">
        <v>33.25</v>
      </c>
      <c r="I1420" s="338">
        <f t="shared" si="67"/>
        <v>8.3125</v>
      </c>
      <c r="J1420" s="338">
        <f t="shared" si="67"/>
        <v>8.3125</v>
      </c>
      <c r="K1420" s="338">
        <f t="shared" si="67"/>
        <v>8.3125</v>
      </c>
      <c r="L1420" s="338">
        <f t="shared" si="67"/>
        <v>8.3125</v>
      </c>
      <c r="M1420" s="332"/>
    </row>
    <row r="1421" spans="1:13" hidden="1" outlineLevel="2" x14ac:dyDescent="0.35">
      <c r="A1421" s="335" t="s">
        <v>107</v>
      </c>
      <c r="B1421" s="331">
        <v>44140</v>
      </c>
      <c r="C1421" s="332" t="s">
        <v>2147</v>
      </c>
      <c r="D1421" s="332" t="s">
        <v>2148</v>
      </c>
      <c r="E1421" s="332" t="s">
        <v>2068</v>
      </c>
      <c r="F1421" s="336">
        <v>35</v>
      </c>
      <c r="G1421" s="330" t="s">
        <v>56</v>
      </c>
      <c r="H1421" s="329">
        <v>35</v>
      </c>
      <c r="I1421" s="338">
        <f t="shared" ref="I1421:L1444" si="68">$H1421/4</f>
        <v>8.75</v>
      </c>
      <c r="J1421" s="338">
        <f t="shared" si="68"/>
        <v>8.75</v>
      </c>
      <c r="K1421" s="338">
        <f t="shared" si="68"/>
        <v>8.75</v>
      </c>
      <c r="L1421" s="338">
        <f t="shared" si="68"/>
        <v>8.75</v>
      </c>
      <c r="M1421" s="332"/>
    </row>
    <row r="1422" spans="1:13" hidden="1" outlineLevel="2" x14ac:dyDescent="0.35">
      <c r="A1422" s="335" t="s">
        <v>107</v>
      </c>
      <c r="B1422" s="331">
        <v>44143</v>
      </c>
      <c r="C1422" s="332" t="s">
        <v>2149</v>
      </c>
      <c r="D1422" s="332" t="s">
        <v>2150</v>
      </c>
      <c r="E1422" s="332" t="s">
        <v>2068</v>
      </c>
      <c r="F1422" s="336">
        <v>33.25</v>
      </c>
      <c r="G1422" s="330" t="s">
        <v>56</v>
      </c>
      <c r="H1422" s="329">
        <v>33.25</v>
      </c>
      <c r="I1422" s="338">
        <f t="shared" si="68"/>
        <v>8.3125</v>
      </c>
      <c r="J1422" s="338">
        <f t="shared" si="68"/>
        <v>8.3125</v>
      </c>
      <c r="K1422" s="338">
        <f t="shared" si="68"/>
        <v>8.3125</v>
      </c>
      <c r="L1422" s="338">
        <f t="shared" si="68"/>
        <v>8.3125</v>
      </c>
      <c r="M1422" s="332"/>
    </row>
    <row r="1423" spans="1:13" hidden="1" outlineLevel="2" x14ac:dyDescent="0.35">
      <c r="A1423" s="335" t="s">
        <v>107</v>
      </c>
      <c r="B1423" s="331">
        <v>44129</v>
      </c>
      <c r="C1423" s="332" t="s">
        <v>2151</v>
      </c>
      <c r="D1423" s="332" t="s">
        <v>2152</v>
      </c>
      <c r="E1423" s="332" t="s">
        <v>2068</v>
      </c>
      <c r="F1423" s="336">
        <v>15.75</v>
      </c>
      <c r="G1423" s="330" t="s">
        <v>56</v>
      </c>
      <c r="H1423" s="329">
        <v>15.75</v>
      </c>
      <c r="I1423" s="338">
        <f t="shared" si="68"/>
        <v>3.9375</v>
      </c>
      <c r="J1423" s="338">
        <f t="shared" si="68"/>
        <v>3.9375</v>
      </c>
      <c r="K1423" s="338">
        <f t="shared" si="68"/>
        <v>3.9375</v>
      </c>
      <c r="L1423" s="338">
        <f t="shared" si="68"/>
        <v>3.9375</v>
      </c>
      <c r="M1423" s="332"/>
    </row>
    <row r="1424" spans="1:13" hidden="1" outlineLevel="2" x14ac:dyDescent="0.35">
      <c r="A1424" s="335" t="s">
        <v>107</v>
      </c>
      <c r="B1424" s="331">
        <v>44147</v>
      </c>
      <c r="C1424" s="332" t="s">
        <v>2153</v>
      </c>
      <c r="D1424" s="332" t="s">
        <v>2154</v>
      </c>
      <c r="E1424" s="332" t="s">
        <v>2068</v>
      </c>
      <c r="F1424" s="336">
        <v>35</v>
      </c>
      <c r="G1424" s="330" t="s">
        <v>56</v>
      </c>
      <c r="H1424" s="329">
        <v>35</v>
      </c>
      <c r="I1424" s="338">
        <f t="shared" si="68"/>
        <v>8.75</v>
      </c>
      <c r="J1424" s="338">
        <f t="shared" si="68"/>
        <v>8.75</v>
      </c>
      <c r="K1424" s="338">
        <f t="shared" si="68"/>
        <v>8.75</v>
      </c>
      <c r="L1424" s="338">
        <f t="shared" si="68"/>
        <v>8.75</v>
      </c>
      <c r="M1424" s="332"/>
    </row>
    <row r="1425" spans="1:13" hidden="1" outlineLevel="2" x14ac:dyDescent="0.35">
      <c r="A1425" s="335" t="s">
        <v>107</v>
      </c>
      <c r="B1425" s="331">
        <v>44138</v>
      </c>
      <c r="C1425" s="332" t="s">
        <v>2155</v>
      </c>
      <c r="D1425" s="332" t="s">
        <v>2156</v>
      </c>
      <c r="E1425" s="332" t="s">
        <v>2068</v>
      </c>
      <c r="F1425" s="336">
        <v>35</v>
      </c>
      <c r="G1425" s="330" t="s">
        <v>56</v>
      </c>
      <c r="H1425" s="329">
        <v>35</v>
      </c>
      <c r="I1425" s="338">
        <f t="shared" si="68"/>
        <v>8.75</v>
      </c>
      <c r="J1425" s="338">
        <f t="shared" si="68"/>
        <v>8.75</v>
      </c>
      <c r="K1425" s="338">
        <f t="shared" si="68"/>
        <v>8.75</v>
      </c>
      <c r="L1425" s="338">
        <f t="shared" si="68"/>
        <v>8.75</v>
      </c>
      <c r="M1425" s="332"/>
    </row>
    <row r="1426" spans="1:13" hidden="1" outlineLevel="2" x14ac:dyDescent="0.35">
      <c r="A1426" s="335" t="s">
        <v>107</v>
      </c>
      <c r="B1426" s="331">
        <v>44135</v>
      </c>
      <c r="C1426" s="332" t="s">
        <v>2157</v>
      </c>
      <c r="D1426" s="332" t="s">
        <v>2158</v>
      </c>
      <c r="E1426" s="332" t="s">
        <v>2068</v>
      </c>
      <c r="F1426" s="336">
        <v>33.25</v>
      </c>
      <c r="G1426" s="330" t="s">
        <v>56</v>
      </c>
      <c r="H1426" s="329">
        <v>33.25</v>
      </c>
      <c r="I1426" s="338">
        <f t="shared" si="68"/>
        <v>8.3125</v>
      </c>
      <c r="J1426" s="338">
        <f t="shared" si="68"/>
        <v>8.3125</v>
      </c>
      <c r="K1426" s="338">
        <f t="shared" si="68"/>
        <v>8.3125</v>
      </c>
      <c r="L1426" s="338">
        <f t="shared" si="68"/>
        <v>8.3125</v>
      </c>
      <c r="M1426" s="332"/>
    </row>
    <row r="1427" spans="1:13" hidden="1" outlineLevel="2" x14ac:dyDescent="0.35">
      <c r="A1427" s="335" t="s">
        <v>107</v>
      </c>
      <c r="B1427" s="331">
        <v>44166</v>
      </c>
      <c r="C1427" s="332" t="s">
        <v>2159</v>
      </c>
      <c r="D1427" s="332" t="s">
        <v>2160</v>
      </c>
      <c r="E1427" s="332" t="s">
        <v>2068</v>
      </c>
      <c r="F1427" s="336">
        <v>35</v>
      </c>
      <c r="G1427" s="330" t="s">
        <v>56</v>
      </c>
      <c r="H1427" s="329">
        <v>35</v>
      </c>
      <c r="I1427" s="338">
        <f t="shared" si="68"/>
        <v>8.75</v>
      </c>
      <c r="J1427" s="338">
        <f t="shared" si="68"/>
        <v>8.75</v>
      </c>
      <c r="K1427" s="338">
        <f t="shared" si="68"/>
        <v>8.75</v>
      </c>
      <c r="L1427" s="338">
        <f t="shared" si="68"/>
        <v>8.75</v>
      </c>
      <c r="M1427" s="332"/>
    </row>
    <row r="1428" spans="1:13" hidden="1" outlineLevel="2" x14ac:dyDescent="0.35">
      <c r="A1428" s="335" t="s">
        <v>107</v>
      </c>
      <c r="B1428" s="331">
        <v>44165</v>
      </c>
      <c r="C1428" s="332" t="s">
        <v>2161</v>
      </c>
      <c r="D1428" s="332" t="s">
        <v>2162</v>
      </c>
      <c r="E1428" s="332" t="s">
        <v>2068</v>
      </c>
      <c r="F1428" s="336">
        <v>35</v>
      </c>
      <c r="G1428" s="330" t="s">
        <v>56</v>
      </c>
      <c r="H1428" s="329">
        <v>35</v>
      </c>
      <c r="I1428" s="338">
        <f t="shared" si="68"/>
        <v>8.75</v>
      </c>
      <c r="J1428" s="338">
        <f t="shared" si="68"/>
        <v>8.75</v>
      </c>
      <c r="K1428" s="338">
        <f t="shared" si="68"/>
        <v>8.75</v>
      </c>
      <c r="L1428" s="338">
        <f t="shared" si="68"/>
        <v>8.75</v>
      </c>
      <c r="M1428" s="332"/>
    </row>
    <row r="1429" spans="1:13" hidden="1" outlineLevel="2" x14ac:dyDescent="0.35">
      <c r="A1429" s="335" t="s">
        <v>107</v>
      </c>
      <c r="B1429" s="331">
        <v>44161</v>
      </c>
      <c r="C1429" s="332" t="s">
        <v>2163</v>
      </c>
      <c r="D1429" s="332" t="s">
        <v>2164</v>
      </c>
      <c r="E1429" s="332" t="s">
        <v>2068</v>
      </c>
      <c r="F1429" s="336">
        <v>35</v>
      </c>
      <c r="G1429" s="330" t="s">
        <v>56</v>
      </c>
      <c r="H1429" s="329">
        <v>35</v>
      </c>
      <c r="I1429" s="338">
        <f t="shared" si="68"/>
        <v>8.75</v>
      </c>
      <c r="J1429" s="338">
        <f t="shared" si="68"/>
        <v>8.75</v>
      </c>
      <c r="K1429" s="338">
        <f t="shared" si="68"/>
        <v>8.75</v>
      </c>
      <c r="L1429" s="338">
        <f t="shared" si="68"/>
        <v>8.75</v>
      </c>
      <c r="M1429" s="332"/>
    </row>
    <row r="1430" spans="1:13" hidden="1" outlineLevel="2" x14ac:dyDescent="0.35">
      <c r="A1430" s="335" t="s">
        <v>107</v>
      </c>
      <c r="B1430" s="331">
        <v>44163</v>
      </c>
      <c r="C1430" s="332" t="s">
        <v>2165</v>
      </c>
      <c r="D1430" s="332" t="s">
        <v>2166</v>
      </c>
      <c r="E1430" s="332" t="s">
        <v>2068</v>
      </c>
      <c r="F1430" s="336">
        <v>33.25</v>
      </c>
      <c r="G1430" s="330" t="s">
        <v>56</v>
      </c>
      <c r="H1430" s="329">
        <v>33.25</v>
      </c>
      <c r="I1430" s="338">
        <f t="shared" si="68"/>
        <v>8.3125</v>
      </c>
      <c r="J1430" s="338">
        <f t="shared" si="68"/>
        <v>8.3125</v>
      </c>
      <c r="K1430" s="338">
        <f t="shared" si="68"/>
        <v>8.3125</v>
      </c>
      <c r="L1430" s="338">
        <f t="shared" si="68"/>
        <v>8.3125</v>
      </c>
      <c r="M1430" s="332"/>
    </row>
    <row r="1431" spans="1:13" hidden="1" outlineLevel="2" x14ac:dyDescent="0.35">
      <c r="A1431" s="335" t="s">
        <v>107</v>
      </c>
      <c r="B1431" s="331">
        <v>44162</v>
      </c>
      <c r="C1431" s="332" t="s">
        <v>2167</v>
      </c>
      <c r="D1431" s="332" t="s">
        <v>2168</v>
      </c>
      <c r="E1431" s="332" t="s">
        <v>2068</v>
      </c>
      <c r="F1431" s="336">
        <v>35</v>
      </c>
      <c r="G1431" s="330" t="s">
        <v>56</v>
      </c>
      <c r="H1431" s="329">
        <v>35</v>
      </c>
      <c r="I1431" s="338">
        <f t="shared" si="68"/>
        <v>8.75</v>
      </c>
      <c r="J1431" s="338">
        <f t="shared" si="68"/>
        <v>8.75</v>
      </c>
      <c r="K1431" s="338">
        <f t="shared" si="68"/>
        <v>8.75</v>
      </c>
      <c r="L1431" s="338">
        <f t="shared" si="68"/>
        <v>8.75</v>
      </c>
      <c r="M1431" s="332"/>
    </row>
    <row r="1432" spans="1:13" hidden="1" outlineLevel="2" x14ac:dyDescent="0.35">
      <c r="A1432" s="335" t="s">
        <v>107</v>
      </c>
      <c r="B1432" s="331">
        <v>44164</v>
      </c>
      <c r="C1432" s="332" t="s">
        <v>2169</v>
      </c>
      <c r="D1432" s="332" t="s">
        <v>2170</v>
      </c>
      <c r="E1432" s="332" t="s">
        <v>2068</v>
      </c>
      <c r="F1432" s="336">
        <v>33.25</v>
      </c>
      <c r="G1432" s="330" t="s">
        <v>56</v>
      </c>
      <c r="H1432" s="329">
        <v>33.25</v>
      </c>
      <c r="I1432" s="338">
        <f t="shared" si="68"/>
        <v>8.3125</v>
      </c>
      <c r="J1432" s="338">
        <f t="shared" si="68"/>
        <v>8.3125</v>
      </c>
      <c r="K1432" s="338">
        <f t="shared" si="68"/>
        <v>8.3125</v>
      </c>
      <c r="L1432" s="338">
        <f t="shared" si="68"/>
        <v>8.3125</v>
      </c>
      <c r="M1432" s="332"/>
    </row>
    <row r="1433" spans="1:13" hidden="1" outlineLevel="2" x14ac:dyDescent="0.35">
      <c r="A1433" s="335" t="s">
        <v>107</v>
      </c>
      <c r="B1433" s="331">
        <v>44157</v>
      </c>
      <c r="C1433" s="332" t="s">
        <v>2171</v>
      </c>
      <c r="D1433" s="332" t="s">
        <v>2172</v>
      </c>
      <c r="E1433" s="332" t="s">
        <v>2068</v>
      </c>
      <c r="F1433" s="336">
        <v>33.25</v>
      </c>
      <c r="G1433" s="330" t="s">
        <v>56</v>
      </c>
      <c r="H1433" s="329">
        <v>33.25</v>
      </c>
      <c r="I1433" s="338">
        <f t="shared" si="68"/>
        <v>8.3125</v>
      </c>
      <c r="J1433" s="338">
        <f t="shared" si="68"/>
        <v>8.3125</v>
      </c>
      <c r="K1433" s="338">
        <f t="shared" si="68"/>
        <v>8.3125</v>
      </c>
      <c r="L1433" s="338">
        <f t="shared" si="68"/>
        <v>8.3125</v>
      </c>
      <c r="M1433" s="332"/>
    </row>
    <row r="1434" spans="1:13" hidden="1" outlineLevel="2" x14ac:dyDescent="0.35">
      <c r="A1434" s="335" t="s">
        <v>107</v>
      </c>
      <c r="B1434" s="331">
        <v>44128</v>
      </c>
      <c r="C1434" s="332" t="s">
        <v>2173</v>
      </c>
      <c r="D1434" s="332" t="s">
        <v>2174</v>
      </c>
      <c r="E1434" s="332" t="s">
        <v>2068</v>
      </c>
      <c r="F1434" s="336">
        <v>29.5</v>
      </c>
      <c r="G1434" s="330" t="s">
        <v>56</v>
      </c>
      <c r="H1434" s="329">
        <v>29.5</v>
      </c>
      <c r="I1434" s="338">
        <f t="shared" si="68"/>
        <v>7.375</v>
      </c>
      <c r="J1434" s="338">
        <f t="shared" si="68"/>
        <v>7.375</v>
      </c>
      <c r="K1434" s="338">
        <f t="shared" si="68"/>
        <v>7.375</v>
      </c>
      <c r="L1434" s="338">
        <f t="shared" si="68"/>
        <v>7.375</v>
      </c>
      <c r="M1434" s="332"/>
    </row>
    <row r="1435" spans="1:13" hidden="1" outlineLevel="2" x14ac:dyDescent="0.35">
      <c r="A1435" s="335" t="s">
        <v>107</v>
      </c>
      <c r="B1435" s="331">
        <v>44134</v>
      </c>
      <c r="C1435" s="332" t="s">
        <v>2175</v>
      </c>
      <c r="D1435" s="332" t="s">
        <v>2176</v>
      </c>
      <c r="E1435" s="332" t="s">
        <v>2068</v>
      </c>
      <c r="F1435" s="336">
        <v>35</v>
      </c>
      <c r="G1435" s="330" t="s">
        <v>56</v>
      </c>
      <c r="H1435" s="329">
        <v>35</v>
      </c>
      <c r="I1435" s="338">
        <f t="shared" si="68"/>
        <v>8.75</v>
      </c>
      <c r="J1435" s="338">
        <f t="shared" si="68"/>
        <v>8.75</v>
      </c>
      <c r="K1435" s="338">
        <f t="shared" si="68"/>
        <v>8.75</v>
      </c>
      <c r="L1435" s="338">
        <f t="shared" si="68"/>
        <v>8.75</v>
      </c>
      <c r="M1435" s="332"/>
    </row>
    <row r="1436" spans="1:13" hidden="1" outlineLevel="2" x14ac:dyDescent="0.35">
      <c r="A1436" s="335" t="s">
        <v>107</v>
      </c>
      <c r="B1436" s="331">
        <v>44132</v>
      </c>
      <c r="C1436" s="332" t="s">
        <v>2177</v>
      </c>
      <c r="D1436" s="332" t="s">
        <v>2178</v>
      </c>
      <c r="E1436" s="332" t="s">
        <v>2068</v>
      </c>
      <c r="F1436" s="336">
        <v>35</v>
      </c>
      <c r="G1436" s="330" t="s">
        <v>56</v>
      </c>
      <c r="H1436" s="329">
        <v>35</v>
      </c>
      <c r="I1436" s="338">
        <f t="shared" si="68"/>
        <v>8.75</v>
      </c>
      <c r="J1436" s="338">
        <f t="shared" si="68"/>
        <v>8.75</v>
      </c>
      <c r="K1436" s="338">
        <f t="shared" si="68"/>
        <v>8.75</v>
      </c>
      <c r="L1436" s="338">
        <f t="shared" si="68"/>
        <v>8.75</v>
      </c>
      <c r="M1436" s="332"/>
    </row>
    <row r="1437" spans="1:13" hidden="1" outlineLevel="2" x14ac:dyDescent="0.35">
      <c r="A1437" s="335" t="s">
        <v>107</v>
      </c>
      <c r="B1437" s="331">
        <v>44133</v>
      </c>
      <c r="C1437" s="332" t="s">
        <v>2179</v>
      </c>
      <c r="D1437" s="332" t="s">
        <v>2180</v>
      </c>
      <c r="E1437" s="332" t="s">
        <v>2068</v>
      </c>
      <c r="F1437" s="336">
        <v>35</v>
      </c>
      <c r="G1437" s="330" t="s">
        <v>56</v>
      </c>
      <c r="H1437" s="329">
        <v>35</v>
      </c>
      <c r="I1437" s="338">
        <f t="shared" si="68"/>
        <v>8.75</v>
      </c>
      <c r="J1437" s="338">
        <f t="shared" si="68"/>
        <v>8.75</v>
      </c>
      <c r="K1437" s="338">
        <f t="shared" si="68"/>
        <v>8.75</v>
      </c>
      <c r="L1437" s="338">
        <f t="shared" si="68"/>
        <v>8.75</v>
      </c>
      <c r="M1437" s="332"/>
    </row>
    <row r="1438" spans="1:13" hidden="1" outlineLevel="2" x14ac:dyDescent="0.35">
      <c r="A1438" s="335" t="s">
        <v>107</v>
      </c>
      <c r="B1438" s="331">
        <v>44131</v>
      </c>
      <c r="C1438" s="332" t="s">
        <v>2181</v>
      </c>
      <c r="D1438" s="332" t="s">
        <v>2182</v>
      </c>
      <c r="E1438" s="332" t="s">
        <v>2068</v>
      </c>
      <c r="F1438" s="336">
        <v>35</v>
      </c>
      <c r="G1438" s="330" t="s">
        <v>56</v>
      </c>
      <c r="H1438" s="329">
        <v>35</v>
      </c>
      <c r="I1438" s="338">
        <f t="shared" si="68"/>
        <v>8.75</v>
      </c>
      <c r="J1438" s="338">
        <f t="shared" si="68"/>
        <v>8.75</v>
      </c>
      <c r="K1438" s="338">
        <f t="shared" si="68"/>
        <v>8.75</v>
      </c>
      <c r="L1438" s="338">
        <f t="shared" si="68"/>
        <v>8.75</v>
      </c>
      <c r="M1438" s="332"/>
    </row>
    <row r="1439" spans="1:13" hidden="1" outlineLevel="2" x14ac:dyDescent="0.35">
      <c r="A1439" s="335" t="s">
        <v>107</v>
      </c>
      <c r="B1439" s="331">
        <v>44498</v>
      </c>
      <c r="C1439" s="332" t="s">
        <v>2183</v>
      </c>
      <c r="D1439" s="332" t="s">
        <v>2184</v>
      </c>
      <c r="E1439" s="332" t="s">
        <v>2039</v>
      </c>
      <c r="F1439" s="336">
        <v>48.64</v>
      </c>
      <c r="G1439" s="330" t="s">
        <v>56</v>
      </c>
      <c r="H1439" s="329">
        <v>48.64</v>
      </c>
      <c r="I1439" s="338">
        <f t="shared" si="68"/>
        <v>12.16</v>
      </c>
      <c r="J1439" s="338">
        <f t="shared" si="68"/>
        <v>12.16</v>
      </c>
      <c r="K1439" s="338">
        <f t="shared" si="68"/>
        <v>12.16</v>
      </c>
      <c r="L1439" s="338">
        <f t="shared" si="68"/>
        <v>12.16</v>
      </c>
      <c r="M1439" s="332"/>
    </row>
    <row r="1440" spans="1:13" hidden="1" outlineLevel="2" x14ac:dyDescent="0.35">
      <c r="A1440" s="335" t="s">
        <v>107</v>
      </c>
      <c r="B1440" s="331">
        <v>44517</v>
      </c>
      <c r="C1440" s="332" t="s">
        <v>2185</v>
      </c>
      <c r="D1440" s="332" t="s">
        <v>2186</v>
      </c>
      <c r="E1440" s="332" t="s">
        <v>2039</v>
      </c>
      <c r="F1440" s="336">
        <v>41.11</v>
      </c>
      <c r="G1440" s="330" t="s">
        <v>56</v>
      </c>
      <c r="H1440" s="329">
        <v>41.11</v>
      </c>
      <c r="I1440" s="338">
        <f t="shared" si="68"/>
        <v>10.2775</v>
      </c>
      <c r="J1440" s="338">
        <f t="shared" si="68"/>
        <v>10.2775</v>
      </c>
      <c r="K1440" s="338">
        <f t="shared" si="68"/>
        <v>10.2775</v>
      </c>
      <c r="L1440" s="338">
        <f t="shared" si="68"/>
        <v>10.2775</v>
      </c>
      <c r="M1440" s="332"/>
    </row>
    <row r="1441" spans="1:13" hidden="1" outlineLevel="2" x14ac:dyDescent="0.35">
      <c r="A1441" s="335" t="s">
        <v>107</v>
      </c>
      <c r="B1441" s="331">
        <v>44511</v>
      </c>
      <c r="C1441" s="332" t="s">
        <v>2187</v>
      </c>
      <c r="D1441" s="332" t="s">
        <v>2188</v>
      </c>
      <c r="E1441" s="332" t="s">
        <v>2039</v>
      </c>
      <c r="F1441" s="336">
        <v>55</v>
      </c>
      <c r="G1441" s="330" t="s">
        <v>56</v>
      </c>
      <c r="H1441" s="329">
        <v>55</v>
      </c>
      <c r="I1441" s="338">
        <f t="shared" si="68"/>
        <v>13.75</v>
      </c>
      <c r="J1441" s="338">
        <f t="shared" si="68"/>
        <v>13.75</v>
      </c>
      <c r="K1441" s="338">
        <f t="shared" si="68"/>
        <v>13.75</v>
      </c>
      <c r="L1441" s="338">
        <f t="shared" si="68"/>
        <v>13.75</v>
      </c>
      <c r="M1441" s="332"/>
    </row>
    <row r="1442" spans="1:13" hidden="1" outlineLevel="2" x14ac:dyDescent="0.35">
      <c r="A1442" s="335" t="s">
        <v>107</v>
      </c>
      <c r="B1442" s="331">
        <v>44509</v>
      </c>
      <c r="C1442" s="332" t="s">
        <v>2189</v>
      </c>
      <c r="D1442" s="332" t="s">
        <v>2190</v>
      </c>
      <c r="E1442" s="332" t="s">
        <v>2039</v>
      </c>
      <c r="F1442" s="336">
        <v>55</v>
      </c>
      <c r="G1442" s="330" t="s">
        <v>56</v>
      </c>
      <c r="H1442" s="329">
        <v>55</v>
      </c>
      <c r="I1442" s="338">
        <f t="shared" si="68"/>
        <v>13.75</v>
      </c>
      <c r="J1442" s="338">
        <f t="shared" si="68"/>
        <v>13.75</v>
      </c>
      <c r="K1442" s="338">
        <f t="shared" si="68"/>
        <v>13.75</v>
      </c>
      <c r="L1442" s="338">
        <f t="shared" si="68"/>
        <v>13.75</v>
      </c>
      <c r="M1442" s="332"/>
    </row>
    <row r="1443" spans="1:13" hidden="1" outlineLevel="2" x14ac:dyDescent="0.35">
      <c r="A1443" s="335" t="s">
        <v>107</v>
      </c>
      <c r="B1443" s="331">
        <v>44518</v>
      </c>
      <c r="C1443" s="332" t="s">
        <v>2191</v>
      </c>
      <c r="D1443" s="332" t="s">
        <v>2192</v>
      </c>
      <c r="E1443" s="332" t="s">
        <v>2039</v>
      </c>
      <c r="F1443" s="336">
        <v>387.55</v>
      </c>
      <c r="G1443" s="330" t="s">
        <v>56</v>
      </c>
      <c r="H1443" s="329">
        <v>387.55</v>
      </c>
      <c r="I1443" s="338">
        <f t="shared" si="68"/>
        <v>96.887500000000003</v>
      </c>
      <c r="J1443" s="338">
        <f t="shared" si="68"/>
        <v>96.887500000000003</v>
      </c>
      <c r="K1443" s="338">
        <f t="shared" si="68"/>
        <v>96.887500000000003</v>
      </c>
      <c r="L1443" s="338">
        <f t="shared" si="68"/>
        <v>96.887500000000003</v>
      </c>
      <c r="M1443" s="332"/>
    </row>
    <row r="1444" spans="1:13" hidden="1" outlineLevel="2" x14ac:dyDescent="0.35">
      <c r="A1444" s="335" t="s">
        <v>107</v>
      </c>
      <c r="B1444" s="331">
        <v>44067</v>
      </c>
      <c r="C1444" s="332" t="s">
        <v>2193</v>
      </c>
      <c r="D1444" s="332" t="s">
        <v>2194</v>
      </c>
      <c r="E1444" s="332" t="s">
        <v>2195</v>
      </c>
      <c r="F1444" s="336">
        <v>716.78</v>
      </c>
      <c r="G1444" s="330" t="s">
        <v>56</v>
      </c>
      <c r="H1444" s="329">
        <v>716.78</v>
      </c>
      <c r="I1444" s="338">
        <f t="shared" si="68"/>
        <v>179.19499999999999</v>
      </c>
      <c r="J1444" s="338">
        <f t="shared" si="68"/>
        <v>179.19499999999999</v>
      </c>
      <c r="K1444" s="338">
        <f t="shared" si="68"/>
        <v>179.19499999999999</v>
      </c>
      <c r="L1444" s="338">
        <f t="shared" si="68"/>
        <v>179.19499999999999</v>
      </c>
      <c r="M1444" s="332"/>
    </row>
    <row r="1445" spans="1:13" outlineLevel="1" collapsed="1" x14ac:dyDescent="0.35">
      <c r="A1445" s="337" t="s">
        <v>2196</v>
      </c>
      <c r="B1445" s="331"/>
      <c r="C1445" s="332"/>
      <c r="D1445" s="332"/>
      <c r="E1445" s="332"/>
      <c r="F1445" s="336"/>
      <c r="G1445" s="330"/>
      <c r="H1445" s="329">
        <f t="shared" ref="H1445:M1445" si="69">SUBTOTAL(9,H1330:H1444)</f>
        <v>15221.897236104127</v>
      </c>
      <c r="I1445" s="338">
        <f t="shared" si="69"/>
        <v>1281.8974999999998</v>
      </c>
      <c r="J1445" s="338">
        <f t="shared" si="69"/>
        <v>11376.204736104124</v>
      </c>
      <c r="K1445" s="338">
        <f t="shared" si="69"/>
        <v>1281.8974999999998</v>
      </c>
      <c r="L1445" s="338">
        <f t="shared" si="69"/>
        <v>1281.8974999999998</v>
      </c>
      <c r="M1445" s="332">
        <f t="shared" si="69"/>
        <v>0</v>
      </c>
    </row>
    <row r="1446" spans="1:13" hidden="1" outlineLevel="2" x14ac:dyDescent="0.35">
      <c r="A1446" s="341" t="s">
        <v>66</v>
      </c>
      <c r="B1446" s="331">
        <v>43822</v>
      </c>
      <c r="C1446" s="332" t="s">
        <v>2197</v>
      </c>
      <c r="D1446" s="332" t="s">
        <v>2198</v>
      </c>
      <c r="E1446" s="332" t="s">
        <v>2199</v>
      </c>
      <c r="F1446" s="336">
        <v>890000</v>
      </c>
      <c r="G1446" s="330" t="s">
        <v>236</v>
      </c>
      <c r="H1446" s="329">
        <v>876.24721672919804</v>
      </c>
      <c r="I1446" s="338">
        <v>876.24721672919804</v>
      </c>
      <c r="J1446" s="338"/>
      <c r="K1446" s="338"/>
      <c r="L1446" s="338"/>
      <c r="M1446" s="336"/>
    </row>
    <row r="1447" spans="1:13" hidden="1" outlineLevel="2" x14ac:dyDescent="0.35">
      <c r="A1447" s="341" t="s">
        <v>66</v>
      </c>
      <c r="B1447" s="331">
        <v>44336</v>
      </c>
      <c r="C1447" s="332" t="s">
        <v>750</v>
      </c>
      <c r="D1447" s="332" t="s">
        <v>2200</v>
      </c>
      <c r="E1447" s="332" t="s">
        <v>2201</v>
      </c>
      <c r="F1447" s="336">
        <v>1591000</v>
      </c>
      <c r="G1447" s="330" t="s">
        <v>236</v>
      </c>
      <c r="H1447" s="329">
        <v>1356.5422634549811</v>
      </c>
      <c r="I1447" s="338">
        <v>1356.5422634549811</v>
      </c>
      <c r="J1447" s="338"/>
      <c r="K1447" s="338"/>
      <c r="L1447" s="338"/>
      <c r="M1447" s="336"/>
    </row>
    <row r="1448" spans="1:13" hidden="1" outlineLevel="2" x14ac:dyDescent="0.35">
      <c r="A1448" s="341" t="s">
        <v>66</v>
      </c>
      <c r="B1448" s="331">
        <v>4941</v>
      </c>
      <c r="C1448" s="332" t="s">
        <v>2202</v>
      </c>
      <c r="D1448" s="332" t="s">
        <v>2203</v>
      </c>
      <c r="E1448" s="332" t="s">
        <v>2204</v>
      </c>
      <c r="F1448" s="336">
        <v>1902000</v>
      </c>
      <c r="G1448" s="330" t="s">
        <v>236</v>
      </c>
      <c r="H1448" s="329">
        <v>1621.7117442434783</v>
      </c>
      <c r="I1448" s="338">
        <v>1621.7117442434783</v>
      </c>
      <c r="J1448" s="338"/>
      <c r="K1448" s="338"/>
      <c r="L1448" s="338"/>
      <c r="M1448" s="336"/>
    </row>
    <row r="1449" spans="1:13" hidden="1" outlineLevel="2" x14ac:dyDescent="0.35">
      <c r="A1449" s="341" t="s">
        <v>66</v>
      </c>
      <c r="B1449" s="331">
        <v>44491</v>
      </c>
      <c r="C1449" s="332" t="s">
        <v>2205</v>
      </c>
      <c r="D1449" s="332" t="s">
        <v>2206</v>
      </c>
      <c r="E1449" s="332" t="s">
        <v>2207</v>
      </c>
      <c r="F1449" s="336">
        <v>1286200</v>
      </c>
      <c r="G1449" s="330" t="s">
        <v>236</v>
      </c>
      <c r="H1449" s="329">
        <v>1096.6591195825247</v>
      </c>
      <c r="I1449" s="338">
        <v>1096.6591195825247</v>
      </c>
      <c r="J1449" s="338"/>
      <c r="K1449" s="338"/>
      <c r="L1449" s="338"/>
      <c r="M1449" s="336"/>
    </row>
    <row r="1450" spans="1:13" outlineLevel="1" collapsed="1" x14ac:dyDescent="0.35">
      <c r="A1450" s="342" t="s">
        <v>2208</v>
      </c>
      <c r="B1450" s="331"/>
      <c r="C1450" s="332"/>
      <c r="D1450" s="332"/>
      <c r="E1450" s="332"/>
      <c r="F1450" s="336"/>
      <c r="G1450" s="330"/>
      <c r="H1450" s="329">
        <f t="shared" ref="H1450:M1450" si="70">SUBTOTAL(9,H1446:H1449)</f>
        <v>4951.1603440101826</v>
      </c>
      <c r="I1450" s="338">
        <f t="shared" si="70"/>
        <v>4951.1603440101826</v>
      </c>
      <c r="J1450" s="338">
        <f t="shared" si="70"/>
        <v>0</v>
      </c>
      <c r="K1450" s="338">
        <f t="shared" si="70"/>
        <v>0</v>
      </c>
      <c r="L1450" s="338">
        <f t="shared" si="70"/>
        <v>0</v>
      </c>
      <c r="M1450" s="336">
        <f t="shared" si="70"/>
        <v>0</v>
      </c>
    </row>
    <row r="1451" spans="1:13" hidden="1" outlineLevel="2" x14ac:dyDescent="0.35">
      <c r="A1451" s="341" t="s">
        <v>84</v>
      </c>
      <c r="B1451" s="331">
        <v>43857</v>
      </c>
      <c r="C1451" s="332" t="s">
        <v>2209</v>
      </c>
      <c r="D1451" s="332" t="s">
        <v>2210</v>
      </c>
      <c r="E1451" s="332" t="s">
        <v>2211</v>
      </c>
      <c r="F1451" s="336">
        <v>2610000</v>
      </c>
      <c r="G1451" s="330" t="s">
        <v>236</v>
      </c>
      <c r="H1451" s="329">
        <v>2424.8471456656885</v>
      </c>
      <c r="I1451" s="338">
        <v>141.87935426767325</v>
      </c>
      <c r="J1451" s="338"/>
      <c r="K1451" s="338"/>
      <c r="L1451" s="338">
        <v>2282.9677913980149</v>
      </c>
      <c r="M1451" s="336"/>
    </row>
    <row r="1452" spans="1:13" hidden="1" outlineLevel="2" x14ac:dyDescent="0.35">
      <c r="A1452" s="341" t="s">
        <v>84</v>
      </c>
      <c r="B1452" s="331">
        <v>44302</v>
      </c>
      <c r="C1452" s="332" t="s">
        <v>1817</v>
      </c>
      <c r="D1452" s="332" t="s">
        <v>2212</v>
      </c>
      <c r="E1452" s="332" t="s">
        <v>2213</v>
      </c>
      <c r="F1452" s="336">
        <v>754000</v>
      </c>
      <c r="G1452" s="330" t="s">
        <v>236</v>
      </c>
      <c r="H1452" s="329">
        <v>642.88677978947567</v>
      </c>
      <c r="I1452" s="338"/>
      <c r="J1452" s="338"/>
      <c r="K1452" s="338"/>
      <c r="L1452" s="338">
        <v>642.88677978947567</v>
      </c>
      <c r="M1452" s="336"/>
    </row>
    <row r="1453" spans="1:13" hidden="1" outlineLevel="2" x14ac:dyDescent="0.35">
      <c r="A1453" s="341" t="s">
        <v>84</v>
      </c>
      <c r="B1453" s="331">
        <v>44334</v>
      </c>
      <c r="C1453" s="332" t="s">
        <v>434</v>
      </c>
      <c r="D1453" s="332" t="s">
        <v>2214</v>
      </c>
      <c r="E1453" s="332" t="s">
        <v>2215</v>
      </c>
      <c r="F1453" s="336">
        <v>29000</v>
      </c>
      <c r="G1453" s="330" t="s">
        <v>236</v>
      </c>
      <c r="H1453" s="329">
        <v>24.726414607287523</v>
      </c>
      <c r="I1453" s="338"/>
      <c r="J1453" s="338"/>
      <c r="K1453" s="338"/>
      <c r="L1453" s="338">
        <v>24.726414607287523</v>
      </c>
      <c r="M1453" s="336"/>
    </row>
    <row r="1454" spans="1:13" outlineLevel="1" collapsed="1" x14ac:dyDescent="0.35">
      <c r="A1454" s="342" t="s">
        <v>2216</v>
      </c>
      <c r="B1454" s="331"/>
      <c r="C1454" s="332"/>
      <c r="D1454" s="332"/>
      <c r="E1454" s="332"/>
      <c r="F1454" s="336"/>
      <c r="G1454" s="330"/>
      <c r="H1454" s="329">
        <f t="shared" ref="H1454:M1454" si="71">SUBTOTAL(9,H1451:H1453)</f>
        <v>3092.4603400624519</v>
      </c>
      <c r="I1454" s="338">
        <f t="shared" si="71"/>
        <v>141.87935426767325</v>
      </c>
      <c r="J1454" s="338">
        <f t="shared" si="71"/>
        <v>0</v>
      </c>
      <c r="K1454" s="338">
        <f t="shared" si="71"/>
        <v>0</v>
      </c>
      <c r="L1454" s="338">
        <f t="shared" si="71"/>
        <v>2950.5809857947779</v>
      </c>
      <c r="M1454" s="336">
        <f t="shared" si="71"/>
        <v>0</v>
      </c>
    </row>
    <row r="1455" spans="1:13" hidden="1" outlineLevel="2" x14ac:dyDescent="0.35">
      <c r="A1455" s="335" t="s">
        <v>95</v>
      </c>
      <c r="B1455" s="331">
        <v>44130</v>
      </c>
      <c r="C1455" s="332" t="s">
        <v>2217</v>
      </c>
      <c r="D1455" s="332" t="s">
        <v>2218</v>
      </c>
      <c r="E1455" s="332" t="s">
        <v>701</v>
      </c>
      <c r="F1455" s="336">
        <v>107616</v>
      </c>
      <c r="G1455" s="330" t="s">
        <v>236</v>
      </c>
      <c r="H1455" s="329">
        <v>99.981743458988021</v>
      </c>
      <c r="I1455" s="338">
        <v>24.995435864747005</v>
      </c>
      <c r="J1455" s="338">
        <v>24.995435864747005</v>
      </c>
      <c r="K1455" s="338">
        <v>24.995435864747005</v>
      </c>
      <c r="L1455" s="338">
        <v>24.995435864747005</v>
      </c>
      <c r="M1455" s="336"/>
    </row>
    <row r="1456" spans="1:13" hidden="1" outlineLevel="2" x14ac:dyDescent="0.35">
      <c r="A1456" s="335" t="s">
        <v>95</v>
      </c>
      <c r="B1456" s="331">
        <v>43859</v>
      </c>
      <c r="C1456" s="332" t="s">
        <v>725</v>
      </c>
      <c r="D1456" s="332" t="s">
        <v>2219</v>
      </c>
      <c r="E1456" s="332" t="s">
        <v>2220</v>
      </c>
      <c r="F1456" s="336">
        <v>723000</v>
      </c>
      <c r="G1456" s="330" t="s">
        <v>236</v>
      </c>
      <c r="H1456" s="329">
        <v>671.7105311556677</v>
      </c>
      <c r="I1456" s="338">
        <v>167.92763278891692</v>
      </c>
      <c r="J1456" s="338">
        <v>167.92763278891692</v>
      </c>
      <c r="K1456" s="338">
        <v>167.92763278891692</v>
      </c>
      <c r="L1456" s="338">
        <v>167.92763278891692</v>
      </c>
      <c r="M1456" s="336"/>
    </row>
    <row r="1457" spans="1:13" hidden="1" outlineLevel="2" x14ac:dyDescent="0.35">
      <c r="A1457" s="335" t="s">
        <v>95</v>
      </c>
      <c r="B1457" s="331">
        <v>43866</v>
      </c>
      <c r="C1457" s="332" t="s">
        <v>2221</v>
      </c>
      <c r="D1457" s="332" t="s">
        <v>2222</v>
      </c>
      <c r="E1457" s="332" t="s">
        <v>436</v>
      </c>
      <c r="F1457" s="336">
        <v>-8000</v>
      </c>
      <c r="G1457" s="330" t="s">
        <v>236</v>
      </c>
      <c r="H1457" s="329">
        <v>-7.4324816725385086</v>
      </c>
      <c r="I1457" s="338">
        <v>-1.8581204181346271</v>
      </c>
      <c r="J1457" s="338">
        <v>-1.8581204181346271</v>
      </c>
      <c r="K1457" s="338">
        <v>-1.8581204181346271</v>
      </c>
      <c r="L1457" s="338">
        <v>-1.8581204181346271</v>
      </c>
      <c r="M1457" s="336"/>
    </row>
    <row r="1458" spans="1:13" hidden="1" outlineLevel="2" x14ac:dyDescent="0.35">
      <c r="A1458" s="335" t="s">
        <v>95</v>
      </c>
      <c r="B1458" s="331">
        <v>44053</v>
      </c>
      <c r="C1458" s="332" t="s">
        <v>2223</v>
      </c>
      <c r="D1458" s="332" t="s">
        <v>2224</v>
      </c>
      <c r="E1458" s="332" t="s">
        <v>436</v>
      </c>
      <c r="F1458" s="336">
        <v>25000</v>
      </c>
      <c r="G1458" s="330" t="s">
        <v>236</v>
      </c>
      <c r="H1458" s="329">
        <v>23.226505226682839</v>
      </c>
      <c r="I1458" s="338">
        <v>5.8066263066707098</v>
      </c>
      <c r="J1458" s="338">
        <v>5.8066263066707098</v>
      </c>
      <c r="K1458" s="338">
        <v>5.8066263066707098</v>
      </c>
      <c r="L1458" s="338">
        <v>5.8066263066707098</v>
      </c>
      <c r="M1458" s="336"/>
    </row>
    <row r="1459" spans="1:13" hidden="1" outlineLevel="2" x14ac:dyDescent="0.35">
      <c r="A1459" s="335" t="s">
        <v>95</v>
      </c>
      <c r="B1459" s="331">
        <v>44061</v>
      </c>
      <c r="C1459" s="332" t="s">
        <v>1317</v>
      </c>
      <c r="D1459" s="332" t="s">
        <v>2225</v>
      </c>
      <c r="E1459" s="332" t="s">
        <v>436</v>
      </c>
      <c r="F1459" s="336">
        <v>364300</v>
      </c>
      <c r="G1459" s="330" t="s">
        <v>236</v>
      </c>
      <c r="H1459" s="329">
        <v>338.45663416322236</v>
      </c>
      <c r="I1459" s="338">
        <v>84.61415854080559</v>
      </c>
      <c r="J1459" s="338">
        <v>84.61415854080559</v>
      </c>
      <c r="K1459" s="338">
        <v>84.61415854080559</v>
      </c>
      <c r="L1459" s="338">
        <v>84.61415854080559</v>
      </c>
      <c r="M1459" s="336"/>
    </row>
    <row r="1460" spans="1:13" hidden="1" outlineLevel="2" x14ac:dyDescent="0.35">
      <c r="A1460" s="335" t="s">
        <v>95</v>
      </c>
      <c r="B1460" s="331">
        <v>44084</v>
      </c>
      <c r="C1460" s="332" t="s">
        <v>2226</v>
      </c>
      <c r="D1460" s="332" t="s">
        <v>2227</v>
      </c>
      <c r="E1460" s="332" t="s">
        <v>436</v>
      </c>
      <c r="F1460" s="336">
        <v>45000</v>
      </c>
      <c r="G1460" s="330" t="s">
        <v>236</v>
      </c>
      <c r="H1460" s="329">
        <v>41.807709408029112</v>
      </c>
      <c r="I1460" s="338">
        <v>10.451927352007278</v>
      </c>
      <c r="J1460" s="338">
        <v>10.451927352007278</v>
      </c>
      <c r="K1460" s="338">
        <v>10.451927352007278</v>
      </c>
      <c r="L1460" s="338">
        <v>10.451927352007278</v>
      </c>
      <c r="M1460" s="336"/>
    </row>
    <row r="1461" spans="1:13" hidden="1" outlineLevel="2" x14ac:dyDescent="0.35">
      <c r="A1461" s="335" t="s">
        <v>95</v>
      </c>
      <c r="B1461" s="331">
        <v>44098</v>
      </c>
      <c r="C1461" s="332" t="s">
        <v>2228</v>
      </c>
      <c r="D1461" s="332" t="s">
        <v>2229</v>
      </c>
      <c r="E1461" s="332" t="s">
        <v>436</v>
      </c>
      <c r="F1461" s="336">
        <v>129000</v>
      </c>
      <c r="G1461" s="330" t="s">
        <v>236</v>
      </c>
      <c r="H1461" s="329">
        <v>119.84876696968345</v>
      </c>
      <c r="I1461" s="338">
        <v>29.962191742420863</v>
      </c>
      <c r="J1461" s="338">
        <v>29.962191742420863</v>
      </c>
      <c r="K1461" s="338">
        <v>29.962191742420863</v>
      </c>
      <c r="L1461" s="338">
        <v>29.962191742420863</v>
      </c>
      <c r="M1461" s="336"/>
    </row>
    <row r="1462" spans="1:13" hidden="1" outlineLevel="2" x14ac:dyDescent="0.35">
      <c r="A1462" s="335" t="s">
        <v>95</v>
      </c>
      <c r="B1462" s="331">
        <v>44120</v>
      </c>
      <c r="C1462" s="332" t="s">
        <v>2230</v>
      </c>
      <c r="D1462" s="332" t="s">
        <v>2231</v>
      </c>
      <c r="E1462" s="332" t="s">
        <v>1347</v>
      </c>
      <c r="F1462" s="336">
        <v>33750</v>
      </c>
      <c r="G1462" s="330" t="s">
        <v>236</v>
      </c>
      <c r="H1462" s="329">
        <v>31.355782056021834</v>
      </c>
      <c r="I1462" s="338">
        <v>7.8389455140054585</v>
      </c>
      <c r="J1462" s="338">
        <v>7.8389455140054585</v>
      </c>
      <c r="K1462" s="338">
        <v>7.8389455140054585</v>
      </c>
      <c r="L1462" s="338">
        <v>7.8389455140054585</v>
      </c>
      <c r="M1462" s="336"/>
    </row>
    <row r="1463" spans="1:13" hidden="1" outlineLevel="2" x14ac:dyDescent="0.35">
      <c r="A1463" s="335" t="s">
        <v>95</v>
      </c>
      <c r="B1463" s="331">
        <v>44160</v>
      </c>
      <c r="C1463" s="332" t="s">
        <v>2232</v>
      </c>
      <c r="D1463" s="332" t="s">
        <v>2233</v>
      </c>
      <c r="E1463" s="332" t="s">
        <v>1156</v>
      </c>
      <c r="F1463" s="336">
        <v>129000</v>
      </c>
      <c r="G1463" s="330" t="s">
        <v>236</v>
      </c>
      <c r="H1463" s="329">
        <v>119.84876696968345</v>
      </c>
      <c r="I1463" s="338">
        <v>29.962191742420863</v>
      </c>
      <c r="J1463" s="338">
        <v>29.962191742420863</v>
      </c>
      <c r="K1463" s="338">
        <v>29.962191742420863</v>
      </c>
      <c r="L1463" s="338">
        <v>29.962191742420863</v>
      </c>
      <c r="M1463" s="336"/>
    </row>
    <row r="1464" spans="1:13" hidden="1" outlineLevel="2" x14ac:dyDescent="0.35">
      <c r="A1464" s="335" t="s">
        <v>95</v>
      </c>
      <c r="B1464" s="331">
        <v>44167</v>
      </c>
      <c r="C1464" s="332" t="s">
        <v>2234</v>
      </c>
      <c r="D1464" s="332" t="s">
        <v>2235</v>
      </c>
      <c r="E1464" s="332" t="s">
        <v>2236</v>
      </c>
      <c r="F1464" s="336">
        <v>144000</v>
      </c>
      <c r="G1464" s="330" t="s">
        <v>236</v>
      </c>
      <c r="H1464" s="329">
        <v>133.78467010569315</v>
      </c>
      <c r="I1464" s="338">
        <v>33.446167526423288</v>
      </c>
      <c r="J1464" s="338">
        <v>33.446167526423288</v>
      </c>
      <c r="K1464" s="338">
        <v>33.446167526423288</v>
      </c>
      <c r="L1464" s="338">
        <v>33.446167526423288</v>
      </c>
      <c r="M1464" s="336"/>
    </row>
    <row r="1465" spans="1:13" hidden="1" outlineLevel="2" x14ac:dyDescent="0.35">
      <c r="A1465" s="335" t="s">
        <v>95</v>
      </c>
      <c r="B1465" s="331">
        <v>44558</v>
      </c>
      <c r="C1465" s="332" t="s">
        <v>2237</v>
      </c>
      <c r="D1465" s="332" t="s">
        <v>2238</v>
      </c>
      <c r="E1465" s="332" t="s">
        <v>1642</v>
      </c>
      <c r="F1465" s="336">
        <v>366210</v>
      </c>
      <c r="G1465" s="330" t="s">
        <v>236</v>
      </c>
      <c r="H1465" s="329">
        <v>323.22324567117158</v>
      </c>
      <c r="I1465" s="338">
        <v>80.805811417792896</v>
      </c>
      <c r="J1465" s="338">
        <v>80.805811417792896</v>
      </c>
      <c r="K1465" s="338">
        <v>80.805811417792896</v>
      </c>
      <c r="L1465" s="338">
        <v>80.805811417792896</v>
      </c>
      <c r="M1465" s="336"/>
    </row>
    <row r="1466" spans="1:13" hidden="1" outlineLevel="2" x14ac:dyDescent="0.35">
      <c r="A1466" s="335" t="s">
        <v>95</v>
      </c>
      <c r="B1466" s="331">
        <v>44236</v>
      </c>
      <c r="C1466" s="332" t="s">
        <v>1640</v>
      </c>
      <c r="D1466" s="332" t="s">
        <v>2239</v>
      </c>
      <c r="E1466" s="332" t="s">
        <v>2240</v>
      </c>
      <c r="F1466" s="336">
        <v>45000</v>
      </c>
      <c r="G1466" s="330" t="s">
        <v>236</v>
      </c>
      <c r="H1466" s="329">
        <v>38.368574390618569</v>
      </c>
      <c r="I1466" s="329">
        <v>9.5921435976546423</v>
      </c>
      <c r="J1466" s="329">
        <v>9.5921435976546423</v>
      </c>
      <c r="K1466" s="329">
        <v>9.5921435976546423</v>
      </c>
      <c r="L1466" s="329">
        <v>9.5921435976546423</v>
      </c>
      <c r="M1466" s="336"/>
    </row>
    <row r="1467" spans="1:13" hidden="1" outlineLevel="2" x14ac:dyDescent="0.35">
      <c r="A1467" s="335" t="s">
        <v>95</v>
      </c>
      <c r="B1467" s="331">
        <v>44560</v>
      </c>
      <c r="C1467" s="332" t="s">
        <v>1044</v>
      </c>
      <c r="D1467" s="332" t="s">
        <v>2241</v>
      </c>
      <c r="E1467" s="332" t="s">
        <v>369</v>
      </c>
      <c r="F1467" s="336">
        <v>255408</v>
      </c>
      <c r="G1467" s="330" t="s">
        <v>236</v>
      </c>
      <c r="H1467" s="329">
        <v>225.4274944168171</v>
      </c>
      <c r="I1467" s="338">
        <v>56.356873604204274</v>
      </c>
      <c r="J1467" s="338">
        <v>56.356873604204274</v>
      </c>
      <c r="K1467" s="338">
        <v>56.356873604204274</v>
      </c>
      <c r="L1467" s="338">
        <v>56.356873604204274</v>
      </c>
      <c r="M1467" s="336"/>
    </row>
    <row r="1468" spans="1:13" hidden="1" outlineLevel="2" x14ac:dyDescent="0.35">
      <c r="A1468" s="335" t="s">
        <v>95</v>
      </c>
      <c r="B1468" s="331">
        <v>44244</v>
      </c>
      <c r="C1468" s="332" t="s">
        <v>373</v>
      </c>
      <c r="D1468" s="332" t="s">
        <v>2242</v>
      </c>
      <c r="E1468" s="332" t="s">
        <v>2240</v>
      </c>
      <c r="F1468" s="336">
        <v>85000</v>
      </c>
      <c r="G1468" s="330" t="s">
        <v>236</v>
      </c>
      <c r="H1468" s="329">
        <v>72.473973848946187</v>
      </c>
      <c r="I1468" s="329">
        <v>18.118493462236547</v>
      </c>
      <c r="J1468" s="329">
        <v>18.118493462236547</v>
      </c>
      <c r="K1468" s="329">
        <v>18.118493462236547</v>
      </c>
      <c r="L1468" s="329">
        <v>18.118493462236547</v>
      </c>
      <c r="M1468" s="336"/>
    </row>
    <row r="1469" spans="1:13" hidden="1" outlineLevel="2" x14ac:dyDescent="0.35">
      <c r="A1469" s="335" t="s">
        <v>95</v>
      </c>
      <c r="B1469" s="331">
        <v>44251</v>
      </c>
      <c r="C1469" s="332" t="s">
        <v>2243</v>
      </c>
      <c r="D1469" s="332" t="s">
        <v>2244</v>
      </c>
      <c r="E1469" s="332" t="s">
        <v>606</v>
      </c>
      <c r="F1469" s="336">
        <v>61220</v>
      </c>
      <c r="G1469" s="330" t="s">
        <v>236</v>
      </c>
      <c r="H1469" s="329">
        <v>52.198313870970424</v>
      </c>
      <c r="I1469" s="329">
        <v>13.049578467742606</v>
      </c>
      <c r="J1469" s="329">
        <v>13.049578467742606</v>
      </c>
      <c r="K1469" s="329">
        <v>13.049578467742606</v>
      </c>
      <c r="L1469" s="329">
        <v>13.049578467742606</v>
      </c>
      <c r="M1469" s="336"/>
    </row>
    <row r="1470" spans="1:13" hidden="1" outlineLevel="2" x14ac:dyDescent="0.35">
      <c r="A1470" s="335" t="s">
        <v>95</v>
      </c>
      <c r="B1470" s="331">
        <v>44592</v>
      </c>
      <c r="C1470" s="332" t="s">
        <v>668</v>
      </c>
      <c r="D1470" s="332" t="s">
        <v>2245</v>
      </c>
      <c r="E1470" s="332" t="s">
        <v>1642</v>
      </c>
      <c r="F1470" s="336">
        <v>339292</v>
      </c>
      <c r="G1470" s="330" t="s">
        <v>236</v>
      </c>
      <c r="H1470" s="329">
        <v>299.46495581841879</v>
      </c>
      <c r="I1470" s="338">
        <v>74.866238954604697</v>
      </c>
      <c r="J1470" s="338">
        <v>74.866238954604697</v>
      </c>
      <c r="K1470" s="338">
        <v>74.866238954604697</v>
      </c>
      <c r="L1470" s="338">
        <v>74.866238954604697</v>
      </c>
      <c r="M1470" s="336"/>
    </row>
    <row r="1471" spans="1:13" hidden="1" outlineLevel="2" x14ac:dyDescent="0.35">
      <c r="A1471" s="335" t="s">
        <v>95</v>
      </c>
      <c r="B1471" s="331">
        <v>44264</v>
      </c>
      <c r="C1471" s="332" t="s">
        <v>1647</v>
      </c>
      <c r="D1471" s="332" t="s">
        <v>2246</v>
      </c>
      <c r="E1471" s="332" t="s">
        <v>2247</v>
      </c>
      <c r="F1471" s="336">
        <v>293000</v>
      </c>
      <c r="G1471" s="330" t="s">
        <v>236</v>
      </c>
      <c r="H1471" s="329">
        <v>249.82205103224982</v>
      </c>
      <c r="I1471" s="329">
        <v>62.455512758062454</v>
      </c>
      <c r="J1471" s="329">
        <v>62.455512758062454</v>
      </c>
      <c r="K1471" s="329">
        <v>62.455512758062454</v>
      </c>
      <c r="L1471" s="329">
        <v>62.455512758062454</v>
      </c>
      <c r="M1471" s="336"/>
    </row>
    <row r="1472" spans="1:13" hidden="1" outlineLevel="2" x14ac:dyDescent="0.35">
      <c r="A1472" s="335" t="s">
        <v>95</v>
      </c>
      <c r="B1472" s="331">
        <v>44277</v>
      </c>
      <c r="C1472" s="332" t="s">
        <v>1907</v>
      </c>
      <c r="D1472" s="332" t="s">
        <v>2248</v>
      </c>
      <c r="E1472" s="332" t="s">
        <v>2249</v>
      </c>
      <c r="F1472" s="336">
        <v>189000</v>
      </c>
      <c r="G1472" s="330" t="s">
        <v>236</v>
      </c>
      <c r="H1472" s="329">
        <v>161.148012440598</v>
      </c>
      <c r="I1472" s="329">
        <v>40.287003110149499</v>
      </c>
      <c r="J1472" s="329">
        <v>40.287003110149499</v>
      </c>
      <c r="K1472" s="329">
        <v>40.287003110149499</v>
      </c>
      <c r="L1472" s="329">
        <v>40.287003110149499</v>
      </c>
      <c r="M1472" s="336"/>
    </row>
    <row r="1473" spans="1:13" hidden="1" outlineLevel="2" x14ac:dyDescent="0.35">
      <c r="A1473" s="335" t="s">
        <v>95</v>
      </c>
      <c r="B1473" s="331">
        <v>44277</v>
      </c>
      <c r="C1473" s="332" t="s">
        <v>836</v>
      </c>
      <c r="D1473" s="332" t="s">
        <v>2250</v>
      </c>
      <c r="E1473" s="332" t="s">
        <v>2251</v>
      </c>
      <c r="F1473" s="336">
        <v>137720</v>
      </c>
      <c r="G1473" s="330" t="s">
        <v>236</v>
      </c>
      <c r="H1473" s="329">
        <v>117.424890335022</v>
      </c>
      <c r="I1473" s="329">
        <v>29.3562225837555</v>
      </c>
      <c r="J1473" s="329">
        <v>29.3562225837555</v>
      </c>
      <c r="K1473" s="329">
        <v>29.3562225837555</v>
      </c>
      <c r="L1473" s="329">
        <v>29.3562225837555</v>
      </c>
      <c r="M1473" s="336"/>
    </row>
    <row r="1474" spans="1:13" hidden="1" outlineLevel="2" x14ac:dyDescent="0.35">
      <c r="A1474" s="335" t="s">
        <v>95</v>
      </c>
      <c r="B1474" s="331">
        <v>44277</v>
      </c>
      <c r="C1474" s="332" t="s">
        <v>2252</v>
      </c>
      <c r="D1474" s="332" t="s">
        <v>2253</v>
      </c>
      <c r="E1474" s="332" t="s">
        <v>2254</v>
      </c>
      <c r="F1474" s="336">
        <v>139280</v>
      </c>
      <c r="G1474" s="330" t="s">
        <v>236</v>
      </c>
      <c r="H1474" s="329">
        <v>118.75500091389677</v>
      </c>
      <c r="I1474" s="329">
        <v>29.688750228474191</v>
      </c>
      <c r="J1474" s="329">
        <v>29.688750228474191</v>
      </c>
      <c r="K1474" s="329">
        <v>29.688750228474191</v>
      </c>
      <c r="L1474" s="329">
        <v>29.688750228474191</v>
      </c>
      <c r="M1474" s="336"/>
    </row>
    <row r="1475" spans="1:13" hidden="1" outlineLevel="2" x14ac:dyDescent="0.35">
      <c r="A1475" s="335" t="s">
        <v>95</v>
      </c>
      <c r="B1475" s="331">
        <v>44308</v>
      </c>
      <c r="C1475" s="332" t="s">
        <v>1661</v>
      </c>
      <c r="D1475" s="332" t="s">
        <v>2255</v>
      </c>
      <c r="E1475" s="332" t="s">
        <v>934</v>
      </c>
      <c r="F1475" s="336">
        <v>105000</v>
      </c>
      <c r="G1475" s="330" t="s">
        <v>236</v>
      </c>
      <c r="H1475" s="329">
        <v>89.526673578110007</v>
      </c>
      <c r="I1475" s="329">
        <v>22.381668394527502</v>
      </c>
      <c r="J1475" s="329">
        <v>22.381668394527502</v>
      </c>
      <c r="K1475" s="329">
        <v>22.381668394527502</v>
      </c>
      <c r="L1475" s="329">
        <v>22.381668394527502</v>
      </c>
      <c r="M1475" s="336"/>
    </row>
    <row r="1476" spans="1:13" hidden="1" outlineLevel="2" x14ac:dyDescent="0.35">
      <c r="A1476" s="335" t="s">
        <v>95</v>
      </c>
      <c r="B1476" s="331">
        <v>44309</v>
      </c>
      <c r="C1476" s="332" t="s">
        <v>2256</v>
      </c>
      <c r="D1476" s="332" t="s">
        <v>2257</v>
      </c>
      <c r="E1476" s="332" t="s">
        <v>2258</v>
      </c>
      <c r="F1476" s="336">
        <v>139000</v>
      </c>
      <c r="G1476" s="330" t="s">
        <v>236</v>
      </c>
      <c r="H1476" s="329">
        <v>118.51626311768848</v>
      </c>
      <c r="I1476" s="329">
        <v>29.62906577942212</v>
      </c>
      <c r="J1476" s="329">
        <v>29.62906577942212</v>
      </c>
      <c r="K1476" s="329">
        <v>29.62906577942212</v>
      </c>
      <c r="L1476" s="329">
        <v>29.62906577942212</v>
      </c>
      <c r="M1476" s="336"/>
    </row>
    <row r="1477" spans="1:13" hidden="1" outlineLevel="2" x14ac:dyDescent="0.35">
      <c r="A1477" s="335" t="s">
        <v>95</v>
      </c>
      <c r="B1477" s="331">
        <v>43794</v>
      </c>
      <c r="C1477" s="332" t="s">
        <v>903</v>
      </c>
      <c r="D1477" s="332" t="s">
        <v>2259</v>
      </c>
      <c r="E1477" s="332" t="s">
        <v>749</v>
      </c>
      <c r="F1477" s="336">
        <v>152000</v>
      </c>
      <c r="G1477" s="330" t="s">
        <v>236</v>
      </c>
      <c r="H1477" s="329">
        <v>149.6512100481327</v>
      </c>
      <c r="I1477" s="338">
        <v>37.412802512033174</v>
      </c>
      <c r="J1477" s="338">
        <v>37.412802512033174</v>
      </c>
      <c r="K1477" s="338">
        <v>37.412802512033174</v>
      </c>
      <c r="L1477" s="338">
        <v>37.412802512033174</v>
      </c>
      <c r="M1477" s="336"/>
    </row>
    <row r="1478" spans="1:13" hidden="1" outlineLevel="2" x14ac:dyDescent="0.35">
      <c r="A1478" s="335" t="s">
        <v>95</v>
      </c>
      <c r="B1478" s="331">
        <v>44327</v>
      </c>
      <c r="C1478" s="332" t="s">
        <v>906</v>
      </c>
      <c r="D1478" s="332" t="s">
        <v>2260</v>
      </c>
      <c r="E1478" s="332" t="s">
        <v>2261</v>
      </c>
      <c r="F1478" s="336">
        <v>11910</v>
      </c>
      <c r="G1478" s="330" t="s">
        <v>236</v>
      </c>
      <c r="H1478" s="329">
        <v>10.154882688717048</v>
      </c>
      <c r="I1478" s="329">
        <v>2.5387206721792621</v>
      </c>
      <c r="J1478" s="329">
        <v>2.5387206721792621</v>
      </c>
      <c r="K1478" s="329">
        <v>2.5387206721792621</v>
      </c>
      <c r="L1478" s="329">
        <v>2.5387206721792621</v>
      </c>
      <c r="M1478" s="336"/>
    </row>
    <row r="1479" spans="1:13" hidden="1" outlineLevel="2" x14ac:dyDescent="0.35">
      <c r="A1479" s="335" t="s">
        <v>95</v>
      </c>
      <c r="B1479" s="331">
        <v>43801</v>
      </c>
      <c r="C1479" s="332" t="s">
        <v>2262</v>
      </c>
      <c r="D1479" s="332" t="s">
        <v>2263</v>
      </c>
      <c r="E1479" s="332" t="s">
        <v>2220</v>
      </c>
      <c r="F1479" s="336">
        <v>793000</v>
      </c>
      <c r="G1479" s="330" t="s">
        <v>236</v>
      </c>
      <c r="H1479" s="329">
        <v>780.74611558006075</v>
      </c>
      <c r="I1479" s="338">
        <v>195.18652889501519</v>
      </c>
      <c r="J1479" s="338">
        <v>195.18652889501519</v>
      </c>
      <c r="K1479" s="338">
        <v>195.18652889501519</v>
      </c>
      <c r="L1479" s="338">
        <v>195.18652889501519</v>
      </c>
      <c r="M1479" s="336"/>
    </row>
    <row r="1480" spans="1:13" hidden="1" outlineLevel="2" x14ac:dyDescent="0.35">
      <c r="A1480" s="335" t="s">
        <v>95</v>
      </c>
      <c r="B1480" s="331">
        <v>44327</v>
      </c>
      <c r="C1480" s="332" t="s">
        <v>783</v>
      </c>
      <c r="D1480" s="332" t="s">
        <v>2264</v>
      </c>
      <c r="E1480" s="332" t="s">
        <v>606</v>
      </c>
      <c r="F1480" s="336">
        <v>11910</v>
      </c>
      <c r="G1480" s="330" t="s">
        <v>236</v>
      </c>
      <c r="H1480" s="329">
        <v>10.154882688717048</v>
      </c>
      <c r="I1480" s="329">
        <v>2.5387206721792621</v>
      </c>
      <c r="J1480" s="329">
        <v>2.5387206721792621</v>
      </c>
      <c r="K1480" s="329">
        <v>2.5387206721792621</v>
      </c>
      <c r="L1480" s="329">
        <v>2.5387206721792621</v>
      </c>
      <c r="M1480" s="336"/>
    </row>
    <row r="1481" spans="1:13" hidden="1" outlineLevel="2" x14ac:dyDescent="0.35">
      <c r="A1481" s="335" t="s">
        <v>95</v>
      </c>
      <c r="B1481" s="331">
        <v>44330</v>
      </c>
      <c r="C1481" s="332" t="s">
        <v>739</v>
      </c>
      <c r="D1481" s="332" t="s">
        <v>2265</v>
      </c>
      <c r="E1481" s="332" t="s">
        <v>2266</v>
      </c>
      <c r="F1481" s="336">
        <v>152000</v>
      </c>
      <c r="G1481" s="330" t="s">
        <v>236</v>
      </c>
      <c r="H1481" s="329">
        <v>129.60051794164497</v>
      </c>
      <c r="I1481" s="329">
        <v>32.400129485411242</v>
      </c>
      <c r="J1481" s="329">
        <v>32.400129485411242</v>
      </c>
      <c r="K1481" s="329">
        <v>32.400129485411242</v>
      </c>
      <c r="L1481" s="329">
        <v>32.400129485411242</v>
      </c>
      <c r="M1481" s="336"/>
    </row>
    <row r="1482" spans="1:13" hidden="1" outlineLevel="2" x14ac:dyDescent="0.35">
      <c r="A1482" s="335" t="s">
        <v>95</v>
      </c>
      <c r="B1482" s="331">
        <v>44342</v>
      </c>
      <c r="C1482" s="332" t="s">
        <v>2267</v>
      </c>
      <c r="D1482" s="332" t="s">
        <v>2268</v>
      </c>
      <c r="E1482" s="332" t="s">
        <v>2249</v>
      </c>
      <c r="F1482" s="336">
        <v>105000</v>
      </c>
      <c r="G1482" s="330" t="s">
        <v>236</v>
      </c>
      <c r="H1482" s="329">
        <v>89.526673578110007</v>
      </c>
      <c r="I1482" s="329">
        <v>22.381668394527502</v>
      </c>
      <c r="J1482" s="329">
        <v>22.381668394527502</v>
      </c>
      <c r="K1482" s="329">
        <v>22.381668394527502</v>
      </c>
      <c r="L1482" s="329">
        <v>22.381668394527502</v>
      </c>
      <c r="M1482" s="336"/>
    </row>
    <row r="1483" spans="1:13" hidden="1" outlineLevel="2" x14ac:dyDescent="0.35">
      <c r="A1483" s="335" t="s">
        <v>95</v>
      </c>
      <c r="B1483" s="331">
        <v>44343</v>
      </c>
      <c r="C1483" s="332" t="s">
        <v>2269</v>
      </c>
      <c r="D1483" s="332" t="s">
        <v>2270</v>
      </c>
      <c r="E1483" s="332" t="s">
        <v>2271</v>
      </c>
      <c r="F1483" s="336">
        <v>58000</v>
      </c>
      <c r="G1483" s="330" t="s">
        <v>236</v>
      </c>
      <c r="H1483" s="329">
        <v>49.452829214575047</v>
      </c>
      <c r="I1483" s="329">
        <v>12.363207303643762</v>
      </c>
      <c r="J1483" s="329">
        <v>12.363207303643762</v>
      </c>
      <c r="K1483" s="329">
        <v>12.363207303643762</v>
      </c>
      <c r="L1483" s="329">
        <v>12.363207303643762</v>
      </c>
      <c r="M1483" s="336"/>
    </row>
    <row r="1484" spans="1:13" hidden="1" outlineLevel="2" x14ac:dyDescent="0.35">
      <c r="A1484" s="335" t="s">
        <v>95</v>
      </c>
      <c r="B1484" s="331">
        <v>44349</v>
      </c>
      <c r="C1484" s="332" t="s">
        <v>2272</v>
      </c>
      <c r="D1484" s="332" t="s">
        <v>2273</v>
      </c>
      <c r="E1484" s="332" t="s">
        <v>239</v>
      </c>
      <c r="F1484" s="336">
        <v>25000</v>
      </c>
      <c r="G1484" s="330" t="s">
        <v>236</v>
      </c>
      <c r="H1484" s="329">
        <v>21.315874661454764</v>
      </c>
      <c r="I1484" s="329">
        <v>5.328968665363691</v>
      </c>
      <c r="J1484" s="329">
        <v>5.328968665363691</v>
      </c>
      <c r="K1484" s="329">
        <v>5.328968665363691</v>
      </c>
      <c r="L1484" s="329">
        <v>5.328968665363691</v>
      </c>
      <c r="M1484" s="336"/>
    </row>
    <row r="1485" spans="1:13" hidden="1" outlineLevel="2" x14ac:dyDescent="0.35">
      <c r="A1485" s="335" t="s">
        <v>95</v>
      </c>
      <c r="B1485" s="331">
        <v>44410</v>
      </c>
      <c r="C1485" s="332" t="s">
        <v>1905</v>
      </c>
      <c r="D1485" s="332" t="s">
        <v>2274</v>
      </c>
      <c r="E1485" s="332" t="s">
        <v>330</v>
      </c>
      <c r="F1485" s="336">
        <v>594000</v>
      </c>
      <c r="G1485" s="330" t="s">
        <v>236</v>
      </c>
      <c r="H1485" s="329">
        <v>506.46518195616517</v>
      </c>
      <c r="I1485" s="329">
        <v>126.61629548904129</v>
      </c>
      <c r="J1485" s="329">
        <v>126.61629548904129</v>
      </c>
      <c r="K1485" s="329">
        <v>126.61629548904129</v>
      </c>
      <c r="L1485" s="329">
        <v>126.61629548904129</v>
      </c>
      <c r="M1485" s="336"/>
    </row>
    <row r="1486" spans="1:13" hidden="1" outlineLevel="2" x14ac:dyDescent="0.35">
      <c r="A1486" s="335" t="s">
        <v>95</v>
      </c>
      <c r="B1486" s="331">
        <v>44445</v>
      </c>
      <c r="C1486" s="332" t="s">
        <v>575</v>
      </c>
      <c r="D1486" s="332" t="s">
        <v>2275</v>
      </c>
      <c r="E1486" s="332" t="s">
        <v>2276</v>
      </c>
      <c r="F1486" s="336">
        <v>246000</v>
      </c>
      <c r="G1486" s="330" t="s">
        <v>236</v>
      </c>
      <c r="H1486" s="329">
        <v>209.74820666871486</v>
      </c>
      <c r="I1486" s="329">
        <v>52.437051667178714</v>
      </c>
      <c r="J1486" s="329">
        <v>52.437051667178714</v>
      </c>
      <c r="K1486" s="329">
        <v>52.437051667178714</v>
      </c>
      <c r="L1486" s="329">
        <v>52.437051667178714</v>
      </c>
      <c r="M1486" s="336"/>
    </row>
    <row r="1487" spans="1:13" hidden="1" outlineLevel="2" x14ac:dyDescent="0.35">
      <c r="A1487" s="335" t="s">
        <v>95</v>
      </c>
      <c r="B1487" s="331">
        <v>44449</v>
      </c>
      <c r="C1487" s="332" t="s">
        <v>2277</v>
      </c>
      <c r="D1487" s="332" t="s">
        <v>2278</v>
      </c>
      <c r="E1487" s="332" t="s">
        <v>1204</v>
      </c>
      <c r="F1487" s="336">
        <v>336000</v>
      </c>
      <c r="G1487" s="330" t="s">
        <v>236</v>
      </c>
      <c r="H1487" s="329">
        <v>286.48535544995201</v>
      </c>
      <c r="I1487" s="329">
        <v>71.621338862488003</v>
      </c>
      <c r="J1487" s="329">
        <v>71.621338862488003</v>
      </c>
      <c r="K1487" s="329">
        <v>71.621338862488003</v>
      </c>
      <c r="L1487" s="329">
        <v>71.621338862488003</v>
      </c>
      <c r="M1487" s="336"/>
    </row>
    <row r="1488" spans="1:13" hidden="1" outlineLevel="2" x14ac:dyDescent="0.35">
      <c r="A1488" s="335" t="s">
        <v>95</v>
      </c>
      <c r="B1488" s="331">
        <v>44449</v>
      </c>
      <c r="C1488" s="332" t="s">
        <v>2279</v>
      </c>
      <c r="D1488" s="332" t="s">
        <v>2280</v>
      </c>
      <c r="E1488" s="332" t="s">
        <v>1204</v>
      </c>
      <c r="F1488" s="336">
        <v>350000</v>
      </c>
      <c r="G1488" s="330" t="s">
        <v>236</v>
      </c>
      <c r="H1488" s="329">
        <v>298.42224526036665</v>
      </c>
      <c r="I1488" s="329">
        <v>74.605561315091663</v>
      </c>
      <c r="J1488" s="329">
        <v>74.605561315091663</v>
      </c>
      <c r="K1488" s="329">
        <v>74.605561315091663</v>
      </c>
      <c r="L1488" s="329">
        <v>74.605561315091663</v>
      </c>
      <c r="M1488" s="336"/>
    </row>
    <row r="1489" spans="1:13" hidden="1" outlineLevel="2" x14ac:dyDescent="0.35">
      <c r="A1489" s="335" t="s">
        <v>95</v>
      </c>
      <c r="B1489" s="331">
        <v>44460</v>
      </c>
      <c r="C1489" s="332" t="s">
        <v>2281</v>
      </c>
      <c r="D1489" s="332" t="s">
        <v>2282</v>
      </c>
      <c r="E1489" s="332" t="s">
        <v>2283</v>
      </c>
      <c r="F1489" s="336">
        <v>152000</v>
      </c>
      <c r="G1489" s="330" t="s">
        <v>236</v>
      </c>
      <c r="H1489" s="329">
        <v>129.60051794164497</v>
      </c>
      <c r="I1489" s="329">
        <v>32.400129485411242</v>
      </c>
      <c r="J1489" s="329">
        <v>32.400129485411242</v>
      </c>
      <c r="K1489" s="329">
        <v>32.400129485411242</v>
      </c>
      <c r="L1489" s="329">
        <v>32.400129485411242</v>
      </c>
      <c r="M1489" s="336"/>
    </row>
    <row r="1490" spans="1:13" hidden="1" outlineLevel="2" x14ac:dyDescent="0.35">
      <c r="A1490" s="335" t="s">
        <v>95</v>
      </c>
      <c r="B1490" s="331">
        <v>44505</v>
      </c>
      <c r="C1490" s="332" t="s">
        <v>772</v>
      </c>
      <c r="D1490" s="332" t="s">
        <v>2284</v>
      </c>
      <c r="E1490" s="332" t="s">
        <v>2285</v>
      </c>
      <c r="F1490" s="336">
        <v>152000</v>
      </c>
      <c r="G1490" s="330" t="s">
        <v>236</v>
      </c>
      <c r="H1490" s="329">
        <v>129.60051794164497</v>
      </c>
      <c r="I1490" s="329">
        <v>32.400129485411242</v>
      </c>
      <c r="J1490" s="329">
        <v>32.400129485411242</v>
      </c>
      <c r="K1490" s="329">
        <v>32.400129485411242</v>
      </c>
      <c r="L1490" s="329">
        <v>32.400129485411242</v>
      </c>
      <c r="M1490" s="336"/>
    </row>
    <row r="1491" spans="1:13" hidden="1" outlineLevel="2" x14ac:dyDescent="0.35">
      <c r="A1491" s="335" t="s">
        <v>95</v>
      </c>
      <c r="B1491" s="331">
        <v>44518</v>
      </c>
      <c r="C1491" s="332" t="s">
        <v>2286</v>
      </c>
      <c r="D1491" s="332" t="s">
        <v>2287</v>
      </c>
      <c r="E1491" s="332" t="s">
        <v>2288</v>
      </c>
      <c r="F1491" s="336">
        <v>303000</v>
      </c>
      <c r="G1491" s="330" t="s">
        <v>236</v>
      </c>
      <c r="H1491" s="329">
        <v>258.34840089683172</v>
      </c>
      <c r="I1491" s="329">
        <v>64.58710022420793</v>
      </c>
      <c r="J1491" s="329">
        <v>64.58710022420793</v>
      </c>
      <c r="K1491" s="329">
        <v>64.58710022420793</v>
      </c>
      <c r="L1491" s="329">
        <v>64.58710022420793</v>
      </c>
      <c r="M1491" s="336"/>
    </row>
    <row r="1492" spans="1:13" hidden="1" outlineLevel="2" x14ac:dyDescent="0.35">
      <c r="A1492" s="335" t="s">
        <v>95</v>
      </c>
      <c r="B1492" s="331">
        <v>44539</v>
      </c>
      <c r="C1492" s="332" t="s">
        <v>2289</v>
      </c>
      <c r="D1492" s="332" t="s">
        <v>2290</v>
      </c>
      <c r="E1492" s="332" t="s">
        <v>2288</v>
      </c>
      <c r="F1492" s="336">
        <v>152000</v>
      </c>
      <c r="G1492" s="330" t="s">
        <v>236</v>
      </c>
      <c r="H1492" s="329">
        <v>129.60051794164497</v>
      </c>
      <c r="I1492" s="329">
        <v>32.400129485411242</v>
      </c>
      <c r="J1492" s="329">
        <v>32.400129485411242</v>
      </c>
      <c r="K1492" s="329">
        <v>32.400129485411242</v>
      </c>
      <c r="L1492" s="329">
        <v>32.400129485411242</v>
      </c>
      <c r="M1492" s="336"/>
    </row>
    <row r="1493" spans="1:13" outlineLevel="1" collapsed="1" x14ac:dyDescent="0.35">
      <c r="A1493" s="337" t="s">
        <v>2291</v>
      </c>
      <c r="B1493" s="331"/>
      <c r="C1493" s="332"/>
      <c r="D1493" s="332"/>
      <c r="E1493" s="332"/>
      <c r="F1493" s="336"/>
      <c r="G1493" s="330"/>
      <c r="H1493" s="329">
        <f t="shared" ref="H1493:M1493" si="72">SUBTOTAL(9,H1455:H1492)</f>
        <v>6627.81200773402</v>
      </c>
      <c r="I1493" s="329">
        <f t="shared" si="72"/>
        <v>1656.953001933505</v>
      </c>
      <c r="J1493" s="329">
        <f t="shared" si="72"/>
        <v>1656.953001933505</v>
      </c>
      <c r="K1493" s="329">
        <f t="shared" si="72"/>
        <v>1656.953001933505</v>
      </c>
      <c r="L1493" s="329">
        <f t="shared" si="72"/>
        <v>1656.953001933505</v>
      </c>
      <c r="M1493" s="336">
        <f t="shared" si="72"/>
        <v>0</v>
      </c>
    </row>
    <row r="1494" spans="1:13" hidden="1" outlineLevel="2" x14ac:dyDescent="0.35">
      <c r="A1494" s="335" t="s">
        <v>93</v>
      </c>
      <c r="B1494" s="331">
        <v>43886</v>
      </c>
      <c r="C1494" s="332" t="s">
        <v>460</v>
      </c>
      <c r="D1494" s="332" t="s">
        <v>2292</v>
      </c>
      <c r="E1494" s="332" t="s">
        <v>701</v>
      </c>
      <c r="F1494" s="336">
        <v>28000</v>
      </c>
      <c r="G1494" s="330" t="s">
        <v>236</v>
      </c>
      <c r="H1494" s="329">
        <v>26.01368585388478</v>
      </c>
      <c r="I1494" s="338">
        <v>6.5034214634711951</v>
      </c>
      <c r="J1494" s="338">
        <v>6.5034214634711951</v>
      </c>
      <c r="K1494" s="338">
        <v>6.5034214634711951</v>
      </c>
      <c r="L1494" s="338">
        <v>6.5034214634711951</v>
      </c>
      <c r="M1494" s="336"/>
    </row>
    <row r="1495" spans="1:13" hidden="1" outlineLevel="2" x14ac:dyDescent="0.35">
      <c r="A1495" s="341" t="s">
        <v>93</v>
      </c>
      <c r="B1495" s="331">
        <v>43742</v>
      </c>
      <c r="C1495" s="332" t="s">
        <v>2293</v>
      </c>
      <c r="D1495" s="332" t="s">
        <v>2294</v>
      </c>
      <c r="E1495" s="332" t="s">
        <v>2295</v>
      </c>
      <c r="F1495" s="336">
        <v>1990000</v>
      </c>
      <c r="G1495" s="330" t="s">
        <v>236</v>
      </c>
      <c r="H1495" s="329">
        <v>1959.2493947091057</v>
      </c>
      <c r="I1495" s="338">
        <v>489.81234867727642</v>
      </c>
      <c r="J1495" s="338">
        <v>489.81234867727642</v>
      </c>
      <c r="K1495" s="338">
        <v>489.81234867727642</v>
      </c>
      <c r="L1495" s="338">
        <v>489.81234867727642</v>
      </c>
      <c r="M1495" s="336"/>
    </row>
    <row r="1496" spans="1:13" hidden="1" outlineLevel="2" x14ac:dyDescent="0.35">
      <c r="A1496" s="326" t="s">
        <v>93</v>
      </c>
      <c r="B1496" s="331">
        <v>43749</v>
      </c>
      <c r="C1496" s="332" t="s">
        <v>2296</v>
      </c>
      <c r="D1496" s="332" t="s">
        <v>2297</v>
      </c>
      <c r="E1496" s="332" t="s">
        <v>2298</v>
      </c>
      <c r="F1496" s="336">
        <v>475000</v>
      </c>
      <c r="G1496" s="330" t="s">
        <v>236</v>
      </c>
      <c r="H1496" s="329">
        <v>467.66003140041465</v>
      </c>
      <c r="I1496" s="338">
        <v>116.91500785010366</v>
      </c>
      <c r="J1496" s="338">
        <v>116.91500785010366</v>
      </c>
      <c r="K1496" s="338">
        <v>116.91500785010366</v>
      </c>
      <c r="L1496" s="338">
        <v>116.91500785010366</v>
      </c>
      <c r="M1496" s="336"/>
    </row>
    <row r="1497" spans="1:13" hidden="1" outlineLevel="2" x14ac:dyDescent="0.35">
      <c r="A1497" s="326" t="s">
        <v>93</v>
      </c>
      <c r="B1497" s="331">
        <v>43753</v>
      </c>
      <c r="C1497" s="332" t="s">
        <v>2299</v>
      </c>
      <c r="D1497" s="332" t="s">
        <v>2300</v>
      </c>
      <c r="E1497" s="332" t="s">
        <v>899</v>
      </c>
      <c r="F1497" s="336">
        <v>340000</v>
      </c>
      <c r="G1497" s="330" t="s">
        <v>236</v>
      </c>
      <c r="H1497" s="329">
        <v>334.74612773924417</v>
      </c>
      <c r="I1497" s="338">
        <v>83.686531934811043</v>
      </c>
      <c r="J1497" s="338">
        <v>83.686531934811043</v>
      </c>
      <c r="K1497" s="338">
        <v>83.686531934811043</v>
      </c>
      <c r="L1497" s="338">
        <v>83.686531934811043</v>
      </c>
      <c r="M1497" s="336"/>
    </row>
    <row r="1498" spans="1:13" hidden="1" outlineLevel="2" x14ac:dyDescent="0.35">
      <c r="A1498" s="339" t="s">
        <v>93</v>
      </c>
      <c r="B1498" s="331">
        <v>44011</v>
      </c>
      <c r="C1498" s="332" t="s">
        <v>2301</v>
      </c>
      <c r="D1498" s="332" t="s">
        <v>2302</v>
      </c>
      <c r="E1498" s="332" t="s">
        <v>701</v>
      </c>
      <c r="F1498" s="336">
        <v>258640</v>
      </c>
      <c r="G1498" s="330" t="s">
        <v>236</v>
      </c>
      <c r="H1498" s="329">
        <v>240.29213247317</v>
      </c>
      <c r="I1498" s="338">
        <v>60.0730331182925</v>
      </c>
      <c r="J1498" s="338">
        <v>60.0730331182925</v>
      </c>
      <c r="K1498" s="338">
        <v>60.0730331182925</v>
      </c>
      <c r="L1498" s="338">
        <v>60.0730331182925</v>
      </c>
      <c r="M1498" s="336"/>
    </row>
    <row r="1499" spans="1:13" hidden="1" outlineLevel="2" x14ac:dyDescent="0.35">
      <c r="A1499" s="339" t="s">
        <v>93</v>
      </c>
      <c r="B1499" s="331">
        <v>44067</v>
      </c>
      <c r="C1499" s="332" t="s">
        <v>1202</v>
      </c>
      <c r="D1499" s="332" t="s">
        <v>2303</v>
      </c>
      <c r="E1499" s="332" t="s">
        <v>701</v>
      </c>
      <c r="F1499" s="336">
        <v>700000</v>
      </c>
      <c r="G1499" s="330" t="s">
        <v>236</v>
      </c>
      <c r="H1499" s="329">
        <v>650.34214634711952</v>
      </c>
      <c r="I1499" s="338">
        <v>162.58553658677988</v>
      </c>
      <c r="J1499" s="338">
        <v>162.58553658677988</v>
      </c>
      <c r="K1499" s="338">
        <v>162.58553658677988</v>
      </c>
      <c r="L1499" s="338">
        <v>162.58553658677988</v>
      </c>
      <c r="M1499" s="336"/>
    </row>
    <row r="1500" spans="1:13" hidden="1" outlineLevel="2" x14ac:dyDescent="0.35">
      <c r="A1500" s="339" t="s">
        <v>93</v>
      </c>
      <c r="B1500" s="331">
        <v>43753</v>
      </c>
      <c r="C1500" s="332" t="s">
        <v>1645</v>
      </c>
      <c r="D1500" s="332" t="s">
        <v>2294</v>
      </c>
      <c r="E1500" s="332" t="s">
        <v>701</v>
      </c>
      <c r="F1500" s="336">
        <v>1072150</v>
      </c>
      <c r="G1500" s="330" t="s">
        <v>236</v>
      </c>
      <c r="H1500" s="329">
        <v>1055.5825319283254</v>
      </c>
      <c r="I1500" s="338">
        <v>263.89563298208134</v>
      </c>
      <c r="J1500" s="338">
        <v>263.89563298208134</v>
      </c>
      <c r="K1500" s="338">
        <v>263.89563298208134</v>
      </c>
      <c r="L1500" s="338">
        <v>263.89563298208134</v>
      </c>
      <c r="M1500" s="336"/>
    </row>
    <row r="1501" spans="1:13" hidden="1" outlineLevel="2" x14ac:dyDescent="0.35">
      <c r="A1501" s="339" t="s">
        <v>93</v>
      </c>
      <c r="B1501" s="331">
        <v>44589</v>
      </c>
      <c r="C1501" s="332" t="s">
        <v>1645</v>
      </c>
      <c r="D1501" s="332" t="s">
        <v>2304</v>
      </c>
      <c r="E1501" s="332" t="s">
        <v>2305</v>
      </c>
      <c r="F1501" s="336">
        <v>950500</v>
      </c>
      <c r="G1501" s="330" t="s">
        <v>236</v>
      </c>
      <c r="H1501" s="329">
        <v>838.92765082998437</v>
      </c>
      <c r="I1501" s="338">
        <v>209.73191270749609</v>
      </c>
      <c r="J1501" s="338">
        <v>209.73191270749609</v>
      </c>
      <c r="K1501" s="338">
        <v>209.73191270749609</v>
      </c>
      <c r="L1501" s="338">
        <v>209.73191270749609</v>
      </c>
      <c r="M1501" s="336"/>
    </row>
    <row r="1502" spans="1:13" hidden="1" outlineLevel="2" x14ac:dyDescent="0.35">
      <c r="A1502" s="339" t="s">
        <v>93</v>
      </c>
      <c r="B1502" s="331">
        <v>43738</v>
      </c>
      <c r="C1502" s="332" t="s">
        <v>1978</v>
      </c>
      <c r="D1502" s="332" t="s">
        <v>2306</v>
      </c>
      <c r="E1502" s="332" t="s">
        <v>701</v>
      </c>
      <c r="F1502" s="336">
        <v>136000</v>
      </c>
      <c r="G1502" s="330" t="s">
        <v>236</v>
      </c>
      <c r="H1502" s="329">
        <v>133.89845109569768</v>
      </c>
      <c r="I1502" s="338">
        <v>33.47461277392442</v>
      </c>
      <c r="J1502" s="338">
        <v>33.47461277392442</v>
      </c>
      <c r="K1502" s="338">
        <v>33.47461277392442</v>
      </c>
      <c r="L1502" s="338">
        <v>33.47461277392442</v>
      </c>
      <c r="M1502" s="336"/>
    </row>
    <row r="1503" spans="1:13" hidden="1" outlineLevel="2" x14ac:dyDescent="0.35">
      <c r="A1503" s="339" t="s">
        <v>93</v>
      </c>
      <c r="B1503" s="331">
        <v>44251</v>
      </c>
      <c r="C1503" s="332" t="s">
        <v>2307</v>
      </c>
      <c r="D1503" s="332" t="s">
        <v>2306</v>
      </c>
      <c r="E1503" s="332" t="s">
        <v>701</v>
      </c>
      <c r="F1503" s="336">
        <v>35000</v>
      </c>
      <c r="G1503" s="330" t="s">
        <v>236</v>
      </c>
      <c r="H1503" s="329">
        <v>29.842224526036667</v>
      </c>
      <c r="I1503" s="329">
        <v>7.4605561315091666</v>
      </c>
      <c r="J1503" s="329">
        <v>7.4605561315091666</v>
      </c>
      <c r="K1503" s="329">
        <v>7.4605561315091666</v>
      </c>
      <c r="L1503" s="329">
        <v>7.4605561315091666</v>
      </c>
      <c r="M1503" s="336"/>
    </row>
    <row r="1504" spans="1:13" hidden="1" outlineLevel="2" x14ac:dyDescent="0.35">
      <c r="A1504" s="339" t="s">
        <v>93</v>
      </c>
      <c r="B1504" s="331">
        <v>44274</v>
      </c>
      <c r="C1504" s="332" t="s">
        <v>1655</v>
      </c>
      <c r="D1504" s="332" t="s">
        <v>2308</v>
      </c>
      <c r="E1504" s="332" t="s">
        <v>701</v>
      </c>
      <c r="F1504" s="336">
        <v>240000</v>
      </c>
      <c r="G1504" s="330" t="s">
        <v>236</v>
      </c>
      <c r="H1504" s="329">
        <v>204.63239674996572</v>
      </c>
      <c r="I1504" s="329">
        <v>51.15809918749143</v>
      </c>
      <c r="J1504" s="329">
        <v>51.15809918749143</v>
      </c>
      <c r="K1504" s="329">
        <v>51.15809918749143</v>
      </c>
      <c r="L1504" s="329">
        <v>51.15809918749143</v>
      </c>
      <c r="M1504" s="336"/>
    </row>
    <row r="1505" spans="1:13" hidden="1" outlineLevel="2" x14ac:dyDescent="0.35">
      <c r="A1505" s="339" t="s">
        <v>93</v>
      </c>
      <c r="B1505" s="331">
        <v>43783</v>
      </c>
      <c r="C1505" s="332" t="s">
        <v>2309</v>
      </c>
      <c r="D1505" s="332" t="s">
        <v>2310</v>
      </c>
      <c r="E1505" s="332" t="s">
        <v>2311</v>
      </c>
      <c r="F1505" s="336">
        <v>150000</v>
      </c>
      <c r="G1505" s="330" t="s">
        <v>236</v>
      </c>
      <c r="H1505" s="329">
        <v>147.68211517907832</v>
      </c>
      <c r="I1505" s="338">
        <v>36.920528794769581</v>
      </c>
      <c r="J1505" s="338">
        <v>36.920528794769581</v>
      </c>
      <c r="K1505" s="338">
        <v>36.920528794769581</v>
      </c>
      <c r="L1505" s="338">
        <v>36.920528794769581</v>
      </c>
      <c r="M1505" s="336"/>
    </row>
    <row r="1506" spans="1:13" hidden="1" outlineLevel="2" x14ac:dyDescent="0.35">
      <c r="A1506" s="339" t="s">
        <v>93</v>
      </c>
      <c r="B1506" s="331">
        <v>44299</v>
      </c>
      <c r="C1506" s="332" t="s">
        <v>2312</v>
      </c>
      <c r="D1506" s="332" t="s">
        <v>2313</v>
      </c>
      <c r="E1506" s="332" t="s">
        <v>701</v>
      </c>
      <c r="F1506" s="336">
        <v>1446500</v>
      </c>
      <c r="G1506" s="330" t="s">
        <v>236</v>
      </c>
      <c r="H1506" s="329">
        <v>1233.3365079117725</v>
      </c>
      <c r="I1506" s="329">
        <v>308.33412697794313</v>
      </c>
      <c r="J1506" s="329">
        <v>308.33412697794313</v>
      </c>
      <c r="K1506" s="329">
        <v>308.33412697794313</v>
      </c>
      <c r="L1506" s="329">
        <v>308.33412697794313</v>
      </c>
      <c r="M1506" s="336"/>
    </row>
    <row r="1507" spans="1:13" hidden="1" outlineLevel="2" x14ac:dyDescent="0.35">
      <c r="A1507" s="339" t="s">
        <v>93</v>
      </c>
      <c r="B1507" s="331">
        <v>44510</v>
      </c>
      <c r="C1507" s="332" t="s">
        <v>2314</v>
      </c>
      <c r="D1507" s="332" t="s">
        <v>2315</v>
      </c>
      <c r="E1507" s="332" t="s">
        <v>1539</v>
      </c>
      <c r="F1507" s="336">
        <v>153400</v>
      </c>
      <c r="G1507" s="330" t="s">
        <v>236</v>
      </c>
      <c r="H1507" s="329">
        <v>130.79420692268641</v>
      </c>
      <c r="I1507" s="329">
        <v>32.698551730671603</v>
      </c>
      <c r="J1507" s="329">
        <v>32.698551730671603</v>
      </c>
      <c r="K1507" s="329">
        <v>32.698551730671603</v>
      </c>
      <c r="L1507" s="329">
        <v>32.698551730671603</v>
      </c>
      <c r="M1507" s="336"/>
    </row>
    <row r="1508" spans="1:13" hidden="1" outlineLevel="2" x14ac:dyDescent="0.35">
      <c r="A1508" s="339" t="s">
        <v>93</v>
      </c>
      <c r="B1508" s="331">
        <v>44552</v>
      </c>
      <c r="C1508" s="332" t="s">
        <v>2316</v>
      </c>
      <c r="D1508" s="332" t="s">
        <v>2317</v>
      </c>
      <c r="E1508" s="332" t="s">
        <v>1542</v>
      </c>
      <c r="F1508" s="336">
        <v>4720000</v>
      </c>
      <c r="G1508" s="330" t="s">
        <v>236</v>
      </c>
      <c r="H1508" s="329">
        <v>4024.437136082659</v>
      </c>
      <c r="I1508" s="329">
        <v>1006.1092840206647</v>
      </c>
      <c r="J1508" s="329">
        <v>1006.1092840206647</v>
      </c>
      <c r="K1508" s="329">
        <v>1006.1092840206647</v>
      </c>
      <c r="L1508" s="329">
        <v>1006.1092840206647</v>
      </c>
      <c r="M1508" s="336"/>
    </row>
    <row r="1509" spans="1:13" outlineLevel="1" collapsed="1" x14ac:dyDescent="0.35">
      <c r="A1509" s="343" t="s">
        <v>2318</v>
      </c>
      <c r="B1509" s="331"/>
      <c r="C1509" s="332"/>
      <c r="D1509" s="332"/>
      <c r="E1509" s="332"/>
      <c r="F1509" s="336"/>
      <c r="G1509" s="330"/>
      <c r="H1509" s="329">
        <f t="shared" ref="H1509:M1509" si="73">SUBTOTAL(9,H1494:H1508)</f>
        <v>11477.436739749144</v>
      </c>
      <c r="I1509" s="329">
        <f t="shared" si="73"/>
        <v>2869.359184937286</v>
      </c>
      <c r="J1509" s="329">
        <f t="shared" si="73"/>
        <v>2869.359184937286</v>
      </c>
      <c r="K1509" s="329">
        <f t="shared" si="73"/>
        <v>2869.359184937286</v>
      </c>
      <c r="L1509" s="329">
        <f t="shared" si="73"/>
        <v>2869.359184937286</v>
      </c>
      <c r="M1509" s="336">
        <f t="shared" si="73"/>
        <v>0</v>
      </c>
    </row>
    <row r="1510" spans="1:13" hidden="1" outlineLevel="2" x14ac:dyDescent="0.35">
      <c r="A1510" s="339" t="s">
        <v>168</v>
      </c>
      <c r="B1510" s="331">
        <v>43809</v>
      </c>
      <c r="C1510" s="332" t="s">
        <v>2319</v>
      </c>
      <c r="D1510" s="332" t="s">
        <v>2320</v>
      </c>
      <c r="E1510" s="332" t="s">
        <v>701</v>
      </c>
      <c r="F1510" s="336">
        <v>3133490</v>
      </c>
      <c r="G1510" s="330" t="s">
        <v>236</v>
      </c>
      <c r="H1510" s="329">
        <v>3085.069540616601</v>
      </c>
      <c r="I1510" s="338"/>
      <c r="J1510" s="338"/>
      <c r="K1510" s="338"/>
      <c r="L1510" s="338">
        <v>3085.069540616601</v>
      </c>
      <c r="M1510" s="336"/>
    </row>
    <row r="1511" spans="1:13" hidden="1" outlineLevel="2" x14ac:dyDescent="0.35">
      <c r="A1511" s="339" t="s">
        <v>168</v>
      </c>
      <c r="B1511" s="331">
        <v>43790</v>
      </c>
      <c r="C1511" s="332" t="s">
        <v>802</v>
      </c>
      <c r="D1511" s="332" t="s">
        <v>2321</v>
      </c>
      <c r="E1511" s="332" t="s">
        <v>2322</v>
      </c>
      <c r="F1511" s="336">
        <v>335</v>
      </c>
      <c r="G1511" s="330" t="s">
        <v>805</v>
      </c>
      <c r="H1511" s="329">
        <v>299.10714285714283</v>
      </c>
      <c r="I1511" s="338"/>
      <c r="J1511" s="338"/>
      <c r="K1511" s="338"/>
      <c r="L1511" s="338">
        <f>H1511</f>
        <v>299.10714285714283</v>
      </c>
      <c r="M1511" s="332"/>
    </row>
    <row r="1512" spans="1:13" outlineLevel="1" collapsed="1" x14ac:dyDescent="0.35">
      <c r="A1512" s="343" t="s">
        <v>2323</v>
      </c>
      <c r="B1512" s="331"/>
      <c r="C1512" s="332"/>
      <c r="D1512" s="332"/>
      <c r="E1512" s="332"/>
      <c r="F1512" s="336"/>
      <c r="G1512" s="330"/>
      <c r="H1512" s="329">
        <f t="shared" ref="H1512:M1512" si="74">SUBTOTAL(9,H1510:H1511)</f>
        <v>3384.1766834737437</v>
      </c>
      <c r="I1512" s="338">
        <f t="shared" si="74"/>
        <v>0</v>
      </c>
      <c r="J1512" s="338">
        <f t="shared" si="74"/>
        <v>0</v>
      </c>
      <c r="K1512" s="338">
        <f t="shared" si="74"/>
        <v>0</v>
      </c>
      <c r="L1512" s="338">
        <f t="shared" si="74"/>
        <v>3384.1766834737437</v>
      </c>
      <c r="M1512" s="332">
        <f t="shared" si="74"/>
        <v>0</v>
      </c>
    </row>
    <row r="1513" spans="1:13" hidden="1" outlineLevel="2" x14ac:dyDescent="0.35">
      <c r="A1513" s="339" t="s">
        <v>117</v>
      </c>
      <c r="B1513" s="331">
        <v>44517</v>
      </c>
      <c r="C1513" s="332" t="s">
        <v>2324</v>
      </c>
      <c r="D1513" s="332" t="s">
        <v>2325</v>
      </c>
      <c r="E1513" s="332" t="s">
        <v>2326</v>
      </c>
      <c r="F1513" s="336">
        <v>162000</v>
      </c>
      <c r="G1513" s="330" t="s">
        <v>236</v>
      </c>
      <c r="H1513" s="329">
        <v>138.12686780622687</v>
      </c>
      <c r="I1513" s="338">
        <v>138.12686780622687</v>
      </c>
      <c r="J1513" s="338"/>
      <c r="K1513" s="338"/>
      <c r="L1513" s="338"/>
      <c r="M1513" s="336"/>
    </row>
    <row r="1514" spans="1:13" hidden="1" outlineLevel="2" x14ac:dyDescent="0.35">
      <c r="A1514" s="339" t="s">
        <v>117</v>
      </c>
      <c r="B1514" s="331">
        <v>44517</v>
      </c>
      <c r="C1514" s="332" t="s">
        <v>1728</v>
      </c>
      <c r="D1514" s="332" t="s">
        <v>2325</v>
      </c>
      <c r="E1514" s="332" t="s">
        <v>2326</v>
      </c>
      <c r="F1514" s="336">
        <v>661360</v>
      </c>
      <c r="G1514" s="330" t="s">
        <v>236</v>
      </c>
      <c r="H1514" s="329">
        <v>563.8986746439889</v>
      </c>
      <c r="I1514" s="338">
        <v>563.8986746439889</v>
      </c>
      <c r="J1514" s="338"/>
      <c r="K1514" s="338"/>
      <c r="L1514" s="338"/>
      <c r="M1514" s="336"/>
    </row>
    <row r="1515" spans="1:13" hidden="1" outlineLevel="2" x14ac:dyDescent="0.35">
      <c r="A1515" s="339" t="s">
        <v>117</v>
      </c>
      <c r="B1515" s="331">
        <v>44517</v>
      </c>
      <c r="C1515" s="332" t="s">
        <v>2327</v>
      </c>
      <c r="D1515" s="332" t="s">
        <v>2328</v>
      </c>
      <c r="E1515" s="332" t="s">
        <v>285</v>
      </c>
      <c r="F1515" s="336">
        <v>18000</v>
      </c>
      <c r="G1515" s="330" t="s">
        <v>236</v>
      </c>
      <c r="H1515" s="329">
        <v>15.347429756247429</v>
      </c>
      <c r="I1515" s="338">
        <v>15.347429756247429</v>
      </c>
      <c r="J1515" s="338"/>
      <c r="K1515" s="338"/>
      <c r="L1515" s="338"/>
      <c r="M1515" s="336"/>
    </row>
    <row r="1516" spans="1:13" hidden="1" outlineLevel="2" x14ac:dyDescent="0.35">
      <c r="A1516" s="339" t="s">
        <v>117</v>
      </c>
      <c r="B1516" s="331">
        <v>44525</v>
      </c>
      <c r="C1516" s="332" t="s">
        <v>1181</v>
      </c>
      <c r="D1516" s="332" t="s">
        <v>2329</v>
      </c>
      <c r="E1516" s="332" t="s">
        <v>701</v>
      </c>
      <c r="F1516" s="336">
        <v>565500</v>
      </c>
      <c r="G1516" s="330" t="s">
        <v>236</v>
      </c>
      <c r="H1516" s="329">
        <v>482.16508484210675</v>
      </c>
      <c r="I1516" s="338">
        <v>482.16508484210675</v>
      </c>
      <c r="J1516" s="338"/>
      <c r="K1516" s="338"/>
      <c r="L1516" s="338"/>
      <c r="M1516" s="336"/>
    </row>
    <row r="1517" spans="1:13" hidden="1" outlineLevel="2" x14ac:dyDescent="0.35">
      <c r="A1517" s="339" t="s">
        <v>117</v>
      </c>
      <c r="B1517" s="331">
        <v>44525</v>
      </c>
      <c r="C1517" s="332" t="s">
        <v>1187</v>
      </c>
      <c r="D1517" s="332" t="s">
        <v>2330</v>
      </c>
      <c r="E1517" s="332" t="s">
        <v>701</v>
      </c>
      <c r="F1517" s="336">
        <v>4110294</v>
      </c>
      <c r="G1517" s="330" t="s">
        <v>236</v>
      </c>
      <c r="H1517" s="329">
        <v>3504.5804690291816</v>
      </c>
      <c r="I1517" s="338">
        <v>3504.5804690291816</v>
      </c>
      <c r="J1517" s="338"/>
      <c r="K1517" s="338"/>
      <c r="L1517" s="338"/>
      <c r="M1517" s="336"/>
    </row>
    <row r="1518" spans="1:13" outlineLevel="1" collapsed="1" x14ac:dyDescent="0.35">
      <c r="A1518" s="343" t="s">
        <v>2331</v>
      </c>
      <c r="B1518" s="331"/>
      <c r="C1518" s="332"/>
      <c r="D1518" s="332"/>
      <c r="E1518" s="332"/>
      <c r="F1518" s="336"/>
      <c r="G1518" s="330"/>
      <c r="H1518" s="329">
        <f t="shared" ref="H1518:M1518" si="75">SUBTOTAL(9,H1513:H1517)</f>
        <v>4704.1185260777511</v>
      </c>
      <c r="I1518" s="338">
        <f t="shared" si="75"/>
        <v>4704.1185260777511</v>
      </c>
      <c r="J1518" s="338">
        <f t="shared" si="75"/>
        <v>0</v>
      </c>
      <c r="K1518" s="338">
        <f t="shared" si="75"/>
        <v>0</v>
      </c>
      <c r="L1518" s="338">
        <f t="shared" si="75"/>
        <v>0</v>
      </c>
      <c r="M1518" s="336">
        <f t="shared" si="75"/>
        <v>0</v>
      </c>
    </row>
    <row r="1519" spans="1:13" hidden="1" outlineLevel="2" x14ac:dyDescent="0.35">
      <c r="A1519" s="339" t="s">
        <v>153</v>
      </c>
      <c r="B1519" s="331">
        <v>44113</v>
      </c>
      <c r="C1519" s="332" t="s">
        <v>2205</v>
      </c>
      <c r="D1519" s="332" t="s">
        <v>2332</v>
      </c>
      <c r="E1519" s="332" t="s">
        <v>2333</v>
      </c>
      <c r="F1519" s="336">
        <v>300000</v>
      </c>
      <c r="G1519" s="330" t="s">
        <v>236</v>
      </c>
      <c r="H1519" s="329">
        <v>278.7180627201941</v>
      </c>
      <c r="I1519" s="338"/>
      <c r="J1519" s="338"/>
      <c r="K1519" s="338">
        <v>278.7180627201941</v>
      </c>
      <c r="L1519" s="338"/>
      <c r="M1519" s="336"/>
    </row>
    <row r="1520" spans="1:13" hidden="1" outlineLevel="2" x14ac:dyDescent="0.35">
      <c r="A1520" s="339" t="s">
        <v>153</v>
      </c>
      <c r="B1520" s="331">
        <v>44113</v>
      </c>
      <c r="C1520" s="332" t="s">
        <v>2334</v>
      </c>
      <c r="D1520" s="332" t="s">
        <v>2335</v>
      </c>
      <c r="E1520" s="332" t="s">
        <v>2333</v>
      </c>
      <c r="F1520" s="336">
        <v>405000</v>
      </c>
      <c r="G1520" s="330" t="s">
        <v>236</v>
      </c>
      <c r="H1520" s="329">
        <v>376.26938467226199</v>
      </c>
      <c r="I1520" s="338"/>
      <c r="J1520" s="338"/>
      <c r="K1520" s="338">
        <v>376.26938467226199</v>
      </c>
      <c r="L1520" s="338"/>
      <c r="M1520" s="336"/>
    </row>
    <row r="1521" spans="1:13" hidden="1" outlineLevel="2" x14ac:dyDescent="0.35">
      <c r="A1521" s="339" t="s">
        <v>153</v>
      </c>
      <c r="B1521" s="331">
        <v>44118</v>
      </c>
      <c r="C1521" s="332" t="s">
        <v>2336</v>
      </c>
      <c r="D1521" s="332" t="s">
        <v>2337</v>
      </c>
      <c r="E1521" s="332" t="s">
        <v>2338</v>
      </c>
      <c r="F1521" s="336">
        <v>500000</v>
      </c>
      <c r="G1521" s="330" t="s">
        <v>236</v>
      </c>
      <c r="H1521" s="329">
        <v>464.53010453365681</v>
      </c>
      <c r="I1521" s="338"/>
      <c r="J1521" s="338"/>
      <c r="K1521" s="338">
        <v>464.53010453365681</v>
      </c>
      <c r="L1521" s="338"/>
      <c r="M1521" s="336"/>
    </row>
    <row r="1522" spans="1:13" hidden="1" outlineLevel="2" x14ac:dyDescent="0.35">
      <c r="A1522" s="339" t="s">
        <v>153</v>
      </c>
      <c r="B1522" s="331">
        <v>44119</v>
      </c>
      <c r="C1522" s="332" t="s">
        <v>2339</v>
      </c>
      <c r="D1522" s="332" t="s">
        <v>2340</v>
      </c>
      <c r="E1522" s="332" t="s">
        <v>964</v>
      </c>
      <c r="F1522" s="336">
        <v>354000</v>
      </c>
      <c r="G1522" s="330" t="s">
        <v>236</v>
      </c>
      <c r="H1522" s="329">
        <v>328.88731400982903</v>
      </c>
      <c r="I1522" s="338"/>
      <c r="J1522" s="338"/>
      <c r="K1522" s="338">
        <v>328.88731400982903</v>
      </c>
      <c r="L1522" s="338"/>
      <c r="M1522" s="336"/>
    </row>
    <row r="1523" spans="1:13" hidden="1" outlineLevel="2" x14ac:dyDescent="0.35">
      <c r="A1523" s="339" t="s">
        <v>153</v>
      </c>
      <c r="B1523" s="331">
        <v>44118</v>
      </c>
      <c r="C1523" s="332" t="s">
        <v>2341</v>
      </c>
      <c r="D1523" s="332" t="s">
        <v>2342</v>
      </c>
      <c r="E1523" s="332" t="s">
        <v>1173</v>
      </c>
      <c r="F1523" s="336">
        <v>281000</v>
      </c>
      <c r="G1523" s="330" t="s">
        <v>236</v>
      </c>
      <c r="H1523" s="329">
        <v>261.06591874791513</v>
      </c>
      <c r="I1523" s="338"/>
      <c r="J1523" s="338"/>
      <c r="K1523" s="338">
        <v>261.06591874791513</v>
      </c>
      <c r="L1523" s="338"/>
      <c r="M1523" s="336"/>
    </row>
    <row r="1524" spans="1:13" hidden="1" outlineLevel="2" x14ac:dyDescent="0.35">
      <c r="A1524" s="339" t="s">
        <v>153</v>
      </c>
      <c r="B1524" s="344">
        <v>44145</v>
      </c>
      <c r="C1524" s="345" t="s">
        <v>2289</v>
      </c>
      <c r="D1524" s="345" t="s">
        <v>2343</v>
      </c>
      <c r="E1524" s="345" t="s">
        <v>623</v>
      </c>
      <c r="F1524" s="346">
        <v>76000</v>
      </c>
      <c r="G1524" s="330" t="s">
        <v>236</v>
      </c>
      <c r="H1524" s="329">
        <v>70.608575889115841</v>
      </c>
      <c r="I1524" s="338"/>
      <c r="J1524" s="338"/>
      <c r="K1524" s="338">
        <v>70.608575889115841</v>
      </c>
      <c r="L1524" s="338"/>
      <c r="M1524" s="346"/>
    </row>
    <row r="1525" spans="1:13" hidden="1" outlineLevel="2" x14ac:dyDescent="0.35">
      <c r="A1525" s="339" t="s">
        <v>153</v>
      </c>
      <c r="B1525" s="331">
        <v>44123</v>
      </c>
      <c r="C1525" s="332" t="s">
        <v>1540</v>
      </c>
      <c r="D1525" s="332" t="s">
        <v>2344</v>
      </c>
      <c r="E1525" s="332" t="s">
        <v>2345</v>
      </c>
      <c r="F1525" s="336">
        <v>400000</v>
      </c>
      <c r="G1525" s="330" t="s">
        <v>236</v>
      </c>
      <c r="H1525" s="329">
        <v>371.62408362692543</v>
      </c>
      <c r="I1525" s="338"/>
      <c r="J1525" s="338"/>
      <c r="K1525" s="338">
        <v>371.62408362692543</v>
      </c>
      <c r="L1525" s="338"/>
      <c r="M1525" s="336"/>
    </row>
    <row r="1526" spans="1:13" hidden="1" outlineLevel="2" x14ac:dyDescent="0.35">
      <c r="A1526" s="339" t="s">
        <v>153</v>
      </c>
      <c r="B1526" s="331">
        <v>44123</v>
      </c>
      <c r="C1526" s="332" t="s">
        <v>1128</v>
      </c>
      <c r="D1526" s="332" t="s">
        <v>1129</v>
      </c>
      <c r="E1526" s="332" t="s">
        <v>472</v>
      </c>
      <c r="F1526" s="336">
        <v>555888</v>
      </c>
      <c r="G1526" s="330" t="s">
        <v>236</v>
      </c>
      <c r="H1526" s="329">
        <v>516.45342149801081</v>
      </c>
      <c r="I1526" s="338"/>
      <c r="J1526" s="338">
        <v>516.45342149801081</v>
      </c>
      <c r="K1526" s="338"/>
      <c r="L1526" s="338"/>
      <c r="M1526" s="336"/>
    </row>
    <row r="1527" spans="1:13" hidden="1" outlineLevel="2" x14ac:dyDescent="0.35">
      <c r="A1527" s="339" t="s">
        <v>153</v>
      </c>
      <c r="B1527" s="331">
        <v>44112</v>
      </c>
      <c r="C1527" s="332" t="s">
        <v>1701</v>
      </c>
      <c r="D1527" s="332" t="s">
        <v>2346</v>
      </c>
      <c r="E1527" s="332" t="s">
        <v>1173</v>
      </c>
      <c r="F1527" s="336">
        <v>560000</v>
      </c>
      <c r="G1527" s="330" t="s">
        <v>236</v>
      </c>
      <c r="H1527" s="329">
        <v>520.27371707769566</v>
      </c>
      <c r="I1527" s="338"/>
      <c r="J1527" s="338"/>
      <c r="K1527" s="338">
        <v>520.27371707769566</v>
      </c>
      <c r="L1527" s="338"/>
      <c r="M1527" s="336"/>
    </row>
    <row r="1528" spans="1:13" hidden="1" outlineLevel="2" x14ac:dyDescent="0.35">
      <c r="A1528" s="339" t="s">
        <v>153</v>
      </c>
      <c r="B1528" s="331">
        <v>44116</v>
      </c>
      <c r="C1528" s="332" t="s">
        <v>1703</v>
      </c>
      <c r="D1528" s="332" t="s">
        <v>2347</v>
      </c>
      <c r="E1528" s="332" t="s">
        <v>1173</v>
      </c>
      <c r="F1528" s="336">
        <v>180000</v>
      </c>
      <c r="G1528" s="330" t="s">
        <v>236</v>
      </c>
      <c r="H1528" s="329">
        <v>167.23083763211645</v>
      </c>
      <c r="I1528" s="338"/>
      <c r="J1528" s="338"/>
      <c r="K1528" s="338">
        <v>167.23083763211645</v>
      </c>
      <c r="L1528" s="338"/>
      <c r="M1528" s="336"/>
    </row>
    <row r="1529" spans="1:13" hidden="1" outlineLevel="2" x14ac:dyDescent="0.35">
      <c r="A1529" s="339" t="s">
        <v>153</v>
      </c>
      <c r="B1529" s="331">
        <v>44112</v>
      </c>
      <c r="C1529" s="332" t="s">
        <v>923</v>
      </c>
      <c r="D1529" s="332" t="s">
        <v>2348</v>
      </c>
      <c r="E1529" s="332" t="s">
        <v>1173</v>
      </c>
      <c r="F1529" s="336">
        <v>750000</v>
      </c>
      <c r="G1529" s="330" t="s">
        <v>236</v>
      </c>
      <c r="H1529" s="329">
        <v>696.79515680048519</v>
      </c>
      <c r="I1529" s="338"/>
      <c r="J1529" s="338"/>
      <c r="K1529" s="338">
        <v>696.79515680048519</v>
      </c>
      <c r="L1529" s="338"/>
      <c r="M1529" s="336"/>
    </row>
    <row r="1530" spans="1:13" hidden="1" outlineLevel="2" x14ac:dyDescent="0.35">
      <c r="A1530" s="339" t="s">
        <v>153</v>
      </c>
      <c r="B1530" s="331">
        <v>44112</v>
      </c>
      <c r="C1530" s="332" t="s">
        <v>2349</v>
      </c>
      <c r="D1530" s="332" t="s">
        <v>2350</v>
      </c>
      <c r="E1530" s="332" t="s">
        <v>2351</v>
      </c>
      <c r="F1530" s="336">
        <v>129000</v>
      </c>
      <c r="G1530" s="330" t="s">
        <v>236</v>
      </c>
      <c r="H1530" s="329">
        <v>119.84876696968345</v>
      </c>
      <c r="I1530" s="338"/>
      <c r="J1530" s="338"/>
      <c r="K1530" s="338">
        <v>119.84876696968345</v>
      </c>
      <c r="L1530" s="338"/>
      <c r="M1530" s="336"/>
    </row>
    <row r="1531" spans="1:13" hidden="1" outlineLevel="2" x14ac:dyDescent="0.35">
      <c r="A1531" s="339" t="s">
        <v>153</v>
      </c>
      <c r="B1531" s="331">
        <v>44112</v>
      </c>
      <c r="C1531" s="332" t="s">
        <v>925</v>
      </c>
      <c r="D1531" s="332" t="s">
        <v>2352</v>
      </c>
      <c r="E1531" s="332" t="s">
        <v>758</v>
      </c>
      <c r="F1531" s="336">
        <v>117000</v>
      </c>
      <c r="G1531" s="330" t="s">
        <v>236</v>
      </c>
      <c r="H1531" s="329">
        <v>108.70004446087569</v>
      </c>
      <c r="I1531" s="338"/>
      <c r="J1531" s="338"/>
      <c r="K1531" s="338">
        <v>108.70004446087569</v>
      </c>
      <c r="L1531" s="338"/>
      <c r="M1531" s="336"/>
    </row>
    <row r="1532" spans="1:13" hidden="1" outlineLevel="2" x14ac:dyDescent="0.35">
      <c r="A1532" s="339" t="s">
        <v>153</v>
      </c>
      <c r="B1532" s="331">
        <v>44491</v>
      </c>
      <c r="C1532" s="332" t="s">
        <v>2353</v>
      </c>
      <c r="D1532" s="332" t="s">
        <v>2354</v>
      </c>
      <c r="E1532" s="332" t="s">
        <v>362</v>
      </c>
      <c r="F1532" s="336">
        <v>360000</v>
      </c>
      <c r="G1532" s="330" t="s">
        <v>236</v>
      </c>
      <c r="H1532" s="329">
        <v>306.94859512494855</v>
      </c>
      <c r="I1532" s="338"/>
      <c r="J1532" s="338"/>
      <c r="K1532" s="338">
        <v>306.94859512494855</v>
      </c>
      <c r="L1532" s="338"/>
      <c r="M1532" s="336"/>
    </row>
    <row r="1533" spans="1:13" hidden="1" outlineLevel="2" x14ac:dyDescent="0.35">
      <c r="A1533" s="339" t="s">
        <v>153</v>
      </c>
      <c r="B1533" s="331">
        <v>44491</v>
      </c>
      <c r="C1533" s="332" t="s">
        <v>2336</v>
      </c>
      <c r="D1533" s="332" t="s">
        <v>2355</v>
      </c>
      <c r="E1533" s="332" t="s">
        <v>436</v>
      </c>
      <c r="F1533" s="336">
        <v>302000</v>
      </c>
      <c r="G1533" s="330" t="s">
        <v>236</v>
      </c>
      <c r="H1533" s="329">
        <v>257.49576591037351</v>
      </c>
      <c r="I1533" s="338"/>
      <c r="J1533" s="338"/>
      <c r="K1533" s="338">
        <v>257.49576591037351</v>
      </c>
      <c r="L1533" s="338"/>
      <c r="M1533" s="336"/>
    </row>
    <row r="1534" spans="1:13" hidden="1" outlineLevel="2" x14ac:dyDescent="0.35">
      <c r="A1534" s="339" t="s">
        <v>153</v>
      </c>
      <c r="B1534" s="331">
        <v>44494</v>
      </c>
      <c r="C1534" s="332" t="s">
        <v>2334</v>
      </c>
      <c r="D1534" s="332" t="s">
        <v>2356</v>
      </c>
      <c r="E1534" s="332" t="s">
        <v>2357</v>
      </c>
      <c r="F1534" s="336">
        <v>149500</v>
      </c>
      <c r="G1534" s="330" t="s">
        <v>236</v>
      </c>
      <c r="H1534" s="329">
        <v>127.46893047549948</v>
      </c>
      <c r="I1534" s="338"/>
      <c r="J1534" s="338"/>
      <c r="K1534" s="338">
        <v>127.46893047549948</v>
      </c>
      <c r="L1534" s="338"/>
      <c r="M1534" s="336"/>
    </row>
    <row r="1535" spans="1:13" hidden="1" outlineLevel="2" x14ac:dyDescent="0.35">
      <c r="A1535" s="339" t="s">
        <v>153</v>
      </c>
      <c r="B1535" s="331">
        <v>44491</v>
      </c>
      <c r="C1535" s="332" t="s">
        <v>446</v>
      </c>
      <c r="D1535" s="332" t="s">
        <v>2358</v>
      </c>
      <c r="E1535" s="332" t="s">
        <v>2359</v>
      </c>
      <c r="F1535" s="336">
        <v>610000</v>
      </c>
      <c r="G1535" s="330" t="s">
        <v>236</v>
      </c>
      <c r="H1535" s="329">
        <v>520.10734173949618</v>
      </c>
      <c r="I1535" s="338"/>
      <c r="J1535" s="338"/>
      <c r="K1535" s="338">
        <v>520.10734173949618</v>
      </c>
      <c r="L1535" s="338"/>
      <c r="M1535" s="336"/>
    </row>
    <row r="1536" spans="1:13" hidden="1" outlineLevel="2" x14ac:dyDescent="0.35">
      <c r="A1536" s="339" t="s">
        <v>153</v>
      </c>
      <c r="B1536" s="331">
        <v>44491</v>
      </c>
      <c r="C1536" s="332" t="s">
        <v>2360</v>
      </c>
      <c r="D1536" s="332" t="s">
        <v>2361</v>
      </c>
      <c r="E1536" s="332" t="s">
        <v>623</v>
      </c>
      <c r="F1536" s="336">
        <v>76000</v>
      </c>
      <c r="G1536" s="330" t="s">
        <v>236</v>
      </c>
      <c r="H1536" s="329">
        <v>64.800258970822483</v>
      </c>
      <c r="I1536" s="338"/>
      <c r="J1536" s="338"/>
      <c r="K1536" s="338">
        <v>64.800258970822483</v>
      </c>
      <c r="L1536" s="338"/>
      <c r="M1536" s="336"/>
    </row>
    <row r="1537" spans="1:13" hidden="1" outlineLevel="2" x14ac:dyDescent="0.35">
      <c r="A1537" s="339" t="s">
        <v>153</v>
      </c>
      <c r="B1537" s="331">
        <v>44490</v>
      </c>
      <c r="C1537" s="332" t="s">
        <v>2362</v>
      </c>
      <c r="D1537" s="332" t="s">
        <v>2363</v>
      </c>
      <c r="E1537" s="332" t="s">
        <v>359</v>
      </c>
      <c r="F1537" s="336">
        <v>650000</v>
      </c>
      <c r="G1537" s="330" t="s">
        <v>236</v>
      </c>
      <c r="H1537" s="329">
        <v>554.21274119782379</v>
      </c>
      <c r="I1537" s="338"/>
      <c r="J1537" s="338"/>
      <c r="K1537" s="338">
        <v>554.21274119782379</v>
      </c>
      <c r="L1537" s="338"/>
      <c r="M1537" s="336"/>
    </row>
    <row r="1538" spans="1:13" hidden="1" outlineLevel="2" x14ac:dyDescent="0.35">
      <c r="A1538" s="339" t="s">
        <v>153</v>
      </c>
      <c r="B1538" s="331">
        <v>44498</v>
      </c>
      <c r="C1538" s="332" t="s">
        <v>2364</v>
      </c>
      <c r="D1538" s="332" t="s">
        <v>2365</v>
      </c>
      <c r="E1538" s="332" t="s">
        <v>369</v>
      </c>
      <c r="F1538" s="336">
        <v>154622</v>
      </c>
      <c r="G1538" s="330" t="s">
        <v>236</v>
      </c>
      <c r="H1538" s="329">
        <v>131.83612687613834</v>
      </c>
      <c r="I1538" s="338"/>
      <c r="J1538" s="338"/>
      <c r="K1538" s="338">
        <v>131.83612687613834</v>
      </c>
      <c r="L1538" s="338"/>
      <c r="M1538" s="336"/>
    </row>
    <row r="1539" spans="1:13" hidden="1" outlineLevel="2" x14ac:dyDescent="0.35">
      <c r="A1539" s="339" t="s">
        <v>153</v>
      </c>
      <c r="B1539" s="331">
        <v>44498</v>
      </c>
      <c r="C1539" s="332" t="s">
        <v>2364</v>
      </c>
      <c r="D1539" s="332" t="s">
        <v>2365</v>
      </c>
      <c r="E1539" s="332" t="s">
        <v>369</v>
      </c>
      <c r="F1539" s="336">
        <v>286082</v>
      </c>
      <c r="G1539" s="330" t="s">
        <v>236</v>
      </c>
      <c r="H1539" s="329">
        <v>243.92352219593207</v>
      </c>
      <c r="I1539" s="338"/>
      <c r="J1539" s="338"/>
      <c r="K1539" s="338">
        <v>243.92352219593207</v>
      </c>
      <c r="L1539" s="338"/>
      <c r="M1539" s="336"/>
    </row>
    <row r="1540" spans="1:13" hidden="1" outlineLevel="2" x14ac:dyDescent="0.35">
      <c r="A1540" s="339" t="s">
        <v>153</v>
      </c>
      <c r="B1540" s="331">
        <v>44508</v>
      </c>
      <c r="C1540" s="332" t="s">
        <v>1148</v>
      </c>
      <c r="D1540" s="332" t="s">
        <v>2366</v>
      </c>
      <c r="E1540" s="332" t="s">
        <v>2367</v>
      </c>
      <c r="F1540" s="336">
        <v>177000</v>
      </c>
      <c r="G1540" s="330" t="s">
        <v>236</v>
      </c>
      <c r="H1540" s="329">
        <v>150.91639260309972</v>
      </c>
      <c r="I1540" s="338"/>
      <c r="J1540" s="338"/>
      <c r="K1540" s="338">
        <v>150.91639260309972</v>
      </c>
      <c r="L1540" s="338"/>
      <c r="M1540" s="336"/>
    </row>
    <row r="1541" spans="1:13" hidden="1" outlineLevel="2" x14ac:dyDescent="0.35">
      <c r="A1541" s="339" t="s">
        <v>153</v>
      </c>
      <c r="B1541" s="331">
        <v>44505</v>
      </c>
      <c r="C1541" s="332" t="s">
        <v>1157</v>
      </c>
      <c r="D1541" s="332" t="s">
        <v>2368</v>
      </c>
      <c r="E1541" s="332" t="s">
        <v>2369</v>
      </c>
      <c r="F1541" s="336">
        <v>354000</v>
      </c>
      <c r="G1541" s="330" t="s">
        <v>236</v>
      </c>
      <c r="H1541" s="329">
        <v>301.83278520619945</v>
      </c>
      <c r="I1541" s="338"/>
      <c r="J1541" s="338"/>
      <c r="K1541" s="338">
        <v>301.83278520619945</v>
      </c>
      <c r="L1541" s="338"/>
      <c r="M1541" s="336"/>
    </row>
    <row r="1542" spans="1:13" outlineLevel="1" collapsed="1" x14ac:dyDescent="0.35">
      <c r="A1542" s="343" t="s">
        <v>2370</v>
      </c>
      <c r="B1542" s="331"/>
      <c r="C1542" s="332"/>
      <c r="D1542" s="332"/>
      <c r="E1542" s="332"/>
      <c r="F1542" s="336"/>
      <c r="G1542" s="330"/>
      <c r="H1542" s="329">
        <f t="shared" ref="H1542:M1542" si="76">SUBTOTAL(9,H1519:H1541)</f>
        <v>6940.5478489390989</v>
      </c>
      <c r="I1542" s="338">
        <f t="shared" si="76"/>
        <v>0</v>
      </c>
      <c r="J1542" s="338">
        <f t="shared" si="76"/>
        <v>516.45342149801081</v>
      </c>
      <c r="K1542" s="338">
        <f t="shared" si="76"/>
        <v>6424.0944274410876</v>
      </c>
      <c r="L1542" s="338">
        <f t="shared" si="76"/>
        <v>0</v>
      </c>
      <c r="M1542" s="336">
        <f t="shared" si="76"/>
        <v>0</v>
      </c>
    </row>
    <row r="1543" spans="1:13" hidden="1" outlineLevel="2" x14ac:dyDescent="0.35">
      <c r="A1543" s="339" t="s">
        <v>155</v>
      </c>
      <c r="B1543" s="331">
        <v>44582</v>
      </c>
      <c r="C1543" s="332" t="s">
        <v>2371</v>
      </c>
      <c r="D1543" s="332" t="s">
        <v>2372</v>
      </c>
      <c r="E1543" s="332" t="s">
        <v>1212</v>
      </c>
      <c r="F1543" s="336">
        <v>320000</v>
      </c>
      <c r="G1543" s="330" t="s">
        <v>236</v>
      </c>
      <c r="H1543" s="329">
        <v>282.43750475075751</v>
      </c>
      <c r="I1543" s="338"/>
      <c r="J1543" s="338"/>
      <c r="K1543" s="338">
        <v>282.43750475075751</v>
      </c>
      <c r="L1543" s="338"/>
      <c r="M1543" s="336"/>
    </row>
    <row r="1544" spans="1:13" hidden="1" outlineLevel="2" x14ac:dyDescent="0.35">
      <c r="A1544" s="339" t="s">
        <v>155</v>
      </c>
      <c r="B1544" s="331">
        <v>44582</v>
      </c>
      <c r="C1544" s="332" t="s">
        <v>527</v>
      </c>
      <c r="D1544" s="332" t="s">
        <v>2373</v>
      </c>
      <c r="E1544" s="332" t="s">
        <v>362</v>
      </c>
      <c r="F1544" s="336">
        <v>720000</v>
      </c>
      <c r="G1544" s="330" t="s">
        <v>236</v>
      </c>
      <c r="H1544" s="329">
        <v>635.48438568920437</v>
      </c>
      <c r="I1544" s="338"/>
      <c r="J1544" s="338"/>
      <c r="K1544" s="338">
        <v>635.48438568920437</v>
      </c>
      <c r="L1544" s="338"/>
      <c r="M1544" s="336"/>
    </row>
    <row r="1545" spans="1:13" hidden="1" outlineLevel="2" x14ac:dyDescent="0.35">
      <c r="A1545" s="326" t="s">
        <v>155</v>
      </c>
      <c r="B1545" s="331">
        <v>44299</v>
      </c>
      <c r="C1545" s="332" t="s">
        <v>2374</v>
      </c>
      <c r="D1545" s="332" t="s">
        <v>2375</v>
      </c>
      <c r="E1545" s="332" t="s">
        <v>606</v>
      </c>
      <c r="F1545" s="336">
        <v>2264540</v>
      </c>
      <c r="G1545" s="330" t="s">
        <v>236</v>
      </c>
      <c r="H1545" s="329">
        <v>1930.8260322340307</v>
      </c>
      <c r="I1545" s="338"/>
      <c r="J1545" s="338"/>
      <c r="K1545" s="338">
        <v>1930.8260322340307</v>
      </c>
      <c r="L1545" s="338"/>
      <c r="M1545" s="336"/>
    </row>
    <row r="1546" spans="1:13" hidden="1" outlineLevel="2" x14ac:dyDescent="0.35">
      <c r="A1546" s="326" t="s">
        <v>155</v>
      </c>
      <c r="B1546" s="331">
        <v>44306</v>
      </c>
      <c r="C1546" s="332" t="s">
        <v>1910</v>
      </c>
      <c r="D1546" s="332" t="s">
        <v>2376</v>
      </c>
      <c r="E1546" s="332" t="s">
        <v>606</v>
      </c>
      <c r="F1546" s="336">
        <v>429160</v>
      </c>
      <c r="G1546" s="330" t="s">
        <v>236</v>
      </c>
      <c r="H1546" s="329">
        <v>365.91683078839702</v>
      </c>
      <c r="I1546" s="338"/>
      <c r="J1546" s="338"/>
      <c r="K1546" s="338">
        <v>365.91683078839702</v>
      </c>
      <c r="L1546" s="338"/>
      <c r="M1546" s="336"/>
    </row>
    <row r="1547" spans="1:13" hidden="1" outlineLevel="2" x14ac:dyDescent="0.35">
      <c r="A1547" s="326" t="s">
        <v>155</v>
      </c>
      <c r="B1547" s="331">
        <v>44302</v>
      </c>
      <c r="C1547" s="332" t="s">
        <v>708</v>
      </c>
      <c r="D1547" s="332" t="s">
        <v>2377</v>
      </c>
      <c r="E1547" s="332" t="s">
        <v>701</v>
      </c>
      <c r="F1547" s="336">
        <v>6778864</v>
      </c>
      <c r="G1547" s="330" t="s">
        <v>236</v>
      </c>
      <c r="H1547" s="329">
        <v>5779.8966148419149</v>
      </c>
      <c r="I1547" s="338"/>
      <c r="J1547" s="338"/>
      <c r="K1547" s="338">
        <v>5779.8966148419149</v>
      </c>
      <c r="L1547" s="338"/>
      <c r="M1547" s="336"/>
    </row>
    <row r="1548" spans="1:13" hidden="1" outlineLevel="2" x14ac:dyDescent="0.35">
      <c r="A1548" s="326" t="s">
        <v>155</v>
      </c>
      <c r="B1548" s="331">
        <v>44308</v>
      </c>
      <c r="C1548" s="332" t="s">
        <v>2378</v>
      </c>
      <c r="D1548" s="332" t="s">
        <v>2379</v>
      </c>
      <c r="E1548" s="332" t="s">
        <v>285</v>
      </c>
      <c r="F1548" s="336">
        <v>31500</v>
      </c>
      <c r="G1548" s="330" t="s">
        <v>236</v>
      </c>
      <c r="H1548" s="329">
        <v>26.858002073432999</v>
      </c>
      <c r="I1548" s="338"/>
      <c r="J1548" s="338"/>
      <c r="K1548" s="338">
        <v>26.858002073432999</v>
      </c>
      <c r="L1548" s="338"/>
      <c r="M1548" s="336"/>
    </row>
    <row r="1549" spans="1:13" outlineLevel="1" collapsed="1" x14ac:dyDescent="0.35">
      <c r="A1549" s="334" t="s">
        <v>2380</v>
      </c>
      <c r="B1549" s="327"/>
      <c r="C1549" s="328"/>
      <c r="D1549" s="328"/>
      <c r="E1549" s="328"/>
      <c r="F1549" s="338"/>
      <c r="G1549" s="330"/>
      <c r="H1549" s="329">
        <f t="shared" ref="H1549:M1549" si="77">SUBTOTAL(9,H1543:H1548)</f>
        <v>9021.4193703777382</v>
      </c>
      <c r="I1549" s="338">
        <f t="shared" si="77"/>
        <v>0</v>
      </c>
      <c r="J1549" s="338">
        <f t="shared" si="77"/>
        <v>0</v>
      </c>
      <c r="K1549" s="338">
        <f t="shared" si="77"/>
        <v>9021.4193703777382</v>
      </c>
      <c r="L1549" s="338">
        <f t="shared" si="77"/>
        <v>0</v>
      </c>
      <c r="M1549" s="338">
        <f t="shared" si="77"/>
        <v>0</v>
      </c>
    </row>
    <row r="1550" spans="1:13" hidden="1" outlineLevel="2" x14ac:dyDescent="0.35">
      <c r="A1550" s="339" t="s">
        <v>163</v>
      </c>
      <c r="B1550" s="327">
        <v>43781</v>
      </c>
      <c r="C1550" s="328" t="s">
        <v>408</v>
      </c>
      <c r="D1550" s="328" t="s">
        <v>2381</v>
      </c>
      <c r="E1550" s="328" t="s">
        <v>2382</v>
      </c>
      <c r="F1550" s="338">
        <v>370000</v>
      </c>
      <c r="G1550" s="330" t="s">
        <v>236</v>
      </c>
      <c r="H1550" s="329">
        <v>364.28255077505986</v>
      </c>
      <c r="I1550" s="338"/>
      <c r="J1550" s="338"/>
      <c r="K1550" s="338">
        <v>364.28255077505986</v>
      </c>
      <c r="L1550" s="338"/>
      <c r="M1550" s="338"/>
    </row>
    <row r="1551" spans="1:13" hidden="1" outlineLevel="2" x14ac:dyDescent="0.35">
      <c r="A1551" s="339" t="s">
        <v>163</v>
      </c>
      <c r="B1551" s="331">
        <v>43781</v>
      </c>
      <c r="C1551" s="332" t="s">
        <v>1913</v>
      </c>
      <c r="D1551" s="332" t="s">
        <v>2383</v>
      </c>
      <c r="E1551" s="332" t="s">
        <v>2384</v>
      </c>
      <c r="F1551" s="336">
        <v>370000</v>
      </c>
      <c r="G1551" s="330" t="s">
        <v>236</v>
      </c>
      <c r="H1551" s="329">
        <v>364.28255077505986</v>
      </c>
      <c r="I1551" s="338"/>
      <c r="J1551" s="338"/>
      <c r="K1551" s="338">
        <v>364.28255077505986</v>
      </c>
      <c r="L1551" s="338"/>
      <c r="M1551" s="336"/>
    </row>
    <row r="1552" spans="1:13" hidden="1" outlineLevel="2" x14ac:dyDescent="0.35">
      <c r="A1552" s="339" t="s">
        <v>163</v>
      </c>
      <c r="B1552" s="331">
        <v>43781</v>
      </c>
      <c r="C1552" s="332" t="s">
        <v>2385</v>
      </c>
      <c r="D1552" s="332" t="s">
        <v>2386</v>
      </c>
      <c r="E1552" s="332" t="s">
        <v>2387</v>
      </c>
      <c r="F1552" s="336">
        <v>370000</v>
      </c>
      <c r="G1552" s="330" t="s">
        <v>236</v>
      </c>
      <c r="H1552" s="329">
        <v>364.28255077505986</v>
      </c>
      <c r="I1552" s="338"/>
      <c r="J1552" s="338"/>
      <c r="K1552" s="338">
        <v>364.28255077505986</v>
      </c>
      <c r="L1552" s="338"/>
      <c r="M1552" s="336"/>
    </row>
    <row r="1553" spans="1:13" outlineLevel="1" collapsed="1" x14ac:dyDescent="0.35">
      <c r="A1553" s="343" t="s">
        <v>2388</v>
      </c>
      <c r="B1553" s="331"/>
      <c r="C1553" s="332"/>
      <c r="D1553" s="332"/>
      <c r="E1553" s="332"/>
      <c r="F1553" s="336"/>
      <c r="G1553" s="330"/>
      <c r="H1553" s="329">
        <f t="shared" ref="H1553:M1553" si="78">SUBTOTAL(9,H1550:H1552)</f>
        <v>1092.8476523251795</v>
      </c>
      <c r="I1553" s="338">
        <f t="shared" si="78"/>
        <v>0</v>
      </c>
      <c r="J1553" s="338">
        <f t="shared" si="78"/>
        <v>0</v>
      </c>
      <c r="K1553" s="338">
        <f t="shared" si="78"/>
        <v>1092.8476523251795</v>
      </c>
      <c r="L1553" s="338">
        <f t="shared" si="78"/>
        <v>0</v>
      </c>
      <c r="M1553" s="336">
        <f t="shared" si="78"/>
        <v>0</v>
      </c>
    </row>
    <row r="1554" spans="1:13" hidden="1" outlineLevel="2" x14ac:dyDescent="0.35">
      <c r="A1554" s="339" t="s">
        <v>157</v>
      </c>
      <c r="B1554" s="331">
        <v>44592</v>
      </c>
      <c r="C1554" s="332" t="s">
        <v>1647</v>
      </c>
      <c r="D1554" s="332" t="s">
        <v>2389</v>
      </c>
      <c r="E1554" s="332" t="s">
        <v>1212</v>
      </c>
      <c r="F1554" s="336">
        <v>450400</v>
      </c>
      <c r="G1554" s="330" t="s">
        <v>236</v>
      </c>
      <c r="H1554" s="329">
        <v>397.53078793669118</v>
      </c>
      <c r="I1554" s="338"/>
      <c r="J1554" s="338"/>
      <c r="K1554" s="338">
        <v>397.53078793669118</v>
      </c>
      <c r="L1554" s="338"/>
      <c r="M1554" s="336"/>
    </row>
    <row r="1555" spans="1:13" hidden="1" outlineLevel="2" x14ac:dyDescent="0.35">
      <c r="A1555" s="339" t="s">
        <v>157</v>
      </c>
      <c r="B1555" s="331">
        <v>44524</v>
      </c>
      <c r="C1555" s="332" t="s">
        <v>2232</v>
      </c>
      <c r="D1555" s="332" t="s">
        <v>2390</v>
      </c>
      <c r="E1555" s="332" t="s">
        <v>623</v>
      </c>
      <c r="F1555" s="336">
        <v>6060000</v>
      </c>
      <c r="G1555" s="330" t="s">
        <v>236</v>
      </c>
      <c r="H1555" s="329">
        <v>5166.9680179366342</v>
      </c>
      <c r="I1555" s="338"/>
      <c r="J1555" s="338"/>
      <c r="K1555" s="338">
        <v>5166.9680179366342</v>
      </c>
      <c r="L1555" s="338"/>
      <c r="M1555" s="336"/>
    </row>
    <row r="1556" spans="1:13" outlineLevel="1" collapsed="1" x14ac:dyDescent="0.35">
      <c r="A1556" s="343" t="s">
        <v>2391</v>
      </c>
      <c r="B1556" s="331"/>
      <c r="C1556" s="332"/>
      <c r="D1556" s="332"/>
      <c r="E1556" s="332"/>
      <c r="F1556" s="336"/>
      <c r="G1556" s="330"/>
      <c r="H1556" s="329">
        <f t="shared" ref="H1556:M1556" si="79">SUBTOTAL(9,H1554:H1555)</f>
        <v>5564.4988058733252</v>
      </c>
      <c r="I1556" s="338">
        <f t="shared" si="79"/>
        <v>0</v>
      </c>
      <c r="J1556" s="338">
        <f t="shared" si="79"/>
        <v>0</v>
      </c>
      <c r="K1556" s="338">
        <f t="shared" si="79"/>
        <v>5564.4988058733252</v>
      </c>
      <c r="L1556" s="338">
        <f t="shared" si="79"/>
        <v>0</v>
      </c>
      <c r="M1556" s="336">
        <f t="shared" si="79"/>
        <v>0</v>
      </c>
    </row>
    <row r="1557" spans="1:13" hidden="1" outlineLevel="2" x14ac:dyDescent="0.35">
      <c r="A1557" s="326" t="s">
        <v>75</v>
      </c>
      <c r="B1557" s="331">
        <v>43973</v>
      </c>
      <c r="C1557" s="332" t="s">
        <v>2392</v>
      </c>
      <c r="D1557" s="332" t="s">
        <v>2393</v>
      </c>
      <c r="E1557" s="332" t="s">
        <v>1488</v>
      </c>
      <c r="F1557" s="336">
        <v>693000</v>
      </c>
      <c r="G1557" s="330" t="s">
        <v>236</v>
      </c>
      <c r="H1557" s="329">
        <v>643.8387248836483</v>
      </c>
      <c r="I1557" s="338"/>
      <c r="J1557" s="338">
        <v>643.8387248836483</v>
      </c>
      <c r="K1557" s="338"/>
      <c r="L1557" s="338"/>
      <c r="M1557" s="336"/>
    </row>
    <row r="1558" spans="1:13" hidden="1" outlineLevel="2" x14ac:dyDescent="0.35">
      <c r="A1558" s="326" t="s">
        <v>75</v>
      </c>
      <c r="B1558" s="331">
        <v>43977</v>
      </c>
      <c r="C1558" s="332" t="s">
        <v>1278</v>
      </c>
      <c r="D1558" s="332" t="s">
        <v>2394</v>
      </c>
      <c r="E1558" s="332" t="s">
        <v>2395</v>
      </c>
      <c r="F1558" s="336">
        <v>75000</v>
      </c>
      <c r="G1558" s="330" t="s">
        <v>236</v>
      </c>
      <c r="H1558" s="329">
        <v>69.679515680048524</v>
      </c>
      <c r="I1558" s="338"/>
      <c r="J1558" s="338">
        <v>69.679515680048524</v>
      </c>
      <c r="K1558" s="338"/>
      <c r="L1558" s="338"/>
      <c r="M1558" s="336"/>
    </row>
    <row r="1559" spans="1:13" hidden="1" outlineLevel="2" x14ac:dyDescent="0.35">
      <c r="A1559" s="326" t="s">
        <v>75</v>
      </c>
      <c r="B1559" s="331">
        <v>44153</v>
      </c>
      <c r="C1559" s="332" t="s">
        <v>2396</v>
      </c>
      <c r="D1559" s="332" t="s">
        <v>2397</v>
      </c>
      <c r="E1559" s="332" t="s">
        <v>2398</v>
      </c>
      <c r="F1559" s="336">
        <v>222500</v>
      </c>
      <c r="G1559" s="330" t="s">
        <v>236</v>
      </c>
      <c r="H1559" s="329">
        <v>189.71128448694739</v>
      </c>
      <c r="I1559" s="338"/>
      <c r="J1559" s="338">
        <v>189.71128448694739</v>
      </c>
      <c r="K1559" s="338"/>
      <c r="L1559" s="338"/>
      <c r="M1559" s="336"/>
    </row>
    <row r="1560" spans="1:13" hidden="1" outlineLevel="2" x14ac:dyDescent="0.35">
      <c r="A1560" s="326" t="s">
        <v>75</v>
      </c>
      <c r="B1560" s="331">
        <v>44558</v>
      </c>
      <c r="C1560" s="332" t="s">
        <v>1635</v>
      </c>
      <c r="D1560" s="332" t="s">
        <v>2399</v>
      </c>
      <c r="E1560" s="332" t="s">
        <v>623</v>
      </c>
      <c r="F1560" s="336">
        <v>540000</v>
      </c>
      <c r="G1560" s="330" t="s">
        <v>236</v>
      </c>
      <c r="H1560" s="329">
        <v>476.61328926690328</v>
      </c>
      <c r="I1560" s="338"/>
      <c r="J1560" s="338">
        <v>476.61328926690328</v>
      </c>
      <c r="K1560" s="338"/>
      <c r="L1560" s="338"/>
      <c r="M1560" s="336"/>
    </row>
    <row r="1561" spans="1:13" hidden="1" outlineLevel="2" x14ac:dyDescent="0.35">
      <c r="A1561" s="326" t="s">
        <v>75</v>
      </c>
      <c r="B1561" s="331">
        <v>44308</v>
      </c>
      <c r="C1561" s="332" t="s">
        <v>1671</v>
      </c>
      <c r="D1561" s="332" t="s">
        <v>2400</v>
      </c>
      <c r="E1561" s="332" t="s">
        <v>2401</v>
      </c>
      <c r="F1561" s="336">
        <v>162000</v>
      </c>
      <c r="G1561" s="330" t="s">
        <v>236</v>
      </c>
      <c r="H1561" s="329">
        <v>138.12686780622687</v>
      </c>
      <c r="I1561" s="338"/>
      <c r="J1561" s="338">
        <v>138.12686780622687</v>
      </c>
      <c r="K1561" s="338"/>
      <c r="L1561" s="338"/>
      <c r="M1561" s="336"/>
    </row>
    <row r="1562" spans="1:13" hidden="1" outlineLevel="2" x14ac:dyDescent="0.35">
      <c r="A1562" s="326" t="s">
        <v>75</v>
      </c>
      <c r="B1562" s="331">
        <v>44328</v>
      </c>
      <c r="C1562" s="332" t="s">
        <v>753</v>
      </c>
      <c r="D1562" s="332" t="s">
        <v>2402</v>
      </c>
      <c r="E1562" s="332" t="s">
        <v>623</v>
      </c>
      <c r="F1562" s="336">
        <v>800000</v>
      </c>
      <c r="G1562" s="330" t="s">
        <v>236</v>
      </c>
      <c r="H1562" s="329">
        <v>682.10798916655244</v>
      </c>
      <c r="I1562" s="338"/>
      <c r="J1562" s="338">
        <v>682.10798916655244</v>
      </c>
      <c r="K1562" s="338"/>
      <c r="L1562" s="338"/>
      <c r="M1562" s="336"/>
    </row>
    <row r="1563" spans="1:13" hidden="1" outlineLevel="2" x14ac:dyDescent="0.35">
      <c r="A1563" s="326" t="s">
        <v>75</v>
      </c>
      <c r="B1563" s="331">
        <v>44328</v>
      </c>
      <c r="C1563" s="332" t="s">
        <v>756</v>
      </c>
      <c r="D1563" s="332" t="s">
        <v>2403</v>
      </c>
      <c r="E1563" s="332" t="s">
        <v>623</v>
      </c>
      <c r="F1563" s="336">
        <v>360000</v>
      </c>
      <c r="G1563" s="330" t="s">
        <v>236</v>
      </c>
      <c r="H1563" s="329">
        <v>306.94859512494855</v>
      </c>
      <c r="I1563" s="338"/>
      <c r="J1563" s="338">
        <v>306.94859512494855</v>
      </c>
      <c r="K1563" s="338"/>
      <c r="L1563" s="338"/>
      <c r="M1563" s="336"/>
    </row>
    <row r="1564" spans="1:13" hidden="1" outlineLevel="2" x14ac:dyDescent="0.35">
      <c r="A1564" s="326" t="s">
        <v>75</v>
      </c>
      <c r="B1564" s="331">
        <v>44403</v>
      </c>
      <c r="C1564" s="332" t="s">
        <v>594</v>
      </c>
      <c r="D1564" s="332" t="s">
        <v>2404</v>
      </c>
      <c r="E1564" s="332" t="s">
        <v>1488</v>
      </c>
      <c r="F1564" s="336">
        <v>1920000</v>
      </c>
      <c r="G1564" s="330" t="s">
        <v>236</v>
      </c>
      <c r="H1564" s="329">
        <v>1637.0591739997258</v>
      </c>
      <c r="I1564" s="338"/>
      <c r="J1564" s="338">
        <v>1637.0591739997258</v>
      </c>
      <c r="K1564" s="338"/>
      <c r="L1564" s="338"/>
      <c r="M1564" s="336"/>
    </row>
    <row r="1565" spans="1:13" hidden="1" outlineLevel="2" x14ac:dyDescent="0.35">
      <c r="A1565" s="326" t="s">
        <v>75</v>
      </c>
      <c r="B1565" s="331">
        <v>44418</v>
      </c>
      <c r="C1565" s="332" t="s">
        <v>2405</v>
      </c>
      <c r="D1565" s="332" t="s">
        <v>2406</v>
      </c>
      <c r="E1565" s="332" t="s">
        <v>1488</v>
      </c>
      <c r="F1565" s="336">
        <v>3225000</v>
      </c>
      <c r="G1565" s="330" t="s">
        <v>236</v>
      </c>
      <c r="H1565" s="329">
        <v>2749.7478313276642</v>
      </c>
      <c r="I1565" s="338"/>
      <c r="J1565" s="338">
        <v>2749.7478313276642</v>
      </c>
      <c r="K1565" s="338"/>
      <c r="L1565" s="338"/>
      <c r="M1565" s="336"/>
    </row>
    <row r="1566" spans="1:13" outlineLevel="1" collapsed="1" x14ac:dyDescent="0.35">
      <c r="A1566" s="334" t="s">
        <v>2407</v>
      </c>
      <c r="B1566" s="331"/>
      <c r="C1566" s="332"/>
      <c r="D1566" s="332"/>
      <c r="E1566" s="332"/>
      <c r="F1566" s="336"/>
      <c r="G1566" s="330"/>
      <c r="H1566" s="329">
        <f t="shared" ref="H1566:M1566" si="80">SUBTOTAL(9,H1557:H1565)</f>
        <v>6893.8332717426656</v>
      </c>
      <c r="I1566" s="338">
        <f t="shared" si="80"/>
        <v>0</v>
      </c>
      <c r="J1566" s="338">
        <f t="shared" si="80"/>
        <v>6893.8332717426656</v>
      </c>
      <c r="K1566" s="338">
        <f t="shared" si="80"/>
        <v>0</v>
      </c>
      <c r="L1566" s="338">
        <f t="shared" si="80"/>
        <v>0</v>
      </c>
      <c r="M1566" s="336">
        <f t="shared" si="80"/>
        <v>0</v>
      </c>
    </row>
    <row r="1567" spans="1:13" hidden="1" outlineLevel="2" x14ac:dyDescent="0.35">
      <c r="A1567" s="326" t="s">
        <v>80</v>
      </c>
      <c r="B1567" s="331">
        <v>43865</v>
      </c>
      <c r="C1567" s="332" t="s">
        <v>261</v>
      </c>
      <c r="D1567" s="332" t="s">
        <v>2408</v>
      </c>
      <c r="E1567" s="332" t="s">
        <v>2409</v>
      </c>
      <c r="F1567" s="336">
        <v>10513800</v>
      </c>
      <c r="G1567" s="330" t="s">
        <v>236</v>
      </c>
      <c r="H1567" s="329">
        <v>9767.9532260919223</v>
      </c>
      <c r="I1567" s="338"/>
      <c r="J1567" s="338"/>
      <c r="K1567" s="338">
        <v>9767.9532260919223</v>
      </c>
      <c r="L1567" s="338"/>
      <c r="M1567" s="336"/>
    </row>
    <row r="1568" spans="1:13" hidden="1" outlineLevel="2" x14ac:dyDescent="0.35">
      <c r="A1568" s="326" t="s">
        <v>80</v>
      </c>
      <c r="B1568" s="331">
        <v>43865</v>
      </c>
      <c r="C1568" s="332" t="s">
        <v>261</v>
      </c>
      <c r="D1568" s="332" t="s">
        <v>2408</v>
      </c>
      <c r="E1568" s="332" t="s">
        <v>2409</v>
      </c>
      <c r="F1568" s="336">
        <v>432000</v>
      </c>
      <c r="G1568" s="330" t="s">
        <v>236</v>
      </c>
      <c r="H1568" s="329">
        <v>401.35401031707949</v>
      </c>
      <c r="I1568" s="338"/>
      <c r="J1568" s="338"/>
      <c r="K1568" s="338">
        <v>401.35401031707949</v>
      </c>
      <c r="L1568" s="338"/>
      <c r="M1568" s="336"/>
    </row>
    <row r="1569" spans="1:13" hidden="1" outlineLevel="2" x14ac:dyDescent="0.35">
      <c r="A1569" s="326" t="s">
        <v>80</v>
      </c>
      <c r="B1569" s="331">
        <v>44123</v>
      </c>
      <c r="C1569" s="332" t="s">
        <v>2360</v>
      </c>
      <c r="D1569" s="332" t="s">
        <v>2410</v>
      </c>
      <c r="E1569" s="332" t="s">
        <v>2411</v>
      </c>
      <c r="F1569" s="336">
        <v>21142800</v>
      </c>
      <c r="G1569" s="330" t="s">
        <v>236</v>
      </c>
      <c r="H1569" s="329">
        <v>19642.934188268398</v>
      </c>
      <c r="I1569" s="338"/>
      <c r="J1569" s="338"/>
      <c r="K1569" s="338">
        <v>19642.934188268398</v>
      </c>
      <c r="L1569" s="338"/>
      <c r="M1569" s="336"/>
    </row>
    <row r="1570" spans="1:13" hidden="1" outlineLevel="2" x14ac:dyDescent="0.35">
      <c r="A1570" s="326" t="s">
        <v>80</v>
      </c>
      <c r="B1570" s="331">
        <v>43838</v>
      </c>
      <c r="C1570" s="332" t="s">
        <v>2412</v>
      </c>
      <c r="D1570" s="332" t="s">
        <v>2413</v>
      </c>
      <c r="E1570" s="332" t="s">
        <v>1539</v>
      </c>
      <c r="F1570" s="336">
        <v>153400</v>
      </c>
      <c r="G1570" s="330" t="s">
        <v>236</v>
      </c>
      <c r="H1570" s="329">
        <v>142.51783607092591</v>
      </c>
      <c r="I1570" s="338"/>
      <c r="J1570" s="338"/>
      <c r="K1570" s="338">
        <v>142.51783607092591</v>
      </c>
      <c r="L1570" s="338"/>
      <c r="M1570" s="336"/>
    </row>
    <row r="1571" spans="1:13" hidden="1" outlineLevel="2" x14ac:dyDescent="0.35">
      <c r="A1571" s="326" t="s">
        <v>80</v>
      </c>
      <c r="B1571" s="331">
        <v>44064</v>
      </c>
      <c r="C1571" s="332" t="s">
        <v>2414</v>
      </c>
      <c r="D1571" s="332" t="s">
        <v>2415</v>
      </c>
      <c r="E1571" s="332" t="s">
        <v>2416</v>
      </c>
      <c r="F1571" s="336">
        <v>153400</v>
      </c>
      <c r="G1571" s="330" t="s">
        <v>236</v>
      </c>
      <c r="H1571" s="329">
        <v>142.51783607092591</v>
      </c>
      <c r="I1571" s="338"/>
      <c r="J1571" s="338"/>
      <c r="K1571" s="338">
        <v>142.51783607092591</v>
      </c>
      <c r="L1571" s="338"/>
      <c r="M1571" s="336"/>
    </row>
    <row r="1572" spans="1:13" hidden="1" outlineLevel="2" x14ac:dyDescent="0.35">
      <c r="A1572" s="326" t="s">
        <v>80</v>
      </c>
      <c r="B1572" s="331">
        <v>44181</v>
      </c>
      <c r="C1572" s="332" t="s">
        <v>348</v>
      </c>
      <c r="D1572" s="332" t="s">
        <v>2417</v>
      </c>
      <c r="E1572" s="332" t="s">
        <v>2418</v>
      </c>
      <c r="F1572" s="336">
        <v>24640000</v>
      </c>
      <c r="G1572" s="330" t="s">
        <v>236</v>
      </c>
      <c r="H1572" s="329">
        <v>21008.926066329816</v>
      </c>
      <c r="I1572" s="338"/>
      <c r="J1572" s="338"/>
      <c r="K1572" s="338">
        <v>21008.926066329816</v>
      </c>
      <c r="L1572" s="338"/>
      <c r="M1572" s="336"/>
    </row>
    <row r="1573" spans="1:13" hidden="1" outlineLevel="2" x14ac:dyDescent="0.35">
      <c r="A1573" s="326" t="s">
        <v>80</v>
      </c>
      <c r="B1573" s="331">
        <v>44370</v>
      </c>
      <c r="C1573" s="332" t="s">
        <v>938</v>
      </c>
      <c r="D1573" s="332" t="s">
        <v>2419</v>
      </c>
      <c r="E1573" s="332" t="s">
        <v>2418</v>
      </c>
      <c r="F1573" s="336">
        <v>7756000</v>
      </c>
      <c r="G1573" s="330" t="s">
        <v>236</v>
      </c>
      <c r="H1573" s="329">
        <v>6613.0369549697252</v>
      </c>
      <c r="I1573" s="338"/>
      <c r="J1573" s="338"/>
      <c r="K1573" s="338">
        <v>6613.0369549697252</v>
      </c>
      <c r="L1573" s="338"/>
      <c r="M1573" s="336"/>
    </row>
    <row r="1574" spans="1:13" hidden="1" outlineLevel="2" x14ac:dyDescent="0.35">
      <c r="A1574" s="326" t="s">
        <v>80</v>
      </c>
      <c r="B1574" s="331">
        <v>44338</v>
      </c>
      <c r="C1574" s="332" t="s">
        <v>747</v>
      </c>
      <c r="D1574" s="332" t="s">
        <v>2420</v>
      </c>
      <c r="E1574" s="332" t="s">
        <v>2421</v>
      </c>
      <c r="F1574" s="336">
        <v>1220160</v>
      </c>
      <c r="G1574" s="330" t="s">
        <v>236</v>
      </c>
      <c r="H1574" s="329">
        <v>1040.3511050768257</v>
      </c>
      <c r="I1574" s="338"/>
      <c r="J1574" s="338"/>
      <c r="K1574" s="338">
        <v>1040.3511050768257</v>
      </c>
      <c r="L1574" s="338"/>
      <c r="M1574" s="336"/>
    </row>
    <row r="1575" spans="1:13" hidden="1" outlineLevel="2" x14ac:dyDescent="0.35">
      <c r="A1575" s="326" t="s">
        <v>80</v>
      </c>
      <c r="B1575" s="331">
        <v>44315</v>
      </c>
      <c r="C1575" s="332" t="s">
        <v>2319</v>
      </c>
      <c r="D1575" s="332" t="s">
        <v>2422</v>
      </c>
      <c r="E1575" s="332" t="s">
        <v>2423</v>
      </c>
      <c r="F1575" s="336">
        <v>528000</v>
      </c>
      <c r="G1575" s="330" t="s">
        <v>236</v>
      </c>
      <c r="H1575" s="329">
        <v>450.19127284992459</v>
      </c>
      <c r="I1575" s="338"/>
      <c r="J1575" s="338"/>
      <c r="K1575" s="338">
        <v>450.19127284992459</v>
      </c>
      <c r="L1575" s="338"/>
      <c r="M1575" s="336"/>
    </row>
    <row r="1576" spans="1:13" hidden="1" outlineLevel="2" x14ac:dyDescent="0.35">
      <c r="A1576" s="326" t="s">
        <v>80</v>
      </c>
      <c r="B1576" s="331">
        <v>44341</v>
      </c>
      <c r="C1576" s="332" t="s">
        <v>2424</v>
      </c>
      <c r="D1576" s="332" t="s">
        <v>2425</v>
      </c>
      <c r="E1576" s="332" t="s">
        <v>242</v>
      </c>
      <c r="F1576" s="336">
        <v>303600</v>
      </c>
      <c r="G1576" s="330" t="s">
        <v>236</v>
      </c>
      <c r="H1576" s="329">
        <v>258.85998188870661</v>
      </c>
      <c r="I1576" s="338"/>
      <c r="J1576" s="338"/>
      <c r="K1576" s="338">
        <v>258.85998188870661</v>
      </c>
      <c r="L1576" s="338"/>
      <c r="M1576" s="336"/>
    </row>
    <row r="1577" spans="1:13" hidden="1" outlineLevel="2" x14ac:dyDescent="0.35">
      <c r="A1577" s="326" t="s">
        <v>80</v>
      </c>
      <c r="B1577" s="331">
        <v>44222</v>
      </c>
      <c r="C1577" s="332" t="s">
        <v>2426</v>
      </c>
      <c r="D1577" s="332" t="s">
        <v>2427</v>
      </c>
      <c r="E1577" s="332" t="s">
        <v>606</v>
      </c>
      <c r="F1577" s="336">
        <v>56910</v>
      </c>
      <c r="G1577" s="330" t="s">
        <v>236</v>
      </c>
      <c r="H1577" s="329">
        <v>48.523457079335621</v>
      </c>
      <c r="I1577" s="338"/>
      <c r="J1577" s="338"/>
      <c r="K1577" s="338">
        <v>48.523457079335621</v>
      </c>
      <c r="L1577" s="338"/>
      <c r="M1577" s="336"/>
    </row>
    <row r="1578" spans="1:13" hidden="1" outlineLevel="2" x14ac:dyDescent="0.35">
      <c r="A1578" s="326" t="s">
        <v>80</v>
      </c>
      <c r="B1578" s="331">
        <v>44582</v>
      </c>
      <c r="C1578" s="332" t="s">
        <v>663</v>
      </c>
      <c r="D1578" s="332" t="s">
        <v>2428</v>
      </c>
      <c r="E1578" s="332" t="s">
        <v>1214</v>
      </c>
      <c r="F1578" s="336">
        <v>7500</v>
      </c>
      <c r="G1578" s="330" t="s">
        <v>236</v>
      </c>
      <c r="H1578" s="329">
        <v>6.6196290175958783</v>
      </c>
      <c r="I1578" s="338"/>
      <c r="J1578" s="338"/>
      <c r="K1578" s="338">
        <v>6.6196290175958783</v>
      </c>
      <c r="L1578" s="338"/>
      <c r="M1578" s="336"/>
    </row>
    <row r="1579" spans="1:13" hidden="1" outlineLevel="2" x14ac:dyDescent="0.35">
      <c r="A1579" s="326" t="s">
        <v>80</v>
      </c>
      <c r="B1579" s="331">
        <v>44251</v>
      </c>
      <c r="C1579" s="332" t="s">
        <v>2429</v>
      </c>
      <c r="D1579" s="332" t="s">
        <v>2430</v>
      </c>
      <c r="E1579" s="332" t="s">
        <v>606</v>
      </c>
      <c r="F1579" s="336">
        <v>79850</v>
      </c>
      <c r="G1579" s="330" t="s">
        <v>236</v>
      </c>
      <c r="H1579" s="329">
        <v>68.082903668686512</v>
      </c>
      <c r="I1579" s="338"/>
      <c r="J1579" s="338"/>
      <c r="K1579" s="338">
        <v>68.082903668686512</v>
      </c>
      <c r="L1579" s="338"/>
      <c r="M1579" s="336"/>
    </row>
    <row r="1580" spans="1:13" hidden="1" outlineLevel="2" x14ac:dyDescent="0.35">
      <c r="A1580" s="326" t="s">
        <v>80</v>
      </c>
      <c r="B1580" s="331">
        <v>44251</v>
      </c>
      <c r="C1580" s="332" t="s">
        <v>2431</v>
      </c>
      <c r="D1580" s="332" t="s">
        <v>2430</v>
      </c>
      <c r="E1580" s="332" t="s">
        <v>606</v>
      </c>
      <c r="F1580" s="336">
        <v>102350</v>
      </c>
      <c r="G1580" s="330" t="s">
        <v>236</v>
      </c>
      <c r="H1580" s="329">
        <v>87.267190863995793</v>
      </c>
      <c r="I1580" s="338"/>
      <c r="J1580" s="338"/>
      <c r="K1580" s="338">
        <v>87.267190863995793</v>
      </c>
      <c r="L1580" s="338"/>
      <c r="M1580" s="336"/>
    </row>
    <row r="1581" spans="1:13" hidden="1" outlineLevel="2" x14ac:dyDescent="0.35">
      <c r="A1581" s="326" t="s">
        <v>80</v>
      </c>
      <c r="B1581" s="331">
        <v>44592</v>
      </c>
      <c r="C1581" s="332" t="s">
        <v>1050</v>
      </c>
      <c r="D1581" s="332" t="s">
        <v>2432</v>
      </c>
      <c r="E1581" s="332" t="s">
        <v>2433</v>
      </c>
      <c r="F1581" s="336">
        <v>30000</v>
      </c>
      <c r="G1581" s="330" t="s">
        <v>236</v>
      </c>
      <c r="H1581" s="329">
        <v>26.478516070383513</v>
      </c>
      <c r="I1581" s="338"/>
      <c r="J1581" s="338"/>
      <c r="K1581" s="338">
        <v>26.478516070383513</v>
      </c>
      <c r="L1581" s="338"/>
      <c r="M1581" s="336"/>
    </row>
    <row r="1582" spans="1:13" hidden="1" outlineLevel="2" x14ac:dyDescent="0.35">
      <c r="A1582" s="326" t="s">
        <v>80</v>
      </c>
      <c r="B1582" s="331">
        <v>43797</v>
      </c>
      <c r="C1582" s="332" t="s">
        <v>819</v>
      </c>
      <c r="D1582" s="332" t="s">
        <v>2434</v>
      </c>
      <c r="E1582" s="332" t="s">
        <v>1898</v>
      </c>
      <c r="F1582" s="336">
        <v>2180000</v>
      </c>
      <c r="G1582" s="330" t="s">
        <v>236</v>
      </c>
      <c r="H1582" s="329">
        <v>2146.3134072692715</v>
      </c>
      <c r="I1582" s="338"/>
      <c r="J1582" s="338"/>
      <c r="K1582" s="329">
        <v>2146.3134072692715</v>
      </c>
      <c r="L1582" s="338"/>
      <c r="M1582" s="336"/>
    </row>
    <row r="1583" spans="1:13" hidden="1" outlineLevel="2" x14ac:dyDescent="0.35">
      <c r="A1583" s="326" t="s">
        <v>80</v>
      </c>
      <c r="B1583" s="331">
        <v>44343</v>
      </c>
      <c r="C1583" s="332" t="s">
        <v>840</v>
      </c>
      <c r="D1583" s="332" t="s">
        <v>2435</v>
      </c>
      <c r="E1583" s="332" t="s">
        <v>606</v>
      </c>
      <c r="F1583" s="336">
        <v>81880</v>
      </c>
      <c r="G1583" s="330" t="s">
        <v>236</v>
      </c>
      <c r="H1583" s="329">
        <v>69.81375269119664</v>
      </c>
      <c r="I1583" s="338"/>
      <c r="J1583" s="338"/>
      <c r="K1583" s="338">
        <v>69.81375269119664</v>
      </c>
      <c r="L1583" s="338"/>
      <c r="M1583" s="336"/>
    </row>
    <row r="1584" spans="1:13" hidden="1" outlineLevel="2" x14ac:dyDescent="0.35">
      <c r="A1584" s="326" t="s">
        <v>80</v>
      </c>
      <c r="B1584" s="331">
        <v>44338</v>
      </c>
      <c r="C1584" s="332" t="s">
        <v>2436</v>
      </c>
      <c r="D1584" s="332" t="s">
        <v>2437</v>
      </c>
      <c r="E1584" s="332" t="s">
        <v>2438</v>
      </c>
      <c r="F1584" s="336">
        <v>14500</v>
      </c>
      <c r="G1584" s="330" t="s">
        <v>236</v>
      </c>
      <c r="H1584" s="329">
        <v>12.363207303643762</v>
      </c>
      <c r="I1584" s="338"/>
      <c r="J1584" s="338"/>
      <c r="K1584" s="338">
        <v>12.363207303643762</v>
      </c>
      <c r="L1584" s="338"/>
      <c r="M1584" s="336"/>
    </row>
    <row r="1585" spans="1:13" hidden="1" outlineLevel="2" x14ac:dyDescent="0.35">
      <c r="A1585" s="326" t="s">
        <v>80</v>
      </c>
      <c r="B1585" s="331">
        <v>44376</v>
      </c>
      <c r="C1585" s="332" t="s">
        <v>787</v>
      </c>
      <c r="D1585" s="332" t="s">
        <v>2439</v>
      </c>
      <c r="E1585" s="332" t="s">
        <v>2440</v>
      </c>
      <c r="F1585" s="336">
        <v>56000</v>
      </c>
      <c r="G1585" s="330" t="s">
        <v>236</v>
      </c>
      <c r="H1585" s="329">
        <v>47.747559241658671</v>
      </c>
      <c r="I1585" s="338"/>
      <c r="J1585" s="338"/>
      <c r="K1585" s="338">
        <v>47.747559241658671</v>
      </c>
      <c r="L1585" s="338"/>
      <c r="M1585" s="336"/>
    </row>
    <row r="1586" spans="1:13" hidden="1" outlineLevel="2" x14ac:dyDescent="0.35">
      <c r="A1586" s="326" t="s">
        <v>80</v>
      </c>
      <c r="B1586" s="331">
        <v>44370</v>
      </c>
      <c r="C1586" s="332" t="s">
        <v>2441</v>
      </c>
      <c r="D1586" s="332" t="s">
        <v>2442</v>
      </c>
      <c r="E1586" s="332" t="s">
        <v>2443</v>
      </c>
      <c r="F1586" s="336">
        <v>78120</v>
      </c>
      <c r="G1586" s="330" t="s">
        <v>236</v>
      </c>
      <c r="H1586" s="329">
        <v>66.607845142113845</v>
      </c>
      <c r="I1586" s="338"/>
      <c r="J1586" s="338"/>
      <c r="K1586" s="338">
        <v>66.607845142113845</v>
      </c>
      <c r="L1586" s="338"/>
      <c r="M1586" s="336"/>
    </row>
    <row r="1587" spans="1:13" hidden="1" outlineLevel="2" x14ac:dyDescent="0.35">
      <c r="A1587" s="326" t="s">
        <v>80</v>
      </c>
      <c r="B1587" s="331">
        <v>44407</v>
      </c>
      <c r="C1587" s="332" t="s">
        <v>2392</v>
      </c>
      <c r="D1587" s="332" t="s">
        <v>2444</v>
      </c>
      <c r="E1587" s="332" t="s">
        <v>2440</v>
      </c>
      <c r="F1587" s="336">
        <v>240000</v>
      </c>
      <c r="G1587" s="330" t="s">
        <v>236</v>
      </c>
      <c r="H1587" s="329">
        <v>204.63239674996572</v>
      </c>
      <c r="I1587" s="338"/>
      <c r="J1587" s="338"/>
      <c r="K1587" s="338">
        <v>204.63239674996572</v>
      </c>
      <c r="L1587" s="338"/>
      <c r="M1587" s="336"/>
    </row>
    <row r="1588" spans="1:13" hidden="1" outlineLevel="2" x14ac:dyDescent="0.35">
      <c r="A1588" s="326" t="s">
        <v>80</v>
      </c>
      <c r="B1588" s="331">
        <v>44433</v>
      </c>
      <c r="C1588" s="332" t="s">
        <v>2223</v>
      </c>
      <c r="D1588" s="332" t="s">
        <v>2445</v>
      </c>
      <c r="E1588" s="332" t="s">
        <v>2440</v>
      </c>
      <c r="F1588" s="336">
        <v>95000</v>
      </c>
      <c r="G1588" s="330" t="s">
        <v>236</v>
      </c>
      <c r="H1588" s="329">
        <v>81.00032371352809</v>
      </c>
      <c r="I1588" s="338"/>
      <c r="J1588" s="338"/>
      <c r="K1588" s="338">
        <v>81.00032371352809</v>
      </c>
      <c r="L1588" s="338"/>
      <c r="M1588" s="336"/>
    </row>
    <row r="1589" spans="1:13" hidden="1" outlineLevel="2" x14ac:dyDescent="0.35">
      <c r="A1589" s="326" t="s">
        <v>80</v>
      </c>
      <c r="B1589" s="331">
        <v>44433</v>
      </c>
      <c r="C1589" s="332" t="s">
        <v>2223</v>
      </c>
      <c r="D1589" s="332" t="s">
        <v>2445</v>
      </c>
      <c r="E1589" s="332" t="s">
        <v>2440</v>
      </c>
      <c r="F1589" s="336">
        <v>95000</v>
      </c>
      <c r="G1589" s="330" t="s">
        <v>236</v>
      </c>
      <c r="H1589" s="329">
        <v>81.00032371352809</v>
      </c>
      <c r="I1589" s="338"/>
      <c r="J1589" s="338"/>
      <c r="K1589" s="338">
        <v>81.00032371352809</v>
      </c>
      <c r="L1589" s="338"/>
      <c r="M1589" s="336"/>
    </row>
    <row r="1590" spans="1:13" hidden="1" outlineLevel="2" x14ac:dyDescent="0.35">
      <c r="A1590" s="326" t="s">
        <v>80</v>
      </c>
      <c r="B1590" s="331">
        <v>44434</v>
      </c>
      <c r="C1590" s="332" t="s">
        <v>2446</v>
      </c>
      <c r="D1590" s="332" t="s">
        <v>2447</v>
      </c>
      <c r="E1590" s="332" t="s">
        <v>1214</v>
      </c>
      <c r="F1590" s="336">
        <v>30000</v>
      </c>
      <c r="G1590" s="330" t="s">
        <v>236</v>
      </c>
      <c r="H1590" s="329">
        <v>25.579049593745715</v>
      </c>
      <c r="I1590" s="338"/>
      <c r="J1590" s="338"/>
      <c r="K1590" s="338">
        <v>25.579049593745715</v>
      </c>
      <c r="L1590" s="338"/>
      <c r="M1590" s="336"/>
    </row>
    <row r="1591" spans="1:13" hidden="1" outlineLevel="2" x14ac:dyDescent="0.35">
      <c r="A1591" s="326" t="s">
        <v>80</v>
      </c>
      <c r="B1591" s="331">
        <v>44517</v>
      </c>
      <c r="C1591" s="332" t="s">
        <v>2217</v>
      </c>
      <c r="D1591" s="332" t="s">
        <v>2448</v>
      </c>
      <c r="E1591" s="332" t="s">
        <v>2326</v>
      </c>
      <c r="F1591" s="336">
        <v>8500</v>
      </c>
      <c r="G1591" s="330" t="s">
        <v>236</v>
      </c>
      <c r="H1591" s="329">
        <v>7.2473973848946196</v>
      </c>
      <c r="I1591" s="338"/>
      <c r="J1591" s="338"/>
      <c r="K1591" s="338">
        <v>7.2473973848946196</v>
      </c>
      <c r="L1591" s="338"/>
      <c r="M1591" s="336"/>
    </row>
    <row r="1592" spans="1:13" hidden="1" outlineLevel="2" x14ac:dyDescent="0.35">
      <c r="A1592" s="326" t="s">
        <v>80</v>
      </c>
      <c r="B1592" s="331">
        <v>44537</v>
      </c>
      <c r="C1592" s="332" t="s">
        <v>2449</v>
      </c>
      <c r="D1592" s="332" t="s">
        <v>2450</v>
      </c>
      <c r="E1592" s="332" t="s">
        <v>2326</v>
      </c>
      <c r="F1592" s="336">
        <v>38560</v>
      </c>
      <c r="G1592" s="330" t="s">
        <v>236</v>
      </c>
      <c r="H1592" s="329">
        <v>32.877605077827823</v>
      </c>
      <c r="I1592" s="338"/>
      <c r="J1592" s="338"/>
      <c r="K1592" s="338">
        <v>32.877605077827823</v>
      </c>
      <c r="L1592" s="338"/>
      <c r="M1592" s="336"/>
    </row>
    <row r="1593" spans="1:13" hidden="1" outlineLevel="2" x14ac:dyDescent="0.35">
      <c r="A1593" s="326" t="s">
        <v>80</v>
      </c>
      <c r="B1593" s="331"/>
      <c r="C1593" s="332" t="s">
        <v>2451</v>
      </c>
      <c r="D1593" s="332" t="s">
        <v>2452</v>
      </c>
      <c r="E1593" s="332" t="s">
        <v>2440</v>
      </c>
      <c r="F1593" s="336">
        <v>48000</v>
      </c>
      <c r="G1593" s="330" t="s">
        <v>236</v>
      </c>
      <c r="H1593" s="329">
        <v>40.926479349993144</v>
      </c>
      <c r="I1593" s="338"/>
      <c r="J1593" s="338"/>
      <c r="K1593" s="338">
        <v>40.926479349993144</v>
      </c>
      <c r="L1593" s="338"/>
      <c r="M1593" s="336"/>
    </row>
    <row r="1594" spans="1:13" hidden="1" outlineLevel="2" x14ac:dyDescent="0.35">
      <c r="A1594" s="326" t="s">
        <v>80</v>
      </c>
      <c r="B1594" s="331">
        <v>44560</v>
      </c>
      <c r="C1594" s="332" t="s">
        <v>2453</v>
      </c>
      <c r="D1594" s="332" t="s">
        <v>2454</v>
      </c>
      <c r="E1594" s="332" t="s">
        <v>2440</v>
      </c>
      <c r="F1594" s="336">
        <v>100000</v>
      </c>
      <c r="G1594" s="330" t="s">
        <v>236</v>
      </c>
      <c r="H1594" s="329">
        <v>85.263498645819055</v>
      </c>
      <c r="I1594" s="338"/>
      <c r="J1594" s="338"/>
      <c r="K1594" s="338">
        <v>85.263498645819055</v>
      </c>
      <c r="L1594" s="338"/>
      <c r="M1594" s="336"/>
    </row>
    <row r="1595" spans="1:13" hidden="1" outlineLevel="2" x14ac:dyDescent="0.35">
      <c r="A1595" s="326" t="s">
        <v>80</v>
      </c>
      <c r="B1595" s="331">
        <v>43886</v>
      </c>
      <c r="C1595" s="332" t="s">
        <v>1424</v>
      </c>
      <c r="D1595" s="332" t="s">
        <v>2455</v>
      </c>
      <c r="E1595" s="332" t="s">
        <v>2438</v>
      </c>
      <c r="F1595" s="336">
        <v>10080000</v>
      </c>
      <c r="G1595" s="330" t="s">
        <v>236</v>
      </c>
      <c r="H1595" s="329">
        <v>9364.9269073985215</v>
      </c>
      <c r="I1595" s="338"/>
      <c r="J1595" s="338"/>
      <c r="K1595" s="338">
        <v>9364.9269073985215</v>
      </c>
      <c r="L1595" s="338"/>
      <c r="M1595" s="336"/>
    </row>
    <row r="1596" spans="1:13" hidden="1" outlineLevel="2" x14ac:dyDescent="0.35">
      <c r="A1596" s="326" t="s">
        <v>80</v>
      </c>
      <c r="B1596" s="331">
        <v>43921</v>
      </c>
      <c r="C1596" s="332" t="s">
        <v>2456</v>
      </c>
      <c r="D1596" s="332" t="s">
        <v>2457</v>
      </c>
      <c r="E1596" s="332" t="s">
        <v>472</v>
      </c>
      <c r="F1596" s="336">
        <v>299854</v>
      </c>
      <c r="G1596" s="330" t="s">
        <v>236</v>
      </c>
      <c r="H1596" s="329">
        <v>278.58241992967027</v>
      </c>
      <c r="I1596" s="338"/>
      <c r="J1596" s="338"/>
      <c r="K1596" s="338">
        <v>278.58241992967027</v>
      </c>
      <c r="L1596" s="338"/>
      <c r="M1596" s="336"/>
    </row>
    <row r="1597" spans="1:13" hidden="1" outlineLevel="2" x14ac:dyDescent="0.35">
      <c r="A1597" s="326" t="s">
        <v>80</v>
      </c>
      <c r="B1597" s="331">
        <v>43889</v>
      </c>
      <c r="C1597" s="332" t="s">
        <v>1985</v>
      </c>
      <c r="D1597" s="332" t="s">
        <v>2458</v>
      </c>
      <c r="E1597" s="332" t="s">
        <v>436</v>
      </c>
      <c r="F1597" s="336">
        <v>10000</v>
      </c>
      <c r="G1597" s="330" t="s">
        <v>236</v>
      </c>
      <c r="H1597" s="329">
        <v>9.2906020906731364</v>
      </c>
      <c r="I1597" s="338"/>
      <c r="J1597" s="338"/>
      <c r="K1597" s="338">
        <v>9.2906020906731364</v>
      </c>
      <c r="L1597" s="338"/>
      <c r="M1597" s="336"/>
    </row>
    <row r="1598" spans="1:13" hidden="1" outlineLevel="2" x14ac:dyDescent="0.35">
      <c r="A1598" s="326" t="s">
        <v>80</v>
      </c>
      <c r="B1598" s="331">
        <v>43873</v>
      </c>
      <c r="C1598" s="332" t="s">
        <v>1685</v>
      </c>
      <c r="D1598" s="332" t="s">
        <v>2459</v>
      </c>
      <c r="E1598" s="332" t="s">
        <v>2438</v>
      </c>
      <c r="F1598" s="336">
        <v>6051600</v>
      </c>
      <c r="G1598" s="330" t="s">
        <v>236</v>
      </c>
      <c r="H1598" s="329">
        <v>5622.3007611917546</v>
      </c>
      <c r="I1598" s="338"/>
      <c r="J1598" s="338"/>
      <c r="K1598" s="338">
        <v>5622.3007611917546</v>
      </c>
      <c r="L1598" s="338"/>
      <c r="M1598" s="336"/>
    </row>
    <row r="1599" spans="1:13" hidden="1" outlineLevel="2" x14ac:dyDescent="0.35">
      <c r="A1599" s="326" t="s">
        <v>80</v>
      </c>
      <c r="B1599" s="331">
        <v>43857</v>
      </c>
      <c r="C1599" s="332" t="s">
        <v>1236</v>
      </c>
      <c r="D1599" s="332" t="s">
        <v>2460</v>
      </c>
      <c r="E1599" s="332" t="s">
        <v>2438</v>
      </c>
      <c r="F1599" s="336">
        <v>7920000</v>
      </c>
      <c r="G1599" s="330" t="s">
        <v>236</v>
      </c>
      <c r="H1599" s="329">
        <v>7358.1568558131239</v>
      </c>
      <c r="I1599" s="338"/>
      <c r="J1599" s="338"/>
      <c r="K1599" s="338">
        <v>7358.1568558131239</v>
      </c>
      <c r="L1599" s="338"/>
      <c r="M1599" s="336"/>
    </row>
    <row r="1600" spans="1:13" hidden="1" outlineLevel="2" x14ac:dyDescent="0.35">
      <c r="A1600" s="326" t="s">
        <v>80</v>
      </c>
      <c r="B1600" s="331">
        <v>43857</v>
      </c>
      <c r="C1600" s="332" t="s">
        <v>1236</v>
      </c>
      <c r="D1600" s="332" t="s">
        <v>2460</v>
      </c>
      <c r="E1600" s="332" t="s">
        <v>2438</v>
      </c>
      <c r="F1600" s="336">
        <v>576000</v>
      </c>
      <c r="G1600" s="330" t="s">
        <v>236</v>
      </c>
      <c r="H1600" s="329">
        <v>535.13868042277261</v>
      </c>
      <c r="I1600" s="338"/>
      <c r="J1600" s="338"/>
      <c r="K1600" s="338">
        <v>535.13868042277261</v>
      </c>
      <c r="L1600" s="338"/>
      <c r="M1600" s="336"/>
    </row>
    <row r="1601" spans="1:13" hidden="1" outlineLevel="2" x14ac:dyDescent="0.35">
      <c r="A1601" s="326" t="s">
        <v>80</v>
      </c>
      <c r="B1601" s="331">
        <v>43852</v>
      </c>
      <c r="C1601" s="332" t="s">
        <v>2461</v>
      </c>
      <c r="D1601" s="332" t="s">
        <v>2462</v>
      </c>
      <c r="E1601" s="332" t="s">
        <v>2463</v>
      </c>
      <c r="F1601" s="336">
        <v>19965600</v>
      </c>
      <c r="G1601" s="330" t="s">
        <v>236</v>
      </c>
      <c r="H1601" s="329">
        <v>18549.244510154356</v>
      </c>
      <c r="I1601" s="338"/>
      <c r="J1601" s="338"/>
      <c r="K1601" s="338">
        <v>18549.244510154356</v>
      </c>
      <c r="L1601" s="338"/>
      <c r="M1601" s="336"/>
    </row>
    <row r="1602" spans="1:13" hidden="1" outlineLevel="2" x14ac:dyDescent="0.35">
      <c r="A1602" s="326" t="s">
        <v>80</v>
      </c>
      <c r="B1602" s="331">
        <v>43854</v>
      </c>
      <c r="C1602" s="332" t="s">
        <v>2464</v>
      </c>
      <c r="D1602" s="332" t="s">
        <v>2465</v>
      </c>
      <c r="E1602" s="332" t="s">
        <v>2463</v>
      </c>
      <c r="F1602" s="336">
        <v>1274400</v>
      </c>
      <c r="G1602" s="330" t="s">
        <v>236</v>
      </c>
      <c r="H1602" s="329">
        <v>1183.9943304353844</v>
      </c>
      <c r="I1602" s="338"/>
      <c r="J1602" s="338"/>
      <c r="K1602" s="338">
        <v>1183.9943304353844</v>
      </c>
      <c r="L1602" s="338"/>
      <c r="M1602" s="336"/>
    </row>
    <row r="1603" spans="1:13" hidden="1" outlineLevel="2" x14ac:dyDescent="0.35">
      <c r="A1603" s="326" t="s">
        <v>80</v>
      </c>
      <c r="B1603" s="331">
        <v>43873</v>
      </c>
      <c r="C1603" s="332" t="s">
        <v>421</v>
      </c>
      <c r="D1603" s="332" t="s">
        <v>2466</v>
      </c>
      <c r="E1603" s="332" t="s">
        <v>2467</v>
      </c>
      <c r="F1603" s="336">
        <v>26100000</v>
      </c>
      <c r="G1603" s="330" t="s">
        <v>236</v>
      </c>
      <c r="H1603" s="329">
        <v>24248.471456656884</v>
      </c>
      <c r="I1603" s="338"/>
      <c r="J1603" s="338"/>
      <c r="K1603" s="338">
        <v>24248.471456656884</v>
      </c>
      <c r="L1603" s="338"/>
      <c r="M1603" s="336"/>
    </row>
    <row r="1604" spans="1:13" hidden="1" outlineLevel="2" x14ac:dyDescent="0.35">
      <c r="A1604" s="326" t="s">
        <v>80</v>
      </c>
      <c r="B1604" s="331">
        <v>43857</v>
      </c>
      <c r="C1604" s="332" t="s">
        <v>2468</v>
      </c>
      <c r="D1604" s="332" t="s">
        <v>2469</v>
      </c>
      <c r="E1604" s="332" t="s">
        <v>2438</v>
      </c>
      <c r="F1604" s="336">
        <v>1485000</v>
      </c>
      <c r="G1604" s="330" t="s">
        <v>236</v>
      </c>
      <c r="H1604" s="329">
        <v>1379.6544104649606</v>
      </c>
      <c r="I1604" s="338"/>
      <c r="J1604" s="338"/>
      <c r="K1604" s="338">
        <v>1379.6544104649606</v>
      </c>
      <c r="L1604" s="338"/>
      <c r="M1604" s="336"/>
    </row>
    <row r="1605" spans="1:13" hidden="1" outlineLevel="2" x14ac:dyDescent="0.35">
      <c r="A1605" s="326" t="s">
        <v>80</v>
      </c>
      <c r="B1605" s="331">
        <v>44061</v>
      </c>
      <c r="C1605" s="332" t="s">
        <v>2279</v>
      </c>
      <c r="D1605" s="332" t="s">
        <v>2470</v>
      </c>
      <c r="E1605" s="332" t="s">
        <v>2471</v>
      </c>
      <c r="F1605" s="336">
        <v>1413000</v>
      </c>
      <c r="G1605" s="330" t="s">
        <v>236</v>
      </c>
      <c r="H1605" s="329">
        <v>1312.7620754121142</v>
      </c>
      <c r="I1605" s="338"/>
      <c r="J1605" s="338"/>
      <c r="K1605" s="338">
        <v>1312.7620754121142</v>
      </c>
      <c r="L1605" s="338"/>
      <c r="M1605" s="336"/>
    </row>
    <row r="1606" spans="1:13" hidden="1" outlineLevel="2" x14ac:dyDescent="0.35">
      <c r="A1606" s="326" t="s">
        <v>80</v>
      </c>
      <c r="B1606" s="331">
        <v>43857</v>
      </c>
      <c r="C1606" s="332" t="s">
        <v>2472</v>
      </c>
      <c r="D1606" s="332" t="s">
        <v>2473</v>
      </c>
      <c r="E1606" s="332" t="s">
        <v>2438</v>
      </c>
      <c r="F1606" s="336">
        <v>1116000</v>
      </c>
      <c r="G1606" s="330" t="s">
        <v>236</v>
      </c>
      <c r="H1606" s="329">
        <v>1036.8311933191219</v>
      </c>
      <c r="I1606" s="338"/>
      <c r="J1606" s="338"/>
      <c r="K1606" s="338">
        <v>1036.8311933191219</v>
      </c>
      <c r="L1606" s="338"/>
      <c r="M1606" s="336"/>
    </row>
    <row r="1607" spans="1:13" hidden="1" outlineLevel="2" x14ac:dyDescent="0.35">
      <c r="A1607" s="326" t="s">
        <v>80</v>
      </c>
      <c r="B1607" s="331">
        <v>43857</v>
      </c>
      <c r="C1607" s="332" t="s">
        <v>2474</v>
      </c>
      <c r="D1607" s="332" t="s">
        <v>2475</v>
      </c>
      <c r="E1607" s="332" t="s">
        <v>2438</v>
      </c>
      <c r="F1607" s="336">
        <v>1485000</v>
      </c>
      <c r="G1607" s="330" t="s">
        <v>236</v>
      </c>
      <c r="H1607" s="329">
        <v>1379.6544104649606</v>
      </c>
      <c r="I1607" s="338"/>
      <c r="J1607" s="338"/>
      <c r="K1607" s="338">
        <v>1379.6544104649606</v>
      </c>
      <c r="L1607" s="338"/>
      <c r="M1607" s="336"/>
    </row>
    <row r="1608" spans="1:13" hidden="1" outlineLevel="2" x14ac:dyDescent="0.35">
      <c r="A1608" s="326" t="s">
        <v>80</v>
      </c>
      <c r="B1608" s="331">
        <v>43880</v>
      </c>
      <c r="C1608" s="332" t="s">
        <v>1052</v>
      </c>
      <c r="D1608" s="332" t="s">
        <v>2476</v>
      </c>
      <c r="E1608" s="332" t="s">
        <v>910</v>
      </c>
      <c r="F1608" s="336">
        <v>90000</v>
      </c>
      <c r="G1608" s="330" t="s">
        <v>236</v>
      </c>
      <c r="H1608" s="329">
        <v>83.615418816058224</v>
      </c>
      <c r="I1608" s="338"/>
      <c r="J1608" s="338"/>
      <c r="K1608" s="338">
        <v>83.615418816058224</v>
      </c>
      <c r="L1608" s="338"/>
      <c r="M1608" s="336"/>
    </row>
    <row r="1609" spans="1:13" hidden="1" outlineLevel="2" x14ac:dyDescent="0.35">
      <c r="A1609" s="326" t="s">
        <v>80</v>
      </c>
      <c r="B1609" s="331">
        <v>43885</v>
      </c>
      <c r="C1609" s="332" t="s">
        <v>1687</v>
      </c>
      <c r="D1609" s="332" t="s">
        <v>2477</v>
      </c>
      <c r="E1609" s="332" t="s">
        <v>436</v>
      </c>
      <c r="F1609" s="336">
        <v>129000</v>
      </c>
      <c r="G1609" s="330" t="s">
        <v>236</v>
      </c>
      <c r="H1609" s="329">
        <v>119.84876696968345</v>
      </c>
      <c r="I1609" s="338"/>
      <c r="J1609" s="338"/>
      <c r="K1609" s="338">
        <v>119.84876696968345</v>
      </c>
      <c r="L1609" s="338"/>
      <c r="M1609" s="336"/>
    </row>
    <row r="1610" spans="1:13" hidden="1" outlineLevel="2" x14ac:dyDescent="0.35">
      <c r="A1610" s="326" t="s">
        <v>80</v>
      </c>
      <c r="B1610" s="331">
        <v>43959</v>
      </c>
      <c r="C1610" s="332" t="s">
        <v>298</v>
      </c>
      <c r="D1610" s="332" t="s">
        <v>2478</v>
      </c>
      <c r="E1610" s="332" t="s">
        <v>654</v>
      </c>
      <c r="F1610" s="336">
        <v>18000</v>
      </c>
      <c r="G1610" s="330" t="s">
        <v>236</v>
      </c>
      <c r="H1610" s="329">
        <v>16.723083763211644</v>
      </c>
      <c r="I1610" s="338"/>
      <c r="J1610" s="338"/>
      <c r="K1610" s="338">
        <v>16.723083763211644</v>
      </c>
      <c r="L1610" s="338"/>
      <c r="M1610" s="336"/>
    </row>
    <row r="1611" spans="1:13" hidden="1" outlineLevel="2" x14ac:dyDescent="0.35">
      <c r="A1611" s="326" t="s">
        <v>80</v>
      </c>
      <c r="B1611" s="331">
        <v>44064</v>
      </c>
      <c r="C1611" s="332" t="s">
        <v>2479</v>
      </c>
      <c r="D1611" s="332" t="s">
        <v>2480</v>
      </c>
      <c r="E1611" s="332" t="s">
        <v>436</v>
      </c>
      <c r="F1611" s="336">
        <v>45000</v>
      </c>
      <c r="G1611" s="330" t="s">
        <v>236</v>
      </c>
      <c r="H1611" s="329">
        <v>41.807709408029112</v>
      </c>
      <c r="I1611" s="338"/>
      <c r="J1611" s="338"/>
      <c r="K1611" s="338">
        <v>41.807709408029112</v>
      </c>
      <c r="L1611" s="338"/>
      <c r="M1611" s="336"/>
    </row>
    <row r="1612" spans="1:13" hidden="1" outlineLevel="2" x14ac:dyDescent="0.35">
      <c r="A1612" s="326" t="s">
        <v>80</v>
      </c>
      <c r="B1612" s="331">
        <v>44067</v>
      </c>
      <c r="C1612" s="332" t="s">
        <v>2277</v>
      </c>
      <c r="D1612" s="332" t="s">
        <v>2481</v>
      </c>
      <c r="E1612" s="332" t="s">
        <v>436</v>
      </c>
      <c r="F1612" s="336">
        <v>46410</v>
      </c>
      <c r="G1612" s="330" t="s">
        <v>236</v>
      </c>
      <c r="H1612" s="329">
        <v>43.117684302814027</v>
      </c>
      <c r="I1612" s="338"/>
      <c r="J1612" s="338"/>
      <c r="K1612" s="338">
        <v>43.117684302814027</v>
      </c>
      <c r="L1612" s="338"/>
      <c r="M1612" s="336"/>
    </row>
    <row r="1613" spans="1:13" hidden="1" outlineLevel="2" x14ac:dyDescent="0.35">
      <c r="A1613" s="326" t="s">
        <v>80</v>
      </c>
      <c r="B1613" s="331">
        <v>44084</v>
      </c>
      <c r="C1613" s="332" t="s">
        <v>390</v>
      </c>
      <c r="D1613" s="332" t="s">
        <v>2482</v>
      </c>
      <c r="E1613" s="332" t="s">
        <v>436</v>
      </c>
      <c r="F1613" s="336">
        <v>37410</v>
      </c>
      <c r="G1613" s="330" t="s">
        <v>236</v>
      </c>
      <c r="H1613" s="329">
        <v>34.756142421208203</v>
      </c>
      <c r="I1613" s="338"/>
      <c r="J1613" s="338"/>
      <c r="K1613" s="338">
        <v>34.756142421208203</v>
      </c>
      <c r="L1613" s="338"/>
      <c r="M1613" s="336"/>
    </row>
    <row r="1614" spans="1:13" hidden="1" outlineLevel="2" x14ac:dyDescent="0.35">
      <c r="A1614" s="326" t="s">
        <v>80</v>
      </c>
      <c r="B1614" s="331">
        <v>44096</v>
      </c>
      <c r="C1614" s="332" t="s">
        <v>2483</v>
      </c>
      <c r="D1614" s="332" t="s">
        <v>2484</v>
      </c>
      <c r="E1614" s="332" t="s">
        <v>436</v>
      </c>
      <c r="F1614" s="336">
        <v>8740</v>
      </c>
      <c r="G1614" s="330" t="s">
        <v>236</v>
      </c>
      <c r="H1614" s="329">
        <v>8.1199862272483205</v>
      </c>
      <c r="I1614" s="338"/>
      <c r="J1614" s="338"/>
      <c r="K1614" s="338">
        <v>8.1199862272483205</v>
      </c>
      <c r="L1614" s="338"/>
      <c r="M1614" s="336"/>
    </row>
    <row r="1615" spans="1:13" hidden="1" outlineLevel="2" x14ac:dyDescent="0.35">
      <c r="A1615" s="326" t="s">
        <v>80</v>
      </c>
      <c r="B1615" s="331">
        <v>44124</v>
      </c>
      <c r="C1615" s="332" t="s">
        <v>2003</v>
      </c>
      <c r="D1615" s="332" t="s">
        <v>2485</v>
      </c>
      <c r="E1615" s="332" t="s">
        <v>710</v>
      </c>
      <c r="F1615" s="336">
        <v>50340</v>
      </c>
      <c r="G1615" s="330" t="s">
        <v>236</v>
      </c>
      <c r="H1615" s="329">
        <v>46.76889092444857</v>
      </c>
      <c r="I1615" s="338"/>
      <c r="J1615" s="338"/>
      <c r="K1615" s="338">
        <v>46.76889092444857</v>
      </c>
      <c r="L1615" s="338"/>
      <c r="M1615" s="336"/>
    </row>
    <row r="1616" spans="1:13" hidden="1" outlineLevel="2" x14ac:dyDescent="0.35">
      <c r="A1616" s="326" t="s">
        <v>80</v>
      </c>
      <c r="B1616" s="331">
        <v>44174</v>
      </c>
      <c r="C1616" s="332" t="s">
        <v>335</v>
      </c>
      <c r="D1616" s="332" t="s">
        <v>2486</v>
      </c>
      <c r="E1616" s="332" t="s">
        <v>1150</v>
      </c>
      <c r="F1616" s="336">
        <v>55410</v>
      </c>
      <c r="G1616" s="330" t="s">
        <v>236</v>
      </c>
      <c r="H1616" s="329">
        <v>51.479226184419851</v>
      </c>
      <c r="I1616" s="338"/>
      <c r="J1616" s="338"/>
      <c r="K1616" s="338">
        <v>51.479226184419851</v>
      </c>
      <c r="L1616" s="338"/>
      <c r="M1616" s="336"/>
    </row>
    <row r="1617" spans="1:13" hidden="1" outlineLevel="2" x14ac:dyDescent="0.35">
      <c r="A1617" s="326" t="s">
        <v>80</v>
      </c>
      <c r="B1617" s="331">
        <v>43854</v>
      </c>
      <c r="C1617" s="332" t="s">
        <v>2487</v>
      </c>
      <c r="D1617" s="332" t="s">
        <v>2488</v>
      </c>
      <c r="E1617" s="332" t="s">
        <v>2438</v>
      </c>
      <c r="F1617" s="336">
        <v>12420000</v>
      </c>
      <c r="G1617" s="330" t="s">
        <v>236</v>
      </c>
      <c r="H1617" s="329">
        <v>11538.927796616035</v>
      </c>
      <c r="I1617" s="338"/>
      <c r="J1617" s="338"/>
      <c r="K1617" s="338">
        <v>11538.927796616035</v>
      </c>
      <c r="L1617" s="338"/>
      <c r="M1617" s="336"/>
    </row>
    <row r="1618" spans="1:13" outlineLevel="1" collapsed="1" x14ac:dyDescent="0.35">
      <c r="A1618" s="334" t="s">
        <v>2489</v>
      </c>
      <c r="B1618" s="331"/>
      <c r="C1618" s="332"/>
      <c r="D1618" s="332"/>
      <c r="E1618" s="332"/>
      <c r="F1618" s="336"/>
      <c r="G1618" s="330"/>
      <c r="H1618" s="329">
        <f t="shared" ref="H1618:M1618" si="81">SUBTOTAL(9,H1567:H1617)</f>
        <v>146851.16033989892</v>
      </c>
      <c r="I1618" s="338">
        <f t="shared" si="81"/>
        <v>0</v>
      </c>
      <c r="J1618" s="338">
        <f t="shared" si="81"/>
        <v>0</v>
      </c>
      <c r="K1618" s="338">
        <f t="shared" si="81"/>
        <v>146851.16033989892</v>
      </c>
      <c r="L1618" s="338">
        <f t="shared" si="81"/>
        <v>0</v>
      </c>
      <c r="M1618" s="336">
        <f t="shared" si="81"/>
        <v>0</v>
      </c>
    </row>
    <row r="1619" spans="1:13" hidden="1" outlineLevel="2" x14ac:dyDescent="0.35">
      <c r="A1619" s="326" t="s">
        <v>74</v>
      </c>
      <c r="B1619" s="331">
        <v>43773</v>
      </c>
      <c r="C1619" s="332" t="s">
        <v>2378</v>
      </c>
      <c r="D1619" s="332" t="s">
        <v>2490</v>
      </c>
      <c r="E1619" s="332" t="s">
        <v>2491</v>
      </c>
      <c r="F1619" s="336">
        <v>320000</v>
      </c>
      <c r="G1619" s="330" t="s">
        <v>236</v>
      </c>
      <c r="H1619" s="329">
        <v>315.05517904870044</v>
      </c>
      <c r="I1619" s="338"/>
      <c r="J1619" s="338">
        <v>315.05517904870044</v>
      </c>
      <c r="K1619" s="338"/>
      <c r="L1619" s="338"/>
      <c r="M1619" s="336"/>
    </row>
    <row r="1620" spans="1:13" hidden="1" outlineLevel="2" x14ac:dyDescent="0.35">
      <c r="A1620" s="326" t="s">
        <v>74</v>
      </c>
      <c r="B1620" s="331">
        <v>43767</v>
      </c>
      <c r="C1620" s="332" t="s">
        <v>2492</v>
      </c>
      <c r="D1620" s="332" t="s">
        <v>2493</v>
      </c>
      <c r="E1620" s="332" t="s">
        <v>2494</v>
      </c>
      <c r="F1620" s="336">
        <v>211200</v>
      </c>
      <c r="G1620" s="330" t="s">
        <v>236</v>
      </c>
      <c r="H1620" s="329">
        <v>207.93641817214228</v>
      </c>
      <c r="I1620" s="338"/>
      <c r="J1620" s="338">
        <v>207.93641817214228</v>
      </c>
      <c r="K1620" s="338"/>
      <c r="L1620" s="338"/>
      <c r="M1620" s="336"/>
    </row>
    <row r="1621" spans="1:13" hidden="1" outlineLevel="2" x14ac:dyDescent="0.35">
      <c r="A1621" s="326" t="s">
        <v>74</v>
      </c>
      <c r="B1621" s="331">
        <v>43822</v>
      </c>
      <c r="C1621" s="332" t="s">
        <v>607</v>
      </c>
      <c r="D1621" s="332" t="s">
        <v>2495</v>
      </c>
      <c r="E1621" s="332" t="s">
        <v>2496</v>
      </c>
      <c r="F1621" s="336">
        <v>68000</v>
      </c>
      <c r="G1621" s="330" t="s">
        <v>236</v>
      </c>
      <c r="H1621" s="329">
        <v>66.94922554784884</v>
      </c>
      <c r="I1621" s="338"/>
      <c r="J1621" s="338">
        <v>66.94922554784884</v>
      </c>
      <c r="K1621" s="338"/>
      <c r="L1621" s="338"/>
      <c r="M1621" s="336"/>
    </row>
    <row r="1622" spans="1:13" hidden="1" outlineLevel="2" x14ac:dyDescent="0.35">
      <c r="A1622" s="326" t="s">
        <v>74</v>
      </c>
      <c r="B1622" s="331">
        <v>43819</v>
      </c>
      <c r="C1622" s="332" t="s">
        <v>1983</v>
      </c>
      <c r="D1622" s="332" t="s">
        <v>2497</v>
      </c>
      <c r="E1622" s="332" t="s">
        <v>2498</v>
      </c>
      <c r="F1622" s="336">
        <v>745000</v>
      </c>
      <c r="G1622" s="330" t="s">
        <v>236</v>
      </c>
      <c r="H1622" s="329">
        <v>733.48783872275567</v>
      </c>
      <c r="I1622" s="338"/>
      <c r="J1622" s="338">
        <v>733.48783872275567</v>
      </c>
      <c r="K1622" s="338"/>
      <c r="L1622" s="338"/>
      <c r="M1622" s="336"/>
    </row>
    <row r="1623" spans="1:13" hidden="1" outlineLevel="2" x14ac:dyDescent="0.35">
      <c r="A1623" s="326" t="s">
        <v>74</v>
      </c>
      <c r="B1623" s="331">
        <v>43799</v>
      </c>
      <c r="C1623" s="332" t="s">
        <v>2499</v>
      </c>
      <c r="D1623" s="332" t="s">
        <v>2500</v>
      </c>
      <c r="E1623" s="332" t="s">
        <v>2501</v>
      </c>
      <c r="F1623" s="336">
        <v>3000000</v>
      </c>
      <c r="G1623" s="330" t="s">
        <v>236</v>
      </c>
      <c r="H1623" s="329">
        <v>2953.6423035815665</v>
      </c>
      <c r="I1623" s="338"/>
      <c r="J1623" s="338">
        <v>2953.6423035815665</v>
      </c>
      <c r="K1623" s="338"/>
      <c r="L1623" s="338"/>
      <c r="M1623" s="336"/>
    </row>
    <row r="1624" spans="1:13" hidden="1" outlineLevel="2" x14ac:dyDescent="0.35">
      <c r="A1624" s="326" t="s">
        <v>74</v>
      </c>
      <c r="B1624" s="331">
        <v>43829</v>
      </c>
      <c r="C1624" s="332" t="s">
        <v>2502</v>
      </c>
      <c r="D1624" s="332" t="s">
        <v>2503</v>
      </c>
      <c r="E1624" s="332" t="s">
        <v>2504</v>
      </c>
      <c r="F1624" s="336">
        <v>600000</v>
      </c>
      <c r="G1624" s="330" t="s">
        <v>236</v>
      </c>
      <c r="H1624" s="329">
        <v>590.72846071631329</v>
      </c>
      <c r="I1624" s="338"/>
      <c r="J1624" s="338">
        <v>590.72846071631329</v>
      </c>
      <c r="K1624" s="338"/>
      <c r="L1624" s="338"/>
      <c r="M1624" s="336"/>
    </row>
    <row r="1625" spans="1:13" outlineLevel="1" collapsed="1" x14ac:dyDescent="0.35">
      <c r="A1625" s="334" t="s">
        <v>2505</v>
      </c>
      <c r="B1625" s="331"/>
      <c r="C1625" s="332"/>
      <c r="D1625" s="332"/>
      <c r="E1625" s="332"/>
      <c r="F1625" s="336"/>
      <c r="G1625" s="330"/>
      <c r="H1625" s="329">
        <f t="shared" ref="H1625:M1625" si="82">SUBTOTAL(9,H1619:H1624)</f>
        <v>4867.7994257893261</v>
      </c>
      <c r="I1625" s="338">
        <f t="shared" si="82"/>
        <v>0</v>
      </c>
      <c r="J1625" s="338">
        <f t="shared" si="82"/>
        <v>4867.7994257893261</v>
      </c>
      <c r="K1625" s="338">
        <f t="shared" si="82"/>
        <v>0</v>
      </c>
      <c r="L1625" s="338">
        <f t="shared" si="82"/>
        <v>0</v>
      </c>
      <c r="M1625" s="336">
        <f t="shared" si="82"/>
        <v>0</v>
      </c>
    </row>
    <row r="1626" spans="1:13" hidden="1" outlineLevel="2" x14ac:dyDescent="0.35">
      <c r="A1626" s="339" t="s">
        <v>222</v>
      </c>
      <c r="B1626" s="331">
        <v>43738</v>
      </c>
      <c r="C1626" s="332" t="s">
        <v>1087</v>
      </c>
      <c r="D1626" s="332" t="s">
        <v>2506</v>
      </c>
      <c r="E1626" s="332" t="s">
        <v>2507</v>
      </c>
      <c r="F1626" s="336">
        <v>895.03</v>
      </c>
      <c r="G1626" s="330" t="s">
        <v>56</v>
      </c>
      <c r="H1626" s="329">
        <v>895.03</v>
      </c>
      <c r="I1626" s="338">
        <f t="shared" ref="I1626:L1636" si="83">$H1626/4</f>
        <v>223.75749999999999</v>
      </c>
      <c r="J1626" s="338">
        <f t="shared" si="83"/>
        <v>223.75749999999999</v>
      </c>
      <c r="K1626" s="338">
        <f t="shared" si="83"/>
        <v>223.75749999999999</v>
      </c>
      <c r="L1626" s="338">
        <f t="shared" si="83"/>
        <v>223.75749999999999</v>
      </c>
      <c r="M1626" s="332"/>
    </row>
    <row r="1627" spans="1:13" hidden="1" outlineLevel="2" x14ac:dyDescent="0.35">
      <c r="A1627" s="339" t="s">
        <v>222</v>
      </c>
      <c r="B1627" s="331">
        <v>43830</v>
      </c>
      <c r="C1627" s="332" t="s">
        <v>1090</v>
      </c>
      <c r="D1627" s="332" t="s">
        <v>2508</v>
      </c>
      <c r="E1627" s="332" t="s">
        <v>2507</v>
      </c>
      <c r="F1627" s="336">
        <v>895.03</v>
      </c>
      <c r="G1627" s="330" t="s">
        <v>56</v>
      </c>
      <c r="H1627" s="329">
        <v>895.03</v>
      </c>
      <c r="I1627" s="338">
        <f t="shared" si="83"/>
        <v>223.75749999999999</v>
      </c>
      <c r="J1627" s="338">
        <f t="shared" si="83"/>
        <v>223.75749999999999</v>
      </c>
      <c r="K1627" s="338">
        <f t="shared" si="83"/>
        <v>223.75749999999999</v>
      </c>
      <c r="L1627" s="338">
        <f t="shared" si="83"/>
        <v>223.75749999999999</v>
      </c>
      <c r="M1627" s="332"/>
    </row>
    <row r="1628" spans="1:13" hidden="1" outlineLevel="2" x14ac:dyDescent="0.35">
      <c r="A1628" s="339" t="s">
        <v>222</v>
      </c>
      <c r="B1628" s="331">
        <v>43921</v>
      </c>
      <c r="C1628" s="332" t="s">
        <v>1092</v>
      </c>
      <c r="D1628" s="332" t="s">
        <v>2509</v>
      </c>
      <c r="E1628" s="332" t="s">
        <v>2507</v>
      </c>
      <c r="F1628" s="336">
        <v>1074.03</v>
      </c>
      <c r="G1628" s="330" t="s">
        <v>56</v>
      </c>
      <c r="H1628" s="329">
        <v>1074.03</v>
      </c>
      <c r="I1628" s="338">
        <f t="shared" si="83"/>
        <v>268.50749999999999</v>
      </c>
      <c r="J1628" s="338">
        <f t="shared" si="83"/>
        <v>268.50749999999999</v>
      </c>
      <c r="K1628" s="338">
        <f t="shared" si="83"/>
        <v>268.50749999999999</v>
      </c>
      <c r="L1628" s="338">
        <f t="shared" si="83"/>
        <v>268.50749999999999</v>
      </c>
      <c r="M1628" s="332"/>
    </row>
    <row r="1629" spans="1:13" hidden="1" outlineLevel="2" x14ac:dyDescent="0.35">
      <c r="A1629" s="339" t="s">
        <v>222</v>
      </c>
      <c r="B1629" s="331">
        <v>44012</v>
      </c>
      <c r="C1629" s="332" t="s">
        <v>1094</v>
      </c>
      <c r="D1629" s="332" t="s">
        <v>2510</v>
      </c>
      <c r="E1629" s="332" t="s">
        <v>1959</v>
      </c>
      <c r="F1629" s="336">
        <v>1074.03</v>
      </c>
      <c r="G1629" s="330" t="s">
        <v>56</v>
      </c>
      <c r="H1629" s="329">
        <v>1074.03</v>
      </c>
      <c r="I1629" s="338">
        <f t="shared" si="83"/>
        <v>268.50749999999999</v>
      </c>
      <c r="J1629" s="338">
        <f t="shared" si="83"/>
        <v>268.50749999999999</v>
      </c>
      <c r="K1629" s="338">
        <f t="shared" si="83"/>
        <v>268.50749999999999</v>
      </c>
      <c r="L1629" s="338">
        <f t="shared" si="83"/>
        <v>268.50749999999999</v>
      </c>
      <c r="M1629" s="332"/>
    </row>
    <row r="1630" spans="1:13" hidden="1" outlineLevel="2" x14ac:dyDescent="0.35">
      <c r="A1630" s="339" t="s">
        <v>222</v>
      </c>
      <c r="B1630" s="331">
        <v>44104</v>
      </c>
      <c r="C1630" s="332" t="s">
        <v>1096</v>
      </c>
      <c r="D1630" s="332" t="s">
        <v>2511</v>
      </c>
      <c r="E1630" s="332" t="s">
        <v>1089</v>
      </c>
      <c r="F1630" s="336">
        <v>626.52</v>
      </c>
      <c r="G1630" s="330" t="s">
        <v>56</v>
      </c>
      <c r="H1630" s="329">
        <v>626.52</v>
      </c>
      <c r="I1630" s="338">
        <f t="shared" si="83"/>
        <v>156.63</v>
      </c>
      <c r="J1630" s="338">
        <f t="shared" si="83"/>
        <v>156.63</v>
      </c>
      <c r="K1630" s="338">
        <f t="shared" si="83"/>
        <v>156.63</v>
      </c>
      <c r="L1630" s="338">
        <f t="shared" si="83"/>
        <v>156.63</v>
      </c>
      <c r="M1630" s="332"/>
    </row>
    <row r="1631" spans="1:13" hidden="1" outlineLevel="2" x14ac:dyDescent="0.35">
      <c r="A1631" s="339" t="s">
        <v>222</v>
      </c>
      <c r="B1631" s="331">
        <v>44196</v>
      </c>
      <c r="C1631" s="332" t="s">
        <v>1099</v>
      </c>
      <c r="D1631" s="332" t="s">
        <v>2512</v>
      </c>
      <c r="E1631" s="332" t="s">
        <v>1959</v>
      </c>
      <c r="F1631" s="336">
        <v>626.52</v>
      </c>
      <c r="G1631" s="330" t="s">
        <v>56</v>
      </c>
      <c r="H1631" s="329">
        <v>626.52</v>
      </c>
      <c r="I1631" s="338">
        <f t="shared" si="83"/>
        <v>156.63</v>
      </c>
      <c r="J1631" s="338">
        <f t="shared" si="83"/>
        <v>156.63</v>
      </c>
      <c r="K1631" s="338">
        <f t="shared" si="83"/>
        <v>156.63</v>
      </c>
      <c r="L1631" s="338">
        <f t="shared" si="83"/>
        <v>156.63</v>
      </c>
      <c r="M1631" s="332"/>
    </row>
    <row r="1632" spans="1:13" hidden="1" outlineLevel="2" x14ac:dyDescent="0.35">
      <c r="A1632" s="339" t="s">
        <v>222</v>
      </c>
      <c r="B1632" s="331">
        <v>44286</v>
      </c>
      <c r="C1632" s="332" t="s">
        <v>1101</v>
      </c>
      <c r="D1632" s="332" t="s">
        <v>2513</v>
      </c>
      <c r="E1632" s="332" t="s">
        <v>1959</v>
      </c>
      <c r="F1632" s="336">
        <v>850.27</v>
      </c>
      <c r="G1632" s="330" t="s">
        <v>56</v>
      </c>
      <c r="H1632" s="329">
        <v>850.27</v>
      </c>
      <c r="I1632" s="338">
        <f t="shared" si="83"/>
        <v>212.5675</v>
      </c>
      <c r="J1632" s="338">
        <f t="shared" si="83"/>
        <v>212.5675</v>
      </c>
      <c r="K1632" s="338">
        <f t="shared" si="83"/>
        <v>212.5675</v>
      </c>
      <c r="L1632" s="338">
        <f t="shared" si="83"/>
        <v>212.5675</v>
      </c>
      <c r="M1632" s="332"/>
    </row>
    <row r="1633" spans="1:13" hidden="1" outlineLevel="2" x14ac:dyDescent="0.35">
      <c r="A1633" s="339" t="s">
        <v>222</v>
      </c>
      <c r="B1633" s="331">
        <v>44377</v>
      </c>
      <c r="C1633" s="332" t="s">
        <v>1103</v>
      </c>
      <c r="D1633" s="332" t="s">
        <v>2514</v>
      </c>
      <c r="E1633" s="332" t="s">
        <v>1959</v>
      </c>
      <c r="F1633" s="336">
        <v>850.27</v>
      </c>
      <c r="G1633" s="330" t="s">
        <v>56</v>
      </c>
      <c r="H1633" s="329">
        <v>850.27</v>
      </c>
      <c r="I1633" s="338">
        <f t="shared" si="83"/>
        <v>212.5675</v>
      </c>
      <c r="J1633" s="338">
        <f t="shared" si="83"/>
        <v>212.5675</v>
      </c>
      <c r="K1633" s="338">
        <f t="shared" si="83"/>
        <v>212.5675</v>
      </c>
      <c r="L1633" s="338">
        <f t="shared" si="83"/>
        <v>212.5675</v>
      </c>
      <c r="M1633" s="332"/>
    </row>
    <row r="1634" spans="1:13" hidden="1" outlineLevel="2" x14ac:dyDescent="0.35">
      <c r="A1634" s="339" t="s">
        <v>222</v>
      </c>
      <c r="B1634" s="331">
        <v>44469</v>
      </c>
      <c r="C1634" s="332" t="s">
        <v>2515</v>
      </c>
      <c r="D1634" s="332" t="s">
        <v>2516</v>
      </c>
      <c r="E1634" s="332" t="s">
        <v>1959</v>
      </c>
      <c r="F1634" s="336">
        <v>719.46</v>
      </c>
      <c r="G1634" s="330" t="s">
        <v>56</v>
      </c>
      <c r="H1634" s="329">
        <v>719.46</v>
      </c>
      <c r="I1634" s="338">
        <f t="shared" si="83"/>
        <v>179.86500000000001</v>
      </c>
      <c r="J1634" s="338">
        <f t="shared" si="83"/>
        <v>179.86500000000001</v>
      </c>
      <c r="K1634" s="338">
        <f t="shared" si="83"/>
        <v>179.86500000000001</v>
      </c>
      <c r="L1634" s="338">
        <f t="shared" si="83"/>
        <v>179.86500000000001</v>
      </c>
      <c r="M1634" s="332"/>
    </row>
    <row r="1635" spans="1:13" hidden="1" outlineLevel="2" x14ac:dyDescent="0.35">
      <c r="A1635" s="339" t="s">
        <v>222</v>
      </c>
      <c r="B1635" s="331">
        <v>44561</v>
      </c>
      <c r="C1635" s="332" t="s">
        <v>2517</v>
      </c>
      <c r="D1635" s="332" t="s">
        <v>2518</v>
      </c>
      <c r="E1635" s="332" t="s">
        <v>1959</v>
      </c>
      <c r="F1635" s="336">
        <v>359.73</v>
      </c>
      <c r="G1635" s="330" t="s">
        <v>56</v>
      </c>
      <c r="H1635" s="329">
        <v>359.73</v>
      </c>
      <c r="I1635" s="338">
        <f t="shared" si="83"/>
        <v>89.932500000000005</v>
      </c>
      <c r="J1635" s="338">
        <f t="shared" si="83"/>
        <v>89.932500000000005</v>
      </c>
      <c r="K1635" s="338">
        <f t="shared" si="83"/>
        <v>89.932500000000005</v>
      </c>
      <c r="L1635" s="338">
        <f t="shared" si="83"/>
        <v>89.932500000000005</v>
      </c>
      <c r="M1635" s="332"/>
    </row>
    <row r="1636" spans="1:13" hidden="1" outlineLevel="2" x14ac:dyDescent="0.35">
      <c r="A1636" s="339" t="s">
        <v>222</v>
      </c>
      <c r="B1636" s="331">
        <v>44561</v>
      </c>
      <c r="C1636" s="332" t="s">
        <v>2519</v>
      </c>
      <c r="D1636" s="332" t="s">
        <v>2520</v>
      </c>
      <c r="E1636" s="332" t="s">
        <v>1959</v>
      </c>
      <c r="F1636" s="336">
        <v>359.73</v>
      </c>
      <c r="G1636" s="330" t="s">
        <v>56</v>
      </c>
      <c r="H1636" s="329">
        <v>359.73</v>
      </c>
      <c r="I1636" s="338">
        <f t="shared" si="83"/>
        <v>89.932500000000005</v>
      </c>
      <c r="J1636" s="338">
        <f t="shared" si="83"/>
        <v>89.932500000000005</v>
      </c>
      <c r="K1636" s="338">
        <f t="shared" si="83"/>
        <v>89.932500000000005</v>
      </c>
      <c r="L1636" s="338">
        <f t="shared" si="83"/>
        <v>89.932500000000005</v>
      </c>
      <c r="M1636" s="332"/>
    </row>
    <row r="1637" spans="1:13" outlineLevel="1" collapsed="1" x14ac:dyDescent="0.35">
      <c r="A1637" s="343" t="s">
        <v>2521</v>
      </c>
      <c r="B1637" s="331"/>
      <c r="C1637" s="332"/>
      <c r="D1637" s="332"/>
      <c r="E1637" s="332"/>
      <c r="F1637" s="336"/>
      <c r="G1637" s="330"/>
      <c r="H1637" s="329">
        <f t="shared" ref="H1637:M1637" si="84">SUBTOTAL(9,H1626:H1636)</f>
        <v>8330.6200000000008</v>
      </c>
      <c r="I1637" s="338">
        <f t="shared" si="84"/>
        <v>2082.6550000000002</v>
      </c>
      <c r="J1637" s="338">
        <f t="shared" si="84"/>
        <v>2082.6550000000002</v>
      </c>
      <c r="K1637" s="338">
        <f t="shared" si="84"/>
        <v>2082.6550000000002</v>
      </c>
      <c r="L1637" s="338">
        <f t="shared" si="84"/>
        <v>2082.6550000000002</v>
      </c>
      <c r="M1637" s="332">
        <f t="shared" si="84"/>
        <v>0</v>
      </c>
    </row>
    <row r="1638" spans="1:13" hidden="1" outlineLevel="2" x14ac:dyDescent="0.35">
      <c r="A1638" s="339" t="s">
        <v>145</v>
      </c>
      <c r="B1638" s="331">
        <v>44082</v>
      </c>
      <c r="C1638" s="332" t="s">
        <v>1223</v>
      </c>
      <c r="D1638" s="332" t="s">
        <v>2522</v>
      </c>
      <c r="E1638" s="332" t="s">
        <v>2523</v>
      </c>
      <c r="F1638" s="336">
        <v>2244900</v>
      </c>
      <c r="G1638" s="330" t="s">
        <v>236</v>
      </c>
      <c r="H1638" s="329">
        <v>2085.6472633352123</v>
      </c>
      <c r="I1638" s="338"/>
      <c r="J1638" s="338">
        <v>2085.6472633352123</v>
      </c>
      <c r="K1638" s="338"/>
      <c r="L1638" s="338"/>
      <c r="M1638" s="336"/>
    </row>
    <row r="1639" spans="1:13" hidden="1" outlineLevel="2" x14ac:dyDescent="0.35">
      <c r="A1639" s="339" t="s">
        <v>145</v>
      </c>
      <c r="B1639" s="331">
        <v>44155</v>
      </c>
      <c r="C1639" s="332" t="s">
        <v>331</v>
      </c>
      <c r="D1639" s="332" t="s">
        <v>2524</v>
      </c>
      <c r="E1639" s="332" t="s">
        <v>2491</v>
      </c>
      <c r="F1639" s="336">
        <v>334500</v>
      </c>
      <c r="G1639" s="330" t="s">
        <v>236</v>
      </c>
      <c r="H1639" s="329">
        <v>310.77063993301641</v>
      </c>
      <c r="I1639" s="338"/>
      <c r="J1639" s="338">
        <v>310.77063993301641</v>
      </c>
      <c r="K1639" s="338"/>
      <c r="L1639" s="338"/>
      <c r="M1639" s="336"/>
    </row>
    <row r="1640" spans="1:13" hidden="1" outlineLevel="2" x14ac:dyDescent="0.35">
      <c r="A1640" s="339" t="s">
        <v>145</v>
      </c>
      <c r="B1640" s="331">
        <v>43943</v>
      </c>
      <c r="C1640" s="332" t="s">
        <v>2525</v>
      </c>
      <c r="D1640" s="332" t="s">
        <v>2526</v>
      </c>
      <c r="E1640" s="332" t="s">
        <v>2527</v>
      </c>
      <c r="F1640" s="336">
        <v>749600</v>
      </c>
      <c r="G1640" s="330" t="s">
        <v>236</v>
      </c>
      <c r="H1640" s="329">
        <v>696.42353271685829</v>
      </c>
      <c r="I1640" s="338"/>
      <c r="J1640" s="338">
        <v>696.42353271685829</v>
      </c>
      <c r="K1640" s="338"/>
      <c r="L1640" s="338"/>
      <c r="M1640" s="336"/>
    </row>
    <row r="1641" spans="1:13" hidden="1" outlineLevel="2" x14ac:dyDescent="0.35">
      <c r="A1641" s="339" t="s">
        <v>145</v>
      </c>
      <c r="B1641" s="331">
        <v>44077</v>
      </c>
      <c r="C1641" s="332" t="s">
        <v>687</v>
      </c>
      <c r="D1641" s="332" t="s">
        <v>2528</v>
      </c>
      <c r="E1641" s="332" t="s">
        <v>2529</v>
      </c>
      <c r="F1641" s="336">
        <v>675000</v>
      </c>
      <c r="G1641" s="330" t="s">
        <v>236</v>
      </c>
      <c r="H1641" s="329">
        <v>627.11564112043663</v>
      </c>
      <c r="I1641" s="338"/>
      <c r="J1641" s="338">
        <v>627.11564112043663</v>
      </c>
      <c r="K1641" s="338"/>
      <c r="L1641" s="338"/>
      <c r="M1641" s="336"/>
    </row>
    <row r="1642" spans="1:13" hidden="1" outlineLevel="2" x14ac:dyDescent="0.35">
      <c r="A1642" s="339" t="s">
        <v>145</v>
      </c>
      <c r="B1642" s="331">
        <v>44161</v>
      </c>
      <c r="C1642" s="332" t="s">
        <v>2530</v>
      </c>
      <c r="D1642" s="332" t="s">
        <v>2531</v>
      </c>
      <c r="E1642" s="332" t="s">
        <v>1488</v>
      </c>
      <c r="F1642" s="336">
        <v>300000</v>
      </c>
      <c r="G1642" s="330" t="s">
        <v>236</v>
      </c>
      <c r="H1642" s="329">
        <v>278.7180627201941</v>
      </c>
      <c r="I1642" s="338"/>
      <c r="J1642" s="338">
        <v>278.7180627201941</v>
      </c>
      <c r="K1642" s="338"/>
      <c r="L1642" s="338"/>
      <c r="M1642" s="336"/>
    </row>
    <row r="1643" spans="1:13" hidden="1" outlineLevel="2" x14ac:dyDescent="0.35">
      <c r="A1643" s="339" t="s">
        <v>145</v>
      </c>
      <c r="B1643" s="331">
        <v>44162</v>
      </c>
      <c r="C1643" s="332" t="s">
        <v>2530</v>
      </c>
      <c r="D1643" s="332" t="s">
        <v>2531</v>
      </c>
      <c r="E1643" s="332" t="s">
        <v>1488</v>
      </c>
      <c r="F1643" s="336">
        <v>495000</v>
      </c>
      <c r="G1643" s="330" t="s">
        <v>236</v>
      </c>
      <c r="H1643" s="329">
        <v>459.88480348832024</v>
      </c>
      <c r="I1643" s="338"/>
      <c r="J1643" s="338">
        <v>459.88480348832024</v>
      </c>
      <c r="K1643" s="338"/>
      <c r="L1643" s="338"/>
      <c r="M1643" s="336"/>
    </row>
    <row r="1644" spans="1:13" hidden="1" outlineLevel="2" x14ac:dyDescent="0.35">
      <c r="A1644" s="339" t="s">
        <v>145</v>
      </c>
      <c r="B1644" s="331">
        <v>44180</v>
      </c>
      <c r="C1644" s="332" t="s">
        <v>629</v>
      </c>
      <c r="D1644" s="332" t="s">
        <v>2532</v>
      </c>
      <c r="E1644" s="332" t="s">
        <v>1488</v>
      </c>
      <c r="F1644" s="336">
        <v>255000</v>
      </c>
      <c r="G1644" s="330" t="s">
        <v>236</v>
      </c>
      <c r="H1644" s="329">
        <v>236.91035331216497</v>
      </c>
      <c r="I1644" s="338"/>
      <c r="J1644" s="338">
        <v>236.91035331216497</v>
      </c>
      <c r="K1644" s="338"/>
      <c r="L1644" s="338"/>
      <c r="M1644" s="336"/>
    </row>
    <row r="1645" spans="1:13" hidden="1" outlineLevel="2" x14ac:dyDescent="0.35">
      <c r="A1645" s="339" t="s">
        <v>145</v>
      </c>
      <c r="B1645" s="331">
        <v>44153</v>
      </c>
      <c r="C1645" s="332" t="s">
        <v>629</v>
      </c>
      <c r="D1645" s="332" t="s">
        <v>2532</v>
      </c>
      <c r="E1645" s="332" t="s">
        <v>2533</v>
      </c>
      <c r="F1645" s="336">
        <v>138000</v>
      </c>
      <c r="G1645" s="330" t="s">
        <v>236</v>
      </c>
      <c r="H1645" s="329">
        <v>128.21030885128928</v>
      </c>
      <c r="I1645" s="338"/>
      <c r="J1645" s="338">
        <v>128.21030885128928</v>
      </c>
      <c r="K1645" s="338"/>
      <c r="L1645" s="338"/>
      <c r="M1645" s="336"/>
    </row>
    <row r="1646" spans="1:13" hidden="1" outlineLevel="2" x14ac:dyDescent="0.35">
      <c r="A1646" s="339" t="s">
        <v>145</v>
      </c>
      <c r="B1646" s="331">
        <v>44169</v>
      </c>
      <c r="C1646" s="332" t="s">
        <v>629</v>
      </c>
      <c r="D1646" s="332" t="s">
        <v>2532</v>
      </c>
      <c r="E1646" s="332" t="s">
        <v>2534</v>
      </c>
      <c r="F1646" s="336">
        <v>406000</v>
      </c>
      <c r="G1646" s="330" t="s">
        <v>236</v>
      </c>
      <c r="H1646" s="329">
        <v>377.19844488132935</v>
      </c>
      <c r="I1646" s="338"/>
      <c r="J1646" s="338">
        <v>377.19844488132935</v>
      </c>
      <c r="K1646" s="338"/>
      <c r="L1646" s="338"/>
      <c r="M1646" s="336"/>
    </row>
    <row r="1647" spans="1:13" hidden="1" outlineLevel="2" x14ac:dyDescent="0.35">
      <c r="A1647" s="339" t="s">
        <v>145</v>
      </c>
      <c r="B1647" s="331">
        <v>43910</v>
      </c>
      <c r="C1647" s="332" t="s">
        <v>2535</v>
      </c>
      <c r="D1647" s="332" t="s">
        <v>2536</v>
      </c>
      <c r="E1647" s="332" t="s">
        <v>2537</v>
      </c>
      <c r="F1647" s="336">
        <v>495000</v>
      </c>
      <c r="G1647" s="330" t="s">
        <v>236</v>
      </c>
      <c r="H1647" s="329">
        <v>459.88480348832024</v>
      </c>
      <c r="I1647" s="338"/>
      <c r="J1647" s="338">
        <v>459.88480348832024</v>
      </c>
      <c r="K1647" s="338"/>
      <c r="L1647" s="338"/>
      <c r="M1647" s="336"/>
    </row>
    <row r="1648" spans="1:13" hidden="1" outlineLevel="2" x14ac:dyDescent="0.35">
      <c r="A1648" s="339" t="s">
        <v>145</v>
      </c>
      <c r="B1648" s="331">
        <v>43937</v>
      </c>
      <c r="C1648" s="332" t="s">
        <v>293</v>
      </c>
      <c r="D1648" s="332" t="s">
        <v>2538</v>
      </c>
      <c r="E1648" s="332" t="s">
        <v>1488</v>
      </c>
      <c r="F1648" s="336">
        <v>603000</v>
      </c>
      <c r="G1648" s="330" t="s">
        <v>236</v>
      </c>
      <c r="H1648" s="329">
        <v>560.2233060675901</v>
      </c>
      <c r="I1648" s="338"/>
      <c r="J1648" s="338">
        <v>560.2233060675901</v>
      </c>
      <c r="K1648" s="338"/>
      <c r="L1648" s="338"/>
      <c r="M1648" s="336"/>
    </row>
    <row r="1649" spans="1:13" hidden="1" outlineLevel="2" x14ac:dyDescent="0.35">
      <c r="A1649" s="339" t="s">
        <v>145</v>
      </c>
      <c r="B1649" s="331">
        <v>44217</v>
      </c>
      <c r="C1649" s="332" t="s">
        <v>357</v>
      </c>
      <c r="D1649" s="332" t="s">
        <v>2539</v>
      </c>
      <c r="E1649" s="332" t="s">
        <v>307</v>
      </c>
      <c r="F1649" s="336">
        <v>5000</v>
      </c>
      <c r="G1649" s="330" t="s">
        <v>236</v>
      </c>
      <c r="H1649" s="329">
        <v>4.2631749322909522</v>
      </c>
      <c r="I1649" s="338"/>
      <c r="J1649" s="338">
        <v>4.2631749322909522</v>
      </c>
      <c r="K1649" s="338"/>
      <c r="L1649" s="338"/>
      <c r="M1649" s="336"/>
    </row>
    <row r="1650" spans="1:13" outlineLevel="1" collapsed="1" x14ac:dyDescent="0.35">
      <c r="A1650" s="343" t="s">
        <v>2540</v>
      </c>
      <c r="B1650" s="331"/>
      <c r="C1650" s="332"/>
      <c r="D1650" s="332"/>
      <c r="E1650" s="332"/>
      <c r="F1650" s="336"/>
      <c r="G1650" s="330"/>
      <c r="H1650" s="329">
        <f t="shared" ref="H1650:M1650" si="85">SUBTOTAL(9,H1638:H1649)</f>
        <v>6225.2503348470227</v>
      </c>
      <c r="I1650" s="338">
        <f t="shared" si="85"/>
        <v>0</v>
      </c>
      <c r="J1650" s="338">
        <f t="shared" si="85"/>
        <v>6225.2503348470227</v>
      </c>
      <c r="K1650" s="338">
        <f t="shared" si="85"/>
        <v>0</v>
      </c>
      <c r="L1650" s="338">
        <f t="shared" si="85"/>
        <v>0</v>
      </c>
      <c r="M1650" s="336">
        <f t="shared" si="85"/>
        <v>0</v>
      </c>
    </row>
    <row r="1651" spans="1:13" hidden="1" outlineLevel="2" x14ac:dyDescent="0.35">
      <c r="A1651" s="339" t="s">
        <v>146</v>
      </c>
      <c r="B1651" s="331">
        <v>44089</v>
      </c>
      <c r="C1651" s="332" t="s">
        <v>1699</v>
      </c>
      <c r="D1651" s="332" t="s">
        <v>2541</v>
      </c>
      <c r="E1651" s="332" t="s">
        <v>2542</v>
      </c>
      <c r="F1651" s="336">
        <v>2520000</v>
      </c>
      <c r="G1651" s="330" t="s">
        <v>236</v>
      </c>
      <c r="H1651" s="329">
        <v>2341.2317268496304</v>
      </c>
      <c r="I1651" s="338"/>
      <c r="J1651" s="338">
        <v>2341.2317268496304</v>
      </c>
      <c r="K1651" s="338"/>
      <c r="L1651" s="338"/>
      <c r="M1651" s="336"/>
    </row>
    <row r="1652" spans="1:13" hidden="1" outlineLevel="2" x14ac:dyDescent="0.35">
      <c r="A1652" s="339" t="s">
        <v>146</v>
      </c>
      <c r="B1652" s="331">
        <v>43938</v>
      </c>
      <c r="C1652" s="332" t="s">
        <v>2441</v>
      </c>
      <c r="D1652" s="332" t="s">
        <v>2543</v>
      </c>
      <c r="E1652" s="332" t="s">
        <v>2544</v>
      </c>
      <c r="F1652" s="336">
        <v>440000</v>
      </c>
      <c r="G1652" s="330" t="s">
        <v>236</v>
      </c>
      <c r="H1652" s="329">
        <v>408.78649198961801</v>
      </c>
      <c r="I1652" s="338"/>
      <c r="J1652" s="338">
        <v>408.78649198961801</v>
      </c>
      <c r="K1652" s="338"/>
      <c r="L1652" s="338"/>
      <c r="M1652" s="336"/>
    </row>
    <row r="1653" spans="1:13" hidden="1" outlineLevel="2" x14ac:dyDescent="0.35">
      <c r="A1653" s="339" t="s">
        <v>146</v>
      </c>
      <c r="B1653" s="331">
        <v>44146</v>
      </c>
      <c r="C1653" s="332" t="s">
        <v>1364</v>
      </c>
      <c r="D1653" s="332" t="s">
        <v>2545</v>
      </c>
      <c r="E1653" s="332" t="s">
        <v>2546</v>
      </c>
      <c r="F1653" s="336">
        <v>3390800</v>
      </c>
      <c r="G1653" s="330" t="s">
        <v>236</v>
      </c>
      <c r="H1653" s="329">
        <v>3150.2573569054471</v>
      </c>
      <c r="I1653" s="338"/>
      <c r="J1653" s="338">
        <v>3150.2573569054471</v>
      </c>
      <c r="K1653" s="338"/>
      <c r="L1653" s="338"/>
      <c r="M1653" s="336"/>
    </row>
    <row r="1654" spans="1:13" hidden="1" outlineLevel="2" x14ac:dyDescent="0.35">
      <c r="A1654" s="339" t="s">
        <v>146</v>
      </c>
      <c r="B1654" s="331">
        <v>44146</v>
      </c>
      <c r="C1654" s="332" t="s">
        <v>2547</v>
      </c>
      <c r="D1654" s="332" t="s">
        <v>2548</v>
      </c>
      <c r="E1654" s="332" t="s">
        <v>2546</v>
      </c>
      <c r="F1654" s="336">
        <v>7950000</v>
      </c>
      <c r="G1654" s="330" t="s">
        <v>236</v>
      </c>
      <c r="H1654" s="329">
        <v>7386.028662085143</v>
      </c>
      <c r="I1654" s="338"/>
      <c r="J1654" s="338">
        <v>7386.028662085143</v>
      </c>
      <c r="K1654" s="338"/>
      <c r="L1654" s="338"/>
      <c r="M1654" s="336"/>
    </row>
    <row r="1655" spans="1:13" hidden="1" outlineLevel="2" x14ac:dyDescent="0.35">
      <c r="A1655" s="339" t="s">
        <v>146</v>
      </c>
      <c r="B1655" s="331">
        <v>44098</v>
      </c>
      <c r="C1655" s="332" t="s">
        <v>389</v>
      </c>
      <c r="D1655" s="332" t="s">
        <v>2549</v>
      </c>
      <c r="E1655" s="332" t="s">
        <v>2416</v>
      </c>
      <c r="F1655" s="336">
        <v>153400</v>
      </c>
      <c r="G1655" s="330" t="s">
        <v>236</v>
      </c>
      <c r="H1655" s="329">
        <v>142.51783607092591</v>
      </c>
      <c r="I1655" s="338"/>
      <c r="J1655" s="338">
        <v>142.51783607092591</v>
      </c>
      <c r="K1655" s="338"/>
      <c r="L1655" s="338"/>
      <c r="M1655" s="336"/>
    </row>
    <row r="1656" spans="1:13" hidden="1" outlineLevel="2" x14ac:dyDescent="0.35">
      <c r="A1656" s="339" t="s">
        <v>146</v>
      </c>
      <c r="B1656" s="331">
        <v>44074</v>
      </c>
      <c r="C1656" s="332" t="s">
        <v>921</v>
      </c>
      <c r="D1656" s="332" t="s">
        <v>2550</v>
      </c>
      <c r="E1656" s="332" t="s">
        <v>2551</v>
      </c>
      <c r="F1656" s="336">
        <v>2246400</v>
      </c>
      <c r="G1656" s="330" t="s">
        <v>236</v>
      </c>
      <c r="H1656" s="329">
        <v>2087.0408536488135</v>
      </c>
      <c r="I1656" s="338"/>
      <c r="J1656" s="338">
        <v>2087.0408536488135</v>
      </c>
      <c r="K1656" s="338"/>
      <c r="L1656" s="338"/>
      <c r="M1656" s="336"/>
    </row>
    <row r="1657" spans="1:13" hidden="1" outlineLevel="2" x14ac:dyDescent="0.35">
      <c r="A1657" s="339" t="s">
        <v>146</v>
      </c>
      <c r="B1657" s="331">
        <v>44587</v>
      </c>
      <c r="C1657" s="332" t="s">
        <v>1643</v>
      </c>
      <c r="D1657" s="332" t="s">
        <v>2552</v>
      </c>
      <c r="E1657" s="332" t="s">
        <v>2553</v>
      </c>
      <c r="F1657" s="336">
        <v>12088958</v>
      </c>
      <c r="G1657" s="330" t="s">
        <v>236</v>
      </c>
      <c r="H1657" s="329">
        <v>10669.922289239712</v>
      </c>
      <c r="I1657" s="338"/>
      <c r="J1657" s="338">
        <v>10669.922289239712</v>
      </c>
      <c r="K1657" s="338"/>
      <c r="L1657" s="338"/>
      <c r="M1657" s="336"/>
    </row>
    <row r="1658" spans="1:13" hidden="1" outlineLevel="2" x14ac:dyDescent="0.35">
      <c r="A1658" s="339" t="s">
        <v>146</v>
      </c>
      <c r="B1658" s="331">
        <v>44622</v>
      </c>
      <c r="C1658" s="332" t="s">
        <v>2374</v>
      </c>
      <c r="D1658" s="332" t="s">
        <v>2554</v>
      </c>
      <c r="E1658" s="332" t="s">
        <v>2553</v>
      </c>
      <c r="F1658" s="336">
        <v>2014827</v>
      </c>
      <c r="G1658" s="330" t="s">
        <v>236</v>
      </c>
      <c r="H1658" s="329">
        <v>1778.3209699514202</v>
      </c>
      <c r="I1658" s="338"/>
      <c r="J1658" s="338">
        <v>1778.3209699514202</v>
      </c>
      <c r="K1658" s="338"/>
      <c r="L1658" s="338"/>
      <c r="M1658" s="336"/>
    </row>
    <row r="1659" spans="1:13" hidden="1" outlineLevel="2" x14ac:dyDescent="0.35">
      <c r="A1659" s="339" t="s">
        <v>146</v>
      </c>
      <c r="B1659" s="331">
        <v>44314</v>
      </c>
      <c r="C1659" s="332" t="s">
        <v>1667</v>
      </c>
      <c r="D1659" s="332" t="s">
        <v>2555</v>
      </c>
      <c r="E1659" s="332" t="s">
        <v>2556</v>
      </c>
      <c r="F1659" s="336">
        <v>153400</v>
      </c>
      <c r="G1659" s="330" t="s">
        <v>236</v>
      </c>
      <c r="H1659" s="329">
        <v>130.79420692268641</v>
      </c>
      <c r="I1659" s="338"/>
      <c r="J1659" s="338">
        <v>130.79420692268641</v>
      </c>
      <c r="K1659" s="338"/>
      <c r="L1659" s="338"/>
      <c r="M1659" s="336"/>
    </row>
    <row r="1660" spans="1:13" hidden="1" outlineLevel="2" x14ac:dyDescent="0.35">
      <c r="A1660" s="339" t="s">
        <v>146</v>
      </c>
      <c r="B1660" s="331">
        <v>44433</v>
      </c>
      <c r="C1660" s="332" t="s">
        <v>1732</v>
      </c>
      <c r="D1660" s="332" t="s">
        <v>2557</v>
      </c>
      <c r="E1660" s="332" t="s">
        <v>2558</v>
      </c>
      <c r="F1660" s="336">
        <v>824175</v>
      </c>
      <c r="G1660" s="330" t="s">
        <v>236</v>
      </c>
      <c r="H1660" s="329">
        <v>702.72043996417915</v>
      </c>
      <c r="I1660" s="338"/>
      <c r="J1660" s="338">
        <v>702.72043996417915</v>
      </c>
      <c r="K1660" s="338"/>
      <c r="L1660" s="338"/>
      <c r="M1660" s="336"/>
    </row>
    <row r="1661" spans="1:13" hidden="1" outlineLevel="2" x14ac:dyDescent="0.35">
      <c r="A1661" s="339" t="s">
        <v>146</v>
      </c>
      <c r="B1661" s="331">
        <v>44501</v>
      </c>
      <c r="C1661" s="332" t="s">
        <v>2349</v>
      </c>
      <c r="D1661" s="332" t="s">
        <v>2559</v>
      </c>
      <c r="E1661" s="332" t="s">
        <v>369</v>
      </c>
      <c r="F1661" s="336">
        <v>314878</v>
      </c>
      <c r="G1661" s="330" t="s">
        <v>236</v>
      </c>
      <c r="H1661" s="329">
        <v>268.47599926598213</v>
      </c>
      <c r="I1661" s="338"/>
      <c r="J1661" s="338">
        <v>268.47599926598213</v>
      </c>
      <c r="K1661" s="338"/>
      <c r="L1661" s="338"/>
      <c r="M1661" s="336"/>
    </row>
    <row r="1662" spans="1:13" hidden="1" outlineLevel="2" x14ac:dyDescent="0.35">
      <c r="A1662" s="339" t="s">
        <v>146</v>
      </c>
      <c r="B1662" s="331">
        <v>44539</v>
      </c>
      <c r="C1662" s="332" t="s">
        <v>2560</v>
      </c>
      <c r="D1662" s="332" t="s">
        <v>2561</v>
      </c>
      <c r="E1662" s="332" t="s">
        <v>2562</v>
      </c>
      <c r="F1662" s="336">
        <v>5390000</v>
      </c>
      <c r="G1662" s="330" t="s">
        <v>236</v>
      </c>
      <c r="H1662" s="329">
        <v>4595.702577009647</v>
      </c>
      <c r="I1662" s="338"/>
      <c r="J1662" s="338">
        <v>4595.702577009647</v>
      </c>
      <c r="K1662" s="338"/>
      <c r="L1662" s="338"/>
      <c r="M1662" s="336"/>
    </row>
    <row r="1663" spans="1:13" hidden="1" outlineLevel="2" x14ac:dyDescent="0.35">
      <c r="A1663" s="339" t="s">
        <v>146</v>
      </c>
      <c r="B1663" s="331">
        <v>44546</v>
      </c>
      <c r="C1663" s="332" t="s">
        <v>2563</v>
      </c>
      <c r="D1663" s="332" t="s">
        <v>2564</v>
      </c>
      <c r="E1663" s="332" t="s">
        <v>2553</v>
      </c>
      <c r="F1663" s="336">
        <v>6044479</v>
      </c>
      <c r="G1663" s="330" t="s">
        <v>236</v>
      </c>
      <c r="H1663" s="329">
        <v>5153.7342703118165</v>
      </c>
      <c r="I1663" s="338"/>
      <c r="J1663" s="338">
        <v>5153.7342703118165</v>
      </c>
      <c r="K1663" s="338"/>
      <c r="L1663" s="338"/>
      <c r="M1663" s="336"/>
    </row>
    <row r="1664" spans="1:13" hidden="1" outlineLevel="2" x14ac:dyDescent="0.35">
      <c r="A1664" s="339" t="s">
        <v>146</v>
      </c>
      <c r="B1664" s="331">
        <v>44445</v>
      </c>
      <c r="C1664" s="332" t="s">
        <v>2565</v>
      </c>
      <c r="D1664" s="332" t="s">
        <v>2566</v>
      </c>
      <c r="E1664" s="332" t="s">
        <v>2567</v>
      </c>
      <c r="F1664" s="336">
        <v>8506500</v>
      </c>
      <c r="G1664" s="330" t="s">
        <v>236</v>
      </c>
      <c r="H1664" s="329">
        <v>7252.9395123065979</v>
      </c>
      <c r="I1664" s="338"/>
      <c r="J1664" s="338">
        <v>7252.9395123065979</v>
      </c>
      <c r="K1664" s="338"/>
      <c r="L1664" s="338"/>
      <c r="M1664" s="336"/>
    </row>
    <row r="1665" spans="1:13" outlineLevel="1" collapsed="1" x14ac:dyDescent="0.35">
      <c r="A1665" s="343" t="s">
        <v>2568</v>
      </c>
      <c r="B1665" s="331"/>
      <c r="C1665" s="332"/>
      <c r="D1665" s="332"/>
      <c r="E1665" s="332"/>
      <c r="F1665" s="336"/>
      <c r="G1665" s="330"/>
      <c r="H1665" s="329">
        <f t="shared" ref="H1665:M1665" si="86">SUBTOTAL(9,H1651:H1664)</f>
        <v>46068.473192521618</v>
      </c>
      <c r="I1665" s="338">
        <f t="shared" si="86"/>
        <v>0</v>
      </c>
      <c r="J1665" s="338">
        <f t="shared" si="86"/>
        <v>46068.473192521618</v>
      </c>
      <c r="K1665" s="338">
        <f t="shared" si="86"/>
        <v>0</v>
      </c>
      <c r="L1665" s="338">
        <f t="shared" si="86"/>
        <v>0</v>
      </c>
      <c r="M1665" s="336">
        <f t="shared" si="86"/>
        <v>0</v>
      </c>
    </row>
    <row r="1666" spans="1:13" hidden="1" outlineLevel="2" x14ac:dyDescent="0.35">
      <c r="A1666" s="339" t="s">
        <v>196</v>
      </c>
      <c r="B1666" s="331">
        <v>43847</v>
      </c>
      <c r="C1666" s="332" t="s">
        <v>1741</v>
      </c>
      <c r="D1666" s="332" t="s">
        <v>2569</v>
      </c>
      <c r="E1666" s="332" t="s">
        <v>2570</v>
      </c>
      <c r="F1666" s="336">
        <v>364258</v>
      </c>
      <c r="G1666" s="330" t="s">
        <v>236</v>
      </c>
      <c r="H1666" s="329">
        <v>338.41761363444152</v>
      </c>
      <c r="I1666" s="338">
        <v>84.604403408610381</v>
      </c>
      <c r="J1666" s="338">
        <v>84.604403408610381</v>
      </c>
      <c r="K1666" s="338">
        <v>84.604403408610381</v>
      </c>
      <c r="L1666" s="338">
        <v>84.604403408610381</v>
      </c>
      <c r="M1666" s="336"/>
    </row>
    <row r="1667" spans="1:13" hidden="1" outlineLevel="2" x14ac:dyDescent="0.35">
      <c r="A1667" s="339" t="s">
        <v>196</v>
      </c>
      <c r="B1667" s="331">
        <v>43847</v>
      </c>
      <c r="C1667" s="332" t="s">
        <v>1743</v>
      </c>
      <c r="D1667" s="332" t="s">
        <v>2571</v>
      </c>
      <c r="E1667" s="332" t="s">
        <v>2570</v>
      </c>
      <c r="F1667" s="336">
        <v>334126</v>
      </c>
      <c r="G1667" s="330" t="s">
        <v>236</v>
      </c>
      <c r="H1667" s="329">
        <v>310.42317141482522</v>
      </c>
      <c r="I1667" s="338">
        <v>77.605792853706305</v>
      </c>
      <c r="J1667" s="338">
        <v>77.605792853706305</v>
      </c>
      <c r="K1667" s="338">
        <v>77.605792853706305</v>
      </c>
      <c r="L1667" s="338">
        <v>77.605792853706305</v>
      </c>
      <c r="M1667" s="336"/>
    </row>
    <row r="1668" spans="1:13" hidden="1" outlineLevel="2" x14ac:dyDescent="0.35">
      <c r="A1668" s="339" t="s">
        <v>196</v>
      </c>
      <c r="B1668" s="331">
        <v>44274</v>
      </c>
      <c r="C1668" s="332" t="s">
        <v>531</v>
      </c>
      <c r="D1668" s="332" t="s">
        <v>2572</v>
      </c>
      <c r="E1668" s="332" t="s">
        <v>2573</v>
      </c>
      <c r="F1668" s="336">
        <v>252847</v>
      </c>
      <c r="G1668" s="330" t="s">
        <v>236</v>
      </c>
      <c r="H1668" s="329">
        <v>215.58619842099409</v>
      </c>
      <c r="I1668" s="329">
        <v>53.896549605248524</v>
      </c>
      <c r="J1668" s="329">
        <v>53.896549605248524</v>
      </c>
      <c r="K1668" s="329">
        <v>53.896549605248524</v>
      </c>
      <c r="L1668" s="329">
        <v>53.896549605248524</v>
      </c>
      <c r="M1668" s="336"/>
    </row>
    <row r="1669" spans="1:13" hidden="1" outlineLevel="2" x14ac:dyDescent="0.35">
      <c r="A1669" s="339" t="s">
        <v>196</v>
      </c>
      <c r="B1669" s="331">
        <v>44274</v>
      </c>
      <c r="C1669" s="332" t="s">
        <v>533</v>
      </c>
      <c r="D1669" s="332" t="s">
        <v>2574</v>
      </c>
      <c r="E1669" s="332" t="s">
        <v>2573</v>
      </c>
      <c r="F1669" s="336">
        <v>367846</v>
      </c>
      <c r="G1669" s="330" t="s">
        <v>236</v>
      </c>
      <c r="H1669" s="329">
        <v>313.63836922869956</v>
      </c>
      <c r="I1669" s="329">
        <v>78.40959230717489</v>
      </c>
      <c r="J1669" s="329">
        <v>78.40959230717489</v>
      </c>
      <c r="K1669" s="329">
        <v>78.40959230717489</v>
      </c>
      <c r="L1669" s="329">
        <v>78.40959230717489</v>
      </c>
      <c r="M1669" s="336"/>
    </row>
    <row r="1670" spans="1:13" hidden="1" outlineLevel="2" x14ac:dyDescent="0.35">
      <c r="A1670" s="339" t="s">
        <v>196</v>
      </c>
      <c r="B1670" s="331">
        <v>44306</v>
      </c>
      <c r="C1670" s="332" t="s">
        <v>408</v>
      </c>
      <c r="D1670" s="332" t="s">
        <v>2575</v>
      </c>
      <c r="E1670" s="332" t="s">
        <v>2573</v>
      </c>
      <c r="F1670" s="336">
        <v>367846</v>
      </c>
      <c r="G1670" s="330" t="s">
        <v>236</v>
      </c>
      <c r="H1670" s="329">
        <v>313.63836922869956</v>
      </c>
      <c r="I1670" s="329">
        <v>78.40959230717489</v>
      </c>
      <c r="J1670" s="329">
        <v>78.40959230717489</v>
      </c>
      <c r="K1670" s="329">
        <v>78.40959230717489</v>
      </c>
      <c r="L1670" s="329">
        <v>78.40959230717489</v>
      </c>
      <c r="M1670" s="336"/>
    </row>
    <row r="1671" spans="1:13" hidden="1" outlineLevel="2" x14ac:dyDescent="0.35">
      <c r="A1671" s="339" t="s">
        <v>196</v>
      </c>
      <c r="B1671" s="331">
        <v>44306</v>
      </c>
      <c r="C1671" s="332" t="s">
        <v>411</v>
      </c>
      <c r="D1671" s="332" t="s">
        <v>2576</v>
      </c>
      <c r="E1671" s="332" t="s">
        <v>2573</v>
      </c>
      <c r="F1671" s="336">
        <v>252847</v>
      </c>
      <c r="G1671" s="330" t="s">
        <v>236</v>
      </c>
      <c r="H1671" s="329">
        <v>215.58619842099409</v>
      </c>
      <c r="I1671" s="329">
        <v>53.896549605248524</v>
      </c>
      <c r="J1671" s="329">
        <v>53.896549605248524</v>
      </c>
      <c r="K1671" s="329">
        <v>53.896549605248524</v>
      </c>
      <c r="L1671" s="329">
        <v>53.896549605248524</v>
      </c>
      <c r="M1671" s="336"/>
    </row>
    <row r="1672" spans="1:13" hidden="1" outlineLevel="2" x14ac:dyDescent="0.35">
      <c r="A1672" s="339" t="s">
        <v>196</v>
      </c>
      <c r="B1672" s="331">
        <v>44334</v>
      </c>
      <c r="C1672" s="332" t="s">
        <v>413</v>
      </c>
      <c r="D1672" s="332" t="s">
        <v>2577</v>
      </c>
      <c r="E1672" s="332" t="s">
        <v>2573</v>
      </c>
      <c r="F1672" s="336">
        <v>367846</v>
      </c>
      <c r="G1672" s="330" t="s">
        <v>236</v>
      </c>
      <c r="H1672" s="329">
        <v>313.63836922869956</v>
      </c>
      <c r="I1672" s="329">
        <v>78.40959230717489</v>
      </c>
      <c r="J1672" s="329">
        <v>78.40959230717489</v>
      </c>
      <c r="K1672" s="329">
        <v>78.40959230717489</v>
      </c>
      <c r="L1672" s="329">
        <v>78.40959230717489</v>
      </c>
      <c r="M1672" s="336"/>
    </row>
    <row r="1673" spans="1:13" hidden="1" outlineLevel="2" x14ac:dyDescent="0.35">
      <c r="A1673" s="339" t="s">
        <v>196</v>
      </c>
      <c r="B1673" s="331">
        <v>44334</v>
      </c>
      <c r="C1673" s="332" t="s">
        <v>415</v>
      </c>
      <c r="D1673" s="332" t="s">
        <v>2578</v>
      </c>
      <c r="E1673" s="332" t="s">
        <v>2573</v>
      </c>
      <c r="F1673" s="336">
        <v>252847</v>
      </c>
      <c r="G1673" s="330" t="s">
        <v>236</v>
      </c>
      <c r="H1673" s="329">
        <v>215.58619842099409</v>
      </c>
      <c r="I1673" s="329">
        <v>53.896549605248524</v>
      </c>
      <c r="J1673" s="329">
        <v>53.896549605248524</v>
      </c>
      <c r="K1673" s="329">
        <v>53.896549605248524</v>
      </c>
      <c r="L1673" s="329">
        <v>53.896549605248524</v>
      </c>
      <c r="M1673" s="336"/>
    </row>
    <row r="1674" spans="1:13" hidden="1" outlineLevel="2" x14ac:dyDescent="0.35">
      <c r="A1674" s="339" t="s">
        <v>196</v>
      </c>
      <c r="B1674" s="331">
        <v>44365</v>
      </c>
      <c r="C1674" s="332" t="s">
        <v>417</v>
      </c>
      <c r="D1674" s="332" t="s">
        <v>2579</v>
      </c>
      <c r="E1674" s="332" t="s">
        <v>2573</v>
      </c>
      <c r="F1674" s="336">
        <v>367846</v>
      </c>
      <c r="G1674" s="330" t="s">
        <v>236</v>
      </c>
      <c r="H1674" s="329">
        <v>313.63836922869956</v>
      </c>
      <c r="I1674" s="329">
        <v>78.40959230717489</v>
      </c>
      <c r="J1674" s="329">
        <v>78.40959230717489</v>
      </c>
      <c r="K1674" s="329">
        <v>78.40959230717489</v>
      </c>
      <c r="L1674" s="329">
        <v>78.40959230717489</v>
      </c>
      <c r="M1674" s="336"/>
    </row>
    <row r="1675" spans="1:13" hidden="1" outlineLevel="2" x14ac:dyDescent="0.35">
      <c r="A1675" s="339" t="s">
        <v>196</v>
      </c>
      <c r="B1675" s="331">
        <v>44365</v>
      </c>
      <c r="C1675" s="332" t="s">
        <v>419</v>
      </c>
      <c r="D1675" s="332" t="s">
        <v>2580</v>
      </c>
      <c r="E1675" s="332" t="s">
        <v>2573</v>
      </c>
      <c r="F1675" s="336">
        <v>190836</v>
      </c>
      <c r="G1675" s="330" t="s">
        <v>236</v>
      </c>
      <c r="H1675" s="329">
        <v>162.71345027573525</v>
      </c>
      <c r="I1675" s="329">
        <v>40.678362568933814</v>
      </c>
      <c r="J1675" s="329">
        <v>40.678362568933814</v>
      </c>
      <c r="K1675" s="329">
        <v>40.678362568933814</v>
      </c>
      <c r="L1675" s="329">
        <v>40.678362568933814</v>
      </c>
      <c r="M1675" s="336"/>
    </row>
    <row r="1676" spans="1:13" hidden="1" outlineLevel="2" x14ac:dyDescent="0.35">
      <c r="A1676" s="339" t="s">
        <v>196</v>
      </c>
      <c r="B1676" s="331">
        <v>44365</v>
      </c>
      <c r="C1676" s="332" t="s">
        <v>421</v>
      </c>
      <c r="D1676" s="332" t="s">
        <v>2581</v>
      </c>
      <c r="E1676" s="332" t="s">
        <v>2573</v>
      </c>
      <c r="F1676" s="336">
        <v>111953</v>
      </c>
      <c r="G1676" s="330" t="s">
        <v>236</v>
      </c>
      <c r="H1676" s="329">
        <v>95.455044638953794</v>
      </c>
      <c r="I1676" s="329">
        <v>23.863761159738448</v>
      </c>
      <c r="J1676" s="329">
        <v>23.863761159738448</v>
      </c>
      <c r="K1676" s="329">
        <v>23.863761159738448</v>
      </c>
      <c r="L1676" s="329">
        <v>23.863761159738448</v>
      </c>
      <c r="M1676" s="336"/>
    </row>
    <row r="1677" spans="1:13" hidden="1" outlineLevel="2" x14ac:dyDescent="0.35">
      <c r="A1677" s="339" t="s">
        <v>196</v>
      </c>
      <c r="B1677" s="331">
        <v>44365</v>
      </c>
      <c r="C1677" s="332" t="s">
        <v>423</v>
      </c>
      <c r="D1677" s="332" t="s">
        <v>2582</v>
      </c>
      <c r="E1677" s="332" t="s">
        <v>2573</v>
      </c>
      <c r="F1677" s="336">
        <v>252847</v>
      </c>
      <c r="G1677" s="330" t="s">
        <v>236</v>
      </c>
      <c r="H1677" s="329">
        <v>215.58619842099409</v>
      </c>
      <c r="I1677" s="329">
        <v>53.896549605248524</v>
      </c>
      <c r="J1677" s="329">
        <v>53.896549605248524</v>
      </c>
      <c r="K1677" s="329">
        <v>53.896549605248524</v>
      </c>
      <c r="L1677" s="329">
        <v>53.896549605248524</v>
      </c>
      <c r="M1677" s="336"/>
    </row>
    <row r="1678" spans="1:13" hidden="1" outlineLevel="2" x14ac:dyDescent="0.35">
      <c r="A1678" s="339" t="s">
        <v>196</v>
      </c>
      <c r="B1678" s="331">
        <v>44407</v>
      </c>
      <c r="C1678" s="332" t="s">
        <v>378</v>
      </c>
      <c r="D1678" s="332" t="s">
        <v>2583</v>
      </c>
      <c r="E1678" s="332" t="s">
        <v>2573</v>
      </c>
      <c r="F1678" s="336">
        <v>381923</v>
      </c>
      <c r="G1678" s="330" t="s">
        <v>236</v>
      </c>
      <c r="H1678" s="329">
        <v>325.64091193307149</v>
      </c>
      <c r="I1678" s="329">
        <v>81.410227983267873</v>
      </c>
      <c r="J1678" s="329">
        <v>81.410227983267873</v>
      </c>
      <c r="K1678" s="329">
        <v>81.410227983267873</v>
      </c>
      <c r="L1678" s="329">
        <v>81.410227983267873</v>
      </c>
      <c r="M1678" s="336"/>
    </row>
    <row r="1679" spans="1:13" hidden="1" outlineLevel="2" x14ac:dyDescent="0.35">
      <c r="A1679" s="339" t="s">
        <v>196</v>
      </c>
      <c r="B1679" s="331">
        <v>44407</v>
      </c>
      <c r="C1679" s="332" t="s">
        <v>381</v>
      </c>
      <c r="D1679" s="332" t="s">
        <v>2584</v>
      </c>
      <c r="E1679" s="332" t="s">
        <v>2573</v>
      </c>
      <c r="F1679" s="336">
        <v>263598</v>
      </c>
      <c r="G1679" s="330" t="s">
        <v>236</v>
      </c>
      <c r="H1679" s="329">
        <v>224.75287716040609</v>
      </c>
      <c r="I1679" s="329">
        <v>56.188219290101522</v>
      </c>
      <c r="J1679" s="329">
        <v>56.188219290101522</v>
      </c>
      <c r="K1679" s="329">
        <v>56.188219290101522</v>
      </c>
      <c r="L1679" s="329">
        <v>56.188219290101522</v>
      </c>
      <c r="M1679" s="336"/>
    </row>
    <row r="1680" spans="1:13" hidden="1" outlineLevel="2" x14ac:dyDescent="0.35">
      <c r="A1680" s="339" t="s">
        <v>196</v>
      </c>
      <c r="B1680" s="331">
        <v>44428</v>
      </c>
      <c r="C1680" s="332" t="s">
        <v>384</v>
      </c>
      <c r="D1680" s="332" t="s">
        <v>2585</v>
      </c>
      <c r="E1680" s="332" t="s">
        <v>2573</v>
      </c>
      <c r="F1680" s="336">
        <v>381923</v>
      </c>
      <c r="G1680" s="330" t="s">
        <v>236</v>
      </c>
      <c r="H1680" s="329">
        <v>325.64091193307149</v>
      </c>
      <c r="I1680" s="329">
        <v>81.410227983267873</v>
      </c>
      <c r="J1680" s="329">
        <v>81.410227983267873</v>
      </c>
      <c r="K1680" s="329">
        <v>81.410227983267873</v>
      </c>
      <c r="L1680" s="329">
        <v>81.410227983267873</v>
      </c>
      <c r="M1680" s="336"/>
    </row>
    <row r="1681" spans="1:13" hidden="1" outlineLevel="2" x14ac:dyDescent="0.35">
      <c r="A1681" s="339" t="s">
        <v>196</v>
      </c>
      <c r="B1681" s="331">
        <v>44428</v>
      </c>
      <c r="C1681" s="332" t="s">
        <v>386</v>
      </c>
      <c r="D1681" s="332" t="s">
        <v>2586</v>
      </c>
      <c r="E1681" s="332" t="s">
        <v>2573</v>
      </c>
      <c r="F1681" s="336">
        <v>263598</v>
      </c>
      <c r="G1681" s="330" t="s">
        <v>236</v>
      </c>
      <c r="H1681" s="329">
        <v>224.75287716040609</v>
      </c>
      <c r="I1681" s="329">
        <v>56.188219290101522</v>
      </c>
      <c r="J1681" s="329">
        <v>56.188219290101522</v>
      </c>
      <c r="K1681" s="329">
        <v>56.188219290101522</v>
      </c>
      <c r="L1681" s="329">
        <v>56.188219290101522</v>
      </c>
      <c r="M1681" s="336"/>
    </row>
    <row r="1682" spans="1:13" outlineLevel="1" collapsed="1" x14ac:dyDescent="0.35">
      <c r="A1682" s="343" t="s">
        <v>2587</v>
      </c>
      <c r="B1682" s="331"/>
      <c r="C1682" s="332"/>
      <c r="D1682" s="332"/>
      <c r="E1682" s="332"/>
      <c r="F1682" s="336"/>
      <c r="G1682" s="330"/>
      <c r="H1682" s="329">
        <f t="shared" ref="H1682:M1682" si="87">SUBTOTAL(9,H1666:H1681)</f>
        <v>4124.6951287496859</v>
      </c>
      <c r="I1682" s="329">
        <f t="shared" si="87"/>
        <v>1031.1737821874215</v>
      </c>
      <c r="J1682" s="329">
        <f t="shared" si="87"/>
        <v>1031.1737821874215</v>
      </c>
      <c r="K1682" s="329">
        <f t="shared" si="87"/>
        <v>1031.1737821874215</v>
      </c>
      <c r="L1682" s="329">
        <f t="shared" si="87"/>
        <v>1031.1737821874215</v>
      </c>
      <c r="M1682" s="336">
        <f t="shared" si="87"/>
        <v>0</v>
      </c>
    </row>
    <row r="1683" spans="1:13" hidden="1" outlineLevel="2" x14ac:dyDescent="0.35">
      <c r="A1683" s="339" t="s">
        <v>105</v>
      </c>
      <c r="B1683" s="331">
        <v>44561</v>
      </c>
      <c r="C1683" s="332" t="s">
        <v>2588</v>
      </c>
      <c r="D1683" s="332" t="s">
        <v>2589</v>
      </c>
      <c r="E1683" s="332" t="s">
        <v>2590</v>
      </c>
      <c r="F1683" s="336">
        <v>-4017.82</v>
      </c>
      <c r="G1683" s="330" t="s">
        <v>56</v>
      </c>
      <c r="H1683" s="329">
        <v>-4017.82</v>
      </c>
      <c r="I1683" s="338">
        <f t="shared" ref="I1683:L1702" si="88">$H1683/4</f>
        <v>-1004.455</v>
      </c>
      <c r="J1683" s="338">
        <f t="shared" si="88"/>
        <v>-1004.455</v>
      </c>
      <c r="K1683" s="338">
        <f t="shared" si="88"/>
        <v>-1004.455</v>
      </c>
      <c r="L1683" s="338">
        <f t="shared" si="88"/>
        <v>-1004.455</v>
      </c>
      <c r="M1683" s="332"/>
    </row>
    <row r="1684" spans="1:13" hidden="1" outlineLevel="2" x14ac:dyDescent="0.35">
      <c r="A1684" s="339" t="s">
        <v>105</v>
      </c>
      <c r="B1684" s="331">
        <v>44397</v>
      </c>
      <c r="C1684" s="332" t="s">
        <v>2591</v>
      </c>
      <c r="D1684" s="332" t="s">
        <v>2592</v>
      </c>
      <c r="E1684" s="332" t="s">
        <v>2593</v>
      </c>
      <c r="F1684" s="336">
        <v>33.880000000000003</v>
      </c>
      <c r="G1684" s="330" t="s">
        <v>56</v>
      </c>
      <c r="H1684" s="329">
        <v>33.880000000000003</v>
      </c>
      <c r="I1684" s="338">
        <f t="shared" si="88"/>
        <v>8.4700000000000006</v>
      </c>
      <c r="J1684" s="338">
        <f t="shared" si="88"/>
        <v>8.4700000000000006</v>
      </c>
      <c r="K1684" s="338">
        <f t="shared" si="88"/>
        <v>8.4700000000000006</v>
      </c>
      <c r="L1684" s="338">
        <f t="shared" si="88"/>
        <v>8.4700000000000006</v>
      </c>
      <c r="M1684" s="332"/>
    </row>
    <row r="1685" spans="1:13" hidden="1" outlineLevel="2" x14ac:dyDescent="0.35">
      <c r="A1685" s="339" t="s">
        <v>105</v>
      </c>
      <c r="B1685" s="331">
        <v>43902</v>
      </c>
      <c r="C1685" s="332" t="s">
        <v>2594</v>
      </c>
      <c r="D1685" s="332" t="s">
        <v>2595</v>
      </c>
      <c r="E1685" s="332" t="s">
        <v>2596</v>
      </c>
      <c r="F1685" s="336">
        <v>3300</v>
      </c>
      <c r="G1685" s="330" t="s">
        <v>56</v>
      </c>
      <c r="H1685" s="329">
        <v>3300</v>
      </c>
      <c r="I1685" s="338">
        <f t="shared" si="88"/>
        <v>825</v>
      </c>
      <c r="J1685" s="338">
        <f t="shared" si="88"/>
        <v>825</v>
      </c>
      <c r="K1685" s="338">
        <f t="shared" si="88"/>
        <v>825</v>
      </c>
      <c r="L1685" s="338">
        <f t="shared" si="88"/>
        <v>825</v>
      </c>
      <c r="M1685" s="332"/>
    </row>
    <row r="1686" spans="1:13" hidden="1" outlineLevel="2" x14ac:dyDescent="0.35">
      <c r="A1686" s="339" t="s">
        <v>105</v>
      </c>
      <c r="B1686" s="331">
        <v>43965</v>
      </c>
      <c r="C1686" s="332" t="s">
        <v>2597</v>
      </c>
      <c r="D1686" s="332" t="s">
        <v>2598</v>
      </c>
      <c r="E1686" s="332" t="s">
        <v>2596</v>
      </c>
      <c r="F1686" s="336">
        <v>3300</v>
      </c>
      <c r="G1686" s="330" t="s">
        <v>56</v>
      </c>
      <c r="H1686" s="329">
        <v>3300</v>
      </c>
      <c r="I1686" s="338">
        <f t="shared" si="88"/>
        <v>825</v>
      </c>
      <c r="J1686" s="338">
        <f t="shared" si="88"/>
        <v>825</v>
      </c>
      <c r="K1686" s="338">
        <f t="shared" si="88"/>
        <v>825</v>
      </c>
      <c r="L1686" s="338">
        <f t="shared" si="88"/>
        <v>825</v>
      </c>
      <c r="M1686" s="332"/>
    </row>
    <row r="1687" spans="1:13" hidden="1" outlineLevel="2" x14ac:dyDescent="0.35">
      <c r="A1687" s="339" t="s">
        <v>105</v>
      </c>
      <c r="B1687" s="331">
        <v>44055</v>
      </c>
      <c r="C1687" s="332" t="s">
        <v>2599</v>
      </c>
      <c r="D1687" s="332" t="s">
        <v>2600</v>
      </c>
      <c r="E1687" s="332" t="s">
        <v>2596</v>
      </c>
      <c r="F1687" s="336">
        <v>3300</v>
      </c>
      <c r="G1687" s="330" t="s">
        <v>56</v>
      </c>
      <c r="H1687" s="329">
        <v>3300</v>
      </c>
      <c r="I1687" s="338">
        <f t="shared" si="88"/>
        <v>825</v>
      </c>
      <c r="J1687" s="338">
        <f t="shared" si="88"/>
        <v>825</v>
      </c>
      <c r="K1687" s="338">
        <f t="shared" si="88"/>
        <v>825</v>
      </c>
      <c r="L1687" s="338">
        <f t="shared" si="88"/>
        <v>825</v>
      </c>
      <c r="M1687" s="332"/>
    </row>
    <row r="1688" spans="1:13" hidden="1" outlineLevel="2" x14ac:dyDescent="0.35">
      <c r="A1688" s="339" t="s">
        <v>105</v>
      </c>
      <c r="B1688" s="331">
        <v>44238</v>
      </c>
      <c r="C1688" s="332" t="s">
        <v>2601</v>
      </c>
      <c r="D1688" s="332" t="s">
        <v>2602</v>
      </c>
      <c r="E1688" s="332" t="s">
        <v>2596</v>
      </c>
      <c r="F1688" s="336">
        <v>3300</v>
      </c>
      <c r="G1688" s="330" t="s">
        <v>56</v>
      </c>
      <c r="H1688" s="329">
        <v>3300</v>
      </c>
      <c r="I1688" s="338">
        <f t="shared" si="88"/>
        <v>825</v>
      </c>
      <c r="J1688" s="338">
        <f t="shared" si="88"/>
        <v>825</v>
      </c>
      <c r="K1688" s="338">
        <f t="shared" si="88"/>
        <v>825</v>
      </c>
      <c r="L1688" s="338">
        <f t="shared" si="88"/>
        <v>825</v>
      </c>
      <c r="M1688" s="332"/>
    </row>
    <row r="1689" spans="1:13" hidden="1" outlineLevel="2" x14ac:dyDescent="0.35">
      <c r="A1689" s="339" t="s">
        <v>105</v>
      </c>
      <c r="B1689" s="331">
        <v>44186</v>
      </c>
      <c r="C1689" s="332" t="s">
        <v>2603</v>
      </c>
      <c r="D1689" s="332" t="s">
        <v>2604</v>
      </c>
      <c r="E1689" s="332" t="s">
        <v>2596</v>
      </c>
      <c r="F1689" s="336">
        <v>2200</v>
      </c>
      <c r="G1689" s="330" t="s">
        <v>56</v>
      </c>
      <c r="H1689" s="329">
        <v>2200</v>
      </c>
      <c r="I1689" s="338">
        <f t="shared" si="88"/>
        <v>550</v>
      </c>
      <c r="J1689" s="338">
        <f t="shared" si="88"/>
        <v>550</v>
      </c>
      <c r="K1689" s="338">
        <f t="shared" si="88"/>
        <v>550</v>
      </c>
      <c r="L1689" s="338">
        <f t="shared" si="88"/>
        <v>550</v>
      </c>
      <c r="M1689" s="332"/>
    </row>
    <row r="1690" spans="1:13" hidden="1" outlineLevel="2" x14ac:dyDescent="0.35">
      <c r="A1690" s="339" t="s">
        <v>105</v>
      </c>
      <c r="B1690" s="331">
        <v>43811</v>
      </c>
      <c r="C1690" s="332" t="s">
        <v>2605</v>
      </c>
      <c r="D1690" s="332" t="s">
        <v>2606</v>
      </c>
      <c r="E1690" s="332" t="s">
        <v>2596</v>
      </c>
      <c r="F1690" s="336">
        <v>1100</v>
      </c>
      <c r="G1690" s="330" t="s">
        <v>56</v>
      </c>
      <c r="H1690" s="329">
        <v>1100</v>
      </c>
      <c r="I1690" s="338">
        <f t="shared" si="88"/>
        <v>275</v>
      </c>
      <c r="J1690" s="338">
        <f t="shared" si="88"/>
        <v>275</v>
      </c>
      <c r="K1690" s="338">
        <f t="shared" si="88"/>
        <v>275</v>
      </c>
      <c r="L1690" s="338">
        <f t="shared" si="88"/>
        <v>275</v>
      </c>
      <c r="M1690" s="332"/>
    </row>
    <row r="1691" spans="1:13" hidden="1" outlineLevel="2" x14ac:dyDescent="0.35">
      <c r="A1691" s="339" t="s">
        <v>105</v>
      </c>
      <c r="B1691" s="331">
        <v>44561</v>
      </c>
      <c r="C1691" s="332" t="s">
        <v>2607</v>
      </c>
      <c r="D1691" s="332" t="s">
        <v>2608</v>
      </c>
      <c r="E1691" s="332" t="s">
        <v>2596</v>
      </c>
      <c r="F1691" s="336">
        <v>1100</v>
      </c>
      <c r="G1691" s="330" t="s">
        <v>56</v>
      </c>
      <c r="H1691" s="329">
        <v>1100</v>
      </c>
      <c r="I1691" s="338">
        <f t="shared" si="88"/>
        <v>275</v>
      </c>
      <c r="J1691" s="338">
        <f t="shared" si="88"/>
        <v>275</v>
      </c>
      <c r="K1691" s="338">
        <f t="shared" si="88"/>
        <v>275</v>
      </c>
      <c r="L1691" s="338">
        <f t="shared" si="88"/>
        <v>275</v>
      </c>
      <c r="M1691" s="332"/>
    </row>
    <row r="1692" spans="1:13" hidden="1" outlineLevel="2" x14ac:dyDescent="0.35">
      <c r="A1692" s="339" t="s">
        <v>105</v>
      </c>
      <c r="B1692" s="331">
        <v>44561</v>
      </c>
      <c r="C1692" s="332" t="s">
        <v>2609</v>
      </c>
      <c r="D1692" s="332" t="s">
        <v>2610</v>
      </c>
      <c r="E1692" s="332" t="s">
        <v>2593</v>
      </c>
      <c r="F1692" s="336">
        <v>1269.1400000000001</v>
      </c>
      <c r="G1692" s="330" t="s">
        <v>56</v>
      </c>
      <c r="H1692" s="329">
        <v>1269.1400000000001</v>
      </c>
      <c r="I1692" s="338">
        <f t="shared" si="88"/>
        <v>317.28500000000003</v>
      </c>
      <c r="J1692" s="338">
        <f t="shared" si="88"/>
        <v>317.28500000000003</v>
      </c>
      <c r="K1692" s="338">
        <f t="shared" si="88"/>
        <v>317.28500000000003</v>
      </c>
      <c r="L1692" s="338">
        <f t="shared" si="88"/>
        <v>317.28500000000003</v>
      </c>
      <c r="M1692" s="332"/>
    </row>
    <row r="1693" spans="1:13" hidden="1" outlineLevel="2" x14ac:dyDescent="0.35">
      <c r="A1693" s="339" t="s">
        <v>105</v>
      </c>
      <c r="B1693" s="331">
        <v>43922</v>
      </c>
      <c r="C1693" s="332" t="s">
        <v>2611</v>
      </c>
      <c r="D1693" s="332" t="s">
        <v>2612</v>
      </c>
      <c r="E1693" s="332" t="s">
        <v>2613</v>
      </c>
      <c r="F1693" s="336">
        <v>33.880000000000003</v>
      </c>
      <c r="G1693" s="330" t="s">
        <v>56</v>
      </c>
      <c r="H1693" s="329">
        <v>33.880000000000003</v>
      </c>
      <c r="I1693" s="338">
        <f t="shared" si="88"/>
        <v>8.4700000000000006</v>
      </c>
      <c r="J1693" s="338">
        <f t="shared" si="88"/>
        <v>8.4700000000000006</v>
      </c>
      <c r="K1693" s="338">
        <f t="shared" si="88"/>
        <v>8.4700000000000006</v>
      </c>
      <c r="L1693" s="338">
        <f t="shared" si="88"/>
        <v>8.4700000000000006</v>
      </c>
      <c r="M1693" s="332"/>
    </row>
    <row r="1694" spans="1:13" hidden="1" outlineLevel="2" x14ac:dyDescent="0.35">
      <c r="A1694" s="339" t="s">
        <v>105</v>
      </c>
      <c r="B1694" s="331">
        <v>43922</v>
      </c>
      <c r="C1694" s="332" t="s">
        <v>2611</v>
      </c>
      <c r="D1694" s="332" t="s">
        <v>2614</v>
      </c>
      <c r="E1694" s="332" t="s">
        <v>2613</v>
      </c>
      <c r="F1694" s="336">
        <v>33.880000000000003</v>
      </c>
      <c r="G1694" s="330" t="s">
        <v>56</v>
      </c>
      <c r="H1694" s="329">
        <v>33.880000000000003</v>
      </c>
      <c r="I1694" s="338">
        <f t="shared" si="88"/>
        <v>8.4700000000000006</v>
      </c>
      <c r="J1694" s="338">
        <f t="shared" si="88"/>
        <v>8.4700000000000006</v>
      </c>
      <c r="K1694" s="338">
        <f t="shared" si="88"/>
        <v>8.4700000000000006</v>
      </c>
      <c r="L1694" s="338">
        <f t="shared" si="88"/>
        <v>8.4700000000000006</v>
      </c>
      <c r="M1694" s="332"/>
    </row>
    <row r="1695" spans="1:13" hidden="1" outlineLevel="2" x14ac:dyDescent="0.35">
      <c r="A1695" s="339" t="s">
        <v>105</v>
      </c>
      <c r="B1695" s="331">
        <v>43790</v>
      </c>
      <c r="C1695" s="332" t="s">
        <v>2615</v>
      </c>
      <c r="D1695" s="332" t="s">
        <v>2616</v>
      </c>
      <c r="E1695" s="332" t="s">
        <v>2593</v>
      </c>
      <c r="F1695" s="336">
        <v>490.29</v>
      </c>
      <c r="G1695" s="330" t="s">
        <v>56</v>
      </c>
      <c r="H1695" s="329">
        <v>490.29</v>
      </c>
      <c r="I1695" s="338">
        <f t="shared" si="88"/>
        <v>122.57250000000001</v>
      </c>
      <c r="J1695" s="338">
        <f t="shared" si="88"/>
        <v>122.57250000000001</v>
      </c>
      <c r="K1695" s="338">
        <f t="shared" si="88"/>
        <v>122.57250000000001</v>
      </c>
      <c r="L1695" s="338">
        <f t="shared" si="88"/>
        <v>122.57250000000001</v>
      </c>
      <c r="M1695" s="332"/>
    </row>
    <row r="1696" spans="1:13" hidden="1" outlineLevel="2" x14ac:dyDescent="0.35">
      <c r="A1696" s="339" t="s">
        <v>105</v>
      </c>
      <c r="B1696" s="331">
        <v>43893</v>
      </c>
      <c r="C1696" s="332" t="s">
        <v>2617</v>
      </c>
      <c r="D1696" s="332" t="s">
        <v>2616</v>
      </c>
      <c r="E1696" s="332" t="s">
        <v>2593</v>
      </c>
      <c r="F1696" s="336">
        <v>262.36</v>
      </c>
      <c r="G1696" s="330" t="s">
        <v>56</v>
      </c>
      <c r="H1696" s="329">
        <v>262.36</v>
      </c>
      <c r="I1696" s="338">
        <f t="shared" si="88"/>
        <v>65.59</v>
      </c>
      <c r="J1696" s="338">
        <f t="shared" si="88"/>
        <v>65.59</v>
      </c>
      <c r="K1696" s="338">
        <f t="shared" si="88"/>
        <v>65.59</v>
      </c>
      <c r="L1696" s="338">
        <f t="shared" si="88"/>
        <v>65.59</v>
      </c>
      <c r="M1696" s="332"/>
    </row>
    <row r="1697" spans="1:13" hidden="1" outlineLevel="2" x14ac:dyDescent="0.35">
      <c r="A1697" s="339" t="s">
        <v>105</v>
      </c>
      <c r="B1697" s="331">
        <v>43844</v>
      </c>
      <c r="C1697" s="332" t="s">
        <v>2618</v>
      </c>
      <c r="D1697" s="332" t="s">
        <v>2616</v>
      </c>
      <c r="E1697" s="332" t="s">
        <v>2593</v>
      </c>
      <c r="F1697" s="336">
        <v>352.25</v>
      </c>
      <c r="G1697" s="330" t="s">
        <v>56</v>
      </c>
      <c r="H1697" s="329">
        <v>352.25</v>
      </c>
      <c r="I1697" s="338">
        <f t="shared" si="88"/>
        <v>88.0625</v>
      </c>
      <c r="J1697" s="338">
        <f t="shared" si="88"/>
        <v>88.0625</v>
      </c>
      <c r="K1697" s="338">
        <f t="shared" si="88"/>
        <v>88.0625</v>
      </c>
      <c r="L1697" s="338">
        <f t="shared" si="88"/>
        <v>88.0625</v>
      </c>
      <c r="M1697" s="332"/>
    </row>
    <row r="1698" spans="1:13" hidden="1" outlineLevel="2" x14ac:dyDescent="0.35">
      <c r="A1698" s="339" t="s">
        <v>105</v>
      </c>
      <c r="B1698" s="331">
        <v>44397</v>
      </c>
      <c r="C1698" s="332" t="s">
        <v>2619</v>
      </c>
      <c r="D1698" s="332" t="s">
        <v>2620</v>
      </c>
      <c r="E1698" s="332" t="s">
        <v>2593</v>
      </c>
      <c r="F1698" s="336">
        <v>33.880000000000003</v>
      </c>
      <c r="G1698" s="330" t="s">
        <v>56</v>
      </c>
      <c r="H1698" s="329">
        <v>33.880000000000003</v>
      </c>
      <c r="I1698" s="338">
        <f t="shared" si="88"/>
        <v>8.4700000000000006</v>
      </c>
      <c r="J1698" s="338">
        <f t="shared" si="88"/>
        <v>8.4700000000000006</v>
      </c>
      <c r="K1698" s="338">
        <f t="shared" si="88"/>
        <v>8.4700000000000006</v>
      </c>
      <c r="L1698" s="338">
        <f t="shared" si="88"/>
        <v>8.4700000000000006</v>
      </c>
      <c r="M1698" s="332"/>
    </row>
    <row r="1699" spans="1:13" hidden="1" outlineLevel="2" x14ac:dyDescent="0.35">
      <c r="A1699" s="339" t="s">
        <v>105</v>
      </c>
      <c r="B1699" s="331">
        <v>44456</v>
      </c>
      <c r="C1699" s="332" t="s">
        <v>2621</v>
      </c>
      <c r="D1699" s="332" t="s">
        <v>2616</v>
      </c>
      <c r="E1699" s="332" t="s">
        <v>2593</v>
      </c>
      <c r="F1699" s="336">
        <v>825.63</v>
      </c>
      <c r="G1699" s="330" t="s">
        <v>56</v>
      </c>
      <c r="H1699" s="329">
        <v>825.63</v>
      </c>
      <c r="I1699" s="338">
        <f t="shared" si="88"/>
        <v>206.4075</v>
      </c>
      <c r="J1699" s="338">
        <f t="shared" si="88"/>
        <v>206.4075</v>
      </c>
      <c r="K1699" s="338">
        <f t="shared" si="88"/>
        <v>206.4075</v>
      </c>
      <c r="L1699" s="338">
        <f t="shared" si="88"/>
        <v>206.4075</v>
      </c>
      <c r="M1699" s="332"/>
    </row>
    <row r="1700" spans="1:13" hidden="1" outlineLevel="2" x14ac:dyDescent="0.35">
      <c r="A1700" s="339" t="s">
        <v>105</v>
      </c>
      <c r="B1700" s="331">
        <v>43838</v>
      </c>
      <c r="C1700" s="332" t="s">
        <v>2622</v>
      </c>
      <c r="D1700" s="332" t="s">
        <v>2612</v>
      </c>
      <c r="E1700" s="332" t="s">
        <v>2593</v>
      </c>
      <c r="F1700" s="336">
        <v>33.880000000000003</v>
      </c>
      <c r="G1700" s="330" t="s">
        <v>56</v>
      </c>
      <c r="H1700" s="329">
        <v>33.880000000000003</v>
      </c>
      <c r="I1700" s="338">
        <f t="shared" si="88"/>
        <v>8.4700000000000006</v>
      </c>
      <c r="J1700" s="338">
        <f t="shared" si="88"/>
        <v>8.4700000000000006</v>
      </c>
      <c r="K1700" s="338">
        <f t="shared" si="88"/>
        <v>8.4700000000000006</v>
      </c>
      <c r="L1700" s="338">
        <f t="shared" si="88"/>
        <v>8.4700000000000006</v>
      </c>
      <c r="M1700" s="332"/>
    </row>
    <row r="1701" spans="1:13" hidden="1" outlineLevel="2" x14ac:dyDescent="0.35">
      <c r="A1701" s="339" t="s">
        <v>105</v>
      </c>
      <c r="B1701" s="331">
        <v>44561</v>
      </c>
      <c r="C1701" s="332" t="s">
        <v>2623</v>
      </c>
      <c r="D1701" s="332" t="s">
        <v>2624</v>
      </c>
      <c r="E1701" s="332" t="s">
        <v>2593</v>
      </c>
      <c r="F1701" s="336">
        <v>51.3</v>
      </c>
      <c r="G1701" s="330" t="s">
        <v>56</v>
      </c>
      <c r="H1701" s="329">
        <v>51.3</v>
      </c>
      <c r="I1701" s="338">
        <f t="shared" si="88"/>
        <v>12.824999999999999</v>
      </c>
      <c r="J1701" s="338">
        <f t="shared" si="88"/>
        <v>12.824999999999999</v>
      </c>
      <c r="K1701" s="338">
        <f t="shared" si="88"/>
        <v>12.824999999999999</v>
      </c>
      <c r="L1701" s="338">
        <f t="shared" si="88"/>
        <v>12.824999999999999</v>
      </c>
      <c r="M1701" s="332"/>
    </row>
    <row r="1702" spans="1:13" hidden="1" outlineLevel="2" x14ac:dyDescent="0.35">
      <c r="A1702" s="339" t="s">
        <v>105</v>
      </c>
      <c r="B1702" s="331">
        <v>44561</v>
      </c>
      <c r="C1702" s="332" t="s">
        <v>2625</v>
      </c>
      <c r="D1702" s="332" t="s">
        <v>2624</v>
      </c>
      <c r="E1702" s="332" t="s">
        <v>2593</v>
      </c>
      <c r="F1702" s="336">
        <v>35.65</v>
      </c>
      <c r="G1702" s="330" t="s">
        <v>56</v>
      </c>
      <c r="H1702" s="329">
        <v>35.65</v>
      </c>
      <c r="I1702" s="338">
        <f t="shared" si="88"/>
        <v>8.9124999999999996</v>
      </c>
      <c r="J1702" s="338">
        <f t="shared" si="88"/>
        <v>8.9124999999999996</v>
      </c>
      <c r="K1702" s="338">
        <f t="shared" si="88"/>
        <v>8.9124999999999996</v>
      </c>
      <c r="L1702" s="338">
        <f t="shared" si="88"/>
        <v>8.9124999999999996</v>
      </c>
      <c r="M1702" s="332"/>
    </row>
    <row r="1703" spans="1:13" hidden="1" outlineLevel="2" x14ac:dyDescent="0.35">
      <c r="A1703" s="339" t="s">
        <v>105</v>
      </c>
      <c r="B1703" s="331">
        <v>44561</v>
      </c>
      <c r="C1703" s="332" t="s">
        <v>2626</v>
      </c>
      <c r="D1703" s="332" t="s">
        <v>2624</v>
      </c>
      <c r="E1703" s="332" t="s">
        <v>2593</v>
      </c>
      <c r="F1703" s="336">
        <v>-11.43</v>
      </c>
      <c r="G1703" s="330" t="s">
        <v>56</v>
      </c>
      <c r="H1703" s="329">
        <v>-11.43</v>
      </c>
      <c r="I1703" s="338">
        <f t="shared" ref="I1703:L1722" si="89">$H1703/4</f>
        <v>-2.8574999999999999</v>
      </c>
      <c r="J1703" s="338">
        <f t="shared" si="89"/>
        <v>-2.8574999999999999</v>
      </c>
      <c r="K1703" s="338">
        <f t="shared" si="89"/>
        <v>-2.8574999999999999</v>
      </c>
      <c r="L1703" s="338">
        <f t="shared" si="89"/>
        <v>-2.8574999999999999</v>
      </c>
      <c r="M1703" s="332"/>
    </row>
    <row r="1704" spans="1:13" hidden="1" outlineLevel="2" x14ac:dyDescent="0.35">
      <c r="A1704" s="339" t="s">
        <v>105</v>
      </c>
      <c r="B1704" s="331">
        <v>44713</v>
      </c>
      <c r="C1704" s="332" t="s">
        <v>2627</v>
      </c>
      <c r="D1704" s="332" t="s">
        <v>2628</v>
      </c>
      <c r="E1704" s="332" t="s">
        <v>2593</v>
      </c>
      <c r="F1704" s="336">
        <v>33.880000000000003</v>
      </c>
      <c r="G1704" s="330" t="s">
        <v>56</v>
      </c>
      <c r="H1704" s="329">
        <v>33.880000000000003</v>
      </c>
      <c r="I1704" s="338">
        <f t="shared" si="89"/>
        <v>8.4700000000000006</v>
      </c>
      <c r="J1704" s="338">
        <f t="shared" si="89"/>
        <v>8.4700000000000006</v>
      </c>
      <c r="K1704" s="338">
        <f t="shared" si="89"/>
        <v>8.4700000000000006</v>
      </c>
      <c r="L1704" s="338">
        <f t="shared" si="89"/>
        <v>8.4700000000000006</v>
      </c>
      <c r="M1704" s="332"/>
    </row>
    <row r="1705" spans="1:13" hidden="1" outlineLevel="2" x14ac:dyDescent="0.35">
      <c r="A1705" s="339" t="s">
        <v>105</v>
      </c>
      <c r="B1705" s="331">
        <v>44713</v>
      </c>
      <c r="C1705" s="332" t="s">
        <v>2627</v>
      </c>
      <c r="D1705" s="332" t="s">
        <v>2629</v>
      </c>
      <c r="E1705" s="332" t="s">
        <v>2593</v>
      </c>
      <c r="F1705" s="336">
        <v>33.880000000000003</v>
      </c>
      <c r="G1705" s="330" t="s">
        <v>56</v>
      </c>
      <c r="H1705" s="329">
        <v>33.880000000000003</v>
      </c>
      <c r="I1705" s="338">
        <f t="shared" si="89"/>
        <v>8.4700000000000006</v>
      </c>
      <c r="J1705" s="338">
        <f t="shared" si="89"/>
        <v>8.4700000000000006</v>
      </c>
      <c r="K1705" s="338">
        <f t="shared" si="89"/>
        <v>8.4700000000000006</v>
      </c>
      <c r="L1705" s="338">
        <f t="shared" si="89"/>
        <v>8.4700000000000006</v>
      </c>
      <c r="M1705" s="332"/>
    </row>
    <row r="1706" spans="1:13" hidden="1" outlineLevel="2" x14ac:dyDescent="0.35">
      <c r="A1706" s="339" t="s">
        <v>105</v>
      </c>
      <c r="B1706" s="331">
        <v>44196</v>
      </c>
      <c r="C1706" s="332" t="s">
        <v>2630</v>
      </c>
      <c r="D1706" s="332" t="s">
        <v>2631</v>
      </c>
      <c r="E1706" s="332" t="s">
        <v>2593</v>
      </c>
      <c r="F1706" s="336">
        <v>664.57</v>
      </c>
      <c r="G1706" s="330" t="s">
        <v>56</v>
      </c>
      <c r="H1706" s="329">
        <v>664.57</v>
      </c>
      <c r="I1706" s="338">
        <f t="shared" si="89"/>
        <v>166.14250000000001</v>
      </c>
      <c r="J1706" s="338">
        <f t="shared" si="89"/>
        <v>166.14250000000001</v>
      </c>
      <c r="K1706" s="338">
        <f t="shared" si="89"/>
        <v>166.14250000000001</v>
      </c>
      <c r="L1706" s="338">
        <f t="shared" si="89"/>
        <v>166.14250000000001</v>
      </c>
      <c r="M1706" s="332"/>
    </row>
    <row r="1707" spans="1:13" hidden="1" outlineLevel="2" x14ac:dyDescent="0.35">
      <c r="A1707" s="339" t="s">
        <v>105</v>
      </c>
      <c r="B1707" s="331">
        <v>44117</v>
      </c>
      <c r="C1707" s="332" t="s">
        <v>2632</v>
      </c>
      <c r="D1707" s="332" t="s">
        <v>2633</v>
      </c>
      <c r="E1707" s="332" t="s">
        <v>2634</v>
      </c>
      <c r="F1707" s="336">
        <v>40.770000000000003</v>
      </c>
      <c r="G1707" s="330" t="s">
        <v>56</v>
      </c>
      <c r="H1707" s="329">
        <v>40.770000000000003</v>
      </c>
      <c r="I1707" s="338">
        <f t="shared" si="89"/>
        <v>10.192500000000001</v>
      </c>
      <c r="J1707" s="338">
        <f t="shared" si="89"/>
        <v>10.192500000000001</v>
      </c>
      <c r="K1707" s="338">
        <f t="shared" si="89"/>
        <v>10.192500000000001</v>
      </c>
      <c r="L1707" s="338">
        <f t="shared" si="89"/>
        <v>10.192500000000001</v>
      </c>
      <c r="M1707" s="332"/>
    </row>
    <row r="1708" spans="1:13" hidden="1" outlineLevel="2" x14ac:dyDescent="0.35">
      <c r="A1708" s="339" t="s">
        <v>105</v>
      </c>
      <c r="B1708" s="331">
        <v>44148</v>
      </c>
      <c r="C1708" s="332" t="s">
        <v>2635</v>
      </c>
      <c r="D1708" s="332" t="s">
        <v>2636</v>
      </c>
      <c r="E1708" s="332" t="s">
        <v>2634</v>
      </c>
      <c r="F1708" s="336">
        <v>46.17</v>
      </c>
      <c r="G1708" s="330" t="s">
        <v>56</v>
      </c>
      <c r="H1708" s="329">
        <v>46.17</v>
      </c>
      <c r="I1708" s="338">
        <f t="shared" si="89"/>
        <v>11.5425</v>
      </c>
      <c r="J1708" s="338">
        <f t="shared" si="89"/>
        <v>11.5425</v>
      </c>
      <c r="K1708" s="338">
        <f t="shared" si="89"/>
        <v>11.5425</v>
      </c>
      <c r="L1708" s="338">
        <f t="shared" si="89"/>
        <v>11.5425</v>
      </c>
      <c r="M1708" s="332"/>
    </row>
    <row r="1709" spans="1:13" hidden="1" outlineLevel="2" x14ac:dyDescent="0.35">
      <c r="A1709" s="339" t="s">
        <v>105</v>
      </c>
      <c r="B1709" s="331">
        <v>44187</v>
      </c>
      <c r="C1709" s="332" t="s">
        <v>2637</v>
      </c>
      <c r="D1709" s="332" t="s">
        <v>2638</v>
      </c>
      <c r="E1709" s="332" t="s">
        <v>2639</v>
      </c>
      <c r="F1709" s="336">
        <v>39.97</v>
      </c>
      <c r="G1709" s="330" t="s">
        <v>56</v>
      </c>
      <c r="H1709" s="329">
        <v>39.97</v>
      </c>
      <c r="I1709" s="338">
        <f t="shared" si="89"/>
        <v>9.9924999999999997</v>
      </c>
      <c r="J1709" s="338">
        <f t="shared" si="89"/>
        <v>9.9924999999999997</v>
      </c>
      <c r="K1709" s="338">
        <f t="shared" si="89"/>
        <v>9.9924999999999997</v>
      </c>
      <c r="L1709" s="338">
        <f t="shared" si="89"/>
        <v>9.9924999999999997</v>
      </c>
      <c r="M1709" s="332"/>
    </row>
    <row r="1710" spans="1:13" hidden="1" outlineLevel="2" x14ac:dyDescent="0.35">
      <c r="A1710" s="339" t="s">
        <v>105</v>
      </c>
      <c r="B1710" s="331">
        <v>44229</v>
      </c>
      <c r="C1710" s="332" t="s">
        <v>2640</v>
      </c>
      <c r="D1710" s="332" t="s">
        <v>2641</v>
      </c>
      <c r="E1710" s="332" t="s">
        <v>2642</v>
      </c>
      <c r="F1710" s="336">
        <v>44.6</v>
      </c>
      <c r="G1710" s="330" t="s">
        <v>56</v>
      </c>
      <c r="H1710" s="329">
        <v>44.6</v>
      </c>
      <c r="I1710" s="338">
        <f t="shared" si="89"/>
        <v>11.15</v>
      </c>
      <c r="J1710" s="338">
        <f t="shared" si="89"/>
        <v>11.15</v>
      </c>
      <c r="K1710" s="338">
        <f t="shared" si="89"/>
        <v>11.15</v>
      </c>
      <c r="L1710" s="338">
        <f t="shared" si="89"/>
        <v>11.15</v>
      </c>
      <c r="M1710" s="332"/>
    </row>
    <row r="1711" spans="1:13" hidden="1" outlineLevel="2" x14ac:dyDescent="0.35">
      <c r="A1711" s="339" t="s">
        <v>105</v>
      </c>
      <c r="B1711" s="331">
        <v>44264</v>
      </c>
      <c r="C1711" s="332" t="s">
        <v>2643</v>
      </c>
      <c r="D1711" s="332" t="s">
        <v>2644</v>
      </c>
      <c r="E1711" s="332" t="s">
        <v>2634</v>
      </c>
      <c r="F1711" s="336">
        <v>50.75</v>
      </c>
      <c r="G1711" s="330" t="s">
        <v>56</v>
      </c>
      <c r="H1711" s="329">
        <v>50.75</v>
      </c>
      <c r="I1711" s="338">
        <f t="shared" si="89"/>
        <v>12.6875</v>
      </c>
      <c r="J1711" s="338">
        <f t="shared" si="89"/>
        <v>12.6875</v>
      </c>
      <c r="K1711" s="338">
        <f t="shared" si="89"/>
        <v>12.6875</v>
      </c>
      <c r="L1711" s="338">
        <f t="shared" si="89"/>
        <v>12.6875</v>
      </c>
      <c r="M1711" s="332"/>
    </row>
    <row r="1712" spans="1:13" hidden="1" outlineLevel="2" x14ac:dyDescent="0.35">
      <c r="A1712" s="339" t="s">
        <v>105</v>
      </c>
      <c r="B1712" s="331">
        <v>44289</v>
      </c>
      <c r="C1712" s="332" t="s">
        <v>2645</v>
      </c>
      <c r="D1712" s="332" t="s">
        <v>2646</v>
      </c>
      <c r="E1712" s="332" t="s">
        <v>2634</v>
      </c>
      <c r="F1712" s="336">
        <v>40.880000000000003</v>
      </c>
      <c r="G1712" s="330" t="s">
        <v>56</v>
      </c>
      <c r="H1712" s="329">
        <v>40.880000000000003</v>
      </c>
      <c r="I1712" s="338">
        <f t="shared" si="89"/>
        <v>10.220000000000001</v>
      </c>
      <c r="J1712" s="338">
        <f t="shared" si="89"/>
        <v>10.220000000000001</v>
      </c>
      <c r="K1712" s="338">
        <f t="shared" si="89"/>
        <v>10.220000000000001</v>
      </c>
      <c r="L1712" s="338">
        <f t="shared" si="89"/>
        <v>10.220000000000001</v>
      </c>
      <c r="M1712" s="332"/>
    </row>
    <row r="1713" spans="1:13" hidden="1" outlineLevel="2" x14ac:dyDescent="0.35">
      <c r="A1713" s="339" t="s">
        <v>105</v>
      </c>
      <c r="B1713" s="331">
        <v>43893</v>
      </c>
      <c r="C1713" s="332" t="s">
        <v>2647</v>
      </c>
      <c r="D1713" s="332" t="s">
        <v>2648</v>
      </c>
      <c r="E1713" s="332" t="s">
        <v>2649</v>
      </c>
      <c r="F1713" s="336">
        <v>64.69</v>
      </c>
      <c r="G1713" s="330" t="s">
        <v>56</v>
      </c>
      <c r="H1713" s="329">
        <v>64.69</v>
      </c>
      <c r="I1713" s="338">
        <f t="shared" si="89"/>
        <v>16.172499999999999</v>
      </c>
      <c r="J1713" s="338">
        <f t="shared" si="89"/>
        <v>16.172499999999999</v>
      </c>
      <c r="K1713" s="338">
        <f t="shared" si="89"/>
        <v>16.172499999999999</v>
      </c>
      <c r="L1713" s="338">
        <f t="shared" si="89"/>
        <v>16.172499999999999</v>
      </c>
      <c r="M1713" s="332"/>
    </row>
    <row r="1714" spans="1:13" hidden="1" outlineLevel="2" x14ac:dyDescent="0.35">
      <c r="A1714" s="339" t="s">
        <v>105</v>
      </c>
      <c r="B1714" s="331">
        <v>44095</v>
      </c>
      <c r="C1714" s="332" t="s">
        <v>2650</v>
      </c>
      <c r="D1714" s="332" t="s">
        <v>2651</v>
      </c>
      <c r="E1714" s="332" t="s">
        <v>2652</v>
      </c>
      <c r="F1714" s="336">
        <v>83.53</v>
      </c>
      <c r="G1714" s="330" t="s">
        <v>56</v>
      </c>
      <c r="H1714" s="329">
        <v>83.53</v>
      </c>
      <c r="I1714" s="338">
        <f t="shared" si="89"/>
        <v>20.8825</v>
      </c>
      <c r="J1714" s="338">
        <f t="shared" si="89"/>
        <v>20.8825</v>
      </c>
      <c r="K1714" s="338">
        <f t="shared" si="89"/>
        <v>20.8825</v>
      </c>
      <c r="L1714" s="338">
        <f t="shared" si="89"/>
        <v>20.8825</v>
      </c>
      <c r="M1714" s="332"/>
    </row>
    <row r="1715" spans="1:13" hidden="1" outlineLevel="2" x14ac:dyDescent="0.35">
      <c r="A1715" s="339" t="s">
        <v>105</v>
      </c>
      <c r="B1715" s="331">
        <v>44109</v>
      </c>
      <c r="C1715" s="332" t="s">
        <v>2653</v>
      </c>
      <c r="D1715" s="332" t="s">
        <v>2654</v>
      </c>
      <c r="E1715" s="332" t="s">
        <v>2655</v>
      </c>
      <c r="F1715" s="336">
        <v>84.36</v>
      </c>
      <c r="G1715" s="330" t="s">
        <v>56</v>
      </c>
      <c r="H1715" s="329">
        <v>84.36</v>
      </c>
      <c r="I1715" s="338">
        <f t="shared" si="89"/>
        <v>21.09</v>
      </c>
      <c r="J1715" s="338">
        <f t="shared" si="89"/>
        <v>21.09</v>
      </c>
      <c r="K1715" s="338">
        <f t="shared" si="89"/>
        <v>21.09</v>
      </c>
      <c r="L1715" s="338">
        <f t="shared" si="89"/>
        <v>21.09</v>
      </c>
      <c r="M1715" s="332"/>
    </row>
    <row r="1716" spans="1:13" hidden="1" outlineLevel="2" x14ac:dyDescent="0.35">
      <c r="A1716" s="339" t="s">
        <v>105</v>
      </c>
      <c r="B1716" s="331">
        <v>44131</v>
      </c>
      <c r="C1716" s="332" t="s">
        <v>2656</v>
      </c>
      <c r="D1716" s="332" t="s">
        <v>2657</v>
      </c>
      <c r="E1716" s="332" t="s">
        <v>2658</v>
      </c>
      <c r="F1716" s="336">
        <v>24.15</v>
      </c>
      <c r="G1716" s="330" t="s">
        <v>56</v>
      </c>
      <c r="H1716" s="329">
        <v>24.15</v>
      </c>
      <c r="I1716" s="338">
        <f t="shared" si="89"/>
        <v>6.0374999999999996</v>
      </c>
      <c r="J1716" s="338">
        <f t="shared" si="89"/>
        <v>6.0374999999999996</v>
      </c>
      <c r="K1716" s="338">
        <f t="shared" si="89"/>
        <v>6.0374999999999996</v>
      </c>
      <c r="L1716" s="338">
        <f t="shared" si="89"/>
        <v>6.0374999999999996</v>
      </c>
      <c r="M1716" s="332"/>
    </row>
    <row r="1717" spans="1:13" hidden="1" outlineLevel="2" x14ac:dyDescent="0.35">
      <c r="A1717" s="339" t="s">
        <v>105</v>
      </c>
      <c r="B1717" s="331">
        <v>44126</v>
      </c>
      <c r="C1717" s="332" t="s">
        <v>2659</v>
      </c>
      <c r="D1717" s="332" t="s">
        <v>2660</v>
      </c>
      <c r="E1717" s="332" t="s">
        <v>2661</v>
      </c>
      <c r="F1717" s="336">
        <v>61.62</v>
      </c>
      <c r="G1717" s="330" t="s">
        <v>56</v>
      </c>
      <c r="H1717" s="329">
        <v>61.62</v>
      </c>
      <c r="I1717" s="338">
        <f t="shared" si="89"/>
        <v>15.404999999999999</v>
      </c>
      <c r="J1717" s="338">
        <f t="shared" si="89"/>
        <v>15.404999999999999</v>
      </c>
      <c r="K1717" s="338">
        <f t="shared" si="89"/>
        <v>15.404999999999999</v>
      </c>
      <c r="L1717" s="338">
        <f t="shared" si="89"/>
        <v>15.404999999999999</v>
      </c>
      <c r="M1717" s="332"/>
    </row>
    <row r="1718" spans="1:13" hidden="1" outlineLevel="2" x14ac:dyDescent="0.35">
      <c r="A1718" s="339" t="s">
        <v>105</v>
      </c>
      <c r="B1718" s="331">
        <v>44139</v>
      </c>
      <c r="C1718" s="332" t="s">
        <v>2662</v>
      </c>
      <c r="D1718" s="332" t="s">
        <v>2663</v>
      </c>
      <c r="E1718" s="332" t="s">
        <v>2655</v>
      </c>
      <c r="F1718" s="336">
        <v>84.47</v>
      </c>
      <c r="G1718" s="330" t="s">
        <v>56</v>
      </c>
      <c r="H1718" s="329">
        <v>84.47</v>
      </c>
      <c r="I1718" s="338">
        <f t="shared" si="89"/>
        <v>21.1175</v>
      </c>
      <c r="J1718" s="338">
        <f t="shared" si="89"/>
        <v>21.1175</v>
      </c>
      <c r="K1718" s="338">
        <f t="shared" si="89"/>
        <v>21.1175</v>
      </c>
      <c r="L1718" s="338">
        <f t="shared" si="89"/>
        <v>21.1175</v>
      </c>
      <c r="M1718" s="332"/>
    </row>
    <row r="1719" spans="1:13" hidden="1" outlineLevel="2" x14ac:dyDescent="0.35">
      <c r="A1719" s="339" t="s">
        <v>105</v>
      </c>
      <c r="B1719" s="331">
        <v>44169</v>
      </c>
      <c r="C1719" s="332" t="s">
        <v>2664</v>
      </c>
      <c r="D1719" s="332" t="s">
        <v>2665</v>
      </c>
      <c r="E1719" s="332" t="s">
        <v>2655</v>
      </c>
      <c r="F1719" s="336">
        <v>80.819999999999993</v>
      </c>
      <c r="G1719" s="330" t="s">
        <v>56</v>
      </c>
      <c r="H1719" s="329">
        <v>80.819999999999993</v>
      </c>
      <c r="I1719" s="338">
        <f t="shared" si="89"/>
        <v>20.204999999999998</v>
      </c>
      <c r="J1719" s="338">
        <f t="shared" si="89"/>
        <v>20.204999999999998</v>
      </c>
      <c r="K1719" s="338">
        <f t="shared" si="89"/>
        <v>20.204999999999998</v>
      </c>
      <c r="L1719" s="338">
        <f t="shared" si="89"/>
        <v>20.204999999999998</v>
      </c>
      <c r="M1719" s="332"/>
    </row>
    <row r="1720" spans="1:13" hidden="1" outlineLevel="2" x14ac:dyDescent="0.35">
      <c r="A1720" s="339" t="s">
        <v>105</v>
      </c>
      <c r="B1720" s="331">
        <v>44165</v>
      </c>
      <c r="C1720" s="332" t="s">
        <v>2666</v>
      </c>
      <c r="D1720" s="332" t="s">
        <v>2667</v>
      </c>
      <c r="E1720" s="332" t="s">
        <v>2661</v>
      </c>
      <c r="F1720" s="336">
        <v>60.27</v>
      </c>
      <c r="G1720" s="330" t="s">
        <v>56</v>
      </c>
      <c r="H1720" s="329">
        <v>60.27</v>
      </c>
      <c r="I1720" s="338">
        <f t="shared" si="89"/>
        <v>15.067500000000001</v>
      </c>
      <c r="J1720" s="338">
        <f t="shared" si="89"/>
        <v>15.067500000000001</v>
      </c>
      <c r="K1720" s="338">
        <f t="shared" si="89"/>
        <v>15.067500000000001</v>
      </c>
      <c r="L1720" s="338">
        <f t="shared" si="89"/>
        <v>15.067500000000001</v>
      </c>
      <c r="M1720" s="332"/>
    </row>
    <row r="1721" spans="1:13" hidden="1" outlineLevel="2" x14ac:dyDescent="0.35">
      <c r="A1721" s="339" t="s">
        <v>105</v>
      </c>
      <c r="B1721" s="331">
        <v>44222</v>
      </c>
      <c r="C1721" s="332" t="s">
        <v>2668</v>
      </c>
      <c r="D1721" s="332" t="s">
        <v>2669</v>
      </c>
      <c r="E1721" s="332" t="s">
        <v>2670</v>
      </c>
      <c r="F1721" s="336">
        <v>59.25</v>
      </c>
      <c r="G1721" s="330" t="s">
        <v>56</v>
      </c>
      <c r="H1721" s="329">
        <v>59.25</v>
      </c>
      <c r="I1721" s="338">
        <f t="shared" si="89"/>
        <v>14.8125</v>
      </c>
      <c r="J1721" s="338">
        <f t="shared" si="89"/>
        <v>14.8125</v>
      </c>
      <c r="K1721" s="338">
        <f t="shared" si="89"/>
        <v>14.8125</v>
      </c>
      <c r="L1721" s="338">
        <f t="shared" si="89"/>
        <v>14.8125</v>
      </c>
      <c r="M1721" s="332"/>
    </row>
    <row r="1722" spans="1:13" hidden="1" outlineLevel="2" x14ac:dyDescent="0.35">
      <c r="A1722" s="339" t="s">
        <v>105</v>
      </c>
      <c r="B1722" s="331">
        <v>44197</v>
      </c>
      <c r="C1722" s="332" t="s">
        <v>2671</v>
      </c>
      <c r="D1722" s="332" t="s">
        <v>2672</v>
      </c>
      <c r="E1722" s="332" t="s">
        <v>2670</v>
      </c>
      <c r="F1722" s="336">
        <v>58.48</v>
      </c>
      <c r="G1722" s="330" t="s">
        <v>56</v>
      </c>
      <c r="H1722" s="329">
        <v>58.48</v>
      </c>
      <c r="I1722" s="338">
        <f t="shared" si="89"/>
        <v>14.62</v>
      </c>
      <c r="J1722" s="338">
        <f t="shared" si="89"/>
        <v>14.62</v>
      </c>
      <c r="K1722" s="338">
        <f t="shared" si="89"/>
        <v>14.62</v>
      </c>
      <c r="L1722" s="338">
        <f t="shared" si="89"/>
        <v>14.62</v>
      </c>
      <c r="M1722" s="332"/>
    </row>
    <row r="1723" spans="1:13" hidden="1" outlineLevel="2" x14ac:dyDescent="0.35">
      <c r="A1723" s="339" t="s">
        <v>105</v>
      </c>
      <c r="B1723" s="331">
        <v>44201</v>
      </c>
      <c r="C1723" s="332" t="s">
        <v>2673</v>
      </c>
      <c r="D1723" s="332" t="s">
        <v>2674</v>
      </c>
      <c r="E1723" s="332" t="s">
        <v>2655</v>
      </c>
      <c r="F1723" s="336">
        <v>79.41</v>
      </c>
      <c r="G1723" s="330" t="s">
        <v>56</v>
      </c>
      <c r="H1723" s="329">
        <v>79.41</v>
      </c>
      <c r="I1723" s="338">
        <f t="shared" ref="I1723:L1742" si="90">$H1723/4</f>
        <v>19.852499999999999</v>
      </c>
      <c r="J1723" s="338">
        <f t="shared" si="90"/>
        <v>19.852499999999999</v>
      </c>
      <c r="K1723" s="338">
        <f t="shared" si="90"/>
        <v>19.852499999999999</v>
      </c>
      <c r="L1723" s="338">
        <f t="shared" si="90"/>
        <v>19.852499999999999</v>
      </c>
      <c r="M1723" s="332"/>
    </row>
    <row r="1724" spans="1:13" hidden="1" outlineLevel="2" x14ac:dyDescent="0.35">
      <c r="A1724" s="339" t="s">
        <v>105</v>
      </c>
      <c r="B1724" s="331">
        <v>44196</v>
      </c>
      <c r="C1724" s="332" t="s">
        <v>2675</v>
      </c>
      <c r="D1724" s="332" t="s">
        <v>2676</v>
      </c>
      <c r="E1724" s="332" t="s">
        <v>2677</v>
      </c>
      <c r="F1724" s="336">
        <v>3.13</v>
      </c>
      <c r="G1724" s="330" t="s">
        <v>56</v>
      </c>
      <c r="H1724" s="329">
        <v>3.13</v>
      </c>
      <c r="I1724" s="338">
        <f t="shared" si="90"/>
        <v>0.78249999999999997</v>
      </c>
      <c r="J1724" s="338">
        <f t="shared" si="90"/>
        <v>0.78249999999999997</v>
      </c>
      <c r="K1724" s="338">
        <f t="shared" si="90"/>
        <v>0.78249999999999997</v>
      </c>
      <c r="L1724" s="338">
        <f t="shared" si="90"/>
        <v>0.78249999999999997</v>
      </c>
      <c r="M1724" s="332"/>
    </row>
    <row r="1725" spans="1:13" hidden="1" outlineLevel="2" x14ac:dyDescent="0.35">
      <c r="A1725" s="339" t="s">
        <v>105</v>
      </c>
      <c r="B1725" s="331">
        <v>44256</v>
      </c>
      <c r="C1725" s="332" t="s">
        <v>2678</v>
      </c>
      <c r="D1725" s="332" t="s">
        <v>2679</v>
      </c>
      <c r="E1725" s="332" t="s">
        <v>2670</v>
      </c>
      <c r="F1725" s="336">
        <v>59.3</v>
      </c>
      <c r="G1725" s="330" t="s">
        <v>56</v>
      </c>
      <c r="H1725" s="329">
        <v>59.3</v>
      </c>
      <c r="I1725" s="338">
        <f t="shared" si="90"/>
        <v>14.824999999999999</v>
      </c>
      <c r="J1725" s="338">
        <f t="shared" si="90"/>
        <v>14.824999999999999</v>
      </c>
      <c r="K1725" s="338">
        <f t="shared" si="90"/>
        <v>14.824999999999999</v>
      </c>
      <c r="L1725" s="338">
        <f t="shared" si="90"/>
        <v>14.824999999999999</v>
      </c>
      <c r="M1725" s="332"/>
    </row>
    <row r="1726" spans="1:13" hidden="1" outlineLevel="2" x14ac:dyDescent="0.35">
      <c r="A1726" s="339" t="s">
        <v>105</v>
      </c>
      <c r="B1726" s="331">
        <v>44244</v>
      </c>
      <c r="C1726" s="332" t="s">
        <v>2680</v>
      </c>
      <c r="D1726" s="332" t="s">
        <v>2681</v>
      </c>
      <c r="E1726" s="332" t="s">
        <v>2682</v>
      </c>
      <c r="F1726" s="336">
        <v>80.489999999999995</v>
      </c>
      <c r="G1726" s="330" t="s">
        <v>56</v>
      </c>
      <c r="H1726" s="329">
        <v>80.489999999999995</v>
      </c>
      <c r="I1726" s="338">
        <f t="shared" si="90"/>
        <v>20.122499999999999</v>
      </c>
      <c r="J1726" s="338">
        <f t="shared" si="90"/>
        <v>20.122499999999999</v>
      </c>
      <c r="K1726" s="338">
        <f t="shared" si="90"/>
        <v>20.122499999999999</v>
      </c>
      <c r="L1726" s="338">
        <f t="shared" si="90"/>
        <v>20.122499999999999</v>
      </c>
      <c r="M1726" s="332"/>
    </row>
    <row r="1727" spans="1:13" hidden="1" outlineLevel="2" x14ac:dyDescent="0.35">
      <c r="A1727" s="339" t="s">
        <v>105</v>
      </c>
      <c r="B1727" s="331">
        <v>44280</v>
      </c>
      <c r="C1727" s="332" t="s">
        <v>2683</v>
      </c>
      <c r="D1727" s="332" t="s">
        <v>2684</v>
      </c>
      <c r="E1727" s="332" t="s">
        <v>2655</v>
      </c>
      <c r="F1727" s="336">
        <v>82.34</v>
      </c>
      <c r="G1727" s="330" t="s">
        <v>56</v>
      </c>
      <c r="H1727" s="329">
        <v>82.34</v>
      </c>
      <c r="I1727" s="338">
        <f t="shared" si="90"/>
        <v>20.585000000000001</v>
      </c>
      <c r="J1727" s="338">
        <f t="shared" si="90"/>
        <v>20.585000000000001</v>
      </c>
      <c r="K1727" s="338">
        <f t="shared" si="90"/>
        <v>20.585000000000001</v>
      </c>
      <c r="L1727" s="338">
        <f t="shared" si="90"/>
        <v>20.585000000000001</v>
      </c>
      <c r="M1727" s="332"/>
    </row>
    <row r="1728" spans="1:13" hidden="1" outlineLevel="2" x14ac:dyDescent="0.35">
      <c r="A1728" s="339" t="s">
        <v>105</v>
      </c>
      <c r="B1728" s="331">
        <v>44285</v>
      </c>
      <c r="C1728" s="332" t="s">
        <v>2685</v>
      </c>
      <c r="D1728" s="332" t="s">
        <v>2686</v>
      </c>
      <c r="E1728" s="332" t="s">
        <v>2670</v>
      </c>
      <c r="F1728" s="336">
        <v>60.93</v>
      </c>
      <c r="G1728" s="330" t="s">
        <v>56</v>
      </c>
      <c r="H1728" s="329">
        <v>60.93</v>
      </c>
      <c r="I1728" s="338">
        <f t="shared" si="90"/>
        <v>15.2325</v>
      </c>
      <c r="J1728" s="338">
        <f t="shared" si="90"/>
        <v>15.2325</v>
      </c>
      <c r="K1728" s="338">
        <f t="shared" si="90"/>
        <v>15.2325</v>
      </c>
      <c r="L1728" s="338">
        <f t="shared" si="90"/>
        <v>15.2325</v>
      </c>
      <c r="M1728" s="332"/>
    </row>
    <row r="1729" spans="1:13" hidden="1" outlineLevel="2" x14ac:dyDescent="0.35">
      <c r="A1729" s="339" t="s">
        <v>105</v>
      </c>
      <c r="B1729" s="331">
        <v>44309</v>
      </c>
      <c r="C1729" s="332" t="s">
        <v>2687</v>
      </c>
      <c r="D1729" s="332" t="s">
        <v>2688</v>
      </c>
      <c r="E1729" s="332" t="s">
        <v>2655</v>
      </c>
      <c r="F1729" s="336">
        <v>80.48</v>
      </c>
      <c r="G1729" s="330" t="s">
        <v>56</v>
      </c>
      <c r="H1729" s="329">
        <v>80.48</v>
      </c>
      <c r="I1729" s="338">
        <f t="shared" si="90"/>
        <v>20.12</v>
      </c>
      <c r="J1729" s="338">
        <f t="shared" si="90"/>
        <v>20.12</v>
      </c>
      <c r="K1729" s="338">
        <f t="shared" si="90"/>
        <v>20.12</v>
      </c>
      <c r="L1729" s="338">
        <f t="shared" si="90"/>
        <v>20.12</v>
      </c>
      <c r="M1729" s="332"/>
    </row>
    <row r="1730" spans="1:13" hidden="1" outlineLevel="2" x14ac:dyDescent="0.35">
      <c r="A1730" s="339" t="s">
        <v>105</v>
      </c>
      <c r="B1730" s="331">
        <v>44309</v>
      </c>
      <c r="C1730" s="332" t="s">
        <v>2689</v>
      </c>
      <c r="D1730" s="332" t="s">
        <v>2690</v>
      </c>
      <c r="E1730" s="332" t="s">
        <v>2670</v>
      </c>
      <c r="F1730" s="336">
        <v>59.3</v>
      </c>
      <c r="G1730" s="330" t="s">
        <v>56</v>
      </c>
      <c r="H1730" s="329">
        <v>59.3</v>
      </c>
      <c r="I1730" s="338">
        <f t="shared" si="90"/>
        <v>14.824999999999999</v>
      </c>
      <c r="J1730" s="338">
        <f t="shared" si="90"/>
        <v>14.824999999999999</v>
      </c>
      <c r="K1730" s="338">
        <f t="shared" si="90"/>
        <v>14.824999999999999</v>
      </c>
      <c r="L1730" s="338">
        <f t="shared" si="90"/>
        <v>14.824999999999999</v>
      </c>
      <c r="M1730" s="332"/>
    </row>
    <row r="1731" spans="1:13" hidden="1" outlineLevel="2" x14ac:dyDescent="0.35">
      <c r="A1731" s="339" t="s">
        <v>105</v>
      </c>
      <c r="B1731" s="331">
        <v>44523</v>
      </c>
      <c r="C1731" s="332" t="s">
        <v>2691</v>
      </c>
      <c r="D1731" s="332" t="s">
        <v>2692</v>
      </c>
      <c r="E1731" s="332" t="s">
        <v>2655</v>
      </c>
      <c r="F1731" s="336">
        <v>83.12</v>
      </c>
      <c r="G1731" s="330" t="s">
        <v>56</v>
      </c>
      <c r="H1731" s="329">
        <v>83.12</v>
      </c>
      <c r="I1731" s="338">
        <f t="shared" si="90"/>
        <v>20.78</v>
      </c>
      <c r="J1731" s="338">
        <f t="shared" si="90"/>
        <v>20.78</v>
      </c>
      <c r="K1731" s="338">
        <f t="shared" si="90"/>
        <v>20.78</v>
      </c>
      <c r="L1731" s="338">
        <f t="shared" si="90"/>
        <v>20.78</v>
      </c>
      <c r="M1731" s="332"/>
    </row>
    <row r="1732" spans="1:13" hidden="1" outlineLevel="2" x14ac:dyDescent="0.35">
      <c r="A1732" s="339" t="s">
        <v>105</v>
      </c>
      <c r="B1732" s="331">
        <v>44530</v>
      </c>
      <c r="C1732" s="332" t="s">
        <v>2693</v>
      </c>
      <c r="D1732" s="332" t="s">
        <v>2694</v>
      </c>
      <c r="E1732" s="332" t="s">
        <v>2695</v>
      </c>
      <c r="F1732" s="336">
        <v>61.08</v>
      </c>
      <c r="G1732" s="330" t="s">
        <v>56</v>
      </c>
      <c r="H1732" s="329">
        <v>61.08</v>
      </c>
      <c r="I1732" s="338">
        <f t="shared" si="90"/>
        <v>15.27</v>
      </c>
      <c r="J1732" s="338">
        <f t="shared" si="90"/>
        <v>15.27</v>
      </c>
      <c r="K1732" s="338">
        <f t="shared" si="90"/>
        <v>15.27</v>
      </c>
      <c r="L1732" s="338">
        <f t="shared" si="90"/>
        <v>15.27</v>
      </c>
      <c r="M1732" s="332"/>
    </row>
    <row r="1733" spans="1:13" hidden="1" outlineLevel="2" x14ac:dyDescent="0.35">
      <c r="A1733" s="339" t="s">
        <v>105</v>
      </c>
      <c r="B1733" s="331">
        <v>44562</v>
      </c>
      <c r="C1733" s="332" t="s">
        <v>2696</v>
      </c>
      <c r="D1733" s="332" t="s">
        <v>2697</v>
      </c>
      <c r="E1733" s="332" t="s">
        <v>2695</v>
      </c>
      <c r="F1733" s="336">
        <v>60.76</v>
      </c>
      <c r="G1733" s="330" t="s">
        <v>56</v>
      </c>
      <c r="H1733" s="329">
        <v>60.76</v>
      </c>
      <c r="I1733" s="338">
        <f t="shared" si="90"/>
        <v>15.19</v>
      </c>
      <c r="J1733" s="338">
        <f t="shared" si="90"/>
        <v>15.19</v>
      </c>
      <c r="K1733" s="338">
        <f t="shared" si="90"/>
        <v>15.19</v>
      </c>
      <c r="L1733" s="338">
        <f t="shared" si="90"/>
        <v>15.19</v>
      </c>
      <c r="M1733" s="332"/>
    </row>
    <row r="1734" spans="1:13" hidden="1" outlineLevel="2" x14ac:dyDescent="0.35">
      <c r="A1734" s="339" t="s">
        <v>105</v>
      </c>
      <c r="B1734" s="331">
        <v>44571</v>
      </c>
      <c r="C1734" s="332" t="s">
        <v>2698</v>
      </c>
      <c r="D1734" s="332" t="s">
        <v>2699</v>
      </c>
      <c r="E1734" s="332" t="s">
        <v>2700</v>
      </c>
      <c r="F1734" s="336">
        <v>82.56</v>
      </c>
      <c r="G1734" s="330" t="s">
        <v>56</v>
      </c>
      <c r="H1734" s="329">
        <v>82.56</v>
      </c>
      <c r="I1734" s="338">
        <f t="shared" si="90"/>
        <v>20.64</v>
      </c>
      <c r="J1734" s="338">
        <f t="shared" si="90"/>
        <v>20.64</v>
      </c>
      <c r="K1734" s="338">
        <f t="shared" si="90"/>
        <v>20.64</v>
      </c>
      <c r="L1734" s="338">
        <f t="shared" si="90"/>
        <v>20.64</v>
      </c>
      <c r="M1734" s="332"/>
    </row>
    <row r="1735" spans="1:13" hidden="1" outlineLevel="2" x14ac:dyDescent="0.35">
      <c r="A1735" s="339" t="s">
        <v>105</v>
      </c>
      <c r="B1735" s="331">
        <v>44592</v>
      </c>
      <c r="C1735" s="332" t="s">
        <v>2701</v>
      </c>
      <c r="D1735" s="332" t="s">
        <v>2702</v>
      </c>
      <c r="E1735" s="332" t="s">
        <v>2670</v>
      </c>
      <c r="F1735" s="336">
        <v>61.65</v>
      </c>
      <c r="G1735" s="330" t="s">
        <v>56</v>
      </c>
      <c r="H1735" s="329">
        <v>61.65</v>
      </c>
      <c r="I1735" s="338">
        <f t="shared" si="90"/>
        <v>15.4125</v>
      </c>
      <c r="J1735" s="338">
        <f t="shared" si="90"/>
        <v>15.4125</v>
      </c>
      <c r="K1735" s="338">
        <f t="shared" si="90"/>
        <v>15.4125</v>
      </c>
      <c r="L1735" s="338">
        <f t="shared" si="90"/>
        <v>15.4125</v>
      </c>
      <c r="M1735" s="332"/>
    </row>
    <row r="1736" spans="1:13" hidden="1" outlineLevel="2" x14ac:dyDescent="0.35">
      <c r="A1736" s="339" t="s">
        <v>105</v>
      </c>
      <c r="B1736" s="331">
        <v>43701</v>
      </c>
      <c r="C1736" s="332" t="s">
        <v>2703</v>
      </c>
      <c r="D1736" s="332" t="s">
        <v>2704</v>
      </c>
      <c r="E1736" s="332" t="s">
        <v>2705</v>
      </c>
      <c r="F1736" s="336">
        <v>4.99</v>
      </c>
      <c r="G1736" s="330" t="s">
        <v>56</v>
      </c>
      <c r="H1736" s="329">
        <v>4.99</v>
      </c>
      <c r="I1736" s="338">
        <f t="shared" si="90"/>
        <v>1.2475000000000001</v>
      </c>
      <c r="J1736" s="338">
        <f t="shared" si="90"/>
        <v>1.2475000000000001</v>
      </c>
      <c r="K1736" s="338">
        <f t="shared" si="90"/>
        <v>1.2475000000000001</v>
      </c>
      <c r="L1736" s="338">
        <f t="shared" si="90"/>
        <v>1.2475000000000001</v>
      </c>
      <c r="M1736" s="332"/>
    </row>
    <row r="1737" spans="1:13" hidden="1" outlineLevel="2" x14ac:dyDescent="0.35">
      <c r="A1737" s="339" t="s">
        <v>105</v>
      </c>
      <c r="B1737" s="331">
        <v>43799</v>
      </c>
      <c r="C1737" s="332" t="s">
        <v>2706</v>
      </c>
      <c r="D1737" s="332" t="s">
        <v>2707</v>
      </c>
      <c r="E1737" s="332" t="s">
        <v>2708</v>
      </c>
      <c r="F1737" s="336">
        <v>48.09</v>
      </c>
      <c r="G1737" s="330" t="s">
        <v>56</v>
      </c>
      <c r="H1737" s="329">
        <v>48.09</v>
      </c>
      <c r="I1737" s="338">
        <f t="shared" si="90"/>
        <v>12.022500000000001</v>
      </c>
      <c r="J1737" s="338">
        <f t="shared" si="90"/>
        <v>12.022500000000001</v>
      </c>
      <c r="K1737" s="338">
        <f t="shared" si="90"/>
        <v>12.022500000000001</v>
      </c>
      <c r="L1737" s="338">
        <f t="shared" si="90"/>
        <v>12.022500000000001</v>
      </c>
      <c r="M1737" s="332"/>
    </row>
    <row r="1738" spans="1:13" hidden="1" outlineLevel="2" x14ac:dyDescent="0.35">
      <c r="A1738" s="339" t="s">
        <v>105</v>
      </c>
      <c r="B1738" s="331">
        <v>43799</v>
      </c>
      <c r="C1738" s="332" t="s">
        <v>2706</v>
      </c>
      <c r="D1738" s="332" t="s">
        <v>2707</v>
      </c>
      <c r="E1738" s="332" t="s">
        <v>2708</v>
      </c>
      <c r="F1738" s="336">
        <v>10.09</v>
      </c>
      <c r="G1738" s="330" t="s">
        <v>56</v>
      </c>
      <c r="H1738" s="329">
        <v>10.09</v>
      </c>
      <c r="I1738" s="338">
        <f t="shared" si="90"/>
        <v>2.5225</v>
      </c>
      <c r="J1738" s="338">
        <f t="shared" si="90"/>
        <v>2.5225</v>
      </c>
      <c r="K1738" s="338">
        <f t="shared" si="90"/>
        <v>2.5225</v>
      </c>
      <c r="L1738" s="338">
        <f t="shared" si="90"/>
        <v>2.5225</v>
      </c>
      <c r="M1738" s="332"/>
    </row>
    <row r="1739" spans="1:13" hidden="1" outlineLevel="2" x14ac:dyDescent="0.35">
      <c r="A1739" s="339" t="s">
        <v>105</v>
      </c>
      <c r="B1739" s="331">
        <v>44144</v>
      </c>
      <c r="C1739" s="332" t="s">
        <v>2709</v>
      </c>
      <c r="D1739" s="332" t="s">
        <v>2710</v>
      </c>
      <c r="E1739" s="332" t="s">
        <v>2708</v>
      </c>
      <c r="F1739" s="336">
        <v>58.22</v>
      </c>
      <c r="G1739" s="330" t="s">
        <v>56</v>
      </c>
      <c r="H1739" s="329">
        <v>58.22</v>
      </c>
      <c r="I1739" s="338">
        <f t="shared" si="90"/>
        <v>14.555</v>
      </c>
      <c r="J1739" s="338">
        <f t="shared" si="90"/>
        <v>14.555</v>
      </c>
      <c r="K1739" s="338">
        <f t="shared" si="90"/>
        <v>14.555</v>
      </c>
      <c r="L1739" s="338">
        <f t="shared" si="90"/>
        <v>14.555</v>
      </c>
      <c r="M1739" s="332"/>
    </row>
    <row r="1740" spans="1:13" hidden="1" outlineLevel="2" x14ac:dyDescent="0.35">
      <c r="A1740" s="339" t="s">
        <v>105</v>
      </c>
      <c r="B1740" s="331">
        <v>44151</v>
      </c>
      <c r="C1740" s="332" t="s">
        <v>2711</v>
      </c>
      <c r="D1740" s="332" t="s">
        <v>2712</v>
      </c>
      <c r="E1740" s="332" t="s">
        <v>2713</v>
      </c>
      <c r="F1740" s="336">
        <v>38.130000000000003</v>
      </c>
      <c r="G1740" s="330" t="s">
        <v>56</v>
      </c>
      <c r="H1740" s="329">
        <v>38.130000000000003</v>
      </c>
      <c r="I1740" s="338">
        <f t="shared" si="90"/>
        <v>9.5325000000000006</v>
      </c>
      <c r="J1740" s="338">
        <f t="shared" si="90"/>
        <v>9.5325000000000006</v>
      </c>
      <c r="K1740" s="338">
        <f t="shared" si="90"/>
        <v>9.5325000000000006</v>
      </c>
      <c r="L1740" s="338">
        <f t="shared" si="90"/>
        <v>9.5325000000000006</v>
      </c>
      <c r="M1740" s="332"/>
    </row>
    <row r="1741" spans="1:13" hidden="1" outlineLevel="2" x14ac:dyDescent="0.35">
      <c r="A1741" s="339" t="s">
        <v>105</v>
      </c>
      <c r="B1741" s="331">
        <v>43701</v>
      </c>
      <c r="C1741" s="332" t="s">
        <v>2703</v>
      </c>
      <c r="D1741" s="332" t="s">
        <v>2704</v>
      </c>
      <c r="E1741" s="332" t="s">
        <v>2705</v>
      </c>
      <c r="F1741" s="336">
        <v>151.57</v>
      </c>
      <c r="G1741" s="330" t="s">
        <v>56</v>
      </c>
      <c r="H1741" s="329">
        <v>151.57</v>
      </c>
      <c r="I1741" s="338">
        <f t="shared" si="90"/>
        <v>37.892499999999998</v>
      </c>
      <c r="J1741" s="338">
        <f t="shared" si="90"/>
        <v>37.892499999999998</v>
      </c>
      <c r="K1741" s="338">
        <f t="shared" si="90"/>
        <v>37.892499999999998</v>
      </c>
      <c r="L1741" s="338">
        <f t="shared" si="90"/>
        <v>37.892499999999998</v>
      </c>
      <c r="M1741" s="332"/>
    </row>
    <row r="1742" spans="1:13" hidden="1" outlineLevel="2" x14ac:dyDescent="0.35">
      <c r="A1742" s="339" t="s">
        <v>105</v>
      </c>
      <c r="B1742" s="331">
        <v>44022</v>
      </c>
      <c r="C1742" s="332" t="s">
        <v>2714</v>
      </c>
      <c r="D1742" s="332" t="s">
        <v>2715</v>
      </c>
      <c r="E1742" s="332" t="s">
        <v>2716</v>
      </c>
      <c r="F1742" s="336">
        <v>193.06</v>
      </c>
      <c r="G1742" s="330" t="s">
        <v>56</v>
      </c>
      <c r="H1742" s="329">
        <v>193.06</v>
      </c>
      <c r="I1742" s="338">
        <f t="shared" si="90"/>
        <v>48.265000000000001</v>
      </c>
      <c r="J1742" s="338">
        <f t="shared" si="90"/>
        <v>48.265000000000001</v>
      </c>
      <c r="K1742" s="338">
        <f t="shared" si="90"/>
        <v>48.265000000000001</v>
      </c>
      <c r="L1742" s="338">
        <f t="shared" si="90"/>
        <v>48.265000000000001</v>
      </c>
      <c r="M1742" s="332"/>
    </row>
    <row r="1743" spans="1:13" hidden="1" outlineLevel="2" x14ac:dyDescent="0.35">
      <c r="A1743" s="339" t="s">
        <v>105</v>
      </c>
      <c r="B1743" s="331">
        <v>44022</v>
      </c>
      <c r="C1743" s="332" t="s">
        <v>2717</v>
      </c>
      <c r="D1743" s="332" t="s">
        <v>2718</v>
      </c>
      <c r="E1743" s="332" t="s">
        <v>2695</v>
      </c>
      <c r="F1743" s="336">
        <v>173.75</v>
      </c>
      <c r="G1743" s="330" t="s">
        <v>56</v>
      </c>
      <c r="H1743" s="329">
        <v>173.75</v>
      </c>
      <c r="I1743" s="338">
        <f t="shared" ref="I1743:L1762" si="91">$H1743/4</f>
        <v>43.4375</v>
      </c>
      <c r="J1743" s="338">
        <f t="shared" si="91"/>
        <v>43.4375</v>
      </c>
      <c r="K1743" s="338">
        <f t="shared" si="91"/>
        <v>43.4375</v>
      </c>
      <c r="L1743" s="338">
        <f t="shared" si="91"/>
        <v>43.4375</v>
      </c>
      <c r="M1743" s="332"/>
    </row>
    <row r="1744" spans="1:13" hidden="1" outlineLevel="2" x14ac:dyDescent="0.35">
      <c r="A1744" s="339" t="s">
        <v>105</v>
      </c>
      <c r="B1744" s="331">
        <v>44075</v>
      </c>
      <c r="C1744" s="332" t="s">
        <v>2719</v>
      </c>
      <c r="D1744" s="332" t="s">
        <v>2720</v>
      </c>
      <c r="E1744" s="332" t="s">
        <v>2721</v>
      </c>
      <c r="F1744" s="336">
        <v>161.03</v>
      </c>
      <c r="G1744" s="330" t="s">
        <v>56</v>
      </c>
      <c r="H1744" s="329">
        <v>161.03</v>
      </c>
      <c r="I1744" s="338">
        <f t="shared" si="91"/>
        <v>40.2575</v>
      </c>
      <c r="J1744" s="338">
        <f t="shared" si="91"/>
        <v>40.2575</v>
      </c>
      <c r="K1744" s="338">
        <f t="shared" si="91"/>
        <v>40.2575</v>
      </c>
      <c r="L1744" s="338">
        <f t="shared" si="91"/>
        <v>40.2575</v>
      </c>
      <c r="M1744" s="332"/>
    </row>
    <row r="1745" spans="1:13" hidden="1" outlineLevel="2" x14ac:dyDescent="0.35">
      <c r="A1745" s="339" t="s">
        <v>105</v>
      </c>
      <c r="B1745" s="331">
        <v>44075</v>
      </c>
      <c r="C1745" s="332" t="s">
        <v>2722</v>
      </c>
      <c r="D1745" s="332" t="s">
        <v>2723</v>
      </c>
      <c r="E1745" s="332" t="s">
        <v>2721</v>
      </c>
      <c r="F1745" s="336">
        <v>178.95</v>
      </c>
      <c r="G1745" s="330" t="s">
        <v>56</v>
      </c>
      <c r="H1745" s="329">
        <v>178.95</v>
      </c>
      <c r="I1745" s="338">
        <f t="shared" si="91"/>
        <v>44.737499999999997</v>
      </c>
      <c r="J1745" s="338">
        <f t="shared" si="91"/>
        <v>44.737499999999997</v>
      </c>
      <c r="K1745" s="338">
        <f t="shared" si="91"/>
        <v>44.737499999999997</v>
      </c>
      <c r="L1745" s="338">
        <f t="shared" si="91"/>
        <v>44.737499999999997</v>
      </c>
      <c r="M1745" s="332"/>
    </row>
    <row r="1746" spans="1:13" hidden="1" outlineLevel="2" x14ac:dyDescent="0.35">
      <c r="A1746" s="339" t="s">
        <v>105</v>
      </c>
      <c r="B1746" s="331">
        <v>43738</v>
      </c>
      <c r="C1746" s="332" t="s">
        <v>2724</v>
      </c>
      <c r="D1746" s="332" t="s">
        <v>2725</v>
      </c>
      <c r="E1746" s="332" t="s">
        <v>2726</v>
      </c>
      <c r="F1746" s="336">
        <v>31.5</v>
      </c>
      <c r="G1746" s="330" t="s">
        <v>56</v>
      </c>
      <c r="H1746" s="329">
        <v>31.5</v>
      </c>
      <c r="I1746" s="338">
        <f t="shared" si="91"/>
        <v>7.875</v>
      </c>
      <c r="J1746" s="338">
        <f t="shared" si="91"/>
        <v>7.875</v>
      </c>
      <c r="K1746" s="338">
        <f t="shared" si="91"/>
        <v>7.875</v>
      </c>
      <c r="L1746" s="338">
        <f t="shared" si="91"/>
        <v>7.875</v>
      </c>
      <c r="M1746" s="332"/>
    </row>
    <row r="1747" spans="1:13" hidden="1" outlineLevel="2" x14ac:dyDescent="0.35">
      <c r="A1747" s="339" t="s">
        <v>105</v>
      </c>
      <c r="B1747" s="331">
        <v>43738</v>
      </c>
      <c r="C1747" s="332" t="s">
        <v>2724</v>
      </c>
      <c r="D1747" s="332" t="s">
        <v>2725</v>
      </c>
      <c r="E1747" s="332" t="s">
        <v>2726</v>
      </c>
      <c r="F1747" s="336">
        <v>150</v>
      </c>
      <c r="G1747" s="330" t="s">
        <v>56</v>
      </c>
      <c r="H1747" s="329">
        <v>150</v>
      </c>
      <c r="I1747" s="338">
        <f t="shared" si="91"/>
        <v>37.5</v>
      </c>
      <c r="J1747" s="338">
        <f t="shared" si="91"/>
        <v>37.5</v>
      </c>
      <c r="K1747" s="338">
        <f t="shared" si="91"/>
        <v>37.5</v>
      </c>
      <c r="L1747" s="338">
        <f t="shared" si="91"/>
        <v>37.5</v>
      </c>
      <c r="M1747" s="332"/>
    </row>
    <row r="1748" spans="1:13" hidden="1" outlineLevel="2" x14ac:dyDescent="0.35">
      <c r="A1748" s="339" t="s">
        <v>105</v>
      </c>
      <c r="B1748" s="331">
        <v>43745</v>
      </c>
      <c r="C1748" s="332" t="s">
        <v>2727</v>
      </c>
      <c r="D1748" s="332" t="s">
        <v>2728</v>
      </c>
      <c r="E1748" s="332" t="s">
        <v>2726</v>
      </c>
      <c r="F1748" s="336">
        <v>-91.75</v>
      </c>
      <c r="G1748" s="330" t="s">
        <v>56</v>
      </c>
      <c r="H1748" s="329">
        <v>-91.75</v>
      </c>
      <c r="I1748" s="338">
        <f t="shared" si="91"/>
        <v>-22.9375</v>
      </c>
      <c r="J1748" s="338">
        <f t="shared" si="91"/>
        <v>-22.9375</v>
      </c>
      <c r="K1748" s="338">
        <f t="shared" si="91"/>
        <v>-22.9375</v>
      </c>
      <c r="L1748" s="338">
        <f t="shared" si="91"/>
        <v>-22.9375</v>
      </c>
      <c r="M1748" s="332"/>
    </row>
    <row r="1749" spans="1:13" hidden="1" outlineLevel="2" x14ac:dyDescent="0.35">
      <c r="A1749" s="339" t="s">
        <v>105</v>
      </c>
      <c r="B1749" s="331">
        <v>44078</v>
      </c>
      <c r="C1749" s="332" t="s">
        <v>2729</v>
      </c>
      <c r="D1749" s="332" t="s">
        <v>2730</v>
      </c>
      <c r="E1749" s="332" t="s">
        <v>2731</v>
      </c>
      <c r="F1749" s="336">
        <v>8.1999999999999993</v>
      </c>
      <c r="G1749" s="330" t="s">
        <v>56</v>
      </c>
      <c r="H1749" s="329">
        <v>8.1999999999999993</v>
      </c>
      <c r="I1749" s="338">
        <f t="shared" si="91"/>
        <v>2.0499999999999998</v>
      </c>
      <c r="J1749" s="338">
        <f t="shared" si="91"/>
        <v>2.0499999999999998</v>
      </c>
      <c r="K1749" s="338">
        <f t="shared" si="91"/>
        <v>2.0499999999999998</v>
      </c>
      <c r="L1749" s="338">
        <f t="shared" si="91"/>
        <v>2.0499999999999998</v>
      </c>
      <c r="M1749" s="332"/>
    </row>
    <row r="1750" spans="1:13" hidden="1" outlineLevel="2" x14ac:dyDescent="0.35">
      <c r="A1750" s="339" t="s">
        <v>105</v>
      </c>
      <c r="B1750" s="331">
        <v>44088</v>
      </c>
      <c r="C1750" s="332" t="s">
        <v>2732</v>
      </c>
      <c r="D1750" s="332" t="s">
        <v>2733</v>
      </c>
      <c r="E1750" s="332" t="s">
        <v>2731</v>
      </c>
      <c r="F1750" s="336">
        <v>8.1999999999999993</v>
      </c>
      <c r="G1750" s="330" t="s">
        <v>56</v>
      </c>
      <c r="H1750" s="329">
        <v>8.1999999999999993</v>
      </c>
      <c r="I1750" s="338">
        <f t="shared" si="91"/>
        <v>2.0499999999999998</v>
      </c>
      <c r="J1750" s="338">
        <f t="shared" si="91"/>
        <v>2.0499999999999998</v>
      </c>
      <c r="K1750" s="338">
        <f t="shared" si="91"/>
        <v>2.0499999999999998</v>
      </c>
      <c r="L1750" s="338">
        <f t="shared" si="91"/>
        <v>2.0499999999999998</v>
      </c>
      <c r="M1750" s="332"/>
    </row>
    <row r="1751" spans="1:13" hidden="1" outlineLevel="2" x14ac:dyDescent="0.35">
      <c r="A1751" s="339" t="s">
        <v>105</v>
      </c>
      <c r="B1751" s="331">
        <v>44090</v>
      </c>
      <c r="C1751" s="332" t="s">
        <v>2734</v>
      </c>
      <c r="D1751" s="332" t="s">
        <v>2735</v>
      </c>
      <c r="E1751" s="332" t="s">
        <v>2731</v>
      </c>
      <c r="F1751" s="336">
        <v>8.1999999999999993</v>
      </c>
      <c r="G1751" s="330" t="s">
        <v>56</v>
      </c>
      <c r="H1751" s="329">
        <v>8.1999999999999993</v>
      </c>
      <c r="I1751" s="338">
        <f t="shared" si="91"/>
        <v>2.0499999999999998</v>
      </c>
      <c r="J1751" s="338">
        <f t="shared" si="91"/>
        <v>2.0499999999999998</v>
      </c>
      <c r="K1751" s="338">
        <f t="shared" si="91"/>
        <v>2.0499999999999998</v>
      </c>
      <c r="L1751" s="338">
        <f t="shared" si="91"/>
        <v>2.0499999999999998</v>
      </c>
      <c r="M1751" s="332"/>
    </row>
    <row r="1752" spans="1:13" hidden="1" outlineLevel="2" x14ac:dyDescent="0.35">
      <c r="A1752" s="339" t="s">
        <v>105</v>
      </c>
      <c r="B1752" s="331">
        <v>43719</v>
      </c>
      <c r="C1752" s="332" t="s">
        <v>2736</v>
      </c>
      <c r="D1752" s="332" t="s">
        <v>2737</v>
      </c>
      <c r="E1752" s="332" t="s">
        <v>2738</v>
      </c>
      <c r="F1752" s="336">
        <v>69</v>
      </c>
      <c r="G1752" s="330" t="s">
        <v>56</v>
      </c>
      <c r="H1752" s="329">
        <v>69</v>
      </c>
      <c r="I1752" s="338">
        <f t="shared" si="91"/>
        <v>17.25</v>
      </c>
      <c r="J1752" s="338">
        <f t="shared" si="91"/>
        <v>17.25</v>
      </c>
      <c r="K1752" s="338">
        <f t="shared" si="91"/>
        <v>17.25</v>
      </c>
      <c r="L1752" s="338">
        <f t="shared" si="91"/>
        <v>17.25</v>
      </c>
      <c r="M1752" s="332"/>
    </row>
    <row r="1753" spans="1:13" hidden="1" outlineLevel="2" x14ac:dyDescent="0.35">
      <c r="A1753" s="339" t="s">
        <v>105</v>
      </c>
      <c r="B1753" s="331">
        <v>43706</v>
      </c>
      <c r="C1753" s="332" t="s">
        <v>2739</v>
      </c>
      <c r="D1753" s="332" t="s">
        <v>2740</v>
      </c>
      <c r="E1753" s="332" t="s">
        <v>798</v>
      </c>
      <c r="F1753" s="336">
        <v>837.93</v>
      </c>
      <c r="G1753" s="330" t="s">
        <v>56</v>
      </c>
      <c r="H1753" s="329">
        <v>837.93</v>
      </c>
      <c r="I1753" s="338">
        <f t="shared" si="91"/>
        <v>209.48249999999999</v>
      </c>
      <c r="J1753" s="338">
        <f t="shared" si="91"/>
        <v>209.48249999999999</v>
      </c>
      <c r="K1753" s="338">
        <f t="shared" si="91"/>
        <v>209.48249999999999</v>
      </c>
      <c r="L1753" s="338">
        <f t="shared" si="91"/>
        <v>209.48249999999999</v>
      </c>
      <c r="M1753" s="332"/>
    </row>
    <row r="1754" spans="1:13" hidden="1" outlineLevel="2" x14ac:dyDescent="0.35">
      <c r="A1754" s="339" t="s">
        <v>105</v>
      </c>
      <c r="B1754" s="331">
        <v>43671</v>
      </c>
      <c r="C1754" s="332" t="s">
        <v>2741</v>
      </c>
      <c r="D1754" s="332" t="s">
        <v>2742</v>
      </c>
      <c r="E1754" s="332" t="s">
        <v>798</v>
      </c>
      <c r="F1754" s="336">
        <v>1606.39</v>
      </c>
      <c r="G1754" s="330" t="s">
        <v>56</v>
      </c>
      <c r="H1754" s="329">
        <v>1606.39</v>
      </c>
      <c r="I1754" s="338">
        <f t="shared" si="91"/>
        <v>401.59750000000003</v>
      </c>
      <c r="J1754" s="338">
        <f t="shared" si="91"/>
        <v>401.59750000000003</v>
      </c>
      <c r="K1754" s="338">
        <f t="shared" si="91"/>
        <v>401.59750000000003</v>
      </c>
      <c r="L1754" s="338">
        <f t="shared" si="91"/>
        <v>401.59750000000003</v>
      </c>
      <c r="M1754" s="332"/>
    </row>
    <row r="1755" spans="1:13" hidden="1" outlineLevel="2" x14ac:dyDescent="0.35">
      <c r="A1755" s="339" t="s">
        <v>105</v>
      </c>
      <c r="B1755" s="331">
        <v>43787</v>
      </c>
      <c r="C1755" s="332" t="s">
        <v>2743</v>
      </c>
      <c r="D1755" s="332" t="s">
        <v>2744</v>
      </c>
      <c r="E1755" s="332" t="s">
        <v>798</v>
      </c>
      <c r="F1755" s="336">
        <v>893.87</v>
      </c>
      <c r="G1755" s="330" t="s">
        <v>56</v>
      </c>
      <c r="H1755" s="329">
        <v>893.87</v>
      </c>
      <c r="I1755" s="338">
        <f t="shared" si="91"/>
        <v>223.4675</v>
      </c>
      <c r="J1755" s="338">
        <f t="shared" si="91"/>
        <v>223.4675</v>
      </c>
      <c r="K1755" s="338">
        <f t="shared" si="91"/>
        <v>223.4675</v>
      </c>
      <c r="L1755" s="338">
        <f t="shared" si="91"/>
        <v>223.4675</v>
      </c>
      <c r="M1755" s="332"/>
    </row>
    <row r="1756" spans="1:13" hidden="1" outlineLevel="2" x14ac:dyDescent="0.35">
      <c r="A1756" s="339" t="s">
        <v>105</v>
      </c>
      <c r="B1756" s="331">
        <v>43851</v>
      </c>
      <c r="C1756" s="332" t="s">
        <v>2745</v>
      </c>
      <c r="D1756" s="332" t="s">
        <v>2746</v>
      </c>
      <c r="E1756" s="332" t="s">
        <v>798</v>
      </c>
      <c r="F1756" s="336">
        <v>889.88</v>
      </c>
      <c r="G1756" s="330" t="s">
        <v>56</v>
      </c>
      <c r="H1756" s="329">
        <v>889.88</v>
      </c>
      <c r="I1756" s="338">
        <f t="shared" si="91"/>
        <v>222.47</v>
      </c>
      <c r="J1756" s="338">
        <f t="shared" si="91"/>
        <v>222.47</v>
      </c>
      <c r="K1756" s="338">
        <f t="shared" si="91"/>
        <v>222.47</v>
      </c>
      <c r="L1756" s="338">
        <f t="shared" si="91"/>
        <v>222.47</v>
      </c>
      <c r="M1756" s="332"/>
    </row>
    <row r="1757" spans="1:13" hidden="1" outlineLevel="2" x14ac:dyDescent="0.35">
      <c r="A1757" s="339" t="s">
        <v>105</v>
      </c>
      <c r="B1757" s="331">
        <v>44042</v>
      </c>
      <c r="C1757" s="332" t="s">
        <v>2747</v>
      </c>
      <c r="D1757" s="332" t="s">
        <v>2742</v>
      </c>
      <c r="E1757" s="332" t="s">
        <v>798</v>
      </c>
      <c r="F1757" s="336">
        <v>866.67</v>
      </c>
      <c r="G1757" s="330" t="s">
        <v>56</v>
      </c>
      <c r="H1757" s="329">
        <v>866.67</v>
      </c>
      <c r="I1757" s="338">
        <f t="shared" si="91"/>
        <v>216.66749999999999</v>
      </c>
      <c r="J1757" s="338">
        <f t="shared" si="91"/>
        <v>216.66749999999999</v>
      </c>
      <c r="K1757" s="338">
        <f t="shared" si="91"/>
        <v>216.66749999999999</v>
      </c>
      <c r="L1757" s="338">
        <f t="shared" si="91"/>
        <v>216.66749999999999</v>
      </c>
      <c r="M1757" s="332"/>
    </row>
    <row r="1758" spans="1:13" hidden="1" outlineLevel="2" x14ac:dyDescent="0.35">
      <c r="A1758" s="339" t="s">
        <v>105</v>
      </c>
      <c r="B1758" s="331">
        <v>44119</v>
      </c>
      <c r="C1758" s="332" t="s">
        <v>2748</v>
      </c>
      <c r="D1758" s="332" t="s">
        <v>2749</v>
      </c>
      <c r="E1758" s="332" t="s">
        <v>798</v>
      </c>
      <c r="F1758" s="336">
        <v>722.93</v>
      </c>
      <c r="G1758" s="330" t="s">
        <v>56</v>
      </c>
      <c r="H1758" s="329">
        <v>722.93</v>
      </c>
      <c r="I1758" s="338">
        <f t="shared" si="91"/>
        <v>180.73249999999999</v>
      </c>
      <c r="J1758" s="338">
        <f t="shared" si="91"/>
        <v>180.73249999999999</v>
      </c>
      <c r="K1758" s="338">
        <f t="shared" si="91"/>
        <v>180.73249999999999</v>
      </c>
      <c r="L1758" s="338">
        <f t="shared" si="91"/>
        <v>180.73249999999999</v>
      </c>
      <c r="M1758" s="332"/>
    </row>
    <row r="1759" spans="1:13" hidden="1" outlineLevel="2" x14ac:dyDescent="0.35">
      <c r="A1759" s="339" t="s">
        <v>105</v>
      </c>
      <c r="B1759" s="331">
        <v>44182</v>
      </c>
      <c r="C1759" s="332" t="s">
        <v>2750</v>
      </c>
      <c r="D1759" s="332" t="s">
        <v>2742</v>
      </c>
      <c r="E1759" s="332" t="s">
        <v>798</v>
      </c>
      <c r="F1759" s="336">
        <v>25</v>
      </c>
      <c r="G1759" s="330" t="s">
        <v>56</v>
      </c>
      <c r="H1759" s="329">
        <v>25</v>
      </c>
      <c r="I1759" s="338">
        <f t="shared" si="91"/>
        <v>6.25</v>
      </c>
      <c r="J1759" s="338">
        <f t="shared" si="91"/>
        <v>6.25</v>
      </c>
      <c r="K1759" s="338">
        <f t="shared" si="91"/>
        <v>6.25</v>
      </c>
      <c r="L1759" s="338">
        <f t="shared" si="91"/>
        <v>6.25</v>
      </c>
      <c r="M1759" s="332"/>
    </row>
    <row r="1760" spans="1:13" hidden="1" outlineLevel="2" x14ac:dyDescent="0.35">
      <c r="A1760" s="339" t="s">
        <v>105</v>
      </c>
      <c r="B1760" s="331">
        <v>44382</v>
      </c>
      <c r="C1760" s="332" t="s">
        <v>2751</v>
      </c>
      <c r="D1760" s="332" t="s">
        <v>2746</v>
      </c>
      <c r="E1760" s="332" t="s">
        <v>798</v>
      </c>
      <c r="F1760" s="336">
        <v>41</v>
      </c>
      <c r="G1760" s="330" t="s">
        <v>56</v>
      </c>
      <c r="H1760" s="329">
        <v>41</v>
      </c>
      <c r="I1760" s="338">
        <f t="shared" si="91"/>
        <v>10.25</v>
      </c>
      <c r="J1760" s="338">
        <f t="shared" si="91"/>
        <v>10.25</v>
      </c>
      <c r="K1760" s="338">
        <f t="shared" si="91"/>
        <v>10.25</v>
      </c>
      <c r="L1760" s="338">
        <f t="shared" si="91"/>
        <v>10.25</v>
      </c>
      <c r="M1760" s="332"/>
    </row>
    <row r="1761" spans="1:13" hidden="1" outlineLevel="2" x14ac:dyDescent="0.35">
      <c r="A1761" s="339" t="s">
        <v>105</v>
      </c>
      <c r="B1761" s="331">
        <v>44350</v>
      </c>
      <c r="C1761" s="332" t="s">
        <v>2752</v>
      </c>
      <c r="D1761" s="332" t="s">
        <v>2746</v>
      </c>
      <c r="E1761" s="332" t="s">
        <v>798</v>
      </c>
      <c r="F1761" s="336">
        <v>92</v>
      </c>
      <c r="G1761" s="330" t="s">
        <v>56</v>
      </c>
      <c r="H1761" s="329">
        <v>92</v>
      </c>
      <c r="I1761" s="338">
        <f t="shared" si="91"/>
        <v>23</v>
      </c>
      <c r="J1761" s="338">
        <f t="shared" si="91"/>
        <v>23</v>
      </c>
      <c r="K1761" s="338">
        <f t="shared" si="91"/>
        <v>23</v>
      </c>
      <c r="L1761" s="338">
        <f t="shared" si="91"/>
        <v>23</v>
      </c>
      <c r="M1761" s="332"/>
    </row>
    <row r="1762" spans="1:13" hidden="1" outlineLevel="2" x14ac:dyDescent="0.35">
      <c r="A1762" s="339" t="s">
        <v>105</v>
      </c>
      <c r="B1762" s="331">
        <v>43798</v>
      </c>
      <c r="C1762" s="332" t="s">
        <v>2753</v>
      </c>
      <c r="D1762" s="332" t="s">
        <v>2754</v>
      </c>
      <c r="E1762" s="332" t="s">
        <v>798</v>
      </c>
      <c r="F1762" s="336">
        <v>890.67</v>
      </c>
      <c r="G1762" s="330" t="s">
        <v>56</v>
      </c>
      <c r="H1762" s="329">
        <v>890.67</v>
      </c>
      <c r="I1762" s="338">
        <f t="shared" si="91"/>
        <v>222.66749999999999</v>
      </c>
      <c r="J1762" s="338">
        <f t="shared" si="91"/>
        <v>222.66749999999999</v>
      </c>
      <c r="K1762" s="338">
        <f t="shared" si="91"/>
        <v>222.66749999999999</v>
      </c>
      <c r="L1762" s="338">
        <f t="shared" si="91"/>
        <v>222.66749999999999</v>
      </c>
      <c r="M1762" s="332"/>
    </row>
    <row r="1763" spans="1:13" hidden="1" outlineLevel="2" x14ac:dyDescent="0.35">
      <c r="A1763" s="339" t="s">
        <v>105</v>
      </c>
      <c r="B1763" s="331">
        <v>43706</v>
      </c>
      <c r="C1763" s="332" t="s">
        <v>2755</v>
      </c>
      <c r="D1763" s="332" t="s">
        <v>2756</v>
      </c>
      <c r="E1763" s="332" t="s">
        <v>798</v>
      </c>
      <c r="F1763" s="336">
        <v>-733.38</v>
      </c>
      <c r="G1763" s="330" t="s">
        <v>56</v>
      </c>
      <c r="H1763" s="329">
        <v>-733.38</v>
      </c>
      <c r="I1763" s="338">
        <f t="shared" ref="I1763:L1782" si="92">$H1763/4</f>
        <v>-183.345</v>
      </c>
      <c r="J1763" s="338">
        <f t="shared" si="92"/>
        <v>-183.345</v>
      </c>
      <c r="K1763" s="338">
        <f t="shared" si="92"/>
        <v>-183.345</v>
      </c>
      <c r="L1763" s="338">
        <f t="shared" si="92"/>
        <v>-183.345</v>
      </c>
      <c r="M1763" s="332"/>
    </row>
    <row r="1764" spans="1:13" hidden="1" outlineLevel="2" x14ac:dyDescent="0.35">
      <c r="A1764" s="339" t="s">
        <v>105</v>
      </c>
      <c r="B1764" s="331">
        <v>43719</v>
      </c>
      <c r="C1764" s="332" t="s">
        <v>2736</v>
      </c>
      <c r="D1764" s="332" t="s">
        <v>2757</v>
      </c>
      <c r="E1764" s="332" t="s">
        <v>2738</v>
      </c>
      <c r="F1764" s="336">
        <v>248.49</v>
      </c>
      <c r="G1764" s="330" t="s">
        <v>56</v>
      </c>
      <c r="H1764" s="329">
        <v>248.49</v>
      </c>
      <c r="I1764" s="338">
        <f t="shared" si="92"/>
        <v>62.122500000000002</v>
      </c>
      <c r="J1764" s="338">
        <f t="shared" si="92"/>
        <v>62.122500000000002</v>
      </c>
      <c r="K1764" s="338">
        <f t="shared" si="92"/>
        <v>62.122500000000002</v>
      </c>
      <c r="L1764" s="338">
        <f t="shared" si="92"/>
        <v>62.122500000000002</v>
      </c>
      <c r="M1764" s="332"/>
    </row>
    <row r="1765" spans="1:13" hidden="1" outlineLevel="2" x14ac:dyDescent="0.35">
      <c r="A1765" s="339" t="s">
        <v>105</v>
      </c>
      <c r="B1765" s="331">
        <v>43801</v>
      </c>
      <c r="C1765" s="332" t="s">
        <v>2758</v>
      </c>
      <c r="D1765" s="332" t="s">
        <v>2759</v>
      </c>
      <c r="E1765" s="332" t="s">
        <v>2738</v>
      </c>
      <c r="F1765" s="336">
        <v>200</v>
      </c>
      <c r="G1765" s="330" t="s">
        <v>56</v>
      </c>
      <c r="H1765" s="329">
        <v>200</v>
      </c>
      <c r="I1765" s="338">
        <f t="shared" si="92"/>
        <v>50</v>
      </c>
      <c r="J1765" s="338">
        <f t="shared" si="92"/>
        <v>50</v>
      </c>
      <c r="K1765" s="338">
        <f t="shared" si="92"/>
        <v>50</v>
      </c>
      <c r="L1765" s="338">
        <f t="shared" si="92"/>
        <v>50</v>
      </c>
      <c r="M1765" s="332"/>
    </row>
    <row r="1766" spans="1:13" hidden="1" outlineLevel="2" x14ac:dyDescent="0.35">
      <c r="A1766" s="339" t="s">
        <v>105</v>
      </c>
      <c r="B1766" s="331">
        <v>43910</v>
      </c>
      <c r="C1766" s="332" t="s">
        <v>2760</v>
      </c>
      <c r="D1766" s="332" t="s">
        <v>2761</v>
      </c>
      <c r="E1766" s="332" t="s">
        <v>2738</v>
      </c>
      <c r="F1766" s="336">
        <v>1547.68</v>
      </c>
      <c r="G1766" s="330" t="s">
        <v>56</v>
      </c>
      <c r="H1766" s="329">
        <v>1547.68</v>
      </c>
      <c r="I1766" s="338">
        <f t="shared" si="92"/>
        <v>386.92</v>
      </c>
      <c r="J1766" s="338">
        <f t="shared" si="92"/>
        <v>386.92</v>
      </c>
      <c r="K1766" s="338">
        <f t="shared" si="92"/>
        <v>386.92</v>
      </c>
      <c r="L1766" s="338">
        <f t="shared" si="92"/>
        <v>386.92</v>
      </c>
      <c r="M1766" s="332"/>
    </row>
    <row r="1767" spans="1:13" hidden="1" outlineLevel="2" x14ac:dyDescent="0.35">
      <c r="A1767" s="339" t="s">
        <v>105</v>
      </c>
      <c r="B1767" s="331">
        <v>44196</v>
      </c>
      <c r="C1767" s="332" t="s">
        <v>2762</v>
      </c>
      <c r="D1767" s="332" t="s">
        <v>2763</v>
      </c>
      <c r="E1767" s="332" t="s">
        <v>798</v>
      </c>
      <c r="F1767" s="336">
        <v>-368.28</v>
      </c>
      <c r="G1767" s="330" t="s">
        <v>56</v>
      </c>
      <c r="H1767" s="329">
        <v>-368.28</v>
      </c>
      <c r="I1767" s="338">
        <f t="shared" si="92"/>
        <v>-92.07</v>
      </c>
      <c r="J1767" s="338">
        <f t="shared" si="92"/>
        <v>-92.07</v>
      </c>
      <c r="K1767" s="338">
        <f t="shared" si="92"/>
        <v>-92.07</v>
      </c>
      <c r="L1767" s="338">
        <f t="shared" si="92"/>
        <v>-92.07</v>
      </c>
      <c r="M1767" s="332"/>
    </row>
    <row r="1768" spans="1:13" hidden="1" outlineLevel="2" x14ac:dyDescent="0.35">
      <c r="A1768" s="339" t="s">
        <v>105</v>
      </c>
      <c r="B1768" s="331">
        <v>44139</v>
      </c>
      <c r="C1768" s="332" t="s">
        <v>2764</v>
      </c>
      <c r="D1768" s="332" t="s">
        <v>2765</v>
      </c>
      <c r="E1768" s="332" t="s">
        <v>2068</v>
      </c>
      <c r="F1768" s="336">
        <v>56.69</v>
      </c>
      <c r="G1768" s="330" t="s">
        <v>56</v>
      </c>
      <c r="H1768" s="329">
        <v>56.69</v>
      </c>
      <c r="I1768" s="338">
        <f t="shared" si="92"/>
        <v>14.172499999999999</v>
      </c>
      <c r="J1768" s="338">
        <f t="shared" si="92"/>
        <v>14.172499999999999</v>
      </c>
      <c r="K1768" s="338">
        <f t="shared" si="92"/>
        <v>14.172499999999999</v>
      </c>
      <c r="L1768" s="338">
        <f t="shared" si="92"/>
        <v>14.172499999999999</v>
      </c>
      <c r="M1768" s="332"/>
    </row>
    <row r="1769" spans="1:13" hidden="1" outlineLevel="2" x14ac:dyDescent="0.35">
      <c r="A1769" s="339" t="s">
        <v>105</v>
      </c>
      <c r="B1769" s="331">
        <v>44129</v>
      </c>
      <c r="C1769" s="332" t="s">
        <v>2766</v>
      </c>
      <c r="D1769" s="332" t="s">
        <v>2767</v>
      </c>
      <c r="E1769" s="332" t="s">
        <v>2068</v>
      </c>
      <c r="F1769" s="336">
        <v>55</v>
      </c>
      <c r="G1769" s="330" t="s">
        <v>56</v>
      </c>
      <c r="H1769" s="329">
        <v>55</v>
      </c>
      <c r="I1769" s="338">
        <f t="shared" si="92"/>
        <v>13.75</v>
      </c>
      <c r="J1769" s="338">
        <f t="shared" si="92"/>
        <v>13.75</v>
      </c>
      <c r="K1769" s="338">
        <f t="shared" si="92"/>
        <v>13.75</v>
      </c>
      <c r="L1769" s="338">
        <f t="shared" si="92"/>
        <v>13.75</v>
      </c>
      <c r="M1769" s="332"/>
    </row>
    <row r="1770" spans="1:13" hidden="1" outlineLevel="2" x14ac:dyDescent="0.35">
      <c r="A1770" s="339" t="s">
        <v>105</v>
      </c>
      <c r="B1770" s="331">
        <v>44127</v>
      </c>
      <c r="C1770" s="332" t="s">
        <v>2768</v>
      </c>
      <c r="D1770" s="332" t="s">
        <v>2769</v>
      </c>
      <c r="E1770" s="332" t="s">
        <v>2068</v>
      </c>
      <c r="F1770" s="336">
        <v>41.25</v>
      </c>
      <c r="G1770" s="330" t="s">
        <v>56</v>
      </c>
      <c r="H1770" s="329">
        <v>41.25</v>
      </c>
      <c r="I1770" s="338">
        <f t="shared" si="92"/>
        <v>10.3125</v>
      </c>
      <c r="J1770" s="338">
        <f t="shared" si="92"/>
        <v>10.3125</v>
      </c>
      <c r="K1770" s="338">
        <f t="shared" si="92"/>
        <v>10.3125</v>
      </c>
      <c r="L1770" s="338">
        <f t="shared" si="92"/>
        <v>10.3125</v>
      </c>
      <c r="M1770" s="332"/>
    </row>
    <row r="1771" spans="1:13" hidden="1" outlineLevel="2" x14ac:dyDescent="0.35">
      <c r="A1771" s="339" t="s">
        <v>105</v>
      </c>
      <c r="B1771" s="331">
        <v>44135</v>
      </c>
      <c r="C1771" s="332" t="s">
        <v>2770</v>
      </c>
      <c r="D1771" s="332" t="s">
        <v>2771</v>
      </c>
      <c r="E1771" s="332" t="s">
        <v>2068</v>
      </c>
      <c r="F1771" s="336">
        <v>46.65</v>
      </c>
      <c r="G1771" s="330" t="s">
        <v>56</v>
      </c>
      <c r="H1771" s="329">
        <v>46.65</v>
      </c>
      <c r="I1771" s="338">
        <f t="shared" si="92"/>
        <v>11.6625</v>
      </c>
      <c r="J1771" s="338">
        <f t="shared" si="92"/>
        <v>11.6625</v>
      </c>
      <c r="K1771" s="338">
        <f t="shared" si="92"/>
        <v>11.6625</v>
      </c>
      <c r="L1771" s="338">
        <f t="shared" si="92"/>
        <v>11.6625</v>
      </c>
      <c r="M1771" s="332"/>
    </row>
    <row r="1772" spans="1:13" hidden="1" outlineLevel="2" x14ac:dyDescent="0.35">
      <c r="A1772" s="339" t="s">
        <v>105</v>
      </c>
      <c r="B1772" s="331">
        <v>44129</v>
      </c>
      <c r="C1772" s="332" t="s">
        <v>2772</v>
      </c>
      <c r="D1772" s="332" t="s">
        <v>2773</v>
      </c>
      <c r="E1772" s="332" t="s">
        <v>2068</v>
      </c>
      <c r="F1772" s="336">
        <v>48.4</v>
      </c>
      <c r="G1772" s="330" t="s">
        <v>56</v>
      </c>
      <c r="H1772" s="329">
        <v>48.4</v>
      </c>
      <c r="I1772" s="338">
        <f t="shared" si="92"/>
        <v>12.1</v>
      </c>
      <c r="J1772" s="338">
        <f t="shared" si="92"/>
        <v>12.1</v>
      </c>
      <c r="K1772" s="338">
        <f t="shared" si="92"/>
        <v>12.1</v>
      </c>
      <c r="L1772" s="338">
        <f t="shared" si="92"/>
        <v>12.1</v>
      </c>
      <c r="M1772" s="332"/>
    </row>
    <row r="1773" spans="1:13" hidden="1" outlineLevel="2" x14ac:dyDescent="0.35">
      <c r="A1773" s="339" t="s">
        <v>105</v>
      </c>
      <c r="B1773" s="331">
        <v>44089</v>
      </c>
      <c r="C1773" s="332" t="s">
        <v>2774</v>
      </c>
      <c r="D1773" s="332" t="s">
        <v>2775</v>
      </c>
      <c r="E1773" s="332" t="s">
        <v>2776</v>
      </c>
      <c r="F1773" s="336">
        <v>88.18</v>
      </c>
      <c r="G1773" s="330" t="s">
        <v>56</v>
      </c>
      <c r="H1773" s="329">
        <v>88.18</v>
      </c>
      <c r="I1773" s="338">
        <f t="shared" si="92"/>
        <v>22.045000000000002</v>
      </c>
      <c r="J1773" s="338">
        <f t="shared" si="92"/>
        <v>22.045000000000002</v>
      </c>
      <c r="K1773" s="338">
        <f t="shared" si="92"/>
        <v>22.045000000000002</v>
      </c>
      <c r="L1773" s="338">
        <f t="shared" si="92"/>
        <v>22.045000000000002</v>
      </c>
      <c r="M1773" s="332"/>
    </row>
    <row r="1774" spans="1:13" hidden="1" outlineLevel="2" x14ac:dyDescent="0.35">
      <c r="A1774" s="339" t="s">
        <v>105</v>
      </c>
      <c r="B1774" s="331">
        <v>44093</v>
      </c>
      <c r="C1774" s="332" t="s">
        <v>2777</v>
      </c>
      <c r="D1774" s="332" t="s">
        <v>2778</v>
      </c>
      <c r="E1774" s="332" t="s">
        <v>2779</v>
      </c>
      <c r="F1774" s="336">
        <v>51.67</v>
      </c>
      <c r="G1774" s="330" t="s">
        <v>56</v>
      </c>
      <c r="H1774" s="329">
        <v>51.67</v>
      </c>
      <c r="I1774" s="338">
        <f t="shared" si="92"/>
        <v>12.9175</v>
      </c>
      <c r="J1774" s="338">
        <f t="shared" si="92"/>
        <v>12.9175</v>
      </c>
      <c r="K1774" s="338">
        <f t="shared" si="92"/>
        <v>12.9175</v>
      </c>
      <c r="L1774" s="338">
        <f t="shared" si="92"/>
        <v>12.9175</v>
      </c>
      <c r="M1774" s="332"/>
    </row>
    <row r="1775" spans="1:13" hidden="1" outlineLevel="2" x14ac:dyDescent="0.35">
      <c r="A1775" s="339" t="s">
        <v>105</v>
      </c>
      <c r="B1775" s="331">
        <v>44094</v>
      </c>
      <c r="C1775" s="332" t="s">
        <v>2780</v>
      </c>
      <c r="D1775" s="332" t="s">
        <v>2781</v>
      </c>
      <c r="E1775" s="332" t="s">
        <v>2782</v>
      </c>
      <c r="F1775" s="336">
        <v>109.33</v>
      </c>
      <c r="G1775" s="330" t="s">
        <v>56</v>
      </c>
      <c r="H1775" s="329">
        <v>109.33</v>
      </c>
      <c r="I1775" s="338">
        <f t="shared" si="92"/>
        <v>27.3325</v>
      </c>
      <c r="J1775" s="338">
        <f t="shared" si="92"/>
        <v>27.3325</v>
      </c>
      <c r="K1775" s="338">
        <f t="shared" si="92"/>
        <v>27.3325</v>
      </c>
      <c r="L1775" s="338">
        <f t="shared" si="92"/>
        <v>27.3325</v>
      </c>
      <c r="M1775" s="332"/>
    </row>
    <row r="1776" spans="1:13" hidden="1" outlineLevel="2" x14ac:dyDescent="0.35">
      <c r="A1776" s="339" t="s">
        <v>105</v>
      </c>
      <c r="B1776" s="331">
        <v>44127</v>
      </c>
      <c r="C1776" s="332" t="s">
        <v>2783</v>
      </c>
      <c r="D1776" s="332" t="s">
        <v>2784</v>
      </c>
      <c r="E1776" s="332" t="s">
        <v>2785</v>
      </c>
      <c r="F1776" s="336">
        <v>95.01</v>
      </c>
      <c r="G1776" s="330" t="s">
        <v>56</v>
      </c>
      <c r="H1776" s="329">
        <v>95.01</v>
      </c>
      <c r="I1776" s="338">
        <f t="shared" si="92"/>
        <v>23.752500000000001</v>
      </c>
      <c r="J1776" s="338">
        <f t="shared" si="92"/>
        <v>23.752500000000001</v>
      </c>
      <c r="K1776" s="338">
        <f t="shared" si="92"/>
        <v>23.752500000000001</v>
      </c>
      <c r="L1776" s="338">
        <f t="shared" si="92"/>
        <v>23.752500000000001</v>
      </c>
      <c r="M1776" s="332"/>
    </row>
    <row r="1777" spans="1:13" hidden="1" outlineLevel="2" x14ac:dyDescent="0.35">
      <c r="A1777" s="339" t="s">
        <v>105</v>
      </c>
      <c r="B1777" s="331">
        <v>44134</v>
      </c>
      <c r="C1777" s="332" t="s">
        <v>2786</v>
      </c>
      <c r="D1777" s="332" t="s">
        <v>2787</v>
      </c>
      <c r="E1777" s="332" t="s">
        <v>2785</v>
      </c>
      <c r="F1777" s="336">
        <v>134.97</v>
      </c>
      <c r="G1777" s="330" t="s">
        <v>56</v>
      </c>
      <c r="H1777" s="329">
        <v>134.97</v>
      </c>
      <c r="I1777" s="338">
        <f t="shared" si="92"/>
        <v>33.7425</v>
      </c>
      <c r="J1777" s="338">
        <f t="shared" si="92"/>
        <v>33.7425</v>
      </c>
      <c r="K1777" s="338">
        <f t="shared" si="92"/>
        <v>33.7425</v>
      </c>
      <c r="L1777" s="338">
        <f t="shared" si="92"/>
        <v>33.7425</v>
      </c>
      <c r="M1777" s="332"/>
    </row>
    <row r="1778" spans="1:13" hidden="1" outlineLevel="2" x14ac:dyDescent="0.35">
      <c r="A1778" s="339" t="s">
        <v>105</v>
      </c>
      <c r="B1778" s="331">
        <v>44129</v>
      </c>
      <c r="C1778" s="332" t="s">
        <v>2788</v>
      </c>
      <c r="D1778" s="332" t="s">
        <v>2789</v>
      </c>
      <c r="E1778" s="332" t="s">
        <v>2782</v>
      </c>
      <c r="F1778" s="336">
        <v>55.38</v>
      </c>
      <c r="G1778" s="330" t="s">
        <v>56</v>
      </c>
      <c r="H1778" s="329">
        <v>55.38</v>
      </c>
      <c r="I1778" s="338">
        <f t="shared" si="92"/>
        <v>13.845000000000001</v>
      </c>
      <c r="J1778" s="338">
        <f t="shared" si="92"/>
        <v>13.845000000000001</v>
      </c>
      <c r="K1778" s="338">
        <f t="shared" si="92"/>
        <v>13.845000000000001</v>
      </c>
      <c r="L1778" s="338">
        <f t="shared" si="92"/>
        <v>13.845000000000001</v>
      </c>
      <c r="M1778" s="332"/>
    </row>
    <row r="1779" spans="1:13" hidden="1" outlineLevel="2" x14ac:dyDescent="0.35">
      <c r="A1779" s="339" t="s">
        <v>105</v>
      </c>
      <c r="B1779" s="331">
        <v>44144</v>
      </c>
      <c r="C1779" s="332" t="s">
        <v>2790</v>
      </c>
      <c r="D1779" s="332" t="s">
        <v>2791</v>
      </c>
      <c r="E1779" s="332" t="s">
        <v>2792</v>
      </c>
      <c r="F1779" s="336">
        <v>131.4</v>
      </c>
      <c r="G1779" s="330" t="s">
        <v>56</v>
      </c>
      <c r="H1779" s="329">
        <v>131.4</v>
      </c>
      <c r="I1779" s="338">
        <f t="shared" si="92"/>
        <v>32.85</v>
      </c>
      <c r="J1779" s="338">
        <f t="shared" si="92"/>
        <v>32.85</v>
      </c>
      <c r="K1779" s="338">
        <f t="shared" si="92"/>
        <v>32.85</v>
      </c>
      <c r="L1779" s="338">
        <f t="shared" si="92"/>
        <v>32.85</v>
      </c>
      <c r="M1779" s="332"/>
    </row>
    <row r="1780" spans="1:13" hidden="1" outlineLevel="2" x14ac:dyDescent="0.35">
      <c r="A1780" s="339" t="s">
        <v>105</v>
      </c>
      <c r="B1780" s="331">
        <v>44134</v>
      </c>
      <c r="C1780" s="332" t="s">
        <v>2793</v>
      </c>
      <c r="D1780" s="332" t="s">
        <v>2794</v>
      </c>
      <c r="E1780" s="332" t="s">
        <v>2785</v>
      </c>
      <c r="F1780" s="336">
        <v>379.92</v>
      </c>
      <c r="G1780" s="330" t="s">
        <v>56</v>
      </c>
      <c r="H1780" s="329">
        <v>379.92</v>
      </c>
      <c r="I1780" s="338">
        <f t="shared" si="92"/>
        <v>94.98</v>
      </c>
      <c r="J1780" s="338">
        <f t="shared" si="92"/>
        <v>94.98</v>
      </c>
      <c r="K1780" s="338">
        <f t="shared" si="92"/>
        <v>94.98</v>
      </c>
      <c r="L1780" s="338">
        <f t="shared" si="92"/>
        <v>94.98</v>
      </c>
      <c r="M1780" s="332"/>
    </row>
    <row r="1781" spans="1:13" hidden="1" outlineLevel="2" x14ac:dyDescent="0.35">
      <c r="A1781" s="339" t="s">
        <v>105</v>
      </c>
      <c r="B1781" s="331">
        <v>44170</v>
      </c>
      <c r="C1781" s="332" t="s">
        <v>2795</v>
      </c>
      <c r="D1781" s="332" t="s">
        <v>2796</v>
      </c>
      <c r="E1781" s="332" t="s">
        <v>2785</v>
      </c>
      <c r="F1781" s="336">
        <v>63.32</v>
      </c>
      <c r="G1781" s="330" t="s">
        <v>56</v>
      </c>
      <c r="H1781" s="329">
        <v>63.32</v>
      </c>
      <c r="I1781" s="338">
        <f t="shared" si="92"/>
        <v>15.83</v>
      </c>
      <c r="J1781" s="338">
        <f t="shared" si="92"/>
        <v>15.83</v>
      </c>
      <c r="K1781" s="338">
        <f t="shared" si="92"/>
        <v>15.83</v>
      </c>
      <c r="L1781" s="338">
        <f t="shared" si="92"/>
        <v>15.83</v>
      </c>
      <c r="M1781" s="332"/>
    </row>
    <row r="1782" spans="1:13" hidden="1" outlineLevel="2" x14ac:dyDescent="0.35">
      <c r="A1782" s="339" t="s">
        <v>105</v>
      </c>
      <c r="B1782" s="331">
        <v>44174</v>
      </c>
      <c r="C1782" s="332" t="s">
        <v>2797</v>
      </c>
      <c r="D1782" s="332" t="s">
        <v>2798</v>
      </c>
      <c r="E1782" s="332" t="s">
        <v>2779</v>
      </c>
      <c r="F1782" s="336">
        <v>39.979999999999997</v>
      </c>
      <c r="G1782" s="330" t="s">
        <v>56</v>
      </c>
      <c r="H1782" s="329">
        <v>39.979999999999997</v>
      </c>
      <c r="I1782" s="338">
        <f t="shared" si="92"/>
        <v>9.9949999999999992</v>
      </c>
      <c r="J1782" s="338">
        <f t="shared" si="92"/>
        <v>9.9949999999999992</v>
      </c>
      <c r="K1782" s="338">
        <f t="shared" si="92"/>
        <v>9.9949999999999992</v>
      </c>
      <c r="L1782" s="338">
        <f t="shared" si="92"/>
        <v>9.9949999999999992</v>
      </c>
      <c r="M1782" s="332"/>
    </row>
    <row r="1783" spans="1:13" hidden="1" outlineLevel="2" x14ac:dyDescent="0.35">
      <c r="A1783" s="339" t="s">
        <v>105</v>
      </c>
      <c r="B1783" s="331">
        <v>44174</v>
      </c>
      <c r="C1783" s="332" t="s">
        <v>2799</v>
      </c>
      <c r="D1783" s="332" t="s">
        <v>2800</v>
      </c>
      <c r="E1783" s="332" t="s">
        <v>2801</v>
      </c>
      <c r="F1783" s="336">
        <v>6.78</v>
      </c>
      <c r="G1783" s="330" t="s">
        <v>56</v>
      </c>
      <c r="H1783" s="329">
        <v>6.78</v>
      </c>
      <c r="I1783" s="338">
        <f t="shared" ref="I1783:L1802" si="93">$H1783/4</f>
        <v>1.6950000000000001</v>
      </c>
      <c r="J1783" s="338">
        <f t="shared" si="93"/>
        <v>1.6950000000000001</v>
      </c>
      <c r="K1783" s="338">
        <f t="shared" si="93"/>
        <v>1.6950000000000001</v>
      </c>
      <c r="L1783" s="338">
        <f t="shared" si="93"/>
        <v>1.6950000000000001</v>
      </c>
      <c r="M1783" s="332"/>
    </row>
    <row r="1784" spans="1:13" hidden="1" outlineLevel="2" x14ac:dyDescent="0.35">
      <c r="A1784" s="339" t="s">
        <v>105</v>
      </c>
      <c r="B1784" s="331">
        <v>44154</v>
      </c>
      <c r="C1784" s="332" t="s">
        <v>2802</v>
      </c>
      <c r="D1784" s="332" t="s">
        <v>2803</v>
      </c>
      <c r="E1784" s="332" t="s">
        <v>2804</v>
      </c>
      <c r="F1784" s="336">
        <v>52.01</v>
      </c>
      <c r="G1784" s="330" t="s">
        <v>56</v>
      </c>
      <c r="H1784" s="329">
        <v>52.01</v>
      </c>
      <c r="I1784" s="338">
        <f t="shared" si="93"/>
        <v>13.0025</v>
      </c>
      <c r="J1784" s="338">
        <f t="shared" si="93"/>
        <v>13.0025</v>
      </c>
      <c r="K1784" s="338">
        <f t="shared" si="93"/>
        <v>13.0025</v>
      </c>
      <c r="L1784" s="338">
        <f t="shared" si="93"/>
        <v>13.0025</v>
      </c>
      <c r="M1784" s="332"/>
    </row>
    <row r="1785" spans="1:13" hidden="1" outlineLevel="2" x14ac:dyDescent="0.35">
      <c r="A1785" s="339" t="s">
        <v>105</v>
      </c>
      <c r="B1785" s="331">
        <v>44153</v>
      </c>
      <c r="C1785" s="332" t="s">
        <v>2805</v>
      </c>
      <c r="D1785" s="332" t="s">
        <v>2806</v>
      </c>
      <c r="E1785" s="332" t="s">
        <v>2807</v>
      </c>
      <c r="F1785" s="336">
        <v>43.43</v>
      </c>
      <c r="G1785" s="330" t="s">
        <v>56</v>
      </c>
      <c r="H1785" s="329">
        <v>43.43</v>
      </c>
      <c r="I1785" s="338">
        <f t="shared" si="93"/>
        <v>10.8575</v>
      </c>
      <c r="J1785" s="338">
        <f t="shared" si="93"/>
        <v>10.8575</v>
      </c>
      <c r="K1785" s="338">
        <f t="shared" si="93"/>
        <v>10.8575</v>
      </c>
      <c r="L1785" s="338">
        <f t="shared" si="93"/>
        <v>10.8575</v>
      </c>
      <c r="M1785" s="332"/>
    </row>
    <row r="1786" spans="1:13" hidden="1" outlineLevel="2" x14ac:dyDescent="0.35">
      <c r="A1786" s="339" t="s">
        <v>105</v>
      </c>
      <c r="B1786" s="331">
        <v>44182</v>
      </c>
      <c r="C1786" s="332" t="s">
        <v>2808</v>
      </c>
      <c r="D1786" s="332" t="s">
        <v>2809</v>
      </c>
      <c r="E1786" s="332" t="s">
        <v>2801</v>
      </c>
      <c r="F1786" s="336">
        <v>3.38</v>
      </c>
      <c r="G1786" s="330" t="s">
        <v>56</v>
      </c>
      <c r="H1786" s="329">
        <v>3.38</v>
      </c>
      <c r="I1786" s="338">
        <f t="shared" si="93"/>
        <v>0.84499999999999997</v>
      </c>
      <c r="J1786" s="338">
        <f t="shared" si="93"/>
        <v>0.84499999999999997</v>
      </c>
      <c r="K1786" s="338">
        <f t="shared" si="93"/>
        <v>0.84499999999999997</v>
      </c>
      <c r="L1786" s="338">
        <f t="shared" si="93"/>
        <v>0.84499999999999997</v>
      </c>
      <c r="M1786" s="332"/>
    </row>
    <row r="1787" spans="1:13" hidden="1" outlineLevel="2" x14ac:dyDescent="0.35">
      <c r="A1787" s="339" t="s">
        <v>105</v>
      </c>
      <c r="B1787" s="331">
        <v>44462</v>
      </c>
      <c r="C1787" s="332" t="s">
        <v>2810</v>
      </c>
      <c r="D1787" s="332" t="s">
        <v>2811</v>
      </c>
      <c r="E1787" s="332" t="s">
        <v>2812</v>
      </c>
      <c r="F1787" s="336">
        <v>232.41</v>
      </c>
      <c r="G1787" s="330" t="s">
        <v>56</v>
      </c>
      <c r="H1787" s="329">
        <v>232.41</v>
      </c>
      <c r="I1787" s="338">
        <f t="shared" si="93"/>
        <v>58.102499999999999</v>
      </c>
      <c r="J1787" s="338">
        <f t="shared" si="93"/>
        <v>58.102499999999999</v>
      </c>
      <c r="K1787" s="338">
        <f t="shared" si="93"/>
        <v>58.102499999999999</v>
      </c>
      <c r="L1787" s="338">
        <f t="shared" si="93"/>
        <v>58.102499999999999</v>
      </c>
      <c r="M1787" s="332"/>
    </row>
    <row r="1788" spans="1:13" hidden="1" outlineLevel="2" x14ac:dyDescent="0.35">
      <c r="A1788" s="339" t="s">
        <v>105</v>
      </c>
      <c r="B1788" s="331">
        <v>44498</v>
      </c>
      <c r="C1788" s="332" t="s">
        <v>2813</v>
      </c>
      <c r="D1788" s="332" t="s">
        <v>2814</v>
      </c>
      <c r="E1788" s="332" t="s">
        <v>801</v>
      </c>
      <c r="F1788" s="336">
        <v>122.81</v>
      </c>
      <c r="G1788" s="330" t="s">
        <v>56</v>
      </c>
      <c r="H1788" s="329">
        <v>122.81</v>
      </c>
      <c r="I1788" s="338">
        <f t="shared" si="93"/>
        <v>30.702500000000001</v>
      </c>
      <c r="J1788" s="338">
        <f t="shared" si="93"/>
        <v>30.702500000000001</v>
      </c>
      <c r="K1788" s="338">
        <f t="shared" si="93"/>
        <v>30.702500000000001</v>
      </c>
      <c r="L1788" s="338">
        <f t="shared" si="93"/>
        <v>30.702500000000001</v>
      </c>
      <c r="M1788" s="332"/>
    </row>
    <row r="1789" spans="1:13" hidden="1" outlineLevel="2" x14ac:dyDescent="0.35">
      <c r="A1789" s="339" t="s">
        <v>105</v>
      </c>
      <c r="B1789" s="331">
        <v>44512</v>
      </c>
      <c r="C1789" s="332" t="s">
        <v>2815</v>
      </c>
      <c r="D1789" s="332" t="s">
        <v>2816</v>
      </c>
      <c r="E1789" s="332" t="s">
        <v>2817</v>
      </c>
      <c r="F1789" s="336">
        <v>52.28</v>
      </c>
      <c r="G1789" s="330" t="s">
        <v>56</v>
      </c>
      <c r="H1789" s="329">
        <v>52.28</v>
      </c>
      <c r="I1789" s="338">
        <f t="shared" si="93"/>
        <v>13.07</v>
      </c>
      <c r="J1789" s="338">
        <f t="shared" si="93"/>
        <v>13.07</v>
      </c>
      <c r="K1789" s="338">
        <f t="shared" si="93"/>
        <v>13.07</v>
      </c>
      <c r="L1789" s="338">
        <f t="shared" si="93"/>
        <v>13.07</v>
      </c>
      <c r="M1789" s="332"/>
    </row>
    <row r="1790" spans="1:13" hidden="1" outlineLevel="2" x14ac:dyDescent="0.35">
      <c r="A1790" s="339" t="s">
        <v>105</v>
      </c>
      <c r="B1790" s="331">
        <v>44535</v>
      </c>
      <c r="C1790" s="332" t="s">
        <v>2818</v>
      </c>
      <c r="D1790" s="332" t="s">
        <v>2819</v>
      </c>
      <c r="E1790" s="332" t="s">
        <v>2779</v>
      </c>
      <c r="F1790" s="336">
        <v>41.16</v>
      </c>
      <c r="G1790" s="330" t="s">
        <v>56</v>
      </c>
      <c r="H1790" s="329">
        <v>41.16</v>
      </c>
      <c r="I1790" s="338">
        <f t="shared" si="93"/>
        <v>10.29</v>
      </c>
      <c r="J1790" s="338">
        <f t="shared" si="93"/>
        <v>10.29</v>
      </c>
      <c r="K1790" s="338">
        <f t="shared" si="93"/>
        <v>10.29</v>
      </c>
      <c r="L1790" s="338">
        <f t="shared" si="93"/>
        <v>10.29</v>
      </c>
      <c r="M1790" s="332"/>
    </row>
    <row r="1791" spans="1:13" hidden="1" outlineLevel="2" x14ac:dyDescent="0.35">
      <c r="A1791" s="339" t="s">
        <v>105</v>
      </c>
      <c r="B1791" s="331">
        <v>44569</v>
      </c>
      <c r="C1791" s="332" t="s">
        <v>2820</v>
      </c>
      <c r="D1791" s="332" t="s">
        <v>2821</v>
      </c>
      <c r="E1791" s="332" t="s">
        <v>2779</v>
      </c>
      <c r="F1791" s="336">
        <v>41.02</v>
      </c>
      <c r="G1791" s="330" t="s">
        <v>56</v>
      </c>
      <c r="H1791" s="329">
        <v>41.02</v>
      </c>
      <c r="I1791" s="338">
        <f t="shared" si="93"/>
        <v>10.255000000000001</v>
      </c>
      <c r="J1791" s="338">
        <f t="shared" si="93"/>
        <v>10.255000000000001</v>
      </c>
      <c r="K1791" s="338">
        <f t="shared" si="93"/>
        <v>10.255000000000001</v>
      </c>
      <c r="L1791" s="338">
        <f t="shared" si="93"/>
        <v>10.255000000000001</v>
      </c>
      <c r="M1791" s="332"/>
    </row>
    <row r="1792" spans="1:13" hidden="1" outlineLevel="2" x14ac:dyDescent="0.35">
      <c r="A1792" s="339" t="s">
        <v>105</v>
      </c>
      <c r="B1792" s="331">
        <v>43815</v>
      </c>
      <c r="C1792" s="332" t="s">
        <v>2822</v>
      </c>
      <c r="D1792" s="332" t="s">
        <v>2823</v>
      </c>
      <c r="E1792" s="332" t="s">
        <v>2705</v>
      </c>
      <c r="F1792" s="336">
        <v>47.29</v>
      </c>
      <c r="G1792" s="330" t="s">
        <v>56</v>
      </c>
      <c r="H1792" s="329">
        <v>47.29</v>
      </c>
      <c r="I1792" s="338">
        <f t="shared" si="93"/>
        <v>11.8225</v>
      </c>
      <c r="J1792" s="338">
        <f t="shared" si="93"/>
        <v>11.8225</v>
      </c>
      <c r="K1792" s="338">
        <f t="shared" si="93"/>
        <v>11.8225</v>
      </c>
      <c r="L1792" s="338">
        <f t="shared" si="93"/>
        <v>11.8225</v>
      </c>
      <c r="M1792" s="332"/>
    </row>
    <row r="1793" spans="1:13" hidden="1" outlineLevel="2" x14ac:dyDescent="0.35">
      <c r="A1793" s="339" t="s">
        <v>105</v>
      </c>
      <c r="B1793" s="331">
        <v>43830</v>
      </c>
      <c r="C1793" s="332" t="s">
        <v>2824</v>
      </c>
      <c r="D1793" s="332" t="s">
        <v>2825</v>
      </c>
      <c r="E1793" s="332" t="s">
        <v>2705</v>
      </c>
      <c r="F1793" s="336">
        <v>442.54</v>
      </c>
      <c r="G1793" s="330" t="s">
        <v>56</v>
      </c>
      <c r="H1793" s="329">
        <v>442.54</v>
      </c>
      <c r="I1793" s="338">
        <f t="shared" si="93"/>
        <v>110.63500000000001</v>
      </c>
      <c r="J1793" s="338">
        <f t="shared" si="93"/>
        <v>110.63500000000001</v>
      </c>
      <c r="K1793" s="338">
        <f t="shared" si="93"/>
        <v>110.63500000000001</v>
      </c>
      <c r="L1793" s="338">
        <f t="shared" si="93"/>
        <v>110.63500000000001</v>
      </c>
      <c r="M1793" s="332"/>
    </row>
    <row r="1794" spans="1:13" hidden="1" outlineLevel="2" x14ac:dyDescent="0.35">
      <c r="A1794" s="339" t="s">
        <v>105</v>
      </c>
      <c r="B1794" s="331">
        <v>43701</v>
      </c>
      <c r="C1794" s="332" t="s">
        <v>2703</v>
      </c>
      <c r="D1794" s="332" t="s">
        <v>2704</v>
      </c>
      <c r="E1794" s="332" t="s">
        <v>2705</v>
      </c>
      <c r="F1794" s="336">
        <v>253.17</v>
      </c>
      <c r="G1794" s="330" t="s">
        <v>56</v>
      </c>
      <c r="H1794" s="329">
        <v>253.17</v>
      </c>
      <c r="I1794" s="338">
        <f t="shared" si="93"/>
        <v>63.292499999999997</v>
      </c>
      <c r="J1794" s="338">
        <f t="shared" si="93"/>
        <v>63.292499999999997</v>
      </c>
      <c r="K1794" s="338">
        <f t="shared" si="93"/>
        <v>63.292499999999997</v>
      </c>
      <c r="L1794" s="338">
        <f t="shared" si="93"/>
        <v>63.292499999999997</v>
      </c>
      <c r="M1794" s="332"/>
    </row>
    <row r="1795" spans="1:13" hidden="1" outlineLevel="2" x14ac:dyDescent="0.35">
      <c r="A1795" s="339" t="s">
        <v>105</v>
      </c>
      <c r="B1795" s="331">
        <v>43701</v>
      </c>
      <c r="C1795" s="332" t="s">
        <v>2703</v>
      </c>
      <c r="D1795" s="332" t="s">
        <v>2704</v>
      </c>
      <c r="E1795" s="332" t="s">
        <v>2705</v>
      </c>
      <c r="F1795" s="336">
        <v>38.69</v>
      </c>
      <c r="G1795" s="330" t="s">
        <v>56</v>
      </c>
      <c r="H1795" s="329">
        <v>38.69</v>
      </c>
      <c r="I1795" s="338">
        <f t="shared" si="93"/>
        <v>9.6724999999999994</v>
      </c>
      <c r="J1795" s="338">
        <f t="shared" si="93"/>
        <v>9.6724999999999994</v>
      </c>
      <c r="K1795" s="338">
        <f t="shared" si="93"/>
        <v>9.6724999999999994</v>
      </c>
      <c r="L1795" s="338">
        <f t="shared" si="93"/>
        <v>9.6724999999999994</v>
      </c>
      <c r="M1795" s="332"/>
    </row>
    <row r="1796" spans="1:13" hidden="1" outlineLevel="2" x14ac:dyDescent="0.35">
      <c r="A1796" s="339" t="s">
        <v>105</v>
      </c>
      <c r="B1796" s="331">
        <v>44561</v>
      </c>
      <c r="C1796" s="332" t="s">
        <v>2826</v>
      </c>
      <c r="D1796" s="332" t="s">
        <v>2827</v>
      </c>
      <c r="E1796" s="332" t="s">
        <v>801</v>
      </c>
      <c r="F1796" s="336">
        <v>-122.81</v>
      </c>
      <c r="G1796" s="330" t="s">
        <v>56</v>
      </c>
      <c r="H1796" s="329">
        <v>-122.81</v>
      </c>
      <c r="I1796" s="338">
        <f t="shared" si="93"/>
        <v>-30.702500000000001</v>
      </c>
      <c r="J1796" s="338">
        <f t="shared" si="93"/>
        <v>-30.702500000000001</v>
      </c>
      <c r="K1796" s="338">
        <f t="shared" si="93"/>
        <v>-30.702500000000001</v>
      </c>
      <c r="L1796" s="338">
        <f t="shared" si="93"/>
        <v>-30.702500000000001</v>
      </c>
      <c r="M1796" s="332"/>
    </row>
    <row r="1797" spans="1:13" hidden="1" outlineLevel="2" x14ac:dyDescent="0.35">
      <c r="A1797" s="339" t="s">
        <v>105</v>
      </c>
      <c r="B1797" s="331">
        <v>44089</v>
      </c>
      <c r="C1797" s="332" t="s">
        <v>2828</v>
      </c>
      <c r="D1797" s="332" t="s">
        <v>2829</v>
      </c>
      <c r="E1797" s="332" t="s">
        <v>2830</v>
      </c>
      <c r="F1797" s="336">
        <v>47.41</v>
      </c>
      <c r="G1797" s="330" t="s">
        <v>56</v>
      </c>
      <c r="H1797" s="329">
        <v>47.41</v>
      </c>
      <c r="I1797" s="338">
        <f t="shared" si="93"/>
        <v>11.852499999999999</v>
      </c>
      <c r="J1797" s="338">
        <f t="shared" si="93"/>
        <v>11.852499999999999</v>
      </c>
      <c r="K1797" s="338">
        <f t="shared" si="93"/>
        <v>11.852499999999999</v>
      </c>
      <c r="L1797" s="338">
        <f t="shared" si="93"/>
        <v>11.852499999999999</v>
      </c>
      <c r="M1797" s="332"/>
    </row>
    <row r="1798" spans="1:13" hidden="1" outlineLevel="2" x14ac:dyDescent="0.35">
      <c r="A1798" s="339" t="s">
        <v>105</v>
      </c>
      <c r="B1798" s="331">
        <v>44491</v>
      </c>
      <c r="C1798" s="332" t="s">
        <v>2831</v>
      </c>
      <c r="D1798" s="332" t="s">
        <v>2832</v>
      </c>
      <c r="E1798" s="332" t="s">
        <v>2833</v>
      </c>
      <c r="F1798" s="336">
        <v>55</v>
      </c>
      <c r="G1798" s="330" t="s">
        <v>56</v>
      </c>
      <c r="H1798" s="329">
        <v>55</v>
      </c>
      <c r="I1798" s="338">
        <f t="shared" si="93"/>
        <v>13.75</v>
      </c>
      <c r="J1798" s="338">
        <f t="shared" si="93"/>
        <v>13.75</v>
      </c>
      <c r="K1798" s="338">
        <f t="shared" si="93"/>
        <v>13.75</v>
      </c>
      <c r="L1798" s="338">
        <f t="shared" si="93"/>
        <v>13.75</v>
      </c>
      <c r="M1798" s="332"/>
    </row>
    <row r="1799" spans="1:13" hidden="1" outlineLevel="2" x14ac:dyDescent="0.35">
      <c r="A1799" s="339" t="s">
        <v>105</v>
      </c>
      <c r="B1799" s="331">
        <v>44481</v>
      </c>
      <c r="C1799" s="332" t="s">
        <v>2834</v>
      </c>
      <c r="D1799" s="332" t="s">
        <v>2835</v>
      </c>
      <c r="E1799" s="332" t="s">
        <v>2836</v>
      </c>
      <c r="F1799" s="336">
        <v>40.44</v>
      </c>
      <c r="G1799" s="330" t="s">
        <v>56</v>
      </c>
      <c r="H1799" s="329">
        <v>40.44</v>
      </c>
      <c r="I1799" s="338">
        <f t="shared" si="93"/>
        <v>10.11</v>
      </c>
      <c r="J1799" s="338">
        <f t="shared" si="93"/>
        <v>10.11</v>
      </c>
      <c r="K1799" s="338">
        <f t="shared" si="93"/>
        <v>10.11</v>
      </c>
      <c r="L1799" s="338">
        <f t="shared" si="93"/>
        <v>10.11</v>
      </c>
      <c r="M1799" s="332"/>
    </row>
    <row r="1800" spans="1:13" hidden="1" outlineLevel="2" x14ac:dyDescent="0.35">
      <c r="A1800" s="339" t="s">
        <v>105</v>
      </c>
      <c r="B1800" s="331">
        <v>43887</v>
      </c>
      <c r="C1800" s="332" t="s">
        <v>2837</v>
      </c>
      <c r="D1800" s="332" t="s">
        <v>2838</v>
      </c>
      <c r="E1800" s="332" t="s">
        <v>2839</v>
      </c>
      <c r="F1800" s="336">
        <v>67.209999999999994</v>
      </c>
      <c r="G1800" s="330" t="s">
        <v>56</v>
      </c>
      <c r="H1800" s="329">
        <v>67.209999999999994</v>
      </c>
      <c r="I1800" s="338">
        <f t="shared" si="93"/>
        <v>16.802499999999998</v>
      </c>
      <c r="J1800" s="338">
        <f t="shared" si="93"/>
        <v>16.802499999999998</v>
      </c>
      <c r="K1800" s="338">
        <f t="shared" si="93"/>
        <v>16.802499999999998</v>
      </c>
      <c r="L1800" s="338">
        <f t="shared" si="93"/>
        <v>16.802499999999998</v>
      </c>
      <c r="M1800" s="332"/>
    </row>
    <row r="1801" spans="1:13" hidden="1" outlineLevel="2" x14ac:dyDescent="0.35">
      <c r="A1801" s="339" t="s">
        <v>105</v>
      </c>
      <c r="B1801" s="331">
        <v>43982</v>
      </c>
      <c r="C1801" s="332" t="s">
        <v>2840</v>
      </c>
      <c r="D1801" s="332" t="s">
        <v>2841</v>
      </c>
      <c r="E1801" s="332" t="s">
        <v>2839</v>
      </c>
      <c r="F1801" s="336">
        <v>5</v>
      </c>
      <c r="G1801" s="330" t="s">
        <v>56</v>
      </c>
      <c r="H1801" s="329">
        <v>5</v>
      </c>
      <c r="I1801" s="338">
        <f t="shared" si="93"/>
        <v>1.25</v>
      </c>
      <c r="J1801" s="338">
        <f t="shared" si="93"/>
        <v>1.25</v>
      </c>
      <c r="K1801" s="338">
        <f t="shared" si="93"/>
        <v>1.25</v>
      </c>
      <c r="L1801" s="338">
        <f t="shared" si="93"/>
        <v>1.25</v>
      </c>
      <c r="M1801" s="332"/>
    </row>
    <row r="1802" spans="1:13" hidden="1" outlineLevel="2" x14ac:dyDescent="0.35">
      <c r="A1802" s="339" t="s">
        <v>105</v>
      </c>
      <c r="B1802" s="331">
        <v>43701</v>
      </c>
      <c r="C1802" s="332" t="s">
        <v>2703</v>
      </c>
      <c r="D1802" s="332" t="s">
        <v>2704</v>
      </c>
      <c r="E1802" s="332" t="s">
        <v>2839</v>
      </c>
      <c r="F1802" s="336">
        <v>10</v>
      </c>
      <c r="G1802" s="330" t="s">
        <v>56</v>
      </c>
      <c r="H1802" s="329">
        <v>10</v>
      </c>
      <c r="I1802" s="338">
        <f t="shared" si="93"/>
        <v>2.5</v>
      </c>
      <c r="J1802" s="338">
        <f t="shared" si="93"/>
        <v>2.5</v>
      </c>
      <c r="K1802" s="338">
        <f t="shared" si="93"/>
        <v>2.5</v>
      </c>
      <c r="L1802" s="338">
        <f t="shared" si="93"/>
        <v>2.5</v>
      </c>
      <c r="M1802" s="332"/>
    </row>
    <row r="1803" spans="1:13" hidden="1" outlineLevel="2" x14ac:dyDescent="0.35">
      <c r="A1803" s="339" t="s">
        <v>105</v>
      </c>
      <c r="B1803" s="331">
        <v>43710</v>
      </c>
      <c r="C1803" s="332" t="s">
        <v>2842</v>
      </c>
      <c r="D1803" s="332" t="s">
        <v>2843</v>
      </c>
      <c r="E1803" s="332" t="s">
        <v>2844</v>
      </c>
      <c r="F1803" s="336">
        <v>1272618</v>
      </c>
      <c r="G1803" s="330" t="s">
        <v>236</v>
      </c>
      <c r="H1803" s="329">
        <v>1252.9527870331219</v>
      </c>
      <c r="I1803" s="338">
        <f t="shared" ref="I1803:L1822" si="94">$H1803/4</f>
        <v>313.23819675828048</v>
      </c>
      <c r="J1803" s="338">
        <f t="shared" si="94"/>
        <v>313.23819675828048</v>
      </c>
      <c r="K1803" s="338">
        <f t="shared" si="94"/>
        <v>313.23819675828048</v>
      </c>
      <c r="L1803" s="338">
        <f t="shared" si="94"/>
        <v>313.23819675828048</v>
      </c>
      <c r="M1803" s="332"/>
    </row>
    <row r="1804" spans="1:13" hidden="1" outlineLevel="2" x14ac:dyDescent="0.35">
      <c r="A1804" s="339" t="s">
        <v>105</v>
      </c>
      <c r="B1804" s="331">
        <v>43767</v>
      </c>
      <c r="C1804" s="332" t="s">
        <v>2845</v>
      </c>
      <c r="D1804" s="332" t="s">
        <v>2846</v>
      </c>
      <c r="E1804" s="332" t="s">
        <v>2847</v>
      </c>
      <c r="F1804" s="336">
        <v>600000</v>
      </c>
      <c r="G1804" s="330" t="s">
        <v>236</v>
      </c>
      <c r="H1804" s="329">
        <v>590.72846071631329</v>
      </c>
      <c r="I1804" s="338">
        <f t="shared" si="94"/>
        <v>147.68211517907832</v>
      </c>
      <c r="J1804" s="338">
        <f t="shared" si="94"/>
        <v>147.68211517907832</v>
      </c>
      <c r="K1804" s="338">
        <f t="shared" si="94"/>
        <v>147.68211517907832</v>
      </c>
      <c r="L1804" s="338">
        <f t="shared" si="94"/>
        <v>147.68211517907832</v>
      </c>
      <c r="M1804" s="332"/>
    </row>
    <row r="1805" spans="1:13" hidden="1" outlineLevel="2" x14ac:dyDescent="0.35">
      <c r="A1805" s="339" t="s">
        <v>105</v>
      </c>
      <c r="B1805" s="331">
        <v>43774</v>
      </c>
      <c r="C1805" s="332" t="s">
        <v>2848</v>
      </c>
      <c r="D1805" s="332" t="s">
        <v>2846</v>
      </c>
      <c r="E1805" s="332" t="s">
        <v>2847</v>
      </c>
      <c r="F1805" s="336">
        <v>1600000</v>
      </c>
      <c r="G1805" s="330" t="s">
        <v>236</v>
      </c>
      <c r="H1805" s="329">
        <v>1575.275895243502</v>
      </c>
      <c r="I1805" s="338">
        <f t="shared" si="94"/>
        <v>393.81897381087549</v>
      </c>
      <c r="J1805" s="338">
        <f t="shared" si="94"/>
        <v>393.81897381087549</v>
      </c>
      <c r="K1805" s="338">
        <f t="shared" si="94"/>
        <v>393.81897381087549</v>
      </c>
      <c r="L1805" s="338">
        <f t="shared" si="94"/>
        <v>393.81897381087549</v>
      </c>
      <c r="M1805" s="332"/>
    </row>
    <row r="1806" spans="1:13" hidden="1" outlineLevel="2" x14ac:dyDescent="0.35">
      <c r="A1806" s="339" t="s">
        <v>105</v>
      </c>
      <c r="B1806" s="331">
        <v>43797</v>
      </c>
      <c r="C1806" s="332" t="s">
        <v>2849</v>
      </c>
      <c r="D1806" s="332" t="s">
        <v>2850</v>
      </c>
      <c r="E1806" s="332" t="s">
        <v>2851</v>
      </c>
      <c r="F1806" s="336">
        <v>28200</v>
      </c>
      <c r="G1806" s="330" t="s">
        <v>236</v>
      </c>
      <c r="H1806" s="329">
        <v>27.764237653666722</v>
      </c>
      <c r="I1806" s="338">
        <f t="shared" si="94"/>
        <v>6.9410594134166805</v>
      </c>
      <c r="J1806" s="338">
        <f t="shared" si="94"/>
        <v>6.9410594134166805</v>
      </c>
      <c r="K1806" s="338">
        <f t="shared" si="94"/>
        <v>6.9410594134166805</v>
      </c>
      <c r="L1806" s="338">
        <f t="shared" si="94"/>
        <v>6.9410594134166805</v>
      </c>
      <c r="M1806" s="332"/>
    </row>
    <row r="1807" spans="1:13" hidden="1" outlineLevel="2" x14ac:dyDescent="0.35">
      <c r="A1807" s="339" t="s">
        <v>105</v>
      </c>
      <c r="B1807" s="331">
        <v>43801</v>
      </c>
      <c r="C1807" s="332" t="s">
        <v>2852</v>
      </c>
      <c r="D1807" s="332" t="s">
        <v>2850</v>
      </c>
      <c r="E1807" s="332" t="s">
        <v>2851</v>
      </c>
      <c r="F1807" s="336">
        <v>41700</v>
      </c>
      <c r="G1807" s="330" t="s">
        <v>236</v>
      </c>
      <c r="H1807" s="329">
        <v>41.055628019783775</v>
      </c>
      <c r="I1807" s="338">
        <f t="shared" si="94"/>
        <v>10.263907004945944</v>
      </c>
      <c r="J1807" s="338">
        <f t="shared" si="94"/>
        <v>10.263907004945944</v>
      </c>
      <c r="K1807" s="338">
        <f t="shared" si="94"/>
        <v>10.263907004945944</v>
      </c>
      <c r="L1807" s="338">
        <f t="shared" si="94"/>
        <v>10.263907004945944</v>
      </c>
      <c r="M1807" s="332"/>
    </row>
    <row r="1808" spans="1:13" hidden="1" outlineLevel="2" x14ac:dyDescent="0.35">
      <c r="A1808" s="339" t="s">
        <v>105</v>
      </c>
      <c r="B1808" s="331">
        <v>43745</v>
      </c>
      <c r="C1808" s="332" t="s">
        <v>2853</v>
      </c>
      <c r="D1808" s="332" t="s">
        <v>2854</v>
      </c>
      <c r="E1808" s="332" t="s">
        <v>2855</v>
      </c>
      <c r="F1808" s="336">
        <v>40000</v>
      </c>
      <c r="G1808" s="330" t="s">
        <v>236</v>
      </c>
      <c r="H1808" s="329">
        <v>39.381897381087555</v>
      </c>
      <c r="I1808" s="338">
        <f t="shared" si="94"/>
        <v>9.8454743452718887</v>
      </c>
      <c r="J1808" s="338">
        <f t="shared" si="94"/>
        <v>9.8454743452718887</v>
      </c>
      <c r="K1808" s="338">
        <f t="shared" si="94"/>
        <v>9.8454743452718887</v>
      </c>
      <c r="L1808" s="338">
        <f t="shared" si="94"/>
        <v>9.8454743452718887</v>
      </c>
      <c r="M1808" s="332"/>
    </row>
    <row r="1809" spans="1:13" hidden="1" outlineLevel="2" x14ac:dyDescent="0.35">
      <c r="A1809" s="339" t="s">
        <v>105</v>
      </c>
      <c r="B1809" s="331">
        <v>43748</v>
      </c>
      <c r="C1809" s="332" t="s">
        <v>2856</v>
      </c>
      <c r="D1809" s="332" t="s">
        <v>2857</v>
      </c>
      <c r="E1809" s="332" t="s">
        <v>2858</v>
      </c>
      <c r="F1809" s="336">
        <v>20000</v>
      </c>
      <c r="G1809" s="330" t="s">
        <v>236</v>
      </c>
      <c r="H1809" s="329">
        <v>19.690948690543777</v>
      </c>
      <c r="I1809" s="338">
        <f t="shared" si="94"/>
        <v>4.9227371726359443</v>
      </c>
      <c r="J1809" s="338">
        <f t="shared" si="94"/>
        <v>4.9227371726359443</v>
      </c>
      <c r="K1809" s="338">
        <f t="shared" si="94"/>
        <v>4.9227371726359443</v>
      </c>
      <c r="L1809" s="338">
        <f t="shared" si="94"/>
        <v>4.9227371726359443</v>
      </c>
      <c r="M1809" s="332"/>
    </row>
    <row r="1810" spans="1:13" hidden="1" outlineLevel="2" x14ac:dyDescent="0.35">
      <c r="A1810" s="339" t="s">
        <v>105</v>
      </c>
      <c r="B1810" s="331">
        <v>43756</v>
      </c>
      <c r="C1810" s="332" t="s">
        <v>2859</v>
      </c>
      <c r="D1810" s="332" t="s">
        <v>2860</v>
      </c>
      <c r="E1810" s="332" t="s">
        <v>2861</v>
      </c>
      <c r="F1810" s="336">
        <v>1100000</v>
      </c>
      <c r="G1810" s="330" t="s">
        <v>236</v>
      </c>
      <c r="H1810" s="329">
        <v>1083.0021779799076</v>
      </c>
      <c r="I1810" s="338">
        <f t="shared" si="94"/>
        <v>270.75054449497691</v>
      </c>
      <c r="J1810" s="338">
        <f t="shared" si="94"/>
        <v>270.75054449497691</v>
      </c>
      <c r="K1810" s="338">
        <f t="shared" si="94"/>
        <v>270.75054449497691</v>
      </c>
      <c r="L1810" s="338">
        <f t="shared" si="94"/>
        <v>270.75054449497691</v>
      </c>
      <c r="M1810" s="332"/>
    </row>
    <row r="1811" spans="1:13" hidden="1" outlineLevel="2" x14ac:dyDescent="0.35">
      <c r="A1811" s="339" t="s">
        <v>105</v>
      </c>
      <c r="B1811" s="331">
        <v>43763</v>
      </c>
      <c r="C1811" s="332" t="s">
        <v>2862</v>
      </c>
      <c r="D1811" s="332" t="s">
        <v>2863</v>
      </c>
      <c r="E1811" s="332" t="s">
        <v>2864</v>
      </c>
      <c r="F1811" s="336">
        <v>75000</v>
      </c>
      <c r="G1811" s="330" t="s">
        <v>236</v>
      </c>
      <c r="H1811" s="329">
        <v>73.841057589539162</v>
      </c>
      <c r="I1811" s="338">
        <f t="shared" si="94"/>
        <v>18.46026439738479</v>
      </c>
      <c r="J1811" s="338">
        <f t="shared" si="94"/>
        <v>18.46026439738479</v>
      </c>
      <c r="K1811" s="338">
        <f t="shared" si="94"/>
        <v>18.46026439738479</v>
      </c>
      <c r="L1811" s="338">
        <f t="shared" si="94"/>
        <v>18.46026439738479</v>
      </c>
      <c r="M1811" s="332"/>
    </row>
    <row r="1812" spans="1:13" hidden="1" outlineLevel="2" x14ac:dyDescent="0.35">
      <c r="A1812" s="339" t="s">
        <v>105</v>
      </c>
      <c r="B1812" s="331">
        <v>43769</v>
      </c>
      <c r="C1812" s="332" t="s">
        <v>2865</v>
      </c>
      <c r="D1812" s="332" t="s">
        <v>2866</v>
      </c>
      <c r="E1812" s="332" t="s">
        <v>2864</v>
      </c>
      <c r="F1812" s="336">
        <v>25000</v>
      </c>
      <c r="G1812" s="330" t="s">
        <v>236</v>
      </c>
      <c r="H1812" s="329">
        <v>24.613685863179718</v>
      </c>
      <c r="I1812" s="338">
        <f t="shared" si="94"/>
        <v>6.1534214657949295</v>
      </c>
      <c r="J1812" s="338">
        <f t="shared" si="94"/>
        <v>6.1534214657949295</v>
      </c>
      <c r="K1812" s="338">
        <f t="shared" si="94"/>
        <v>6.1534214657949295</v>
      </c>
      <c r="L1812" s="338">
        <f t="shared" si="94"/>
        <v>6.1534214657949295</v>
      </c>
      <c r="M1812" s="332"/>
    </row>
    <row r="1813" spans="1:13" hidden="1" outlineLevel="2" x14ac:dyDescent="0.35">
      <c r="A1813" s="339" t="s">
        <v>105</v>
      </c>
      <c r="B1813" s="331">
        <v>43727</v>
      </c>
      <c r="C1813" s="332" t="s">
        <v>2867</v>
      </c>
      <c r="D1813" s="332" t="s">
        <v>2868</v>
      </c>
      <c r="E1813" s="332" t="s">
        <v>2869</v>
      </c>
      <c r="F1813" s="336">
        <v>333000</v>
      </c>
      <c r="G1813" s="330" t="s">
        <v>236</v>
      </c>
      <c r="H1813" s="329">
        <v>327.85429569755388</v>
      </c>
      <c r="I1813" s="338">
        <f t="shared" si="94"/>
        <v>81.96357392438847</v>
      </c>
      <c r="J1813" s="338">
        <f t="shared" si="94"/>
        <v>81.96357392438847</v>
      </c>
      <c r="K1813" s="338">
        <f t="shared" si="94"/>
        <v>81.96357392438847</v>
      </c>
      <c r="L1813" s="338">
        <f t="shared" si="94"/>
        <v>81.96357392438847</v>
      </c>
      <c r="M1813" s="332"/>
    </row>
    <row r="1814" spans="1:13" hidden="1" outlineLevel="2" x14ac:dyDescent="0.35">
      <c r="A1814" s="339" t="s">
        <v>105</v>
      </c>
      <c r="B1814" s="331">
        <v>43801</v>
      </c>
      <c r="C1814" s="332" t="s">
        <v>2870</v>
      </c>
      <c r="D1814" s="332" t="s">
        <v>2871</v>
      </c>
      <c r="E1814" s="332" t="s">
        <v>2872</v>
      </c>
      <c r="F1814" s="336">
        <v>80000</v>
      </c>
      <c r="G1814" s="330" t="s">
        <v>236</v>
      </c>
      <c r="H1814" s="329">
        <v>78.76379476217511</v>
      </c>
      <c r="I1814" s="338">
        <f t="shared" si="94"/>
        <v>19.690948690543777</v>
      </c>
      <c r="J1814" s="338">
        <f t="shared" si="94"/>
        <v>19.690948690543777</v>
      </c>
      <c r="K1814" s="338">
        <f t="shared" si="94"/>
        <v>19.690948690543777</v>
      </c>
      <c r="L1814" s="338">
        <f t="shared" si="94"/>
        <v>19.690948690543777</v>
      </c>
      <c r="M1814" s="332"/>
    </row>
    <row r="1815" spans="1:13" hidden="1" outlineLevel="2" x14ac:dyDescent="0.35">
      <c r="A1815" s="339" t="s">
        <v>105</v>
      </c>
      <c r="B1815" s="331">
        <v>43801</v>
      </c>
      <c r="C1815" s="332" t="s">
        <v>2873</v>
      </c>
      <c r="D1815" s="332" t="s">
        <v>2874</v>
      </c>
      <c r="E1815" s="332" t="s">
        <v>2590</v>
      </c>
      <c r="F1815" s="336">
        <v>70000</v>
      </c>
      <c r="G1815" s="330" t="s">
        <v>236</v>
      </c>
      <c r="H1815" s="329">
        <v>68.918320416903214</v>
      </c>
      <c r="I1815" s="338">
        <f t="shared" si="94"/>
        <v>17.229580104225803</v>
      </c>
      <c r="J1815" s="338">
        <f t="shared" si="94"/>
        <v>17.229580104225803</v>
      </c>
      <c r="K1815" s="338">
        <f t="shared" si="94"/>
        <v>17.229580104225803</v>
      </c>
      <c r="L1815" s="338">
        <f t="shared" si="94"/>
        <v>17.229580104225803</v>
      </c>
      <c r="M1815" s="332"/>
    </row>
    <row r="1816" spans="1:13" hidden="1" outlineLevel="2" x14ac:dyDescent="0.35">
      <c r="A1816" s="339" t="s">
        <v>105</v>
      </c>
      <c r="B1816" s="331">
        <v>43745</v>
      </c>
      <c r="C1816" s="332" t="s">
        <v>2867</v>
      </c>
      <c r="D1816" s="332" t="s">
        <v>2875</v>
      </c>
      <c r="E1816" s="332" t="s">
        <v>2876</v>
      </c>
      <c r="F1816" s="336">
        <v>2000</v>
      </c>
      <c r="G1816" s="330" t="s">
        <v>236</v>
      </c>
      <c r="H1816" s="329">
        <v>1.9690948690543775</v>
      </c>
      <c r="I1816" s="338">
        <f t="shared" si="94"/>
        <v>0.49227371726359437</v>
      </c>
      <c r="J1816" s="338">
        <f t="shared" si="94"/>
        <v>0.49227371726359437</v>
      </c>
      <c r="K1816" s="338">
        <f t="shared" si="94"/>
        <v>0.49227371726359437</v>
      </c>
      <c r="L1816" s="338">
        <f t="shared" si="94"/>
        <v>0.49227371726359437</v>
      </c>
      <c r="M1816" s="332"/>
    </row>
    <row r="1817" spans="1:13" hidden="1" outlineLevel="2" x14ac:dyDescent="0.35">
      <c r="A1817" s="339" t="s">
        <v>105</v>
      </c>
      <c r="B1817" s="331">
        <v>43749</v>
      </c>
      <c r="C1817" s="332" t="s">
        <v>2877</v>
      </c>
      <c r="D1817" s="332" t="s">
        <v>2878</v>
      </c>
      <c r="E1817" s="332" t="s">
        <v>2879</v>
      </c>
      <c r="F1817" s="336">
        <v>1500</v>
      </c>
      <c r="G1817" s="330" t="s">
        <v>236</v>
      </c>
      <c r="H1817" s="329">
        <v>1.4768211517907832</v>
      </c>
      <c r="I1817" s="338">
        <f t="shared" si="94"/>
        <v>0.3692052879476958</v>
      </c>
      <c r="J1817" s="338">
        <f t="shared" si="94"/>
        <v>0.3692052879476958</v>
      </c>
      <c r="K1817" s="338">
        <f t="shared" si="94"/>
        <v>0.3692052879476958</v>
      </c>
      <c r="L1817" s="338">
        <f t="shared" si="94"/>
        <v>0.3692052879476958</v>
      </c>
      <c r="M1817" s="332"/>
    </row>
    <row r="1818" spans="1:13" hidden="1" outlineLevel="2" x14ac:dyDescent="0.35">
      <c r="A1818" s="339" t="s">
        <v>105</v>
      </c>
      <c r="B1818" s="331">
        <v>43754</v>
      </c>
      <c r="C1818" s="332" t="s">
        <v>2880</v>
      </c>
      <c r="D1818" s="332" t="s">
        <v>2881</v>
      </c>
      <c r="E1818" s="332" t="s">
        <v>2882</v>
      </c>
      <c r="F1818" s="336">
        <v>49450</v>
      </c>
      <c r="G1818" s="330" t="s">
        <v>236</v>
      </c>
      <c r="H1818" s="329">
        <v>48.685870637369483</v>
      </c>
      <c r="I1818" s="338">
        <f t="shared" si="94"/>
        <v>12.171467659342371</v>
      </c>
      <c r="J1818" s="338">
        <f t="shared" si="94"/>
        <v>12.171467659342371</v>
      </c>
      <c r="K1818" s="338">
        <f t="shared" si="94"/>
        <v>12.171467659342371</v>
      </c>
      <c r="L1818" s="338">
        <f t="shared" si="94"/>
        <v>12.171467659342371</v>
      </c>
      <c r="M1818" s="332"/>
    </row>
    <row r="1819" spans="1:13" hidden="1" outlineLevel="2" x14ac:dyDescent="0.35">
      <c r="A1819" s="339" t="s">
        <v>105</v>
      </c>
      <c r="B1819" s="331">
        <v>43760</v>
      </c>
      <c r="C1819" s="332" t="s">
        <v>2883</v>
      </c>
      <c r="D1819" s="332" t="s">
        <v>2884</v>
      </c>
      <c r="E1819" s="332" t="s">
        <v>2885</v>
      </c>
      <c r="F1819" s="336">
        <v>60000</v>
      </c>
      <c r="G1819" s="330" t="s">
        <v>236</v>
      </c>
      <c r="H1819" s="329">
        <v>59.072846071631325</v>
      </c>
      <c r="I1819" s="338">
        <f t="shared" si="94"/>
        <v>14.768211517907831</v>
      </c>
      <c r="J1819" s="338">
        <f t="shared" si="94"/>
        <v>14.768211517907831</v>
      </c>
      <c r="K1819" s="338">
        <f t="shared" si="94"/>
        <v>14.768211517907831</v>
      </c>
      <c r="L1819" s="338">
        <f t="shared" si="94"/>
        <v>14.768211517907831</v>
      </c>
      <c r="M1819" s="332"/>
    </row>
    <row r="1820" spans="1:13" hidden="1" outlineLevel="2" x14ac:dyDescent="0.35">
      <c r="A1820" s="339" t="s">
        <v>105</v>
      </c>
      <c r="B1820" s="331">
        <v>43773</v>
      </c>
      <c r="C1820" s="332" t="s">
        <v>2886</v>
      </c>
      <c r="D1820" s="332" t="s">
        <v>2875</v>
      </c>
      <c r="E1820" s="332" t="s">
        <v>2876</v>
      </c>
      <c r="F1820" s="336">
        <v>2000</v>
      </c>
      <c r="G1820" s="330" t="s">
        <v>236</v>
      </c>
      <c r="H1820" s="329">
        <v>1.9690948690543775</v>
      </c>
      <c r="I1820" s="338">
        <f t="shared" si="94"/>
        <v>0.49227371726359437</v>
      </c>
      <c r="J1820" s="338">
        <f t="shared" si="94"/>
        <v>0.49227371726359437</v>
      </c>
      <c r="K1820" s="338">
        <f t="shared" si="94"/>
        <v>0.49227371726359437</v>
      </c>
      <c r="L1820" s="338">
        <f t="shared" si="94"/>
        <v>0.49227371726359437</v>
      </c>
      <c r="M1820" s="332"/>
    </row>
    <row r="1821" spans="1:13" hidden="1" outlineLevel="2" x14ac:dyDescent="0.35">
      <c r="A1821" s="339" t="s">
        <v>105</v>
      </c>
      <c r="B1821" s="331">
        <v>43773</v>
      </c>
      <c r="C1821" s="332" t="s">
        <v>2887</v>
      </c>
      <c r="D1821" s="332" t="s">
        <v>2888</v>
      </c>
      <c r="E1821" s="332" t="s">
        <v>2889</v>
      </c>
      <c r="F1821" s="336">
        <v>1500</v>
      </c>
      <c r="G1821" s="330" t="s">
        <v>236</v>
      </c>
      <c r="H1821" s="329">
        <v>1.4768211517907832</v>
      </c>
      <c r="I1821" s="338">
        <f t="shared" si="94"/>
        <v>0.3692052879476958</v>
      </c>
      <c r="J1821" s="338">
        <f t="shared" si="94"/>
        <v>0.3692052879476958</v>
      </c>
      <c r="K1821" s="338">
        <f t="shared" si="94"/>
        <v>0.3692052879476958</v>
      </c>
      <c r="L1821" s="338">
        <f t="shared" si="94"/>
        <v>0.3692052879476958</v>
      </c>
      <c r="M1821" s="332"/>
    </row>
    <row r="1822" spans="1:13" hidden="1" outlineLevel="2" x14ac:dyDescent="0.35">
      <c r="A1822" s="339" t="s">
        <v>105</v>
      </c>
      <c r="B1822" s="331">
        <v>43795</v>
      </c>
      <c r="C1822" s="332" t="s">
        <v>2890</v>
      </c>
      <c r="D1822" s="332" t="s">
        <v>2888</v>
      </c>
      <c r="E1822" s="332" t="s">
        <v>2891</v>
      </c>
      <c r="F1822" s="336">
        <v>1500</v>
      </c>
      <c r="G1822" s="330" t="s">
        <v>236</v>
      </c>
      <c r="H1822" s="329">
        <v>1.4768211517907832</v>
      </c>
      <c r="I1822" s="338">
        <f t="shared" si="94"/>
        <v>0.3692052879476958</v>
      </c>
      <c r="J1822" s="338">
        <f t="shared" si="94"/>
        <v>0.3692052879476958</v>
      </c>
      <c r="K1822" s="338">
        <f t="shared" si="94"/>
        <v>0.3692052879476958</v>
      </c>
      <c r="L1822" s="338">
        <f t="shared" si="94"/>
        <v>0.3692052879476958</v>
      </c>
      <c r="M1822" s="332"/>
    </row>
    <row r="1823" spans="1:13" hidden="1" outlineLevel="2" x14ac:dyDescent="0.35">
      <c r="A1823" s="339" t="s">
        <v>105</v>
      </c>
      <c r="B1823" s="331">
        <v>43810</v>
      </c>
      <c r="C1823" s="332" t="s">
        <v>2892</v>
      </c>
      <c r="D1823" s="332" t="s">
        <v>2893</v>
      </c>
      <c r="E1823" s="332" t="s">
        <v>2894</v>
      </c>
      <c r="F1823" s="336">
        <v>13000</v>
      </c>
      <c r="G1823" s="330" t="s">
        <v>236</v>
      </c>
      <c r="H1823" s="329">
        <v>12.799116648853454</v>
      </c>
      <c r="I1823" s="338">
        <f t="shared" ref="I1823:L1842" si="95">$H1823/4</f>
        <v>3.1997791622133636</v>
      </c>
      <c r="J1823" s="338">
        <f t="shared" si="95"/>
        <v>3.1997791622133636</v>
      </c>
      <c r="K1823" s="338">
        <f t="shared" si="95"/>
        <v>3.1997791622133636</v>
      </c>
      <c r="L1823" s="338">
        <f t="shared" si="95"/>
        <v>3.1997791622133636</v>
      </c>
      <c r="M1823" s="332"/>
    </row>
    <row r="1824" spans="1:13" hidden="1" outlineLevel="2" x14ac:dyDescent="0.35">
      <c r="A1824" s="339" t="s">
        <v>105</v>
      </c>
      <c r="B1824" s="331">
        <v>43790</v>
      </c>
      <c r="C1824" s="332" t="s">
        <v>2895</v>
      </c>
      <c r="D1824" s="332" t="s">
        <v>2896</v>
      </c>
      <c r="E1824" s="332" t="s">
        <v>2897</v>
      </c>
      <c r="F1824" s="336">
        <v>323642</v>
      </c>
      <c r="G1824" s="330" t="s">
        <v>236</v>
      </c>
      <c r="H1824" s="329">
        <v>318.64090080524841</v>
      </c>
      <c r="I1824" s="338">
        <f t="shared" si="95"/>
        <v>79.660225201312102</v>
      </c>
      <c r="J1824" s="338">
        <f t="shared" si="95"/>
        <v>79.660225201312102</v>
      </c>
      <c r="K1824" s="338">
        <f t="shared" si="95"/>
        <v>79.660225201312102</v>
      </c>
      <c r="L1824" s="338">
        <f t="shared" si="95"/>
        <v>79.660225201312102</v>
      </c>
      <c r="M1824" s="332"/>
    </row>
    <row r="1825" spans="1:13" hidden="1" outlineLevel="2" x14ac:dyDescent="0.35">
      <c r="A1825" s="339" t="s">
        <v>105</v>
      </c>
      <c r="B1825" s="327">
        <v>43760</v>
      </c>
      <c r="C1825" s="328" t="s">
        <v>2898</v>
      </c>
      <c r="D1825" s="328" t="s">
        <v>2899</v>
      </c>
      <c r="E1825" s="328" t="s">
        <v>2900</v>
      </c>
      <c r="F1825" s="338">
        <v>10000</v>
      </c>
      <c r="G1825" s="330" t="s">
        <v>236</v>
      </c>
      <c r="H1825" s="329">
        <v>9.8454743452718887</v>
      </c>
      <c r="I1825" s="338">
        <f t="shared" si="95"/>
        <v>2.4613685863179722</v>
      </c>
      <c r="J1825" s="338">
        <f t="shared" si="95"/>
        <v>2.4613685863179722</v>
      </c>
      <c r="K1825" s="338">
        <f t="shared" si="95"/>
        <v>2.4613685863179722</v>
      </c>
      <c r="L1825" s="338">
        <f t="shared" si="95"/>
        <v>2.4613685863179722</v>
      </c>
      <c r="M1825" s="328"/>
    </row>
    <row r="1826" spans="1:13" hidden="1" outlineLevel="2" x14ac:dyDescent="0.35">
      <c r="A1826" s="339" t="s">
        <v>105</v>
      </c>
      <c r="B1826" s="331">
        <v>43761</v>
      </c>
      <c r="C1826" s="332" t="s">
        <v>2901</v>
      </c>
      <c r="D1826" s="332" t="s">
        <v>2902</v>
      </c>
      <c r="E1826" s="332" t="s">
        <v>2661</v>
      </c>
      <c r="F1826" s="336">
        <v>70000</v>
      </c>
      <c r="G1826" s="330" t="s">
        <v>236</v>
      </c>
      <c r="H1826" s="329">
        <v>68.918320416903214</v>
      </c>
      <c r="I1826" s="338">
        <f t="shared" si="95"/>
        <v>17.229580104225803</v>
      </c>
      <c r="J1826" s="338">
        <f t="shared" si="95"/>
        <v>17.229580104225803</v>
      </c>
      <c r="K1826" s="338">
        <f t="shared" si="95"/>
        <v>17.229580104225803</v>
      </c>
      <c r="L1826" s="338">
        <f t="shared" si="95"/>
        <v>17.229580104225803</v>
      </c>
      <c r="M1826" s="332"/>
    </row>
    <row r="1827" spans="1:13" hidden="1" outlineLevel="2" x14ac:dyDescent="0.35">
      <c r="A1827" s="339" t="s">
        <v>105</v>
      </c>
      <c r="B1827" s="331">
        <v>43769</v>
      </c>
      <c r="C1827" s="332" t="s">
        <v>2903</v>
      </c>
      <c r="D1827" s="332" t="s">
        <v>2904</v>
      </c>
      <c r="E1827" s="332" t="s">
        <v>2900</v>
      </c>
      <c r="F1827" s="336">
        <v>2000</v>
      </c>
      <c r="G1827" s="330" t="s">
        <v>236</v>
      </c>
      <c r="H1827" s="329">
        <v>1.9690948690543775</v>
      </c>
      <c r="I1827" s="338">
        <f t="shared" si="95"/>
        <v>0.49227371726359437</v>
      </c>
      <c r="J1827" s="338">
        <f t="shared" si="95"/>
        <v>0.49227371726359437</v>
      </c>
      <c r="K1827" s="338">
        <f t="shared" si="95"/>
        <v>0.49227371726359437</v>
      </c>
      <c r="L1827" s="338">
        <f t="shared" si="95"/>
        <v>0.49227371726359437</v>
      </c>
      <c r="M1827" s="332"/>
    </row>
    <row r="1828" spans="1:13" hidden="1" outlineLevel="2" x14ac:dyDescent="0.35">
      <c r="A1828" s="339" t="s">
        <v>105</v>
      </c>
      <c r="B1828" s="331">
        <v>43769</v>
      </c>
      <c r="C1828" s="332" t="s">
        <v>2905</v>
      </c>
      <c r="D1828" s="332" t="s">
        <v>2906</v>
      </c>
      <c r="E1828" s="332" t="s">
        <v>2900</v>
      </c>
      <c r="F1828" s="336">
        <v>2000</v>
      </c>
      <c r="G1828" s="330" t="s">
        <v>236</v>
      </c>
      <c r="H1828" s="329">
        <v>1.9690948690543775</v>
      </c>
      <c r="I1828" s="338">
        <f t="shared" si="95"/>
        <v>0.49227371726359437</v>
      </c>
      <c r="J1828" s="338">
        <f t="shared" si="95"/>
        <v>0.49227371726359437</v>
      </c>
      <c r="K1828" s="338">
        <f t="shared" si="95"/>
        <v>0.49227371726359437</v>
      </c>
      <c r="L1828" s="338">
        <f t="shared" si="95"/>
        <v>0.49227371726359437</v>
      </c>
      <c r="M1828" s="332"/>
    </row>
    <row r="1829" spans="1:13" hidden="1" outlineLevel="2" x14ac:dyDescent="0.35">
      <c r="A1829" s="339" t="s">
        <v>105</v>
      </c>
      <c r="B1829" s="331">
        <v>43769</v>
      </c>
      <c r="C1829" s="332" t="s">
        <v>2907</v>
      </c>
      <c r="D1829" s="332" t="s">
        <v>2908</v>
      </c>
      <c r="E1829" s="332" t="s">
        <v>2900</v>
      </c>
      <c r="F1829" s="336">
        <v>2000</v>
      </c>
      <c r="G1829" s="330" t="s">
        <v>236</v>
      </c>
      <c r="H1829" s="329">
        <v>1.9690948690543775</v>
      </c>
      <c r="I1829" s="338">
        <f t="shared" si="95"/>
        <v>0.49227371726359437</v>
      </c>
      <c r="J1829" s="338">
        <f t="shared" si="95"/>
        <v>0.49227371726359437</v>
      </c>
      <c r="K1829" s="338">
        <f t="shared" si="95"/>
        <v>0.49227371726359437</v>
      </c>
      <c r="L1829" s="338">
        <f t="shared" si="95"/>
        <v>0.49227371726359437</v>
      </c>
      <c r="M1829" s="332"/>
    </row>
    <row r="1830" spans="1:13" hidden="1" outlineLevel="2" x14ac:dyDescent="0.35">
      <c r="A1830" s="339" t="s">
        <v>105</v>
      </c>
      <c r="B1830" s="331">
        <v>43769</v>
      </c>
      <c r="C1830" s="332" t="s">
        <v>2909</v>
      </c>
      <c r="D1830" s="332" t="s">
        <v>2910</v>
      </c>
      <c r="E1830" s="332" t="s">
        <v>2900</v>
      </c>
      <c r="F1830" s="336">
        <v>2000</v>
      </c>
      <c r="G1830" s="330" t="s">
        <v>236</v>
      </c>
      <c r="H1830" s="329">
        <v>1.9690948690543775</v>
      </c>
      <c r="I1830" s="338">
        <f t="shared" si="95"/>
        <v>0.49227371726359437</v>
      </c>
      <c r="J1830" s="338">
        <f t="shared" si="95"/>
        <v>0.49227371726359437</v>
      </c>
      <c r="K1830" s="338">
        <f t="shared" si="95"/>
        <v>0.49227371726359437</v>
      </c>
      <c r="L1830" s="338">
        <f t="shared" si="95"/>
        <v>0.49227371726359437</v>
      </c>
      <c r="M1830" s="332"/>
    </row>
    <row r="1831" spans="1:13" hidden="1" outlineLevel="2" x14ac:dyDescent="0.35">
      <c r="A1831" s="339" t="s">
        <v>105</v>
      </c>
      <c r="B1831" s="344">
        <v>43769</v>
      </c>
      <c r="C1831" s="345" t="s">
        <v>2911</v>
      </c>
      <c r="D1831" s="345" t="s">
        <v>2912</v>
      </c>
      <c r="E1831" s="345" t="s">
        <v>2900</v>
      </c>
      <c r="F1831" s="346">
        <v>2000</v>
      </c>
      <c r="G1831" s="330" t="s">
        <v>236</v>
      </c>
      <c r="H1831" s="329">
        <v>1.9690948690543775</v>
      </c>
      <c r="I1831" s="338">
        <f t="shared" si="95"/>
        <v>0.49227371726359437</v>
      </c>
      <c r="J1831" s="338">
        <f t="shared" si="95"/>
        <v>0.49227371726359437</v>
      </c>
      <c r="K1831" s="338">
        <f t="shared" si="95"/>
        <v>0.49227371726359437</v>
      </c>
      <c r="L1831" s="338">
        <f t="shared" si="95"/>
        <v>0.49227371726359437</v>
      </c>
      <c r="M1831" s="345"/>
    </row>
    <row r="1832" spans="1:13" hidden="1" outlineLevel="2" x14ac:dyDescent="0.35">
      <c r="A1832" s="339" t="s">
        <v>105</v>
      </c>
      <c r="B1832" s="327">
        <v>43789</v>
      </c>
      <c r="C1832" s="328" t="s">
        <v>2913</v>
      </c>
      <c r="D1832" s="328" t="s">
        <v>2914</v>
      </c>
      <c r="E1832" s="328" t="s">
        <v>2661</v>
      </c>
      <c r="F1832" s="338">
        <v>72500</v>
      </c>
      <c r="G1832" s="330" t="s">
        <v>236</v>
      </c>
      <c r="H1832" s="329">
        <v>71.379689003221188</v>
      </c>
      <c r="I1832" s="338">
        <f t="shared" si="95"/>
        <v>17.844922250805297</v>
      </c>
      <c r="J1832" s="338">
        <f t="shared" si="95"/>
        <v>17.844922250805297</v>
      </c>
      <c r="K1832" s="338">
        <f t="shared" si="95"/>
        <v>17.844922250805297</v>
      </c>
      <c r="L1832" s="338">
        <f t="shared" si="95"/>
        <v>17.844922250805297</v>
      </c>
      <c r="M1832" s="328"/>
    </row>
    <row r="1833" spans="1:13" hidden="1" outlineLevel="2" x14ac:dyDescent="0.35">
      <c r="A1833" s="339" t="s">
        <v>105</v>
      </c>
      <c r="B1833" s="331" t="s">
        <v>2915</v>
      </c>
      <c r="C1833" s="332" t="s">
        <v>2916</v>
      </c>
      <c r="D1833" s="332" t="s">
        <v>2917</v>
      </c>
      <c r="E1833" s="332" t="s">
        <v>2900</v>
      </c>
      <c r="F1833" s="336">
        <v>2000</v>
      </c>
      <c r="G1833" s="330" t="s">
        <v>236</v>
      </c>
      <c r="H1833" s="329">
        <v>1.9690948690543775</v>
      </c>
      <c r="I1833" s="338">
        <f t="shared" si="95"/>
        <v>0.49227371726359437</v>
      </c>
      <c r="J1833" s="338">
        <f t="shared" si="95"/>
        <v>0.49227371726359437</v>
      </c>
      <c r="K1833" s="338">
        <f t="shared" si="95"/>
        <v>0.49227371726359437</v>
      </c>
      <c r="L1833" s="338">
        <f t="shared" si="95"/>
        <v>0.49227371726359437</v>
      </c>
      <c r="M1833" s="332"/>
    </row>
    <row r="1834" spans="1:13" hidden="1" outlineLevel="2" x14ac:dyDescent="0.35">
      <c r="A1834" s="339" t="s">
        <v>105</v>
      </c>
      <c r="B1834" s="331" t="s">
        <v>2915</v>
      </c>
      <c r="C1834" s="332" t="s">
        <v>2918</v>
      </c>
      <c r="D1834" s="332" t="s">
        <v>2919</v>
      </c>
      <c r="E1834" s="332" t="s">
        <v>2900</v>
      </c>
      <c r="F1834" s="336">
        <v>2000</v>
      </c>
      <c r="G1834" s="330" t="s">
        <v>236</v>
      </c>
      <c r="H1834" s="329">
        <v>1.9690948690543775</v>
      </c>
      <c r="I1834" s="338">
        <f t="shared" si="95"/>
        <v>0.49227371726359437</v>
      </c>
      <c r="J1834" s="338">
        <f t="shared" si="95"/>
        <v>0.49227371726359437</v>
      </c>
      <c r="K1834" s="338">
        <f t="shared" si="95"/>
        <v>0.49227371726359437</v>
      </c>
      <c r="L1834" s="338">
        <f t="shared" si="95"/>
        <v>0.49227371726359437</v>
      </c>
      <c r="M1834" s="332"/>
    </row>
    <row r="1835" spans="1:13" hidden="1" outlineLevel="2" x14ac:dyDescent="0.35">
      <c r="A1835" s="339" t="s">
        <v>105</v>
      </c>
      <c r="B1835" s="331" t="s">
        <v>2915</v>
      </c>
      <c r="C1835" s="332" t="s">
        <v>2920</v>
      </c>
      <c r="D1835" s="332" t="s">
        <v>2921</v>
      </c>
      <c r="E1835" s="332" t="s">
        <v>2900</v>
      </c>
      <c r="F1835" s="336">
        <v>2000</v>
      </c>
      <c r="G1835" s="330" t="s">
        <v>236</v>
      </c>
      <c r="H1835" s="329">
        <v>1.9690948690543775</v>
      </c>
      <c r="I1835" s="338">
        <f t="shared" si="95"/>
        <v>0.49227371726359437</v>
      </c>
      <c r="J1835" s="338">
        <f t="shared" si="95"/>
        <v>0.49227371726359437</v>
      </c>
      <c r="K1835" s="338">
        <f t="shared" si="95"/>
        <v>0.49227371726359437</v>
      </c>
      <c r="L1835" s="338">
        <f t="shared" si="95"/>
        <v>0.49227371726359437</v>
      </c>
      <c r="M1835" s="332"/>
    </row>
    <row r="1836" spans="1:13" hidden="1" outlineLevel="2" x14ac:dyDescent="0.35">
      <c r="A1836" s="339" t="s">
        <v>105</v>
      </c>
      <c r="B1836" s="331" t="s">
        <v>2915</v>
      </c>
      <c r="C1836" s="332" t="s">
        <v>2922</v>
      </c>
      <c r="D1836" s="332" t="s">
        <v>2923</v>
      </c>
      <c r="E1836" s="332" t="s">
        <v>2900</v>
      </c>
      <c r="F1836" s="336">
        <v>2000</v>
      </c>
      <c r="G1836" s="330" t="s">
        <v>236</v>
      </c>
      <c r="H1836" s="329">
        <v>1.9690948690543775</v>
      </c>
      <c r="I1836" s="338">
        <f t="shared" si="95"/>
        <v>0.49227371726359437</v>
      </c>
      <c r="J1836" s="338">
        <f t="shared" si="95"/>
        <v>0.49227371726359437</v>
      </c>
      <c r="K1836" s="338">
        <f t="shared" si="95"/>
        <v>0.49227371726359437</v>
      </c>
      <c r="L1836" s="338">
        <f t="shared" si="95"/>
        <v>0.49227371726359437</v>
      </c>
      <c r="M1836" s="332"/>
    </row>
    <row r="1837" spans="1:13" hidden="1" outlineLevel="2" x14ac:dyDescent="0.35">
      <c r="A1837" s="339" t="s">
        <v>105</v>
      </c>
      <c r="B1837" s="331" t="s">
        <v>2915</v>
      </c>
      <c r="C1837" s="332" t="s">
        <v>2924</v>
      </c>
      <c r="D1837" s="332" t="s">
        <v>2925</v>
      </c>
      <c r="E1837" s="332" t="s">
        <v>2900</v>
      </c>
      <c r="F1837" s="336">
        <v>2000</v>
      </c>
      <c r="G1837" s="330" t="s">
        <v>236</v>
      </c>
      <c r="H1837" s="329">
        <v>1.9690948690543775</v>
      </c>
      <c r="I1837" s="338">
        <f t="shared" si="95"/>
        <v>0.49227371726359437</v>
      </c>
      <c r="J1837" s="338">
        <f t="shared" si="95"/>
        <v>0.49227371726359437</v>
      </c>
      <c r="K1837" s="338">
        <f t="shared" si="95"/>
        <v>0.49227371726359437</v>
      </c>
      <c r="L1837" s="338">
        <f t="shared" si="95"/>
        <v>0.49227371726359437</v>
      </c>
      <c r="M1837" s="332"/>
    </row>
    <row r="1838" spans="1:13" hidden="1" outlineLevel="2" x14ac:dyDescent="0.35">
      <c r="A1838" s="339" t="s">
        <v>105</v>
      </c>
      <c r="B1838" s="344">
        <v>43801</v>
      </c>
      <c r="C1838" s="345" t="s">
        <v>2926</v>
      </c>
      <c r="D1838" s="345" t="s">
        <v>2927</v>
      </c>
      <c r="E1838" s="345" t="s">
        <v>2900</v>
      </c>
      <c r="F1838" s="346">
        <v>10000</v>
      </c>
      <c r="G1838" s="330" t="s">
        <v>236</v>
      </c>
      <c r="H1838" s="329">
        <v>9.8454743452718887</v>
      </c>
      <c r="I1838" s="338">
        <f t="shared" si="95"/>
        <v>2.4613685863179722</v>
      </c>
      <c r="J1838" s="338">
        <f t="shared" si="95"/>
        <v>2.4613685863179722</v>
      </c>
      <c r="K1838" s="338">
        <f t="shared" si="95"/>
        <v>2.4613685863179722</v>
      </c>
      <c r="L1838" s="338">
        <f t="shared" si="95"/>
        <v>2.4613685863179722</v>
      </c>
      <c r="M1838" s="345"/>
    </row>
    <row r="1839" spans="1:13" hidden="1" outlineLevel="2" x14ac:dyDescent="0.35">
      <c r="A1839" s="339" t="s">
        <v>105</v>
      </c>
      <c r="B1839" s="327" t="s">
        <v>2928</v>
      </c>
      <c r="C1839" s="328" t="s">
        <v>2929</v>
      </c>
      <c r="D1839" s="328" t="s">
        <v>2930</v>
      </c>
      <c r="E1839" s="328" t="s">
        <v>2900</v>
      </c>
      <c r="F1839" s="338">
        <v>2000</v>
      </c>
      <c r="G1839" s="330" t="s">
        <v>236</v>
      </c>
      <c r="H1839" s="329">
        <v>1.9690948690543775</v>
      </c>
      <c r="I1839" s="338">
        <f t="shared" si="95"/>
        <v>0.49227371726359437</v>
      </c>
      <c r="J1839" s="338">
        <f t="shared" si="95"/>
        <v>0.49227371726359437</v>
      </c>
      <c r="K1839" s="338">
        <f t="shared" si="95"/>
        <v>0.49227371726359437</v>
      </c>
      <c r="L1839" s="338">
        <f t="shared" si="95"/>
        <v>0.49227371726359437</v>
      </c>
      <c r="M1839" s="328"/>
    </row>
    <row r="1840" spans="1:13" hidden="1" outlineLevel="2" x14ac:dyDescent="0.35">
      <c r="A1840" s="339" t="s">
        <v>105</v>
      </c>
      <c r="B1840" s="331">
        <v>43718</v>
      </c>
      <c r="C1840" s="332" t="s">
        <v>2931</v>
      </c>
      <c r="D1840" s="332" t="s">
        <v>2932</v>
      </c>
      <c r="E1840" s="332" t="s">
        <v>2900</v>
      </c>
      <c r="F1840" s="336">
        <v>11500</v>
      </c>
      <c r="G1840" s="330" t="s">
        <v>236</v>
      </c>
      <c r="H1840" s="329">
        <v>11.322295497062671</v>
      </c>
      <c r="I1840" s="338">
        <f t="shared" si="95"/>
        <v>2.8305738742656676</v>
      </c>
      <c r="J1840" s="338">
        <f t="shared" si="95"/>
        <v>2.8305738742656676</v>
      </c>
      <c r="K1840" s="338">
        <f t="shared" si="95"/>
        <v>2.8305738742656676</v>
      </c>
      <c r="L1840" s="338">
        <f t="shared" si="95"/>
        <v>2.8305738742656676</v>
      </c>
      <c r="M1840" s="332"/>
    </row>
    <row r="1841" spans="1:13" hidden="1" outlineLevel="2" x14ac:dyDescent="0.35">
      <c r="A1841" s="339" t="s">
        <v>105</v>
      </c>
      <c r="B1841" s="331">
        <v>43760</v>
      </c>
      <c r="C1841" s="332" t="s">
        <v>2933</v>
      </c>
      <c r="D1841" s="332" t="s">
        <v>2934</v>
      </c>
      <c r="E1841" s="332" t="s">
        <v>2935</v>
      </c>
      <c r="F1841" s="336">
        <v>35000</v>
      </c>
      <c r="G1841" s="330" t="s">
        <v>236</v>
      </c>
      <c r="H1841" s="329">
        <v>34.459160208451607</v>
      </c>
      <c r="I1841" s="338">
        <f t="shared" si="95"/>
        <v>8.6147900521129017</v>
      </c>
      <c r="J1841" s="338">
        <f t="shared" si="95"/>
        <v>8.6147900521129017</v>
      </c>
      <c r="K1841" s="338">
        <f t="shared" si="95"/>
        <v>8.6147900521129017</v>
      </c>
      <c r="L1841" s="338">
        <f t="shared" si="95"/>
        <v>8.6147900521129017</v>
      </c>
      <c r="M1841" s="332"/>
    </row>
    <row r="1842" spans="1:13" hidden="1" outlineLevel="2" x14ac:dyDescent="0.35">
      <c r="A1842" s="339" t="s">
        <v>105</v>
      </c>
      <c r="B1842" s="331">
        <v>43760</v>
      </c>
      <c r="C1842" s="332" t="s">
        <v>2936</v>
      </c>
      <c r="D1842" s="332" t="s">
        <v>2937</v>
      </c>
      <c r="E1842" s="332" t="s">
        <v>2935</v>
      </c>
      <c r="F1842" s="336">
        <v>15000</v>
      </c>
      <c r="G1842" s="330" t="s">
        <v>236</v>
      </c>
      <c r="H1842" s="329">
        <v>14.768211517907831</v>
      </c>
      <c r="I1842" s="338">
        <f t="shared" si="95"/>
        <v>3.6920528794769578</v>
      </c>
      <c r="J1842" s="338">
        <f t="shared" si="95"/>
        <v>3.6920528794769578</v>
      </c>
      <c r="K1842" s="338">
        <f t="shared" si="95"/>
        <v>3.6920528794769578</v>
      </c>
      <c r="L1842" s="338">
        <f t="shared" si="95"/>
        <v>3.6920528794769578</v>
      </c>
      <c r="M1842" s="332"/>
    </row>
    <row r="1843" spans="1:13" hidden="1" outlineLevel="2" x14ac:dyDescent="0.35">
      <c r="A1843" s="339" t="s">
        <v>105</v>
      </c>
      <c r="B1843" s="331">
        <v>43782</v>
      </c>
      <c r="C1843" s="332" t="s">
        <v>2938</v>
      </c>
      <c r="D1843" s="332" t="s">
        <v>2939</v>
      </c>
      <c r="E1843" s="332" t="s">
        <v>2935</v>
      </c>
      <c r="F1843" s="336">
        <v>50000</v>
      </c>
      <c r="G1843" s="330" t="s">
        <v>236</v>
      </c>
      <c r="H1843" s="329">
        <v>49.227371726359436</v>
      </c>
      <c r="I1843" s="338">
        <f t="shared" ref="I1843:L1862" si="96">$H1843/4</f>
        <v>12.306842931589859</v>
      </c>
      <c r="J1843" s="338">
        <f t="shared" si="96"/>
        <v>12.306842931589859</v>
      </c>
      <c r="K1843" s="338">
        <f t="shared" si="96"/>
        <v>12.306842931589859</v>
      </c>
      <c r="L1843" s="338">
        <f t="shared" si="96"/>
        <v>12.306842931589859</v>
      </c>
      <c r="M1843" s="332"/>
    </row>
    <row r="1844" spans="1:13" hidden="1" outlineLevel="2" x14ac:dyDescent="0.35">
      <c r="A1844" s="339" t="s">
        <v>105</v>
      </c>
      <c r="B1844" s="331">
        <v>43801</v>
      </c>
      <c r="C1844" s="332" t="s">
        <v>2940</v>
      </c>
      <c r="D1844" s="332" t="s">
        <v>2941</v>
      </c>
      <c r="E1844" s="332" t="s">
        <v>2942</v>
      </c>
      <c r="F1844" s="336">
        <v>10184</v>
      </c>
      <c r="G1844" s="330" t="s">
        <v>236</v>
      </c>
      <c r="H1844" s="329">
        <v>10.026631073224891</v>
      </c>
      <c r="I1844" s="338">
        <f t="shared" si="96"/>
        <v>2.5066577683062228</v>
      </c>
      <c r="J1844" s="338">
        <f t="shared" si="96"/>
        <v>2.5066577683062228</v>
      </c>
      <c r="K1844" s="338">
        <f t="shared" si="96"/>
        <v>2.5066577683062228</v>
      </c>
      <c r="L1844" s="338">
        <f t="shared" si="96"/>
        <v>2.5066577683062228</v>
      </c>
      <c r="M1844" s="332"/>
    </row>
    <row r="1845" spans="1:13" hidden="1" outlineLevel="2" x14ac:dyDescent="0.35">
      <c r="A1845" s="339" t="s">
        <v>105</v>
      </c>
      <c r="B1845" s="331">
        <v>43832</v>
      </c>
      <c r="C1845" s="332" t="s">
        <v>2943</v>
      </c>
      <c r="D1845" s="332" t="s">
        <v>2944</v>
      </c>
      <c r="E1845" s="332" t="s">
        <v>2872</v>
      </c>
      <c r="F1845" s="336">
        <v>80000</v>
      </c>
      <c r="G1845" s="330" t="s">
        <v>236</v>
      </c>
      <c r="H1845" s="329">
        <v>74.324816725385091</v>
      </c>
      <c r="I1845" s="338">
        <f t="shared" si="96"/>
        <v>18.581204181346273</v>
      </c>
      <c r="J1845" s="338">
        <f t="shared" si="96"/>
        <v>18.581204181346273</v>
      </c>
      <c r="K1845" s="338">
        <f t="shared" si="96"/>
        <v>18.581204181346273</v>
      </c>
      <c r="L1845" s="338">
        <f t="shared" si="96"/>
        <v>18.581204181346273</v>
      </c>
      <c r="M1845" s="339"/>
    </row>
    <row r="1846" spans="1:13" hidden="1" outlineLevel="2" x14ac:dyDescent="0.35">
      <c r="A1846" s="339" t="s">
        <v>105</v>
      </c>
      <c r="B1846" s="331">
        <v>43832</v>
      </c>
      <c r="C1846" s="332" t="s">
        <v>2931</v>
      </c>
      <c r="D1846" s="332" t="s">
        <v>2945</v>
      </c>
      <c r="E1846" s="332" t="s">
        <v>2590</v>
      </c>
      <c r="F1846" s="336">
        <v>80000</v>
      </c>
      <c r="G1846" s="330" t="s">
        <v>236</v>
      </c>
      <c r="H1846" s="329">
        <v>74.324816725385091</v>
      </c>
      <c r="I1846" s="338">
        <f t="shared" si="96"/>
        <v>18.581204181346273</v>
      </c>
      <c r="J1846" s="338">
        <f t="shared" si="96"/>
        <v>18.581204181346273</v>
      </c>
      <c r="K1846" s="338">
        <f t="shared" si="96"/>
        <v>18.581204181346273</v>
      </c>
      <c r="L1846" s="338">
        <f t="shared" si="96"/>
        <v>18.581204181346273</v>
      </c>
      <c r="M1846" s="339"/>
    </row>
    <row r="1847" spans="1:13" hidden="1" outlineLevel="2" x14ac:dyDescent="0.35">
      <c r="A1847" s="339" t="s">
        <v>105</v>
      </c>
      <c r="B1847" s="331">
        <v>43835</v>
      </c>
      <c r="C1847" s="332" t="s">
        <v>2853</v>
      </c>
      <c r="D1847" s="332" t="s">
        <v>2946</v>
      </c>
      <c r="E1847" s="332" t="s">
        <v>2935</v>
      </c>
      <c r="F1847" s="336">
        <v>50000</v>
      </c>
      <c r="G1847" s="330" t="s">
        <v>236</v>
      </c>
      <c r="H1847" s="329">
        <v>46.453010453365678</v>
      </c>
      <c r="I1847" s="338">
        <f t="shared" si="96"/>
        <v>11.61325261334142</v>
      </c>
      <c r="J1847" s="338">
        <f t="shared" si="96"/>
        <v>11.61325261334142</v>
      </c>
      <c r="K1847" s="338">
        <f t="shared" si="96"/>
        <v>11.61325261334142</v>
      </c>
      <c r="L1847" s="338">
        <f t="shared" si="96"/>
        <v>11.61325261334142</v>
      </c>
      <c r="M1847" s="339"/>
    </row>
    <row r="1848" spans="1:13" hidden="1" outlineLevel="2" x14ac:dyDescent="0.35">
      <c r="A1848" s="339" t="s">
        <v>105</v>
      </c>
      <c r="B1848" s="331">
        <v>43839</v>
      </c>
      <c r="C1848" s="332" t="s">
        <v>2867</v>
      </c>
      <c r="D1848" s="332" t="s">
        <v>2947</v>
      </c>
      <c r="E1848" s="332" t="s">
        <v>2900</v>
      </c>
      <c r="F1848" s="336">
        <v>5000</v>
      </c>
      <c r="G1848" s="330" t="s">
        <v>236</v>
      </c>
      <c r="H1848" s="329">
        <v>4.6453010453365682</v>
      </c>
      <c r="I1848" s="338">
        <f t="shared" si="96"/>
        <v>1.161325261334142</v>
      </c>
      <c r="J1848" s="338">
        <f t="shared" si="96"/>
        <v>1.161325261334142</v>
      </c>
      <c r="K1848" s="338">
        <f t="shared" si="96"/>
        <v>1.161325261334142</v>
      </c>
      <c r="L1848" s="338">
        <f t="shared" si="96"/>
        <v>1.161325261334142</v>
      </c>
      <c r="M1848" s="339"/>
    </row>
    <row r="1849" spans="1:13" hidden="1" outlineLevel="2" x14ac:dyDescent="0.35">
      <c r="A1849" s="339" t="s">
        <v>105</v>
      </c>
      <c r="B1849" s="331">
        <v>43839</v>
      </c>
      <c r="C1849" s="332" t="s">
        <v>2856</v>
      </c>
      <c r="D1849" s="332" t="s">
        <v>2948</v>
      </c>
      <c r="E1849" s="332" t="s">
        <v>2900</v>
      </c>
      <c r="F1849" s="336">
        <v>5000</v>
      </c>
      <c r="G1849" s="330" t="s">
        <v>236</v>
      </c>
      <c r="H1849" s="329">
        <v>4.6453010453365682</v>
      </c>
      <c r="I1849" s="338">
        <f t="shared" si="96"/>
        <v>1.161325261334142</v>
      </c>
      <c r="J1849" s="338">
        <f t="shared" si="96"/>
        <v>1.161325261334142</v>
      </c>
      <c r="K1849" s="338">
        <f t="shared" si="96"/>
        <v>1.161325261334142</v>
      </c>
      <c r="L1849" s="338">
        <f t="shared" si="96"/>
        <v>1.161325261334142</v>
      </c>
      <c r="M1849" s="339"/>
    </row>
    <row r="1850" spans="1:13" hidden="1" outlineLevel="2" x14ac:dyDescent="0.35">
      <c r="A1850" s="339" t="s">
        <v>105</v>
      </c>
      <c r="B1850" s="331">
        <v>43839</v>
      </c>
      <c r="C1850" s="332" t="s">
        <v>2877</v>
      </c>
      <c r="D1850" s="332" t="s">
        <v>2948</v>
      </c>
      <c r="E1850" s="332" t="s">
        <v>2900</v>
      </c>
      <c r="F1850" s="336">
        <v>5000</v>
      </c>
      <c r="G1850" s="330" t="s">
        <v>236</v>
      </c>
      <c r="H1850" s="329">
        <v>4.6453010453365682</v>
      </c>
      <c r="I1850" s="338">
        <f t="shared" si="96"/>
        <v>1.161325261334142</v>
      </c>
      <c r="J1850" s="338">
        <f t="shared" si="96"/>
        <v>1.161325261334142</v>
      </c>
      <c r="K1850" s="338">
        <f t="shared" si="96"/>
        <v>1.161325261334142</v>
      </c>
      <c r="L1850" s="338">
        <f t="shared" si="96"/>
        <v>1.161325261334142</v>
      </c>
      <c r="M1850" s="339"/>
    </row>
    <row r="1851" spans="1:13" hidden="1" outlineLevel="2" x14ac:dyDescent="0.35">
      <c r="A1851" s="339" t="s">
        <v>105</v>
      </c>
      <c r="B1851" s="331">
        <v>43839</v>
      </c>
      <c r="C1851" s="332" t="s">
        <v>2949</v>
      </c>
      <c r="D1851" s="332" t="s">
        <v>2950</v>
      </c>
      <c r="E1851" s="332" t="s">
        <v>2942</v>
      </c>
      <c r="F1851" s="336">
        <v>7666</v>
      </c>
      <c r="G1851" s="330" t="s">
        <v>236</v>
      </c>
      <c r="H1851" s="329">
        <v>7.1221755627100265</v>
      </c>
      <c r="I1851" s="338">
        <f t="shared" si="96"/>
        <v>1.7805438906775066</v>
      </c>
      <c r="J1851" s="338">
        <f t="shared" si="96"/>
        <v>1.7805438906775066</v>
      </c>
      <c r="K1851" s="338">
        <f t="shared" si="96"/>
        <v>1.7805438906775066</v>
      </c>
      <c r="L1851" s="338">
        <f t="shared" si="96"/>
        <v>1.7805438906775066</v>
      </c>
      <c r="M1851" s="339"/>
    </row>
    <row r="1852" spans="1:13" hidden="1" outlineLevel="2" x14ac:dyDescent="0.35">
      <c r="A1852" s="339" t="s">
        <v>105</v>
      </c>
      <c r="B1852" s="331">
        <v>43855</v>
      </c>
      <c r="C1852" s="332" t="s">
        <v>2880</v>
      </c>
      <c r="D1852" s="332" t="s">
        <v>2951</v>
      </c>
      <c r="E1852" s="332" t="s">
        <v>2935</v>
      </c>
      <c r="F1852" s="336">
        <v>20000</v>
      </c>
      <c r="G1852" s="330" t="s">
        <v>236</v>
      </c>
      <c r="H1852" s="329">
        <v>18.581204181346273</v>
      </c>
      <c r="I1852" s="338">
        <f t="shared" si="96"/>
        <v>4.6453010453365682</v>
      </c>
      <c r="J1852" s="338">
        <f t="shared" si="96"/>
        <v>4.6453010453365682</v>
      </c>
      <c r="K1852" s="338">
        <f t="shared" si="96"/>
        <v>4.6453010453365682</v>
      </c>
      <c r="L1852" s="338">
        <f t="shared" si="96"/>
        <v>4.6453010453365682</v>
      </c>
      <c r="M1852" s="339"/>
    </row>
    <row r="1853" spans="1:13" hidden="1" outlineLevel="2" x14ac:dyDescent="0.35">
      <c r="A1853" s="339" t="s">
        <v>105</v>
      </c>
      <c r="B1853" s="331">
        <v>43860</v>
      </c>
      <c r="C1853" s="332" t="s">
        <v>2859</v>
      </c>
      <c r="D1853" s="332" t="s">
        <v>2952</v>
      </c>
      <c r="E1853" s="332" t="s">
        <v>2935</v>
      </c>
      <c r="F1853" s="336">
        <v>50000</v>
      </c>
      <c r="G1853" s="330" t="s">
        <v>236</v>
      </c>
      <c r="H1853" s="329">
        <v>46.453010453365678</v>
      </c>
      <c r="I1853" s="338">
        <f t="shared" si="96"/>
        <v>11.61325261334142</v>
      </c>
      <c r="J1853" s="338">
        <f t="shared" si="96"/>
        <v>11.61325261334142</v>
      </c>
      <c r="K1853" s="338">
        <f t="shared" si="96"/>
        <v>11.61325261334142</v>
      </c>
      <c r="L1853" s="338">
        <f t="shared" si="96"/>
        <v>11.61325261334142</v>
      </c>
      <c r="M1853" s="339"/>
    </row>
    <row r="1854" spans="1:13" hidden="1" outlineLevel="2" x14ac:dyDescent="0.35">
      <c r="A1854" s="339" t="s">
        <v>105</v>
      </c>
      <c r="B1854" s="331">
        <v>43861</v>
      </c>
      <c r="C1854" s="332" t="s">
        <v>2883</v>
      </c>
      <c r="D1854" s="332" t="s">
        <v>2953</v>
      </c>
      <c r="E1854" s="332" t="s">
        <v>2942</v>
      </c>
      <c r="F1854" s="336">
        <v>10221</v>
      </c>
      <c r="G1854" s="330" t="s">
        <v>236</v>
      </c>
      <c r="H1854" s="329">
        <v>9.4959243968770117</v>
      </c>
      <c r="I1854" s="338">
        <f t="shared" si="96"/>
        <v>2.3739810992192529</v>
      </c>
      <c r="J1854" s="338">
        <f t="shared" si="96"/>
        <v>2.3739810992192529</v>
      </c>
      <c r="K1854" s="338">
        <f t="shared" si="96"/>
        <v>2.3739810992192529</v>
      </c>
      <c r="L1854" s="338">
        <f t="shared" si="96"/>
        <v>2.3739810992192529</v>
      </c>
      <c r="M1854" s="339"/>
    </row>
    <row r="1855" spans="1:13" hidden="1" outlineLevel="2" x14ac:dyDescent="0.35">
      <c r="A1855" s="339" t="s">
        <v>105</v>
      </c>
      <c r="B1855" s="331">
        <v>43862</v>
      </c>
      <c r="C1855" s="332" t="s">
        <v>2901</v>
      </c>
      <c r="D1855" s="332" t="s">
        <v>2954</v>
      </c>
      <c r="E1855" s="332" t="s">
        <v>2872</v>
      </c>
      <c r="F1855" s="336">
        <v>80000</v>
      </c>
      <c r="G1855" s="330" t="s">
        <v>236</v>
      </c>
      <c r="H1855" s="329">
        <v>74.324816725385091</v>
      </c>
      <c r="I1855" s="338">
        <f t="shared" si="96"/>
        <v>18.581204181346273</v>
      </c>
      <c r="J1855" s="338">
        <f t="shared" si="96"/>
        <v>18.581204181346273</v>
      </c>
      <c r="K1855" s="338">
        <f t="shared" si="96"/>
        <v>18.581204181346273</v>
      </c>
      <c r="L1855" s="338">
        <f t="shared" si="96"/>
        <v>18.581204181346273</v>
      </c>
      <c r="M1855" s="339"/>
    </row>
    <row r="1856" spans="1:13" hidden="1" outlineLevel="2" x14ac:dyDescent="0.35">
      <c r="A1856" s="339" t="s">
        <v>105</v>
      </c>
      <c r="B1856" s="331">
        <v>43862</v>
      </c>
      <c r="C1856" s="332" t="s">
        <v>2862</v>
      </c>
      <c r="D1856" s="332" t="s">
        <v>2955</v>
      </c>
      <c r="E1856" s="332" t="s">
        <v>2900</v>
      </c>
      <c r="F1856" s="336">
        <v>5000</v>
      </c>
      <c r="G1856" s="330" t="s">
        <v>236</v>
      </c>
      <c r="H1856" s="329">
        <v>4.6453010453365682</v>
      </c>
      <c r="I1856" s="338">
        <f t="shared" si="96"/>
        <v>1.161325261334142</v>
      </c>
      <c r="J1856" s="338">
        <f t="shared" si="96"/>
        <v>1.161325261334142</v>
      </c>
      <c r="K1856" s="338">
        <f t="shared" si="96"/>
        <v>1.161325261334142</v>
      </c>
      <c r="L1856" s="338">
        <f t="shared" si="96"/>
        <v>1.161325261334142</v>
      </c>
      <c r="M1856" s="339"/>
    </row>
    <row r="1857" spans="1:13" hidden="1" outlineLevel="2" x14ac:dyDescent="0.35">
      <c r="A1857" s="339" t="s">
        <v>105</v>
      </c>
      <c r="B1857" s="331">
        <v>43862</v>
      </c>
      <c r="C1857" s="332" t="s">
        <v>2845</v>
      </c>
      <c r="D1857" s="332" t="s">
        <v>2956</v>
      </c>
      <c r="E1857" s="332" t="s">
        <v>2900</v>
      </c>
      <c r="F1857" s="336">
        <v>5000</v>
      </c>
      <c r="G1857" s="330" t="s">
        <v>236</v>
      </c>
      <c r="H1857" s="329">
        <v>4.6453010453365682</v>
      </c>
      <c r="I1857" s="338">
        <f t="shared" si="96"/>
        <v>1.161325261334142</v>
      </c>
      <c r="J1857" s="338">
        <f t="shared" si="96"/>
        <v>1.161325261334142</v>
      </c>
      <c r="K1857" s="338">
        <f t="shared" si="96"/>
        <v>1.161325261334142</v>
      </c>
      <c r="L1857" s="338">
        <f t="shared" si="96"/>
        <v>1.161325261334142</v>
      </c>
      <c r="M1857" s="339"/>
    </row>
    <row r="1858" spans="1:13" hidden="1" outlineLevel="2" x14ac:dyDescent="0.35">
      <c r="A1858" s="339" t="s">
        <v>105</v>
      </c>
      <c r="B1858" s="331">
        <v>43862</v>
      </c>
      <c r="C1858" s="332" t="s">
        <v>2903</v>
      </c>
      <c r="D1858" s="332" t="s">
        <v>2956</v>
      </c>
      <c r="E1858" s="332" t="s">
        <v>2900</v>
      </c>
      <c r="F1858" s="336">
        <v>5000</v>
      </c>
      <c r="G1858" s="330" t="s">
        <v>236</v>
      </c>
      <c r="H1858" s="329">
        <v>4.6453010453365682</v>
      </c>
      <c r="I1858" s="338">
        <f t="shared" si="96"/>
        <v>1.161325261334142</v>
      </c>
      <c r="J1858" s="338">
        <f t="shared" si="96"/>
        <v>1.161325261334142</v>
      </c>
      <c r="K1858" s="338">
        <f t="shared" si="96"/>
        <v>1.161325261334142</v>
      </c>
      <c r="L1858" s="338">
        <f t="shared" si="96"/>
        <v>1.161325261334142</v>
      </c>
      <c r="M1858" s="339"/>
    </row>
    <row r="1859" spans="1:13" hidden="1" outlineLevel="2" x14ac:dyDescent="0.35">
      <c r="A1859" s="339" t="s">
        <v>105</v>
      </c>
      <c r="B1859" s="331">
        <v>43848</v>
      </c>
      <c r="C1859" s="332" t="s">
        <v>2905</v>
      </c>
      <c r="D1859" s="332" t="s">
        <v>2957</v>
      </c>
      <c r="E1859" s="332" t="s">
        <v>2958</v>
      </c>
      <c r="F1859" s="336">
        <v>89900</v>
      </c>
      <c r="G1859" s="330" t="s">
        <v>236</v>
      </c>
      <c r="H1859" s="329">
        <v>83.522512795151499</v>
      </c>
      <c r="I1859" s="338">
        <f t="shared" si="96"/>
        <v>20.880628198787875</v>
      </c>
      <c r="J1859" s="338">
        <f t="shared" si="96"/>
        <v>20.880628198787875</v>
      </c>
      <c r="K1859" s="338">
        <f t="shared" si="96"/>
        <v>20.880628198787875</v>
      </c>
      <c r="L1859" s="338">
        <f t="shared" si="96"/>
        <v>20.880628198787875</v>
      </c>
      <c r="M1859" s="339"/>
    </row>
    <row r="1860" spans="1:13" hidden="1" outlineLevel="2" x14ac:dyDescent="0.35">
      <c r="A1860" s="339" t="s">
        <v>105</v>
      </c>
      <c r="B1860" s="331">
        <v>43851</v>
      </c>
      <c r="C1860" s="332" t="s">
        <v>2907</v>
      </c>
      <c r="D1860" s="332" t="s">
        <v>2959</v>
      </c>
      <c r="E1860" s="332" t="s">
        <v>2960</v>
      </c>
      <c r="F1860" s="336">
        <v>10500</v>
      </c>
      <c r="G1860" s="330" t="s">
        <v>236</v>
      </c>
      <c r="H1860" s="329">
        <v>9.7551321952067926</v>
      </c>
      <c r="I1860" s="338">
        <f t="shared" si="96"/>
        <v>2.4387830488016982</v>
      </c>
      <c r="J1860" s="338">
        <f t="shared" si="96"/>
        <v>2.4387830488016982</v>
      </c>
      <c r="K1860" s="338">
        <f t="shared" si="96"/>
        <v>2.4387830488016982</v>
      </c>
      <c r="L1860" s="338">
        <f t="shared" si="96"/>
        <v>2.4387830488016982</v>
      </c>
      <c r="M1860" s="339"/>
    </row>
    <row r="1861" spans="1:13" hidden="1" outlineLevel="2" x14ac:dyDescent="0.35">
      <c r="A1861" s="339" t="s">
        <v>105</v>
      </c>
      <c r="B1861" s="331">
        <v>43870</v>
      </c>
      <c r="C1861" s="332" t="s">
        <v>2909</v>
      </c>
      <c r="D1861" s="332" t="s">
        <v>2961</v>
      </c>
      <c r="E1861" s="332" t="s">
        <v>2590</v>
      </c>
      <c r="F1861" s="336">
        <v>80000</v>
      </c>
      <c r="G1861" s="330" t="s">
        <v>236</v>
      </c>
      <c r="H1861" s="329">
        <v>74.324816725385091</v>
      </c>
      <c r="I1861" s="338">
        <f t="shared" si="96"/>
        <v>18.581204181346273</v>
      </c>
      <c r="J1861" s="338">
        <f t="shared" si="96"/>
        <v>18.581204181346273</v>
      </c>
      <c r="K1861" s="338">
        <f t="shared" si="96"/>
        <v>18.581204181346273</v>
      </c>
      <c r="L1861" s="338">
        <f t="shared" si="96"/>
        <v>18.581204181346273</v>
      </c>
      <c r="M1861" s="339"/>
    </row>
    <row r="1862" spans="1:13" hidden="1" outlineLevel="2" x14ac:dyDescent="0.35">
      <c r="A1862" s="339" t="s">
        <v>105</v>
      </c>
      <c r="B1862" s="331">
        <v>43879</v>
      </c>
      <c r="C1862" s="332" t="s">
        <v>2911</v>
      </c>
      <c r="D1862" s="332" t="s">
        <v>2962</v>
      </c>
      <c r="E1862" s="332" t="s">
        <v>2935</v>
      </c>
      <c r="F1862" s="336">
        <v>50000</v>
      </c>
      <c r="G1862" s="330" t="s">
        <v>236</v>
      </c>
      <c r="H1862" s="329">
        <v>46.453010453365678</v>
      </c>
      <c r="I1862" s="338">
        <f t="shared" si="96"/>
        <v>11.61325261334142</v>
      </c>
      <c r="J1862" s="338">
        <f t="shared" si="96"/>
        <v>11.61325261334142</v>
      </c>
      <c r="K1862" s="338">
        <f t="shared" si="96"/>
        <v>11.61325261334142</v>
      </c>
      <c r="L1862" s="338">
        <f t="shared" si="96"/>
        <v>11.61325261334142</v>
      </c>
      <c r="M1862" s="339"/>
    </row>
    <row r="1863" spans="1:13" hidden="1" outlineLevel="2" x14ac:dyDescent="0.35">
      <c r="A1863" s="339" t="s">
        <v>105</v>
      </c>
      <c r="B1863" s="331">
        <v>43887</v>
      </c>
      <c r="C1863" s="332" t="s">
        <v>2865</v>
      </c>
      <c r="D1863" s="332" t="s">
        <v>2963</v>
      </c>
      <c r="E1863" s="332" t="s">
        <v>2964</v>
      </c>
      <c r="F1863" s="336">
        <v>15000</v>
      </c>
      <c r="G1863" s="330" t="s">
        <v>236</v>
      </c>
      <c r="H1863" s="329">
        <v>13.935903136009705</v>
      </c>
      <c r="I1863" s="338">
        <f t="shared" ref="I1863:L1882" si="97">$H1863/4</f>
        <v>3.4839757840024261</v>
      </c>
      <c r="J1863" s="338">
        <f t="shared" si="97"/>
        <v>3.4839757840024261</v>
      </c>
      <c r="K1863" s="338">
        <f t="shared" si="97"/>
        <v>3.4839757840024261</v>
      </c>
      <c r="L1863" s="338">
        <f t="shared" si="97"/>
        <v>3.4839757840024261</v>
      </c>
      <c r="M1863" s="339"/>
    </row>
    <row r="1864" spans="1:13" hidden="1" outlineLevel="2" x14ac:dyDescent="0.35">
      <c r="A1864" s="339" t="s">
        <v>105</v>
      </c>
      <c r="B1864" s="331">
        <v>43889</v>
      </c>
      <c r="C1864" s="332" t="s">
        <v>2886</v>
      </c>
      <c r="D1864" s="332" t="s">
        <v>2959</v>
      </c>
      <c r="E1864" s="332" t="s">
        <v>2965</v>
      </c>
      <c r="F1864" s="336">
        <v>95500</v>
      </c>
      <c r="G1864" s="330" t="s">
        <v>236</v>
      </c>
      <c r="H1864" s="329">
        <v>88.725249965928455</v>
      </c>
      <c r="I1864" s="338">
        <f t="shared" si="97"/>
        <v>22.181312491482114</v>
      </c>
      <c r="J1864" s="338">
        <f t="shared" si="97"/>
        <v>22.181312491482114</v>
      </c>
      <c r="K1864" s="338">
        <f t="shared" si="97"/>
        <v>22.181312491482114</v>
      </c>
      <c r="L1864" s="338">
        <f t="shared" si="97"/>
        <v>22.181312491482114</v>
      </c>
      <c r="M1864" s="339"/>
    </row>
    <row r="1865" spans="1:13" hidden="1" outlineLevel="2" x14ac:dyDescent="0.35">
      <c r="A1865" s="339" t="s">
        <v>105</v>
      </c>
      <c r="B1865" s="331">
        <v>43885</v>
      </c>
      <c r="C1865" s="332" t="s">
        <v>2887</v>
      </c>
      <c r="D1865" s="332" t="s">
        <v>2888</v>
      </c>
      <c r="E1865" s="332" t="s">
        <v>2966</v>
      </c>
      <c r="F1865" s="336">
        <v>1800</v>
      </c>
      <c r="G1865" s="330" t="s">
        <v>236</v>
      </c>
      <c r="H1865" s="329">
        <v>1.6723083763211646</v>
      </c>
      <c r="I1865" s="338">
        <f t="shared" si="97"/>
        <v>0.41807709408029115</v>
      </c>
      <c r="J1865" s="338">
        <f t="shared" si="97"/>
        <v>0.41807709408029115</v>
      </c>
      <c r="K1865" s="338">
        <f t="shared" si="97"/>
        <v>0.41807709408029115</v>
      </c>
      <c r="L1865" s="338">
        <f t="shared" si="97"/>
        <v>0.41807709408029115</v>
      </c>
      <c r="M1865" s="339"/>
    </row>
    <row r="1866" spans="1:13" hidden="1" outlineLevel="2" x14ac:dyDescent="0.35">
      <c r="A1866" s="339" t="s">
        <v>105</v>
      </c>
      <c r="B1866" s="331">
        <v>43891</v>
      </c>
      <c r="C1866" s="332" t="s">
        <v>2848</v>
      </c>
      <c r="D1866" s="332" t="s">
        <v>2967</v>
      </c>
      <c r="E1866" s="332" t="s">
        <v>2900</v>
      </c>
      <c r="F1866" s="336">
        <v>5000</v>
      </c>
      <c r="G1866" s="330" t="s">
        <v>236</v>
      </c>
      <c r="H1866" s="329">
        <v>4.6453010453365682</v>
      </c>
      <c r="I1866" s="338">
        <f t="shared" si="97"/>
        <v>1.161325261334142</v>
      </c>
      <c r="J1866" s="338">
        <f t="shared" si="97"/>
        <v>1.161325261334142</v>
      </c>
      <c r="K1866" s="338">
        <f t="shared" si="97"/>
        <v>1.161325261334142</v>
      </c>
      <c r="L1866" s="338">
        <f t="shared" si="97"/>
        <v>1.161325261334142</v>
      </c>
      <c r="M1866" s="339"/>
    </row>
    <row r="1867" spans="1:13" hidden="1" outlineLevel="2" x14ac:dyDescent="0.35">
      <c r="A1867" s="339" t="s">
        <v>105</v>
      </c>
      <c r="B1867" s="331">
        <v>43891</v>
      </c>
      <c r="C1867" s="332" t="s">
        <v>2938</v>
      </c>
      <c r="D1867" s="332" t="s">
        <v>2968</v>
      </c>
      <c r="E1867" s="332" t="s">
        <v>2900</v>
      </c>
      <c r="F1867" s="336">
        <v>5000</v>
      </c>
      <c r="G1867" s="330" t="s">
        <v>236</v>
      </c>
      <c r="H1867" s="329">
        <v>4.6453010453365682</v>
      </c>
      <c r="I1867" s="338">
        <f t="shared" si="97"/>
        <v>1.161325261334142</v>
      </c>
      <c r="J1867" s="338">
        <f t="shared" si="97"/>
        <v>1.161325261334142</v>
      </c>
      <c r="K1867" s="338">
        <f t="shared" si="97"/>
        <v>1.161325261334142</v>
      </c>
      <c r="L1867" s="338">
        <f t="shared" si="97"/>
        <v>1.161325261334142</v>
      </c>
      <c r="M1867" s="339"/>
    </row>
    <row r="1868" spans="1:13" hidden="1" outlineLevel="2" x14ac:dyDescent="0.35">
      <c r="A1868" s="339" t="s">
        <v>105</v>
      </c>
      <c r="B1868" s="331">
        <v>43892</v>
      </c>
      <c r="C1868" s="332" t="s">
        <v>2913</v>
      </c>
      <c r="D1868" s="332" t="s">
        <v>2969</v>
      </c>
      <c r="E1868" s="332" t="s">
        <v>2872</v>
      </c>
      <c r="F1868" s="336">
        <v>80000</v>
      </c>
      <c r="G1868" s="330" t="s">
        <v>236</v>
      </c>
      <c r="H1868" s="329">
        <v>74.324816725385091</v>
      </c>
      <c r="I1868" s="338">
        <f t="shared" si="97"/>
        <v>18.581204181346273</v>
      </c>
      <c r="J1868" s="338">
        <f t="shared" si="97"/>
        <v>18.581204181346273</v>
      </c>
      <c r="K1868" s="338">
        <f t="shared" si="97"/>
        <v>18.581204181346273</v>
      </c>
      <c r="L1868" s="338">
        <f t="shared" si="97"/>
        <v>18.581204181346273</v>
      </c>
      <c r="M1868" s="339"/>
    </row>
    <row r="1869" spans="1:13" hidden="1" outlineLevel="2" x14ac:dyDescent="0.35">
      <c r="A1869" s="339" t="s">
        <v>105</v>
      </c>
      <c r="B1869" s="331">
        <v>43892</v>
      </c>
      <c r="C1869" s="332" t="s">
        <v>2970</v>
      </c>
      <c r="D1869" s="332" t="s">
        <v>2971</v>
      </c>
      <c r="E1869" s="332" t="s">
        <v>2590</v>
      </c>
      <c r="F1869" s="336">
        <v>80000</v>
      </c>
      <c r="G1869" s="330" t="s">
        <v>236</v>
      </c>
      <c r="H1869" s="329">
        <v>74.324816725385091</v>
      </c>
      <c r="I1869" s="338">
        <f t="shared" si="97"/>
        <v>18.581204181346273</v>
      </c>
      <c r="J1869" s="338">
        <f t="shared" si="97"/>
        <v>18.581204181346273</v>
      </c>
      <c r="K1869" s="338">
        <f t="shared" si="97"/>
        <v>18.581204181346273</v>
      </c>
      <c r="L1869" s="338">
        <f t="shared" si="97"/>
        <v>18.581204181346273</v>
      </c>
      <c r="M1869" s="339"/>
    </row>
    <row r="1870" spans="1:13" hidden="1" outlineLevel="2" x14ac:dyDescent="0.35">
      <c r="A1870" s="339" t="s">
        <v>105</v>
      </c>
      <c r="B1870" s="331">
        <v>43901</v>
      </c>
      <c r="C1870" s="332" t="s">
        <v>2916</v>
      </c>
      <c r="D1870" s="332" t="s">
        <v>2972</v>
      </c>
      <c r="E1870" s="332" t="s">
        <v>2935</v>
      </c>
      <c r="F1870" s="336">
        <v>50000</v>
      </c>
      <c r="G1870" s="330" t="s">
        <v>236</v>
      </c>
      <c r="H1870" s="329">
        <v>46.453010453365678</v>
      </c>
      <c r="I1870" s="338">
        <f t="shared" si="97"/>
        <v>11.61325261334142</v>
      </c>
      <c r="J1870" s="338">
        <f t="shared" si="97"/>
        <v>11.61325261334142</v>
      </c>
      <c r="K1870" s="338">
        <f t="shared" si="97"/>
        <v>11.61325261334142</v>
      </c>
      <c r="L1870" s="338">
        <f t="shared" si="97"/>
        <v>11.61325261334142</v>
      </c>
      <c r="M1870" s="339"/>
    </row>
    <row r="1871" spans="1:13" hidden="1" outlineLevel="2" x14ac:dyDescent="0.35">
      <c r="A1871" s="339" t="s">
        <v>105</v>
      </c>
      <c r="B1871" s="331">
        <v>43903</v>
      </c>
      <c r="C1871" s="332" t="s">
        <v>2920</v>
      </c>
      <c r="D1871" s="332" t="s">
        <v>2973</v>
      </c>
      <c r="E1871" s="332" t="s">
        <v>2900</v>
      </c>
      <c r="F1871" s="336">
        <v>5000</v>
      </c>
      <c r="G1871" s="330" t="s">
        <v>236</v>
      </c>
      <c r="H1871" s="329">
        <v>4.6453010453365682</v>
      </c>
      <c r="I1871" s="338">
        <f t="shared" si="97"/>
        <v>1.161325261334142</v>
      </c>
      <c r="J1871" s="338">
        <f t="shared" si="97"/>
        <v>1.161325261334142</v>
      </c>
      <c r="K1871" s="338">
        <f t="shared" si="97"/>
        <v>1.161325261334142</v>
      </c>
      <c r="L1871" s="338">
        <f t="shared" si="97"/>
        <v>1.161325261334142</v>
      </c>
      <c r="M1871" s="339"/>
    </row>
    <row r="1872" spans="1:13" hidden="1" outlineLevel="2" x14ac:dyDescent="0.35">
      <c r="A1872" s="339" t="s">
        <v>105</v>
      </c>
      <c r="B1872" s="331">
        <v>43911</v>
      </c>
      <c r="C1872" s="332" t="s">
        <v>2922</v>
      </c>
      <c r="D1872" s="332" t="s">
        <v>2974</v>
      </c>
      <c r="E1872" s="332" t="s">
        <v>2942</v>
      </c>
      <c r="F1872" s="336">
        <v>20742</v>
      </c>
      <c r="G1872" s="330" t="s">
        <v>236</v>
      </c>
      <c r="H1872" s="329">
        <v>19.270566856474218</v>
      </c>
      <c r="I1872" s="338">
        <f t="shared" si="97"/>
        <v>4.8176417141185546</v>
      </c>
      <c r="J1872" s="338">
        <f t="shared" si="97"/>
        <v>4.8176417141185546</v>
      </c>
      <c r="K1872" s="338">
        <f t="shared" si="97"/>
        <v>4.8176417141185546</v>
      </c>
      <c r="L1872" s="338">
        <f t="shared" si="97"/>
        <v>4.8176417141185546</v>
      </c>
      <c r="M1872" s="339"/>
    </row>
    <row r="1873" spans="1:13" hidden="1" outlineLevel="2" x14ac:dyDescent="0.35">
      <c r="A1873" s="339" t="s">
        <v>105</v>
      </c>
      <c r="B1873" s="331">
        <v>43913</v>
      </c>
      <c r="C1873" s="332" t="s">
        <v>2924</v>
      </c>
      <c r="D1873" s="332" t="s">
        <v>2975</v>
      </c>
      <c r="E1873" s="332" t="s">
        <v>2942</v>
      </c>
      <c r="F1873" s="336">
        <v>30300</v>
      </c>
      <c r="G1873" s="330" t="s">
        <v>236</v>
      </c>
      <c r="H1873" s="329">
        <v>28.150524334739604</v>
      </c>
      <c r="I1873" s="338">
        <f t="shared" si="97"/>
        <v>7.037631083684901</v>
      </c>
      <c r="J1873" s="338">
        <f t="shared" si="97"/>
        <v>7.037631083684901</v>
      </c>
      <c r="K1873" s="338">
        <f t="shared" si="97"/>
        <v>7.037631083684901</v>
      </c>
      <c r="L1873" s="338">
        <f t="shared" si="97"/>
        <v>7.037631083684901</v>
      </c>
      <c r="M1873" s="339"/>
    </row>
    <row r="1874" spans="1:13" hidden="1" outlineLevel="2" x14ac:dyDescent="0.35">
      <c r="A1874" s="339" t="s">
        <v>105</v>
      </c>
      <c r="B1874" s="331">
        <v>43913</v>
      </c>
      <c r="C1874" s="332" t="s">
        <v>2895</v>
      </c>
      <c r="D1874" s="332" t="s">
        <v>2976</v>
      </c>
      <c r="E1874" s="332" t="s">
        <v>2872</v>
      </c>
      <c r="F1874" s="336">
        <v>240000</v>
      </c>
      <c r="G1874" s="330" t="s">
        <v>236</v>
      </c>
      <c r="H1874" s="329">
        <v>222.97445017615527</v>
      </c>
      <c r="I1874" s="338">
        <f t="shared" si="97"/>
        <v>55.743612544038818</v>
      </c>
      <c r="J1874" s="338">
        <f t="shared" si="97"/>
        <v>55.743612544038818</v>
      </c>
      <c r="K1874" s="338">
        <f t="shared" si="97"/>
        <v>55.743612544038818</v>
      </c>
      <c r="L1874" s="338">
        <f t="shared" si="97"/>
        <v>55.743612544038818</v>
      </c>
      <c r="M1874" s="339"/>
    </row>
    <row r="1875" spans="1:13" hidden="1" outlineLevel="2" x14ac:dyDescent="0.35">
      <c r="A1875" s="339" t="s">
        <v>105</v>
      </c>
      <c r="B1875" s="331">
        <v>43913</v>
      </c>
      <c r="C1875" s="332" t="s">
        <v>2977</v>
      </c>
      <c r="D1875" s="332" t="s">
        <v>2978</v>
      </c>
      <c r="E1875" s="332" t="s">
        <v>2590</v>
      </c>
      <c r="F1875" s="336">
        <v>300000</v>
      </c>
      <c r="G1875" s="330" t="s">
        <v>236</v>
      </c>
      <c r="H1875" s="329">
        <v>278.7180627201941</v>
      </c>
      <c r="I1875" s="338">
        <f t="shared" si="97"/>
        <v>69.679515680048524</v>
      </c>
      <c r="J1875" s="338">
        <f t="shared" si="97"/>
        <v>69.679515680048524</v>
      </c>
      <c r="K1875" s="338">
        <f t="shared" si="97"/>
        <v>69.679515680048524</v>
      </c>
      <c r="L1875" s="338">
        <f t="shared" si="97"/>
        <v>69.679515680048524</v>
      </c>
      <c r="M1875" s="339"/>
    </row>
    <row r="1876" spans="1:13" hidden="1" outlineLevel="2" x14ac:dyDescent="0.35">
      <c r="A1876" s="339" t="s">
        <v>105</v>
      </c>
      <c r="B1876" s="331">
        <v>43913</v>
      </c>
      <c r="C1876" s="332" t="s">
        <v>2890</v>
      </c>
      <c r="D1876" s="332" t="s">
        <v>2979</v>
      </c>
      <c r="E1876" s="332" t="s">
        <v>2935</v>
      </c>
      <c r="F1876" s="336">
        <v>200000</v>
      </c>
      <c r="G1876" s="330" t="s">
        <v>236</v>
      </c>
      <c r="H1876" s="329">
        <v>185.81204181346271</v>
      </c>
      <c r="I1876" s="338">
        <f t="shared" si="97"/>
        <v>46.453010453365678</v>
      </c>
      <c r="J1876" s="338">
        <f t="shared" si="97"/>
        <v>46.453010453365678</v>
      </c>
      <c r="K1876" s="338">
        <f t="shared" si="97"/>
        <v>46.453010453365678</v>
      </c>
      <c r="L1876" s="338">
        <f t="shared" si="97"/>
        <v>46.453010453365678</v>
      </c>
      <c r="M1876" s="339"/>
    </row>
    <row r="1877" spans="1:13" hidden="1" outlineLevel="2" x14ac:dyDescent="0.35">
      <c r="A1877" s="339" t="s">
        <v>105</v>
      </c>
      <c r="B1877" s="331">
        <v>43913</v>
      </c>
      <c r="C1877" s="332" t="s">
        <v>2852</v>
      </c>
      <c r="D1877" s="332" t="s">
        <v>2980</v>
      </c>
      <c r="E1877" s="332" t="s">
        <v>2900</v>
      </c>
      <c r="F1877" s="336">
        <v>10000</v>
      </c>
      <c r="G1877" s="330" t="s">
        <v>236</v>
      </c>
      <c r="H1877" s="329">
        <v>9.2906020906731364</v>
      </c>
      <c r="I1877" s="338">
        <f t="shared" si="97"/>
        <v>2.3226505226682841</v>
      </c>
      <c r="J1877" s="338">
        <f t="shared" si="97"/>
        <v>2.3226505226682841</v>
      </c>
      <c r="K1877" s="338">
        <f t="shared" si="97"/>
        <v>2.3226505226682841</v>
      </c>
      <c r="L1877" s="338">
        <f t="shared" si="97"/>
        <v>2.3226505226682841</v>
      </c>
      <c r="M1877" s="339"/>
    </row>
    <row r="1878" spans="1:13" hidden="1" outlineLevel="2" x14ac:dyDescent="0.35">
      <c r="A1878" s="339" t="s">
        <v>105</v>
      </c>
      <c r="B1878" s="331">
        <v>43913</v>
      </c>
      <c r="C1878" s="332" t="s">
        <v>2940</v>
      </c>
      <c r="D1878" s="332" t="s">
        <v>2981</v>
      </c>
      <c r="E1878" s="332" t="s">
        <v>2982</v>
      </c>
      <c r="F1878" s="336">
        <v>7100</v>
      </c>
      <c r="G1878" s="330" t="s">
        <v>236</v>
      </c>
      <c r="H1878" s="329">
        <v>6.5963274843779267</v>
      </c>
      <c r="I1878" s="338">
        <f t="shared" si="97"/>
        <v>1.6490818710944817</v>
      </c>
      <c r="J1878" s="338">
        <f t="shared" si="97"/>
        <v>1.6490818710944817</v>
      </c>
      <c r="K1878" s="338">
        <f t="shared" si="97"/>
        <v>1.6490818710944817</v>
      </c>
      <c r="L1878" s="338">
        <f t="shared" si="97"/>
        <v>1.6490818710944817</v>
      </c>
      <c r="M1878" s="339"/>
    </row>
    <row r="1879" spans="1:13" hidden="1" outlineLevel="2" x14ac:dyDescent="0.35">
      <c r="A1879" s="339" t="s">
        <v>105</v>
      </c>
      <c r="B1879" s="331">
        <v>43915</v>
      </c>
      <c r="C1879" s="332" t="s">
        <v>2926</v>
      </c>
      <c r="D1879" s="332" t="s">
        <v>2983</v>
      </c>
      <c r="E1879" s="332" t="s">
        <v>2900</v>
      </c>
      <c r="F1879" s="336">
        <v>1000</v>
      </c>
      <c r="G1879" s="330" t="s">
        <v>236</v>
      </c>
      <c r="H1879" s="329">
        <v>0.92906020906731357</v>
      </c>
      <c r="I1879" s="338">
        <f t="shared" si="97"/>
        <v>0.23226505226682839</v>
      </c>
      <c r="J1879" s="338">
        <f t="shared" si="97"/>
        <v>0.23226505226682839</v>
      </c>
      <c r="K1879" s="338">
        <f t="shared" si="97"/>
        <v>0.23226505226682839</v>
      </c>
      <c r="L1879" s="338">
        <f t="shared" si="97"/>
        <v>0.23226505226682839</v>
      </c>
      <c r="M1879" s="339"/>
    </row>
    <row r="1880" spans="1:13" hidden="1" outlineLevel="2" x14ac:dyDescent="0.35">
      <c r="A1880" s="339" t="s">
        <v>105</v>
      </c>
      <c r="B1880" s="331">
        <v>43915</v>
      </c>
      <c r="C1880" s="332" t="s">
        <v>2870</v>
      </c>
      <c r="D1880" s="332" t="s">
        <v>2984</v>
      </c>
      <c r="E1880" s="332" t="s">
        <v>2900</v>
      </c>
      <c r="F1880" s="336">
        <v>50000</v>
      </c>
      <c r="G1880" s="330" t="s">
        <v>236</v>
      </c>
      <c r="H1880" s="329">
        <v>46.453010453365678</v>
      </c>
      <c r="I1880" s="338">
        <f t="shared" si="97"/>
        <v>11.61325261334142</v>
      </c>
      <c r="J1880" s="338">
        <f t="shared" si="97"/>
        <v>11.61325261334142</v>
      </c>
      <c r="K1880" s="338">
        <f t="shared" si="97"/>
        <v>11.61325261334142</v>
      </c>
      <c r="L1880" s="338">
        <f t="shared" si="97"/>
        <v>11.61325261334142</v>
      </c>
      <c r="M1880" s="339"/>
    </row>
    <row r="1881" spans="1:13" hidden="1" outlineLevel="2" x14ac:dyDescent="0.35">
      <c r="A1881" s="339" t="s">
        <v>105</v>
      </c>
      <c r="B1881" s="331">
        <v>44094</v>
      </c>
      <c r="C1881" s="332" t="s">
        <v>2985</v>
      </c>
      <c r="D1881" s="332" t="s">
        <v>2986</v>
      </c>
      <c r="E1881" s="332" t="s">
        <v>2900</v>
      </c>
      <c r="F1881" s="336">
        <v>10000</v>
      </c>
      <c r="G1881" s="330" t="s">
        <v>236</v>
      </c>
      <c r="H1881" s="329">
        <v>9.2906020906731364</v>
      </c>
      <c r="I1881" s="338">
        <f t="shared" si="97"/>
        <v>2.3226505226682841</v>
      </c>
      <c r="J1881" s="338">
        <f t="shared" si="97"/>
        <v>2.3226505226682841</v>
      </c>
      <c r="K1881" s="338">
        <f t="shared" si="97"/>
        <v>2.3226505226682841</v>
      </c>
      <c r="L1881" s="338">
        <f t="shared" si="97"/>
        <v>2.3226505226682841</v>
      </c>
      <c r="M1881" s="339"/>
    </row>
    <row r="1882" spans="1:13" hidden="1" outlineLevel="2" x14ac:dyDescent="0.35">
      <c r="A1882" s="339" t="s">
        <v>105</v>
      </c>
      <c r="B1882" s="331">
        <v>44095</v>
      </c>
      <c r="C1882" s="332" t="s">
        <v>2892</v>
      </c>
      <c r="D1882" s="332" t="s">
        <v>2987</v>
      </c>
      <c r="E1882" s="332" t="s">
        <v>2988</v>
      </c>
      <c r="F1882" s="336">
        <v>3600</v>
      </c>
      <c r="G1882" s="330" t="s">
        <v>236</v>
      </c>
      <c r="H1882" s="329">
        <v>3.3446167526423292</v>
      </c>
      <c r="I1882" s="338">
        <f t="shared" si="97"/>
        <v>0.83615418816058229</v>
      </c>
      <c r="J1882" s="338">
        <f t="shared" si="97"/>
        <v>0.83615418816058229</v>
      </c>
      <c r="K1882" s="338">
        <f t="shared" si="97"/>
        <v>0.83615418816058229</v>
      </c>
      <c r="L1882" s="338">
        <f t="shared" si="97"/>
        <v>0.83615418816058229</v>
      </c>
      <c r="M1882" s="339"/>
    </row>
    <row r="1883" spans="1:13" hidden="1" outlineLevel="2" x14ac:dyDescent="0.35">
      <c r="A1883" s="339" t="s">
        <v>105</v>
      </c>
      <c r="B1883" s="331">
        <v>44109</v>
      </c>
      <c r="C1883" s="332" t="s">
        <v>2989</v>
      </c>
      <c r="D1883" s="332" t="s">
        <v>2990</v>
      </c>
      <c r="E1883" s="332" t="s">
        <v>2991</v>
      </c>
      <c r="F1883" s="336">
        <v>20000</v>
      </c>
      <c r="G1883" s="330" t="s">
        <v>236</v>
      </c>
      <c r="H1883" s="329">
        <v>18.581204181346273</v>
      </c>
      <c r="I1883" s="338">
        <f t="shared" ref="I1883:L1902" si="98">$H1883/4</f>
        <v>4.6453010453365682</v>
      </c>
      <c r="J1883" s="338">
        <f t="shared" si="98"/>
        <v>4.6453010453365682</v>
      </c>
      <c r="K1883" s="338">
        <f t="shared" si="98"/>
        <v>4.6453010453365682</v>
      </c>
      <c r="L1883" s="338">
        <f t="shared" si="98"/>
        <v>4.6453010453365682</v>
      </c>
      <c r="M1883" s="339"/>
    </row>
    <row r="1884" spans="1:13" hidden="1" outlineLevel="2" x14ac:dyDescent="0.35">
      <c r="A1884" s="339" t="s">
        <v>105</v>
      </c>
      <c r="B1884" s="331">
        <v>44111</v>
      </c>
      <c r="C1884" s="332" t="s">
        <v>2992</v>
      </c>
      <c r="D1884" s="332" t="s">
        <v>2993</v>
      </c>
      <c r="E1884" s="332" t="s">
        <v>2994</v>
      </c>
      <c r="F1884" s="336">
        <v>3600</v>
      </c>
      <c r="G1884" s="330" t="s">
        <v>236</v>
      </c>
      <c r="H1884" s="329">
        <v>3.3446167526423292</v>
      </c>
      <c r="I1884" s="338">
        <f t="shared" si="98"/>
        <v>0.83615418816058229</v>
      </c>
      <c r="J1884" s="338">
        <f t="shared" si="98"/>
        <v>0.83615418816058229</v>
      </c>
      <c r="K1884" s="338">
        <f t="shared" si="98"/>
        <v>0.83615418816058229</v>
      </c>
      <c r="L1884" s="338">
        <f t="shared" si="98"/>
        <v>0.83615418816058229</v>
      </c>
      <c r="M1884" s="339"/>
    </row>
    <row r="1885" spans="1:13" hidden="1" outlineLevel="2" x14ac:dyDescent="0.35">
      <c r="A1885" s="339" t="s">
        <v>105</v>
      </c>
      <c r="B1885" s="331">
        <v>44115</v>
      </c>
      <c r="C1885" s="332" t="s">
        <v>2995</v>
      </c>
      <c r="D1885" s="332" t="s">
        <v>2996</v>
      </c>
      <c r="E1885" s="332" t="s">
        <v>2900</v>
      </c>
      <c r="F1885" s="336">
        <v>5000</v>
      </c>
      <c r="G1885" s="330" t="s">
        <v>236</v>
      </c>
      <c r="H1885" s="329">
        <v>4.6453010453365682</v>
      </c>
      <c r="I1885" s="338">
        <f t="shared" si="98"/>
        <v>1.161325261334142</v>
      </c>
      <c r="J1885" s="338">
        <f t="shared" si="98"/>
        <v>1.161325261334142</v>
      </c>
      <c r="K1885" s="338">
        <f t="shared" si="98"/>
        <v>1.161325261334142</v>
      </c>
      <c r="L1885" s="338">
        <f t="shared" si="98"/>
        <v>1.161325261334142</v>
      </c>
      <c r="M1885" s="339"/>
    </row>
    <row r="1886" spans="1:13" hidden="1" outlineLevel="2" x14ac:dyDescent="0.35">
      <c r="A1886" s="339" t="s">
        <v>105</v>
      </c>
      <c r="B1886" s="331">
        <v>44118</v>
      </c>
      <c r="C1886" s="332" t="s">
        <v>2997</v>
      </c>
      <c r="D1886" s="332" t="s">
        <v>2998</v>
      </c>
      <c r="E1886" s="332" t="s">
        <v>2942</v>
      </c>
      <c r="F1886" s="336">
        <v>3524</v>
      </c>
      <c r="G1886" s="330" t="s">
        <v>236</v>
      </c>
      <c r="H1886" s="329">
        <v>3.2740081767532132</v>
      </c>
      <c r="I1886" s="338">
        <f t="shared" si="98"/>
        <v>0.8185020441883033</v>
      </c>
      <c r="J1886" s="338">
        <f t="shared" si="98"/>
        <v>0.8185020441883033</v>
      </c>
      <c r="K1886" s="338">
        <f t="shared" si="98"/>
        <v>0.8185020441883033</v>
      </c>
      <c r="L1886" s="338">
        <f t="shared" si="98"/>
        <v>0.8185020441883033</v>
      </c>
      <c r="M1886" s="339"/>
    </row>
    <row r="1887" spans="1:13" hidden="1" outlineLevel="2" x14ac:dyDescent="0.35">
      <c r="A1887" s="339" t="s">
        <v>105</v>
      </c>
      <c r="B1887" s="331">
        <v>44125</v>
      </c>
      <c r="C1887" s="332" t="s">
        <v>2999</v>
      </c>
      <c r="D1887" s="332" t="s">
        <v>3000</v>
      </c>
      <c r="E1887" s="332" t="s">
        <v>2935</v>
      </c>
      <c r="F1887" s="336">
        <v>50000</v>
      </c>
      <c r="G1887" s="330" t="s">
        <v>236</v>
      </c>
      <c r="H1887" s="329">
        <v>46.453010453365678</v>
      </c>
      <c r="I1887" s="338">
        <f t="shared" si="98"/>
        <v>11.61325261334142</v>
      </c>
      <c r="J1887" s="338">
        <f t="shared" si="98"/>
        <v>11.61325261334142</v>
      </c>
      <c r="K1887" s="338">
        <f t="shared" si="98"/>
        <v>11.61325261334142</v>
      </c>
      <c r="L1887" s="338">
        <f t="shared" si="98"/>
        <v>11.61325261334142</v>
      </c>
      <c r="M1887" s="339"/>
    </row>
    <row r="1888" spans="1:13" hidden="1" outlineLevel="2" x14ac:dyDescent="0.35">
      <c r="A1888" s="339" t="s">
        <v>105</v>
      </c>
      <c r="B1888" s="331">
        <v>44126</v>
      </c>
      <c r="C1888" s="332" t="s">
        <v>3001</v>
      </c>
      <c r="D1888" s="332" t="s">
        <v>2957</v>
      </c>
      <c r="E1888" s="332" t="s">
        <v>3002</v>
      </c>
      <c r="F1888" s="336">
        <v>25900</v>
      </c>
      <c r="G1888" s="330" t="s">
        <v>236</v>
      </c>
      <c r="H1888" s="329">
        <v>24.062659414843424</v>
      </c>
      <c r="I1888" s="338">
        <f t="shared" si="98"/>
        <v>6.0156648537108559</v>
      </c>
      <c r="J1888" s="338">
        <f t="shared" si="98"/>
        <v>6.0156648537108559</v>
      </c>
      <c r="K1888" s="338">
        <f t="shared" si="98"/>
        <v>6.0156648537108559</v>
      </c>
      <c r="L1888" s="338">
        <f t="shared" si="98"/>
        <v>6.0156648537108559</v>
      </c>
      <c r="M1888" s="339"/>
    </row>
    <row r="1889" spans="1:13" hidden="1" outlineLevel="2" x14ac:dyDescent="0.35">
      <c r="A1889" s="339" t="s">
        <v>105</v>
      </c>
      <c r="B1889" s="331">
        <v>44132</v>
      </c>
      <c r="C1889" s="332" t="s">
        <v>3003</v>
      </c>
      <c r="D1889" s="332" t="s">
        <v>3004</v>
      </c>
      <c r="E1889" s="332" t="s">
        <v>2590</v>
      </c>
      <c r="F1889" s="336">
        <v>100000</v>
      </c>
      <c r="G1889" s="330" t="s">
        <v>236</v>
      </c>
      <c r="H1889" s="329">
        <v>92.906020906731356</v>
      </c>
      <c r="I1889" s="338">
        <f t="shared" si="98"/>
        <v>23.226505226682839</v>
      </c>
      <c r="J1889" s="338">
        <f t="shared" si="98"/>
        <v>23.226505226682839</v>
      </c>
      <c r="K1889" s="338">
        <f t="shared" si="98"/>
        <v>23.226505226682839</v>
      </c>
      <c r="L1889" s="338">
        <f t="shared" si="98"/>
        <v>23.226505226682839</v>
      </c>
      <c r="M1889" s="339"/>
    </row>
    <row r="1890" spans="1:13" hidden="1" outlineLevel="2" x14ac:dyDescent="0.35">
      <c r="A1890" s="339" t="s">
        <v>105</v>
      </c>
      <c r="B1890" s="331">
        <v>44132</v>
      </c>
      <c r="C1890" s="332" t="s">
        <v>3005</v>
      </c>
      <c r="D1890" s="332" t="s">
        <v>3006</v>
      </c>
      <c r="E1890" s="332" t="s">
        <v>2872</v>
      </c>
      <c r="F1890" s="336">
        <v>90000</v>
      </c>
      <c r="G1890" s="330" t="s">
        <v>236</v>
      </c>
      <c r="H1890" s="329">
        <v>83.615418816058224</v>
      </c>
      <c r="I1890" s="338">
        <f t="shared" si="98"/>
        <v>20.903854704014556</v>
      </c>
      <c r="J1890" s="338">
        <f t="shared" si="98"/>
        <v>20.903854704014556</v>
      </c>
      <c r="K1890" s="338">
        <f t="shared" si="98"/>
        <v>20.903854704014556</v>
      </c>
      <c r="L1890" s="338">
        <f t="shared" si="98"/>
        <v>20.903854704014556</v>
      </c>
      <c r="M1890" s="339"/>
    </row>
    <row r="1891" spans="1:13" hidden="1" outlineLevel="2" x14ac:dyDescent="0.35">
      <c r="A1891" s="339" t="s">
        <v>105</v>
      </c>
      <c r="B1891" s="331">
        <v>44118</v>
      </c>
      <c r="C1891" s="332" t="s">
        <v>3007</v>
      </c>
      <c r="D1891" s="332" t="s">
        <v>2993</v>
      </c>
      <c r="E1891" s="332" t="s">
        <v>2879</v>
      </c>
      <c r="F1891" s="336">
        <v>3000</v>
      </c>
      <c r="G1891" s="330" t="s">
        <v>236</v>
      </c>
      <c r="H1891" s="329">
        <v>2.7871806272019408</v>
      </c>
      <c r="I1891" s="338">
        <f t="shared" si="98"/>
        <v>0.6967951568004852</v>
      </c>
      <c r="J1891" s="338">
        <f t="shared" si="98"/>
        <v>0.6967951568004852</v>
      </c>
      <c r="K1891" s="338">
        <f t="shared" si="98"/>
        <v>0.6967951568004852</v>
      </c>
      <c r="L1891" s="338">
        <f t="shared" si="98"/>
        <v>0.6967951568004852</v>
      </c>
      <c r="M1891" s="339"/>
    </row>
    <row r="1892" spans="1:13" hidden="1" outlineLevel="2" x14ac:dyDescent="0.35">
      <c r="A1892" s="339" t="s">
        <v>105</v>
      </c>
      <c r="B1892" s="331">
        <v>44137</v>
      </c>
      <c r="C1892" s="332" t="s">
        <v>3008</v>
      </c>
      <c r="D1892" s="332" t="s">
        <v>3009</v>
      </c>
      <c r="E1892" s="332" t="s">
        <v>3010</v>
      </c>
      <c r="F1892" s="336">
        <v>17000</v>
      </c>
      <c r="G1892" s="330" t="s">
        <v>236</v>
      </c>
      <c r="H1892" s="329">
        <v>15.794023554144331</v>
      </c>
      <c r="I1892" s="338">
        <f t="shared" si="98"/>
        <v>3.9485058885360829</v>
      </c>
      <c r="J1892" s="338">
        <f t="shared" si="98"/>
        <v>3.9485058885360829</v>
      </c>
      <c r="K1892" s="338">
        <f t="shared" si="98"/>
        <v>3.9485058885360829</v>
      </c>
      <c r="L1892" s="338">
        <f t="shared" si="98"/>
        <v>3.9485058885360829</v>
      </c>
      <c r="M1892" s="339"/>
    </row>
    <row r="1893" spans="1:13" hidden="1" outlineLevel="2" x14ac:dyDescent="0.35">
      <c r="A1893" s="339" t="s">
        <v>105</v>
      </c>
      <c r="B1893" s="331">
        <v>44147</v>
      </c>
      <c r="C1893" s="332" t="s">
        <v>3011</v>
      </c>
      <c r="D1893" s="332" t="s">
        <v>2993</v>
      </c>
      <c r="E1893" s="332" t="s">
        <v>3012</v>
      </c>
      <c r="F1893" s="336">
        <v>1500</v>
      </c>
      <c r="G1893" s="330" t="s">
        <v>236</v>
      </c>
      <c r="H1893" s="329">
        <v>1.3935903136009704</v>
      </c>
      <c r="I1893" s="338">
        <f t="shared" si="98"/>
        <v>0.3483975784002426</v>
      </c>
      <c r="J1893" s="338">
        <f t="shared" si="98"/>
        <v>0.3483975784002426</v>
      </c>
      <c r="K1893" s="338">
        <f t="shared" si="98"/>
        <v>0.3483975784002426</v>
      </c>
      <c r="L1893" s="338">
        <f t="shared" si="98"/>
        <v>0.3483975784002426</v>
      </c>
      <c r="M1893" s="339"/>
    </row>
    <row r="1894" spans="1:13" hidden="1" outlineLevel="2" x14ac:dyDescent="0.35">
      <c r="A1894" s="339" t="s">
        <v>105</v>
      </c>
      <c r="B1894" s="331">
        <v>44147</v>
      </c>
      <c r="C1894" s="332" t="s">
        <v>3013</v>
      </c>
      <c r="D1894" s="332" t="s">
        <v>2917</v>
      </c>
      <c r="E1894" s="332" t="s">
        <v>2900</v>
      </c>
      <c r="F1894" s="336">
        <v>5000</v>
      </c>
      <c r="G1894" s="330" t="s">
        <v>236</v>
      </c>
      <c r="H1894" s="329">
        <v>4.6453010453365682</v>
      </c>
      <c r="I1894" s="338">
        <f t="shared" si="98"/>
        <v>1.161325261334142</v>
      </c>
      <c r="J1894" s="338">
        <f t="shared" si="98"/>
        <v>1.161325261334142</v>
      </c>
      <c r="K1894" s="338">
        <f t="shared" si="98"/>
        <v>1.161325261334142</v>
      </c>
      <c r="L1894" s="338">
        <f t="shared" si="98"/>
        <v>1.161325261334142</v>
      </c>
      <c r="M1894" s="339"/>
    </row>
    <row r="1895" spans="1:13" hidden="1" outlineLevel="2" x14ac:dyDescent="0.35">
      <c r="A1895" s="339" t="s">
        <v>105</v>
      </c>
      <c r="B1895" s="331">
        <v>44152</v>
      </c>
      <c r="C1895" s="332" t="s">
        <v>3014</v>
      </c>
      <c r="D1895" s="332" t="s">
        <v>2998</v>
      </c>
      <c r="E1895" s="332" t="s">
        <v>2942</v>
      </c>
      <c r="F1895" s="336">
        <v>9369</v>
      </c>
      <c r="G1895" s="330" t="s">
        <v>236</v>
      </c>
      <c r="H1895" s="329">
        <v>8.7043650987516621</v>
      </c>
      <c r="I1895" s="338">
        <f t="shared" si="98"/>
        <v>2.1760912746879155</v>
      </c>
      <c r="J1895" s="338">
        <f t="shared" si="98"/>
        <v>2.1760912746879155</v>
      </c>
      <c r="K1895" s="338">
        <f t="shared" si="98"/>
        <v>2.1760912746879155</v>
      </c>
      <c r="L1895" s="338">
        <f t="shared" si="98"/>
        <v>2.1760912746879155</v>
      </c>
      <c r="M1895" s="339"/>
    </row>
    <row r="1896" spans="1:13" hidden="1" outlineLevel="2" x14ac:dyDescent="0.35">
      <c r="A1896" s="339" t="s">
        <v>105</v>
      </c>
      <c r="B1896" s="331">
        <v>44155</v>
      </c>
      <c r="C1896" s="332" t="s">
        <v>3015</v>
      </c>
      <c r="D1896" s="332" t="s">
        <v>3016</v>
      </c>
      <c r="E1896" s="332" t="s">
        <v>701</v>
      </c>
      <c r="F1896" s="336">
        <v>27500</v>
      </c>
      <c r="G1896" s="330" t="s">
        <v>236</v>
      </c>
      <c r="H1896" s="329">
        <v>25.549155749351126</v>
      </c>
      <c r="I1896" s="338">
        <f t="shared" si="98"/>
        <v>6.3872889373377815</v>
      </c>
      <c r="J1896" s="338">
        <f t="shared" si="98"/>
        <v>6.3872889373377815</v>
      </c>
      <c r="K1896" s="338">
        <f t="shared" si="98"/>
        <v>6.3872889373377815</v>
      </c>
      <c r="L1896" s="338">
        <f t="shared" si="98"/>
        <v>6.3872889373377815</v>
      </c>
      <c r="M1896" s="339"/>
    </row>
    <row r="1897" spans="1:13" hidden="1" outlineLevel="2" x14ac:dyDescent="0.35">
      <c r="A1897" s="339" t="s">
        <v>105</v>
      </c>
      <c r="B1897" s="331">
        <v>44158</v>
      </c>
      <c r="C1897" s="332" t="s">
        <v>3017</v>
      </c>
      <c r="D1897" s="332" t="s">
        <v>3018</v>
      </c>
      <c r="E1897" s="332" t="s">
        <v>2935</v>
      </c>
      <c r="F1897" s="336">
        <v>50000</v>
      </c>
      <c r="G1897" s="330" t="s">
        <v>236</v>
      </c>
      <c r="H1897" s="329">
        <v>46.453010453365678</v>
      </c>
      <c r="I1897" s="338">
        <f t="shared" si="98"/>
        <v>11.61325261334142</v>
      </c>
      <c r="J1897" s="338">
        <f t="shared" si="98"/>
        <v>11.61325261334142</v>
      </c>
      <c r="K1897" s="338">
        <f t="shared" si="98"/>
        <v>11.61325261334142</v>
      </c>
      <c r="L1897" s="338">
        <f t="shared" si="98"/>
        <v>11.61325261334142</v>
      </c>
      <c r="M1897" s="339"/>
    </row>
    <row r="1898" spans="1:13" hidden="1" outlineLevel="2" x14ac:dyDescent="0.35">
      <c r="A1898" s="339" t="s">
        <v>105</v>
      </c>
      <c r="B1898" s="331">
        <v>44166</v>
      </c>
      <c r="C1898" s="332" t="s">
        <v>3019</v>
      </c>
      <c r="D1898" s="332" t="s">
        <v>3020</v>
      </c>
      <c r="E1898" s="332" t="s">
        <v>2590</v>
      </c>
      <c r="F1898" s="336">
        <v>7000</v>
      </c>
      <c r="G1898" s="330" t="s">
        <v>236</v>
      </c>
      <c r="H1898" s="329">
        <v>6.5034214634711951</v>
      </c>
      <c r="I1898" s="338">
        <f t="shared" si="98"/>
        <v>1.6258553658677988</v>
      </c>
      <c r="J1898" s="338">
        <f t="shared" si="98"/>
        <v>1.6258553658677988</v>
      </c>
      <c r="K1898" s="338">
        <f t="shared" si="98"/>
        <v>1.6258553658677988</v>
      </c>
      <c r="L1898" s="338">
        <f t="shared" si="98"/>
        <v>1.6258553658677988</v>
      </c>
      <c r="M1898" s="339"/>
    </row>
    <row r="1899" spans="1:13" hidden="1" outlineLevel="2" x14ac:dyDescent="0.35">
      <c r="A1899" s="339" t="s">
        <v>105</v>
      </c>
      <c r="B1899" s="331">
        <v>44166</v>
      </c>
      <c r="C1899" s="332" t="s">
        <v>3021</v>
      </c>
      <c r="D1899" s="332" t="s">
        <v>2871</v>
      </c>
      <c r="E1899" s="332" t="s">
        <v>2590</v>
      </c>
      <c r="F1899" s="336">
        <v>100000</v>
      </c>
      <c r="G1899" s="330" t="s">
        <v>236</v>
      </c>
      <c r="H1899" s="329">
        <v>92.906020906731356</v>
      </c>
      <c r="I1899" s="338">
        <f t="shared" si="98"/>
        <v>23.226505226682839</v>
      </c>
      <c r="J1899" s="338">
        <f t="shared" si="98"/>
        <v>23.226505226682839</v>
      </c>
      <c r="K1899" s="338">
        <f t="shared" si="98"/>
        <v>23.226505226682839</v>
      </c>
      <c r="L1899" s="338">
        <f t="shared" si="98"/>
        <v>23.226505226682839</v>
      </c>
      <c r="M1899" s="339"/>
    </row>
    <row r="1900" spans="1:13" hidden="1" outlineLevel="2" x14ac:dyDescent="0.35">
      <c r="A1900" s="339" t="s">
        <v>105</v>
      </c>
      <c r="B1900" s="331">
        <v>44166</v>
      </c>
      <c r="C1900" s="332" t="s">
        <v>3022</v>
      </c>
      <c r="D1900" s="332" t="s">
        <v>2874</v>
      </c>
      <c r="E1900" s="332" t="s">
        <v>2872</v>
      </c>
      <c r="F1900" s="336">
        <v>90000</v>
      </c>
      <c r="G1900" s="330" t="s">
        <v>236</v>
      </c>
      <c r="H1900" s="329">
        <v>83.615418816058224</v>
      </c>
      <c r="I1900" s="338">
        <f t="shared" si="98"/>
        <v>20.903854704014556</v>
      </c>
      <c r="J1900" s="338">
        <f t="shared" si="98"/>
        <v>20.903854704014556</v>
      </c>
      <c r="K1900" s="338">
        <f t="shared" si="98"/>
        <v>20.903854704014556</v>
      </c>
      <c r="L1900" s="338">
        <f t="shared" si="98"/>
        <v>20.903854704014556</v>
      </c>
      <c r="M1900" s="339"/>
    </row>
    <row r="1901" spans="1:13" hidden="1" outlineLevel="2" x14ac:dyDescent="0.35">
      <c r="A1901" s="339" t="s">
        <v>105</v>
      </c>
      <c r="B1901" s="331">
        <v>44177</v>
      </c>
      <c r="C1901" s="332" t="s">
        <v>3023</v>
      </c>
      <c r="D1901" s="332" t="s">
        <v>3024</v>
      </c>
      <c r="E1901" s="332" t="s">
        <v>2935</v>
      </c>
      <c r="F1901" s="336">
        <v>50000</v>
      </c>
      <c r="G1901" s="330" t="s">
        <v>236</v>
      </c>
      <c r="H1901" s="329">
        <v>46.453010453365678</v>
      </c>
      <c r="I1901" s="338">
        <f t="shared" si="98"/>
        <v>11.61325261334142</v>
      </c>
      <c r="J1901" s="338">
        <f t="shared" si="98"/>
        <v>11.61325261334142</v>
      </c>
      <c r="K1901" s="338">
        <f t="shared" si="98"/>
        <v>11.61325261334142</v>
      </c>
      <c r="L1901" s="338">
        <f t="shared" si="98"/>
        <v>11.61325261334142</v>
      </c>
      <c r="M1901" s="339"/>
    </row>
    <row r="1902" spans="1:13" hidden="1" outlineLevel="2" x14ac:dyDescent="0.35">
      <c r="A1902" s="339" t="s">
        <v>105</v>
      </c>
      <c r="B1902" s="331">
        <v>44181</v>
      </c>
      <c r="C1902" s="332" t="s">
        <v>865</v>
      </c>
      <c r="D1902" s="332" t="s">
        <v>3025</v>
      </c>
      <c r="E1902" s="332" t="s">
        <v>3026</v>
      </c>
      <c r="F1902" s="336">
        <v>3000</v>
      </c>
      <c r="G1902" s="330" t="s">
        <v>236</v>
      </c>
      <c r="H1902" s="329">
        <v>2.7871806272019408</v>
      </c>
      <c r="I1902" s="338">
        <f t="shared" si="98"/>
        <v>0.6967951568004852</v>
      </c>
      <c r="J1902" s="338">
        <f t="shared" si="98"/>
        <v>0.6967951568004852</v>
      </c>
      <c r="K1902" s="338">
        <f t="shared" si="98"/>
        <v>0.6967951568004852</v>
      </c>
      <c r="L1902" s="338">
        <f t="shared" si="98"/>
        <v>0.6967951568004852</v>
      </c>
      <c r="M1902" s="339"/>
    </row>
    <row r="1903" spans="1:13" hidden="1" outlineLevel="2" x14ac:dyDescent="0.35">
      <c r="A1903" s="339" t="s">
        <v>105</v>
      </c>
      <c r="B1903" s="331">
        <v>44183</v>
      </c>
      <c r="C1903" s="332" t="s">
        <v>868</v>
      </c>
      <c r="D1903" s="332" t="s">
        <v>2990</v>
      </c>
      <c r="E1903" s="332" t="s">
        <v>3026</v>
      </c>
      <c r="F1903" s="336">
        <v>10000</v>
      </c>
      <c r="G1903" s="330" t="s">
        <v>236</v>
      </c>
      <c r="H1903" s="329">
        <v>9.2906020906731364</v>
      </c>
      <c r="I1903" s="338">
        <f t="shared" ref="I1903:L1922" si="99">$H1903/4</f>
        <v>2.3226505226682841</v>
      </c>
      <c r="J1903" s="338">
        <f t="shared" si="99"/>
        <v>2.3226505226682841</v>
      </c>
      <c r="K1903" s="338">
        <f t="shared" si="99"/>
        <v>2.3226505226682841</v>
      </c>
      <c r="L1903" s="338">
        <f t="shared" si="99"/>
        <v>2.3226505226682841</v>
      </c>
      <c r="M1903" s="339"/>
    </row>
    <row r="1904" spans="1:13" hidden="1" outlineLevel="2" x14ac:dyDescent="0.35">
      <c r="A1904" s="339" t="s">
        <v>105</v>
      </c>
      <c r="B1904" s="331">
        <v>44195</v>
      </c>
      <c r="C1904" s="332" t="s">
        <v>871</v>
      </c>
      <c r="D1904" s="332" t="s">
        <v>3027</v>
      </c>
      <c r="E1904" s="332" t="s">
        <v>2872</v>
      </c>
      <c r="F1904" s="336">
        <v>180000</v>
      </c>
      <c r="G1904" s="330" t="s">
        <v>236</v>
      </c>
      <c r="H1904" s="329">
        <v>167.23083763211645</v>
      </c>
      <c r="I1904" s="338">
        <f t="shared" si="99"/>
        <v>41.807709408029112</v>
      </c>
      <c r="J1904" s="338">
        <f t="shared" si="99"/>
        <v>41.807709408029112</v>
      </c>
      <c r="K1904" s="338">
        <f t="shared" si="99"/>
        <v>41.807709408029112</v>
      </c>
      <c r="L1904" s="338">
        <f t="shared" si="99"/>
        <v>41.807709408029112</v>
      </c>
      <c r="M1904" s="339"/>
    </row>
    <row r="1905" spans="1:13" hidden="1" outlineLevel="2" x14ac:dyDescent="0.35">
      <c r="A1905" s="339" t="s">
        <v>105</v>
      </c>
      <c r="B1905" s="331">
        <v>44195</v>
      </c>
      <c r="C1905" s="332" t="s">
        <v>874</v>
      </c>
      <c r="D1905" s="332" t="s">
        <v>3028</v>
      </c>
      <c r="E1905" s="332" t="s">
        <v>2590</v>
      </c>
      <c r="F1905" s="336">
        <v>200000</v>
      </c>
      <c r="G1905" s="330" t="s">
        <v>236</v>
      </c>
      <c r="H1905" s="329">
        <v>185.81204181346271</v>
      </c>
      <c r="I1905" s="338">
        <f t="shared" si="99"/>
        <v>46.453010453365678</v>
      </c>
      <c r="J1905" s="338">
        <f t="shared" si="99"/>
        <v>46.453010453365678</v>
      </c>
      <c r="K1905" s="338">
        <f t="shared" si="99"/>
        <v>46.453010453365678</v>
      </c>
      <c r="L1905" s="338">
        <f t="shared" si="99"/>
        <v>46.453010453365678</v>
      </c>
      <c r="M1905" s="339"/>
    </row>
    <row r="1906" spans="1:13" hidden="1" outlineLevel="2" x14ac:dyDescent="0.35">
      <c r="A1906" s="339" t="s">
        <v>105</v>
      </c>
      <c r="B1906" s="331">
        <v>44172</v>
      </c>
      <c r="C1906" s="332" t="s">
        <v>876</v>
      </c>
      <c r="D1906" s="332" t="s">
        <v>3029</v>
      </c>
      <c r="E1906" s="332" t="s">
        <v>2900</v>
      </c>
      <c r="F1906" s="336">
        <v>10000</v>
      </c>
      <c r="G1906" s="330" t="s">
        <v>236</v>
      </c>
      <c r="H1906" s="329">
        <v>9.2906020906731364</v>
      </c>
      <c r="I1906" s="338">
        <f t="shared" si="99"/>
        <v>2.3226505226682841</v>
      </c>
      <c r="J1906" s="338">
        <f t="shared" si="99"/>
        <v>2.3226505226682841</v>
      </c>
      <c r="K1906" s="338">
        <f t="shared" si="99"/>
        <v>2.3226505226682841</v>
      </c>
      <c r="L1906" s="338">
        <f t="shared" si="99"/>
        <v>2.3226505226682841</v>
      </c>
      <c r="M1906" s="339"/>
    </row>
    <row r="1907" spans="1:13" hidden="1" outlineLevel="2" x14ac:dyDescent="0.35">
      <c r="A1907" s="339" t="s">
        <v>105</v>
      </c>
      <c r="B1907" s="331" t="s">
        <v>3030</v>
      </c>
      <c r="C1907" s="332" t="s">
        <v>3031</v>
      </c>
      <c r="D1907" s="332" t="s">
        <v>3032</v>
      </c>
      <c r="E1907" s="332" t="s">
        <v>3033</v>
      </c>
      <c r="F1907" s="336">
        <v>3</v>
      </c>
      <c r="G1907" s="330" t="s">
        <v>56</v>
      </c>
      <c r="H1907" s="329">
        <v>3</v>
      </c>
      <c r="I1907" s="338">
        <f t="shared" si="99"/>
        <v>0.75</v>
      </c>
      <c r="J1907" s="338">
        <f t="shared" si="99"/>
        <v>0.75</v>
      </c>
      <c r="K1907" s="338">
        <f t="shared" si="99"/>
        <v>0.75</v>
      </c>
      <c r="L1907" s="338">
        <f t="shared" si="99"/>
        <v>0.75</v>
      </c>
      <c r="M1907" s="339"/>
    </row>
    <row r="1908" spans="1:13" hidden="1" outlineLevel="2" x14ac:dyDescent="0.35">
      <c r="A1908" s="339" t="s">
        <v>105</v>
      </c>
      <c r="B1908" s="331" t="s">
        <v>3034</v>
      </c>
      <c r="C1908" s="332" t="s">
        <v>3035</v>
      </c>
      <c r="D1908" s="332" t="s">
        <v>3036</v>
      </c>
      <c r="E1908" s="332" t="s">
        <v>3033</v>
      </c>
      <c r="F1908" s="336">
        <v>3</v>
      </c>
      <c r="G1908" s="330" t="s">
        <v>56</v>
      </c>
      <c r="H1908" s="329">
        <v>3</v>
      </c>
      <c r="I1908" s="338">
        <f t="shared" si="99"/>
        <v>0.75</v>
      </c>
      <c r="J1908" s="338">
        <f t="shared" si="99"/>
        <v>0.75</v>
      </c>
      <c r="K1908" s="338">
        <f t="shared" si="99"/>
        <v>0.75</v>
      </c>
      <c r="L1908" s="338">
        <f t="shared" si="99"/>
        <v>0.75</v>
      </c>
      <c r="M1908" s="339"/>
    </row>
    <row r="1909" spans="1:13" hidden="1" outlineLevel="2" x14ac:dyDescent="0.35">
      <c r="A1909" s="339" t="s">
        <v>105</v>
      </c>
      <c r="B1909" s="331" t="s">
        <v>3034</v>
      </c>
      <c r="C1909" s="332" t="s">
        <v>3037</v>
      </c>
      <c r="D1909" s="332" t="s">
        <v>3038</v>
      </c>
      <c r="E1909" s="332" t="s">
        <v>3033</v>
      </c>
      <c r="F1909" s="336">
        <v>3</v>
      </c>
      <c r="G1909" s="330" t="s">
        <v>56</v>
      </c>
      <c r="H1909" s="329">
        <v>3</v>
      </c>
      <c r="I1909" s="338">
        <f t="shared" si="99"/>
        <v>0.75</v>
      </c>
      <c r="J1909" s="338">
        <f t="shared" si="99"/>
        <v>0.75</v>
      </c>
      <c r="K1909" s="338">
        <f t="shared" si="99"/>
        <v>0.75</v>
      </c>
      <c r="L1909" s="338">
        <f t="shared" si="99"/>
        <v>0.75</v>
      </c>
      <c r="M1909" s="339"/>
    </row>
    <row r="1910" spans="1:13" hidden="1" outlineLevel="2" x14ac:dyDescent="0.35">
      <c r="A1910" s="339" t="s">
        <v>105</v>
      </c>
      <c r="B1910" s="331" t="s">
        <v>3030</v>
      </c>
      <c r="C1910" s="332" t="s">
        <v>3039</v>
      </c>
      <c r="D1910" s="332" t="s">
        <v>3032</v>
      </c>
      <c r="E1910" s="332" t="s">
        <v>3033</v>
      </c>
      <c r="F1910" s="336">
        <v>5000</v>
      </c>
      <c r="G1910" s="330" t="s">
        <v>236</v>
      </c>
      <c r="H1910" s="329">
        <v>4.6453010453365682</v>
      </c>
      <c r="I1910" s="338">
        <f t="shared" si="99"/>
        <v>1.161325261334142</v>
      </c>
      <c r="J1910" s="338">
        <f t="shared" si="99"/>
        <v>1.161325261334142</v>
      </c>
      <c r="K1910" s="338">
        <f t="shared" si="99"/>
        <v>1.161325261334142</v>
      </c>
      <c r="L1910" s="338">
        <f t="shared" si="99"/>
        <v>1.161325261334142</v>
      </c>
      <c r="M1910" s="339"/>
    </row>
    <row r="1911" spans="1:13" hidden="1" outlineLevel="2" x14ac:dyDescent="0.35">
      <c r="A1911" s="339" t="s">
        <v>105</v>
      </c>
      <c r="B1911" s="331" t="s">
        <v>3040</v>
      </c>
      <c r="C1911" s="332" t="s">
        <v>3041</v>
      </c>
      <c r="D1911" s="332" t="s">
        <v>3042</v>
      </c>
      <c r="E1911" s="332" t="s">
        <v>3043</v>
      </c>
      <c r="F1911" s="336">
        <v>129800</v>
      </c>
      <c r="G1911" s="330" t="s">
        <v>236</v>
      </c>
      <c r="H1911" s="329">
        <v>120.59201513693731</v>
      </c>
      <c r="I1911" s="338">
        <f t="shared" si="99"/>
        <v>30.148003784234326</v>
      </c>
      <c r="J1911" s="338">
        <f t="shared" si="99"/>
        <v>30.148003784234326</v>
      </c>
      <c r="K1911" s="338">
        <f t="shared" si="99"/>
        <v>30.148003784234326</v>
      </c>
      <c r="L1911" s="338">
        <f t="shared" si="99"/>
        <v>30.148003784234326</v>
      </c>
      <c r="M1911" s="339"/>
    </row>
    <row r="1912" spans="1:13" hidden="1" outlineLevel="2" x14ac:dyDescent="0.35">
      <c r="A1912" s="339" t="s">
        <v>105</v>
      </c>
      <c r="B1912" s="331">
        <v>44146</v>
      </c>
      <c r="C1912" s="332" t="s">
        <v>3044</v>
      </c>
      <c r="D1912" s="332" t="s">
        <v>3045</v>
      </c>
      <c r="E1912" s="332" t="s">
        <v>3033</v>
      </c>
      <c r="F1912" s="336">
        <v>600</v>
      </c>
      <c r="G1912" s="330" t="s">
        <v>236</v>
      </c>
      <c r="H1912" s="329">
        <v>0.55743612544038812</v>
      </c>
      <c r="I1912" s="338">
        <f t="shared" si="99"/>
        <v>0.13935903136009703</v>
      </c>
      <c r="J1912" s="338">
        <f t="shared" si="99"/>
        <v>0.13935903136009703</v>
      </c>
      <c r="K1912" s="338">
        <f t="shared" si="99"/>
        <v>0.13935903136009703</v>
      </c>
      <c r="L1912" s="338">
        <f t="shared" si="99"/>
        <v>0.13935903136009703</v>
      </c>
      <c r="M1912" s="339"/>
    </row>
    <row r="1913" spans="1:13" hidden="1" outlineLevel="2" x14ac:dyDescent="0.35">
      <c r="A1913" s="339" t="s">
        <v>105</v>
      </c>
      <c r="B1913" s="331" t="s">
        <v>3046</v>
      </c>
      <c r="C1913" s="332" t="s">
        <v>2842</v>
      </c>
      <c r="D1913" s="332" t="s">
        <v>3047</v>
      </c>
      <c r="E1913" s="332" t="s">
        <v>3033</v>
      </c>
      <c r="F1913" s="336">
        <v>5000</v>
      </c>
      <c r="G1913" s="330" t="s">
        <v>236</v>
      </c>
      <c r="H1913" s="329">
        <v>4.6453010453365682</v>
      </c>
      <c r="I1913" s="338">
        <f t="shared" si="99"/>
        <v>1.161325261334142</v>
      </c>
      <c r="J1913" s="338">
        <f t="shared" si="99"/>
        <v>1.161325261334142</v>
      </c>
      <c r="K1913" s="338">
        <f t="shared" si="99"/>
        <v>1.161325261334142</v>
      </c>
      <c r="L1913" s="338">
        <f t="shared" si="99"/>
        <v>1.161325261334142</v>
      </c>
      <c r="M1913" s="339"/>
    </row>
    <row r="1914" spans="1:13" hidden="1" outlineLevel="2" x14ac:dyDescent="0.35">
      <c r="A1914" s="339" t="s">
        <v>105</v>
      </c>
      <c r="B1914" s="331" t="s">
        <v>3046</v>
      </c>
      <c r="C1914" s="332" t="s">
        <v>3048</v>
      </c>
      <c r="D1914" s="332" t="s">
        <v>3049</v>
      </c>
      <c r="E1914" s="332" t="s">
        <v>3033</v>
      </c>
      <c r="F1914" s="336">
        <v>10000</v>
      </c>
      <c r="G1914" s="330" t="s">
        <v>236</v>
      </c>
      <c r="H1914" s="329">
        <v>9.2906020906731364</v>
      </c>
      <c r="I1914" s="338">
        <f t="shared" si="99"/>
        <v>2.3226505226682841</v>
      </c>
      <c r="J1914" s="338">
        <f t="shared" si="99"/>
        <v>2.3226505226682841</v>
      </c>
      <c r="K1914" s="338">
        <f t="shared" si="99"/>
        <v>2.3226505226682841</v>
      </c>
      <c r="L1914" s="338">
        <f t="shared" si="99"/>
        <v>2.3226505226682841</v>
      </c>
      <c r="M1914" s="339"/>
    </row>
    <row r="1915" spans="1:13" hidden="1" outlineLevel="2" x14ac:dyDescent="0.35">
      <c r="A1915" s="339" t="s">
        <v>105</v>
      </c>
      <c r="B1915" s="331" t="s">
        <v>3050</v>
      </c>
      <c r="C1915" s="332" t="s">
        <v>3051</v>
      </c>
      <c r="D1915" s="332" t="s">
        <v>3047</v>
      </c>
      <c r="E1915" s="332" t="s">
        <v>3033</v>
      </c>
      <c r="F1915" s="336">
        <v>5000</v>
      </c>
      <c r="G1915" s="330" t="s">
        <v>236</v>
      </c>
      <c r="H1915" s="329">
        <v>4.6453010453365682</v>
      </c>
      <c r="I1915" s="338">
        <f t="shared" si="99"/>
        <v>1.161325261334142</v>
      </c>
      <c r="J1915" s="338">
        <f t="shared" si="99"/>
        <v>1.161325261334142</v>
      </c>
      <c r="K1915" s="338">
        <f t="shared" si="99"/>
        <v>1.161325261334142</v>
      </c>
      <c r="L1915" s="338">
        <f t="shared" si="99"/>
        <v>1.161325261334142</v>
      </c>
      <c r="M1915" s="339"/>
    </row>
    <row r="1916" spans="1:13" hidden="1" outlineLevel="2" x14ac:dyDescent="0.35">
      <c r="A1916" s="339" t="s">
        <v>105</v>
      </c>
      <c r="B1916" s="331">
        <v>43963</v>
      </c>
      <c r="C1916" s="332" t="s">
        <v>3052</v>
      </c>
      <c r="D1916" s="332" t="s">
        <v>3053</v>
      </c>
      <c r="E1916" s="332" t="s">
        <v>3054</v>
      </c>
      <c r="F1916" s="336">
        <v>576000</v>
      </c>
      <c r="G1916" s="330" t="s">
        <v>236</v>
      </c>
      <c r="H1916" s="329">
        <v>535.13868042277261</v>
      </c>
      <c r="I1916" s="338">
        <f t="shared" si="99"/>
        <v>133.78467010569315</v>
      </c>
      <c r="J1916" s="338">
        <f t="shared" si="99"/>
        <v>133.78467010569315</v>
      </c>
      <c r="K1916" s="338">
        <f t="shared" si="99"/>
        <v>133.78467010569315</v>
      </c>
      <c r="L1916" s="338">
        <f t="shared" si="99"/>
        <v>133.78467010569315</v>
      </c>
      <c r="M1916" s="339"/>
    </row>
    <row r="1917" spans="1:13" hidden="1" outlineLevel="2" x14ac:dyDescent="0.35">
      <c r="A1917" s="339" t="s">
        <v>105</v>
      </c>
      <c r="B1917" s="331" t="s">
        <v>3034</v>
      </c>
      <c r="C1917" s="332" t="s">
        <v>3055</v>
      </c>
      <c r="D1917" s="332" t="s">
        <v>3056</v>
      </c>
      <c r="E1917" s="332" t="s">
        <v>3033</v>
      </c>
      <c r="F1917" s="336">
        <v>5000</v>
      </c>
      <c r="G1917" s="330" t="s">
        <v>236</v>
      </c>
      <c r="H1917" s="329">
        <v>4.6453010453365682</v>
      </c>
      <c r="I1917" s="338">
        <f t="shared" si="99"/>
        <v>1.161325261334142</v>
      </c>
      <c r="J1917" s="338">
        <f t="shared" si="99"/>
        <v>1.161325261334142</v>
      </c>
      <c r="K1917" s="338">
        <f t="shared" si="99"/>
        <v>1.161325261334142</v>
      </c>
      <c r="L1917" s="338">
        <f t="shared" si="99"/>
        <v>1.161325261334142</v>
      </c>
      <c r="M1917" s="339"/>
    </row>
    <row r="1918" spans="1:13" hidden="1" outlineLevel="2" x14ac:dyDescent="0.35">
      <c r="A1918" s="339" t="s">
        <v>105</v>
      </c>
      <c r="B1918" s="331">
        <v>44197</v>
      </c>
      <c r="C1918" s="332" t="s">
        <v>3057</v>
      </c>
      <c r="D1918" s="332" t="s">
        <v>3058</v>
      </c>
      <c r="E1918" s="332" t="s">
        <v>2942</v>
      </c>
      <c r="F1918" s="336">
        <v>9369</v>
      </c>
      <c r="G1918" s="330" t="s">
        <v>236</v>
      </c>
      <c r="H1918" s="329">
        <v>7.9883371881267866</v>
      </c>
      <c r="I1918" s="338">
        <f t="shared" si="99"/>
        <v>1.9970842970316967</v>
      </c>
      <c r="J1918" s="338">
        <f t="shared" si="99"/>
        <v>1.9970842970316967</v>
      </c>
      <c r="K1918" s="338">
        <f t="shared" si="99"/>
        <v>1.9970842970316967</v>
      </c>
      <c r="L1918" s="338">
        <f t="shared" si="99"/>
        <v>1.9970842970316967</v>
      </c>
      <c r="M1918" s="339"/>
    </row>
    <row r="1919" spans="1:13" hidden="1" outlineLevel="2" x14ac:dyDescent="0.35">
      <c r="A1919" s="339" t="s">
        <v>105</v>
      </c>
      <c r="B1919" s="331">
        <v>44197</v>
      </c>
      <c r="C1919" s="332" t="s">
        <v>3059</v>
      </c>
      <c r="D1919" s="332" t="s">
        <v>2951</v>
      </c>
      <c r="E1919" s="332" t="s">
        <v>2935</v>
      </c>
      <c r="F1919" s="336">
        <v>10000</v>
      </c>
      <c r="G1919" s="330" t="s">
        <v>236</v>
      </c>
      <c r="H1919" s="329">
        <v>8.5263498645819045</v>
      </c>
      <c r="I1919" s="338">
        <f t="shared" si="99"/>
        <v>2.1315874661454761</v>
      </c>
      <c r="J1919" s="338">
        <f t="shared" si="99"/>
        <v>2.1315874661454761</v>
      </c>
      <c r="K1919" s="338">
        <f t="shared" si="99"/>
        <v>2.1315874661454761</v>
      </c>
      <c r="L1919" s="338">
        <f t="shared" si="99"/>
        <v>2.1315874661454761</v>
      </c>
      <c r="M1919" s="339"/>
    </row>
    <row r="1920" spans="1:13" hidden="1" outlineLevel="2" x14ac:dyDescent="0.35">
      <c r="A1920" s="339" t="s">
        <v>105</v>
      </c>
      <c r="B1920" s="331">
        <v>44200</v>
      </c>
      <c r="C1920" s="332" t="s">
        <v>3060</v>
      </c>
      <c r="D1920" s="332" t="s">
        <v>2952</v>
      </c>
      <c r="E1920" s="332" t="s">
        <v>2935</v>
      </c>
      <c r="F1920" s="336">
        <v>50000</v>
      </c>
      <c r="G1920" s="330" t="s">
        <v>236</v>
      </c>
      <c r="H1920" s="329">
        <v>42.631749322909528</v>
      </c>
      <c r="I1920" s="338">
        <f t="shared" si="99"/>
        <v>10.657937330727382</v>
      </c>
      <c r="J1920" s="338">
        <f t="shared" si="99"/>
        <v>10.657937330727382</v>
      </c>
      <c r="K1920" s="338">
        <f t="shared" si="99"/>
        <v>10.657937330727382</v>
      </c>
      <c r="L1920" s="338">
        <f t="shared" si="99"/>
        <v>10.657937330727382</v>
      </c>
      <c r="M1920" s="339"/>
    </row>
    <row r="1921" spans="1:13" hidden="1" outlineLevel="2" x14ac:dyDescent="0.35">
      <c r="A1921" s="339" t="s">
        <v>105</v>
      </c>
      <c r="B1921" s="331">
        <v>44201</v>
      </c>
      <c r="C1921" s="332" t="s">
        <v>3061</v>
      </c>
      <c r="D1921" s="332" t="s">
        <v>3062</v>
      </c>
      <c r="E1921" s="332" t="s">
        <v>1508</v>
      </c>
      <c r="F1921" s="336">
        <v>20000</v>
      </c>
      <c r="G1921" s="330" t="s">
        <v>236</v>
      </c>
      <c r="H1921" s="329">
        <v>17.052699729163809</v>
      </c>
      <c r="I1921" s="338">
        <f t="shared" si="99"/>
        <v>4.2631749322909522</v>
      </c>
      <c r="J1921" s="338">
        <f t="shared" si="99"/>
        <v>4.2631749322909522</v>
      </c>
      <c r="K1921" s="338">
        <f t="shared" si="99"/>
        <v>4.2631749322909522</v>
      </c>
      <c r="L1921" s="338">
        <f t="shared" si="99"/>
        <v>4.2631749322909522</v>
      </c>
      <c r="M1921" s="339"/>
    </row>
    <row r="1922" spans="1:13" hidden="1" outlineLevel="2" x14ac:dyDescent="0.35">
      <c r="A1922" s="339" t="s">
        <v>105</v>
      </c>
      <c r="B1922" s="331">
        <v>44207</v>
      </c>
      <c r="C1922" s="332" t="s">
        <v>3063</v>
      </c>
      <c r="D1922" s="332" t="s">
        <v>3064</v>
      </c>
      <c r="E1922" s="332" t="s">
        <v>2900</v>
      </c>
      <c r="F1922" s="336">
        <v>10000</v>
      </c>
      <c r="G1922" s="330" t="s">
        <v>236</v>
      </c>
      <c r="H1922" s="329">
        <v>8.5263498645819045</v>
      </c>
      <c r="I1922" s="338">
        <f t="shared" si="99"/>
        <v>2.1315874661454761</v>
      </c>
      <c r="J1922" s="338">
        <f t="shared" si="99"/>
        <v>2.1315874661454761</v>
      </c>
      <c r="K1922" s="338">
        <f t="shared" si="99"/>
        <v>2.1315874661454761</v>
      </c>
      <c r="L1922" s="338">
        <f t="shared" si="99"/>
        <v>2.1315874661454761</v>
      </c>
      <c r="M1922" s="339"/>
    </row>
    <row r="1923" spans="1:13" hidden="1" outlineLevel="2" x14ac:dyDescent="0.35">
      <c r="A1923" s="339" t="s">
        <v>105</v>
      </c>
      <c r="B1923" s="331">
        <v>44211</v>
      </c>
      <c r="C1923" s="332" t="s">
        <v>3065</v>
      </c>
      <c r="D1923" s="332" t="s">
        <v>3066</v>
      </c>
      <c r="E1923" s="332" t="s">
        <v>3067</v>
      </c>
      <c r="F1923" s="336">
        <v>46400</v>
      </c>
      <c r="G1923" s="330" t="s">
        <v>236</v>
      </c>
      <c r="H1923" s="329">
        <v>39.562263371660038</v>
      </c>
      <c r="I1923" s="338">
        <f t="shared" ref="I1923:L1942" si="100">$H1923/4</f>
        <v>9.8905658429150094</v>
      </c>
      <c r="J1923" s="338">
        <f t="shared" si="100"/>
        <v>9.8905658429150094</v>
      </c>
      <c r="K1923" s="338">
        <f t="shared" si="100"/>
        <v>9.8905658429150094</v>
      </c>
      <c r="L1923" s="338">
        <f t="shared" si="100"/>
        <v>9.8905658429150094</v>
      </c>
      <c r="M1923" s="339"/>
    </row>
    <row r="1924" spans="1:13" hidden="1" outlineLevel="2" x14ac:dyDescent="0.35">
      <c r="A1924" s="339" t="s">
        <v>105</v>
      </c>
      <c r="B1924" s="331">
        <v>44214</v>
      </c>
      <c r="C1924" s="332" t="s">
        <v>3068</v>
      </c>
      <c r="D1924" s="332" t="s">
        <v>3069</v>
      </c>
      <c r="E1924" s="332" t="s">
        <v>3070</v>
      </c>
      <c r="F1924" s="336">
        <v>59000</v>
      </c>
      <c r="G1924" s="330" t="s">
        <v>236</v>
      </c>
      <c r="H1924" s="329">
        <v>50.305464201033239</v>
      </c>
      <c r="I1924" s="338">
        <f t="shared" si="100"/>
        <v>12.57636605025831</v>
      </c>
      <c r="J1924" s="338">
        <f t="shared" si="100"/>
        <v>12.57636605025831</v>
      </c>
      <c r="K1924" s="338">
        <f t="shared" si="100"/>
        <v>12.57636605025831</v>
      </c>
      <c r="L1924" s="338">
        <f t="shared" si="100"/>
        <v>12.57636605025831</v>
      </c>
      <c r="M1924" s="339"/>
    </row>
    <row r="1925" spans="1:13" hidden="1" outlineLevel="2" x14ac:dyDescent="0.35">
      <c r="A1925" s="339" t="s">
        <v>105</v>
      </c>
      <c r="B1925" s="331">
        <v>44217</v>
      </c>
      <c r="C1925" s="332" t="s">
        <v>3071</v>
      </c>
      <c r="D1925" s="332" t="s">
        <v>3072</v>
      </c>
      <c r="E1925" s="332" t="s">
        <v>2935</v>
      </c>
      <c r="F1925" s="336">
        <v>50000</v>
      </c>
      <c r="G1925" s="330" t="s">
        <v>236</v>
      </c>
      <c r="H1925" s="329">
        <v>42.631749322909528</v>
      </c>
      <c r="I1925" s="338">
        <f t="shared" si="100"/>
        <v>10.657937330727382</v>
      </c>
      <c r="J1925" s="338">
        <f t="shared" si="100"/>
        <v>10.657937330727382</v>
      </c>
      <c r="K1925" s="338">
        <f t="shared" si="100"/>
        <v>10.657937330727382</v>
      </c>
      <c r="L1925" s="338">
        <f t="shared" si="100"/>
        <v>10.657937330727382</v>
      </c>
      <c r="M1925" s="339"/>
    </row>
    <row r="1926" spans="1:13" hidden="1" outlineLevel="2" x14ac:dyDescent="0.35">
      <c r="A1926" s="339" t="s">
        <v>105</v>
      </c>
      <c r="B1926" s="331">
        <v>44229</v>
      </c>
      <c r="C1926" s="332" t="s">
        <v>3073</v>
      </c>
      <c r="D1926" s="332" t="s">
        <v>3074</v>
      </c>
      <c r="E1926" s="332" t="s">
        <v>2872</v>
      </c>
      <c r="F1926" s="336">
        <v>110000</v>
      </c>
      <c r="G1926" s="330" t="s">
        <v>236</v>
      </c>
      <c r="H1926" s="329">
        <v>93.789848510400958</v>
      </c>
      <c r="I1926" s="338">
        <f t="shared" si="100"/>
        <v>23.44746212760024</v>
      </c>
      <c r="J1926" s="338">
        <f t="shared" si="100"/>
        <v>23.44746212760024</v>
      </c>
      <c r="K1926" s="338">
        <f t="shared" si="100"/>
        <v>23.44746212760024</v>
      </c>
      <c r="L1926" s="338">
        <f t="shared" si="100"/>
        <v>23.44746212760024</v>
      </c>
      <c r="M1926" s="339"/>
    </row>
    <row r="1927" spans="1:13" hidden="1" outlineLevel="2" x14ac:dyDescent="0.35">
      <c r="A1927" s="339" t="s">
        <v>105</v>
      </c>
      <c r="B1927" s="331">
        <v>44229</v>
      </c>
      <c r="C1927" s="332" t="s">
        <v>3075</v>
      </c>
      <c r="D1927" s="332" t="s">
        <v>3076</v>
      </c>
      <c r="E1927" s="332" t="s">
        <v>2590</v>
      </c>
      <c r="F1927" s="336">
        <v>120000</v>
      </c>
      <c r="G1927" s="330" t="s">
        <v>236</v>
      </c>
      <c r="H1927" s="329">
        <v>102.31619837498286</v>
      </c>
      <c r="I1927" s="338">
        <f t="shared" si="100"/>
        <v>25.579049593745715</v>
      </c>
      <c r="J1927" s="338">
        <f t="shared" si="100"/>
        <v>25.579049593745715</v>
      </c>
      <c r="K1927" s="338">
        <f t="shared" si="100"/>
        <v>25.579049593745715</v>
      </c>
      <c r="L1927" s="338">
        <f t="shared" si="100"/>
        <v>25.579049593745715</v>
      </c>
      <c r="M1927" s="339"/>
    </row>
    <row r="1928" spans="1:13" hidden="1" outlineLevel="2" x14ac:dyDescent="0.35">
      <c r="A1928" s="339" t="s">
        <v>105</v>
      </c>
      <c r="B1928" s="331">
        <v>44229</v>
      </c>
      <c r="C1928" s="332" t="s">
        <v>3077</v>
      </c>
      <c r="D1928" s="332" t="s">
        <v>3078</v>
      </c>
      <c r="E1928" s="332" t="s">
        <v>2872</v>
      </c>
      <c r="F1928" s="336">
        <v>7000</v>
      </c>
      <c r="G1928" s="330" t="s">
        <v>236</v>
      </c>
      <c r="H1928" s="329">
        <v>5.9684449052073338</v>
      </c>
      <c r="I1928" s="338">
        <f t="shared" si="100"/>
        <v>1.4921112263018335</v>
      </c>
      <c r="J1928" s="338">
        <f t="shared" si="100"/>
        <v>1.4921112263018335</v>
      </c>
      <c r="K1928" s="338">
        <f t="shared" si="100"/>
        <v>1.4921112263018335</v>
      </c>
      <c r="L1928" s="338">
        <f t="shared" si="100"/>
        <v>1.4921112263018335</v>
      </c>
      <c r="M1928" s="339"/>
    </row>
    <row r="1929" spans="1:13" hidden="1" outlineLevel="2" x14ac:dyDescent="0.35">
      <c r="A1929" s="339" t="s">
        <v>105</v>
      </c>
      <c r="B1929" s="331">
        <v>44237</v>
      </c>
      <c r="C1929" s="332" t="s">
        <v>3079</v>
      </c>
      <c r="D1929" s="332" t="s">
        <v>3080</v>
      </c>
      <c r="E1929" s="332" t="s">
        <v>2935</v>
      </c>
      <c r="F1929" s="336">
        <v>50000</v>
      </c>
      <c r="G1929" s="330" t="s">
        <v>236</v>
      </c>
      <c r="H1929" s="329">
        <v>42.631749322909528</v>
      </c>
      <c r="I1929" s="338">
        <f t="shared" si="100"/>
        <v>10.657937330727382</v>
      </c>
      <c r="J1929" s="338">
        <f t="shared" si="100"/>
        <v>10.657937330727382</v>
      </c>
      <c r="K1929" s="338">
        <f t="shared" si="100"/>
        <v>10.657937330727382</v>
      </c>
      <c r="L1929" s="338">
        <f t="shared" si="100"/>
        <v>10.657937330727382</v>
      </c>
      <c r="M1929" s="339"/>
    </row>
    <row r="1930" spans="1:13" hidden="1" outlineLevel="2" x14ac:dyDescent="0.35">
      <c r="A1930" s="339" t="s">
        <v>105</v>
      </c>
      <c r="B1930" s="331">
        <v>44242</v>
      </c>
      <c r="C1930" s="332" t="s">
        <v>3081</v>
      </c>
      <c r="D1930" s="332" t="s">
        <v>3069</v>
      </c>
      <c r="E1930" s="332" t="s">
        <v>3082</v>
      </c>
      <c r="F1930" s="336">
        <v>13000</v>
      </c>
      <c r="G1930" s="330" t="s">
        <v>236</v>
      </c>
      <c r="H1930" s="329">
        <v>11.084254823956476</v>
      </c>
      <c r="I1930" s="338">
        <f t="shared" si="100"/>
        <v>2.771063705989119</v>
      </c>
      <c r="J1930" s="338">
        <f t="shared" si="100"/>
        <v>2.771063705989119</v>
      </c>
      <c r="K1930" s="338">
        <f t="shared" si="100"/>
        <v>2.771063705989119</v>
      </c>
      <c r="L1930" s="338">
        <f t="shared" si="100"/>
        <v>2.771063705989119</v>
      </c>
      <c r="M1930" s="339"/>
    </row>
    <row r="1931" spans="1:13" hidden="1" outlineLevel="2" x14ac:dyDescent="0.35">
      <c r="A1931" s="339" t="s">
        <v>105</v>
      </c>
      <c r="B1931" s="331">
        <v>44245</v>
      </c>
      <c r="C1931" s="332" t="s">
        <v>3083</v>
      </c>
      <c r="D1931" s="332" t="s">
        <v>3084</v>
      </c>
      <c r="E1931" s="332" t="s">
        <v>3085</v>
      </c>
      <c r="F1931" s="336">
        <v>7000</v>
      </c>
      <c r="G1931" s="330" t="s">
        <v>236</v>
      </c>
      <c r="H1931" s="329">
        <v>5.9684449052073338</v>
      </c>
      <c r="I1931" s="338">
        <f t="shared" si="100"/>
        <v>1.4921112263018335</v>
      </c>
      <c r="J1931" s="338">
        <f t="shared" si="100"/>
        <v>1.4921112263018335</v>
      </c>
      <c r="K1931" s="338">
        <f t="shared" si="100"/>
        <v>1.4921112263018335</v>
      </c>
      <c r="L1931" s="338">
        <f t="shared" si="100"/>
        <v>1.4921112263018335</v>
      </c>
      <c r="M1931" s="339"/>
    </row>
    <row r="1932" spans="1:13" hidden="1" outlineLevel="2" x14ac:dyDescent="0.35">
      <c r="A1932" s="339" t="s">
        <v>105</v>
      </c>
      <c r="B1932" s="331">
        <v>44251</v>
      </c>
      <c r="C1932" s="332" t="s">
        <v>3086</v>
      </c>
      <c r="D1932" s="332" t="s">
        <v>3087</v>
      </c>
      <c r="E1932" s="332" t="s">
        <v>3088</v>
      </c>
      <c r="F1932" s="336">
        <v>10500</v>
      </c>
      <c r="G1932" s="330" t="s">
        <v>236</v>
      </c>
      <c r="H1932" s="329">
        <v>8.9526673578110003</v>
      </c>
      <c r="I1932" s="338">
        <f t="shared" si="100"/>
        <v>2.2381668394527501</v>
      </c>
      <c r="J1932" s="338">
        <f t="shared" si="100"/>
        <v>2.2381668394527501</v>
      </c>
      <c r="K1932" s="338">
        <f t="shared" si="100"/>
        <v>2.2381668394527501</v>
      </c>
      <c r="L1932" s="338">
        <f t="shared" si="100"/>
        <v>2.2381668394527501</v>
      </c>
      <c r="M1932" s="339"/>
    </row>
    <row r="1933" spans="1:13" hidden="1" outlineLevel="2" x14ac:dyDescent="0.35">
      <c r="A1933" s="339" t="s">
        <v>105</v>
      </c>
      <c r="B1933" s="331">
        <v>44256</v>
      </c>
      <c r="C1933" s="332" t="s">
        <v>3089</v>
      </c>
      <c r="D1933" s="332" t="s">
        <v>3090</v>
      </c>
      <c r="E1933" s="332" t="s">
        <v>2872</v>
      </c>
      <c r="F1933" s="336">
        <v>110000</v>
      </c>
      <c r="G1933" s="330" t="s">
        <v>236</v>
      </c>
      <c r="H1933" s="329">
        <v>93.789848510400958</v>
      </c>
      <c r="I1933" s="338">
        <f t="shared" si="100"/>
        <v>23.44746212760024</v>
      </c>
      <c r="J1933" s="338">
        <f t="shared" si="100"/>
        <v>23.44746212760024</v>
      </c>
      <c r="K1933" s="338">
        <f t="shared" si="100"/>
        <v>23.44746212760024</v>
      </c>
      <c r="L1933" s="338">
        <f t="shared" si="100"/>
        <v>23.44746212760024</v>
      </c>
      <c r="M1933" s="339"/>
    </row>
    <row r="1934" spans="1:13" hidden="1" outlineLevel="2" x14ac:dyDescent="0.35">
      <c r="A1934" s="339" t="s">
        <v>105</v>
      </c>
      <c r="B1934" s="331">
        <v>44256</v>
      </c>
      <c r="C1934" s="332" t="s">
        <v>3091</v>
      </c>
      <c r="D1934" s="332" t="s">
        <v>3092</v>
      </c>
      <c r="E1934" s="332" t="s">
        <v>2590</v>
      </c>
      <c r="F1934" s="336">
        <v>120000</v>
      </c>
      <c r="G1934" s="330" t="s">
        <v>236</v>
      </c>
      <c r="H1934" s="329">
        <v>102.31619837498286</v>
      </c>
      <c r="I1934" s="338">
        <f t="shared" si="100"/>
        <v>25.579049593745715</v>
      </c>
      <c r="J1934" s="338">
        <f t="shared" si="100"/>
        <v>25.579049593745715</v>
      </c>
      <c r="K1934" s="338">
        <f t="shared" si="100"/>
        <v>25.579049593745715</v>
      </c>
      <c r="L1934" s="338">
        <f t="shared" si="100"/>
        <v>25.579049593745715</v>
      </c>
      <c r="M1934" s="339"/>
    </row>
    <row r="1935" spans="1:13" hidden="1" outlineLevel="2" x14ac:dyDescent="0.35">
      <c r="A1935" s="339" t="s">
        <v>105</v>
      </c>
      <c r="B1935" s="331">
        <v>44257</v>
      </c>
      <c r="C1935" s="332" t="s">
        <v>3093</v>
      </c>
      <c r="D1935" s="332" t="s">
        <v>3087</v>
      </c>
      <c r="E1935" s="332" t="s">
        <v>3088</v>
      </c>
      <c r="F1935" s="336">
        <v>14000</v>
      </c>
      <c r="G1935" s="330" t="s">
        <v>236</v>
      </c>
      <c r="H1935" s="329">
        <v>11.936889810414668</v>
      </c>
      <c r="I1935" s="338">
        <f t="shared" si="100"/>
        <v>2.9842224526036669</v>
      </c>
      <c r="J1935" s="338">
        <f t="shared" si="100"/>
        <v>2.9842224526036669</v>
      </c>
      <c r="K1935" s="338">
        <f t="shared" si="100"/>
        <v>2.9842224526036669</v>
      </c>
      <c r="L1935" s="338">
        <f t="shared" si="100"/>
        <v>2.9842224526036669</v>
      </c>
      <c r="M1935" s="339"/>
    </row>
    <row r="1936" spans="1:13" hidden="1" outlineLevel="2" x14ac:dyDescent="0.35">
      <c r="A1936" s="339" t="s">
        <v>105</v>
      </c>
      <c r="B1936" s="331">
        <v>44261</v>
      </c>
      <c r="C1936" s="332" t="s">
        <v>3094</v>
      </c>
      <c r="D1936" s="332" t="s">
        <v>3095</v>
      </c>
      <c r="E1936" s="332" t="s">
        <v>2935</v>
      </c>
      <c r="F1936" s="336">
        <v>50000</v>
      </c>
      <c r="G1936" s="330" t="s">
        <v>236</v>
      </c>
      <c r="H1936" s="329">
        <v>42.631749322909528</v>
      </c>
      <c r="I1936" s="338">
        <f t="shared" si="100"/>
        <v>10.657937330727382</v>
      </c>
      <c r="J1936" s="338">
        <f t="shared" si="100"/>
        <v>10.657937330727382</v>
      </c>
      <c r="K1936" s="338">
        <f t="shared" si="100"/>
        <v>10.657937330727382</v>
      </c>
      <c r="L1936" s="338">
        <f t="shared" si="100"/>
        <v>10.657937330727382</v>
      </c>
      <c r="M1936" s="339"/>
    </row>
    <row r="1937" spans="1:13" hidden="1" outlineLevel="2" x14ac:dyDescent="0.35">
      <c r="A1937" s="339" t="s">
        <v>105</v>
      </c>
      <c r="B1937" s="331">
        <v>44267</v>
      </c>
      <c r="C1937" s="332" t="s">
        <v>3096</v>
      </c>
      <c r="D1937" s="332" t="s">
        <v>3097</v>
      </c>
      <c r="E1937" s="332" t="s">
        <v>2942</v>
      </c>
      <c r="F1937" s="336">
        <v>98302</v>
      </c>
      <c r="G1937" s="330" t="s">
        <v>236</v>
      </c>
      <c r="H1937" s="329">
        <v>83.815724438813035</v>
      </c>
      <c r="I1937" s="338">
        <f t="shared" si="100"/>
        <v>20.953931109703259</v>
      </c>
      <c r="J1937" s="338">
        <f t="shared" si="100"/>
        <v>20.953931109703259</v>
      </c>
      <c r="K1937" s="338">
        <f t="shared" si="100"/>
        <v>20.953931109703259</v>
      </c>
      <c r="L1937" s="338">
        <f t="shared" si="100"/>
        <v>20.953931109703259</v>
      </c>
      <c r="M1937" s="339"/>
    </row>
    <row r="1938" spans="1:13" hidden="1" outlineLevel="2" x14ac:dyDescent="0.35">
      <c r="A1938" s="339" t="s">
        <v>105</v>
      </c>
      <c r="B1938" s="331">
        <v>44280</v>
      </c>
      <c r="C1938" s="332" t="s">
        <v>3098</v>
      </c>
      <c r="D1938" s="332" t="s">
        <v>3099</v>
      </c>
      <c r="E1938" s="332" t="s">
        <v>2900</v>
      </c>
      <c r="F1938" s="336">
        <v>10000</v>
      </c>
      <c r="G1938" s="330" t="s">
        <v>236</v>
      </c>
      <c r="H1938" s="329">
        <v>8.5263498645819045</v>
      </c>
      <c r="I1938" s="338">
        <f t="shared" si="100"/>
        <v>2.1315874661454761</v>
      </c>
      <c r="J1938" s="338">
        <f t="shared" si="100"/>
        <v>2.1315874661454761</v>
      </c>
      <c r="K1938" s="338">
        <f t="shared" si="100"/>
        <v>2.1315874661454761</v>
      </c>
      <c r="L1938" s="338">
        <f t="shared" si="100"/>
        <v>2.1315874661454761</v>
      </c>
      <c r="M1938" s="339"/>
    </row>
    <row r="1939" spans="1:13" hidden="1" outlineLevel="2" x14ac:dyDescent="0.35">
      <c r="A1939" s="339" t="s">
        <v>105</v>
      </c>
      <c r="B1939" s="331">
        <v>44282</v>
      </c>
      <c r="C1939" s="332" t="s">
        <v>3100</v>
      </c>
      <c r="D1939" s="332" t="s">
        <v>3101</v>
      </c>
      <c r="E1939" s="332" t="s">
        <v>2935</v>
      </c>
      <c r="F1939" s="336">
        <v>50000</v>
      </c>
      <c r="G1939" s="330" t="s">
        <v>236</v>
      </c>
      <c r="H1939" s="329">
        <v>42.631749322909528</v>
      </c>
      <c r="I1939" s="338">
        <f t="shared" si="100"/>
        <v>10.657937330727382</v>
      </c>
      <c r="J1939" s="338">
        <f t="shared" si="100"/>
        <v>10.657937330727382</v>
      </c>
      <c r="K1939" s="338">
        <f t="shared" si="100"/>
        <v>10.657937330727382</v>
      </c>
      <c r="L1939" s="338">
        <f t="shared" si="100"/>
        <v>10.657937330727382</v>
      </c>
      <c r="M1939" s="339"/>
    </row>
    <row r="1940" spans="1:13" hidden="1" outlineLevel="2" x14ac:dyDescent="0.35">
      <c r="A1940" s="339" t="s">
        <v>105</v>
      </c>
      <c r="B1940" s="331">
        <v>44284</v>
      </c>
      <c r="C1940" s="332" t="s">
        <v>3102</v>
      </c>
      <c r="D1940" s="332" t="s">
        <v>3103</v>
      </c>
      <c r="E1940" s="332" t="s">
        <v>3104</v>
      </c>
      <c r="F1940" s="336">
        <v>8400</v>
      </c>
      <c r="G1940" s="330" t="s">
        <v>236</v>
      </c>
      <c r="H1940" s="329">
        <v>7.1621338862488004</v>
      </c>
      <c r="I1940" s="338">
        <f t="shared" si="100"/>
        <v>1.7905334715622001</v>
      </c>
      <c r="J1940" s="338">
        <f t="shared" si="100"/>
        <v>1.7905334715622001</v>
      </c>
      <c r="K1940" s="338">
        <f t="shared" si="100"/>
        <v>1.7905334715622001</v>
      </c>
      <c r="L1940" s="338">
        <f t="shared" si="100"/>
        <v>1.7905334715622001</v>
      </c>
      <c r="M1940" s="339"/>
    </row>
    <row r="1941" spans="1:13" hidden="1" outlineLevel="2" x14ac:dyDescent="0.35">
      <c r="A1941" s="339" t="s">
        <v>105</v>
      </c>
      <c r="B1941" s="331">
        <v>44288</v>
      </c>
      <c r="C1941" s="332" t="s">
        <v>2848</v>
      </c>
      <c r="D1941" s="332" t="s">
        <v>3105</v>
      </c>
      <c r="E1941" s="332" t="s">
        <v>2872</v>
      </c>
      <c r="F1941" s="336">
        <v>110000</v>
      </c>
      <c r="G1941" s="330" t="s">
        <v>236</v>
      </c>
      <c r="H1941" s="329">
        <v>93.789848510400958</v>
      </c>
      <c r="I1941" s="338">
        <f t="shared" si="100"/>
        <v>23.44746212760024</v>
      </c>
      <c r="J1941" s="338">
        <f t="shared" si="100"/>
        <v>23.44746212760024</v>
      </c>
      <c r="K1941" s="338">
        <f t="shared" si="100"/>
        <v>23.44746212760024</v>
      </c>
      <c r="L1941" s="338">
        <f t="shared" si="100"/>
        <v>23.44746212760024</v>
      </c>
      <c r="M1941" s="339"/>
    </row>
    <row r="1942" spans="1:13" hidden="1" outlineLevel="2" x14ac:dyDescent="0.35">
      <c r="A1942" s="339" t="s">
        <v>105</v>
      </c>
      <c r="B1942" s="331">
        <v>44288</v>
      </c>
      <c r="C1942" s="332" t="s">
        <v>2938</v>
      </c>
      <c r="D1942" s="332" t="s">
        <v>3106</v>
      </c>
      <c r="E1942" s="332" t="s">
        <v>2590</v>
      </c>
      <c r="F1942" s="336">
        <v>120000</v>
      </c>
      <c r="G1942" s="330" t="s">
        <v>236</v>
      </c>
      <c r="H1942" s="329">
        <v>102.31619837498286</v>
      </c>
      <c r="I1942" s="338">
        <f t="shared" si="100"/>
        <v>25.579049593745715</v>
      </c>
      <c r="J1942" s="338">
        <f t="shared" si="100"/>
        <v>25.579049593745715</v>
      </c>
      <c r="K1942" s="338">
        <f t="shared" si="100"/>
        <v>25.579049593745715</v>
      </c>
      <c r="L1942" s="338">
        <f t="shared" si="100"/>
        <v>25.579049593745715</v>
      </c>
      <c r="M1942" s="339"/>
    </row>
    <row r="1943" spans="1:13" hidden="1" outlineLevel="2" x14ac:dyDescent="0.35">
      <c r="A1943" s="339" t="s">
        <v>105</v>
      </c>
      <c r="B1943" s="331">
        <v>44299</v>
      </c>
      <c r="C1943" s="332" t="s">
        <v>2913</v>
      </c>
      <c r="D1943" s="332" t="s">
        <v>3069</v>
      </c>
      <c r="E1943" s="332" t="s">
        <v>3082</v>
      </c>
      <c r="F1943" s="336">
        <v>13800</v>
      </c>
      <c r="G1943" s="330" t="s">
        <v>236</v>
      </c>
      <c r="H1943" s="329">
        <v>11.766362813123029</v>
      </c>
      <c r="I1943" s="338">
        <f t="shared" ref="I1943:L1962" si="101">$H1943/4</f>
        <v>2.9415907032807573</v>
      </c>
      <c r="J1943" s="338">
        <f t="shared" si="101"/>
        <v>2.9415907032807573</v>
      </c>
      <c r="K1943" s="338">
        <f t="shared" si="101"/>
        <v>2.9415907032807573</v>
      </c>
      <c r="L1943" s="338">
        <f t="shared" si="101"/>
        <v>2.9415907032807573</v>
      </c>
      <c r="M1943" s="339"/>
    </row>
    <row r="1944" spans="1:13" hidden="1" outlineLevel="2" x14ac:dyDescent="0.35">
      <c r="A1944" s="339" t="s">
        <v>105</v>
      </c>
      <c r="B1944" s="331">
        <v>44302</v>
      </c>
      <c r="C1944" s="332" t="s">
        <v>2970</v>
      </c>
      <c r="D1944" s="332" t="s">
        <v>3107</v>
      </c>
      <c r="E1944" s="332" t="s">
        <v>3108</v>
      </c>
      <c r="F1944" s="336">
        <v>2000</v>
      </c>
      <c r="G1944" s="330" t="s">
        <v>236</v>
      </c>
      <c r="H1944" s="329">
        <v>1.7052699729163809</v>
      </c>
      <c r="I1944" s="338">
        <f t="shared" si="101"/>
        <v>0.42631749322909523</v>
      </c>
      <c r="J1944" s="338">
        <f t="shared" si="101"/>
        <v>0.42631749322909523</v>
      </c>
      <c r="K1944" s="338">
        <f t="shared" si="101"/>
        <v>0.42631749322909523</v>
      </c>
      <c r="L1944" s="338">
        <f t="shared" si="101"/>
        <v>0.42631749322909523</v>
      </c>
      <c r="M1944" s="339"/>
    </row>
    <row r="1945" spans="1:13" hidden="1" outlineLevel="2" x14ac:dyDescent="0.35">
      <c r="A1945" s="339" t="s">
        <v>105</v>
      </c>
      <c r="B1945" s="331">
        <v>44304</v>
      </c>
      <c r="C1945" s="332" t="s">
        <v>3109</v>
      </c>
      <c r="D1945" s="332" t="s">
        <v>3110</v>
      </c>
      <c r="E1945" s="332" t="s">
        <v>2935</v>
      </c>
      <c r="F1945" s="336">
        <v>50000</v>
      </c>
      <c r="G1945" s="330" t="s">
        <v>236</v>
      </c>
      <c r="H1945" s="329">
        <v>42.631749322909528</v>
      </c>
      <c r="I1945" s="338">
        <f t="shared" si="101"/>
        <v>10.657937330727382</v>
      </c>
      <c r="J1945" s="338">
        <f t="shared" si="101"/>
        <v>10.657937330727382</v>
      </c>
      <c r="K1945" s="338">
        <f t="shared" si="101"/>
        <v>10.657937330727382</v>
      </c>
      <c r="L1945" s="338">
        <f t="shared" si="101"/>
        <v>10.657937330727382</v>
      </c>
      <c r="M1945" s="339"/>
    </row>
    <row r="1946" spans="1:13" hidden="1" outlineLevel="2" x14ac:dyDescent="0.35">
      <c r="A1946" s="339" t="s">
        <v>105</v>
      </c>
      <c r="B1946" s="331">
        <v>44502</v>
      </c>
      <c r="C1946" s="332" t="s">
        <v>3111</v>
      </c>
      <c r="D1946" s="332" t="s">
        <v>3112</v>
      </c>
      <c r="E1946" s="332" t="s">
        <v>2872</v>
      </c>
      <c r="F1946" s="336">
        <v>110000</v>
      </c>
      <c r="G1946" s="330" t="s">
        <v>236</v>
      </c>
      <c r="H1946" s="329">
        <v>93.789848510400958</v>
      </c>
      <c r="I1946" s="338">
        <f t="shared" si="101"/>
        <v>23.44746212760024</v>
      </c>
      <c r="J1946" s="338">
        <f t="shared" si="101"/>
        <v>23.44746212760024</v>
      </c>
      <c r="K1946" s="338">
        <f t="shared" si="101"/>
        <v>23.44746212760024</v>
      </c>
      <c r="L1946" s="338">
        <f t="shared" si="101"/>
        <v>23.44746212760024</v>
      </c>
      <c r="M1946" s="339"/>
    </row>
    <row r="1947" spans="1:13" hidden="1" outlineLevel="2" x14ac:dyDescent="0.35">
      <c r="A1947" s="339" t="s">
        <v>105</v>
      </c>
      <c r="B1947" s="331">
        <v>44502</v>
      </c>
      <c r="C1947" s="332" t="s">
        <v>3113</v>
      </c>
      <c r="D1947" s="332" t="s">
        <v>3114</v>
      </c>
      <c r="E1947" s="332" t="s">
        <v>2590</v>
      </c>
      <c r="F1947" s="336">
        <v>120000</v>
      </c>
      <c r="G1947" s="330" t="s">
        <v>236</v>
      </c>
      <c r="H1947" s="329">
        <v>102.31619837498286</v>
      </c>
      <c r="I1947" s="338">
        <f t="shared" si="101"/>
        <v>25.579049593745715</v>
      </c>
      <c r="J1947" s="338">
        <f t="shared" si="101"/>
        <v>25.579049593745715</v>
      </c>
      <c r="K1947" s="338">
        <f t="shared" si="101"/>
        <v>25.579049593745715</v>
      </c>
      <c r="L1947" s="338">
        <f t="shared" si="101"/>
        <v>25.579049593745715</v>
      </c>
      <c r="M1947" s="339"/>
    </row>
    <row r="1948" spans="1:13" hidden="1" outlineLevel="2" x14ac:dyDescent="0.35">
      <c r="A1948" s="339" t="s">
        <v>105</v>
      </c>
      <c r="B1948" s="331">
        <v>44503</v>
      </c>
      <c r="C1948" s="332" t="s">
        <v>3115</v>
      </c>
      <c r="D1948" s="332" t="s">
        <v>3116</v>
      </c>
      <c r="E1948" s="332" t="s">
        <v>3117</v>
      </c>
      <c r="F1948" s="336">
        <v>5000</v>
      </c>
      <c r="G1948" s="330" t="s">
        <v>236</v>
      </c>
      <c r="H1948" s="329">
        <v>4.2631749322909522</v>
      </c>
      <c r="I1948" s="338">
        <f t="shared" si="101"/>
        <v>1.0657937330727381</v>
      </c>
      <c r="J1948" s="338">
        <f t="shared" si="101"/>
        <v>1.0657937330727381</v>
      </c>
      <c r="K1948" s="338">
        <f t="shared" si="101"/>
        <v>1.0657937330727381</v>
      </c>
      <c r="L1948" s="338">
        <f t="shared" si="101"/>
        <v>1.0657937330727381</v>
      </c>
      <c r="M1948" s="339"/>
    </row>
    <row r="1949" spans="1:13" hidden="1" outlineLevel="2" x14ac:dyDescent="0.35">
      <c r="A1949" s="339" t="s">
        <v>105</v>
      </c>
      <c r="B1949" s="331">
        <v>44510</v>
      </c>
      <c r="C1949" s="332" t="s">
        <v>3118</v>
      </c>
      <c r="D1949" s="332" t="s">
        <v>3119</v>
      </c>
      <c r="E1949" s="332" t="s">
        <v>3120</v>
      </c>
      <c r="F1949" s="336">
        <v>5000</v>
      </c>
      <c r="G1949" s="330" t="s">
        <v>236</v>
      </c>
      <c r="H1949" s="329">
        <v>4.2631749322909522</v>
      </c>
      <c r="I1949" s="338">
        <f t="shared" si="101"/>
        <v>1.0657937330727381</v>
      </c>
      <c r="J1949" s="338">
        <f t="shared" si="101"/>
        <v>1.0657937330727381</v>
      </c>
      <c r="K1949" s="338">
        <f t="shared" si="101"/>
        <v>1.0657937330727381</v>
      </c>
      <c r="L1949" s="338">
        <f t="shared" si="101"/>
        <v>1.0657937330727381</v>
      </c>
      <c r="M1949" s="339"/>
    </row>
    <row r="1950" spans="1:13" hidden="1" outlineLevel="2" x14ac:dyDescent="0.35">
      <c r="A1950" s="339" t="s">
        <v>105</v>
      </c>
      <c r="B1950" s="331">
        <v>44510</v>
      </c>
      <c r="C1950" s="332" t="s">
        <v>3121</v>
      </c>
      <c r="D1950" s="332" t="s">
        <v>3119</v>
      </c>
      <c r="E1950" s="332" t="s">
        <v>3120</v>
      </c>
      <c r="F1950" s="336">
        <v>5000</v>
      </c>
      <c r="G1950" s="330" t="s">
        <v>236</v>
      </c>
      <c r="H1950" s="329">
        <v>4.2631749322909522</v>
      </c>
      <c r="I1950" s="338">
        <f t="shared" si="101"/>
        <v>1.0657937330727381</v>
      </c>
      <c r="J1950" s="338">
        <f t="shared" si="101"/>
        <v>1.0657937330727381</v>
      </c>
      <c r="K1950" s="338">
        <f t="shared" si="101"/>
        <v>1.0657937330727381</v>
      </c>
      <c r="L1950" s="338">
        <f t="shared" si="101"/>
        <v>1.0657937330727381</v>
      </c>
      <c r="M1950" s="339"/>
    </row>
    <row r="1951" spans="1:13" hidden="1" outlineLevel="2" x14ac:dyDescent="0.35">
      <c r="A1951" s="339" t="s">
        <v>105</v>
      </c>
      <c r="B1951" s="331">
        <v>44515</v>
      </c>
      <c r="C1951" s="332" t="s">
        <v>3122</v>
      </c>
      <c r="D1951" s="332" t="s">
        <v>3123</v>
      </c>
      <c r="E1951" s="332" t="s">
        <v>3124</v>
      </c>
      <c r="F1951" s="336">
        <v>5000</v>
      </c>
      <c r="G1951" s="330" t="s">
        <v>236</v>
      </c>
      <c r="H1951" s="329">
        <v>4.2631749322909522</v>
      </c>
      <c r="I1951" s="338">
        <f t="shared" si="101"/>
        <v>1.0657937330727381</v>
      </c>
      <c r="J1951" s="338">
        <f t="shared" si="101"/>
        <v>1.0657937330727381</v>
      </c>
      <c r="K1951" s="338">
        <f t="shared" si="101"/>
        <v>1.0657937330727381</v>
      </c>
      <c r="L1951" s="338">
        <f t="shared" si="101"/>
        <v>1.0657937330727381</v>
      </c>
      <c r="M1951" s="339"/>
    </row>
    <row r="1952" spans="1:13" hidden="1" outlineLevel="2" x14ac:dyDescent="0.35">
      <c r="A1952" s="339" t="s">
        <v>105</v>
      </c>
      <c r="B1952" s="331">
        <v>44532</v>
      </c>
      <c r="C1952" s="332" t="s">
        <v>3125</v>
      </c>
      <c r="D1952" s="332" t="s">
        <v>3126</v>
      </c>
      <c r="E1952" s="332" t="s">
        <v>2590</v>
      </c>
      <c r="F1952" s="336">
        <v>120000</v>
      </c>
      <c r="G1952" s="330" t="s">
        <v>236</v>
      </c>
      <c r="H1952" s="329">
        <v>102.31619837498286</v>
      </c>
      <c r="I1952" s="338">
        <f t="shared" si="101"/>
        <v>25.579049593745715</v>
      </c>
      <c r="J1952" s="338">
        <f t="shared" si="101"/>
        <v>25.579049593745715</v>
      </c>
      <c r="K1952" s="338">
        <f t="shared" si="101"/>
        <v>25.579049593745715</v>
      </c>
      <c r="L1952" s="338">
        <f t="shared" si="101"/>
        <v>25.579049593745715</v>
      </c>
      <c r="M1952" s="339"/>
    </row>
    <row r="1953" spans="1:13" hidden="1" outlineLevel="2" x14ac:dyDescent="0.35">
      <c r="A1953" s="339" t="s">
        <v>105</v>
      </c>
      <c r="B1953" s="331">
        <v>44533</v>
      </c>
      <c r="C1953" s="332" t="s">
        <v>3127</v>
      </c>
      <c r="D1953" s="332" t="s">
        <v>3128</v>
      </c>
      <c r="E1953" s="332" t="s">
        <v>3124</v>
      </c>
      <c r="F1953" s="336">
        <v>5000</v>
      </c>
      <c r="G1953" s="330" t="s">
        <v>236</v>
      </c>
      <c r="H1953" s="329">
        <v>4.2631749322909522</v>
      </c>
      <c r="I1953" s="338">
        <f t="shared" si="101"/>
        <v>1.0657937330727381</v>
      </c>
      <c r="J1953" s="338">
        <f t="shared" si="101"/>
        <v>1.0657937330727381</v>
      </c>
      <c r="K1953" s="338">
        <f t="shared" si="101"/>
        <v>1.0657937330727381</v>
      </c>
      <c r="L1953" s="338">
        <f t="shared" si="101"/>
        <v>1.0657937330727381</v>
      </c>
      <c r="M1953" s="339"/>
    </row>
    <row r="1954" spans="1:13" hidden="1" outlineLevel="2" x14ac:dyDescent="0.35">
      <c r="A1954" s="339" t="s">
        <v>105</v>
      </c>
      <c r="B1954" s="331">
        <v>44534</v>
      </c>
      <c r="C1954" s="332" t="s">
        <v>3129</v>
      </c>
      <c r="D1954" s="332" t="s">
        <v>3103</v>
      </c>
      <c r="E1954" s="332" t="s">
        <v>2882</v>
      </c>
      <c r="F1954" s="336">
        <v>16700</v>
      </c>
      <c r="G1954" s="330" t="s">
        <v>236</v>
      </c>
      <c r="H1954" s="329">
        <v>14.239004273851782</v>
      </c>
      <c r="I1954" s="338">
        <f t="shared" si="101"/>
        <v>3.5597510684629454</v>
      </c>
      <c r="J1954" s="338">
        <f t="shared" si="101"/>
        <v>3.5597510684629454</v>
      </c>
      <c r="K1954" s="338">
        <f t="shared" si="101"/>
        <v>3.5597510684629454</v>
      </c>
      <c r="L1954" s="338">
        <f t="shared" si="101"/>
        <v>3.5597510684629454</v>
      </c>
      <c r="M1954" s="339"/>
    </row>
    <row r="1955" spans="1:13" hidden="1" outlineLevel="2" x14ac:dyDescent="0.35">
      <c r="A1955" s="339" t="s">
        <v>105</v>
      </c>
      <c r="B1955" s="331">
        <v>44534</v>
      </c>
      <c r="C1955" s="332" t="s">
        <v>3130</v>
      </c>
      <c r="D1955" s="332" t="s">
        <v>3131</v>
      </c>
      <c r="E1955" s="332" t="s">
        <v>2900</v>
      </c>
      <c r="F1955" s="336">
        <v>20000</v>
      </c>
      <c r="G1955" s="330" t="s">
        <v>236</v>
      </c>
      <c r="H1955" s="329">
        <v>17.052699729163809</v>
      </c>
      <c r="I1955" s="338">
        <f t="shared" si="101"/>
        <v>4.2631749322909522</v>
      </c>
      <c r="J1955" s="338">
        <f t="shared" si="101"/>
        <v>4.2631749322909522</v>
      </c>
      <c r="K1955" s="338">
        <f t="shared" si="101"/>
        <v>4.2631749322909522</v>
      </c>
      <c r="L1955" s="338">
        <f t="shared" si="101"/>
        <v>4.2631749322909522</v>
      </c>
      <c r="M1955" s="339"/>
    </row>
    <row r="1956" spans="1:13" hidden="1" outlineLevel="2" x14ac:dyDescent="0.35">
      <c r="A1956" s="339" t="s">
        <v>105</v>
      </c>
      <c r="B1956" s="331">
        <v>44534</v>
      </c>
      <c r="C1956" s="332" t="s">
        <v>3132</v>
      </c>
      <c r="D1956" s="332" t="s">
        <v>3133</v>
      </c>
      <c r="E1956" s="332" t="s">
        <v>2872</v>
      </c>
      <c r="F1956" s="336">
        <v>110000</v>
      </c>
      <c r="G1956" s="330" t="s">
        <v>236</v>
      </c>
      <c r="H1956" s="329">
        <v>93.789848510400958</v>
      </c>
      <c r="I1956" s="338">
        <f t="shared" si="101"/>
        <v>23.44746212760024</v>
      </c>
      <c r="J1956" s="338">
        <f t="shared" si="101"/>
        <v>23.44746212760024</v>
      </c>
      <c r="K1956" s="338">
        <f t="shared" si="101"/>
        <v>23.44746212760024</v>
      </c>
      <c r="L1956" s="338">
        <f t="shared" si="101"/>
        <v>23.44746212760024</v>
      </c>
      <c r="M1956" s="339"/>
    </row>
    <row r="1957" spans="1:13" hidden="1" outlineLevel="2" x14ac:dyDescent="0.35">
      <c r="A1957" s="339" t="s">
        <v>105</v>
      </c>
      <c r="B1957" s="331">
        <v>44225</v>
      </c>
      <c r="C1957" s="332" t="s">
        <v>3039</v>
      </c>
      <c r="D1957" s="332" t="s">
        <v>3134</v>
      </c>
      <c r="E1957" s="332" t="s">
        <v>3033</v>
      </c>
      <c r="F1957" s="336">
        <v>5000</v>
      </c>
      <c r="G1957" s="330" t="s">
        <v>236</v>
      </c>
      <c r="H1957" s="329">
        <v>4.2631749322909522</v>
      </c>
      <c r="I1957" s="338">
        <f t="shared" si="101"/>
        <v>1.0657937330727381</v>
      </c>
      <c r="J1957" s="338">
        <f t="shared" si="101"/>
        <v>1.0657937330727381</v>
      </c>
      <c r="K1957" s="338">
        <f t="shared" si="101"/>
        <v>1.0657937330727381</v>
      </c>
      <c r="L1957" s="338">
        <f t="shared" si="101"/>
        <v>1.0657937330727381</v>
      </c>
      <c r="M1957" s="339"/>
    </row>
    <row r="1958" spans="1:13" hidden="1" outlineLevel="2" x14ac:dyDescent="0.35">
      <c r="A1958" s="339" t="s">
        <v>105</v>
      </c>
      <c r="B1958" s="331">
        <v>44201</v>
      </c>
      <c r="C1958" s="332" t="s">
        <v>3041</v>
      </c>
      <c r="D1958" s="332" t="s">
        <v>3135</v>
      </c>
      <c r="E1958" s="332" t="s">
        <v>3136</v>
      </c>
      <c r="F1958" s="336">
        <v>33800</v>
      </c>
      <c r="G1958" s="330" t="s">
        <v>236</v>
      </c>
      <c r="H1958" s="329">
        <v>28.81906254228684</v>
      </c>
      <c r="I1958" s="338">
        <f t="shared" si="101"/>
        <v>7.20476563557171</v>
      </c>
      <c r="J1958" s="338">
        <f t="shared" si="101"/>
        <v>7.20476563557171</v>
      </c>
      <c r="K1958" s="338">
        <f t="shared" si="101"/>
        <v>7.20476563557171</v>
      </c>
      <c r="L1958" s="338">
        <f t="shared" si="101"/>
        <v>7.20476563557171</v>
      </c>
      <c r="M1958" s="339"/>
    </row>
    <row r="1959" spans="1:13" hidden="1" outlineLevel="2" x14ac:dyDescent="0.35">
      <c r="A1959" s="339" t="s">
        <v>105</v>
      </c>
      <c r="B1959" s="331">
        <v>44231</v>
      </c>
      <c r="C1959" s="332" t="s">
        <v>3044</v>
      </c>
      <c r="D1959" s="332" t="s">
        <v>3137</v>
      </c>
      <c r="E1959" s="332" t="s">
        <v>3033</v>
      </c>
      <c r="F1959" s="336">
        <v>200</v>
      </c>
      <c r="G1959" s="330" t="s">
        <v>236</v>
      </c>
      <c r="H1959" s="329">
        <v>0.17052699729163809</v>
      </c>
      <c r="I1959" s="338">
        <f t="shared" si="101"/>
        <v>4.2631749322909522E-2</v>
      </c>
      <c r="J1959" s="338">
        <f t="shared" si="101"/>
        <v>4.2631749322909522E-2</v>
      </c>
      <c r="K1959" s="338">
        <f t="shared" si="101"/>
        <v>4.2631749322909522E-2</v>
      </c>
      <c r="L1959" s="338">
        <f t="shared" si="101"/>
        <v>4.2631749322909522E-2</v>
      </c>
      <c r="M1959" s="339"/>
    </row>
    <row r="1960" spans="1:13" hidden="1" outlineLevel="2" x14ac:dyDescent="0.35">
      <c r="A1960" s="339" t="s">
        <v>105</v>
      </c>
      <c r="B1960" s="331">
        <v>44253</v>
      </c>
      <c r="C1960" s="332" t="s">
        <v>3138</v>
      </c>
      <c r="D1960" s="332" t="s">
        <v>3139</v>
      </c>
      <c r="E1960" s="332" t="s">
        <v>3033</v>
      </c>
      <c r="F1960" s="336">
        <v>5000</v>
      </c>
      <c r="G1960" s="330" t="s">
        <v>236</v>
      </c>
      <c r="H1960" s="329">
        <v>4.2631749322909522</v>
      </c>
      <c r="I1960" s="338">
        <f t="shared" si="101"/>
        <v>1.0657937330727381</v>
      </c>
      <c r="J1960" s="338">
        <f t="shared" si="101"/>
        <v>1.0657937330727381</v>
      </c>
      <c r="K1960" s="338">
        <f t="shared" si="101"/>
        <v>1.0657937330727381</v>
      </c>
      <c r="L1960" s="338">
        <f t="shared" si="101"/>
        <v>1.0657937330727381</v>
      </c>
      <c r="M1960" s="339"/>
    </row>
    <row r="1961" spans="1:13" hidden="1" outlineLevel="2" x14ac:dyDescent="0.35">
      <c r="A1961" s="339" t="s">
        <v>105</v>
      </c>
      <c r="B1961" s="331">
        <v>44286</v>
      </c>
      <c r="C1961" s="332" t="s">
        <v>3140</v>
      </c>
      <c r="D1961" s="332" t="s">
        <v>3141</v>
      </c>
      <c r="E1961" s="332" t="s">
        <v>3033</v>
      </c>
      <c r="F1961" s="336">
        <v>5000</v>
      </c>
      <c r="G1961" s="330" t="s">
        <v>236</v>
      </c>
      <c r="H1961" s="329">
        <v>4.2631749322909522</v>
      </c>
      <c r="I1961" s="338">
        <f t="shared" si="101"/>
        <v>1.0657937330727381</v>
      </c>
      <c r="J1961" s="338">
        <f t="shared" si="101"/>
        <v>1.0657937330727381</v>
      </c>
      <c r="K1961" s="338">
        <f t="shared" si="101"/>
        <v>1.0657937330727381</v>
      </c>
      <c r="L1961" s="338">
        <f t="shared" si="101"/>
        <v>1.0657937330727381</v>
      </c>
      <c r="M1961" s="339"/>
    </row>
    <row r="1962" spans="1:13" hidden="1" outlineLevel="2" x14ac:dyDescent="0.35">
      <c r="A1962" s="339" t="s">
        <v>105</v>
      </c>
      <c r="B1962" s="331">
        <v>44316</v>
      </c>
      <c r="C1962" s="332" t="s">
        <v>3142</v>
      </c>
      <c r="D1962" s="332" t="s">
        <v>3143</v>
      </c>
      <c r="E1962" s="332" t="s">
        <v>3033</v>
      </c>
      <c r="F1962" s="336">
        <v>5000</v>
      </c>
      <c r="G1962" s="330" t="s">
        <v>236</v>
      </c>
      <c r="H1962" s="329">
        <v>4.2631749322909522</v>
      </c>
      <c r="I1962" s="338">
        <f t="shared" si="101"/>
        <v>1.0657937330727381</v>
      </c>
      <c r="J1962" s="338">
        <f t="shared" si="101"/>
        <v>1.0657937330727381</v>
      </c>
      <c r="K1962" s="338">
        <f t="shared" si="101"/>
        <v>1.0657937330727381</v>
      </c>
      <c r="L1962" s="338">
        <f t="shared" si="101"/>
        <v>1.0657937330727381</v>
      </c>
      <c r="M1962" s="339"/>
    </row>
    <row r="1963" spans="1:13" hidden="1" outlineLevel="2" x14ac:dyDescent="0.35">
      <c r="A1963" s="339" t="s">
        <v>105</v>
      </c>
      <c r="B1963" s="331">
        <v>44482</v>
      </c>
      <c r="C1963" s="332" t="s">
        <v>3144</v>
      </c>
      <c r="D1963" s="332" t="s">
        <v>3145</v>
      </c>
      <c r="E1963" s="332" t="s">
        <v>3146</v>
      </c>
      <c r="F1963" s="336">
        <v>1223200</v>
      </c>
      <c r="G1963" s="330" t="s">
        <v>236</v>
      </c>
      <c r="H1963" s="329">
        <v>1042.9431154356587</v>
      </c>
      <c r="I1963" s="338">
        <f t="shared" ref="I1963:L1969" si="102">$H1963/4</f>
        <v>260.73577885891467</v>
      </c>
      <c r="J1963" s="338">
        <f t="shared" si="102"/>
        <v>260.73577885891467</v>
      </c>
      <c r="K1963" s="338">
        <f t="shared" si="102"/>
        <v>260.73577885891467</v>
      </c>
      <c r="L1963" s="338">
        <f t="shared" si="102"/>
        <v>260.73577885891467</v>
      </c>
      <c r="M1963" s="339"/>
    </row>
    <row r="1964" spans="1:13" hidden="1" outlineLevel="2" x14ac:dyDescent="0.35">
      <c r="A1964" s="339" t="s">
        <v>105</v>
      </c>
      <c r="B1964" s="331">
        <v>44505</v>
      </c>
      <c r="C1964" s="332" t="s">
        <v>3147</v>
      </c>
      <c r="D1964" s="332" t="s">
        <v>3148</v>
      </c>
      <c r="E1964" s="332" t="s">
        <v>3149</v>
      </c>
      <c r="F1964" s="336">
        <v>843000</v>
      </c>
      <c r="G1964" s="330" t="s">
        <v>236</v>
      </c>
      <c r="H1964" s="329">
        <v>718.77129358425464</v>
      </c>
      <c r="I1964" s="338">
        <f t="shared" si="102"/>
        <v>179.69282339606366</v>
      </c>
      <c r="J1964" s="338">
        <f t="shared" si="102"/>
        <v>179.69282339606366</v>
      </c>
      <c r="K1964" s="338">
        <f t="shared" si="102"/>
        <v>179.69282339606366</v>
      </c>
      <c r="L1964" s="338">
        <f t="shared" si="102"/>
        <v>179.69282339606366</v>
      </c>
      <c r="M1964" s="339"/>
    </row>
    <row r="1965" spans="1:13" hidden="1" outlineLevel="2" x14ac:dyDescent="0.35">
      <c r="A1965" s="339" t="s">
        <v>105</v>
      </c>
      <c r="B1965" s="331">
        <v>44508</v>
      </c>
      <c r="C1965" s="332" t="s">
        <v>3150</v>
      </c>
      <c r="D1965" s="332" t="s">
        <v>3151</v>
      </c>
      <c r="E1965" s="332" t="s">
        <v>3033</v>
      </c>
      <c r="F1965" s="336">
        <v>10000</v>
      </c>
      <c r="G1965" s="330" t="s">
        <v>236</v>
      </c>
      <c r="H1965" s="329">
        <v>8.5263498645819045</v>
      </c>
      <c r="I1965" s="338">
        <f t="shared" si="102"/>
        <v>2.1315874661454761</v>
      </c>
      <c r="J1965" s="338">
        <f t="shared" si="102"/>
        <v>2.1315874661454761</v>
      </c>
      <c r="K1965" s="338">
        <f t="shared" si="102"/>
        <v>2.1315874661454761</v>
      </c>
      <c r="L1965" s="338">
        <f t="shared" si="102"/>
        <v>2.1315874661454761</v>
      </c>
      <c r="M1965" s="339"/>
    </row>
    <row r="1966" spans="1:13" hidden="1" outlineLevel="2" x14ac:dyDescent="0.35">
      <c r="A1966" s="339" t="s">
        <v>105</v>
      </c>
      <c r="B1966" s="331">
        <v>44508</v>
      </c>
      <c r="C1966" s="332" t="s">
        <v>3152</v>
      </c>
      <c r="D1966" s="332" t="s">
        <v>3153</v>
      </c>
      <c r="E1966" s="332" t="s">
        <v>3033</v>
      </c>
      <c r="F1966" s="336">
        <v>1800</v>
      </c>
      <c r="G1966" s="330" t="s">
        <v>236</v>
      </c>
      <c r="H1966" s="329">
        <v>1.5347429756247428</v>
      </c>
      <c r="I1966" s="338">
        <f t="shared" si="102"/>
        <v>0.38368574390618571</v>
      </c>
      <c r="J1966" s="338">
        <f t="shared" si="102"/>
        <v>0.38368574390618571</v>
      </c>
      <c r="K1966" s="338">
        <f t="shared" si="102"/>
        <v>0.38368574390618571</v>
      </c>
      <c r="L1966" s="338">
        <f t="shared" si="102"/>
        <v>0.38368574390618571</v>
      </c>
      <c r="M1966" s="339"/>
    </row>
    <row r="1967" spans="1:13" hidden="1" outlineLevel="2" x14ac:dyDescent="0.35">
      <c r="A1967" s="339" t="s">
        <v>105</v>
      </c>
      <c r="B1967" s="331">
        <v>44518</v>
      </c>
      <c r="C1967" s="332" t="s">
        <v>3154</v>
      </c>
      <c r="D1967" s="332" t="s">
        <v>3155</v>
      </c>
      <c r="E1967" s="332" t="s">
        <v>3156</v>
      </c>
      <c r="F1967" s="336">
        <v>620680</v>
      </c>
      <c r="G1967" s="330" t="s">
        <v>236</v>
      </c>
      <c r="H1967" s="329">
        <v>529.21348339486963</v>
      </c>
      <c r="I1967" s="338">
        <f t="shared" si="102"/>
        <v>132.30337084871741</v>
      </c>
      <c r="J1967" s="338">
        <f t="shared" si="102"/>
        <v>132.30337084871741</v>
      </c>
      <c r="K1967" s="338">
        <f t="shared" si="102"/>
        <v>132.30337084871741</v>
      </c>
      <c r="L1967" s="338">
        <f t="shared" si="102"/>
        <v>132.30337084871741</v>
      </c>
      <c r="M1967" s="339"/>
    </row>
    <row r="1968" spans="1:13" hidden="1" outlineLevel="2" x14ac:dyDescent="0.35">
      <c r="A1968" s="339" t="s">
        <v>105</v>
      </c>
      <c r="B1968" s="331">
        <v>44530</v>
      </c>
      <c r="C1968" s="332" t="s">
        <v>3157</v>
      </c>
      <c r="D1968" s="332" t="s">
        <v>3047</v>
      </c>
      <c r="E1968" s="332" t="s">
        <v>3033</v>
      </c>
      <c r="F1968" s="336">
        <v>5000</v>
      </c>
      <c r="G1968" s="330" t="s">
        <v>236</v>
      </c>
      <c r="H1968" s="329">
        <v>4.2631749322909522</v>
      </c>
      <c r="I1968" s="338">
        <f t="shared" si="102"/>
        <v>1.0657937330727381</v>
      </c>
      <c r="J1968" s="338">
        <f t="shared" si="102"/>
        <v>1.0657937330727381</v>
      </c>
      <c r="K1968" s="338">
        <f t="shared" si="102"/>
        <v>1.0657937330727381</v>
      </c>
      <c r="L1968" s="338">
        <f t="shared" si="102"/>
        <v>1.0657937330727381</v>
      </c>
      <c r="M1968" s="339"/>
    </row>
    <row r="1969" spans="1:13" hidden="1" outlineLevel="2" x14ac:dyDescent="0.35">
      <c r="A1969" s="339" t="s">
        <v>105</v>
      </c>
      <c r="B1969" s="331">
        <v>44561</v>
      </c>
      <c r="C1969" s="332" t="s">
        <v>3158</v>
      </c>
      <c r="D1969" s="332" t="s">
        <v>3056</v>
      </c>
      <c r="E1969" s="332" t="s">
        <v>3033</v>
      </c>
      <c r="F1969" s="336">
        <v>5000</v>
      </c>
      <c r="G1969" s="330" t="s">
        <v>236</v>
      </c>
      <c r="H1969" s="329">
        <v>4.2631749322909522</v>
      </c>
      <c r="I1969" s="338">
        <f t="shared" si="102"/>
        <v>1.0657937330727381</v>
      </c>
      <c r="J1969" s="338">
        <f t="shared" si="102"/>
        <v>1.0657937330727381</v>
      </c>
      <c r="K1969" s="338">
        <f t="shared" si="102"/>
        <v>1.0657937330727381</v>
      </c>
      <c r="L1969" s="338">
        <f t="shared" si="102"/>
        <v>1.0657937330727381</v>
      </c>
      <c r="M1969" s="339"/>
    </row>
    <row r="1970" spans="1:13" outlineLevel="1" collapsed="1" x14ac:dyDescent="0.35">
      <c r="A1970" s="343" t="s">
        <v>3159</v>
      </c>
      <c r="B1970" s="331"/>
      <c r="C1970" s="332"/>
      <c r="D1970" s="332"/>
      <c r="E1970" s="332"/>
      <c r="F1970" s="336"/>
      <c r="G1970" s="330"/>
      <c r="H1970" s="329">
        <f t="shared" ref="H1970:M1970" si="103">SUBTOTAL(9,H1683:H1969)</f>
        <v>44659.544054116566</v>
      </c>
      <c r="I1970" s="338">
        <f t="shared" si="103"/>
        <v>11164.886013529142</v>
      </c>
      <c r="J1970" s="338">
        <f t="shared" si="103"/>
        <v>11164.886013529142</v>
      </c>
      <c r="K1970" s="338">
        <f t="shared" si="103"/>
        <v>11164.886013529142</v>
      </c>
      <c r="L1970" s="338">
        <f t="shared" si="103"/>
        <v>11164.886013529142</v>
      </c>
      <c r="M1970" s="339">
        <f t="shared" si="103"/>
        <v>0</v>
      </c>
    </row>
    <row r="1971" spans="1:13" hidden="1" outlineLevel="2" x14ac:dyDescent="0.35">
      <c r="A1971" s="339" t="s">
        <v>208</v>
      </c>
      <c r="B1971" s="331">
        <v>43708</v>
      </c>
      <c r="C1971" s="332" t="s">
        <v>3160</v>
      </c>
      <c r="D1971" s="332" t="s">
        <v>3161</v>
      </c>
      <c r="E1971" s="332" t="s">
        <v>3162</v>
      </c>
      <c r="F1971" s="336">
        <v>19.12</v>
      </c>
      <c r="G1971" s="330" t="s">
        <v>56</v>
      </c>
      <c r="H1971" s="329">
        <v>19.12</v>
      </c>
      <c r="I1971" s="338">
        <f t="shared" ref="I1971:L1990" si="104">$H1971/4</f>
        <v>4.78</v>
      </c>
      <c r="J1971" s="338">
        <f t="shared" si="104"/>
        <v>4.78</v>
      </c>
      <c r="K1971" s="338">
        <f t="shared" si="104"/>
        <v>4.78</v>
      </c>
      <c r="L1971" s="338">
        <f t="shared" si="104"/>
        <v>4.78</v>
      </c>
      <c r="M1971" s="339"/>
    </row>
    <row r="1972" spans="1:13" hidden="1" outlineLevel="2" x14ac:dyDescent="0.35">
      <c r="A1972" s="339" t="s">
        <v>208</v>
      </c>
      <c r="B1972" s="331">
        <v>43738</v>
      </c>
      <c r="C1972" s="332" t="s">
        <v>3163</v>
      </c>
      <c r="D1972" s="332" t="s">
        <v>3164</v>
      </c>
      <c r="E1972" s="332" t="s">
        <v>3162</v>
      </c>
      <c r="F1972" s="336">
        <v>19.12</v>
      </c>
      <c r="G1972" s="330" t="s">
        <v>56</v>
      </c>
      <c r="H1972" s="329">
        <v>19.12</v>
      </c>
      <c r="I1972" s="338">
        <f t="shared" si="104"/>
        <v>4.78</v>
      </c>
      <c r="J1972" s="338">
        <f t="shared" si="104"/>
        <v>4.78</v>
      </c>
      <c r="K1972" s="338">
        <f t="shared" si="104"/>
        <v>4.78</v>
      </c>
      <c r="L1972" s="338">
        <f t="shared" si="104"/>
        <v>4.78</v>
      </c>
      <c r="M1972" s="339"/>
    </row>
    <row r="1973" spans="1:13" hidden="1" outlineLevel="2" x14ac:dyDescent="0.35">
      <c r="A1973" s="339" t="s">
        <v>208</v>
      </c>
      <c r="B1973" s="331">
        <v>43769</v>
      </c>
      <c r="C1973" s="332" t="s">
        <v>3165</v>
      </c>
      <c r="D1973" s="332" t="s">
        <v>3166</v>
      </c>
      <c r="E1973" s="332" t="s">
        <v>3162</v>
      </c>
      <c r="F1973" s="336">
        <v>19.12</v>
      </c>
      <c r="G1973" s="330" t="s">
        <v>56</v>
      </c>
      <c r="H1973" s="329">
        <v>19.12</v>
      </c>
      <c r="I1973" s="338">
        <f t="shared" si="104"/>
        <v>4.78</v>
      </c>
      <c r="J1973" s="338">
        <f t="shared" si="104"/>
        <v>4.78</v>
      </c>
      <c r="K1973" s="338">
        <f t="shared" si="104"/>
        <v>4.78</v>
      </c>
      <c r="L1973" s="338">
        <f t="shared" si="104"/>
        <v>4.78</v>
      </c>
      <c r="M1973" s="339"/>
    </row>
    <row r="1974" spans="1:13" hidden="1" outlineLevel="2" x14ac:dyDescent="0.35">
      <c r="A1974" s="339" t="s">
        <v>208</v>
      </c>
      <c r="B1974" s="331">
        <v>43799</v>
      </c>
      <c r="C1974" s="332" t="s">
        <v>3167</v>
      </c>
      <c r="D1974" s="332" t="s">
        <v>3168</v>
      </c>
      <c r="E1974" s="332" t="s">
        <v>3162</v>
      </c>
      <c r="F1974" s="336">
        <v>19.12</v>
      </c>
      <c r="G1974" s="330" t="s">
        <v>56</v>
      </c>
      <c r="H1974" s="329">
        <v>19.12</v>
      </c>
      <c r="I1974" s="338">
        <f t="shared" si="104"/>
        <v>4.78</v>
      </c>
      <c r="J1974" s="338">
        <f t="shared" si="104"/>
        <v>4.78</v>
      </c>
      <c r="K1974" s="338">
        <f t="shared" si="104"/>
        <v>4.78</v>
      </c>
      <c r="L1974" s="338">
        <f t="shared" si="104"/>
        <v>4.78</v>
      </c>
      <c r="M1974" s="339"/>
    </row>
    <row r="1975" spans="1:13" hidden="1" outlineLevel="2" x14ac:dyDescent="0.35">
      <c r="A1975" s="339" t="s">
        <v>208</v>
      </c>
      <c r="B1975" s="331">
        <v>43830</v>
      </c>
      <c r="C1975" s="332" t="s">
        <v>3169</v>
      </c>
      <c r="D1975" s="332" t="s">
        <v>3170</v>
      </c>
      <c r="E1975" s="332" t="s">
        <v>3162</v>
      </c>
      <c r="F1975" s="336">
        <v>19.12</v>
      </c>
      <c r="G1975" s="330" t="s">
        <v>56</v>
      </c>
      <c r="H1975" s="329">
        <v>19.12</v>
      </c>
      <c r="I1975" s="338">
        <f t="shared" si="104"/>
        <v>4.78</v>
      </c>
      <c r="J1975" s="338">
        <f t="shared" si="104"/>
        <v>4.78</v>
      </c>
      <c r="K1975" s="338">
        <f t="shared" si="104"/>
        <v>4.78</v>
      </c>
      <c r="L1975" s="338">
        <f t="shared" si="104"/>
        <v>4.78</v>
      </c>
      <c r="M1975" s="339"/>
    </row>
    <row r="1976" spans="1:13" hidden="1" outlineLevel="2" x14ac:dyDescent="0.35">
      <c r="A1976" s="339" t="s">
        <v>208</v>
      </c>
      <c r="B1976" s="331">
        <v>43861</v>
      </c>
      <c r="C1976" s="332" t="s">
        <v>3171</v>
      </c>
      <c r="D1976" s="332" t="s">
        <v>3172</v>
      </c>
      <c r="E1976" s="332" t="s">
        <v>3162</v>
      </c>
      <c r="F1976" s="336">
        <v>19.510000000000002</v>
      </c>
      <c r="G1976" s="330" t="s">
        <v>56</v>
      </c>
      <c r="H1976" s="329">
        <v>19.510000000000002</v>
      </c>
      <c r="I1976" s="338">
        <f t="shared" si="104"/>
        <v>4.8775000000000004</v>
      </c>
      <c r="J1976" s="338">
        <f t="shared" si="104"/>
        <v>4.8775000000000004</v>
      </c>
      <c r="K1976" s="338">
        <f t="shared" si="104"/>
        <v>4.8775000000000004</v>
      </c>
      <c r="L1976" s="338">
        <f t="shared" si="104"/>
        <v>4.8775000000000004</v>
      </c>
      <c r="M1976" s="339"/>
    </row>
    <row r="1977" spans="1:13" hidden="1" outlineLevel="2" x14ac:dyDescent="0.35">
      <c r="A1977" s="339" t="s">
        <v>208</v>
      </c>
      <c r="B1977" s="331">
        <v>43890</v>
      </c>
      <c r="C1977" s="332" t="s">
        <v>3173</v>
      </c>
      <c r="D1977" s="332" t="s">
        <v>3174</v>
      </c>
      <c r="E1977" s="332" t="s">
        <v>3162</v>
      </c>
      <c r="F1977" s="336">
        <v>19.510000000000002</v>
      </c>
      <c r="G1977" s="330" t="s">
        <v>56</v>
      </c>
      <c r="H1977" s="329">
        <v>19.510000000000002</v>
      </c>
      <c r="I1977" s="338">
        <f t="shared" si="104"/>
        <v>4.8775000000000004</v>
      </c>
      <c r="J1977" s="338">
        <f t="shared" si="104"/>
        <v>4.8775000000000004</v>
      </c>
      <c r="K1977" s="338">
        <f t="shared" si="104"/>
        <v>4.8775000000000004</v>
      </c>
      <c r="L1977" s="338">
        <f t="shared" si="104"/>
        <v>4.8775000000000004</v>
      </c>
      <c r="M1977" s="339"/>
    </row>
    <row r="1978" spans="1:13" hidden="1" outlineLevel="2" x14ac:dyDescent="0.35">
      <c r="A1978" s="339" t="s">
        <v>208</v>
      </c>
      <c r="B1978" s="331">
        <v>43921</v>
      </c>
      <c r="C1978" s="332" t="s">
        <v>3175</v>
      </c>
      <c r="D1978" s="332" t="s">
        <v>3176</v>
      </c>
      <c r="E1978" s="332" t="s">
        <v>3162</v>
      </c>
      <c r="F1978" s="336">
        <v>19.510000000000002</v>
      </c>
      <c r="G1978" s="330" t="s">
        <v>56</v>
      </c>
      <c r="H1978" s="329">
        <v>19.510000000000002</v>
      </c>
      <c r="I1978" s="338">
        <f t="shared" si="104"/>
        <v>4.8775000000000004</v>
      </c>
      <c r="J1978" s="338">
        <f t="shared" si="104"/>
        <v>4.8775000000000004</v>
      </c>
      <c r="K1978" s="338">
        <f t="shared" si="104"/>
        <v>4.8775000000000004</v>
      </c>
      <c r="L1978" s="338">
        <f t="shared" si="104"/>
        <v>4.8775000000000004</v>
      </c>
      <c r="M1978" s="339"/>
    </row>
    <row r="1979" spans="1:13" hidden="1" outlineLevel="2" x14ac:dyDescent="0.35">
      <c r="A1979" s="339" t="s">
        <v>208</v>
      </c>
      <c r="B1979" s="331">
        <v>43951</v>
      </c>
      <c r="C1979" s="332" t="s">
        <v>3177</v>
      </c>
      <c r="D1979" s="332" t="s">
        <v>3178</v>
      </c>
      <c r="E1979" s="332" t="s">
        <v>3162</v>
      </c>
      <c r="F1979" s="336">
        <v>19.510000000000002</v>
      </c>
      <c r="G1979" s="330" t="s">
        <v>56</v>
      </c>
      <c r="H1979" s="329">
        <v>19.510000000000002</v>
      </c>
      <c r="I1979" s="338">
        <f t="shared" si="104"/>
        <v>4.8775000000000004</v>
      </c>
      <c r="J1979" s="338">
        <f t="shared" si="104"/>
        <v>4.8775000000000004</v>
      </c>
      <c r="K1979" s="338">
        <f t="shared" si="104"/>
        <v>4.8775000000000004</v>
      </c>
      <c r="L1979" s="338">
        <f t="shared" si="104"/>
        <v>4.8775000000000004</v>
      </c>
      <c r="M1979" s="339"/>
    </row>
    <row r="1980" spans="1:13" hidden="1" outlineLevel="2" x14ac:dyDescent="0.35">
      <c r="A1980" s="339" t="s">
        <v>208</v>
      </c>
      <c r="B1980" s="331">
        <v>43982</v>
      </c>
      <c r="C1980" s="332" t="s">
        <v>3179</v>
      </c>
      <c r="D1980" s="332" t="s">
        <v>3180</v>
      </c>
      <c r="E1980" s="332" t="s">
        <v>3162</v>
      </c>
      <c r="F1980" s="336">
        <v>39.01</v>
      </c>
      <c r="G1980" s="330" t="s">
        <v>56</v>
      </c>
      <c r="H1980" s="329">
        <v>39.01</v>
      </c>
      <c r="I1980" s="338">
        <f t="shared" si="104"/>
        <v>9.7524999999999995</v>
      </c>
      <c r="J1980" s="338">
        <f t="shared" si="104"/>
        <v>9.7524999999999995</v>
      </c>
      <c r="K1980" s="338">
        <f t="shared" si="104"/>
        <v>9.7524999999999995</v>
      </c>
      <c r="L1980" s="338">
        <f t="shared" si="104"/>
        <v>9.7524999999999995</v>
      </c>
      <c r="M1980" s="339"/>
    </row>
    <row r="1981" spans="1:13" hidden="1" outlineLevel="2" x14ac:dyDescent="0.35">
      <c r="A1981" s="339" t="s">
        <v>208</v>
      </c>
      <c r="B1981" s="331">
        <v>44012</v>
      </c>
      <c r="C1981" s="332" t="s">
        <v>3181</v>
      </c>
      <c r="D1981" s="332" t="s">
        <v>3182</v>
      </c>
      <c r="E1981" s="332" t="s">
        <v>3162</v>
      </c>
      <c r="F1981" s="336">
        <v>19.510000000000002</v>
      </c>
      <c r="G1981" s="330" t="s">
        <v>56</v>
      </c>
      <c r="H1981" s="329">
        <v>19.510000000000002</v>
      </c>
      <c r="I1981" s="338">
        <f t="shared" si="104"/>
        <v>4.8775000000000004</v>
      </c>
      <c r="J1981" s="338">
        <f t="shared" si="104"/>
        <v>4.8775000000000004</v>
      </c>
      <c r="K1981" s="338">
        <f t="shared" si="104"/>
        <v>4.8775000000000004</v>
      </c>
      <c r="L1981" s="338">
        <f t="shared" si="104"/>
        <v>4.8775000000000004</v>
      </c>
      <c r="M1981" s="339"/>
    </row>
    <row r="1982" spans="1:13" hidden="1" outlineLevel="2" x14ac:dyDescent="0.35">
      <c r="A1982" s="339" t="s">
        <v>208</v>
      </c>
      <c r="B1982" s="331">
        <v>44043</v>
      </c>
      <c r="C1982" s="332" t="s">
        <v>3183</v>
      </c>
      <c r="D1982" s="332" t="s">
        <v>3184</v>
      </c>
      <c r="E1982" s="332" t="s">
        <v>3162</v>
      </c>
      <c r="F1982" s="336">
        <v>19.510000000000002</v>
      </c>
      <c r="G1982" s="330" t="s">
        <v>56</v>
      </c>
      <c r="H1982" s="329">
        <v>19.510000000000002</v>
      </c>
      <c r="I1982" s="338">
        <f t="shared" si="104"/>
        <v>4.8775000000000004</v>
      </c>
      <c r="J1982" s="338">
        <f t="shared" si="104"/>
        <v>4.8775000000000004</v>
      </c>
      <c r="K1982" s="338">
        <f t="shared" si="104"/>
        <v>4.8775000000000004</v>
      </c>
      <c r="L1982" s="338">
        <f t="shared" si="104"/>
        <v>4.8775000000000004</v>
      </c>
      <c r="M1982" s="339"/>
    </row>
    <row r="1983" spans="1:13" hidden="1" outlineLevel="2" x14ac:dyDescent="0.35">
      <c r="A1983" s="339" t="s">
        <v>208</v>
      </c>
      <c r="B1983" s="331">
        <v>44074</v>
      </c>
      <c r="C1983" s="332" t="s">
        <v>3185</v>
      </c>
      <c r="D1983" s="332" t="s">
        <v>3186</v>
      </c>
      <c r="E1983" s="332" t="s">
        <v>3162</v>
      </c>
      <c r="F1983" s="336">
        <v>19.510000000000002</v>
      </c>
      <c r="G1983" s="330" t="s">
        <v>56</v>
      </c>
      <c r="H1983" s="329">
        <v>19.510000000000002</v>
      </c>
      <c r="I1983" s="338">
        <f t="shared" si="104"/>
        <v>4.8775000000000004</v>
      </c>
      <c r="J1983" s="338">
        <f t="shared" si="104"/>
        <v>4.8775000000000004</v>
      </c>
      <c r="K1983" s="338">
        <f t="shared" si="104"/>
        <v>4.8775000000000004</v>
      </c>
      <c r="L1983" s="338">
        <f t="shared" si="104"/>
        <v>4.8775000000000004</v>
      </c>
      <c r="M1983" s="339"/>
    </row>
    <row r="1984" spans="1:13" hidden="1" outlineLevel="2" x14ac:dyDescent="0.35">
      <c r="A1984" s="339" t="s">
        <v>208</v>
      </c>
      <c r="B1984" s="331">
        <v>44074</v>
      </c>
      <c r="C1984" s="332" t="s">
        <v>3185</v>
      </c>
      <c r="D1984" s="332" t="s">
        <v>3187</v>
      </c>
      <c r="E1984" s="332" t="s">
        <v>3162</v>
      </c>
      <c r="F1984" s="336">
        <v>19.510000000000002</v>
      </c>
      <c r="G1984" s="330" t="s">
        <v>56</v>
      </c>
      <c r="H1984" s="329">
        <v>19.510000000000002</v>
      </c>
      <c r="I1984" s="338">
        <f t="shared" si="104"/>
        <v>4.8775000000000004</v>
      </c>
      <c r="J1984" s="338">
        <f t="shared" si="104"/>
        <v>4.8775000000000004</v>
      </c>
      <c r="K1984" s="338">
        <f t="shared" si="104"/>
        <v>4.8775000000000004</v>
      </c>
      <c r="L1984" s="338">
        <f t="shared" si="104"/>
        <v>4.8775000000000004</v>
      </c>
      <c r="M1984" s="339"/>
    </row>
    <row r="1985" spans="1:13" hidden="1" outlineLevel="2" x14ac:dyDescent="0.35">
      <c r="A1985" s="339" t="s">
        <v>208</v>
      </c>
      <c r="B1985" s="331">
        <v>44104</v>
      </c>
      <c r="C1985" s="332" t="s">
        <v>3188</v>
      </c>
      <c r="D1985" s="332" t="s">
        <v>3189</v>
      </c>
      <c r="E1985" s="332" t="s">
        <v>3162</v>
      </c>
      <c r="F1985" s="336">
        <v>19.510000000000002</v>
      </c>
      <c r="G1985" s="330" t="s">
        <v>56</v>
      </c>
      <c r="H1985" s="329">
        <v>19.510000000000002</v>
      </c>
      <c r="I1985" s="338">
        <f t="shared" si="104"/>
        <v>4.8775000000000004</v>
      </c>
      <c r="J1985" s="338">
        <f t="shared" si="104"/>
        <v>4.8775000000000004</v>
      </c>
      <c r="K1985" s="338">
        <f t="shared" si="104"/>
        <v>4.8775000000000004</v>
      </c>
      <c r="L1985" s="338">
        <f t="shared" si="104"/>
        <v>4.8775000000000004</v>
      </c>
      <c r="M1985" s="339"/>
    </row>
    <row r="1986" spans="1:13" hidden="1" outlineLevel="2" x14ac:dyDescent="0.35">
      <c r="A1986" s="339" t="s">
        <v>208</v>
      </c>
      <c r="B1986" s="331">
        <v>44135</v>
      </c>
      <c r="C1986" s="332" t="s">
        <v>3190</v>
      </c>
      <c r="D1986" s="332" t="s">
        <v>3191</v>
      </c>
      <c r="E1986" s="332" t="s">
        <v>3162</v>
      </c>
      <c r="F1986" s="336">
        <v>19.510000000000002</v>
      </c>
      <c r="G1986" s="330" t="s">
        <v>56</v>
      </c>
      <c r="H1986" s="329">
        <v>19.510000000000002</v>
      </c>
      <c r="I1986" s="338">
        <f t="shared" si="104"/>
        <v>4.8775000000000004</v>
      </c>
      <c r="J1986" s="338">
        <f t="shared" si="104"/>
        <v>4.8775000000000004</v>
      </c>
      <c r="K1986" s="338">
        <f t="shared" si="104"/>
        <v>4.8775000000000004</v>
      </c>
      <c r="L1986" s="338">
        <f t="shared" si="104"/>
        <v>4.8775000000000004</v>
      </c>
      <c r="M1986" s="339"/>
    </row>
    <row r="1987" spans="1:13" hidden="1" outlineLevel="2" x14ac:dyDescent="0.35">
      <c r="A1987" s="339" t="s">
        <v>208</v>
      </c>
      <c r="B1987" s="331">
        <v>44165</v>
      </c>
      <c r="C1987" s="332" t="s">
        <v>3192</v>
      </c>
      <c r="D1987" s="332" t="s">
        <v>3193</v>
      </c>
      <c r="E1987" s="332" t="s">
        <v>3162</v>
      </c>
      <c r="F1987" s="336">
        <v>19.510000000000002</v>
      </c>
      <c r="G1987" s="330" t="s">
        <v>56</v>
      </c>
      <c r="H1987" s="329">
        <v>19.510000000000002</v>
      </c>
      <c r="I1987" s="338">
        <f t="shared" si="104"/>
        <v>4.8775000000000004</v>
      </c>
      <c r="J1987" s="338">
        <f t="shared" si="104"/>
        <v>4.8775000000000004</v>
      </c>
      <c r="K1987" s="338">
        <f t="shared" si="104"/>
        <v>4.8775000000000004</v>
      </c>
      <c r="L1987" s="338">
        <f t="shared" si="104"/>
        <v>4.8775000000000004</v>
      </c>
      <c r="M1987" s="339"/>
    </row>
    <row r="1988" spans="1:13" hidden="1" outlineLevel="2" x14ac:dyDescent="0.35">
      <c r="A1988" s="339" t="s">
        <v>208</v>
      </c>
      <c r="B1988" s="331">
        <v>44196</v>
      </c>
      <c r="C1988" s="332" t="s">
        <v>3194</v>
      </c>
      <c r="D1988" s="332" t="s">
        <v>3195</v>
      </c>
      <c r="E1988" s="332" t="s">
        <v>3162</v>
      </c>
      <c r="F1988" s="336">
        <v>19.5</v>
      </c>
      <c r="G1988" s="330" t="s">
        <v>56</v>
      </c>
      <c r="H1988" s="329">
        <v>19.5</v>
      </c>
      <c r="I1988" s="338">
        <f t="shared" si="104"/>
        <v>4.875</v>
      </c>
      <c r="J1988" s="338">
        <f t="shared" si="104"/>
        <v>4.875</v>
      </c>
      <c r="K1988" s="338">
        <f t="shared" si="104"/>
        <v>4.875</v>
      </c>
      <c r="L1988" s="338">
        <f t="shared" si="104"/>
        <v>4.875</v>
      </c>
      <c r="M1988" s="339"/>
    </row>
    <row r="1989" spans="1:13" hidden="1" outlineLevel="2" x14ac:dyDescent="0.35">
      <c r="A1989" s="339" t="s">
        <v>208</v>
      </c>
      <c r="B1989" s="331">
        <v>44227</v>
      </c>
      <c r="C1989" s="332" t="s">
        <v>3196</v>
      </c>
      <c r="D1989" s="332" t="s">
        <v>3197</v>
      </c>
      <c r="E1989" s="332" t="s">
        <v>3162</v>
      </c>
      <c r="F1989" s="336">
        <v>19.88</v>
      </c>
      <c r="G1989" s="330" t="s">
        <v>56</v>
      </c>
      <c r="H1989" s="329">
        <v>19.88</v>
      </c>
      <c r="I1989" s="338">
        <f t="shared" si="104"/>
        <v>4.97</v>
      </c>
      <c r="J1989" s="338">
        <f t="shared" si="104"/>
        <v>4.97</v>
      </c>
      <c r="K1989" s="338">
        <f t="shared" si="104"/>
        <v>4.97</v>
      </c>
      <c r="L1989" s="338">
        <f t="shared" si="104"/>
        <v>4.97</v>
      </c>
      <c r="M1989" s="339"/>
    </row>
    <row r="1990" spans="1:13" hidden="1" outlineLevel="2" x14ac:dyDescent="0.35">
      <c r="A1990" s="339" t="s">
        <v>208</v>
      </c>
      <c r="B1990" s="331">
        <v>44255</v>
      </c>
      <c r="C1990" s="332" t="s">
        <v>3198</v>
      </c>
      <c r="D1990" s="332" t="s">
        <v>3199</v>
      </c>
      <c r="E1990" s="332" t="s">
        <v>3162</v>
      </c>
      <c r="F1990" s="336">
        <v>19.88</v>
      </c>
      <c r="G1990" s="330" t="s">
        <v>56</v>
      </c>
      <c r="H1990" s="329">
        <v>19.88</v>
      </c>
      <c r="I1990" s="338">
        <f t="shared" si="104"/>
        <v>4.97</v>
      </c>
      <c r="J1990" s="338">
        <f t="shared" si="104"/>
        <v>4.97</v>
      </c>
      <c r="K1990" s="338">
        <f t="shared" si="104"/>
        <v>4.97</v>
      </c>
      <c r="L1990" s="338">
        <f t="shared" si="104"/>
        <v>4.97</v>
      </c>
      <c r="M1990" s="339"/>
    </row>
    <row r="1991" spans="1:13" hidden="1" outlineLevel="2" x14ac:dyDescent="0.35">
      <c r="A1991" s="339" t="s">
        <v>208</v>
      </c>
      <c r="B1991" s="331">
        <v>44286</v>
      </c>
      <c r="C1991" s="332" t="s">
        <v>3200</v>
      </c>
      <c r="D1991" s="332" t="s">
        <v>3201</v>
      </c>
      <c r="E1991" s="332" t="s">
        <v>3162</v>
      </c>
      <c r="F1991" s="336">
        <v>19.89</v>
      </c>
      <c r="G1991" s="330" t="s">
        <v>56</v>
      </c>
      <c r="H1991" s="329">
        <v>19.89</v>
      </c>
      <c r="I1991" s="338">
        <f t="shared" ref="I1991:L2010" si="105">$H1991/4</f>
        <v>4.9725000000000001</v>
      </c>
      <c r="J1991" s="338">
        <f t="shared" si="105"/>
        <v>4.9725000000000001</v>
      </c>
      <c r="K1991" s="338">
        <f t="shared" si="105"/>
        <v>4.9725000000000001</v>
      </c>
      <c r="L1991" s="338">
        <f t="shared" si="105"/>
        <v>4.9725000000000001</v>
      </c>
      <c r="M1991" s="339"/>
    </row>
    <row r="1992" spans="1:13" hidden="1" outlineLevel="2" x14ac:dyDescent="0.35">
      <c r="A1992" s="339" t="s">
        <v>208</v>
      </c>
      <c r="B1992" s="331">
        <v>44316</v>
      </c>
      <c r="C1992" s="332" t="s">
        <v>3202</v>
      </c>
      <c r="D1992" s="332" t="s">
        <v>3203</v>
      </c>
      <c r="E1992" s="332" t="s">
        <v>3162</v>
      </c>
      <c r="F1992" s="336">
        <v>19.89</v>
      </c>
      <c r="G1992" s="330" t="s">
        <v>56</v>
      </c>
      <c r="H1992" s="329">
        <v>19.89</v>
      </c>
      <c r="I1992" s="338">
        <f t="shared" si="105"/>
        <v>4.9725000000000001</v>
      </c>
      <c r="J1992" s="338">
        <f t="shared" si="105"/>
        <v>4.9725000000000001</v>
      </c>
      <c r="K1992" s="338">
        <f t="shared" si="105"/>
        <v>4.9725000000000001</v>
      </c>
      <c r="L1992" s="338">
        <f t="shared" si="105"/>
        <v>4.9725000000000001</v>
      </c>
      <c r="M1992" s="339"/>
    </row>
    <row r="1993" spans="1:13" hidden="1" outlineLevel="2" x14ac:dyDescent="0.35">
      <c r="A1993" s="339" t="s">
        <v>208</v>
      </c>
      <c r="B1993" s="331">
        <v>44561</v>
      </c>
      <c r="C1993" s="332" t="s">
        <v>3204</v>
      </c>
      <c r="D1993" s="332" t="s">
        <v>3205</v>
      </c>
      <c r="E1993" s="332" t="s">
        <v>3162</v>
      </c>
      <c r="F1993" s="336">
        <v>19.89</v>
      </c>
      <c r="G1993" s="330" t="s">
        <v>56</v>
      </c>
      <c r="H1993" s="329">
        <v>19.89</v>
      </c>
      <c r="I1993" s="338">
        <f t="shared" si="105"/>
        <v>4.9725000000000001</v>
      </c>
      <c r="J1993" s="338">
        <f t="shared" si="105"/>
        <v>4.9725000000000001</v>
      </c>
      <c r="K1993" s="338">
        <f t="shared" si="105"/>
        <v>4.9725000000000001</v>
      </c>
      <c r="L1993" s="338">
        <f t="shared" si="105"/>
        <v>4.9725000000000001</v>
      </c>
      <c r="M1993" s="339"/>
    </row>
    <row r="1994" spans="1:13" hidden="1" outlineLevel="2" x14ac:dyDescent="0.35">
      <c r="A1994" s="339" t="s">
        <v>208</v>
      </c>
      <c r="B1994" s="331">
        <v>44561</v>
      </c>
      <c r="C1994" s="332" t="s">
        <v>3206</v>
      </c>
      <c r="D1994" s="332" t="s">
        <v>3207</v>
      </c>
      <c r="E1994" s="332" t="s">
        <v>3162</v>
      </c>
      <c r="F1994" s="336">
        <v>19.89</v>
      </c>
      <c r="G1994" s="330" t="s">
        <v>56</v>
      </c>
      <c r="H1994" s="329">
        <v>19.89</v>
      </c>
      <c r="I1994" s="338">
        <f t="shared" si="105"/>
        <v>4.9725000000000001</v>
      </c>
      <c r="J1994" s="338">
        <f t="shared" si="105"/>
        <v>4.9725000000000001</v>
      </c>
      <c r="K1994" s="338">
        <f t="shared" si="105"/>
        <v>4.9725000000000001</v>
      </c>
      <c r="L1994" s="338">
        <f t="shared" si="105"/>
        <v>4.9725000000000001</v>
      </c>
      <c r="M1994" s="339"/>
    </row>
    <row r="1995" spans="1:13" hidden="1" outlineLevel="2" x14ac:dyDescent="0.35">
      <c r="A1995" s="339" t="s">
        <v>208</v>
      </c>
      <c r="B1995" s="331">
        <v>44111</v>
      </c>
      <c r="C1995" s="332" t="s">
        <v>3208</v>
      </c>
      <c r="D1995" s="332" t="s">
        <v>3209</v>
      </c>
      <c r="E1995" s="332" t="s">
        <v>3210</v>
      </c>
      <c r="F1995" s="336">
        <v>397.75</v>
      </c>
      <c r="G1995" s="330" t="s">
        <v>56</v>
      </c>
      <c r="H1995" s="329">
        <v>397.75</v>
      </c>
      <c r="I1995" s="338">
        <f t="shared" si="105"/>
        <v>99.4375</v>
      </c>
      <c r="J1995" s="338">
        <f t="shared" si="105"/>
        <v>99.4375</v>
      </c>
      <c r="K1995" s="338">
        <f t="shared" si="105"/>
        <v>99.4375</v>
      </c>
      <c r="L1995" s="338">
        <f t="shared" si="105"/>
        <v>99.4375</v>
      </c>
      <c r="M1995" s="339"/>
    </row>
    <row r="1996" spans="1:13" hidden="1" outlineLevel="2" x14ac:dyDescent="0.35">
      <c r="A1996" s="339" t="s">
        <v>208</v>
      </c>
      <c r="B1996" s="331">
        <v>44256</v>
      </c>
      <c r="C1996" s="332" t="s">
        <v>3211</v>
      </c>
      <c r="D1996" s="332" t="s">
        <v>3212</v>
      </c>
      <c r="E1996" s="332" t="s">
        <v>3210</v>
      </c>
      <c r="F1996" s="336">
        <v>397.63</v>
      </c>
      <c r="G1996" s="330" t="s">
        <v>56</v>
      </c>
      <c r="H1996" s="329">
        <v>397.63</v>
      </c>
      <c r="I1996" s="338">
        <f t="shared" si="105"/>
        <v>99.407499999999999</v>
      </c>
      <c r="J1996" s="338">
        <f t="shared" si="105"/>
        <v>99.407499999999999</v>
      </c>
      <c r="K1996" s="338">
        <f t="shared" si="105"/>
        <v>99.407499999999999</v>
      </c>
      <c r="L1996" s="338">
        <f t="shared" si="105"/>
        <v>99.407499999999999</v>
      </c>
      <c r="M1996" s="339"/>
    </row>
    <row r="1997" spans="1:13" hidden="1" outlineLevel="2" x14ac:dyDescent="0.35">
      <c r="A1997" s="339" t="s">
        <v>208</v>
      </c>
      <c r="B1997" s="331">
        <v>43739</v>
      </c>
      <c r="C1997" s="332" t="s">
        <v>3213</v>
      </c>
      <c r="D1997" s="332" t="s">
        <v>3214</v>
      </c>
      <c r="E1997" s="332" t="s">
        <v>3210</v>
      </c>
      <c r="F1997" s="336">
        <v>396.15</v>
      </c>
      <c r="G1997" s="330" t="s">
        <v>56</v>
      </c>
      <c r="H1997" s="329">
        <v>396.15</v>
      </c>
      <c r="I1997" s="338">
        <f t="shared" si="105"/>
        <v>99.037499999999994</v>
      </c>
      <c r="J1997" s="338">
        <f t="shared" si="105"/>
        <v>99.037499999999994</v>
      </c>
      <c r="K1997" s="338">
        <f t="shared" si="105"/>
        <v>99.037499999999994</v>
      </c>
      <c r="L1997" s="338">
        <f t="shared" si="105"/>
        <v>99.037499999999994</v>
      </c>
      <c r="M1997" s="339"/>
    </row>
    <row r="1998" spans="1:13" hidden="1" outlineLevel="2" x14ac:dyDescent="0.35">
      <c r="A1998" s="339" t="s">
        <v>208</v>
      </c>
      <c r="B1998" s="331">
        <v>43830</v>
      </c>
      <c r="C1998" s="332" t="s">
        <v>3215</v>
      </c>
      <c r="D1998" s="332" t="s">
        <v>3216</v>
      </c>
      <c r="E1998" s="332" t="s">
        <v>3210</v>
      </c>
      <c r="F1998" s="336">
        <v>396.15</v>
      </c>
      <c r="G1998" s="330" t="s">
        <v>56</v>
      </c>
      <c r="H1998" s="329">
        <v>396.15</v>
      </c>
      <c r="I1998" s="338">
        <f t="shared" si="105"/>
        <v>99.037499999999994</v>
      </c>
      <c r="J1998" s="338">
        <f t="shared" si="105"/>
        <v>99.037499999999994</v>
      </c>
      <c r="K1998" s="338">
        <f t="shared" si="105"/>
        <v>99.037499999999994</v>
      </c>
      <c r="L1998" s="338">
        <f t="shared" si="105"/>
        <v>99.037499999999994</v>
      </c>
      <c r="M1998" s="339"/>
    </row>
    <row r="1999" spans="1:13" hidden="1" outlineLevel="2" x14ac:dyDescent="0.35">
      <c r="A1999" s="339" t="s">
        <v>208</v>
      </c>
      <c r="B1999" s="331">
        <v>43861</v>
      </c>
      <c r="C1999" s="332" t="s">
        <v>3217</v>
      </c>
      <c r="D1999" s="332" t="s">
        <v>3218</v>
      </c>
      <c r="E1999" s="332" t="s">
        <v>3210</v>
      </c>
      <c r="F1999" s="336">
        <v>398.12</v>
      </c>
      <c r="G1999" s="330" t="s">
        <v>56</v>
      </c>
      <c r="H1999" s="329">
        <v>398.12</v>
      </c>
      <c r="I1999" s="338">
        <f t="shared" si="105"/>
        <v>99.53</v>
      </c>
      <c r="J1999" s="338">
        <f t="shared" si="105"/>
        <v>99.53</v>
      </c>
      <c r="K1999" s="338">
        <f t="shared" si="105"/>
        <v>99.53</v>
      </c>
      <c r="L1999" s="338">
        <f t="shared" si="105"/>
        <v>99.53</v>
      </c>
      <c r="M1999" s="339"/>
    </row>
    <row r="2000" spans="1:13" hidden="1" outlineLevel="2" x14ac:dyDescent="0.35">
      <c r="A2000" s="339" t="s">
        <v>208</v>
      </c>
      <c r="B2000" s="331">
        <v>43862</v>
      </c>
      <c r="C2000" s="332" t="s">
        <v>3219</v>
      </c>
      <c r="D2000" s="332" t="s">
        <v>3220</v>
      </c>
      <c r="E2000" s="332" t="s">
        <v>3210</v>
      </c>
      <c r="F2000" s="336">
        <v>398.12</v>
      </c>
      <c r="G2000" s="330" t="s">
        <v>56</v>
      </c>
      <c r="H2000" s="329">
        <v>398.12</v>
      </c>
      <c r="I2000" s="338">
        <f t="shared" si="105"/>
        <v>99.53</v>
      </c>
      <c r="J2000" s="338">
        <f t="shared" si="105"/>
        <v>99.53</v>
      </c>
      <c r="K2000" s="338">
        <f t="shared" si="105"/>
        <v>99.53</v>
      </c>
      <c r="L2000" s="338">
        <f t="shared" si="105"/>
        <v>99.53</v>
      </c>
      <c r="M2000" s="339"/>
    </row>
    <row r="2001" spans="1:13" hidden="1" outlineLevel="2" x14ac:dyDescent="0.35">
      <c r="A2001" s="339" t="s">
        <v>208</v>
      </c>
      <c r="B2001" s="331">
        <v>43921</v>
      </c>
      <c r="C2001" s="332" t="s">
        <v>3221</v>
      </c>
      <c r="D2001" s="332" t="s">
        <v>3222</v>
      </c>
      <c r="E2001" s="332" t="s">
        <v>3210</v>
      </c>
      <c r="F2001" s="336">
        <v>398.12</v>
      </c>
      <c r="G2001" s="330" t="s">
        <v>56</v>
      </c>
      <c r="H2001" s="329">
        <v>398.12</v>
      </c>
      <c r="I2001" s="338">
        <f t="shared" si="105"/>
        <v>99.53</v>
      </c>
      <c r="J2001" s="338">
        <f t="shared" si="105"/>
        <v>99.53</v>
      </c>
      <c r="K2001" s="338">
        <f t="shared" si="105"/>
        <v>99.53</v>
      </c>
      <c r="L2001" s="338">
        <f t="shared" si="105"/>
        <v>99.53</v>
      </c>
      <c r="M2001" s="339"/>
    </row>
    <row r="2002" spans="1:13" hidden="1" outlineLevel="2" x14ac:dyDescent="0.35">
      <c r="A2002" s="339" t="s">
        <v>208</v>
      </c>
      <c r="B2002" s="331">
        <v>43800</v>
      </c>
      <c r="C2002" s="332" t="s">
        <v>3223</v>
      </c>
      <c r="D2002" s="332" t="s">
        <v>3224</v>
      </c>
      <c r="E2002" s="332" t="s">
        <v>3210</v>
      </c>
      <c r="F2002" s="336">
        <v>396.15</v>
      </c>
      <c r="G2002" s="330" t="s">
        <v>56</v>
      </c>
      <c r="H2002" s="329">
        <v>396.15</v>
      </c>
      <c r="I2002" s="338">
        <f t="shared" si="105"/>
        <v>99.037499999999994</v>
      </c>
      <c r="J2002" s="338">
        <f t="shared" si="105"/>
        <v>99.037499999999994</v>
      </c>
      <c r="K2002" s="338">
        <f t="shared" si="105"/>
        <v>99.037499999999994</v>
      </c>
      <c r="L2002" s="338">
        <f t="shared" si="105"/>
        <v>99.037499999999994</v>
      </c>
      <c r="M2002" s="339"/>
    </row>
    <row r="2003" spans="1:13" hidden="1" outlineLevel="2" x14ac:dyDescent="0.35">
      <c r="A2003" s="339" t="s">
        <v>208</v>
      </c>
      <c r="B2003" s="331">
        <v>43922</v>
      </c>
      <c r="C2003" s="332" t="s">
        <v>3225</v>
      </c>
      <c r="D2003" s="332" t="s">
        <v>3226</v>
      </c>
      <c r="E2003" s="332" t="s">
        <v>3210</v>
      </c>
      <c r="F2003" s="336">
        <v>398.12</v>
      </c>
      <c r="G2003" s="330" t="s">
        <v>56</v>
      </c>
      <c r="H2003" s="329">
        <v>398.12</v>
      </c>
      <c r="I2003" s="338">
        <f t="shared" si="105"/>
        <v>99.53</v>
      </c>
      <c r="J2003" s="338">
        <f t="shared" si="105"/>
        <v>99.53</v>
      </c>
      <c r="K2003" s="338">
        <f t="shared" si="105"/>
        <v>99.53</v>
      </c>
      <c r="L2003" s="338">
        <f t="shared" si="105"/>
        <v>99.53</v>
      </c>
      <c r="M2003" s="339"/>
    </row>
    <row r="2004" spans="1:13" hidden="1" outlineLevel="2" x14ac:dyDescent="0.35">
      <c r="A2004" s="339" t="s">
        <v>208</v>
      </c>
      <c r="B2004" s="331">
        <v>43931</v>
      </c>
      <c r="C2004" s="332" t="s">
        <v>3227</v>
      </c>
      <c r="D2004" s="332" t="s">
        <v>3228</v>
      </c>
      <c r="E2004" s="332" t="s">
        <v>3210</v>
      </c>
      <c r="F2004" s="336">
        <v>398.12</v>
      </c>
      <c r="G2004" s="330" t="s">
        <v>56</v>
      </c>
      <c r="H2004" s="329">
        <v>398.12</v>
      </c>
      <c r="I2004" s="338">
        <f t="shared" si="105"/>
        <v>99.53</v>
      </c>
      <c r="J2004" s="338">
        <f t="shared" si="105"/>
        <v>99.53</v>
      </c>
      <c r="K2004" s="338">
        <f t="shared" si="105"/>
        <v>99.53</v>
      </c>
      <c r="L2004" s="338">
        <f t="shared" si="105"/>
        <v>99.53</v>
      </c>
      <c r="M2004" s="339"/>
    </row>
    <row r="2005" spans="1:13" hidden="1" outlineLevel="2" x14ac:dyDescent="0.35">
      <c r="A2005" s="339" t="s">
        <v>208</v>
      </c>
      <c r="B2005" s="331">
        <v>43983</v>
      </c>
      <c r="C2005" s="332" t="s">
        <v>3229</v>
      </c>
      <c r="D2005" s="332" t="s">
        <v>3230</v>
      </c>
      <c r="E2005" s="332" t="s">
        <v>3210</v>
      </c>
      <c r="F2005" s="336">
        <v>398.12</v>
      </c>
      <c r="G2005" s="330" t="s">
        <v>56</v>
      </c>
      <c r="H2005" s="329">
        <v>398.12</v>
      </c>
      <c r="I2005" s="338">
        <f t="shared" si="105"/>
        <v>99.53</v>
      </c>
      <c r="J2005" s="338">
        <f t="shared" si="105"/>
        <v>99.53</v>
      </c>
      <c r="K2005" s="338">
        <f t="shared" si="105"/>
        <v>99.53</v>
      </c>
      <c r="L2005" s="338">
        <f t="shared" si="105"/>
        <v>99.53</v>
      </c>
      <c r="M2005" s="339"/>
    </row>
    <row r="2006" spans="1:13" hidden="1" outlineLevel="2" x14ac:dyDescent="0.35">
      <c r="A2006" s="339" t="s">
        <v>208</v>
      </c>
      <c r="B2006" s="331">
        <v>44013</v>
      </c>
      <c r="C2006" s="332" t="s">
        <v>3231</v>
      </c>
      <c r="D2006" s="332" t="s">
        <v>3232</v>
      </c>
      <c r="E2006" s="332" t="s">
        <v>3210</v>
      </c>
      <c r="F2006" s="336">
        <v>398.12</v>
      </c>
      <c r="G2006" s="330" t="s">
        <v>56</v>
      </c>
      <c r="H2006" s="329">
        <v>398.12</v>
      </c>
      <c r="I2006" s="338">
        <f t="shared" si="105"/>
        <v>99.53</v>
      </c>
      <c r="J2006" s="338">
        <f t="shared" si="105"/>
        <v>99.53</v>
      </c>
      <c r="K2006" s="338">
        <f t="shared" si="105"/>
        <v>99.53</v>
      </c>
      <c r="L2006" s="338">
        <f t="shared" si="105"/>
        <v>99.53</v>
      </c>
      <c r="M2006" s="339"/>
    </row>
    <row r="2007" spans="1:13" hidden="1" outlineLevel="2" x14ac:dyDescent="0.35">
      <c r="A2007" s="339" t="s">
        <v>208</v>
      </c>
      <c r="B2007" s="331">
        <v>43997</v>
      </c>
      <c r="C2007" s="332" t="s">
        <v>3233</v>
      </c>
      <c r="D2007" s="332" t="s">
        <v>3234</v>
      </c>
      <c r="E2007" s="332" t="s">
        <v>3210</v>
      </c>
      <c r="F2007" s="336">
        <v>397.75</v>
      </c>
      <c r="G2007" s="330" t="s">
        <v>56</v>
      </c>
      <c r="H2007" s="329">
        <v>397.75</v>
      </c>
      <c r="I2007" s="338">
        <f t="shared" si="105"/>
        <v>99.4375</v>
      </c>
      <c r="J2007" s="338">
        <f t="shared" si="105"/>
        <v>99.4375</v>
      </c>
      <c r="K2007" s="338">
        <f t="shared" si="105"/>
        <v>99.4375</v>
      </c>
      <c r="L2007" s="338">
        <f t="shared" si="105"/>
        <v>99.4375</v>
      </c>
      <c r="M2007" s="339"/>
    </row>
    <row r="2008" spans="1:13" hidden="1" outlineLevel="2" x14ac:dyDescent="0.35">
      <c r="A2008" s="339" t="s">
        <v>208</v>
      </c>
      <c r="B2008" s="331">
        <v>44116</v>
      </c>
      <c r="C2008" s="332" t="s">
        <v>3235</v>
      </c>
      <c r="D2008" s="332" t="s">
        <v>3236</v>
      </c>
      <c r="E2008" s="332" t="s">
        <v>3210</v>
      </c>
      <c r="F2008" s="336">
        <v>397.64</v>
      </c>
      <c r="G2008" s="330" t="s">
        <v>56</v>
      </c>
      <c r="H2008" s="329">
        <v>397.64</v>
      </c>
      <c r="I2008" s="338">
        <f t="shared" si="105"/>
        <v>99.41</v>
      </c>
      <c r="J2008" s="338">
        <f t="shared" si="105"/>
        <v>99.41</v>
      </c>
      <c r="K2008" s="338">
        <f t="shared" si="105"/>
        <v>99.41</v>
      </c>
      <c r="L2008" s="338">
        <f t="shared" si="105"/>
        <v>99.41</v>
      </c>
      <c r="M2008" s="339"/>
    </row>
    <row r="2009" spans="1:13" hidden="1" outlineLevel="2" x14ac:dyDescent="0.35">
      <c r="A2009" s="339" t="s">
        <v>208</v>
      </c>
      <c r="B2009" s="331">
        <v>44111</v>
      </c>
      <c r="C2009" s="332" t="s">
        <v>3237</v>
      </c>
      <c r="D2009" s="332" t="s">
        <v>3238</v>
      </c>
      <c r="E2009" s="332" t="s">
        <v>3210</v>
      </c>
      <c r="F2009" s="336">
        <v>397.64</v>
      </c>
      <c r="G2009" s="330" t="s">
        <v>56</v>
      </c>
      <c r="H2009" s="329">
        <v>397.64</v>
      </c>
      <c r="I2009" s="338">
        <f t="shared" si="105"/>
        <v>99.41</v>
      </c>
      <c r="J2009" s="338">
        <f t="shared" si="105"/>
        <v>99.41</v>
      </c>
      <c r="K2009" s="338">
        <f t="shared" si="105"/>
        <v>99.41</v>
      </c>
      <c r="L2009" s="338">
        <f t="shared" si="105"/>
        <v>99.41</v>
      </c>
      <c r="M2009" s="339"/>
    </row>
    <row r="2010" spans="1:13" hidden="1" outlineLevel="2" x14ac:dyDescent="0.35">
      <c r="A2010" s="339" t="s">
        <v>208</v>
      </c>
      <c r="B2010" s="331">
        <v>44025</v>
      </c>
      <c r="C2010" s="332" t="s">
        <v>3239</v>
      </c>
      <c r="D2010" s="332" t="s">
        <v>3240</v>
      </c>
      <c r="E2010" s="332" t="s">
        <v>3210</v>
      </c>
      <c r="F2010" s="336">
        <v>397.75</v>
      </c>
      <c r="G2010" s="330" t="s">
        <v>56</v>
      </c>
      <c r="H2010" s="329">
        <v>397.75</v>
      </c>
      <c r="I2010" s="338">
        <f t="shared" si="105"/>
        <v>99.4375</v>
      </c>
      <c r="J2010" s="338">
        <f t="shared" si="105"/>
        <v>99.4375</v>
      </c>
      <c r="K2010" s="338">
        <f t="shared" si="105"/>
        <v>99.4375</v>
      </c>
      <c r="L2010" s="338">
        <f t="shared" si="105"/>
        <v>99.4375</v>
      </c>
      <c r="M2010" s="339"/>
    </row>
    <row r="2011" spans="1:13" hidden="1" outlineLevel="2" x14ac:dyDescent="0.35">
      <c r="A2011" s="339" t="s">
        <v>208</v>
      </c>
      <c r="B2011" s="331">
        <v>43738</v>
      </c>
      <c r="C2011" s="332" t="s">
        <v>3241</v>
      </c>
      <c r="D2011" s="332" t="s">
        <v>3242</v>
      </c>
      <c r="E2011" s="332" t="s">
        <v>3210</v>
      </c>
      <c r="F2011" s="336">
        <v>406.15</v>
      </c>
      <c r="G2011" s="330" t="s">
        <v>56</v>
      </c>
      <c r="H2011" s="329">
        <v>406.15</v>
      </c>
      <c r="I2011" s="338">
        <f t="shared" ref="I2011:L2030" si="106">$H2011/4</f>
        <v>101.53749999999999</v>
      </c>
      <c r="J2011" s="338">
        <f t="shared" si="106"/>
        <v>101.53749999999999</v>
      </c>
      <c r="K2011" s="338">
        <f t="shared" si="106"/>
        <v>101.53749999999999</v>
      </c>
      <c r="L2011" s="338">
        <f t="shared" si="106"/>
        <v>101.53749999999999</v>
      </c>
      <c r="M2011" s="339"/>
    </row>
    <row r="2012" spans="1:13" hidden="1" outlineLevel="2" x14ac:dyDescent="0.35">
      <c r="A2012" s="339" t="s">
        <v>208</v>
      </c>
      <c r="B2012" s="331">
        <v>43738</v>
      </c>
      <c r="C2012" s="332" t="s">
        <v>3241</v>
      </c>
      <c r="D2012" s="332" t="s">
        <v>3243</v>
      </c>
      <c r="E2012" s="332" t="s">
        <v>3210</v>
      </c>
      <c r="F2012" s="336">
        <v>396.15</v>
      </c>
      <c r="G2012" s="330" t="s">
        <v>56</v>
      </c>
      <c r="H2012" s="329">
        <v>396.15</v>
      </c>
      <c r="I2012" s="338">
        <f t="shared" si="106"/>
        <v>99.037499999999994</v>
      </c>
      <c r="J2012" s="338">
        <f t="shared" si="106"/>
        <v>99.037499999999994</v>
      </c>
      <c r="K2012" s="338">
        <f t="shared" si="106"/>
        <v>99.037499999999994</v>
      </c>
      <c r="L2012" s="338">
        <f t="shared" si="106"/>
        <v>99.037499999999994</v>
      </c>
      <c r="M2012" s="339"/>
    </row>
    <row r="2013" spans="1:13" hidden="1" outlineLevel="2" x14ac:dyDescent="0.35">
      <c r="A2013" s="339" t="s">
        <v>208</v>
      </c>
      <c r="B2013" s="331">
        <v>44067</v>
      </c>
      <c r="C2013" s="332" t="s">
        <v>2193</v>
      </c>
      <c r="D2013" s="332" t="s">
        <v>3244</v>
      </c>
      <c r="E2013" s="332" t="s">
        <v>3210</v>
      </c>
      <c r="F2013" s="336">
        <v>260.10000000000002</v>
      </c>
      <c r="G2013" s="330" t="s">
        <v>56</v>
      </c>
      <c r="H2013" s="329">
        <v>260.10000000000002</v>
      </c>
      <c r="I2013" s="338">
        <f t="shared" si="106"/>
        <v>65.025000000000006</v>
      </c>
      <c r="J2013" s="338">
        <f t="shared" si="106"/>
        <v>65.025000000000006</v>
      </c>
      <c r="K2013" s="338">
        <f t="shared" si="106"/>
        <v>65.025000000000006</v>
      </c>
      <c r="L2013" s="338">
        <f t="shared" si="106"/>
        <v>65.025000000000006</v>
      </c>
      <c r="M2013" s="339"/>
    </row>
    <row r="2014" spans="1:13" hidden="1" outlineLevel="2" x14ac:dyDescent="0.35">
      <c r="A2014" s="339" t="s">
        <v>208</v>
      </c>
      <c r="B2014" s="331">
        <v>44067</v>
      </c>
      <c r="C2014" s="332" t="s">
        <v>2193</v>
      </c>
      <c r="D2014" s="332" t="s">
        <v>3245</v>
      </c>
      <c r="E2014" s="332" t="s">
        <v>3210</v>
      </c>
      <c r="F2014" s="336">
        <v>260.10000000000002</v>
      </c>
      <c r="G2014" s="330" t="s">
        <v>56</v>
      </c>
      <c r="H2014" s="329">
        <v>260.10000000000002</v>
      </c>
      <c r="I2014" s="338">
        <f t="shared" si="106"/>
        <v>65.025000000000006</v>
      </c>
      <c r="J2014" s="338">
        <f t="shared" si="106"/>
        <v>65.025000000000006</v>
      </c>
      <c r="K2014" s="338">
        <f t="shared" si="106"/>
        <v>65.025000000000006</v>
      </c>
      <c r="L2014" s="338">
        <f t="shared" si="106"/>
        <v>65.025000000000006</v>
      </c>
      <c r="M2014" s="339"/>
    </row>
    <row r="2015" spans="1:13" hidden="1" outlineLevel="2" x14ac:dyDescent="0.35">
      <c r="A2015" s="339" t="s">
        <v>208</v>
      </c>
      <c r="B2015" s="331">
        <v>44238</v>
      </c>
      <c r="C2015" s="332" t="s">
        <v>3246</v>
      </c>
      <c r="D2015" s="332" t="s">
        <v>3247</v>
      </c>
      <c r="E2015" s="332" t="s">
        <v>3210</v>
      </c>
      <c r="F2015" s="336">
        <v>397.64</v>
      </c>
      <c r="G2015" s="330" t="s">
        <v>56</v>
      </c>
      <c r="H2015" s="329">
        <v>397.64</v>
      </c>
      <c r="I2015" s="338">
        <f t="shared" si="106"/>
        <v>99.41</v>
      </c>
      <c r="J2015" s="338">
        <f t="shared" si="106"/>
        <v>99.41</v>
      </c>
      <c r="K2015" s="338">
        <f t="shared" si="106"/>
        <v>99.41</v>
      </c>
      <c r="L2015" s="338">
        <f t="shared" si="106"/>
        <v>99.41</v>
      </c>
      <c r="M2015" s="339"/>
    </row>
    <row r="2016" spans="1:13" hidden="1" outlineLevel="2" x14ac:dyDescent="0.35">
      <c r="A2016" s="339" t="s">
        <v>208</v>
      </c>
      <c r="B2016" s="331">
        <v>44227</v>
      </c>
      <c r="C2016" s="332" t="s">
        <v>3248</v>
      </c>
      <c r="D2016" s="332" t="s">
        <v>3249</v>
      </c>
      <c r="E2016" s="332" t="s">
        <v>3210</v>
      </c>
      <c r="F2016" s="336">
        <v>397.64</v>
      </c>
      <c r="G2016" s="330" t="s">
        <v>56</v>
      </c>
      <c r="H2016" s="329">
        <v>397.64</v>
      </c>
      <c r="I2016" s="338">
        <f t="shared" si="106"/>
        <v>99.41</v>
      </c>
      <c r="J2016" s="338">
        <f t="shared" si="106"/>
        <v>99.41</v>
      </c>
      <c r="K2016" s="338">
        <f t="shared" si="106"/>
        <v>99.41</v>
      </c>
      <c r="L2016" s="338">
        <f t="shared" si="106"/>
        <v>99.41</v>
      </c>
      <c r="M2016" s="339"/>
    </row>
    <row r="2017" spans="1:13" hidden="1" outlineLevel="2" x14ac:dyDescent="0.35">
      <c r="A2017" s="339" t="s">
        <v>208</v>
      </c>
      <c r="B2017" s="331">
        <v>44255</v>
      </c>
      <c r="C2017" s="332" t="s">
        <v>3250</v>
      </c>
      <c r="D2017" s="332" t="s">
        <v>3251</v>
      </c>
      <c r="E2017" s="332" t="s">
        <v>3210</v>
      </c>
      <c r="F2017" s="336">
        <v>397.64</v>
      </c>
      <c r="G2017" s="330" t="s">
        <v>56</v>
      </c>
      <c r="H2017" s="329">
        <v>397.64</v>
      </c>
      <c r="I2017" s="338">
        <f t="shared" si="106"/>
        <v>99.41</v>
      </c>
      <c r="J2017" s="338">
        <f t="shared" si="106"/>
        <v>99.41</v>
      </c>
      <c r="K2017" s="338">
        <f t="shared" si="106"/>
        <v>99.41</v>
      </c>
      <c r="L2017" s="338">
        <f t="shared" si="106"/>
        <v>99.41</v>
      </c>
      <c r="M2017" s="339"/>
    </row>
    <row r="2018" spans="1:13" hidden="1" outlineLevel="2" x14ac:dyDescent="0.35">
      <c r="A2018" s="339" t="s">
        <v>208</v>
      </c>
      <c r="B2018" s="331">
        <v>44196</v>
      </c>
      <c r="C2018" s="332" t="s">
        <v>3252</v>
      </c>
      <c r="D2018" s="332" t="s">
        <v>3253</v>
      </c>
      <c r="E2018" s="332" t="s">
        <v>3210</v>
      </c>
      <c r="F2018" s="336">
        <v>397.75</v>
      </c>
      <c r="G2018" s="330" t="s">
        <v>56</v>
      </c>
      <c r="H2018" s="329">
        <v>397.75</v>
      </c>
      <c r="I2018" s="338">
        <f t="shared" si="106"/>
        <v>99.4375</v>
      </c>
      <c r="J2018" s="338">
        <f t="shared" si="106"/>
        <v>99.4375</v>
      </c>
      <c r="K2018" s="338">
        <f t="shared" si="106"/>
        <v>99.4375</v>
      </c>
      <c r="L2018" s="338">
        <f t="shared" si="106"/>
        <v>99.4375</v>
      </c>
      <c r="M2018" s="339"/>
    </row>
    <row r="2019" spans="1:13" hidden="1" outlineLevel="2" x14ac:dyDescent="0.35">
      <c r="A2019" s="339" t="s">
        <v>208</v>
      </c>
      <c r="B2019" s="331">
        <v>44561</v>
      </c>
      <c r="C2019" s="332" t="s">
        <v>3206</v>
      </c>
      <c r="D2019" s="332" t="s">
        <v>3254</v>
      </c>
      <c r="E2019" s="332" t="s">
        <v>3210</v>
      </c>
      <c r="F2019" s="336">
        <v>397.26</v>
      </c>
      <c r="G2019" s="330" t="s">
        <v>56</v>
      </c>
      <c r="H2019" s="329">
        <v>397.26</v>
      </c>
      <c r="I2019" s="338">
        <f t="shared" si="106"/>
        <v>99.314999999999998</v>
      </c>
      <c r="J2019" s="338">
        <f t="shared" si="106"/>
        <v>99.314999999999998</v>
      </c>
      <c r="K2019" s="338">
        <f t="shared" si="106"/>
        <v>99.314999999999998</v>
      </c>
      <c r="L2019" s="338">
        <f t="shared" si="106"/>
        <v>99.314999999999998</v>
      </c>
      <c r="M2019" s="339"/>
    </row>
    <row r="2020" spans="1:13" hidden="1" outlineLevel="2" x14ac:dyDescent="0.35">
      <c r="A2020" s="339" t="s">
        <v>208</v>
      </c>
      <c r="B2020" s="331">
        <v>43708</v>
      </c>
      <c r="C2020" s="332" t="s">
        <v>3160</v>
      </c>
      <c r="D2020" s="332" t="s">
        <v>3255</v>
      </c>
      <c r="E2020" s="332" t="s">
        <v>3162</v>
      </c>
      <c r="F2020" s="336">
        <v>1491.71</v>
      </c>
      <c r="G2020" s="330" t="s">
        <v>56</v>
      </c>
      <c r="H2020" s="329">
        <v>1491.71</v>
      </c>
      <c r="I2020" s="338">
        <f t="shared" si="106"/>
        <v>372.92750000000001</v>
      </c>
      <c r="J2020" s="338">
        <f t="shared" si="106"/>
        <v>372.92750000000001</v>
      </c>
      <c r="K2020" s="338">
        <f t="shared" si="106"/>
        <v>372.92750000000001</v>
      </c>
      <c r="L2020" s="338">
        <f t="shared" si="106"/>
        <v>372.92750000000001</v>
      </c>
      <c r="M2020" s="339"/>
    </row>
    <row r="2021" spans="1:13" hidden="1" outlineLevel="2" x14ac:dyDescent="0.35">
      <c r="A2021" s="339" t="s">
        <v>208</v>
      </c>
      <c r="B2021" s="331">
        <v>43738</v>
      </c>
      <c r="C2021" s="332" t="s">
        <v>3163</v>
      </c>
      <c r="D2021" s="332" t="s">
        <v>3256</v>
      </c>
      <c r="E2021" s="332" t="s">
        <v>3162</v>
      </c>
      <c r="F2021" s="336">
        <v>3196.51</v>
      </c>
      <c r="G2021" s="330" t="s">
        <v>56</v>
      </c>
      <c r="H2021" s="329">
        <v>3196.51</v>
      </c>
      <c r="I2021" s="338">
        <f t="shared" si="106"/>
        <v>799.12750000000005</v>
      </c>
      <c r="J2021" s="338">
        <f t="shared" si="106"/>
        <v>799.12750000000005</v>
      </c>
      <c r="K2021" s="338">
        <f t="shared" si="106"/>
        <v>799.12750000000005</v>
      </c>
      <c r="L2021" s="338">
        <f t="shared" si="106"/>
        <v>799.12750000000005</v>
      </c>
      <c r="M2021" s="339"/>
    </row>
    <row r="2022" spans="1:13" hidden="1" outlineLevel="2" x14ac:dyDescent="0.35">
      <c r="A2022" s="339" t="s">
        <v>208</v>
      </c>
      <c r="B2022" s="331">
        <v>43769</v>
      </c>
      <c r="C2022" s="332" t="s">
        <v>3165</v>
      </c>
      <c r="D2022" s="332" t="s">
        <v>3257</v>
      </c>
      <c r="E2022" s="332" t="s">
        <v>3162</v>
      </c>
      <c r="F2022" s="336">
        <v>3196.51</v>
      </c>
      <c r="G2022" s="330" t="s">
        <v>56</v>
      </c>
      <c r="H2022" s="329">
        <v>3196.51</v>
      </c>
      <c r="I2022" s="338">
        <f t="shared" si="106"/>
        <v>799.12750000000005</v>
      </c>
      <c r="J2022" s="338">
        <f t="shared" si="106"/>
        <v>799.12750000000005</v>
      </c>
      <c r="K2022" s="338">
        <f t="shared" si="106"/>
        <v>799.12750000000005</v>
      </c>
      <c r="L2022" s="338">
        <f t="shared" si="106"/>
        <v>799.12750000000005</v>
      </c>
      <c r="M2022" s="339"/>
    </row>
    <row r="2023" spans="1:13" hidden="1" outlineLevel="2" x14ac:dyDescent="0.35">
      <c r="A2023" s="339" t="s">
        <v>208</v>
      </c>
      <c r="B2023" s="331">
        <v>43799</v>
      </c>
      <c r="C2023" s="332" t="s">
        <v>3167</v>
      </c>
      <c r="D2023" s="332" t="s">
        <v>3258</v>
      </c>
      <c r="E2023" s="332" t="s">
        <v>3162</v>
      </c>
      <c r="F2023" s="336">
        <v>3196.51</v>
      </c>
      <c r="G2023" s="330" t="s">
        <v>56</v>
      </c>
      <c r="H2023" s="329">
        <v>3196.51</v>
      </c>
      <c r="I2023" s="338">
        <f t="shared" si="106"/>
        <v>799.12750000000005</v>
      </c>
      <c r="J2023" s="338">
        <f t="shared" si="106"/>
        <v>799.12750000000005</v>
      </c>
      <c r="K2023" s="338">
        <f t="shared" si="106"/>
        <v>799.12750000000005</v>
      </c>
      <c r="L2023" s="338">
        <f t="shared" si="106"/>
        <v>799.12750000000005</v>
      </c>
      <c r="M2023" s="339"/>
    </row>
    <row r="2024" spans="1:13" hidden="1" outlineLevel="2" x14ac:dyDescent="0.35">
      <c r="A2024" s="339" t="s">
        <v>208</v>
      </c>
      <c r="B2024" s="331">
        <v>43830</v>
      </c>
      <c r="C2024" s="332" t="s">
        <v>3169</v>
      </c>
      <c r="D2024" s="332" t="s">
        <v>3259</v>
      </c>
      <c r="E2024" s="332" t="s">
        <v>3162</v>
      </c>
      <c r="F2024" s="336">
        <v>3196.51</v>
      </c>
      <c r="G2024" s="330" t="s">
        <v>56</v>
      </c>
      <c r="H2024" s="329">
        <v>3196.51</v>
      </c>
      <c r="I2024" s="338">
        <f t="shared" si="106"/>
        <v>799.12750000000005</v>
      </c>
      <c r="J2024" s="338">
        <f t="shared" si="106"/>
        <v>799.12750000000005</v>
      </c>
      <c r="K2024" s="338">
        <f t="shared" si="106"/>
        <v>799.12750000000005</v>
      </c>
      <c r="L2024" s="338">
        <f t="shared" si="106"/>
        <v>799.12750000000005</v>
      </c>
      <c r="M2024" s="339"/>
    </row>
    <row r="2025" spans="1:13" hidden="1" outlineLevel="2" x14ac:dyDescent="0.35">
      <c r="A2025" s="339" t="s">
        <v>208</v>
      </c>
      <c r="B2025" s="331">
        <v>43861</v>
      </c>
      <c r="C2025" s="332" t="s">
        <v>3171</v>
      </c>
      <c r="D2025" s="332" t="s">
        <v>3172</v>
      </c>
      <c r="E2025" s="332" t="s">
        <v>3162</v>
      </c>
      <c r="F2025" s="336">
        <v>3196.51</v>
      </c>
      <c r="G2025" s="330" t="s">
        <v>56</v>
      </c>
      <c r="H2025" s="329">
        <v>3196.51</v>
      </c>
      <c r="I2025" s="338">
        <f t="shared" si="106"/>
        <v>799.12750000000005</v>
      </c>
      <c r="J2025" s="338">
        <f t="shared" si="106"/>
        <v>799.12750000000005</v>
      </c>
      <c r="K2025" s="338">
        <f t="shared" si="106"/>
        <v>799.12750000000005</v>
      </c>
      <c r="L2025" s="338">
        <f t="shared" si="106"/>
        <v>799.12750000000005</v>
      </c>
      <c r="M2025" s="339"/>
    </row>
    <row r="2026" spans="1:13" hidden="1" outlineLevel="2" x14ac:dyDescent="0.35">
      <c r="A2026" s="339" t="s">
        <v>208</v>
      </c>
      <c r="B2026" s="331">
        <v>43890</v>
      </c>
      <c r="C2026" s="332" t="s">
        <v>3173</v>
      </c>
      <c r="D2026" s="332" t="s">
        <v>3174</v>
      </c>
      <c r="E2026" s="332" t="s">
        <v>3162</v>
      </c>
      <c r="F2026" s="336">
        <v>3196.51</v>
      </c>
      <c r="G2026" s="330" t="s">
        <v>56</v>
      </c>
      <c r="H2026" s="329">
        <v>3196.51</v>
      </c>
      <c r="I2026" s="338">
        <f t="shared" si="106"/>
        <v>799.12750000000005</v>
      </c>
      <c r="J2026" s="338">
        <f t="shared" si="106"/>
        <v>799.12750000000005</v>
      </c>
      <c r="K2026" s="338">
        <f t="shared" si="106"/>
        <v>799.12750000000005</v>
      </c>
      <c r="L2026" s="338">
        <f t="shared" si="106"/>
        <v>799.12750000000005</v>
      </c>
      <c r="M2026" s="339"/>
    </row>
    <row r="2027" spans="1:13" hidden="1" outlineLevel="2" x14ac:dyDescent="0.35">
      <c r="A2027" s="339" t="s">
        <v>208</v>
      </c>
      <c r="B2027" s="331">
        <v>43921</v>
      </c>
      <c r="C2027" s="332" t="s">
        <v>3175</v>
      </c>
      <c r="D2027" s="332" t="s">
        <v>3176</v>
      </c>
      <c r="E2027" s="332" t="s">
        <v>3162</v>
      </c>
      <c r="F2027" s="336">
        <v>3196.51</v>
      </c>
      <c r="G2027" s="330" t="s">
        <v>56</v>
      </c>
      <c r="H2027" s="329">
        <v>3196.51</v>
      </c>
      <c r="I2027" s="338">
        <f t="shared" si="106"/>
        <v>799.12750000000005</v>
      </c>
      <c r="J2027" s="338">
        <f t="shared" si="106"/>
        <v>799.12750000000005</v>
      </c>
      <c r="K2027" s="338">
        <f t="shared" si="106"/>
        <v>799.12750000000005</v>
      </c>
      <c r="L2027" s="338">
        <f t="shared" si="106"/>
        <v>799.12750000000005</v>
      </c>
      <c r="M2027" s="339"/>
    </row>
    <row r="2028" spans="1:13" hidden="1" outlineLevel="2" x14ac:dyDescent="0.35">
      <c r="A2028" s="339" t="s">
        <v>208</v>
      </c>
      <c r="B2028" s="331">
        <v>43951</v>
      </c>
      <c r="C2028" s="332" t="s">
        <v>3177</v>
      </c>
      <c r="D2028" s="332" t="s">
        <v>3178</v>
      </c>
      <c r="E2028" s="332" t="s">
        <v>3162</v>
      </c>
      <c r="F2028" s="336">
        <v>3351.32</v>
      </c>
      <c r="G2028" s="330" t="s">
        <v>56</v>
      </c>
      <c r="H2028" s="329">
        <v>3351.32</v>
      </c>
      <c r="I2028" s="338">
        <f t="shared" si="106"/>
        <v>837.83</v>
      </c>
      <c r="J2028" s="338">
        <f t="shared" si="106"/>
        <v>837.83</v>
      </c>
      <c r="K2028" s="338">
        <f t="shared" si="106"/>
        <v>837.83</v>
      </c>
      <c r="L2028" s="338">
        <f t="shared" si="106"/>
        <v>837.83</v>
      </c>
      <c r="M2028" s="339"/>
    </row>
    <row r="2029" spans="1:13" hidden="1" outlineLevel="2" x14ac:dyDescent="0.35">
      <c r="A2029" s="339" t="s">
        <v>208</v>
      </c>
      <c r="B2029" s="331">
        <v>43951</v>
      </c>
      <c r="C2029" s="332" t="s">
        <v>3260</v>
      </c>
      <c r="D2029" s="332" t="s">
        <v>3261</v>
      </c>
      <c r="E2029" s="332" t="s">
        <v>3162</v>
      </c>
      <c r="F2029" s="336">
        <v>50</v>
      </c>
      <c r="G2029" s="330" t="s">
        <v>56</v>
      </c>
      <c r="H2029" s="329">
        <v>50</v>
      </c>
      <c r="I2029" s="338">
        <f t="shared" si="106"/>
        <v>12.5</v>
      </c>
      <c r="J2029" s="338">
        <f t="shared" si="106"/>
        <v>12.5</v>
      </c>
      <c r="K2029" s="338">
        <f t="shared" si="106"/>
        <v>12.5</v>
      </c>
      <c r="L2029" s="338">
        <f t="shared" si="106"/>
        <v>12.5</v>
      </c>
      <c r="M2029" s="339"/>
    </row>
    <row r="2030" spans="1:13" hidden="1" outlineLevel="2" x14ac:dyDescent="0.35">
      <c r="A2030" s="339" t="s">
        <v>208</v>
      </c>
      <c r="B2030" s="331">
        <v>43982</v>
      </c>
      <c r="C2030" s="332" t="s">
        <v>3179</v>
      </c>
      <c r="D2030" s="332" t="s">
        <v>3180</v>
      </c>
      <c r="E2030" s="332" t="s">
        <v>3162</v>
      </c>
      <c r="F2030" s="336">
        <v>3311.32</v>
      </c>
      <c r="G2030" s="330" t="s">
        <v>56</v>
      </c>
      <c r="H2030" s="329">
        <v>3311.32</v>
      </c>
      <c r="I2030" s="338">
        <f t="shared" si="106"/>
        <v>827.83</v>
      </c>
      <c r="J2030" s="338">
        <f t="shared" si="106"/>
        <v>827.83</v>
      </c>
      <c r="K2030" s="338">
        <f t="shared" si="106"/>
        <v>827.83</v>
      </c>
      <c r="L2030" s="338">
        <f t="shared" si="106"/>
        <v>827.83</v>
      </c>
      <c r="M2030" s="339"/>
    </row>
    <row r="2031" spans="1:13" hidden="1" outlineLevel="2" x14ac:dyDescent="0.35">
      <c r="A2031" s="339" t="s">
        <v>208</v>
      </c>
      <c r="B2031" s="331">
        <v>44012</v>
      </c>
      <c r="C2031" s="332" t="s">
        <v>3181</v>
      </c>
      <c r="D2031" s="332" t="s">
        <v>3182</v>
      </c>
      <c r="E2031" s="332" t="s">
        <v>3162</v>
      </c>
      <c r="F2031" s="336">
        <v>3361.32</v>
      </c>
      <c r="G2031" s="330" t="s">
        <v>56</v>
      </c>
      <c r="H2031" s="329">
        <v>3361.32</v>
      </c>
      <c r="I2031" s="338">
        <f t="shared" ref="I2031:L2050" si="107">$H2031/4</f>
        <v>840.33</v>
      </c>
      <c r="J2031" s="338">
        <f t="shared" si="107"/>
        <v>840.33</v>
      </c>
      <c r="K2031" s="338">
        <f t="shared" si="107"/>
        <v>840.33</v>
      </c>
      <c r="L2031" s="338">
        <f t="shared" si="107"/>
        <v>840.33</v>
      </c>
      <c r="M2031" s="339"/>
    </row>
    <row r="2032" spans="1:13" hidden="1" outlineLevel="2" x14ac:dyDescent="0.35">
      <c r="A2032" s="339" t="s">
        <v>208</v>
      </c>
      <c r="B2032" s="331">
        <v>44043</v>
      </c>
      <c r="C2032" s="332" t="s">
        <v>3183</v>
      </c>
      <c r="D2032" s="332" t="s">
        <v>3184</v>
      </c>
      <c r="E2032" s="332" t="s">
        <v>3162</v>
      </c>
      <c r="F2032" s="336">
        <v>3321.32</v>
      </c>
      <c r="G2032" s="330" t="s">
        <v>56</v>
      </c>
      <c r="H2032" s="329">
        <v>3321.32</v>
      </c>
      <c r="I2032" s="338">
        <f t="shared" si="107"/>
        <v>830.33</v>
      </c>
      <c r="J2032" s="338">
        <f t="shared" si="107"/>
        <v>830.33</v>
      </c>
      <c r="K2032" s="338">
        <f t="shared" si="107"/>
        <v>830.33</v>
      </c>
      <c r="L2032" s="338">
        <f t="shared" si="107"/>
        <v>830.33</v>
      </c>
      <c r="M2032" s="339"/>
    </row>
    <row r="2033" spans="1:13" hidden="1" outlineLevel="2" x14ac:dyDescent="0.35">
      <c r="A2033" s="339" t="s">
        <v>208</v>
      </c>
      <c r="B2033" s="331">
        <v>44067</v>
      </c>
      <c r="C2033" s="332" t="s">
        <v>2193</v>
      </c>
      <c r="D2033" s="332" t="s">
        <v>3262</v>
      </c>
      <c r="E2033" s="332" t="s">
        <v>3263</v>
      </c>
      <c r="F2033" s="336">
        <v>3342.87</v>
      </c>
      <c r="G2033" s="330" t="s">
        <v>56</v>
      </c>
      <c r="H2033" s="329">
        <v>3342.87</v>
      </c>
      <c r="I2033" s="338">
        <f t="shared" si="107"/>
        <v>835.71749999999997</v>
      </c>
      <c r="J2033" s="338">
        <f t="shared" si="107"/>
        <v>835.71749999999997</v>
      </c>
      <c r="K2033" s="338">
        <f t="shared" si="107"/>
        <v>835.71749999999997</v>
      </c>
      <c r="L2033" s="338">
        <f t="shared" si="107"/>
        <v>835.71749999999997</v>
      </c>
      <c r="M2033" s="339"/>
    </row>
    <row r="2034" spans="1:13" hidden="1" outlineLevel="2" x14ac:dyDescent="0.35">
      <c r="A2034" s="339" t="s">
        <v>208</v>
      </c>
      <c r="B2034" s="331">
        <v>44067</v>
      </c>
      <c r="C2034" s="332" t="s">
        <v>2193</v>
      </c>
      <c r="D2034" s="332" t="s">
        <v>3262</v>
      </c>
      <c r="E2034" s="332" t="s">
        <v>3263</v>
      </c>
      <c r="F2034" s="336">
        <v>3342.87</v>
      </c>
      <c r="G2034" s="330" t="s">
        <v>56</v>
      </c>
      <c r="H2034" s="329">
        <v>3342.87</v>
      </c>
      <c r="I2034" s="338">
        <f t="shared" si="107"/>
        <v>835.71749999999997</v>
      </c>
      <c r="J2034" s="338">
        <f t="shared" si="107"/>
        <v>835.71749999999997</v>
      </c>
      <c r="K2034" s="338">
        <f t="shared" si="107"/>
        <v>835.71749999999997</v>
      </c>
      <c r="L2034" s="338">
        <f t="shared" si="107"/>
        <v>835.71749999999997</v>
      </c>
      <c r="M2034" s="339"/>
    </row>
    <row r="2035" spans="1:13" hidden="1" outlineLevel="2" x14ac:dyDescent="0.35">
      <c r="A2035" s="339" t="s">
        <v>208</v>
      </c>
      <c r="B2035" s="331">
        <v>44074</v>
      </c>
      <c r="C2035" s="332" t="s">
        <v>3185</v>
      </c>
      <c r="D2035" s="332" t="s">
        <v>3264</v>
      </c>
      <c r="E2035" s="332" t="s">
        <v>3162</v>
      </c>
      <c r="F2035" s="336">
        <v>3251.32</v>
      </c>
      <c r="G2035" s="330" t="s">
        <v>56</v>
      </c>
      <c r="H2035" s="329">
        <v>3251.32</v>
      </c>
      <c r="I2035" s="338">
        <f t="shared" si="107"/>
        <v>812.83</v>
      </c>
      <c r="J2035" s="338">
        <f t="shared" si="107"/>
        <v>812.83</v>
      </c>
      <c r="K2035" s="338">
        <f t="shared" si="107"/>
        <v>812.83</v>
      </c>
      <c r="L2035" s="338">
        <f t="shared" si="107"/>
        <v>812.83</v>
      </c>
      <c r="M2035" s="339"/>
    </row>
    <row r="2036" spans="1:13" hidden="1" outlineLevel="2" x14ac:dyDescent="0.35">
      <c r="A2036" s="339" t="s">
        <v>208</v>
      </c>
      <c r="B2036" s="331">
        <v>44104</v>
      </c>
      <c r="C2036" s="332" t="s">
        <v>3188</v>
      </c>
      <c r="D2036" s="332" t="s">
        <v>3265</v>
      </c>
      <c r="E2036" s="332" t="s">
        <v>3162</v>
      </c>
      <c r="F2036" s="336">
        <v>3301.32</v>
      </c>
      <c r="G2036" s="330" t="s">
        <v>56</v>
      </c>
      <c r="H2036" s="329">
        <v>3301.32</v>
      </c>
      <c r="I2036" s="338">
        <f t="shared" si="107"/>
        <v>825.33</v>
      </c>
      <c r="J2036" s="338">
        <f t="shared" si="107"/>
        <v>825.33</v>
      </c>
      <c r="K2036" s="338">
        <f t="shared" si="107"/>
        <v>825.33</v>
      </c>
      <c r="L2036" s="338">
        <f t="shared" si="107"/>
        <v>825.33</v>
      </c>
      <c r="M2036" s="339"/>
    </row>
    <row r="2037" spans="1:13" hidden="1" outlineLevel="2" x14ac:dyDescent="0.35">
      <c r="A2037" s="339" t="s">
        <v>208</v>
      </c>
      <c r="B2037" s="331">
        <v>44135</v>
      </c>
      <c r="C2037" s="332" t="s">
        <v>3190</v>
      </c>
      <c r="D2037" s="332" t="s">
        <v>3266</v>
      </c>
      <c r="E2037" s="332" t="s">
        <v>3162</v>
      </c>
      <c r="F2037" s="336">
        <v>3326.32</v>
      </c>
      <c r="G2037" s="330" t="s">
        <v>56</v>
      </c>
      <c r="H2037" s="329">
        <v>3326.32</v>
      </c>
      <c r="I2037" s="338">
        <f t="shared" si="107"/>
        <v>831.58</v>
      </c>
      <c r="J2037" s="338">
        <f t="shared" si="107"/>
        <v>831.58</v>
      </c>
      <c r="K2037" s="338">
        <f t="shared" si="107"/>
        <v>831.58</v>
      </c>
      <c r="L2037" s="338">
        <f t="shared" si="107"/>
        <v>831.58</v>
      </c>
      <c r="M2037" s="339"/>
    </row>
    <row r="2038" spans="1:13" hidden="1" outlineLevel="2" x14ac:dyDescent="0.35">
      <c r="A2038" s="339" t="s">
        <v>208</v>
      </c>
      <c r="B2038" s="331">
        <v>44165</v>
      </c>
      <c r="C2038" s="332" t="s">
        <v>3192</v>
      </c>
      <c r="D2038" s="332" t="s">
        <v>3193</v>
      </c>
      <c r="E2038" s="332" t="s">
        <v>3162</v>
      </c>
      <c r="F2038" s="336">
        <v>3640.32</v>
      </c>
      <c r="G2038" s="330" t="s">
        <v>56</v>
      </c>
      <c r="H2038" s="329">
        <v>3640.32</v>
      </c>
      <c r="I2038" s="338">
        <f t="shared" si="107"/>
        <v>910.08</v>
      </c>
      <c r="J2038" s="338">
        <f t="shared" si="107"/>
        <v>910.08</v>
      </c>
      <c r="K2038" s="338">
        <f t="shared" si="107"/>
        <v>910.08</v>
      </c>
      <c r="L2038" s="338">
        <f t="shared" si="107"/>
        <v>910.08</v>
      </c>
      <c r="M2038" s="339"/>
    </row>
    <row r="2039" spans="1:13" hidden="1" outlineLevel="2" x14ac:dyDescent="0.35">
      <c r="A2039" s="339" t="s">
        <v>208</v>
      </c>
      <c r="B2039" s="331">
        <v>44196</v>
      </c>
      <c r="C2039" s="332" t="s">
        <v>3194</v>
      </c>
      <c r="D2039" s="332" t="s">
        <v>3267</v>
      </c>
      <c r="E2039" s="332" t="s">
        <v>3162</v>
      </c>
      <c r="F2039" s="336">
        <v>3640.32</v>
      </c>
      <c r="G2039" s="330" t="s">
        <v>56</v>
      </c>
      <c r="H2039" s="329">
        <v>3640.32</v>
      </c>
      <c r="I2039" s="338">
        <f t="shared" si="107"/>
        <v>910.08</v>
      </c>
      <c r="J2039" s="338">
        <f t="shared" si="107"/>
        <v>910.08</v>
      </c>
      <c r="K2039" s="338">
        <f t="shared" si="107"/>
        <v>910.08</v>
      </c>
      <c r="L2039" s="338">
        <f t="shared" si="107"/>
        <v>910.08</v>
      </c>
      <c r="M2039" s="339"/>
    </row>
    <row r="2040" spans="1:13" hidden="1" outlineLevel="2" x14ac:dyDescent="0.35">
      <c r="A2040" s="339" t="s">
        <v>208</v>
      </c>
      <c r="B2040" s="331">
        <v>44227</v>
      </c>
      <c r="C2040" s="332" t="s">
        <v>3196</v>
      </c>
      <c r="D2040" s="332" t="s">
        <v>3268</v>
      </c>
      <c r="E2040" s="332" t="s">
        <v>3162</v>
      </c>
      <c r="F2040" s="336">
        <v>2709.07</v>
      </c>
      <c r="G2040" s="330" t="s">
        <v>56</v>
      </c>
      <c r="H2040" s="329">
        <v>2709.07</v>
      </c>
      <c r="I2040" s="338">
        <f t="shared" si="107"/>
        <v>677.26750000000004</v>
      </c>
      <c r="J2040" s="338">
        <f t="shared" si="107"/>
        <v>677.26750000000004</v>
      </c>
      <c r="K2040" s="338">
        <f t="shared" si="107"/>
        <v>677.26750000000004</v>
      </c>
      <c r="L2040" s="338">
        <f t="shared" si="107"/>
        <v>677.26750000000004</v>
      </c>
      <c r="M2040" s="339"/>
    </row>
    <row r="2041" spans="1:13" hidden="1" outlineLevel="2" x14ac:dyDescent="0.35">
      <c r="A2041" s="339" t="s">
        <v>208</v>
      </c>
      <c r="B2041" s="331">
        <v>44255</v>
      </c>
      <c r="C2041" s="332" t="s">
        <v>3269</v>
      </c>
      <c r="D2041" s="332" t="s">
        <v>3270</v>
      </c>
      <c r="E2041" s="332" t="s">
        <v>3162</v>
      </c>
      <c r="F2041" s="336">
        <v>2709.07</v>
      </c>
      <c r="G2041" s="330" t="s">
        <v>56</v>
      </c>
      <c r="H2041" s="329">
        <v>2709.07</v>
      </c>
      <c r="I2041" s="338">
        <f t="shared" si="107"/>
        <v>677.26750000000004</v>
      </c>
      <c r="J2041" s="338">
        <f t="shared" si="107"/>
        <v>677.26750000000004</v>
      </c>
      <c r="K2041" s="338">
        <f t="shared" si="107"/>
        <v>677.26750000000004</v>
      </c>
      <c r="L2041" s="338">
        <f t="shared" si="107"/>
        <v>677.26750000000004</v>
      </c>
      <c r="M2041" s="339"/>
    </row>
    <row r="2042" spans="1:13" hidden="1" outlineLevel="2" x14ac:dyDescent="0.35">
      <c r="A2042" s="339" t="s">
        <v>208</v>
      </c>
      <c r="B2042" s="331">
        <v>44286</v>
      </c>
      <c r="C2042" s="332" t="s">
        <v>3271</v>
      </c>
      <c r="D2042" s="332" t="s">
        <v>3272</v>
      </c>
      <c r="E2042" s="332" t="s">
        <v>3162</v>
      </c>
      <c r="F2042" s="336">
        <v>2709.07</v>
      </c>
      <c r="G2042" s="330" t="s">
        <v>56</v>
      </c>
      <c r="H2042" s="329">
        <v>2709.07</v>
      </c>
      <c r="I2042" s="338">
        <f t="shared" si="107"/>
        <v>677.26750000000004</v>
      </c>
      <c r="J2042" s="338">
        <f t="shared" si="107"/>
        <v>677.26750000000004</v>
      </c>
      <c r="K2042" s="338">
        <f t="shared" si="107"/>
        <v>677.26750000000004</v>
      </c>
      <c r="L2042" s="338">
        <f t="shared" si="107"/>
        <v>677.26750000000004</v>
      </c>
      <c r="M2042" s="339"/>
    </row>
    <row r="2043" spans="1:13" hidden="1" outlineLevel="2" x14ac:dyDescent="0.35">
      <c r="A2043" s="339" t="s">
        <v>208</v>
      </c>
      <c r="B2043" s="331">
        <v>44316</v>
      </c>
      <c r="C2043" s="332" t="s">
        <v>3273</v>
      </c>
      <c r="D2043" s="332" t="s">
        <v>3274</v>
      </c>
      <c r="E2043" s="332" t="s">
        <v>3162</v>
      </c>
      <c r="F2043" s="336">
        <v>2848.57</v>
      </c>
      <c r="G2043" s="330" t="s">
        <v>56</v>
      </c>
      <c r="H2043" s="329">
        <v>2848.57</v>
      </c>
      <c r="I2043" s="338">
        <f t="shared" si="107"/>
        <v>712.14250000000004</v>
      </c>
      <c r="J2043" s="338">
        <f t="shared" si="107"/>
        <v>712.14250000000004</v>
      </c>
      <c r="K2043" s="338">
        <f t="shared" si="107"/>
        <v>712.14250000000004</v>
      </c>
      <c r="L2043" s="338">
        <f t="shared" si="107"/>
        <v>712.14250000000004</v>
      </c>
      <c r="M2043" s="339"/>
    </row>
    <row r="2044" spans="1:13" hidden="1" outlineLevel="2" x14ac:dyDescent="0.35">
      <c r="A2044" s="339" t="s">
        <v>208</v>
      </c>
      <c r="B2044" s="331">
        <v>44227</v>
      </c>
      <c r="C2044" s="332" t="s">
        <v>3275</v>
      </c>
      <c r="D2044" s="332" t="s">
        <v>3276</v>
      </c>
      <c r="E2044" s="332" t="s">
        <v>3162</v>
      </c>
      <c r="F2044" s="336">
        <v>1231.25</v>
      </c>
      <c r="G2044" s="330" t="s">
        <v>56</v>
      </c>
      <c r="H2044" s="329">
        <v>1231.25</v>
      </c>
      <c r="I2044" s="338">
        <f t="shared" si="107"/>
        <v>307.8125</v>
      </c>
      <c r="J2044" s="338">
        <f t="shared" si="107"/>
        <v>307.8125</v>
      </c>
      <c r="K2044" s="338">
        <f t="shared" si="107"/>
        <v>307.8125</v>
      </c>
      <c r="L2044" s="338">
        <f t="shared" si="107"/>
        <v>307.8125</v>
      </c>
      <c r="M2044" s="339"/>
    </row>
    <row r="2045" spans="1:13" hidden="1" outlineLevel="2" x14ac:dyDescent="0.35">
      <c r="A2045" s="339" t="s">
        <v>208</v>
      </c>
      <c r="B2045" s="331">
        <v>44255</v>
      </c>
      <c r="C2045" s="332" t="s">
        <v>3277</v>
      </c>
      <c r="D2045" s="332" t="s">
        <v>3278</v>
      </c>
      <c r="E2045" s="332" t="s">
        <v>3162</v>
      </c>
      <c r="F2045" s="336">
        <v>1231.25</v>
      </c>
      <c r="G2045" s="330" t="s">
        <v>56</v>
      </c>
      <c r="H2045" s="329">
        <v>1231.25</v>
      </c>
      <c r="I2045" s="338">
        <f t="shared" si="107"/>
        <v>307.8125</v>
      </c>
      <c r="J2045" s="338">
        <f t="shared" si="107"/>
        <v>307.8125</v>
      </c>
      <c r="K2045" s="338">
        <f t="shared" si="107"/>
        <v>307.8125</v>
      </c>
      <c r="L2045" s="338">
        <f t="shared" si="107"/>
        <v>307.8125</v>
      </c>
      <c r="M2045" s="339"/>
    </row>
    <row r="2046" spans="1:13" hidden="1" outlineLevel="2" x14ac:dyDescent="0.35">
      <c r="A2046" s="339" t="s">
        <v>208</v>
      </c>
      <c r="B2046" s="331">
        <v>44286</v>
      </c>
      <c r="C2046" s="332" t="s">
        <v>3279</v>
      </c>
      <c r="D2046" s="332" t="s">
        <v>3280</v>
      </c>
      <c r="E2046" s="332" t="s">
        <v>3162</v>
      </c>
      <c r="F2046" s="336">
        <v>1231.25</v>
      </c>
      <c r="G2046" s="330" t="s">
        <v>56</v>
      </c>
      <c r="H2046" s="329">
        <v>1231.25</v>
      </c>
      <c r="I2046" s="338">
        <f t="shared" si="107"/>
        <v>307.8125</v>
      </c>
      <c r="J2046" s="338">
        <f t="shared" si="107"/>
        <v>307.8125</v>
      </c>
      <c r="K2046" s="338">
        <f t="shared" si="107"/>
        <v>307.8125</v>
      </c>
      <c r="L2046" s="338">
        <f t="shared" si="107"/>
        <v>307.8125</v>
      </c>
      <c r="M2046" s="339"/>
    </row>
    <row r="2047" spans="1:13" hidden="1" outlineLevel="2" x14ac:dyDescent="0.35">
      <c r="A2047" s="339" t="s">
        <v>208</v>
      </c>
      <c r="B2047" s="331">
        <v>44316</v>
      </c>
      <c r="C2047" s="332" t="s">
        <v>3281</v>
      </c>
      <c r="D2047" s="332" t="s">
        <v>3282</v>
      </c>
      <c r="E2047" s="332" t="s">
        <v>3162</v>
      </c>
      <c r="F2047" s="336">
        <v>1391.75</v>
      </c>
      <c r="G2047" s="330" t="s">
        <v>56</v>
      </c>
      <c r="H2047" s="329">
        <v>1391.75</v>
      </c>
      <c r="I2047" s="338">
        <f t="shared" si="107"/>
        <v>347.9375</v>
      </c>
      <c r="J2047" s="338">
        <f t="shared" si="107"/>
        <v>347.9375</v>
      </c>
      <c r="K2047" s="338">
        <f t="shared" si="107"/>
        <v>347.9375</v>
      </c>
      <c r="L2047" s="338">
        <f t="shared" si="107"/>
        <v>347.9375</v>
      </c>
      <c r="M2047" s="339"/>
    </row>
    <row r="2048" spans="1:13" hidden="1" outlineLevel="2" x14ac:dyDescent="0.35">
      <c r="A2048" s="339" t="s">
        <v>208</v>
      </c>
      <c r="B2048" s="331">
        <v>44377</v>
      </c>
      <c r="C2048" s="332" t="s">
        <v>3283</v>
      </c>
      <c r="D2048" s="332" t="s">
        <v>3284</v>
      </c>
      <c r="E2048" s="332" t="s">
        <v>3162</v>
      </c>
      <c r="F2048" s="336">
        <v>1231.25</v>
      </c>
      <c r="G2048" s="330" t="s">
        <v>56</v>
      </c>
      <c r="H2048" s="329">
        <v>1231.25</v>
      </c>
      <c r="I2048" s="338">
        <f t="shared" si="107"/>
        <v>307.8125</v>
      </c>
      <c r="J2048" s="338">
        <f t="shared" si="107"/>
        <v>307.8125</v>
      </c>
      <c r="K2048" s="338">
        <f t="shared" si="107"/>
        <v>307.8125</v>
      </c>
      <c r="L2048" s="338">
        <f t="shared" si="107"/>
        <v>307.8125</v>
      </c>
      <c r="M2048" s="339"/>
    </row>
    <row r="2049" spans="1:13" hidden="1" outlineLevel="2" x14ac:dyDescent="0.35">
      <c r="A2049" s="339" t="s">
        <v>208</v>
      </c>
      <c r="B2049" s="331">
        <v>44561</v>
      </c>
      <c r="C2049" s="332" t="s">
        <v>3285</v>
      </c>
      <c r="D2049" s="332" t="s">
        <v>3286</v>
      </c>
      <c r="E2049" s="332" t="s">
        <v>3162</v>
      </c>
      <c r="F2049" s="336">
        <v>3991.13</v>
      </c>
      <c r="G2049" s="330" t="s">
        <v>56</v>
      </c>
      <c r="H2049" s="329">
        <v>3991.13</v>
      </c>
      <c r="I2049" s="338">
        <f t="shared" si="107"/>
        <v>997.78250000000003</v>
      </c>
      <c r="J2049" s="338">
        <f t="shared" si="107"/>
        <v>997.78250000000003</v>
      </c>
      <c r="K2049" s="338">
        <f t="shared" si="107"/>
        <v>997.78250000000003</v>
      </c>
      <c r="L2049" s="338">
        <f t="shared" si="107"/>
        <v>997.78250000000003</v>
      </c>
      <c r="M2049" s="339"/>
    </row>
    <row r="2050" spans="1:13" hidden="1" outlineLevel="2" x14ac:dyDescent="0.35">
      <c r="A2050" s="339" t="s">
        <v>208</v>
      </c>
      <c r="B2050" s="331">
        <v>44561</v>
      </c>
      <c r="C2050" s="332" t="s">
        <v>3287</v>
      </c>
      <c r="D2050" s="332" t="s">
        <v>3288</v>
      </c>
      <c r="E2050" s="332" t="s">
        <v>3162</v>
      </c>
      <c r="F2050" s="336">
        <v>172.71</v>
      </c>
      <c r="G2050" s="330" t="s">
        <v>56</v>
      </c>
      <c r="H2050" s="329">
        <v>172.71</v>
      </c>
      <c r="I2050" s="338">
        <f t="shared" si="107"/>
        <v>43.177500000000002</v>
      </c>
      <c r="J2050" s="338">
        <f t="shared" si="107"/>
        <v>43.177500000000002</v>
      </c>
      <c r="K2050" s="338">
        <f t="shared" si="107"/>
        <v>43.177500000000002</v>
      </c>
      <c r="L2050" s="338">
        <f t="shared" si="107"/>
        <v>43.177500000000002</v>
      </c>
      <c r="M2050" s="339"/>
    </row>
    <row r="2051" spans="1:13" hidden="1" outlineLevel="2" x14ac:dyDescent="0.35">
      <c r="A2051" s="339" t="s">
        <v>208</v>
      </c>
      <c r="B2051" s="331">
        <v>44592</v>
      </c>
      <c r="C2051" s="332" t="s">
        <v>3289</v>
      </c>
      <c r="D2051" s="332" t="s">
        <v>3290</v>
      </c>
      <c r="E2051" s="332" t="s">
        <v>3162</v>
      </c>
      <c r="F2051" s="336">
        <v>4224.7700000000004</v>
      </c>
      <c r="G2051" s="330" t="s">
        <v>56</v>
      </c>
      <c r="H2051" s="329">
        <v>4224.7700000000004</v>
      </c>
      <c r="I2051" s="338">
        <f t="shared" ref="I2051:L2061" si="108">$H2051/4</f>
        <v>1056.1925000000001</v>
      </c>
      <c r="J2051" s="338">
        <f t="shared" si="108"/>
        <v>1056.1925000000001</v>
      </c>
      <c r="K2051" s="338">
        <f t="shared" si="108"/>
        <v>1056.1925000000001</v>
      </c>
      <c r="L2051" s="338">
        <f t="shared" si="108"/>
        <v>1056.1925000000001</v>
      </c>
      <c r="M2051" s="339"/>
    </row>
    <row r="2052" spans="1:13" hidden="1" outlineLevel="2" x14ac:dyDescent="0.35">
      <c r="A2052" s="339" t="s">
        <v>208</v>
      </c>
      <c r="B2052" s="331">
        <v>44067</v>
      </c>
      <c r="C2052" s="332" t="s">
        <v>2193</v>
      </c>
      <c r="D2052" s="332" t="s">
        <v>3291</v>
      </c>
      <c r="E2052" s="332" t="s">
        <v>3263</v>
      </c>
      <c r="F2052" s="336">
        <v>716.78</v>
      </c>
      <c r="G2052" s="330" t="s">
        <v>56</v>
      </c>
      <c r="H2052" s="329">
        <v>716.78</v>
      </c>
      <c r="I2052" s="338">
        <f t="shared" si="108"/>
        <v>179.19499999999999</v>
      </c>
      <c r="J2052" s="338">
        <f t="shared" si="108"/>
        <v>179.19499999999999</v>
      </c>
      <c r="K2052" s="338">
        <f t="shared" si="108"/>
        <v>179.19499999999999</v>
      </c>
      <c r="L2052" s="338">
        <f t="shared" si="108"/>
        <v>179.19499999999999</v>
      </c>
      <c r="M2052" s="339"/>
    </row>
    <row r="2053" spans="1:13" hidden="1" outlineLevel="2" x14ac:dyDescent="0.35">
      <c r="A2053" s="339" t="s">
        <v>208</v>
      </c>
      <c r="B2053" s="331">
        <v>44196</v>
      </c>
      <c r="C2053" s="332" t="s">
        <v>3292</v>
      </c>
      <c r="D2053" s="332" t="s">
        <v>3293</v>
      </c>
      <c r="E2053" s="332" t="s">
        <v>3294</v>
      </c>
      <c r="F2053" s="336">
        <v>1073.1600000000001</v>
      </c>
      <c r="G2053" s="330" t="s">
        <v>56</v>
      </c>
      <c r="H2053" s="329">
        <v>1073.1600000000001</v>
      </c>
      <c r="I2053" s="338">
        <f t="shared" si="108"/>
        <v>268.29000000000002</v>
      </c>
      <c r="J2053" s="338">
        <f t="shared" si="108"/>
        <v>268.29000000000002</v>
      </c>
      <c r="K2053" s="338">
        <f t="shared" si="108"/>
        <v>268.29000000000002</v>
      </c>
      <c r="L2053" s="338">
        <f t="shared" si="108"/>
        <v>268.29000000000002</v>
      </c>
      <c r="M2053" s="339"/>
    </row>
    <row r="2054" spans="1:13" hidden="1" outlineLevel="2" x14ac:dyDescent="0.35">
      <c r="A2054" s="339" t="s">
        <v>208</v>
      </c>
      <c r="B2054" s="331">
        <v>44196</v>
      </c>
      <c r="C2054" s="332" t="s">
        <v>3295</v>
      </c>
      <c r="D2054" s="332" t="s">
        <v>3296</v>
      </c>
      <c r="E2054" s="332" t="s">
        <v>3294</v>
      </c>
      <c r="F2054" s="336">
        <v>3219.84</v>
      </c>
      <c r="G2054" s="330" t="s">
        <v>56</v>
      </c>
      <c r="H2054" s="329">
        <v>3219.84</v>
      </c>
      <c r="I2054" s="338">
        <f t="shared" si="108"/>
        <v>804.96</v>
      </c>
      <c r="J2054" s="338">
        <f t="shared" si="108"/>
        <v>804.96</v>
      </c>
      <c r="K2054" s="338">
        <f t="shared" si="108"/>
        <v>804.96</v>
      </c>
      <c r="L2054" s="338">
        <f t="shared" si="108"/>
        <v>804.96</v>
      </c>
      <c r="M2054" s="339"/>
    </row>
    <row r="2055" spans="1:13" hidden="1" outlineLevel="2" x14ac:dyDescent="0.35">
      <c r="A2055" s="339" t="s">
        <v>208</v>
      </c>
      <c r="B2055" s="331">
        <v>44227</v>
      </c>
      <c r="C2055" s="332" t="s">
        <v>3297</v>
      </c>
      <c r="D2055" s="332" t="s">
        <v>3298</v>
      </c>
      <c r="E2055" s="332" t="s">
        <v>3162</v>
      </c>
      <c r="F2055" s="336">
        <v>268.32</v>
      </c>
      <c r="G2055" s="330" t="s">
        <v>56</v>
      </c>
      <c r="H2055" s="329">
        <v>268.32</v>
      </c>
      <c r="I2055" s="338">
        <f t="shared" si="108"/>
        <v>67.08</v>
      </c>
      <c r="J2055" s="338">
        <f t="shared" si="108"/>
        <v>67.08</v>
      </c>
      <c r="K2055" s="338">
        <f t="shared" si="108"/>
        <v>67.08</v>
      </c>
      <c r="L2055" s="338">
        <f t="shared" si="108"/>
        <v>67.08</v>
      </c>
      <c r="M2055" s="339"/>
    </row>
    <row r="2056" spans="1:13" hidden="1" outlineLevel="2" x14ac:dyDescent="0.35">
      <c r="A2056" s="339" t="s">
        <v>208</v>
      </c>
      <c r="B2056" s="331">
        <v>44255</v>
      </c>
      <c r="C2056" s="332" t="s">
        <v>3299</v>
      </c>
      <c r="D2056" s="332" t="s">
        <v>3300</v>
      </c>
      <c r="E2056" s="332" t="s">
        <v>3162</v>
      </c>
      <c r="F2056" s="336">
        <v>268.32</v>
      </c>
      <c r="G2056" s="330" t="s">
        <v>56</v>
      </c>
      <c r="H2056" s="329">
        <v>268.32</v>
      </c>
      <c r="I2056" s="338">
        <f t="shared" si="108"/>
        <v>67.08</v>
      </c>
      <c r="J2056" s="338">
        <f t="shared" si="108"/>
        <v>67.08</v>
      </c>
      <c r="K2056" s="338">
        <f t="shared" si="108"/>
        <v>67.08</v>
      </c>
      <c r="L2056" s="338">
        <f t="shared" si="108"/>
        <v>67.08</v>
      </c>
      <c r="M2056" s="339"/>
    </row>
    <row r="2057" spans="1:13" hidden="1" outlineLevel="2" x14ac:dyDescent="0.35">
      <c r="A2057" s="339" t="s">
        <v>208</v>
      </c>
      <c r="B2057" s="331">
        <v>44286</v>
      </c>
      <c r="C2057" s="332" t="s">
        <v>3301</v>
      </c>
      <c r="D2057" s="332" t="s">
        <v>3302</v>
      </c>
      <c r="E2057" s="332" t="s">
        <v>3162</v>
      </c>
      <c r="F2057" s="336">
        <v>284.43</v>
      </c>
      <c r="G2057" s="330" t="s">
        <v>56</v>
      </c>
      <c r="H2057" s="329">
        <v>284.43</v>
      </c>
      <c r="I2057" s="338">
        <f t="shared" si="108"/>
        <v>71.107500000000002</v>
      </c>
      <c r="J2057" s="338">
        <f t="shared" si="108"/>
        <v>71.107500000000002</v>
      </c>
      <c r="K2057" s="338">
        <f t="shared" si="108"/>
        <v>71.107500000000002</v>
      </c>
      <c r="L2057" s="338">
        <f t="shared" si="108"/>
        <v>71.107500000000002</v>
      </c>
      <c r="M2057" s="339"/>
    </row>
    <row r="2058" spans="1:13" hidden="1" outlineLevel="2" x14ac:dyDescent="0.35">
      <c r="A2058" s="339" t="s">
        <v>208</v>
      </c>
      <c r="B2058" s="331">
        <v>44316</v>
      </c>
      <c r="C2058" s="332" t="s">
        <v>3303</v>
      </c>
      <c r="D2058" s="332" t="s">
        <v>3304</v>
      </c>
      <c r="E2058" s="332" t="s">
        <v>3162</v>
      </c>
      <c r="F2058" s="336">
        <v>273.69</v>
      </c>
      <c r="G2058" s="330" t="s">
        <v>56</v>
      </c>
      <c r="H2058" s="329">
        <v>273.69</v>
      </c>
      <c r="I2058" s="338">
        <f t="shared" si="108"/>
        <v>68.422499999999999</v>
      </c>
      <c r="J2058" s="338">
        <f t="shared" si="108"/>
        <v>68.422499999999999</v>
      </c>
      <c r="K2058" s="338">
        <f t="shared" si="108"/>
        <v>68.422499999999999</v>
      </c>
      <c r="L2058" s="338">
        <f t="shared" si="108"/>
        <v>68.422499999999999</v>
      </c>
      <c r="M2058" s="339"/>
    </row>
    <row r="2059" spans="1:13" hidden="1" outlineLevel="2" x14ac:dyDescent="0.35">
      <c r="A2059" s="339" t="s">
        <v>208</v>
      </c>
      <c r="B2059" s="331">
        <v>44255</v>
      </c>
      <c r="C2059" s="332" t="s">
        <v>3305</v>
      </c>
      <c r="D2059" s="332" t="s">
        <v>3306</v>
      </c>
      <c r="E2059" s="332" t="s">
        <v>3294</v>
      </c>
      <c r="F2059" s="336">
        <v>-0.01</v>
      </c>
      <c r="G2059" s="330" t="s">
        <v>56</v>
      </c>
      <c r="H2059" s="329">
        <v>-0.01</v>
      </c>
      <c r="I2059" s="338">
        <f t="shared" si="108"/>
        <v>-2.5000000000000001E-3</v>
      </c>
      <c r="J2059" s="338">
        <f t="shared" si="108"/>
        <v>-2.5000000000000001E-3</v>
      </c>
      <c r="K2059" s="338">
        <f t="shared" si="108"/>
        <v>-2.5000000000000001E-3</v>
      </c>
      <c r="L2059" s="338">
        <f t="shared" si="108"/>
        <v>-2.5000000000000001E-3</v>
      </c>
      <c r="M2059" s="339"/>
    </row>
    <row r="2060" spans="1:13" hidden="1" outlineLevel="2" x14ac:dyDescent="0.35">
      <c r="A2060" s="339" t="s">
        <v>208</v>
      </c>
      <c r="B2060" s="331">
        <v>44561</v>
      </c>
      <c r="C2060" s="332" t="s">
        <v>3307</v>
      </c>
      <c r="D2060" s="332" t="s">
        <v>3308</v>
      </c>
      <c r="E2060" s="332" t="s">
        <v>3162</v>
      </c>
      <c r="F2060" s="336">
        <v>273.69</v>
      </c>
      <c r="G2060" s="330" t="s">
        <v>56</v>
      </c>
      <c r="H2060" s="329">
        <v>273.69</v>
      </c>
      <c r="I2060" s="338">
        <f t="shared" si="108"/>
        <v>68.422499999999999</v>
      </c>
      <c r="J2060" s="338">
        <f t="shared" si="108"/>
        <v>68.422499999999999</v>
      </c>
      <c r="K2060" s="338">
        <f t="shared" si="108"/>
        <v>68.422499999999999</v>
      </c>
      <c r="L2060" s="338">
        <f t="shared" si="108"/>
        <v>68.422499999999999</v>
      </c>
      <c r="M2060" s="339"/>
    </row>
    <row r="2061" spans="1:13" hidden="1" outlineLevel="2" x14ac:dyDescent="0.35">
      <c r="A2061" s="339" t="s">
        <v>208</v>
      </c>
      <c r="B2061" s="331">
        <v>44561</v>
      </c>
      <c r="C2061" s="332" t="s">
        <v>3309</v>
      </c>
      <c r="D2061" s="332" t="s">
        <v>3310</v>
      </c>
      <c r="E2061" s="332" t="s">
        <v>3162</v>
      </c>
      <c r="F2061" s="336">
        <v>273.69</v>
      </c>
      <c r="G2061" s="330" t="s">
        <v>56</v>
      </c>
      <c r="H2061" s="329">
        <v>273.69</v>
      </c>
      <c r="I2061" s="338">
        <f t="shared" si="108"/>
        <v>68.422499999999999</v>
      </c>
      <c r="J2061" s="338">
        <f t="shared" si="108"/>
        <v>68.422499999999999</v>
      </c>
      <c r="K2061" s="338">
        <f t="shared" si="108"/>
        <v>68.422499999999999</v>
      </c>
      <c r="L2061" s="338">
        <f t="shared" si="108"/>
        <v>68.422499999999999</v>
      </c>
      <c r="M2061" s="339"/>
    </row>
    <row r="2062" spans="1:13" outlineLevel="1" collapsed="1" x14ac:dyDescent="0.35">
      <c r="A2062" s="343" t="s">
        <v>3311</v>
      </c>
      <c r="B2062" s="331"/>
      <c r="C2062" s="332"/>
      <c r="D2062" s="332"/>
      <c r="E2062" s="332"/>
      <c r="F2062" s="336"/>
      <c r="G2062" s="330"/>
      <c r="H2062" s="329">
        <f t="shared" ref="H2062:M2062" si="109">SUBTOTAL(9,H1971:H2061)</f>
        <v>103600.87000000008</v>
      </c>
      <c r="I2062" s="338">
        <f t="shared" si="109"/>
        <v>25900.217500000021</v>
      </c>
      <c r="J2062" s="338">
        <f t="shared" si="109"/>
        <v>25900.217500000021</v>
      </c>
      <c r="K2062" s="338">
        <f t="shared" si="109"/>
        <v>25900.217500000021</v>
      </c>
      <c r="L2062" s="338">
        <f t="shared" si="109"/>
        <v>25900.217500000021</v>
      </c>
      <c r="M2062" s="339">
        <f t="shared" si="109"/>
        <v>0</v>
      </c>
    </row>
    <row r="2063" spans="1:13" hidden="1" outlineLevel="2" x14ac:dyDescent="0.35">
      <c r="A2063" s="339" t="s">
        <v>204</v>
      </c>
      <c r="B2063" s="331">
        <v>43847</v>
      </c>
      <c r="C2063" s="332" t="s">
        <v>1741</v>
      </c>
      <c r="D2063" s="332" t="s">
        <v>3312</v>
      </c>
      <c r="E2063" s="332" t="s">
        <v>710</v>
      </c>
      <c r="F2063" s="336">
        <v>581926</v>
      </c>
      <c r="G2063" s="330" t="s">
        <v>236</v>
      </c>
      <c r="H2063" s="329">
        <v>540.64429122170554</v>
      </c>
      <c r="I2063" s="338">
        <v>135.16107280542639</v>
      </c>
      <c r="J2063" s="338">
        <v>135.16107280542639</v>
      </c>
      <c r="K2063" s="338">
        <v>135.16107280542639</v>
      </c>
      <c r="L2063" s="338">
        <v>135.16107280542639</v>
      </c>
      <c r="M2063" s="350"/>
    </row>
    <row r="2064" spans="1:13" hidden="1" outlineLevel="2" x14ac:dyDescent="0.35">
      <c r="A2064" s="339" t="s">
        <v>204</v>
      </c>
      <c r="B2064" s="331">
        <v>43847</v>
      </c>
      <c r="C2064" s="332" t="s">
        <v>1743</v>
      </c>
      <c r="D2064" s="332" t="s">
        <v>3313</v>
      </c>
      <c r="E2064" s="332" t="s">
        <v>710</v>
      </c>
      <c r="F2064" s="336">
        <v>414549</v>
      </c>
      <c r="G2064" s="330" t="s">
        <v>236</v>
      </c>
      <c r="H2064" s="329">
        <v>385.1409806086458</v>
      </c>
      <c r="I2064" s="338">
        <v>96.285245152161451</v>
      </c>
      <c r="J2064" s="338">
        <v>96.285245152161451</v>
      </c>
      <c r="K2064" s="338">
        <v>96.285245152161451</v>
      </c>
      <c r="L2064" s="338">
        <v>96.285245152161451</v>
      </c>
      <c r="M2064" s="350"/>
    </row>
    <row r="2065" spans="1:13" hidden="1" outlineLevel="2" x14ac:dyDescent="0.35">
      <c r="A2065" s="339" t="s">
        <v>204</v>
      </c>
      <c r="B2065" s="331">
        <v>43881</v>
      </c>
      <c r="C2065" s="332" t="s">
        <v>1060</v>
      </c>
      <c r="D2065" s="332" t="s">
        <v>3314</v>
      </c>
      <c r="E2065" s="332" t="s">
        <v>710</v>
      </c>
      <c r="F2065" s="336">
        <v>582926</v>
      </c>
      <c r="G2065" s="330" t="s">
        <v>236</v>
      </c>
      <c r="H2065" s="329">
        <v>541.57335143077285</v>
      </c>
      <c r="I2065" s="338">
        <v>135.39333785769321</v>
      </c>
      <c r="J2065" s="338">
        <v>135.39333785769321</v>
      </c>
      <c r="K2065" s="338">
        <v>135.39333785769321</v>
      </c>
      <c r="L2065" s="338">
        <v>135.39333785769321</v>
      </c>
      <c r="M2065" s="350"/>
    </row>
    <row r="2066" spans="1:13" hidden="1" outlineLevel="2" x14ac:dyDescent="0.35">
      <c r="A2066" s="339" t="s">
        <v>204</v>
      </c>
      <c r="B2066" s="331">
        <v>43881</v>
      </c>
      <c r="C2066" s="332" t="s">
        <v>1071</v>
      </c>
      <c r="D2066" s="332" t="s">
        <v>3315</v>
      </c>
      <c r="E2066" s="332" t="s">
        <v>710</v>
      </c>
      <c r="F2066" s="336">
        <v>413549</v>
      </c>
      <c r="G2066" s="330" t="s">
        <v>236</v>
      </c>
      <c r="H2066" s="329">
        <v>384.2119203995785</v>
      </c>
      <c r="I2066" s="338">
        <v>96.052980099894626</v>
      </c>
      <c r="J2066" s="338">
        <v>96.052980099894626</v>
      </c>
      <c r="K2066" s="338">
        <v>96.052980099894626</v>
      </c>
      <c r="L2066" s="338">
        <v>96.052980099894626</v>
      </c>
      <c r="M2066" s="350"/>
    </row>
    <row r="2067" spans="1:13" hidden="1" outlineLevel="2" x14ac:dyDescent="0.35">
      <c r="A2067" s="339" t="s">
        <v>204</v>
      </c>
      <c r="B2067" s="331">
        <v>43910</v>
      </c>
      <c r="C2067" s="332" t="s">
        <v>474</v>
      </c>
      <c r="D2067" s="332" t="s">
        <v>3316</v>
      </c>
      <c r="E2067" s="332" t="s">
        <v>710</v>
      </c>
      <c r="F2067" s="336">
        <v>580910</v>
      </c>
      <c r="G2067" s="330" t="s">
        <v>236</v>
      </c>
      <c r="H2067" s="329">
        <v>539.70036604929317</v>
      </c>
      <c r="I2067" s="338">
        <v>134.92509151232329</v>
      </c>
      <c r="J2067" s="338">
        <v>134.92509151232329</v>
      </c>
      <c r="K2067" s="338">
        <v>134.92509151232329</v>
      </c>
      <c r="L2067" s="338">
        <v>134.92509151232329</v>
      </c>
      <c r="M2067" s="350"/>
    </row>
    <row r="2068" spans="1:13" hidden="1" outlineLevel="2" x14ac:dyDescent="0.35">
      <c r="A2068" s="339" t="s">
        <v>204</v>
      </c>
      <c r="B2068" s="331">
        <v>43910</v>
      </c>
      <c r="C2068" s="332" t="s">
        <v>477</v>
      </c>
      <c r="D2068" s="332" t="s">
        <v>3317</v>
      </c>
      <c r="E2068" s="332" t="s">
        <v>710</v>
      </c>
      <c r="F2068" s="336">
        <v>415565</v>
      </c>
      <c r="G2068" s="330" t="s">
        <v>236</v>
      </c>
      <c r="H2068" s="329">
        <v>386.08490578105818</v>
      </c>
      <c r="I2068" s="338">
        <v>96.521226445264546</v>
      </c>
      <c r="J2068" s="338">
        <v>96.521226445264546</v>
      </c>
      <c r="K2068" s="338">
        <v>96.521226445264546</v>
      </c>
      <c r="L2068" s="338">
        <v>96.521226445264546</v>
      </c>
      <c r="M2068" s="350"/>
    </row>
    <row r="2069" spans="1:13" hidden="1" outlineLevel="2" x14ac:dyDescent="0.35">
      <c r="A2069" s="339" t="s">
        <v>204</v>
      </c>
      <c r="B2069" s="331">
        <v>43941</v>
      </c>
      <c r="C2069" s="332" t="s">
        <v>479</v>
      </c>
      <c r="D2069" s="332" t="s">
        <v>3318</v>
      </c>
      <c r="E2069" s="332" t="s">
        <v>710</v>
      </c>
      <c r="F2069" s="336">
        <v>580910</v>
      </c>
      <c r="G2069" s="330" t="s">
        <v>236</v>
      </c>
      <c r="H2069" s="329">
        <v>539.70036604929317</v>
      </c>
      <c r="I2069" s="338">
        <v>134.92509151232329</v>
      </c>
      <c r="J2069" s="338">
        <v>134.92509151232329</v>
      </c>
      <c r="K2069" s="338">
        <v>134.92509151232329</v>
      </c>
      <c r="L2069" s="338">
        <v>134.92509151232329</v>
      </c>
      <c r="M2069" s="350"/>
    </row>
    <row r="2070" spans="1:13" hidden="1" outlineLevel="2" x14ac:dyDescent="0.35">
      <c r="A2070" s="339" t="s">
        <v>204</v>
      </c>
      <c r="B2070" s="331">
        <v>43941</v>
      </c>
      <c r="C2070" s="332" t="s">
        <v>481</v>
      </c>
      <c r="D2070" s="332" t="s">
        <v>3319</v>
      </c>
      <c r="E2070" s="332" t="s">
        <v>710</v>
      </c>
      <c r="F2070" s="336">
        <v>415565</v>
      </c>
      <c r="G2070" s="330" t="s">
        <v>236</v>
      </c>
      <c r="H2070" s="329">
        <v>386.08490578105818</v>
      </c>
      <c r="I2070" s="338">
        <v>96.521226445264546</v>
      </c>
      <c r="J2070" s="338">
        <v>96.521226445264546</v>
      </c>
      <c r="K2070" s="338">
        <v>96.521226445264546</v>
      </c>
      <c r="L2070" s="338">
        <v>96.521226445264546</v>
      </c>
      <c r="M2070" s="350"/>
    </row>
    <row r="2071" spans="1:13" hidden="1" outlineLevel="2" x14ac:dyDescent="0.35">
      <c r="A2071" s="339" t="s">
        <v>204</v>
      </c>
      <c r="B2071" s="331">
        <v>43977</v>
      </c>
      <c r="C2071" s="332" t="s">
        <v>381</v>
      </c>
      <c r="D2071" s="332" t="s">
        <v>3320</v>
      </c>
      <c r="E2071" s="332" t="s">
        <v>710</v>
      </c>
      <c r="F2071" s="336">
        <v>425965</v>
      </c>
      <c r="G2071" s="330" t="s">
        <v>236</v>
      </c>
      <c r="H2071" s="329">
        <v>395.74713195535827</v>
      </c>
      <c r="I2071" s="338">
        <v>98.936782988839568</v>
      </c>
      <c r="J2071" s="338">
        <v>98.936782988839568</v>
      </c>
      <c r="K2071" s="338">
        <v>98.936782988839568</v>
      </c>
      <c r="L2071" s="338">
        <v>98.936782988839568</v>
      </c>
      <c r="M2071" s="350"/>
    </row>
    <row r="2072" spans="1:13" hidden="1" outlineLevel="2" x14ac:dyDescent="0.35">
      <c r="A2072" s="339" t="s">
        <v>204</v>
      </c>
      <c r="B2072" s="331">
        <v>43977</v>
      </c>
      <c r="C2072" s="332" t="s">
        <v>484</v>
      </c>
      <c r="D2072" s="332" t="s">
        <v>3321</v>
      </c>
      <c r="E2072" s="332" t="s">
        <v>710</v>
      </c>
      <c r="F2072" s="336">
        <v>570510</v>
      </c>
      <c r="G2072" s="330" t="s">
        <v>236</v>
      </c>
      <c r="H2072" s="329">
        <v>530.03813987499313</v>
      </c>
      <c r="I2072" s="338">
        <v>132.50953496874828</v>
      </c>
      <c r="J2072" s="338">
        <v>132.50953496874828</v>
      </c>
      <c r="K2072" s="338">
        <v>132.50953496874828</v>
      </c>
      <c r="L2072" s="338">
        <v>132.50953496874828</v>
      </c>
      <c r="M2072" s="350"/>
    </row>
    <row r="2073" spans="1:13" hidden="1" outlineLevel="2" x14ac:dyDescent="0.35">
      <c r="A2073" s="339" t="s">
        <v>204</v>
      </c>
      <c r="B2073" s="331">
        <v>44001</v>
      </c>
      <c r="C2073" s="332" t="s">
        <v>486</v>
      </c>
      <c r="D2073" s="332" t="s">
        <v>3322</v>
      </c>
      <c r="E2073" s="332" t="s">
        <v>710</v>
      </c>
      <c r="F2073" s="336">
        <v>580910</v>
      </c>
      <c r="G2073" s="330" t="s">
        <v>236</v>
      </c>
      <c r="H2073" s="329">
        <v>539.70036604929317</v>
      </c>
      <c r="I2073" s="338">
        <v>134.92509151232329</v>
      </c>
      <c r="J2073" s="338">
        <v>134.92509151232329</v>
      </c>
      <c r="K2073" s="338">
        <v>134.92509151232329</v>
      </c>
      <c r="L2073" s="338">
        <v>134.92509151232329</v>
      </c>
      <c r="M2073" s="350"/>
    </row>
    <row r="2074" spans="1:13" hidden="1" outlineLevel="2" x14ac:dyDescent="0.35">
      <c r="A2074" s="339" t="s">
        <v>204</v>
      </c>
      <c r="B2074" s="331">
        <v>44001</v>
      </c>
      <c r="C2074" s="332" t="s">
        <v>488</v>
      </c>
      <c r="D2074" s="332" t="s">
        <v>3323</v>
      </c>
      <c r="E2074" s="332" t="s">
        <v>710</v>
      </c>
      <c r="F2074" s="336">
        <v>415565</v>
      </c>
      <c r="G2074" s="330" t="s">
        <v>236</v>
      </c>
      <c r="H2074" s="329">
        <v>386.08490578105818</v>
      </c>
      <c r="I2074" s="338">
        <v>96.521226445264546</v>
      </c>
      <c r="J2074" s="338">
        <v>96.521226445264546</v>
      </c>
      <c r="K2074" s="338">
        <v>96.521226445264546</v>
      </c>
      <c r="L2074" s="338">
        <v>96.521226445264546</v>
      </c>
      <c r="M2074" s="350"/>
    </row>
    <row r="2075" spans="1:13" hidden="1" outlineLevel="2" x14ac:dyDescent="0.35">
      <c r="A2075" s="339" t="s">
        <v>204</v>
      </c>
      <c r="B2075" s="331">
        <v>44001</v>
      </c>
      <c r="C2075" s="332" t="s">
        <v>490</v>
      </c>
      <c r="D2075" s="332" t="s">
        <v>3324</v>
      </c>
      <c r="E2075" s="332" t="s">
        <v>710</v>
      </c>
      <c r="F2075" s="336">
        <v>162193</v>
      </c>
      <c r="G2075" s="330" t="s">
        <v>236</v>
      </c>
      <c r="H2075" s="329">
        <v>150.6870624892548</v>
      </c>
      <c r="I2075" s="338">
        <v>37.6717656223137</v>
      </c>
      <c r="J2075" s="338">
        <v>37.6717656223137</v>
      </c>
      <c r="K2075" s="338">
        <v>37.6717656223137</v>
      </c>
      <c r="L2075" s="338">
        <v>37.6717656223137</v>
      </c>
      <c r="M2075" s="350"/>
    </row>
    <row r="2076" spans="1:13" hidden="1" outlineLevel="2" x14ac:dyDescent="0.35">
      <c r="A2076" s="339" t="s">
        <v>204</v>
      </c>
      <c r="B2076" s="331">
        <v>44001</v>
      </c>
      <c r="C2076" s="332" t="s">
        <v>492</v>
      </c>
      <c r="D2076" s="332" t="s">
        <v>3325</v>
      </c>
      <c r="E2076" s="332" t="s">
        <v>710</v>
      </c>
      <c r="F2076" s="336">
        <v>307913</v>
      </c>
      <c r="G2076" s="330" t="s">
        <v>236</v>
      </c>
      <c r="H2076" s="329">
        <v>286.06971615454376</v>
      </c>
      <c r="I2076" s="338">
        <v>71.517429038635939</v>
      </c>
      <c r="J2076" s="338">
        <v>71.517429038635939</v>
      </c>
      <c r="K2076" s="338">
        <v>71.517429038635939</v>
      </c>
      <c r="L2076" s="338">
        <v>71.517429038635939</v>
      </c>
      <c r="M2076" s="350"/>
    </row>
    <row r="2077" spans="1:13" hidden="1" outlineLevel="2" x14ac:dyDescent="0.35">
      <c r="A2077" s="339" t="s">
        <v>204</v>
      </c>
      <c r="B2077" s="331">
        <v>44012</v>
      </c>
      <c r="C2077" s="332" t="s">
        <v>1800</v>
      </c>
      <c r="D2077" s="332" t="s">
        <v>3326</v>
      </c>
      <c r="E2077" s="332" t="s">
        <v>710</v>
      </c>
      <c r="F2077" s="336">
        <v>16000</v>
      </c>
      <c r="G2077" s="330" t="s">
        <v>236</v>
      </c>
      <c r="H2077" s="329">
        <v>14.864963345077017</v>
      </c>
      <c r="I2077" s="338">
        <v>3.7162408362692543</v>
      </c>
      <c r="J2077" s="338">
        <v>3.7162408362692543</v>
      </c>
      <c r="K2077" s="338">
        <v>3.7162408362692543</v>
      </c>
      <c r="L2077" s="338">
        <v>3.7162408362692543</v>
      </c>
      <c r="M2077" s="350"/>
    </row>
    <row r="2078" spans="1:13" hidden="1" outlineLevel="2" x14ac:dyDescent="0.35">
      <c r="A2078" s="339" t="s">
        <v>204</v>
      </c>
      <c r="B2078" s="331">
        <v>44035</v>
      </c>
      <c r="C2078" s="332" t="s">
        <v>494</v>
      </c>
      <c r="D2078" s="332" t="s">
        <v>3327</v>
      </c>
      <c r="E2078" s="332" t="s">
        <v>710</v>
      </c>
      <c r="F2078" s="336">
        <v>603510</v>
      </c>
      <c r="G2078" s="330" t="s">
        <v>236</v>
      </c>
      <c r="H2078" s="329">
        <v>560.69712677421444</v>
      </c>
      <c r="I2078" s="338">
        <v>140.17428169355361</v>
      </c>
      <c r="J2078" s="338">
        <v>140.17428169355361</v>
      </c>
      <c r="K2078" s="338">
        <v>140.17428169355361</v>
      </c>
      <c r="L2078" s="338">
        <v>140.17428169355361</v>
      </c>
      <c r="M2078" s="350"/>
    </row>
    <row r="2079" spans="1:13" hidden="1" outlineLevel="2" x14ac:dyDescent="0.35">
      <c r="A2079" s="339" t="s">
        <v>204</v>
      </c>
      <c r="B2079" s="331">
        <v>44035</v>
      </c>
      <c r="C2079" s="332" t="s">
        <v>496</v>
      </c>
      <c r="D2079" s="332" t="s">
        <v>3328</v>
      </c>
      <c r="E2079" s="332" t="s">
        <v>710</v>
      </c>
      <c r="F2079" s="336">
        <v>432822</v>
      </c>
      <c r="G2079" s="330" t="s">
        <v>236</v>
      </c>
      <c r="H2079" s="329">
        <v>402.1176978089328</v>
      </c>
      <c r="I2079" s="338">
        <v>100.5294244522332</v>
      </c>
      <c r="J2079" s="338">
        <v>100.5294244522332</v>
      </c>
      <c r="K2079" s="338">
        <v>100.5294244522332</v>
      </c>
      <c r="L2079" s="338">
        <v>100.5294244522332</v>
      </c>
      <c r="M2079" s="350"/>
    </row>
    <row r="2080" spans="1:13" hidden="1" outlineLevel="2" x14ac:dyDescent="0.35">
      <c r="A2080" s="339" t="s">
        <v>204</v>
      </c>
      <c r="B2080" s="331">
        <v>44063</v>
      </c>
      <c r="C2080" s="332" t="s">
        <v>496</v>
      </c>
      <c r="D2080" s="332" t="s">
        <v>3328</v>
      </c>
      <c r="E2080" s="332" t="s">
        <v>710</v>
      </c>
      <c r="F2080" s="336">
        <v>432822</v>
      </c>
      <c r="G2080" s="330" t="s">
        <v>236</v>
      </c>
      <c r="H2080" s="329">
        <v>402.1176978089328</v>
      </c>
      <c r="I2080" s="338">
        <v>100.5294244522332</v>
      </c>
      <c r="J2080" s="338">
        <v>100.5294244522332</v>
      </c>
      <c r="K2080" s="338">
        <v>100.5294244522332</v>
      </c>
      <c r="L2080" s="338">
        <v>100.5294244522332</v>
      </c>
      <c r="M2080" s="350"/>
    </row>
    <row r="2081" spans="1:13" hidden="1" outlineLevel="2" x14ac:dyDescent="0.35">
      <c r="A2081" s="339" t="s">
        <v>204</v>
      </c>
      <c r="B2081" s="331">
        <v>44063</v>
      </c>
      <c r="C2081" s="332" t="s">
        <v>498</v>
      </c>
      <c r="D2081" s="332" t="s">
        <v>3329</v>
      </c>
      <c r="E2081" s="332" t="s">
        <v>710</v>
      </c>
      <c r="F2081" s="336">
        <v>603510</v>
      </c>
      <c r="G2081" s="330" t="s">
        <v>236</v>
      </c>
      <c r="H2081" s="329">
        <v>560.69712677421444</v>
      </c>
      <c r="I2081" s="338">
        <v>140.17428169355361</v>
      </c>
      <c r="J2081" s="338">
        <v>140.17428169355361</v>
      </c>
      <c r="K2081" s="338">
        <v>140.17428169355361</v>
      </c>
      <c r="L2081" s="338">
        <v>140.17428169355361</v>
      </c>
      <c r="M2081" s="350"/>
    </row>
    <row r="2082" spans="1:13" hidden="1" outlineLevel="2" x14ac:dyDescent="0.35">
      <c r="A2082" s="339" t="s">
        <v>204</v>
      </c>
      <c r="B2082" s="331">
        <v>44091</v>
      </c>
      <c r="C2082" s="332" t="s">
        <v>500</v>
      </c>
      <c r="D2082" s="332" t="s">
        <v>3330</v>
      </c>
      <c r="E2082" s="332" t="s">
        <v>710</v>
      </c>
      <c r="F2082" s="336">
        <v>432822</v>
      </c>
      <c r="G2082" s="330" t="s">
        <v>236</v>
      </c>
      <c r="H2082" s="329">
        <v>402.1176978089328</v>
      </c>
      <c r="I2082" s="338">
        <v>100.5294244522332</v>
      </c>
      <c r="J2082" s="338">
        <v>100.5294244522332</v>
      </c>
      <c r="K2082" s="338">
        <v>100.5294244522332</v>
      </c>
      <c r="L2082" s="338">
        <v>100.5294244522332</v>
      </c>
      <c r="M2082" s="350"/>
    </row>
    <row r="2083" spans="1:13" hidden="1" outlineLevel="2" x14ac:dyDescent="0.35">
      <c r="A2083" s="339" t="s">
        <v>204</v>
      </c>
      <c r="B2083" s="331">
        <v>44095</v>
      </c>
      <c r="C2083" s="332" t="s">
        <v>502</v>
      </c>
      <c r="D2083" s="332" t="s">
        <v>3331</v>
      </c>
      <c r="E2083" s="332" t="s">
        <v>710</v>
      </c>
      <c r="F2083" s="336">
        <v>603510</v>
      </c>
      <c r="G2083" s="330" t="s">
        <v>236</v>
      </c>
      <c r="H2083" s="329">
        <v>560.69712677421444</v>
      </c>
      <c r="I2083" s="338">
        <v>140.17428169355361</v>
      </c>
      <c r="J2083" s="338">
        <v>140.17428169355361</v>
      </c>
      <c r="K2083" s="338">
        <v>140.17428169355361</v>
      </c>
      <c r="L2083" s="338">
        <v>140.17428169355361</v>
      </c>
      <c r="M2083" s="350"/>
    </row>
    <row r="2084" spans="1:13" hidden="1" outlineLevel="2" x14ac:dyDescent="0.35">
      <c r="A2084" s="339" t="s">
        <v>204</v>
      </c>
      <c r="B2084" s="331">
        <v>44123</v>
      </c>
      <c r="C2084" s="332" t="s">
        <v>504</v>
      </c>
      <c r="D2084" s="332" t="s">
        <v>3332</v>
      </c>
      <c r="E2084" s="332" t="s">
        <v>710</v>
      </c>
      <c r="F2084" s="336">
        <v>432822</v>
      </c>
      <c r="G2084" s="330" t="s">
        <v>236</v>
      </c>
      <c r="H2084" s="329">
        <v>402.1176978089328</v>
      </c>
      <c r="I2084" s="338">
        <v>100.5294244522332</v>
      </c>
      <c r="J2084" s="338">
        <v>100.5294244522332</v>
      </c>
      <c r="K2084" s="338">
        <v>100.5294244522332</v>
      </c>
      <c r="L2084" s="338">
        <v>100.5294244522332</v>
      </c>
      <c r="M2084" s="350"/>
    </row>
    <row r="2085" spans="1:13" hidden="1" outlineLevel="2" x14ac:dyDescent="0.35">
      <c r="A2085" s="339" t="s">
        <v>204</v>
      </c>
      <c r="B2085" s="331">
        <v>44123</v>
      </c>
      <c r="C2085" s="332" t="s">
        <v>506</v>
      </c>
      <c r="D2085" s="332" t="s">
        <v>3333</v>
      </c>
      <c r="E2085" s="332" t="s">
        <v>710</v>
      </c>
      <c r="F2085" s="336">
        <v>603510</v>
      </c>
      <c r="G2085" s="330" t="s">
        <v>236</v>
      </c>
      <c r="H2085" s="329">
        <v>560.69712677421444</v>
      </c>
      <c r="I2085" s="338">
        <v>140.17428169355361</v>
      </c>
      <c r="J2085" s="338">
        <v>140.17428169355361</v>
      </c>
      <c r="K2085" s="338">
        <v>140.17428169355361</v>
      </c>
      <c r="L2085" s="338">
        <v>140.17428169355361</v>
      </c>
      <c r="M2085" s="350"/>
    </row>
    <row r="2086" spans="1:13" hidden="1" outlineLevel="2" x14ac:dyDescent="0.35">
      <c r="A2086" s="339" t="s">
        <v>204</v>
      </c>
      <c r="B2086" s="331">
        <v>44153</v>
      </c>
      <c r="C2086" s="332" t="s">
        <v>508</v>
      </c>
      <c r="D2086" s="332" t="s">
        <v>3334</v>
      </c>
      <c r="E2086" s="332" t="s">
        <v>710</v>
      </c>
      <c r="F2086" s="336">
        <v>603510</v>
      </c>
      <c r="G2086" s="330" t="s">
        <v>236</v>
      </c>
      <c r="H2086" s="329">
        <v>560.69712677421444</v>
      </c>
      <c r="I2086" s="338">
        <v>140.17428169355361</v>
      </c>
      <c r="J2086" s="338">
        <v>140.17428169355361</v>
      </c>
      <c r="K2086" s="338">
        <v>140.17428169355361</v>
      </c>
      <c r="L2086" s="338">
        <v>140.17428169355361</v>
      </c>
      <c r="M2086" s="350"/>
    </row>
    <row r="2087" spans="1:13" hidden="1" outlineLevel="2" x14ac:dyDescent="0.35">
      <c r="A2087" s="339" t="s">
        <v>204</v>
      </c>
      <c r="B2087" s="331">
        <v>44153</v>
      </c>
      <c r="C2087" s="332" t="s">
        <v>510</v>
      </c>
      <c r="D2087" s="332" t="s">
        <v>3335</v>
      </c>
      <c r="E2087" s="332" t="s">
        <v>710</v>
      </c>
      <c r="F2087" s="336">
        <v>432822</v>
      </c>
      <c r="G2087" s="330" t="s">
        <v>236</v>
      </c>
      <c r="H2087" s="329">
        <v>402.1176978089328</v>
      </c>
      <c r="I2087" s="338">
        <v>100.5294244522332</v>
      </c>
      <c r="J2087" s="338">
        <v>100.5294244522332</v>
      </c>
      <c r="K2087" s="338">
        <v>100.5294244522332</v>
      </c>
      <c r="L2087" s="338">
        <v>100.5294244522332</v>
      </c>
      <c r="M2087" s="350"/>
    </row>
    <row r="2088" spans="1:13" hidden="1" outlineLevel="2" x14ac:dyDescent="0.35">
      <c r="A2088" s="339" t="s">
        <v>204</v>
      </c>
      <c r="B2088" s="331">
        <v>44180</v>
      </c>
      <c r="C2088" s="332" t="s">
        <v>512</v>
      </c>
      <c r="D2088" s="332" t="s">
        <v>3336</v>
      </c>
      <c r="E2088" s="332" t="s">
        <v>710</v>
      </c>
      <c r="F2088" s="336">
        <v>432822</v>
      </c>
      <c r="G2088" s="330" t="s">
        <v>236</v>
      </c>
      <c r="H2088" s="329">
        <v>402.1176978089328</v>
      </c>
      <c r="I2088" s="338">
        <v>100.5294244522332</v>
      </c>
      <c r="J2088" s="338">
        <v>100.5294244522332</v>
      </c>
      <c r="K2088" s="338">
        <v>100.5294244522332</v>
      </c>
      <c r="L2088" s="338">
        <v>100.5294244522332</v>
      </c>
      <c r="M2088" s="350"/>
    </row>
    <row r="2089" spans="1:13" hidden="1" outlineLevel="2" x14ac:dyDescent="0.35">
      <c r="A2089" s="339" t="s">
        <v>204</v>
      </c>
      <c r="B2089" s="331">
        <v>44180</v>
      </c>
      <c r="C2089" s="332" t="s">
        <v>514</v>
      </c>
      <c r="D2089" s="332" t="s">
        <v>3337</v>
      </c>
      <c r="E2089" s="332" t="s">
        <v>710</v>
      </c>
      <c r="F2089" s="336">
        <v>603510</v>
      </c>
      <c r="G2089" s="330" t="s">
        <v>236</v>
      </c>
      <c r="H2089" s="329">
        <v>560.69712677421444</v>
      </c>
      <c r="I2089" s="338">
        <v>140.17428169355361</v>
      </c>
      <c r="J2089" s="338">
        <v>140.17428169355361</v>
      </c>
      <c r="K2089" s="338">
        <v>140.17428169355361</v>
      </c>
      <c r="L2089" s="338">
        <v>140.17428169355361</v>
      </c>
      <c r="M2089" s="350"/>
    </row>
    <row r="2090" spans="1:13" hidden="1" outlineLevel="2" x14ac:dyDescent="0.35">
      <c r="A2090" s="339" t="s">
        <v>204</v>
      </c>
      <c r="B2090" s="331">
        <v>44181</v>
      </c>
      <c r="C2090" s="332" t="s">
        <v>516</v>
      </c>
      <c r="D2090" s="332" t="s">
        <v>3338</v>
      </c>
      <c r="E2090" s="332" t="s">
        <v>710</v>
      </c>
      <c r="F2090" s="336">
        <v>304229</v>
      </c>
      <c r="G2090" s="330" t="s">
        <v>236</v>
      </c>
      <c r="H2090" s="329">
        <v>282.64705834433977</v>
      </c>
      <c r="I2090" s="338">
        <v>70.661764586084942</v>
      </c>
      <c r="J2090" s="338">
        <v>70.661764586084942</v>
      </c>
      <c r="K2090" s="338">
        <v>70.661764586084942</v>
      </c>
      <c r="L2090" s="338">
        <v>70.661764586084942</v>
      </c>
      <c r="M2090" s="350"/>
    </row>
    <row r="2091" spans="1:13" hidden="1" outlineLevel="2" x14ac:dyDescent="0.35">
      <c r="A2091" s="339" t="s">
        <v>204</v>
      </c>
      <c r="B2091" s="331">
        <v>44181</v>
      </c>
      <c r="C2091" s="332" t="s">
        <v>328</v>
      </c>
      <c r="D2091" s="332" t="s">
        <v>3339</v>
      </c>
      <c r="E2091" s="332" t="s">
        <v>710</v>
      </c>
      <c r="F2091" s="336">
        <v>201319</v>
      </c>
      <c r="G2091" s="330" t="s">
        <v>236</v>
      </c>
      <c r="H2091" s="329">
        <v>187.03747222922252</v>
      </c>
      <c r="I2091" s="338">
        <v>46.759368057305629</v>
      </c>
      <c r="J2091" s="338">
        <v>46.759368057305629</v>
      </c>
      <c r="K2091" s="338">
        <v>46.759368057305629</v>
      </c>
      <c r="L2091" s="338">
        <v>46.759368057305629</v>
      </c>
      <c r="M2091" s="350"/>
    </row>
    <row r="2092" spans="1:13" hidden="1" outlineLevel="2" x14ac:dyDescent="0.35">
      <c r="A2092" s="339" t="s">
        <v>204</v>
      </c>
      <c r="B2092" s="331">
        <v>43731</v>
      </c>
      <c r="C2092" s="332" t="s">
        <v>1939</v>
      </c>
      <c r="D2092" s="332" t="s">
        <v>3340</v>
      </c>
      <c r="E2092" s="332" t="s">
        <v>3341</v>
      </c>
      <c r="F2092" s="336">
        <v>413549</v>
      </c>
      <c r="G2092" s="330" t="s">
        <v>236</v>
      </c>
      <c r="H2092" s="329">
        <v>407.15860700128439</v>
      </c>
      <c r="I2092" s="338">
        <v>101.7896517503211</v>
      </c>
      <c r="J2092" s="338">
        <v>101.7896517503211</v>
      </c>
      <c r="K2092" s="338">
        <v>101.7896517503211</v>
      </c>
      <c r="L2092" s="338">
        <v>101.7896517503211</v>
      </c>
      <c r="M2092" s="350"/>
    </row>
    <row r="2093" spans="1:13" hidden="1" outlineLevel="2" x14ac:dyDescent="0.35">
      <c r="A2093" s="339" t="s">
        <v>204</v>
      </c>
      <c r="B2093" s="331">
        <v>43752</v>
      </c>
      <c r="C2093" s="332" t="s">
        <v>3342</v>
      </c>
      <c r="D2093" s="332"/>
      <c r="E2093" s="332" t="s">
        <v>3341</v>
      </c>
      <c r="F2093" s="336">
        <v>582926</v>
      </c>
      <c r="G2093" s="330" t="s">
        <v>236</v>
      </c>
      <c r="H2093" s="329">
        <v>573.91829781919603</v>
      </c>
      <c r="I2093" s="338">
        <v>143.47957445479901</v>
      </c>
      <c r="J2093" s="338">
        <v>143.47957445479901</v>
      </c>
      <c r="K2093" s="338">
        <v>143.47957445479901</v>
      </c>
      <c r="L2093" s="338">
        <v>143.47957445479901</v>
      </c>
      <c r="M2093" s="350"/>
    </row>
    <row r="2094" spans="1:13" hidden="1" outlineLevel="2" x14ac:dyDescent="0.35">
      <c r="A2094" s="339" t="s">
        <v>204</v>
      </c>
      <c r="B2094" s="331">
        <v>43760</v>
      </c>
      <c r="C2094" s="332" t="s">
        <v>1844</v>
      </c>
      <c r="D2094" s="332" t="s">
        <v>3343</v>
      </c>
      <c r="E2094" s="332" t="s">
        <v>3341</v>
      </c>
      <c r="F2094" s="336">
        <v>583926</v>
      </c>
      <c r="G2094" s="330" t="s">
        <v>236</v>
      </c>
      <c r="H2094" s="329">
        <v>574.90284525372329</v>
      </c>
      <c r="I2094" s="338">
        <v>143.72571131343082</v>
      </c>
      <c r="J2094" s="338">
        <v>143.72571131343082</v>
      </c>
      <c r="K2094" s="338">
        <v>143.72571131343082</v>
      </c>
      <c r="L2094" s="338">
        <v>143.72571131343082</v>
      </c>
      <c r="M2094" s="350"/>
    </row>
    <row r="2095" spans="1:13" hidden="1" outlineLevel="2" x14ac:dyDescent="0.35">
      <c r="A2095" s="339" t="s">
        <v>204</v>
      </c>
      <c r="B2095" s="331">
        <v>43760</v>
      </c>
      <c r="C2095" s="332" t="s">
        <v>1847</v>
      </c>
      <c r="D2095" s="332" t="s">
        <v>3344</v>
      </c>
      <c r="E2095" s="332" t="s">
        <v>3341</v>
      </c>
      <c r="F2095" s="336">
        <v>412549</v>
      </c>
      <c r="G2095" s="330" t="s">
        <v>236</v>
      </c>
      <c r="H2095" s="329">
        <v>406.17405956675719</v>
      </c>
      <c r="I2095" s="338">
        <v>101.5435148916893</v>
      </c>
      <c r="J2095" s="338">
        <v>101.5435148916893</v>
      </c>
      <c r="K2095" s="338">
        <v>101.5435148916893</v>
      </c>
      <c r="L2095" s="338">
        <v>101.5435148916893</v>
      </c>
      <c r="M2095" s="350"/>
    </row>
    <row r="2096" spans="1:13" hidden="1" outlineLevel="2" x14ac:dyDescent="0.35">
      <c r="A2096" s="339" t="s">
        <v>204</v>
      </c>
      <c r="B2096" s="331">
        <v>44217</v>
      </c>
      <c r="C2096" s="332" t="s">
        <v>373</v>
      </c>
      <c r="D2096" s="332" t="s">
        <v>3345</v>
      </c>
      <c r="E2096" s="332" t="s">
        <v>2276</v>
      </c>
      <c r="F2096" s="336">
        <v>608759</v>
      </c>
      <c r="G2096" s="330" t="s">
        <v>236</v>
      </c>
      <c r="H2096" s="329">
        <v>537.30116548301999</v>
      </c>
      <c r="I2096" s="338">
        <v>134.325291370755</v>
      </c>
      <c r="J2096" s="338">
        <v>134.325291370755</v>
      </c>
      <c r="K2096" s="338">
        <v>134.325291370755</v>
      </c>
      <c r="L2096" s="338">
        <v>134.325291370755</v>
      </c>
      <c r="M2096" s="350"/>
    </row>
    <row r="2097" spans="1:13" hidden="1" outlineLevel="2" x14ac:dyDescent="0.35">
      <c r="A2097" s="339" t="s">
        <v>204</v>
      </c>
      <c r="B2097" s="331">
        <v>44217</v>
      </c>
      <c r="C2097" s="332" t="s">
        <v>376</v>
      </c>
      <c r="D2097" s="332" t="s">
        <v>3346</v>
      </c>
      <c r="E2097" s="332" t="s">
        <v>2276</v>
      </c>
      <c r="F2097" s="336">
        <v>436833</v>
      </c>
      <c r="G2097" s="330" t="s">
        <v>236</v>
      </c>
      <c r="H2097" s="329">
        <v>385.5563203524614</v>
      </c>
      <c r="I2097" s="338">
        <v>96.38908008811535</v>
      </c>
      <c r="J2097" s="338">
        <v>96.38908008811535</v>
      </c>
      <c r="K2097" s="338">
        <v>96.38908008811535</v>
      </c>
      <c r="L2097" s="338">
        <v>96.38908008811535</v>
      </c>
      <c r="M2097" s="350"/>
    </row>
    <row r="2098" spans="1:13" hidden="1" outlineLevel="2" x14ac:dyDescent="0.35">
      <c r="A2098" s="339" t="s">
        <v>204</v>
      </c>
      <c r="B2098" s="331">
        <v>44274</v>
      </c>
      <c r="C2098" s="332" t="s">
        <v>531</v>
      </c>
      <c r="D2098" s="332" t="s">
        <v>3347</v>
      </c>
      <c r="E2098" s="332" t="s">
        <v>3348</v>
      </c>
      <c r="F2098" s="336">
        <v>432822</v>
      </c>
      <c r="G2098" s="330" t="s">
        <v>236</v>
      </c>
      <c r="H2098" s="329">
        <v>369.03918010880693</v>
      </c>
      <c r="I2098" s="329">
        <v>92.259795027201733</v>
      </c>
      <c r="J2098" s="329">
        <v>92.259795027201733</v>
      </c>
      <c r="K2098" s="329">
        <v>92.259795027201733</v>
      </c>
      <c r="L2098" s="329">
        <v>92.259795027201733</v>
      </c>
      <c r="M2098" s="350"/>
    </row>
    <row r="2099" spans="1:13" hidden="1" outlineLevel="2" x14ac:dyDescent="0.35">
      <c r="A2099" s="339" t="s">
        <v>204</v>
      </c>
      <c r="B2099" s="331">
        <v>44274</v>
      </c>
      <c r="C2099" s="332" t="s">
        <v>533</v>
      </c>
      <c r="D2099" s="332" t="s">
        <v>3349</v>
      </c>
      <c r="E2099" s="332" t="s">
        <v>3348</v>
      </c>
      <c r="F2099" s="336">
        <v>603510</v>
      </c>
      <c r="G2099" s="330" t="s">
        <v>236</v>
      </c>
      <c r="H2099" s="329">
        <v>514.57374067738249</v>
      </c>
      <c r="I2099" s="329">
        <v>128.64343516934562</v>
      </c>
      <c r="J2099" s="329">
        <v>128.64343516934562</v>
      </c>
      <c r="K2099" s="329">
        <v>128.64343516934562</v>
      </c>
      <c r="L2099" s="329">
        <v>128.64343516934562</v>
      </c>
      <c r="M2099" s="350"/>
    </row>
    <row r="2100" spans="1:13" hidden="1" outlineLevel="2" x14ac:dyDescent="0.35">
      <c r="A2100" s="339" t="s">
        <v>204</v>
      </c>
      <c r="B2100" s="331">
        <v>44306</v>
      </c>
      <c r="C2100" s="332" t="s">
        <v>408</v>
      </c>
      <c r="D2100" s="332" t="s">
        <v>3350</v>
      </c>
      <c r="E2100" s="332" t="s">
        <v>3348</v>
      </c>
      <c r="F2100" s="336">
        <v>603510</v>
      </c>
      <c r="G2100" s="330" t="s">
        <v>236</v>
      </c>
      <c r="H2100" s="329">
        <v>514.57374067738249</v>
      </c>
      <c r="I2100" s="329">
        <v>128.64343516934562</v>
      </c>
      <c r="J2100" s="329">
        <v>128.64343516934562</v>
      </c>
      <c r="K2100" s="329">
        <v>128.64343516934562</v>
      </c>
      <c r="L2100" s="329">
        <v>128.64343516934562</v>
      </c>
      <c r="M2100" s="350"/>
    </row>
    <row r="2101" spans="1:13" hidden="1" outlineLevel="2" x14ac:dyDescent="0.35">
      <c r="A2101" s="339" t="s">
        <v>204</v>
      </c>
      <c r="B2101" s="331">
        <v>44306</v>
      </c>
      <c r="C2101" s="332" t="s">
        <v>411</v>
      </c>
      <c r="D2101" s="332" t="s">
        <v>3351</v>
      </c>
      <c r="E2101" s="332" t="s">
        <v>3348</v>
      </c>
      <c r="F2101" s="336">
        <v>432822</v>
      </c>
      <c r="G2101" s="330" t="s">
        <v>236</v>
      </c>
      <c r="H2101" s="329">
        <v>369.03918010880693</v>
      </c>
      <c r="I2101" s="329">
        <v>92.259795027201733</v>
      </c>
      <c r="J2101" s="329">
        <v>92.259795027201733</v>
      </c>
      <c r="K2101" s="329">
        <v>92.259795027201733</v>
      </c>
      <c r="L2101" s="329">
        <v>92.259795027201733</v>
      </c>
      <c r="M2101" s="350"/>
    </row>
    <row r="2102" spans="1:13" hidden="1" outlineLevel="2" x14ac:dyDescent="0.35">
      <c r="A2102" s="339" t="s">
        <v>204</v>
      </c>
      <c r="B2102" s="331">
        <v>43783</v>
      </c>
      <c r="C2102" s="332" t="s">
        <v>1817</v>
      </c>
      <c r="D2102" s="332" t="s">
        <v>3352</v>
      </c>
      <c r="E2102" s="332" t="s">
        <v>710</v>
      </c>
      <c r="F2102" s="336">
        <v>412549</v>
      </c>
      <c r="G2102" s="330" t="s">
        <v>236</v>
      </c>
      <c r="H2102" s="329">
        <v>406.17405956675719</v>
      </c>
      <c r="I2102" s="338">
        <v>101.5435148916893</v>
      </c>
      <c r="J2102" s="338">
        <v>101.5435148916893</v>
      </c>
      <c r="K2102" s="338">
        <v>101.5435148916893</v>
      </c>
      <c r="L2102" s="338">
        <v>101.5435148916893</v>
      </c>
      <c r="M2102" s="350"/>
    </row>
    <row r="2103" spans="1:13" hidden="1" outlineLevel="2" x14ac:dyDescent="0.35">
      <c r="A2103" s="339" t="s">
        <v>204</v>
      </c>
      <c r="B2103" s="331">
        <v>43783</v>
      </c>
      <c r="C2103" s="332" t="s">
        <v>1663</v>
      </c>
      <c r="D2103" s="332" t="s">
        <v>3353</v>
      </c>
      <c r="E2103" s="332" t="s">
        <v>710</v>
      </c>
      <c r="F2103" s="336">
        <v>583926</v>
      </c>
      <c r="G2103" s="330" t="s">
        <v>236</v>
      </c>
      <c r="H2103" s="329">
        <v>574.90284525372329</v>
      </c>
      <c r="I2103" s="338">
        <v>143.72571131343082</v>
      </c>
      <c r="J2103" s="338">
        <v>143.72571131343082</v>
      </c>
      <c r="K2103" s="338">
        <v>143.72571131343082</v>
      </c>
      <c r="L2103" s="338">
        <v>143.72571131343082</v>
      </c>
      <c r="M2103" s="350"/>
    </row>
    <row r="2104" spans="1:13" hidden="1" outlineLevel="2" x14ac:dyDescent="0.35">
      <c r="A2104" s="339" t="s">
        <v>204</v>
      </c>
      <c r="B2104" s="331">
        <v>43817</v>
      </c>
      <c r="C2104" s="332" t="s">
        <v>1753</v>
      </c>
      <c r="D2104" s="332" t="s">
        <v>3354</v>
      </c>
      <c r="E2104" s="332" t="s">
        <v>710</v>
      </c>
      <c r="F2104" s="336">
        <v>339147</v>
      </c>
      <c r="G2104" s="330" t="s">
        <v>236</v>
      </c>
      <c r="H2104" s="329">
        <v>333.90630877759247</v>
      </c>
      <c r="I2104" s="338">
        <v>83.476577194398118</v>
      </c>
      <c r="J2104" s="338">
        <v>83.476577194398118</v>
      </c>
      <c r="K2104" s="338">
        <v>83.476577194398118</v>
      </c>
      <c r="L2104" s="338">
        <v>83.476577194398118</v>
      </c>
      <c r="M2104" s="350"/>
    </row>
    <row r="2105" spans="1:13" hidden="1" outlineLevel="2" x14ac:dyDescent="0.35">
      <c r="A2105" s="339" t="s">
        <v>204</v>
      </c>
      <c r="B2105" s="331">
        <v>43817</v>
      </c>
      <c r="C2105" s="332" t="s">
        <v>1755</v>
      </c>
      <c r="D2105" s="332" t="s">
        <v>3355</v>
      </c>
      <c r="E2105" s="332" t="s">
        <v>710</v>
      </c>
      <c r="F2105" s="336">
        <v>535041</v>
      </c>
      <c r="G2105" s="330" t="s">
        <v>236</v>
      </c>
      <c r="H2105" s="329">
        <v>526.77324391686159</v>
      </c>
      <c r="I2105" s="338">
        <v>131.6933109792154</v>
      </c>
      <c r="J2105" s="338">
        <v>131.6933109792154</v>
      </c>
      <c r="K2105" s="338">
        <v>131.6933109792154</v>
      </c>
      <c r="L2105" s="338">
        <v>131.6933109792154</v>
      </c>
      <c r="M2105" s="350"/>
    </row>
    <row r="2106" spans="1:13" hidden="1" outlineLevel="2" x14ac:dyDescent="0.35">
      <c r="A2106" s="339" t="s">
        <v>204</v>
      </c>
      <c r="B2106" s="331">
        <v>43817</v>
      </c>
      <c r="C2106" s="332" t="s">
        <v>824</v>
      </c>
      <c r="D2106" s="332" t="s">
        <v>3356</v>
      </c>
      <c r="E2106" s="332" t="s">
        <v>710</v>
      </c>
      <c r="F2106" s="336">
        <v>583926</v>
      </c>
      <c r="G2106" s="330" t="s">
        <v>236</v>
      </c>
      <c r="H2106" s="329">
        <v>574.90284525372329</v>
      </c>
      <c r="I2106" s="338">
        <v>143.72571131343082</v>
      </c>
      <c r="J2106" s="338">
        <v>143.72571131343082</v>
      </c>
      <c r="K2106" s="338">
        <v>143.72571131343082</v>
      </c>
      <c r="L2106" s="338">
        <v>143.72571131343082</v>
      </c>
      <c r="M2106" s="350"/>
    </row>
    <row r="2107" spans="1:13" hidden="1" outlineLevel="2" x14ac:dyDescent="0.35">
      <c r="A2107" s="339" t="s">
        <v>204</v>
      </c>
      <c r="B2107" s="331">
        <v>44334</v>
      </c>
      <c r="C2107" s="332" t="s">
        <v>413</v>
      </c>
      <c r="D2107" s="332" t="s">
        <v>3357</v>
      </c>
      <c r="E2107" s="332" t="s">
        <v>3348</v>
      </c>
      <c r="F2107" s="336">
        <v>571172</v>
      </c>
      <c r="G2107" s="330" t="s">
        <v>236</v>
      </c>
      <c r="H2107" s="329">
        <v>487.00123048529758</v>
      </c>
      <c r="I2107" s="329">
        <v>121.7503076213244</v>
      </c>
      <c r="J2107" s="329">
        <v>121.7503076213244</v>
      </c>
      <c r="K2107" s="329">
        <v>121.7503076213244</v>
      </c>
      <c r="L2107" s="329">
        <v>121.7503076213244</v>
      </c>
      <c r="M2107" s="350"/>
    </row>
    <row r="2108" spans="1:13" hidden="1" outlineLevel="2" x14ac:dyDescent="0.35">
      <c r="A2108" s="339" t="s">
        <v>204</v>
      </c>
      <c r="B2108" s="331">
        <v>44334</v>
      </c>
      <c r="C2108" s="332" t="s">
        <v>415</v>
      </c>
      <c r="D2108" s="332" t="s">
        <v>3358</v>
      </c>
      <c r="E2108" s="332" t="s">
        <v>3348</v>
      </c>
      <c r="F2108" s="336">
        <v>465160</v>
      </c>
      <c r="G2108" s="330" t="s">
        <v>236</v>
      </c>
      <c r="H2108" s="329">
        <v>396.61169030089189</v>
      </c>
      <c r="I2108" s="329">
        <v>99.152922575222973</v>
      </c>
      <c r="J2108" s="329">
        <v>99.152922575222973</v>
      </c>
      <c r="K2108" s="329">
        <v>99.152922575222973</v>
      </c>
      <c r="L2108" s="329">
        <v>99.152922575222973</v>
      </c>
      <c r="M2108" s="350"/>
    </row>
    <row r="2109" spans="1:13" hidden="1" outlineLevel="2" x14ac:dyDescent="0.35">
      <c r="A2109" s="339" t="s">
        <v>204</v>
      </c>
      <c r="B2109" s="331">
        <v>44365</v>
      </c>
      <c r="C2109" s="332" t="s">
        <v>417</v>
      </c>
      <c r="D2109" s="332" t="s">
        <v>3359</v>
      </c>
      <c r="E2109" s="332" t="s">
        <v>3348</v>
      </c>
      <c r="F2109" s="336">
        <v>603510</v>
      </c>
      <c r="G2109" s="330" t="s">
        <v>236</v>
      </c>
      <c r="H2109" s="329">
        <v>514.57374067738249</v>
      </c>
      <c r="I2109" s="329">
        <v>128.64343516934562</v>
      </c>
      <c r="J2109" s="329">
        <v>128.64343516934562</v>
      </c>
      <c r="K2109" s="329">
        <v>128.64343516934562</v>
      </c>
      <c r="L2109" s="329">
        <v>128.64343516934562</v>
      </c>
      <c r="M2109" s="350"/>
    </row>
    <row r="2110" spans="1:13" hidden="1" outlineLevel="2" x14ac:dyDescent="0.35">
      <c r="A2110" s="339" t="s">
        <v>204</v>
      </c>
      <c r="B2110" s="331">
        <v>44365</v>
      </c>
      <c r="C2110" s="332" t="s">
        <v>419</v>
      </c>
      <c r="D2110" s="332" t="s">
        <v>3360</v>
      </c>
      <c r="E2110" s="332" t="s">
        <v>3348</v>
      </c>
      <c r="F2110" s="336">
        <v>318628</v>
      </c>
      <c r="G2110" s="330" t="s">
        <v>236</v>
      </c>
      <c r="H2110" s="329">
        <v>271.6733804652003</v>
      </c>
      <c r="I2110" s="329">
        <v>67.918345116300074</v>
      </c>
      <c r="J2110" s="329">
        <v>67.918345116300074</v>
      </c>
      <c r="K2110" s="329">
        <v>67.918345116300074</v>
      </c>
      <c r="L2110" s="329">
        <v>67.918345116300074</v>
      </c>
      <c r="M2110" s="350"/>
    </row>
    <row r="2111" spans="1:13" hidden="1" outlineLevel="2" x14ac:dyDescent="0.35">
      <c r="A2111" s="339" t="s">
        <v>204</v>
      </c>
      <c r="B2111" s="331">
        <v>44365</v>
      </c>
      <c r="C2111" s="332" t="s">
        <v>421</v>
      </c>
      <c r="D2111" s="332" t="s">
        <v>3361</v>
      </c>
      <c r="E2111" s="332" t="s">
        <v>3362</v>
      </c>
      <c r="F2111" s="336">
        <v>186620</v>
      </c>
      <c r="G2111" s="330" t="s">
        <v>236</v>
      </c>
      <c r="H2111" s="329">
        <v>159.1187411728275</v>
      </c>
      <c r="I2111" s="329">
        <v>39.779685293206875</v>
      </c>
      <c r="J2111" s="329">
        <v>39.779685293206875</v>
      </c>
      <c r="K2111" s="329">
        <v>39.779685293206875</v>
      </c>
      <c r="L2111" s="329">
        <v>39.779685293206875</v>
      </c>
      <c r="M2111" s="350"/>
    </row>
    <row r="2112" spans="1:13" hidden="1" outlineLevel="2" x14ac:dyDescent="0.35">
      <c r="A2112" s="339" t="s">
        <v>204</v>
      </c>
      <c r="B2112" s="331">
        <v>44365</v>
      </c>
      <c r="C2112" s="332" t="s">
        <v>423</v>
      </c>
      <c r="D2112" s="332" t="s">
        <v>3363</v>
      </c>
      <c r="E2112" s="332" t="s">
        <v>3348</v>
      </c>
      <c r="F2112" s="336">
        <v>432822</v>
      </c>
      <c r="G2112" s="330" t="s">
        <v>236</v>
      </c>
      <c r="H2112" s="329">
        <v>369.03918010880693</v>
      </c>
      <c r="I2112" s="329">
        <v>92.259795027201733</v>
      </c>
      <c r="J2112" s="329">
        <v>92.259795027201733</v>
      </c>
      <c r="K2112" s="329">
        <v>92.259795027201733</v>
      </c>
      <c r="L2112" s="329">
        <v>92.259795027201733</v>
      </c>
      <c r="M2112" s="350"/>
    </row>
    <row r="2113" spans="1:13" hidden="1" outlineLevel="2" x14ac:dyDescent="0.35">
      <c r="A2113" s="339" t="s">
        <v>204</v>
      </c>
      <c r="B2113" s="331">
        <v>44407</v>
      </c>
      <c r="C2113" s="332" t="s">
        <v>378</v>
      </c>
      <c r="D2113" s="332" t="s">
        <v>3364</v>
      </c>
      <c r="E2113" s="332" t="s">
        <v>3348</v>
      </c>
      <c r="F2113" s="336">
        <v>627014</v>
      </c>
      <c r="G2113" s="330" t="s">
        <v>236</v>
      </c>
      <c r="H2113" s="329">
        <v>534.6140733990959</v>
      </c>
      <c r="I2113" s="329">
        <v>133.65351834977398</v>
      </c>
      <c r="J2113" s="329">
        <v>133.65351834977398</v>
      </c>
      <c r="K2113" s="329">
        <v>133.65351834977398</v>
      </c>
      <c r="L2113" s="329">
        <v>133.65351834977398</v>
      </c>
      <c r="M2113" s="350"/>
    </row>
    <row r="2114" spans="1:13" hidden="1" outlineLevel="2" x14ac:dyDescent="0.35">
      <c r="A2114" s="339" t="s">
        <v>204</v>
      </c>
      <c r="B2114" s="331">
        <v>44407</v>
      </c>
      <c r="C2114" s="332" t="s">
        <v>381</v>
      </c>
      <c r="D2114" s="332" t="s">
        <v>3365</v>
      </c>
      <c r="E2114" s="332" t="s">
        <v>2249</v>
      </c>
      <c r="F2114" s="336">
        <v>427833</v>
      </c>
      <c r="G2114" s="330" t="s">
        <v>236</v>
      </c>
      <c r="H2114" s="329">
        <v>364.78538416136701</v>
      </c>
      <c r="I2114" s="329">
        <v>91.196346040341751</v>
      </c>
      <c r="J2114" s="329">
        <v>91.196346040341751</v>
      </c>
      <c r="K2114" s="329">
        <v>91.196346040341751</v>
      </c>
      <c r="L2114" s="329">
        <v>91.196346040341751</v>
      </c>
      <c r="M2114" s="350"/>
    </row>
    <row r="2115" spans="1:13" hidden="1" outlineLevel="2" x14ac:dyDescent="0.35">
      <c r="A2115" s="339" t="s">
        <v>204</v>
      </c>
      <c r="B2115" s="331">
        <v>44407</v>
      </c>
      <c r="C2115" s="332" t="s">
        <v>381</v>
      </c>
      <c r="D2115" s="332" t="s">
        <v>3366</v>
      </c>
      <c r="E2115" s="332" t="s">
        <v>3348</v>
      </c>
      <c r="F2115" s="336">
        <v>450773</v>
      </c>
      <c r="G2115" s="330" t="s">
        <v>236</v>
      </c>
      <c r="H2115" s="329">
        <v>384.3448307507179</v>
      </c>
      <c r="I2115" s="329">
        <v>96.086207687679476</v>
      </c>
      <c r="J2115" s="329">
        <v>96.086207687679476</v>
      </c>
      <c r="K2115" s="329">
        <v>96.086207687679476</v>
      </c>
      <c r="L2115" s="329">
        <v>96.086207687679476</v>
      </c>
      <c r="M2115" s="350"/>
    </row>
    <row r="2116" spans="1:13" hidden="1" outlineLevel="2" x14ac:dyDescent="0.35">
      <c r="A2116" s="339" t="s">
        <v>204</v>
      </c>
      <c r="B2116" s="331">
        <v>44428</v>
      </c>
      <c r="C2116" s="332" t="s">
        <v>384</v>
      </c>
      <c r="D2116" s="332" t="s">
        <v>3367</v>
      </c>
      <c r="E2116" s="332" t="s">
        <v>3348</v>
      </c>
      <c r="F2116" s="336">
        <v>627014</v>
      </c>
      <c r="G2116" s="330" t="s">
        <v>236</v>
      </c>
      <c r="H2116" s="329">
        <v>534.6140733990959</v>
      </c>
      <c r="I2116" s="329">
        <v>133.65351834977398</v>
      </c>
      <c r="J2116" s="329">
        <v>133.65351834977398</v>
      </c>
      <c r="K2116" s="329">
        <v>133.65351834977398</v>
      </c>
      <c r="L2116" s="329">
        <v>133.65351834977398</v>
      </c>
      <c r="M2116" s="350"/>
    </row>
    <row r="2117" spans="1:13" hidden="1" outlineLevel="2" x14ac:dyDescent="0.35">
      <c r="A2117" s="339" t="s">
        <v>204</v>
      </c>
      <c r="B2117" s="331">
        <v>44428</v>
      </c>
      <c r="C2117" s="332" t="s">
        <v>386</v>
      </c>
      <c r="D2117" s="332" t="s">
        <v>3368</v>
      </c>
      <c r="E2117" s="332" t="s">
        <v>3348</v>
      </c>
      <c r="F2117" s="336">
        <v>450773</v>
      </c>
      <c r="G2117" s="330" t="s">
        <v>236</v>
      </c>
      <c r="H2117" s="329">
        <v>384.3448307507179</v>
      </c>
      <c r="I2117" s="329">
        <v>96.086207687679476</v>
      </c>
      <c r="J2117" s="329">
        <v>96.086207687679476</v>
      </c>
      <c r="K2117" s="329">
        <v>96.086207687679476</v>
      </c>
      <c r="L2117" s="329">
        <v>96.086207687679476</v>
      </c>
      <c r="M2117" s="350"/>
    </row>
    <row r="2118" spans="1:13" hidden="1" outlineLevel="2" x14ac:dyDescent="0.35">
      <c r="A2118" s="339" t="s">
        <v>204</v>
      </c>
      <c r="B2118" s="331">
        <v>44460</v>
      </c>
      <c r="C2118" s="332" t="s">
        <v>388</v>
      </c>
      <c r="D2118" s="332" t="s">
        <v>3367</v>
      </c>
      <c r="E2118" s="332" t="s">
        <v>3348</v>
      </c>
      <c r="F2118" s="336">
        <v>627014</v>
      </c>
      <c r="G2118" s="330" t="s">
        <v>236</v>
      </c>
      <c r="H2118" s="329">
        <v>534.6140733990959</v>
      </c>
      <c r="I2118" s="329">
        <v>133.65351834977398</v>
      </c>
      <c r="J2118" s="329">
        <v>133.65351834977398</v>
      </c>
      <c r="K2118" s="329">
        <v>133.65351834977398</v>
      </c>
      <c r="L2118" s="329">
        <v>133.65351834977398</v>
      </c>
      <c r="M2118" s="350"/>
    </row>
    <row r="2119" spans="1:13" hidden="1" outlineLevel="2" x14ac:dyDescent="0.35">
      <c r="A2119" s="339" t="s">
        <v>204</v>
      </c>
      <c r="B2119" s="331">
        <v>44460</v>
      </c>
      <c r="C2119" s="332" t="s">
        <v>389</v>
      </c>
      <c r="D2119" s="332" t="s">
        <v>3368</v>
      </c>
      <c r="E2119" s="332" t="s">
        <v>3348</v>
      </c>
      <c r="F2119" s="336">
        <v>450773</v>
      </c>
      <c r="G2119" s="330" t="s">
        <v>236</v>
      </c>
      <c r="H2119" s="329">
        <v>384.3448307507179</v>
      </c>
      <c r="I2119" s="329">
        <v>96.086207687679476</v>
      </c>
      <c r="J2119" s="329">
        <v>96.086207687679476</v>
      </c>
      <c r="K2119" s="329">
        <v>96.086207687679476</v>
      </c>
      <c r="L2119" s="329">
        <v>96.086207687679476</v>
      </c>
      <c r="M2119" s="350"/>
    </row>
    <row r="2120" spans="1:13" hidden="1" outlineLevel="2" x14ac:dyDescent="0.35">
      <c r="A2120" s="339" t="s">
        <v>204</v>
      </c>
      <c r="B2120" s="331">
        <v>44490</v>
      </c>
      <c r="C2120" s="332" t="s">
        <v>390</v>
      </c>
      <c r="D2120" s="332" t="s">
        <v>3369</v>
      </c>
      <c r="E2120" s="332" t="s">
        <v>2326</v>
      </c>
      <c r="F2120" s="336">
        <v>627014</v>
      </c>
      <c r="G2120" s="330" t="s">
        <v>236</v>
      </c>
      <c r="H2120" s="329">
        <v>534.6140733990959</v>
      </c>
      <c r="I2120" s="329">
        <v>133.65351834977398</v>
      </c>
      <c r="J2120" s="329">
        <v>133.65351834977398</v>
      </c>
      <c r="K2120" s="329">
        <v>133.65351834977398</v>
      </c>
      <c r="L2120" s="329">
        <v>133.65351834977398</v>
      </c>
      <c r="M2120" s="350"/>
    </row>
    <row r="2121" spans="1:13" hidden="1" outlineLevel="2" x14ac:dyDescent="0.35">
      <c r="A2121" s="339" t="s">
        <v>204</v>
      </c>
      <c r="B2121" s="331">
        <v>44498</v>
      </c>
      <c r="C2121" s="332" t="s">
        <v>392</v>
      </c>
      <c r="D2121" s="332" t="s">
        <v>3370</v>
      </c>
      <c r="E2121" s="332" t="s">
        <v>2326</v>
      </c>
      <c r="F2121" s="336">
        <v>450773</v>
      </c>
      <c r="G2121" s="330" t="s">
        <v>236</v>
      </c>
      <c r="H2121" s="329">
        <v>384.3448307507179</v>
      </c>
      <c r="I2121" s="329">
        <v>96.086207687679476</v>
      </c>
      <c r="J2121" s="329">
        <v>96.086207687679476</v>
      </c>
      <c r="K2121" s="329">
        <v>96.086207687679476</v>
      </c>
      <c r="L2121" s="329">
        <v>96.086207687679476</v>
      </c>
      <c r="M2121" s="350"/>
    </row>
    <row r="2122" spans="1:13" hidden="1" outlineLevel="2" x14ac:dyDescent="0.35">
      <c r="A2122" s="339" t="s">
        <v>204</v>
      </c>
      <c r="B2122" s="331">
        <v>44519</v>
      </c>
      <c r="C2122" s="332" t="s">
        <v>394</v>
      </c>
      <c r="D2122" s="332" t="s">
        <v>3371</v>
      </c>
      <c r="E2122" s="332" t="s">
        <v>2326</v>
      </c>
      <c r="F2122" s="336">
        <v>627014</v>
      </c>
      <c r="G2122" s="330" t="s">
        <v>236</v>
      </c>
      <c r="H2122" s="329">
        <v>534.6140733990959</v>
      </c>
      <c r="I2122" s="329">
        <v>133.65351834977398</v>
      </c>
      <c r="J2122" s="329">
        <v>133.65351834977398</v>
      </c>
      <c r="K2122" s="329">
        <v>133.65351834977398</v>
      </c>
      <c r="L2122" s="329">
        <v>133.65351834977398</v>
      </c>
      <c r="M2122" s="350"/>
    </row>
    <row r="2123" spans="1:13" hidden="1" outlineLevel="2" x14ac:dyDescent="0.35">
      <c r="A2123" s="339" t="s">
        <v>204</v>
      </c>
      <c r="B2123" s="331">
        <v>44519</v>
      </c>
      <c r="C2123" s="332" t="s">
        <v>396</v>
      </c>
      <c r="D2123" s="332" t="s">
        <v>3372</v>
      </c>
      <c r="E2123" s="332" t="s">
        <v>2326</v>
      </c>
      <c r="F2123" s="336">
        <v>450773</v>
      </c>
      <c r="G2123" s="330" t="s">
        <v>236</v>
      </c>
      <c r="H2123" s="329">
        <v>384.3448307507179</v>
      </c>
      <c r="I2123" s="329">
        <v>96.086207687679476</v>
      </c>
      <c r="J2123" s="329">
        <v>96.086207687679476</v>
      </c>
      <c r="K2123" s="329">
        <v>96.086207687679476</v>
      </c>
      <c r="L2123" s="329">
        <v>96.086207687679476</v>
      </c>
      <c r="M2123" s="350"/>
    </row>
    <row r="2124" spans="1:13" hidden="1" outlineLevel="2" x14ac:dyDescent="0.35">
      <c r="A2124" s="339" t="s">
        <v>204</v>
      </c>
      <c r="B2124" s="331">
        <v>44543</v>
      </c>
      <c r="C2124" s="332" t="s">
        <v>398</v>
      </c>
      <c r="D2124" s="332" t="s">
        <v>3373</v>
      </c>
      <c r="E2124" s="332" t="s">
        <v>2326</v>
      </c>
      <c r="F2124" s="336">
        <v>627014</v>
      </c>
      <c r="G2124" s="330" t="s">
        <v>236</v>
      </c>
      <c r="H2124" s="329">
        <v>534.6140733990959</v>
      </c>
      <c r="I2124" s="329">
        <v>133.65351834977398</v>
      </c>
      <c r="J2124" s="329">
        <v>133.65351834977398</v>
      </c>
      <c r="K2124" s="329">
        <v>133.65351834977398</v>
      </c>
      <c r="L2124" s="329">
        <v>133.65351834977398</v>
      </c>
      <c r="M2124" s="350"/>
    </row>
    <row r="2125" spans="1:13" hidden="1" outlineLevel="2" x14ac:dyDescent="0.35">
      <c r="A2125" s="339" t="s">
        <v>204</v>
      </c>
      <c r="B2125" s="331">
        <v>44543</v>
      </c>
      <c r="C2125" s="332" t="s">
        <v>401</v>
      </c>
      <c r="D2125" s="332" t="s">
        <v>3374</v>
      </c>
      <c r="E2125" s="332" t="s">
        <v>2326</v>
      </c>
      <c r="F2125" s="336">
        <v>331373</v>
      </c>
      <c r="G2125" s="330" t="s">
        <v>236</v>
      </c>
      <c r="H2125" s="329">
        <v>282.54021336760997</v>
      </c>
      <c r="I2125" s="329">
        <v>70.635053341902491</v>
      </c>
      <c r="J2125" s="329">
        <v>70.635053341902491</v>
      </c>
      <c r="K2125" s="329">
        <v>70.635053341902491</v>
      </c>
      <c r="L2125" s="329">
        <v>70.635053341902491</v>
      </c>
      <c r="M2125" s="350"/>
    </row>
    <row r="2126" spans="1:13" hidden="1" outlineLevel="2" x14ac:dyDescent="0.35">
      <c r="A2126" s="339" t="s">
        <v>204</v>
      </c>
      <c r="B2126" s="331">
        <v>44543</v>
      </c>
      <c r="C2126" s="332" t="s">
        <v>403</v>
      </c>
      <c r="D2126" s="332" t="s">
        <v>3375</v>
      </c>
      <c r="E2126" s="332" t="s">
        <v>2326</v>
      </c>
      <c r="F2126" s="336">
        <v>450773</v>
      </c>
      <c r="G2126" s="330" t="s">
        <v>236</v>
      </c>
      <c r="H2126" s="329">
        <v>384.3448307507179</v>
      </c>
      <c r="I2126" s="329">
        <v>96.086207687679476</v>
      </c>
      <c r="J2126" s="329">
        <v>96.086207687679476</v>
      </c>
      <c r="K2126" s="329">
        <v>96.086207687679476</v>
      </c>
      <c r="L2126" s="329">
        <v>96.086207687679476</v>
      </c>
      <c r="M2126" s="350"/>
    </row>
    <row r="2127" spans="1:13" hidden="1" outlineLevel="2" x14ac:dyDescent="0.35">
      <c r="A2127" s="339" t="s">
        <v>204</v>
      </c>
      <c r="B2127" s="331">
        <v>44543</v>
      </c>
      <c r="C2127" s="332" t="s">
        <v>405</v>
      </c>
      <c r="D2127" s="332" t="s">
        <v>3376</v>
      </c>
      <c r="E2127" s="332" t="s">
        <v>2326</v>
      </c>
      <c r="F2127" s="336">
        <v>194397</v>
      </c>
      <c r="G2127" s="330" t="s">
        <v>236</v>
      </c>
      <c r="H2127" s="329">
        <v>165.74968346251285</v>
      </c>
      <c r="I2127" s="329">
        <v>41.437420865628212</v>
      </c>
      <c r="J2127" s="329">
        <v>41.437420865628212</v>
      </c>
      <c r="K2127" s="329">
        <v>41.437420865628212</v>
      </c>
      <c r="L2127" s="329">
        <v>41.437420865628212</v>
      </c>
      <c r="M2127" s="350"/>
    </row>
    <row r="2128" spans="1:13" outlineLevel="1" collapsed="1" x14ac:dyDescent="0.35">
      <c r="A2128" s="343" t="s">
        <v>3377</v>
      </c>
      <c r="B2128" s="331"/>
      <c r="C2128" s="332"/>
      <c r="D2128" s="332"/>
      <c r="E2128" s="332"/>
      <c r="F2128" s="336"/>
      <c r="G2128" s="330"/>
      <c r="H2128" s="329">
        <f t="shared" ref="H2128:M2128" si="110">SUBTOTAL(9,H2063:H2127)</f>
        <v>27846.64995996168</v>
      </c>
      <c r="I2128" s="329">
        <f t="shared" si="110"/>
        <v>6961.66248999042</v>
      </c>
      <c r="J2128" s="329">
        <f t="shared" si="110"/>
        <v>6961.66248999042</v>
      </c>
      <c r="K2128" s="329">
        <f t="shared" si="110"/>
        <v>6961.66248999042</v>
      </c>
      <c r="L2128" s="329">
        <f t="shared" si="110"/>
        <v>6961.66248999042</v>
      </c>
      <c r="M2128" s="350">
        <f t="shared" si="110"/>
        <v>0</v>
      </c>
    </row>
    <row r="2129" spans="1:13" hidden="1" outlineLevel="2" x14ac:dyDescent="0.35">
      <c r="A2129" s="339" t="s">
        <v>203</v>
      </c>
      <c r="B2129" s="331">
        <v>43847</v>
      </c>
      <c r="C2129" s="332" t="s">
        <v>1741</v>
      </c>
      <c r="D2129" s="332" t="s">
        <v>3378</v>
      </c>
      <c r="E2129" s="332" t="s">
        <v>749</v>
      </c>
      <c r="F2129" s="336">
        <v>566961</v>
      </c>
      <c r="G2129" s="330" t="s">
        <v>236</v>
      </c>
      <c r="H2129" s="329">
        <v>526.74090519301319</v>
      </c>
      <c r="I2129" s="338">
        <v>131.6852262982533</v>
      </c>
      <c r="J2129" s="338">
        <v>131.6852262982533</v>
      </c>
      <c r="K2129" s="338">
        <v>131.6852262982533</v>
      </c>
      <c r="L2129" s="338">
        <v>131.6852262982533</v>
      </c>
      <c r="M2129" s="350"/>
    </row>
    <row r="2130" spans="1:13" hidden="1" outlineLevel="2" x14ac:dyDescent="0.35">
      <c r="A2130" s="339" t="s">
        <v>203</v>
      </c>
      <c r="B2130" s="331">
        <v>43847</v>
      </c>
      <c r="C2130" s="332" t="s">
        <v>1743</v>
      </c>
      <c r="D2130" s="332" t="s">
        <v>3379</v>
      </c>
      <c r="E2130" s="332" t="s">
        <v>749</v>
      </c>
      <c r="F2130" s="336">
        <v>399746</v>
      </c>
      <c r="G2130" s="330" t="s">
        <v>236</v>
      </c>
      <c r="H2130" s="329">
        <v>371.38810233382236</v>
      </c>
      <c r="I2130" s="338">
        <v>92.84702558345559</v>
      </c>
      <c r="J2130" s="338">
        <v>92.84702558345559</v>
      </c>
      <c r="K2130" s="338">
        <v>92.84702558345559</v>
      </c>
      <c r="L2130" s="338">
        <v>92.84702558345559</v>
      </c>
      <c r="M2130" s="350"/>
    </row>
    <row r="2131" spans="1:13" hidden="1" outlineLevel="2" x14ac:dyDescent="0.35">
      <c r="A2131" s="339" t="s">
        <v>203</v>
      </c>
      <c r="B2131" s="331">
        <v>43881</v>
      </c>
      <c r="C2131" s="332" t="s">
        <v>1060</v>
      </c>
      <c r="D2131" s="332" t="s">
        <v>3380</v>
      </c>
      <c r="E2131" s="332" t="s">
        <v>749</v>
      </c>
      <c r="F2131" s="336">
        <v>566961</v>
      </c>
      <c r="G2131" s="330" t="s">
        <v>236</v>
      </c>
      <c r="H2131" s="329">
        <v>526.74090519301319</v>
      </c>
      <c r="I2131" s="338">
        <v>131.6852262982533</v>
      </c>
      <c r="J2131" s="338">
        <v>131.6852262982533</v>
      </c>
      <c r="K2131" s="338">
        <v>131.6852262982533</v>
      </c>
      <c r="L2131" s="338">
        <v>131.6852262982533</v>
      </c>
      <c r="M2131" s="350"/>
    </row>
    <row r="2132" spans="1:13" hidden="1" outlineLevel="2" x14ac:dyDescent="0.35">
      <c r="A2132" s="339" t="s">
        <v>203</v>
      </c>
      <c r="B2132" s="331">
        <v>43881</v>
      </c>
      <c r="C2132" s="332" t="s">
        <v>1071</v>
      </c>
      <c r="D2132" s="332" t="s">
        <v>3381</v>
      </c>
      <c r="E2132" s="332" t="s">
        <v>749</v>
      </c>
      <c r="F2132" s="336">
        <v>399746</v>
      </c>
      <c r="G2132" s="330" t="s">
        <v>236</v>
      </c>
      <c r="H2132" s="329">
        <v>371.38810233382236</v>
      </c>
      <c r="I2132" s="338">
        <v>92.84702558345559</v>
      </c>
      <c r="J2132" s="338">
        <v>92.84702558345559</v>
      </c>
      <c r="K2132" s="338">
        <v>92.84702558345559</v>
      </c>
      <c r="L2132" s="338">
        <v>92.84702558345559</v>
      </c>
      <c r="M2132" s="350"/>
    </row>
    <row r="2133" spans="1:13" hidden="1" outlineLevel="2" x14ac:dyDescent="0.35">
      <c r="A2133" s="339" t="s">
        <v>203</v>
      </c>
      <c r="B2133" s="331">
        <v>43910</v>
      </c>
      <c r="C2133" s="332" t="s">
        <v>474</v>
      </c>
      <c r="D2133" s="332" t="s">
        <v>3382</v>
      </c>
      <c r="E2133" s="332" t="s">
        <v>749</v>
      </c>
      <c r="F2133" s="336">
        <v>564033</v>
      </c>
      <c r="G2133" s="330" t="s">
        <v>236</v>
      </c>
      <c r="H2133" s="329">
        <v>524.02061690086407</v>
      </c>
      <c r="I2133" s="338">
        <v>131.00515422521602</v>
      </c>
      <c r="J2133" s="338">
        <v>131.00515422521602</v>
      </c>
      <c r="K2133" s="338">
        <v>131.00515422521602</v>
      </c>
      <c r="L2133" s="338">
        <v>131.00515422521602</v>
      </c>
      <c r="M2133" s="350"/>
    </row>
    <row r="2134" spans="1:13" hidden="1" outlineLevel="2" x14ac:dyDescent="0.35">
      <c r="A2134" s="339" t="s">
        <v>203</v>
      </c>
      <c r="B2134" s="331">
        <v>43910</v>
      </c>
      <c r="C2134" s="332" t="s">
        <v>477</v>
      </c>
      <c r="D2134" s="332" t="s">
        <v>3383</v>
      </c>
      <c r="E2134" s="332" t="s">
        <v>749</v>
      </c>
      <c r="F2134" s="336">
        <v>402674</v>
      </c>
      <c r="G2134" s="330" t="s">
        <v>236</v>
      </c>
      <c r="H2134" s="329">
        <v>374.10839062597142</v>
      </c>
      <c r="I2134" s="338">
        <v>93.527097656492856</v>
      </c>
      <c r="J2134" s="338">
        <v>93.527097656492856</v>
      </c>
      <c r="K2134" s="338">
        <v>93.527097656492856</v>
      </c>
      <c r="L2134" s="338">
        <v>93.527097656492856</v>
      </c>
      <c r="M2134" s="350"/>
    </row>
    <row r="2135" spans="1:13" hidden="1" outlineLevel="2" x14ac:dyDescent="0.35">
      <c r="A2135" s="339" t="s">
        <v>203</v>
      </c>
      <c r="B2135" s="331">
        <v>43941</v>
      </c>
      <c r="C2135" s="332" t="s">
        <v>479</v>
      </c>
      <c r="D2135" s="332" t="s">
        <v>3384</v>
      </c>
      <c r="E2135" s="332" t="s">
        <v>749</v>
      </c>
      <c r="F2135" s="336">
        <v>564033</v>
      </c>
      <c r="G2135" s="330" t="s">
        <v>236</v>
      </c>
      <c r="H2135" s="329">
        <v>524.02061690086407</v>
      </c>
      <c r="I2135" s="338">
        <v>131.00515422521602</v>
      </c>
      <c r="J2135" s="338">
        <v>131.00515422521602</v>
      </c>
      <c r="K2135" s="338">
        <v>131.00515422521602</v>
      </c>
      <c r="L2135" s="338">
        <v>131.00515422521602</v>
      </c>
      <c r="M2135" s="350"/>
    </row>
    <row r="2136" spans="1:13" hidden="1" outlineLevel="2" x14ac:dyDescent="0.35">
      <c r="A2136" s="339" t="s">
        <v>203</v>
      </c>
      <c r="B2136" s="331">
        <v>43941</v>
      </c>
      <c r="C2136" s="332" t="s">
        <v>481</v>
      </c>
      <c r="D2136" s="332" t="s">
        <v>3385</v>
      </c>
      <c r="E2136" s="332" t="s">
        <v>749</v>
      </c>
      <c r="F2136" s="336">
        <v>402674</v>
      </c>
      <c r="G2136" s="330" t="s">
        <v>236</v>
      </c>
      <c r="H2136" s="329">
        <v>374.10839062597142</v>
      </c>
      <c r="I2136" s="338">
        <v>93.527097656492856</v>
      </c>
      <c r="J2136" s="338">
        <v>93.527097656492856</v>
      </c>
      <c r="K2136" s="338">
        <v>93.527097656492856</v>
      </c>
      <c r="L2136" s="338">
        <v>93.527097656492856</v>
      </c>
      <c r="M2136" s="350"/>
    </row>
    <row r="2137" spans="1:13" hidden="1" outlineLevel="2" x14ac:dyDescent="0.35">
      <c r="A2137" s="339" t="s">
        <v>203</v>
      </c>
      <c r="B2137" s="331">
        <v>43977</v>
      </c>
      <c r="C2137" s="332" t="s">
        <v>381</v>
      </c>
      <c r="D2137" s="332" t="s">
        <v>3386</v>
      </c>
      <c r="E2137" s="332" t="s">
        <v>749</v>
      </c>
      <c r="F2137" s="336">
        <v>402674</v>
      </c>
      <c r="G2137" s="330" t="s">
        <v>236</v>
      </c>
      <c r="H2137" s="329">
        <v>374.10839062597142</v>
      </c>
      <c r="I2137" s="338">
        <v>93.527097656492856</v>
      </c>
      <c r="J2137" s="338">
        <v>93.527097656492856</v>
      </c>
      <c r="K2137" s="338">
        <v>93.527097656492856</v>
      </c>
      <c r="L2137" s="338">
        <v>93.527097656492856</v>
      </c>
      <c r="M2137" s="350"/>
    </row>
    <row r="2138" spans="1:13" hidden="1" outlineLevel="2" x14ac:dyDescent="0.35">
      <c r="A2138" s="339" t="s">
        <v>203</v>
      </c>
      <c r="B2138" s="331">
        <v>43977</v>
      </c>
      <c r="C2138" s="332" t="s">
        <v>484</v>
      </c>
      <c r="D2138" s="332" t="s">
        <v>3387</v>
      </c>
      <c r="E2138" s="332" t="s">
        <v>749</v>
      </c>
      <c r="F2138" s="336">
        <v>564033</v>
      </c>
      <c r="G2138" s="330" t="s">
        <v>236</v>
      </c>
      <c r="H2138" s="329">
        <v>524.02061690086407</v>
      </c>
      <c r="I2138" s="338">
        <v>131.00515422521602</v>
      </c>
      <c r="J2138" s="338">
        <v>131.00515422521602</v>
      </c>
      <c r="K2138" s="338">
        <v>131.00515422521602</v>
      </c>
      <c r="L2138" s="338">
        <v>131.00515422521602</v>
      </c>
      <c r="M2138" s="350"/>
    </row>
    <row r="2139" spans="1:13" hidden="1" outlineLevel="2" x14ac:dyDescent="0.35">
      <c r="A2139" s="339" t="s">
        <v>203</v>
      </c>
      <c r="B2139" s="331">
        <v>44001</v>
      </c>
      <c r="C2139" s="332" t="s">
        <v>486</v>
      </c>
      <c r="D2139" s="332" t="s">
        <v>3388</v>
      </c>
      <c r="E2139" s="332" t="s">
        <v>749</v>
      </c>
      <c r="F2139" s="336">
        <v>564033</v>
      </c>
      <c r="G2139" s="330" t="s">
        <v>236</v>
      </c>
      <c r="H2139" s="329">
        <v>524.02061690086407</v>
      </c>
      <c r="I2139" s="338">
        <v>131.00515422521602</v>
      </c>
      <c r="J2139" s="338">
        <v>131.00515422521602</v>
      </c>
      <c r="K2139" s="338">
        <v>131.00515422521602</v>
      </c>
      <c r="L2139" s="338">
        <v>131.00515422521602</v>
      </c>
      <c r="M2139" s="350"/>
    </row>
    <row r="2140" spans="1:13" hidden="1" outlineLevel="2" x14ac:dyDescent="0.35">
      <c r="A2140" s="339" t="s">
        <v>203</v>
      </c>
      <c r="B2140" s="331">
        <v>44001</v>
      </c>
      <c r="C2140" s="332" t="s">
        <v>488</v>
      </c>
      <c r="D2140" s="332" t="s">
        <v>3389</v>
      </c>
      <c r="E2140" s="332" t="s">
        <v>749</v>
      </c>
      <c r="F2140" s="336">
        <v>402674</v>
      </c>
      <c r="G2140" s="330" t="s">
        <v>236</v>
      </c>
      <c r="H2140" s="329">
        <v>374.10839062597142</v>
      </c>
      <c r="I2140" s="338">
        <v>93.527097656492856</v>
      </c>
      <c r="J2140" s="338">
        <v>93.527097656492856</v>
      </c>
      <c r="K2140" s="338">
        <v>93.527097656492856</v>
      </c>
      <c r="L2140" s="338">
        <v>93.527097656492856</v>
      </c>
      <c r="M2140" s="350"/>
    </row>
    <row r="2141" spans="1:13" hidden="1" outlineLevel="2" x14ac:dyDescent="0.35">
      <c r="A2141" s="339" t="s">
        <v>203</v>
      </c>
      <c r="B2141" s="331">
        <v>44001</v>
      </c>
      <c r="C2141" s="332" t="s">
        <v>490</v>
      </c>
      <c r="D2141" s="332" t="s">
        <v>3390</v>
      </c>
      <c r="E2141" s="332" t="s">
        <v>749</v>
      </c>
      <c r="F2141" s="336">
        <v>156870</v>
      </c>
      <c r="G2141" s="330" t="s">
        <v>236</v>
      </c>
      <c r="H2141" s="329">
        <v>145.74167499638949</v>
      </c>
      <c r="I2141" s="338">
        <v>36.435418749097373</v>
      </c>
      <c r="J2141" s="338">
        <v>36.435418749097373</v>
      </c>
      <c r="K2141" s="338">
        <v>36.435418749097373</v>
      </c>
      <c r="L2141" s="338">
        <v>36.435418749097373</v>
      </c>
      <c r="M2141" s="350"/>
    </row>
    <row r="2142" spans="1:13" hidden="1" outlineLevel="2" x14ac:dyDescent="0.35">
      <c r="A2142" s="339" t="s">
        <v>203</v>
      </c>
      <c r="B2142" s="331">
        <v>44001</v>
      </c>
      <c r="C2142" s="332" t="s">
        <v>492</v>
      </c>
      <c r="D2142" s="332" t="s">
        <v>3391</v>
      </c>
      <c r="E2142" s="332" t="s">
        <v>749</v>
      </c>
      <c r="F2142" s="336">
        <v>298715</v>
      </c>
      <c r="G2142" s="330" t="s">
        <v>236</v>
      </c>
      <c r="H2142" s="329">
        <v>277.52422035154257</v>
      </c>
      <c r="I2142" s="338">
        <v>69.381055087885642</v>
      </c>
      <c r="J2142" s="338">
        <v>69.381055087885642</v>
      </c>
      <c r="K2142" s="338">
        <v>69.381055087885642</v>
      </c>
      <c r="L2142" s="338">
        <v>69.381055087885642</v>
      </c>
      <c r="M2142" s="350"/>
    </row>
    <row r="2143" spans="1:13" hidden="1" outlineLevel="2" x14ac:dyDescent="0.35">
      <c r="A2143" s="339" t="s">
        <v>203</v>
      </c>
      <c r="B2143" s="331">
        <v>44012</v>
      </c>
      <c r="C2143" s="332" t="s">
        <v>1800</v>
      </c>
      <c r="D2143" s="332" t="s">
        <v>3392</v>
      </c>
      <c r="E2143" s="332" t="s">
        <v>749</v>
      </c>
      <c r="F2143" s="336">
        <v>16000</v>
      </c>
      <c r="G2143" s="330" t="s">
        <v>236</v>
      </c>
      <c r="H2143" s="329">
        <v>14.864963345077017</v>
      </c>
      <c r="I2143" s="338">
        <v>3.7162408362692543</v>
      </c>
      <c r="J2143" s="338">
        <v>3.7162408362692543</v>
      </c>
      <c r="K2143" s="338">
        <v>3.7162408362692543</v>
      </c>
      <c r="L2143" s="338">
        <v>3.7162408362692543</v>
      </c>
      <c r="M2143" s="350"/>
    </row>
    <row r="2144" spans="1:13" hidden="1" outlineLevel="2" x14ac:dyDescent="0.35">
      <c r="A2144" s="339" t="s">
        <v>203</v>
      </c>
      <c r="B2144" s="331">
        <v>44035</v>
      </c>
      <c r="C2144" s="332" t="s">
        <v>494</v>
      </c>
      <c r="D2144" s="332" t="s">
        <v>3393</v>
      </c>
      <c r="E2144" s="332" t="s">
        <v>749</v>
      </c>
      <c r="F2144" s="336">
        <v>585958</v>
      </c>
      <c r="G2144" s="330" t="s">
        <v>236</v>
      </c>
      <c r="H2144" s="329">
        <v>544.3902619846649</v>
      </c>
      <c r="I2144" s="338">
        <v>136.09756549616623</v>
      </c>
      <c r="J2144" s="338">
        <v>136.09756549616623</v>
      </c>
      <c r="K2144" s="338">
        <v>136.09756549616623</v>
      </c>
      <c r="L2144" s="338">
        <v>136.09756549616623</v>
      </c>
      <c r="M2144" s="350"/>
    </row>
    <row r="2145" spans="1:13" hidden="1" outlineLevel="2" x14ac:dyDescent="0.35">
      <c r="A2145" s="339" t="s">
        <v>203</v>
      </c>
      <c r="B2145" s="331">
        <v>44035</v>
      </c>
      <c r="C2145" s="332" t="s">
        <v>496</v>
      </c>
      <c r="D2145" s="332" t="s">
        <v>3394</v>
      </c>
      <c r="E2145" s="332" t="s">
        <v>749</v>
      </c>
      <c r="F2145" s="336">
        <v>419418</v>
      </c>
      <c r="G2145" s="330" t="s">
        <v>236</v>
      </c>
      <c r="H2145" s="329">
        <v>389.66457476659457</v>
      </c>
      <c r="I2145" s="338">
        <v>97.416143691648642</v>
      </c>
      <c r="J2145" s="338">
        <v>97.416143691648642</v>
      </c>
      <c r="K2145" s="338">
        <v>97.416143691648642</v>
      </c>
      <c r="L2145" s="338">
        <v>97.416143691648642</v>
      </c>
      <c r="M2145" s="350"/>
    </row>
    <row r="2146" spans="1:13" hidden="1" outlineLevel="2" x14ac:dyDescent="0.35">
      <c r="A2146" s="339" t="s">
        <v>203</v>
      </c>
      <c r="B2146" s="331">
        <v>44063</v>
      </c>
      <c r="C2146" s="332" t="s">
        <v>496</v>
      </c>
      <c r="D2146" s="332" t="s">
        <v>3394</v>
      </c>
      <c r="E2146" s="332" t="s">
        <v>749</v>
      </c>
      <c r="F2146" s="336">
        <v>419418</v>
      </c>
      <c r="G2146" s="330" t="s">
        <v>236</v>
      </c>
      <c r="H2146" s="329">
        <v>389.66457476659457</v>
      </c>
      <c r="I2146" s="338">
        <v>97.416143691648642</v>
      </c>
      <c r="J2146" s="338">
        <v>97.416143691648642</v>
      </c>
      <c r="K2146" s="338">
        <v>97.416143691648642</v>
      </c>
      <c r="L2146" s="338">
        <v>97.416143691648642</v>
      </c>
      <c r="M2146" s="350"/>
    </row>
    <row r="2147" spans="1:13" hidden="1" outlineLevel="2" x14ac:dyDescent="0.35">
      <c r="A2147" s="339" t="s">
        <v>203</v>
      </c>
      <c r="B2147" s="331">
        <v>44063</v>
      </c>
      <c r="C2147" s="332" t="s">
        <v>498</v>
      </c>
      <c r="D2147" s="332" t="s">
        <v>3395</v>
      </c>
      <c r="E2147" s="332" t="s">
        <v>749</v>
      </c>
      <c r="F2147" s="336">
        <v>585958</v>
      </c>
      <c r="G2147" s="330" t="s">
        <v>236</v>
      </c>
      <c r="H2147" s="329">
        <v>544.3902619846649</v>
      </c>
      <c r="I2147" s="338">
        <v>136.09756549616623</v>
      </c>
      <c r="J2147" s="338">
        <v>136.09756549616623</v>
      </c>
      <c r="K2147" s="338">
        <v>136.09756549616623</v>
      </c>
      <c r="L2147" s="338">
        <v>136.09756549616623</v>
      </c>
      <c r="M2147" s="350"/>
    </row>
    <row r="2148" spans="1:13" hidden="1" outlineLevel="2" x14ac:dyDescent="0.35">
      <c r="A2148" s="339" t="s">
        <v>203</v>
      </c>
      <c r="B2148" s="331">
        <v>43731</v>
      </c>
      <c r="C2148" s="332" t="s">
        <v>1939</v>
      </c>
      <c r="D2148" s="332" t="s">
        <v>3396</v>
      </c>
      <c r="E2148" s="332" t="s">
        <v>3397</v>
      </c>
      <c r="F2148" s="336">
        <v>399746</v>
      </c>
      <c r="G2148" s="330" t="s">
        <v>236</v>
      </c>
      <c r="H2148" s="329">
        <v>393.56889876250563</v>
      </c>
      <c r="I2148" s="338">
        <v>98.392224690626406</v>
      </c>
      <c r="J2148" s="338">
        <v>98.392224690626406</v>
      </c>
      <c r="K2148" s="338">
        <v>98.392224690626406</v>
      </c>
      <c r="L2148" s="338">
        <v>98.392224690626406</v>
      </c>
      <c r="M2148" s="350"/>
    </row>
    <row r="2149" spans="1:13" hidden="1" outlineLevel="2" x14ac:dyDescent="0.35">
      <c r="A2149" s="339" t="s">
        <v>203</v>
      </c>
      <c r="B2149" s="331">
        <v>43731</v>
      </c>
      <c r="C2149" s="332" t="s">
        <v>1942</v>
      </c>
      <c r="D2149" s="332" t="s">
        <v>3398</v>
      </c>
      <c r="E2149" s="332" t="s">
        <v>3397</v>
      </c>
      <c r="F2149" s="336">
        <v>566961</v>
      </c>
      <c r="G2149" s="330" t="s">
        <v>236</v>
      </c>
      <c r="H2149" s="329">
        <v>558.19999802696952</v>
      </c>
      <c r="I2149" s="338">
        <v>139.54999950674238</v>
      </c>
      <c r="J2149" s="338">
        <v>139.54999950674238</v>
      </c>
      <c r="K2149" s="338">
        <v>139.54999950674238</v>
      </c>
      <c r="L2149" s="338">
        <v>139.54999950674238</v>
      </c>
      <c r="M2149" s="350"/>
    </row>
    <row r="2150" spans="1:13" hidden="1" outlineLevel="2" x14ac:dyDescent="0.35">
      <c r="A2150" s="339" t="s">
        <v>203</v>
      </c>
      <c r="B2150" s="331">
        <v>43731</v>
      </c>
      <c r="C2150" s="332" t="s">
        <v>1942</v>
      </c>
      <c r="D2150" s="332" t="s">
        <v>3399</v>
      </c>
      <c r="E2150" s="332" t="s">
        <v>3341</v>
      </c>
      <c r="F2150" s="336">
        <v>0</v>
      </c>
      <c r="G2150" s="330" t="s">
        <v>236</v>
      </c>
      <c r="H2150" s="329">
        <v>0</v>
      </c>
      <c r="I2150" s="338">
        <v>0</v>
      </c>
      <c r="J2150" s="338">
        <v>0</v>
      </c>
      <c r="K2150" s="338">
        <v>0</v>
      </c>
      <c r="L2150" s="338">
        <v>0</v>
      </c>
      <c r="M2150" s="350"/>
    </row>
    <row r="2151" spans="1:13" hidden="1" outlineLevel="2" x14ac:dyDescent="0.35">
      <c r="A2151" s="339" t="s">
        <v>203</v>
      </c>
      <c r="B2151" s="331">
        <v>43760</v>
      </c>
      <c r="C2151" s="332" t="s">
        <v>1844</v>
      </c>
      <c r="D2151" s="332" t="s">
        <v>3400</v>
      </c>
      <c r="E2151" s="332" t="s">
        <v>3401</v>
      </c>
      <c r="F2151" s="336">
        <v>566961</v>
      </c>
      <c r="G2151" s="330" t="s">
        <v>236</v>
      </c>
      <c r="H2151" s="329">
        <v>558.19999802696952</v>
      </c>
      <c r="I2151" s="338">
        <v>139.54999950674238</v>
      </c>
      <c r="J2151" s="338">
        <v>139.54999950674238</v>
      </c>
      <c r="K2151" s="338">
        <v>139.54999950674238</v>
      </c>
      <c r="L2151" s="338">
        <v>139.54999950674238</v>
      </c>
      <c r="M2151" s="350"/>
    </row>
    <row r="2152" spans="1:13" hidden="1" outlineLevel="2" x14ac:dyDescent="0.35">
      <c r="A2152" s="339" t="s">
        <v>203</v>
      </c>
      <c r="B2152" s="331">
        <v>43760</v>
      </c>
      <c r="C2152" s="332" t="s">
        <v>1847</v>
      </c>
      <c r="D2152" s="332" t="s">
        <v>3402</v>
      </c>
      <c r="E2152" s="332" t="s">
        <v>3401</v>
      </c>
      <c r="F2152" s="336">
        <v>399746</v>
      </c>
      <c r="G2152" s="330" t="s">
        <v>236</v>
      </c>
      <c r="H2152" s="329">
        <v>393.56889876250563</v>
      </c>
      <c r="I2152" s="338">
        <v>98.392224690626406</v>
      </c>
      <c r="J2152" s="338">
        <v>98.392224690626406</v>
      </c>
      <c r="K2152" s="338">
        <v>98.392224690626406</v>
      </c>
      <c r="L2152" s="338">
        <v>98.392224690626406</v>
      </c>
      <c r="M2152" s="350"/>
    </row>
    <row r="2153" spans="1:13" hidden="1" outlineLevel="2" x14ac:dyDescent="0.35">
      <c r="A2153" s="339" t="s">
        <v>203</v>
      </c>
      <c r="B2153" s="331">
        <v>44216</v>
      </c>
      <c r="C2153" s="332" t="s">
        <v>519</v>
      </c>
      <c r="D2153" s="332" t="s">
        <v>3403</v>
      </c>
      <c r="E2153" s="332" t="s">
        <v>2249</v>
      </c>
      <c r="F2153" s="336">
        <v>581477</v>
      </c>
      <c r="G2153" s="330" t="s">
        <v>236</v>
      </c>
      <c r="H2153" s="329">
        <v>495.78763402074924</v>
      </c>
      <c r="I2153" s="329">
        <v>123.94690850518731</v>
      </c>
      <c r="J2153" s="329">
        <v>123.94690850518731</v>
      </c>
      <c r="K2153" s="329">
        <v>123.94690850518731</v>
      </c>
      <c r="L2153" s="329">
        <v>123.94690850518731</v>
      </c>
      <c r="M2153" s="350"/>
    </row>
    <row r="2154" spans="1:13" hidden="1" outlineLevel="2" x14ac:dyDescent="0.35">
      <c r="A2154" s="339" t="s">
        <v>203</v>
      </c>
      <c r="B2154" s="331">
        <v>44216</v>
      </c>
      <c r="C2154" s="332" t="s">
        <v>522</v>
      </c>
      <c r="D2154" s="332" t="s">
        <v>3404</v>
      </c>
      <c r="E2154" s="332" t="s">
        <v>2249</v>
      </c>
      <c r="F2154" s="336">
        <v>423899</v>
      </c>
      <c r="G2154" s="330" t="s">
        <v>236</v>
      </c>
      <c r="H2154" s="329">
        <v>361.43111812464048</v>
      </c>
      <c r="I2154" s="329">
        <v>90.357779531160119</v>
      </c>
      <c r="J2154" s="329">
        <v>90.357779531160119</v>
      </c>
      <c r="K2154" s="329">
        <v>90.357779531160119</v>
      </c>
      <c r="L2154" s="329">
        <v>90.357779531160119</v>
      </c>
      <c r="M2154" s="350"/>
    </row>
    <row r="2155" spans="1:13" hidden="1" outlineLevel="2" x14ac:dyDescent="0.35">
      <c r="A2155" s="339" t="s">
        <v>203</v>
      </c>
      <c r="B2155" s="331">
        <v>44217</v>
      </c>
      <c r="C2155" s="332" t="s">
        <v>373</v>
      </c>
      <c r="D2155" s="332" t="s">
        <v>3405</v>
      </c>
      <c r="E2155" s="332" t="s">
        <v>2326</v>
      </c>
      <c r="F2155" s="336">
        <v>627014</v>
      </c>
      <c r="G2155" s="330" t="s">
        <v>236</v>
      </c>
      <c r="H2155" s="329">
        <v>553.41334251184833</v>
      </c>
      <c r="I2155" s="338">
        <v>138.35333562796208</v>
      </c>
      <c r="J2155" s="338">
        <v>138.35333562796208</v>
      </c>
      <c r="K2155" s="338">
        <v>138.35333562796208</v>
      </c>
      <c r="L2155" s="338">
        <v>138.35333562796208</v>
      </c>
      <c r="M2155" s="350"/>
    </row>
    <row r="2156" spans="1:13" hidden="1" outlineLevel="2" x14ac:dyDescent="0.35">
      <c r="A2156" s="339" t="s">
        <v>203</v>
      </c>
      <c r="B2156" s="331">
        <v>44217</v>
      </c>
      <c r="C2156" s="332" t="s">
        <v>376</v>
      </c>
      <c r="D2156" s="332" t="s">
        <v>3406</v>
      </c>
      <c r="E2156" s="332" t="s">
        <v>2326</v>
      </c>
      <c r="F2156" s="336">
        <v>450773</v>
      </c>
      <c r="G2156" s="330" t="s">
        <v>236</v>
      </c>
      <c r="H2156" s="329">
        <v>397.86000415316624</v>
      </c>
      <c r="I2156" s="338">
        <v>99.465001038291561</v>
      </c>
      <c r="J2156" s="338">
        <v>99.465001038291561</v>
      </c>
      <c r="K2156" s="338">
        <v>99.465001038291561</v>
      </c>
      <c r="L2156" s="338">
        <v>99.465001038291561</v>
      </c>
      <c r="M2156" s="350"/>
    </row>
    <row r="2157" spans="1:13" hidden="1" outlineLevel="2" x14ac:dyDescent="0.35">
      <c r="A2157" s="339" t="s">
        <v>203</v>
      </c>
      <c r="B2157" s="331">
        <v>44249</v>
      </c>
      <c r="C2157" s="332" t="s">
        <v>527</v>
      </c>
      <c r="D2157" s="332" t="s">
        <v>3407</v>
      </c>
      <c r="E2157" s="332" t="s">
        <v>2249</v>
      </c>
      <c r="F2157" s="336">
        <v>585958</v>
      </c>
      <c r="G2157" s="330" t="s">
        <v>236</v>
      </c>
      <c r="H2157" s="329">
        <v>499.60829139506836</v>
      </c>
      <c r="I2157" s="329">
        <v>124.90207284876709</v>
      </c>
      <c r="J2157" s="329">
        <v>124.90207284876709</v>
      </c>
      <c r="K2157" s="329">
        <v>124.90207284876709</v>
      </c>
      <c r="L2157" s="329">
        <v>124.90207284876709</v>
      </c>
      <c r="M2157" s="350"/>
    </row>
    <row r="2158" spans="1:13" hidden="1" outlineLevel="2" x14ac:dyDescent="0.35">
      <c r="A2158" s="339" t="s">
        <v>203</v>
      </c>
      <c r="B2158" s="331">
        <v>44249</v>
      </c>
      <c r="C2158" s="332" t="s">
        <v>529</v>
      </c>
      <c r="D2158" s="332" t="s">
        <v>3408</v>
      </c>
      <c r="E2158" s="332" t="s">
        <v>2249</v>
      </c>
      <c r="F2158" s="336">
        <v>419418</v>
      </c>
      <c r="G2158" s="330" t="s">
        <v>236</v>
      </c>
      <c r="H2158" s="329">
        <v>357.61046075032135</v>
      </c>
      <c r="I2158" s="329">
        <v>89.402615187580338</v>
      </c>
      <c r="J2158" s="329">
        <v>89.402615187580338</v>
      </c>
      <c r="K2158" s="329">
        <v>89.402615187580338</v>
      </c>
      <c r="L2158" s="329">
        <v>89.402615187580338</v>
      </c>
      <c r="M2158" s="350"/>
    </row>
    <row r="2159" spans="1:13" hidden="1" outlineLevel="2" x14ac:dyDescent="0.35">
      <c r="A2159" s="339" t="s">
        <v>203</v>
      </c>
      <c r="B2159" s="331">
        <v>44274</v>
      </c>
      <c r="C2159" s="332" t="s">
        <v>531</v>
      </c>
      <c r="D2159" s="332" t="s">
        <v>3409</v>
      </c>
      <c r="E2159" s="332" t="s">
        <v>2249</v>
      </c>
      <c r="F2159" s="336">
        <v>419418</v>
      </c>
      <c r="G2159" s="330" t="s">
        <v>236</v>
      </c>
      <c r="H2159" s="329">
        <v>357.61046075032135</v>
      </c>
      <c r="I2159" s="329">
        <v>89.402615187580338</v>
      </c>
      <c r="J2159" s="329">
        <v>89.402615187580338</v>
      </c>
      <c r="K2159" s="329">
        <v>89.402615187580338</v>
      </c>
      <c r="L2159" s="329">
        <v>89.402615187580338</v>
      </c>
      <c r="M2159" s="350"/>
    </row>
    <row r="2160" spans="1:13" hidden="1" outlineLevel="2" x14ac:dyDescent="0.35">
      <c r="A2160" s="339" t="s">
        <v>203</v>
      </c>
      <c r="B2160" s="331">
        <v>44274</v>
      </c>
      <c r="C2160" s="332" t="s">
        <v>533</v>
      </c>
      <c r="D2160" s="332" t="s">
        <v>3410</v>
      </c>
      <c r="E2160" s="332" t="s">
        <v>2249</v>
      </c>
      <c r="F2160" s="336">
        <v>585958</v>
      </c>
      <c r="G2160" s="330" t="s">
        <v>236</v>
      </c>
      <c r="H2160" s="329">
        <v>499.60829139506836</v>
      </c>
      <c r="I2160" s="329">
        <v>124.90207284876709</v>
      </c>
      <c r="J2160" s="329">
        <v>124.90207284876709</v>
      </c>
      <c r="K2160" s="329">
        <v>124.90207284876709</v>
      </c>
      <c r="L2160" s="329">
        <v>124.90207284876709</v>
      </c>
      <c r="M2160" s="350"/>
    </row>
    <row r="2161" spans="1:13" hidden="1" outlineLevel="2" x14ac:dyDescent="0.35">
      <c r="A2161" s="339" t="s">
        <v>203</v>
      </c>
      <c r="B2161" s="331">
        <v>44306</v>
      </c>
      <c r="C2161" s="332" t="s">
        <v>408</v>
      </c>
      <c r="D2161" s="332" t="s">
        <v>3411</v>
      </c>
      <c r="E2161" s="332" t="s">
        <v>2249</v>
      </c>
      <c r="F2161" s="336">
        <v>585958</v>
      </c>
      <c r="G2161" s="330" t="s">
        <v>236</v>
      </c>
      <c r="H2161" s="329">
        <v>499.60829139506836</v>
      </c>
      <c r="I2161" s="329">
        <v>124.90207284876709</v>
      </c>
      <c r="J2161" s="329">
        <v>124.90207284876709</v>
      </c>
      <c r="K2161" s="329">
        <v>124.90207284876709</v>
      </c>
      <c r="L2161" s="329">
        <v>124.90207284876709</v>
      </c>
      <c r="M2161" s="350"/>
    </row>
    <row r="2162" spans="1:13" hidden="1" outlineLevel="2" x14ac:dyDescent="0.35">
      <c r="A2162" s="339" t="s">
        <v>203</v>
      </c>
      <c r="B2162" s="331">
        <v>44306</v>
      </c>
      <c r="C2162" s="332" t="s">
        <v>411</v>
      </c>
      <c r="D2162" s="332" t="s">
        <v>3412</v>
      </c>
      <c r="E2162" s="332" t="s">
        <v>2249</v>
      </c>
      <c r="F2162" s="336">
        <v>419418</v>
      </c>
      <c r="G2162" s="330" t="s">
        <v>236</v>
      </c>
      <c r="H2162" s="329">
        <v>357.61046075032135</v>
      </c>
      <c r="I2162" s="329">
        <v>89.402615187580338</v>
      </c>
      <c r="J2162" s="329">
        <v>89.402615187580338</v>
      </c>
      <c r="K2162" s="329">
        <v>89.402615187580338</v>
      </c>
      <c r="L2162" s="329">
        <v>89.402615187580338</v>
      </c>
      <c r="M2162" s="350"/>
    </row>
    <row r="2163" spans="1:13" hidden="1" outlineLevel="2" x14ac:dyDescent="0.35">
      <c r="A2163" s="339" t="s">
        <v>203</v>
      </c>
      <c r="B2163" s="331">
        <v>43783</v>
      </c>
      <c r="C2163" s="332" t="s">
        <v>1817</v>
      </c>
      <c r="D2163" s="332" t="s">
        <v>3413</v>
      </c>
      <c r="E2163" s="332" t="s">
        <v>749</v>
      </c>
      <c r="F2163" s="336">
        <v>399746</v>
      </c>
      <c r="G2163" s="330" t="s">
        <v>236</v>
      </c>
      <c r="H2163" s="329">
        <v>393.56889876250563</v>
      </c>
      <c r="I2163" s="338">
        <v>98.392224690626406</v>
      </c>
      <c r="J2163" s="338">
        <v>98.392224690626406</v>
      </c>
      <c r="K2163" s="338">
        <v>98.392224690626406</v>
      </c>
      <c r="L2163" s="338">
        <v>98.392224690626406</v>
      </c>
      <c r="M2163" s="350"/>
    </row>
    <row r="2164" spans="1:13" hidden="1" outlineLevel="2" x14ac:dyDescent="0.35">
      <c r="A2164" s="339" t="s">
        <v>203</v>
      </c>
      <c r="B2164" s="331">
        <v>43783</v>
      </c>
      <c r="C2164" s="332" t="s">
        <v>1663</v>
      </c>
      <c r="D2164" s="332" t="s">
        <v>3414</v>
      </c>
      <c r="E2164" s="332" t="s">
        <v>749</v>
      </c>
      <c r="F2164" s="336">
        <v>566961</v>
      </c>
      <c r="G2164" s="330" t="s">
        <v>236</v>
      </c>
      <c r="H2164" s="329">
        <v>558.19999802696952</v>
      </c>
      <c r="I2164" s="338">
        <v>139.54999950674238</v>
      </c>
      <c r="J2164" s="338">
        <v>139.54999950674238</v>
      </c>
      <c r="K2164" s="338">
        <v>139.54999950674238</v>
      </c>
      <c r="L2164" s="338">
        <v>139.54999950674238</v>
      </c>
      <c r="M2164" s="350"/>
    </row>
    <row r="2165" spans="1:13" hidden="1" outlineLevel="2" x14ac:dyDescent="0.35">
      <c r="A2165" s="339" t="s">
        <v>203</v>
      </c>
      <c r="B2165" s="331">
        <v>43817</v>
      </c>
      <c r="C2165" s="332" t="s">
        <v>1753</v>
      </c>
      <c r="D2165" s="332" t="s">
        <v>3415</v>
      </c>
      <c r="E2165" s="332" t="s">
        <v>749</v>
      </c>
      <c r="F2165" s="336">
        <v>329494</v>
      </c>
      <c r="G2165" s="330" t="s">
        <v>236</v>
      </c>
      <c r="H2165" s="329">
        <v>324.40247239210152</v>
      </c>
      <c r="I2165" s="338">
        <v>81.100618098025379</v>
      </c>
      <c r="J2165" s="338">
        <v>81.100618098025379</v>
      </c>
      <c r="K2165" s="338">
        <v>81.100618098025379</v>
      </c>
      <c r="L2165" s="338">
        <v>81.100618098025379</v>
      </c>
      <c r="M2165" s="350"/>
    </row>
    <row r="2166" spans="1:13" hidden="1" outlineLevel="2" x14ac:dyDescent="0.35">
      <c r="A2166" s="339" t="s">
        <v>203</v>
      </c>
      <c r="B2166" s="331">
        <v>43817</v>
      </c>
      <c r="C2166" s="332" t="s">
        <v>1755</v>
      </c>
      <c r="D2166" s="332" t="s">
        <v>3416</v>
      </c>
      <c r="E2166" s="332" t="s">
        <v>749</v>
      </c>
      <c r="F2166" s="336">
        <v>518101</v>
      </c>
      <c r="G2166" s="330" t="s">
        <v>236</v>
      </c>
      <c r="H2166" s="329">
        <v>510.09501037597101</v>
      </c>
      <c r="I2166" s="338">
        <v>127.52375259399275</v>
      </c>
      <c r="J2166" s="338">
        <v>127.52375259399275</v>
      </c>
      <c r="K2166" s="338">
        <v>127.52375259399275</v>
      </c>
      <c r="L2166" s="338">
        <v>127.52375259399275</v>
      </c>
      <c r="M2166" s="350"/>
    </row>
    <row r="2167" spans="1:13" hidden="1" outlineLevel="2" x14ac:dyDescent="0.35">
      <c r="A2167" s="339" t="s">
        <v>203</v>
      </c>
      <c r="B2167" s="331">
        <v>43817</v>
      </c>
      <c r="C2167" s="332" t="s">
        <v>824</v>
      </c>
      <c r="D2167" s="332" t="s">
        <v>3417</v>
      </c>
      <c r="E2167" s="332" t="s">
        <v>749</v>
      </c>
      <c r="F2167" s="336">
        <v>566961</v>
      </c>
      <c r="G2167" s="330" t="s">
        <v>236</v>
      </c>
      <c r="H2167" s="329">
        <v>558.19999802696952</v>
      </c>
      <c r="I2167" s="338">
        <v>139.54999950674238</v>
      </c>
      <c r="J2167" s="338">
        <v>139.54999950674238</v>
      </c>
      <c r="K2167" s="338">
        <v>139.54999950674238</v>
      </c>
      <c r="L2167" s="338">
        <v>139.54999950674238</v>
      </c>
      <c r="M2167" s="350"/>
    </row>
    <row r="2168" spans="1:13" hidden="1" outlineLevel="2" x14ac:dyDescent="0.35">
      <c r="A2168" s="339" t="s">
        <v>203</v>
      </c>
      <c r="B2168" s="331">
        <v>44334</v>
      </c>
      <c r="C2168" s="332" t="s">
        <v>413</v>
      </c>
      <c r="D2168" s="332" t="s">
        <v>3418</v>
      </c>
      <c r="E2168" s="332" t="s">
        <v>2249</v>
      </c>
      <c r="F2168" s="336">
        <v>568856</v>
      </c>
      <c r="G2168" s="330" t="s">
        <v>236</v>
      </c>
      <c r="H2168" s="329">
        <v>485.02652785666044</v>
      </c>
      <c r="I2168" s="329">
        <v>121.25663196416511</v>
      </c>
      <c r="J2168" s="329">
        <v>121.25663196416511</v>
      </c>
      <c r="K2168" s="329">
        <v>121.25663196416511</v>
      </c>
      <c r="L2168" s="329">
        <v>121.25663196416511</v>
      </c>
      <c r="M2168" s="350"/>
    </row>
    <row r="2169" spans="1:13" hidden="1" outlineLevel="2" x14ac:dyDescent="0.35">
      <c r="A2169" s="339" t="s">
        <v>203</v>
      </c>
      <c r="B2169" s="331">
        <v>44334</v>
      </c>
      <c r="C2169" s="332" t="s">
        <v>415</v>
      </c>
      <c r="D2169" s="332" t="s">
        <v>3419</v>
      </c>
      <c r="E2169" s="332" t="s">
        <v>2249</v>
      </c>
      <c r="F2169" s="336">
        <v>436520</v>
      </c>
      <c r="G2169" s="330" t="s">
        <v>236</v>
      </c>
      <c r="H2169" s="329">
        <v>372.19222428872934</v>
      </c>
      <c r="I2169" s="329">
        <v>93.048056072182334</v>
      </c>
      <c r="J2169" s="329">
        <v>93.048056072182334</v>
      </c>
      <c r="K2169" s="329">
        <v>93.048056072182334</v>
      </c>
      <c r="L2169" s="329">
        <v>93.048056072182334</v>
      </c>
      <c r="M2169" s="350"/>
    </row>
    <row r="2170" spans="1:13" hidden="1" outlineLevel="2" x14ac:dyDescent="0.35">
      <c r="A2170" s="339" t="s">
        <v>203</v>
      </c>
      <c r="B2170" s="331">
        <v>44365</v>
      </c>
      <c r="C2170" s="332" t="s">
        <v>417</v>
      </c>
      <c r="D2170" s="332" t="s">
        <v>3420</v>
      </c>
      <c r="E2170" s="332" t="s">
        <v>2249</v>
      </c>
      <c r="F2170" s="336">
        <v>585958</v>
      </c>
      <c r="G2170" s="330" t="s">
        <v>236</v>
      </c>
      <c r="H2170" s="329">
        <v>499.60829139506836</v>
      </c>
      <c r="I2170" s="329">
        <v>124.90207284876709</v>
      </c>
      <c r="J2170" s="329">
        <v>124.90207284876709</v>
      </c>
      <c r="K2170" s="329">
        <v>124.90207284876709</v>
      </c>
      <c r="L2170" s="329">
        <v>124.90207284876709</v>
      </c>
      <c r="M2170" s="350"/>
    </row>
    <row r="2171" spans="1:13" hidden="1" outlineLevel="2" x14ac:dyDescent="0.35">
      <c r="A2171" s="339" t="s">
        <v>203</v>
      </c>
      <c r="B2171" s="331">
        <v>44365</v>
      </c>
      <c r="C2171" s="332" t="s">
        <v>419</v>
      </c>
      <c r="D2171" s="332" t="s">
        <v>3421</v>
      </c>
      <c r="E2171" s="332" t="s">
        <v>2249</v>
      </c>
      <c r="F2171" s="336">
        <v>309110</v>
      </c>
      <c r="G2171" s="330" t="s">
        <v>236</v>
      </c>
      <c r="H2171" s="329">
        <v>263.55800066409125</v>
      </c>
      <c r="I2171" s="329">
        <v>65.889500166022813</v>
      </c>
      <c r="J2171" s="329">
        <v>65.889500166022813</v>
      </c>
      <c r="K2171" s="329">
        <v>65.889500166022813</v>
      </c>
      <c r="L2171" s="329">
        <v>65.889500166022813</v>
      </c>
      <c r="M2171" s="350"/>
    </row>
    <row r="2172" spans="1:13" hidden="1" outlineLevel="2" x14ac:dyDescent="0.35">
      <c r="A2172" s="339" t="s">
        <v>203</v>
      </c>
      <c r="B2172" s="331">
        <v>44365</v>
      </c>
      <c r="C2172" s="332" t="s">
        <v>421</v>
      </c>
      <c r="D2172" s="332" t="s">
        <v>3422</v>
      </c>
      <c r="E2172" s="332" t="s">
        <v>2249</v>
      </c>
      <c r="F2172" s="336">
        <v>202202</v>
      </c>
      <c r="G2172" s="330" t="s">
        <v>236</v>
      </c>
      <c r="H2172" s="329">
        <v>172.40449953181903</v>
      </c>
      <c r="I2172" s="329">
        <v>43.101124882954757</v>
      </c>
      <c r="J2172" s="329">
        <v>43.101124882954757</v>
      </c>
      <c r="K2172" s="329">
        <v>43.101124882954757</v>
      </c>
      <c r="L2172" s="329">
        <v>43.101124882954757</v>
      </c>
      <c r="M2172" s="350"/>
    </row>
    <row r="2173" spans="1:13" hidden="1" outlineLevel="2" x14ac:dyDescent="0.35">
      <c r="A2173" s="339" t="s">
        <v>203</v>
      </c>
      <c r="B2173" s="331">
        <v>44365</v>
      </c>
      <c r="C2173" s="332" t="s">
        <v>423</v>
      </c>
      <c r="D2173" s="332" t="s">
        <v>3423</v>
      </c>
      <c r="E2173" s="332" t="s">
        <v>2249</v>
      </c>
      <c r="F2173" s="336">
        <v>419418</v>
      </c>
      <c r="G2173" s="330" t="s">
        <v>236</v>
      </c>
      <c r="H2173" s="329">
        <v>357.61046075032135</v>
      </c>
      <c r="I2173" s="329">
        <v>89.402615187580338</v>
      </c>
      <c r="J2173" s="329">
        <v>89.402615187580338</v>
      </c>
      <c r="K2173" s="329">
        <v>89.402615187580338</v>
      </c>
      <c r="L2173" s="329">
        <v>89.402615187580338</v>
      </c>
      <c r="M2173" s="350"/>
    </row>
    <row r="2174" spans="1:13" hidden="1" outlineLevel="2" x14ac:dyDescent="0.35">
      <c r="A2174" s="339" t="s">
        <v>203</v>
      </c>
      <c r="B2174" s="331">
        <v>44407</v>
      </c>
      <c r="C2174" s="332" t="s">
        <v>378</v>
      </c>
      <c r="D2174" s="332" t="s">
        <v>3424</v>
      </c>
      <c r="E2174" s="332" t="s">
        <v>2249</v>
      </c>
      <c r="F2174" s="336">
        <v>608759</v>
      </c>
      <c r="G2174" s="330" t="s">
        <v>236</v>
      </c>
      <c r="H2174" s="329">
        <v>519.04922172130159</v>
      </c>
      <c r="I2174" s="329">
        <v>129.7623054303254</v>
      </c>
      <c r="J2174" s="329">
        <v>129.7623054303254</v>
      </c>
      <c r="K2174" s="329">
        <v>129.7623054303254</v>
      </c>
      <c r="L2174" s="329">
        <v>129.7623054303254</v>
      </c>
      <c r="M2174" s="350"/>
    </row>
    <row r="2175" spans="1:13" hidden="1" outlineLevel="2" x14ac:dyDescent="0.35">
      <c r="A2175" s="339" t="s">
        <v>203</v>
      </c>
      <c r="B2175" s="331">
        <v>44428</v>
      </c>
      <c r="C2175" s="332" t="s">
        <v>384</v>
      </c>
      <c r="D2175" s="332" t="s">
        <v>3425</v>
      </c>
      <c r="E2175" s="332" t="s">
        <v>2249</v>
      </c>
      <c r="F2175" s="336">
        <v>608759</v>
      </c>
      <c r="G2175" s="330" t="s">
        <v>236</v>
      </c>
      <c r="H2175" s="329">
        <v>519.04922172130159</v>
      </c>
      <c r="I2175" s="329">
        <v>129.7623054303254</v>
      </c>
      <c r="J2175" s="329">
        <v>129.7623054303254</v>
      </c>
      <c r="K2175" s="329">
        <v>129.7623054303254</v>
      </c>
      <c r="L2175" s="329">
        <v>129.7623054303254</v>
      </c>
      <c r="M2175" s="350"/>
    </row>
    <row r="2176" spans="1:13" hidden="1" outlineLevel="2" x14ac:dyDescent="0.35">
      <c r="A2176" s="339" t="s">
        <v>203</v>
      </c>
      <c r="B2176" s="331">
        <v>44428</v>
      </c>
      <c r="C2176" s="332" t="s">
        <v>386</v>
      </c>
      <c r="D2176" s="332" t="s">
        <v>3426</v>
      </c>
      <c r="E2176" s="332" t="s">
        <v>2249</v>
      </c>
      <c r="F2176" s="336">
        <v>427833</v>
      </c>
      <c r="G2176" s="330" t="s">
        <v>236</v>
      </c>
      <c r="H2176" s="329">
        <v>364.78538416136701</v>
      </c>
      <c r="I2176" s="329">
        <v>91.196346040341751</v>
      </c>
      <c r="J2176" s="329">
        <v>91.196346040341751</v>
      </c>
      <c r="K2176" s="329">
        <v>91.196346040341751</v>
      </c>
      <c r="L2176" s="329">
        <v>91.196346040341751</v>
      </c>
      <c r="M2176" s="350"/>
    </row>
    <row r="2177" spans="1:13" hidden="1" outlineLevel="2" x14ac:dyDescent="0.35">
      <c r="A2177" s="339" t="s">
        <v>203</v>
      </c>
      <c r="B2177" s="331">
        <v>44460</v>
      </c>
      <c r="C2177" s="332" t="s">
        <v>388</v>
      </c>
      <c r="D2177" s="332" t="s">
        <v>3425</v>
      </c>
      <c r="E2177" s="332" t="s">
        <v>2249</v>
      </c>
      <c r="F2177" s="336">
        <v>608759</v>
      </c>
      <c r="G2177" s="330" t="s">
        <v>236</v>
      </c>
      <c r="H2177" s="329">
        <v>519.04922172130159</v>
      </c>
      <c r="I2177" s="329">
        <v>129.7623054303254</v>
      </c>
      <c r="J2177" s="329">
        <v>129.7623054303254</v>
      </c>
      <c r="K2177" s="329">
        <v>129.7623054303254</v>
      </c>
      <c r="L2177" s="329">
        <v>129.7623054303254</v>
      </c>
      <c r="M2177" s="350"/>
    </row>
    <row r="2178" spans="1:13" hidden="1" outlineLevel="2" x14ac:dyDescent="0.35">
      <c r="A2178" s="339" t="s">
        <v>203</v>
      </c>
      <c r="B2178" s="331">
        <v>44460</v>
      </c>
      <c r="C2178" s="332" t="s">
        <v>389</v>
      </c>
      <c r="D2178" s="332" t="s">
        <v>3426</v>
      </c>
      <c r="E2178" s="332" t="s">
        <v>2249</v>
      </c>
      <c r="F2178" s="336">
        <v>427833</v>
      </c>
      <c r="G2178" s="330" t="s">
        <v>236</v>
      </c>
      <c r="H2178" s="329">
        <v>364.78538416136701</v>
      </c>
      <c r="I2178" s="329">
        <v>91.196346040341751</v>
      </c>
      <c r="J2178" s="329">
        <v>91.196346040341751</v>
      </c>
      <c r="K2178" s="329">
        <v>91.196346040341751</v>
      </c>
      <c r="L2178" s="329">
        <v>91.196346040341751</v>
      </c>
      <c r="M2178" s="350"/>
    </row>
    <row r="2179" spans="1:13" hidden="1" outlineLevel="2" x14ac:dyDescent="0.35">
      <c r="A2179" s="339" t="s">
        <v>203</v>
      </c>
      <c r="B2179" s="331">
        <v>44490</v>
      </c>
      <c r="C2179" s="332" t="s">
        <v>390</v>
      </c>
      <c r="D2179" s="332" t="s">
        <v>3427</v>
      </c>
      <c r="E2179" s="332" t="s">
        <v>613</v>
      </c>
      <c r="F2179" s="336">
        <v>608759</v>
      </c>
      <c r="G2179" s="330" t="s">
        <v>236</v>
      </c>
      <c r="H2179" s="329">
        <v>519.04922172130159</v>
      </c>
      <c r="I2179" s="329">
        <v>129.7623054303254</v>
      </c>
      <c r="J2179" s="329">
        <v>129.7623054303254</v>
      </c>
      <c r="K2179" s="329">
        <v>129.7623054303254</v>
      </c>
      <c r="L2179" s="329">
        <v>129.7623054303254</v>
      </c>
      <c r="M2179" s="350"/>
    </row>
    <row r="2180" spans="1:13" hidden="1" outlineLevel="2" x14ac:dyDescent="0.35">
      <c r="A2180" s="339" t="s">
        <v>203</v>
      </c>
      <c r="B2180" s="331">
        <v>44498</v>
      </c>
      <c r="C2180" s="332" t="s">
        <v>392</v>
      </c>
      <c r="D2180" s="332" t="s">
        <v>3428</v>
      </c>
      <c r="E2180" s="332" t="s">
        <v>613</v>
      </c>
      <c r="F2180" s="336">
        <v>436833</v>
      </c>
      <c r="G2180" s="330" t="s">
        <v>236</v>
      </c>
      <c r="H2180" s="329">
        <v>372.45909903949075</v>
      </c>
      <c r="I2180" s="329">
        <v>93.114774759872688</v>
      </c>
      <c r="J2180" s="329">
        <v>93.114774759872688</v>
      </c>
      <c r="K2180" s="329">
        <v>93.114774759872688</v>
      </c>
      <c r="L2180" s="329">
        <v>93.114774759872688</v>
      </c>
      <c r="M2180" s="350"/>
    </row>
    <row r="2181" spans="1:13" hidden="1" outlineLevel="2" x14ac:dyDescent="0.35">
      <c r="A2181" s="339" t="s">
        <v>203</v>
      </c>
      <c r="B2181" s="331">
        <v>44519</v>
      </c>
      <c r="C2181" s="332" t="s">
        <v>394</v>
      </c>
      <c r="D2181" s="332" t="s">
        <v>3429</v>
      </c>
      <c r="E2181" s="332" t="s">
        <v>613</v>
      </c>
      <c r="F2181" s="336">
        <v>608759</v>
      </c>
      <c r="G2181" s="330" t="s">
        <v>236</v>
      </c>
      <c r="H2181" s="329">
        <v>519.04922172130159</v>
      </c>
      <c r="I2181" s="329">
        <v>129.7623054303254</v>
      </c>
      <c r="J2181" s="329">
        <v>129.7623054303254</v>
      </c>
      <c r="K2181" s="329">
        <v>129.7623054303254</v>
      </c>
      <c r="L2181" s="329">
        <v>129.7623054303254</v>
      </c>
      <c r="M2181" s="350"/>
    </row>
    <row r="2182" spans="1:13" hidden="1" outlineLevel="2" x14ac:dyDescent="0.35">
      <c r="A2182" s="339" t="s">
        <v>203</v>
      </c>
      <c r="B2182" s="331">
        <v>44519</v>
      </c>
      <c r="C2182" s="332" t="s">
        <v>396</v>
      </c>
      <c r="D2182" s="332" t="s">
        <v>3430</v>
      </c>
      <c r="E2182" s="332" t="s">
        <v>613</v>
      </c>
      <c r="F2182" s="336">
        <v>436833</v>
      </c>
      <c r="G2182" s="330" t="s">
        <v>236</v>
      </c>
      <c r="H2182" s="329">
        <v>372.45909903949075</v>
      </c>
      <c r="I2182" s="329">
        <v>93.114774759872688</v>
      </c>
      <c r="J2182" s="329">
        <v>93.114774759872688</v>
      </c>
      <c r="K2182" s="329">
        <v>93.114774759872688</v>
      </c>
      <c r="L2182" s="329">
        <v>93.114774759872688</v>
      </c>
      <c r="M2182" s="350"/>
    </row>
    <row r="2183" spans="1:13" hidden="1" outlineLevel="2" x14ac:dyDescent="0.35">
      <c r="A2183" s="339" t="s">
        <v>203</v>
      </c>
      <c r="B2183" s="331">
        <v>44543</v>
      </c>
      <c r="C2183" s="332" t="s">
        <v>398</v>
      </c>
      <c r="D2183" s="332" t="s">
        <v>3431</v>
      </c>
      <c r="E2183" s="332" t="s">
        <v>2285</v>
      </c>
      <c r="F2183" s="336">
        <v>608759</v>
      </c>
      <c r="G2183" s="330" t="s">
        <v>236</v>
      </c>
      <c r="H2183" s="329">
        <v>519.04922172130159</v>
      </c>
      <c r="I2183" s="329">
        <v>129.7623054303254</v>
      </c>
      <c r="J2183" s="329">
        <v>129.7623054303254</v>
      </c>
      <c r="K2183" s="329">
        <v>129.7623054303254</v>
      </c>
      <c r="L2183" s="329">
        <v>129.7623054303254</v>
      </c>
      <c r="M2183" s="350"/>
    </row>
    <row r="2184" spans="1:13" hidden="1" outlineLevel="2" x14ac:dyDescent="0.35">
      <c r="A2184" s="339" t="s">
        <v>203</v>
      </c>
      <c r="B2184" s="331">
        <v>44543</v>
      </c>
      <c r="C2184" s="332" t="s">
        <v>401</v>
      </c>
      <c r="D2184" s="332" t="s">
        <v>3432</v>
      </c>
      <c r="E2184" s="332" t="s">
        <v>2285</v>
      </c>
      <c r="F2184" s="336">
        <v>321475</v>
      </c>
      <c r="G2184" s="330" t="s">
        <v>236</v>
      </c>
      <c r="H2184" s="329">
        <v>274.10083227164677</v>
      </c>
      <c r="I2184" s="329">
        <v>68.525208067911692</v>
      </c>
      <c r="J2184" s="329">
        <v>68.525208067911692</v>
      </c>
      <c r="K2184" s="329">
        <v>68.525208067911692</v>
      </c>
      <c r="L2184" s="329">
        <v>68.525208067911692</v>
      </c>
      <c r="M2184" s="350"/>
    </row>
    <row r="2185" spans="1:13" hidden="1" outlineLevel="2" x14ac:dyDescent="0.35">
      <c r="A2185" s="339" t="s">
        <v>203</v>
      </c>
      <c r="B2185" s="331">
        <v>44543</v>
      </c>
      <c r="C2185" s="332" t="s">
        <v>403</v>
      </c>
      <c r="D2185" s="332" t="s">
        <v>3433</v>
      </c>
      <c r="E2185" s="332" t="s">
        <v>2285</v>
      </c>
      <c r="F2185" s="336">
        <v>436833</v>
      </c>
      <c r="G2185" s="330" t="s">
        <v>236</v>
      </c>
      <c r="H2185" s="329">
        <v>372.45909903949075</v>
      </c>
      <c r="I2185" s="329">
        <v>93.114774759872688</v>
      </c>
      <c r="J2185" s="329">
        <v>93.114774759872688</v>
      </c>
      <c r="K2185" s="329">
        <v>93.114774759872688</v>
      </c>
      <c r="L2185" s="329">
        <v>93.114774759872688</v>
      </c>
      <c r="M2185" s="350"/>
    </row>
    <row r="2186" spans="1:13" hidden="1" outlineLevel="2" x14ac:dyDescent="0.35">
      <c r="A2186" s="339" t="s">
        <v>203</v>
      </c>
      <c r="B2186" s="331">
        <v>44543</v>
      </c>
      <c r="C2186" s="332" t="s">
        <v>405</v>
      </c>
      <c r="D2186" s="332" t="s">
        <v>3434</v>
      </c>
      <c r="E2186" s="332" t="s">
        <v>2285</v>
      </c>
      <c r="F2186" s="336">
        <v>188591</v>
      </c>
      <c r="G2186" s="330" t="s">
        <v>236</v>
      </c>
      <c r="H2186" s="329">
        <v>160.79928473113659</v>
      </c>
      <c r="I2186" s="329">
        <v>40.199821182784149</v>
      </c>
      <c r="J2186" s="329">
        <v>40.199821182784149</v>
      </c>
      <c r="K2186" s="329">
        <v>40.199821182784149</v>
      </c>
      <c r="L2186" s="329">
        <v>40.199821182784149</v>
      </c>
      <c r="M2186" s="350"/>
    </row>
    <row r="2187" spans="1:13" hidden="1" outlineLevel="2" x14ac:dyDescent="0.35">
      <c r="A2187" s="339" t="s">
        <v>203</v>
      </c>
      <c r="B2187" s="331">
        <v>44560</v>
      </c>
      <c r="C2187" s="332" t="s">
        <v>3435</v>
      </c>
      <c r="D2187" s="332" t="s">
        <v>3436</v>
      </c>
      <c r="E2187" s="332" t="s">
        <v>2285</v>
      </c>
      <c r="F2187" s="336">
        <v>27000</v>
      </c>
      <c r="G2187" s="330" t="s">
        <v>236</v>
      </c>
      <c r="H2187" s="329">
        <v>23.021144634371144</v>
      </c>
      <c r="I2187" s="329">
        <v>5.7552861585927859</v>
      </c>
      <c r="J2187" s="329">
        <v>5.7552861585927859</v>
      </c>
      <c r="K2187" s="329">
        <v>5.7552861585927859</v>
      </c>
      <c r="L2187" s="329">
        <v>5.7552861585927859</v>
      </c>
      <c r="M2187" s="350"/>
    </row>
    <row r="2188" spans="1:13" outlineLevel="1" collapsed="1" x14ac:dyDescent="0.35">
      <c r="A2188" s="343" t="s">
        <v>3437</v>
      </c>
      <c r="B2188" s="331"/>
      <c r="C2188" s="332"/>
      <c r="D2188" s="332"/>
      <c r="E2188" s="332"/>
      <c r="F2188" s="336"/>
      <c r="G2188" s="330"/>
      <c r="H2188" s="329">
        <f t="shared" ref="H2188:M2188" si="111">SUBTOTAL(9,H2129:H2187)</f>
        <v>23892.731765659461</v>
      </c>
      <c r="I2188" s="329">
        <f t="shared" si="111"/>
        <v>5973.1829414148651</v>
      </c>
      <c r="J2188" s="329">
        <f t="shared" si="111"/>
        <v>5973.1829414148651</v>
      </c>
      <c r="K2188" s="329">
        <f t="shared" si="111"/>
        <v>5973.1829414148651</v>
      </c>
      <c r="L2188" s="329">
        <f t="shared" si="111"/>
        <v>5973.1829414148651</v>
      </c>
      <c r="M2188" s="350">
        <f t="shared" si="111"/>
        <v>0</v>
      </c>
    </row>
    <row r="2189" spans="1:13" hidden="1" outlineLevel="2" x14ac:dyDescent="0.35">
      <c r="A2189" s="339" t="s">
        <v>191</v>
      </c>
      <c r="B2189" s="331">
        <v>43847</v>
      </c>
      <c r="C2189" s="332" t="s">
        <v>1741</v>
      </c>
      <c r="D2189" s="332" t="s">
        <v>3438</v>
      </c>
      <c r="E2189" s="332" t="s">
        <v>3439</v>
      </c>
      <c r="F2189" s="336">
        <v>399560</v>
      </c>
      <c r="G2189" s="330" t="s">
        <v>236</v>
      </c>
      <c r="H2189" s="329">
        <v>371.21529713493584</v>
      </c>
      <c r="I2189" s="338">
        <v>92.80382428373396</v>
      </c>
      <c r="J2189" s="338">
        <v>92.80382428373396</v>
      </c>
      <c r="K2189" s="338">
        <v>92.80382428373396</v>
      </c>
      <c r="L2189" s="338">
        <v>92.80382428373396</v>
      </c>
      <c r="M2189" s="350"/>
    </row>
    <row r="2190" spans="1:13" hidden="1" outlineLevel="2" x14ac:dyDescent="0.35">
      <c r="A2190" s="339" t="s">
        <v>191</v>
      </c>
      <c r="B2190" s="331">
        <v>43847</v>
      </c>
      <c r="C2190" s="332" t="s">
        <v>1743</v>
      </c>
      <c r="D2190" s="332" t="s">
        <v>3440</v>
      </c>
      <c r="E2190" s="332" t="s">
        <v>3439</v>
      </c>
      <c r="F2190" s="336">
        <v>273429</v>
      </c>
      <c r="G2190" s="330" t="s">
        <v>236</v>
      </c>
      <c r="H2190" s="329">
        <v>254.03200390506649</v>
      </c>
      <c r="I2190" s="338">
        <v>63.508000976266622</v>
      </c>
      <c r="J2190" s="338">
        <v>63.508000976266622</v>
      </c>
      <c r="K2190" s="338">
        <v>63.508000976266622</v>
      </c>
      <c r="L2190" s="338">
        <v>63.508000976266622</v>
      </c>
      <c r="M2190" s="350"/>
    </row>
    <row r="2191" spans="1:13" hidden="1" outlineLevel="2" x14ac:dyDescent="0.35">
      <c r="A2191" s="339" t="s">
        <v>191</v>
      </c>
      <c r="B2191" s="331">
        <v>43977</v>
      </c>
      <c r="C2191" s="332" t="s">
        <v>381</v>
      </c>
      <c r="D2191" s="332" t="s">
        <v>3441</v>
      </c>
      <c r="E2191" s="332" t="s">
        <v>3442</v>
      </c>
      <c r="F2191" s="336">
        <v>275492</v>
      </c>
      <c r="G2191" s="330" t="s">
        <v>236</v>
      </c>
      <c r="H2191" s="329">
        <v>255.94865511637235</v>
      </c>
      <c r="I2191" s="338">
        <v>63.987163779093088</v>
      </c>
      <c r="J2191" s="338">
        <v>63.987163779093088</v>
      </c>
      <c r="K2191" s="338">
        <v>63.987163779093088</v>
      </c>
      <c r="L2191" s="338">
        <v>63.987163779093088</v>
      </c>
      <c r="M2191" s="350"/>
    </row>
    <row r="2192" spans="1:13" hidden="1" outlineLevel="2" x14ac:dyDescent="0.35">
      <c r="A2192" s="339" t="s">
        <v>191</v>
      </c>
      <c r="B2192" s="331">
        <v>43977</v>
      </c>
      <c r="C2192" s="332" t="s">
        <v>484</v>
      </c>
      <c r="D2192" s="332" t="s">
        <v>3443</v>
      </c>
      <c r="E2192" s="332" t="s">
        <v>3442</v>
      </c>
      <c r="F2192" s="336">
        <v>397497</v>
      </c>
      <c r="G2192" s="330" t="s">
        <v>236</v>
      </c>
      <c r="H2192" s="329">
        <v>369.29864592362998</v>
      </c>
      <c r="I2192" s="338">
        <v>92.324661480907494</v>
      </c>
      <c r="J2192" s="338">
        <v>92.324661480907494</v>
      </c>
      <c r="K2192" s="338">
        <v>92.324661480907494</v>
      </c>
      <c r="L2192" s="338">
        <v>92.324661480907494</v>
      </c>
      <c r="M2192" s="350"/>
    </row>
    <row r="2193" spans="1:13" hidden="1" outlineLevel="2" x14ac:dyDescent="0.35">
      <c r="A2193" s="339" t="s">
        <v>191</v>
      </c>
      <c r="B2193" s="331">
        <v>44001</v>
      </c>
      <c r="C2193" s="332" t="s">
        <v>486</v>
      </c>
      <c r="D2193" s="332" t="s">
        <v>3444</v>
      </c>
      <c r="E2193" s="332" t="s">
        <v>3442</v>
      </c>
      <c r="F2193" s="336">
        <v>397497</v>
      </c>
      <c r="G2193" s="330" t="s">
        <v>236</v>
      </c>
      <c r="H2193" s="329">
        <v>369.29864592362998</v>
      </c>
      <c r="I2193" s="338">
        <v>92.324661480907494</v>
      </c>
      <c r="J2193" s="338">
        <v>92.324661480907494</v>
      </c>
      <c r="K2193" s="338">
        <v>92.324661480907494</v>
      </c>
      <c r="L2193" s="338">
        <v>92.324661480907494</v>
      </c>
      <c r="M2193" s="350"/>
    </row>
    <row r="2194" spans="1:13" hidden="1" outlineLevel="2" x14ac:dyDescent="0.35">
      <c r="A2194" s="339" t="s">
        <v>191</v>
      </c>
      <c r="B2194" s="331">
        <v>44001</v>
      </c>
      <c r="C2194" s="332" t="s">
        <v>488</v>
      </c>
      <c r="D2194" s="332" t="s">
        <v>3445</v>
      </c>
      <c r="E2194" s="332" t="s">
        <v>3442</v>
      </c>
      <c r="F2194" s="336">
        <v>275492</v>
      </c>
      <c r="G2194" s="330" t="s">
        <v>236</v>
      </c>
      <c r="H2194" s="329">
        <v>255.94865511637235</v>
      </c>
      <c r="I2194" s="338">
        <v>63.987163779093088</v>
      </c>
      <c r="J2194" s="338">
        <v>63.987163779093088</v>
      </c>
      <c r="K2194" s="338">
        <v>63.987163779093088</v>
      </c>
      <c r="L2194" s="338">
        <v>63.987163779093088</v>
      </c>
      <c r="M2194" s="350"/>
    </row>
    <row r="2195" spans="1:13" hidden="1" outlineLevel="2" x14ac:dyDescent="0.35">
      <c r="A2195" s="339" t="s">
        <v>191</v>
      </c>
      <c r="B2195" s="331">
        <v>44001</v>
      </c>
      <c r="C2195" s="332" t="s">
        <v>490</v>
      </c>
      <c r="D2195" s="332" t="s">
        <v>3446</v>
      </c>
      <c r="E2195" s="332" t="s">
        <v>3442</v>
      </c>
      <c r="F2195" s="336">
        <v>104345</v>
      </c>
      <c r="G2195" s="330" t="s">
        <v>236</v>
      </c>
      <c r="H2195" s="329">
        <v>96.942787515128842</v>
      </c>
      <c r="I2195" s="338">
        <v>24.23569687878221</v>
      </c>
      <c r="J2195" s="338">
        <v>24.23569687878221</v>
      </c>
      <c r="K2195" s="338">
        <v>24.23569687878221</v>
      </c>
      <c r="L2195" s="338">
        <v>24.23569687878221</v>
      </c>
      <c r="M2195" s="350"/>
    </row>
    <row r="2196" spans="1:13" hidden="1" outlineLevel="2" x14ac:dyDescent="0.35">
      <c r="A2196" s="339" t="s">
        <v>191</v>
      </c>
      <c r="B2196" s="331">
        <v>44001</v>
      </c>
      <c r="C2196" s="332" t="s">
        <v>492</v>
      </c>
      <c r="D2196" s="332" t="s">
        <v>3447</v>
      </c>
      <c r="E2196" s="332" t="s">
        <v>3442</v>
      </c>
      <c r="F2196" s="336">
        <v>207955</v>
      </c>
      <c r="G2196" s="330" t="s">
        <v>236</v>
      </c>
      <c r="H2196" s="329">
        <v>193.20271577659321</v>
      </c>
      <c r="I2196" s="338">
        <v>48.300678944148302</v>
      </c>
      <c r="J2196" s="338">
        <v>48.300678944148302</v>
      </c>
      <c r="K2196" s="338">
        <v>48.300678944148302</v>
      </c>
      <c r="L2196" s="338">
        <v>48.300678944148302</v>
      </c>
      <c r="M2196" s="350"/>
    </row>
    <row r="2197" spans="1:13" hidden="1" outlineLevel="2" x14ac:dyDescent="0.35">
      <c r="A2197" s="339" t="s">
        <v>191</v>
      </c>
      <c r="B2197" s="331">
        <v>44012</v>
      </c>
      <c r="C2197" s="332" t="s">
        <v>1800</v>
      </c>
      <c r="D2197" s="332" t="s">
        <v>3448</v>
      </c>
      <c r="E2197" s="332" t="s">
        <v>3442</v>
      </c>
      <c r="F2197" s="336">
        <v>16000</v>
      </c>
      <c r="G2197" s="330" t="s">
        <v>236</v>
      </c>
      <c r="H2197" s="329">
        <v>14.864963345077017</v>
      </c>
      <c r="I2197" s="338">
        <v>3.7162408362692543</v>
      </c>
      <c r="J2197" s="338">
        <v>3.7162408362692543</v>
      </c>
      <c r="K2197" s="338">
        <v>3.7162408362692543</v>
      </c>
      <c r="L2197" s="338">
        <v>3.7162408362692543</v>
      </c>
      <c r="M2197" s="350"/>
    </row>
    <row r="2198" spans="1:13" hidden="1" outlineLevel="2" x14ac:dyDescent="0.35">
      <c r="A2198" s="339" t="s">
        <v>191</v>
      </c>
      <c r="B2198" s="331">
        <v>44035</v>
      </c>
      <c r="C2198" s="332" t="s">
        <v>494</v>
      </c>
      <c r="D2198" s="332" t="s">
        <v>3449</v>
      </c>
      <c r="E2198" s="332" t="s">
        <v>3442</v>
      </c>
      <c r="F2198" s="336">
        <v>412760</v>
      </c>
      <c r="G2198" s="330" t="s">
        <v>236</v>
      </c>
      <c r="H2198" s="329">
        <v>383.47889189462438</v>
      </c>
      <c r="I2198" s="338">
        <v>95.869722973656096</v>
      </c>
      <c r="J2198" s="338">
        <v>95.869722973656096</v>
      </c>
      <c r="K2198" s="338">
        <v>95.869722973656096</v>
      </c>
      <c r="L2198" s="338">
        <v>95.869722973656096</v>
      </c>
      <c r="M2198" s="350"/>
    </row>
    <row r="2199" spans="1:13" hidden="1" outlineLevel="2" x14ac:dyDescent="0.35">
      <c r="A2199" s="339" t="s">
        <v>191</v>
      </c>
      <c r="B2199" s="331">
        <v>44035</v>
      </c>
      <c r="C2199" s="332" t="s">
        <v>496</v>
      </c>
      <c r="D2199" s="332" t="s">
        <v>3450</v>
      </c>
      <c r="E2199" s="332" t="s">
        <v>3442</v>
      </c>
      <c r="F2199" s="336">
        <v>287147</v>
      </c>
      <c r="G2199" s="330" t="s">
        <v>236</v>
      </c>
      <c r="H2199" s="329">
        <v>266.77685185305188</v>
      </c>
      <c r="I2199" s="338">
        <v>66.69421296326297</v>
      </c>
      <c r="J2199" s="338">
        <v>66.69421296326297</v>
      </c>
      <c r="K2199" s="338">
        <v>66.69421296326297</v>
      </c>
      <c r="L2199" s="338">
        <v>66.69421296326297</v>
      </c>
      <c r="M2199" s="350"/>
    </row>
    <row r="2200" spans="1:13" hidden="1" outlineLevel="2" x14ac:dyDescent="0.35">
      <c r="A2200" s="339" t="s">
        <v>191</v>
      </c>
      <c r="B2200" s="331">
        <v>44063</v>
      </c>
      <c r="C2200" s="332" t="s">
        <v>496</v>
      </c>
      <c r="D2200" s="332" t="s">
        <v>3450</v>
      </c>
      <c r="E2200" s="332" t="s">
        <v>3442</v>
      </c>
      <c r="F2200" s="336">
        <v>287147</v>
      </c>
      <c r="G2200" s="330" t="s">
        <v>236</v>
      </c>
      <c r="H2200" s="329">
        <v>266.77685185305188</v>
      </c>
      <c r="I2200" s="338">
        <v>66.69421296326297</v>
      </c>
      <c r="J2200" s="338">
        <v>66.69421296326297</v>
      </c>
      <c r="K2200" s="338">
        <v>66.69421296326297</v>
      </c>
      <c r="L2200" s="338">
        <v>66.69421296326297</v>
      </c>
      <c r="M2200" s="350"/>
    </row>
    <row r="2201" spans="1:13" hidden="1" outlineLevel="2" x14ac:dyDescent="0.35">
      <c r="A2201" s="339" t="s">
        <v>191</v>
      </c>
      <c r="B2201" s="331">
        <v>44063</v>
      </c>
      <c r="C2201" s="332" t="s">
        <v>498</v>
      </c>
      <c r="D2201" s="332" t="s">
        <v>3451</v>
      </c>
      <c r="E2201" s="332" t="s">
        <v>3442</v>
      </c>
      <c r="F2201" s="336">
        <v>412760</v>
      </c>
      <c r="G2201" s="330" t="s">
        <v>236</v>
      </c>
      <c r="H2201" s="329">
        <v>383.47889189462438</v>
      </c>
      <c r="I2201" s="338">
        <v>95.869722973656096</v>
      </c>
      <c r="J2201" s="338">
        <v>95.869722973656096</v>
      </c>
      <c r="K2201" s="338">
        <v>95.869722973656096</v>
      </c>
      <c r="L2201" s="338">
        <v>95.869722973656096</v>
      </c>
      <c r="M2201" s="350"/>
    </row>
    <row r="2202" spans="1:13" hidden="1" outlineLevel="2" x14ac:dyDescent="0.35">
      <c r="A2202" s="339" t="s">
        <v>191</v>
      </c>
      <c r="B2202" s="331">
        <v>44091</v>
      </c>
      <c r="C2202" s="332" t="s">
        <v>500</v>
      </c>
      <c r="D2202" s="332" t="s">
        <v>3452</v>
      </c>
      <c r="E2202" s="332" t="s">
        <v>749</v>
      </c>
      <c r="F2202" s="336">
        <v>419418</v>
      </c>
      <c r="G2202" s="330" t="s">
        <v>236</v>
      </c>
      <c r="H2202" s="329">
        <v>389.66457476659457</v>
      </c>
      <c r="I2202" s="338">
        <v>97.416143691648642</v>
      </c>
      <c r="J2202" s="338">
        <v>97.416143691648642</v>
      </c>
      <c r="K2202" s="338">
        <v>97.416143691648642</v>
      </c>
      <c r="L2202" s="338">
        <v>97.416143691648642</v>
      </c>
      <c r="M2202" s="350"/>
    </row>
    <row r="2203" spans="1:13" hidden="1" outlineLevel="2" x14ac:dyDescent="0.35">
      <c r="A2203" s="339" t="s">
        <v>191</v>
      </c>
      <c r="B2203" s="331">
        <v>44095</v>
      </c>
      <c r="C2203" s="332" t="s">
        <v>502</v>
      </c>
      <c r="D2203" s="332" t="s">
        <v>3453</v>
      </c>
      <c r="E2203" s="332" t="s">
        <v>749</v>
      </c>
      <c r="F2203" s="336">
        <v>585958</v>
      </c>
      <c r="G2203" s="330" t="s">
        <v>236</v>
      </c>
      <c r="H2203" s="329">
        <v>544.3902619846649</v>
      </c>
      <c r="I2203" s="338">
        <v>136.09756549616623</v>
      </c>
      <c r="J2203" s="338">
        <v>136.09756549616623</v>
      </c>
      <c r="K2203" s="338">
        <v>136.09756549616623</v>
      </c>
      <c r="L2203" s="338">
        <v>136.09756549616623</v>
      </c>
      <c r="M2203" s="350"/>
    </row>
    <row r="2204" spans="1:13" hidden="1" outlineLevel="2" x14ac:dyDescent="0.35">
      <c r="A2204" s="339" t="s">
        <v>191</v>
      </c>
      <c r="B2204" s="331">
        <v>44123</v>
      </c>
      <c r="C2204" s="332" t="s">
        <v>504</v>
      </c>
      <c r="D2204" s="332" t="s">
        <v>3454</v>
      </c>
      <c r="E2204" s="332" t="s">
        <v>749</v>
      </c>
      <c r="F2204" s="336">
        <v>419418</v>
      </c>
      <c r="G2204" s="330" t="s">
        <v>236</v>
      </c>
      <c r="H2204" s="329">
        <v>389.66457476659457</v>
      </c>
      <c r="I2204" s="338">
        <v>97.416143691648642</v>
      </c>
      <c r="J2204" s="338">
        <v>97.416143691648642</v>
      </c>
      <c r="K2204" s="338">
        <v>97.416143691648642</v>
      </c>
      <c r="L2204" s="338">
        <v>97.416143691648642</v>
      </c>
      <c r="M2204" s="350"/>
    </row>
    <row r="2205" spans="1:13" hidden="1" outlineLevel="2" x14ac:dyDescent="0.35">
      <c r="A2205" s="339" t="s">
        <v>191</v>
      </c>
      <c r="B2205" s="331">
        <v>44123</v>
      </c>
      <c r="C2205" s="332" t="s">
        <v>506</v>
      </c>
      <c r="D2205" s="332" t="s">
        <v>3455</v>
      </c>
      <c r="E2205" s="332" t="s">
        <v>749</v>
      </c>
      <c r="F2205" s="336">
        <v>585958</v>
      </c>
      <c r="G2205" s="330" t="s">
        <v>236</v>
      </c>
      <c r="H2205" s="329">
        <v>544.3902619846649</v>
      </c>
      <c r="I2205" s="338">
        <v>136.09756549616623</v>
      </c>
      <c r="J2205" s="338">
        <v>136.09756549616623</v>
      </c>
      <c r="K2205" s="338">
        <v>136.09756549616623</v>
      </c>
      <c r="L2205" s="338">
        <v>136.09756549616623</v>
      </c>
      <c r="M2205" s="350"/>
    </row>
    <row r="2206" spans="1:13" hidden="1" outlineLevel="2" x14ac:dyDescent="0.35">
      <c r="A2206" s="339" t="s">
        <v>191</v>
      </c>
      <c r="B2206" s="331">
        <v>44153</v>
      </c>
      <c r="C2206" s="332" t="s">
        <v>508</v>
      </c>
      <c r="D2206" s="332" t="s">
        <v>3456</v>
      </c>
      <c r="E2206" s="332" t="s">
        <v>749</v>
      </c>
      <c r="F2206" s="336">
        <v>585958</v>
      </c>
      <c r="G2206" s="330" t="s">
        <v>236</v>
      </c>
      <c r="H2206" s="329">
        <v>544.3902619846649</v>
      </c>
      <c r="I2206" s="338">
        <v>136.09756549616623</v>
      </c>
      <c r="J2206" s="338">
        <v>136.09756549616623</v>
      </c>
      <c r="K2206" s="338">
        <v>136.09756549616623</v>
      </c>
      <c r="L2206" s="338">
        <v>136.09756549616623</v>
      </c>
      <c r="M2206" s="350"/>
    </row>
    <row r="2207" spans="1:13" hidden="1" outlineLevel="2" x14ac:dyDescent="0.35">
      <c r="A2207" s="339" t="s">
        <v>191</v>
      </c>
      <c r="B2207" s="331">
        <v>44153</v>
      </c>
      <c r="C2207" s="332" t="s">
        <v>510</v>
      </c>
      <c r="D2207" s="332" t="s">
        <v>3457</v>
      </c>
      <c r="E2207" s="332" t="s">
        <v>749</v>
      </c>
      <c r="F2207" s="336">
        <v>419418</v>
      </c>
      <c r="G2207" s="330" t="s">
        <v>236</v>
      </c>
      <c r="H2207" s="329">
        <v>389.66457476659457</v>
      </c>
      <c r="I2207" s="338">
        <v>97.416143691648642</v>
      </c>
      <c r="J2207" s="338">
        <v>97.416143691648642</v>
      </c>
      <c r="K2207" s="338">
        <v>97.416143691648642</v>
      </c>
      <c r="L2207" s="338">
        <v>97.416143691648642</v>
      </c>
      <c r="M2207" s="350"/>
    </row>
    <row r="2208" spans="1:13" hidden="1" outlineLevel="2" x14ac:dyDescent="0.35">
      <c r="A2208" s="339" t="s">
        <v>191</v>
      </c>
      <c r="B2208" s="331">
        <v>44180</v>
      </c>
      <c r="C2208" s="332" t="s">
        <v>512</v>
      </c>
      <c r="D2208" s="332" t="s">
        <v>3458</v>
      </c>
      <c r="E2208" s="332" t="s">
        <v>749</v>
      </c>
      <c r="F2208" s="336">
        <v>419418</v>
      </c>
      <c r="G2208" s="330" t="s">
        <v>236</v>
      </c>
      <c r="H2208" s="329">
        <v>389.66457476659457</v>
      </c>
      <c r="I2208" s="338">
        <v>97.416143691648642</v>
      </c>
      <c r="J2208" s="338">
        <v>97.416143691648642</v>
      </c>
      <c r="K2208" s="338">
        <v>97.416143691648642</v>
      </c>
      <c r="L2208" s="338">
        <v>97.416143691648642</v>
      </c>
      <c r="M2208" s="350"/>
    </row>
    <row r="2209" spans="1:13" hidden="1" outlineLevel="2" x14ac:dyDescent="0.35">
      <c r="A2209" s="339" t="s">
        <v>191</v>
      </c>
      <c r="B2209" s="331">
        <v>44180</v>
      </c>
      <c r="C2209" s="332" t="s">
        <v>514</v>
      </c>
      <c r="D2209" s="332" t="s">
        <v>3459</v>
      </c>
      <c r="E2209" s="332" t="s">
        <v>749</v>
      </c>
      <c r="F2209" s="336">
        <v>585958</v>
      </c>
      <c r="G2209" s="330" t="s">
        <v>236</v>
      </c>
      <c r="H2209" s="329">
        <v>544.3902619846649</v>
      </c>
      <c r="I2209" s="338">
        <v>136.09756549616623</v>
      </c>
      <c r="J2209" s="338">
        <v>136.09756549616623</v>
      </c>
      <c r="K2209" s="338">
        <v>136.09756549616623</v>
      </c>
      <c r="L2209" s="338">
        <v>136.09756549616623</v>
      </c>
      <c r="M2209" s="350"/>
    </row>
    <row r="2210" spans="1:13" hidden="1" outlineLevel="2" x14ac:dyDescent="0.35">
      <c r="A2210" s="339" t="s">
        <v>191</v>
      </c>
      <c r="B2210" s="331">
        <v>44181</v>
      </c>
      <c r="C2210" s="332" t="s">
        <v>516</v>
      </c>
      <c r="D2210" s="332" t="s">
        <v>3460</v>
      </c>
      <c r="E2210" s="332" t="s">
        <v>749</v>
      </c>
      <c r="F2210" s="336">
        <v>294663</v>
      </c>
      <c r="G2210" s="330" t="s">
        <v>236</v>
      </c>
      <c r="H2210" s="329">
        <v>273.75966838440183</v>
      </c>
      <c r="I2210" s="338">
        <v>68.439917096100459</v>
      </c>
      <c r="J2210" s="338">
        <v>68.439917096100459</v>
      </c>
      <c r="K2210" s="338">
        <v>68.439917096100459</v>
      </c>
      <c r="L2210" s="338">
        <v>68.439917096100459</v>
      </c>
      <c r="M2210" s="350"/>
    </row>
    <row r="2211" spans="1:13" hidden="1" outlineLevel="2" x14ac:dyDescent="0.35">
      <c r="A2211" s="339" t="s">
        <v>191</v>
      </c>
      <c r="B2211" s="331">
        <v>44181</v>
      </c>
      <c r="C2211" s="332" t="s">
        <v>328</v>
      </c>
      <c r="D2211" s="332" t="s">
        <v>3461</v>
      </c>
      <c r="E2211" s="332" t="s">
        <v>749</v>
      </c>
      <c r="F2211" s="336">
        <v>195784</v>
      </c>
      <c r="G2211" s="330" t="s">
        <v>236</v>
      </c>
      <c r="H2211" s="329">
        <v>181.89512397203492</v>
      </c>
      <c r="I2211" s="338">
        <v>45.473780993008731</v>
      </c>
      <c r="J2211" s="338">
        <v>45.473780993008731</v>
      </c>
      <c r="K2211" s="338">
        <v>45.473780993008731</v>
      </c>
      <c r="L2211" s="338">
        <v>45.473780993008731</v>
      </c>
      <c r="M2211" s="350"/>
    </row>
    <row r="2212" spans="1:13" outlineLevel="1" collapsed="1" x14ac:dyDescent="0.35">
      <c r="A2212" s="343" t="s">
        <v>3462</v>
      </c>
      <c r="B2212" s="331"/>
      <c r="C2212" s="332"/>
      <c r="D2212" s="332"/>
      <c r="E2212" s="332"/>
      <c r="F2212" s="336"/>
      <c r="G2212" s="330"/>
      <c r="H2212" s="329">
        <f t="shared" ref="H2212:M2212" si="112">SUBTOTAL(9,H2189:H2211)</f>
        <v>7673.1379966136319</v>
      </c>
      <c r="I2212" s="338">
        <f t="shared" si="112"/>
        <v>1918.284499153408</v>
      </c>
      <c r="J2212" s="338">
        <f t="shared" si="112"/>
        <v>1918.284499153408</v>
      </c>
      <c r="K2212" s="338">
        <f t="shared" si="112"/>
        <v>1918.284499153408</v>
      </c>
      <c r="L2212" s="338">
        <f t="shared" si="112"/>
        <v>1918.284499153408</v>
      </c>
      <c r="M2212" s="350">
        <f t="shared" si="112"/>
        <v>0</v>
      </c>
    </row>
    <row r="2213" spans="1:13" hidden="1" outlineLevel="2" x14ac:dyDescent="0.35">
      <c r="A2213" s="339" t="s">
        <v>100</v>
      </c>
      <c r="B2213" s="331">
        <v>43707</v>
      </c>
      <c r="C2213" s="332" t="s">
        <v>3463</v>
      </c>
      <c r="D2213" s="332" t="s">
        <v>3464</v>
      </c>
      <c r="E2213" s="332" t="s">
        <v>701</v>
      </c>
      <c r="F2213" s="336">
        <v>283200</v>
      </c>
      <c r="G2213" s="330" t="s">
        <v>236</v>
      </c>
      <c r="H2213" s="329">
        <v>278.82383345809984</v>
      </c>
      <c r="I2213" s="338">
        <v>69.70595836452496</v>
      </c>
      <c r="J2213" s="338">
        <v>69.70595836452496</v>
      </c>
      <c r="K2213" s="338">
        <v>69.70595836452496</v>
      </c>
      <c r="L2213" s="338">
        <v>69.70595836452496</v>
      </c>
      <c r="M2213" s="350"/>
    </row>
    <row r="2214" spans="1:13" hidden="1" outlineLevel="2" x14ac:dyDescent="0.35">
      <c r="A2214" s="339" t="s">
        <v>100</v>
      </c>
      <c r="B2214" s="331">
        <v>43707</v>
      </c>
      <c r="C2214" s="332" t="s">
        <v>3463</v>
      </c>
      <c r="D2214" s="332" t="s">
        <v>3465</v>
      </c>
      <c r="E2214" s="332" t="s">
        <v>701</v>
      </c>
      <c r="F2214" s="336">
        <v>1106560</v>
      </c>
      <c r="G2214" s="330" t="s">
        <v>236</v>
      </c>
      <c r="H2214" s="329">
        <v>1089.460809150406</v>
      </c>
      <c r="I2214" s="338">
        <v>272.36520228760151</v>
      </c>
      <c r="J2214" s="338">
        <v>272.36520228760151</v>
      </c>
      <c r="K2214" s="338">
        <v>272.36520228760151</v>
      </c>
      <c r="L2214" s="338">
        <v>272.36520228760151</v>
      </c>
      <c r="M2214" s="350"/>
    </row>
    <row r="2215" spans="1:13" hidden="1" outlineLevel="2" x14ac:dyDescent="0.35">
      <c r="A2215" s="339" t="s">
        <v>100</v>
      </c>
      <c r="B2215" s="331">
        <v>43706</v>
      </c>
      <c r="C2215" s="332" t="s">
        <v>3466</v>
      </c>
      <c r="D2215" s="332" t="s">
        <v>3467</v>
      </c>
      <c r="E2215" s="332" t="s">
        <v>701</v>
      </c>
      <c r="F2215" s="336">
        <v>28650</v>
      </c>
      <c r="G2215" s="330" t="s">
        <v>236</v>
      </c>
      <c r="H2215" s="329">
        <v>28.207283999203959</v>
      </c>
      <c r="I2215" s="338">
        <v>7.0518209998009898</v>
      </c>
      <c r="J2215" s="338">
        <v>7.0518209998009898</v>
      </c>
      <c r="K2215" s="338">
        <v>7.0518209998009898</v>
      </c>
      <c r="L2215" s="338">
        <v>7.0518209998009898</v>
      </c>
      <c r="M2215" s="350"/>
    </row>
    <row r="2216" spans="1:13" hidden="1" outlineLevel="2" x14ac:dyDescent="0.35">
      <c r="A2216" s="339" t="s">
        <v>100</v>
      </c>
      <c r="B2216" s="331">
        <v>43738</v>
      </c>
      <c r="C2216" s="332" t="s">
        <v>3468</v>
      </c>
      <c r="D2216" s="332" t="s">
        <v>3469</v>
      </c>
      <c r="E2216" s="332" t="s">
        <v>3470</v>
      </c>
      <c r="F2216" s="336">
        <v>171000</v>
      </c>
      <c r="G2216" s="330" t="s">
        <v>236</v>
      </c>
      <c r="H2216" s="329">
        <v>168.35761130414929</v>
      </c>
      <c r="I2216" s="338">
        <v>42.089402826037322</v>
      </c>
      <c r="J2216" s="338">
        <v>42.089402826037322</v>
      </c>
      <c r="K2216" s="338">
        <v>42.089402826037322</v>
      </c>
      <c r="L2216" s="338">
        <v>42.089402826037322</v>
      </c>
      <c r="M2216" s="350"/>
    </row>
    <row r="2217" spans="1:13" hidden="1" outlineLevel="2" x14ac:dyDescent="0.35">
      <c r="A2217" s="339" t="s">
        <v>100</v>
      </c>
      <c r="B2217" s="331">
        <v>43747</v>
      </c>
      <c r="C2217" s="332" t="s">
        <v>3468</v>
      </c>
      <c r="D2217" s="332" t="s">
        <v>3471</v>
      </c>
      <c r="E2217" s="332" t="s">
        <v>3470</v>
      </c>
      <c r="F2217" s="336">
        <v>150000</v>
      </c>
      <c r="G2217" s="330" t="s">
        <v>236</v>
      </c>
      <c r="H2217" s="329">
        <v>147.68211517907832</v>
      </c>
      <c r="I2217" s="338">
        <v>36.920528794769581</v>
      </c>
      <c r="J2217" s="338">
        <v>36.920528794769581</v>
      </c>
      <c r="K2217" s="338">
        <v>36.920528794769581</v>
      </c>
      <c r="L2217" s="338">
        <v>36.920528794769581</v>
      </c>
      <c r="M2217" s="350"/>
    </row>
    <row r="2218" spans="1:13" hidden="1" outlineLevel="2" x14ac:dyDescent="0.35">
      <c r="A2218" s="339" t="s">
        <v>100</v>
      </c>
      <c r="B2218" s="331">
        <v>43748</v>
      </c>
      <c r="C2218" s="332" t="s">
        <v>3472</v>
      </c>
      <c r="D2218" s="332" t="s">
        <v>3473</v>
      </c>
      <c r="E2218" s="332" t="s">
        <v>3470</v>
      </c>
      <c r="F2218" s="336">
        <v>396000</v>
      </c>
      <c r="G2218" s="330" t="s">
        <v>236</v>
      </c>
      <c r="H2218" s="329">
        <v>389.88078407276674</v>
      </c>
      <c r="I2218" s="338">
        <v>97.470196018191686</v>
      </c>
      <c r="J2218" s="338">
        <v>97.470196018191686</v>
      </c>
      <c r="K2218" s="338">
        <v>97.470196018191686</v>
      </c>
      <c r="L2218" s="338">
        <v>97.470196018191686</v>
      </c>
      <c r="M2218" s="350"/>
    </row>
    <row r="2219" spans="1:13" hidden="1" outlineLevel="2" x14ac:dyDescent="0.35">
      <c r="A2219" s="339" t="s">
        <v>100</v>
      </c>
      <c r="B2219" s="331">
        <v>43727</v>
      </c>
      <c r="C2219" s="332" t="s">
        <v>3474</v>
      </c>
      <c r="D2219" s="332" t="s">
        <v>3475</v>
      </c>
      <c r="E2219" s="332" t="s">
        <v>472</v>
      </c>
      <c r="F2219" s="336">
        <v>254156</v>
      </c>
      <c r="G2219" s="330" t="s">
        <v>236</v>
      </c>
      <c r="H2219" s="329">
        <v>250.2286377696922</v>
      </c>
      <c r="I2219" s="338">
        <v>62.55715944242305</v>
      </c>
      <c r="J2219" s="338">
        <v>62.55715944242305</v>
      </c>
      <c r="K2219" s="338">
        <v>62.55715944242305</v>
      </c>
      <c r="L2219" s="338">
        <v>62.55715944242305</v>
      </c>
      <c r="M2219" s="350"/>
    </row>
    <row r="2220" spans="1:13" hidden="1" outlineLevel="2" x14ac:dyDescent="0.35">
      <c r="A2220" s="339" t="s">
        <v>100</v>
      </c>
      <c r="B2220" s="331">
        <v>43767</v>
      </c>
      <c r="C2220" s="332" t="s">
        <v>3476</v>
      </c>
      <c r="D2220" s="332" t="s">
        <v>3477</v>
      </c>
      <c r="E2220" s="332" t="s">
        <v>710</v>
      </c>
      <c r="F2220" s="336">
        <v>468900</v>
      </c>
      <c r="G2220" s="330" t="s">
        <v>236</v>
      </c>
      <c r="H2220" s="329">
        <v>461.65429204979881</v>
      </c>
      <c r="I2220" s="338">
        <v>115.4135730124497</v>
      </c>
      <c r="J2220" s="338">
        <v>115.4135730124497</v>
      </c>
      <c r="K2220" s="338">
        <v>115.4135730124497</v>
      </c>
      <c r="L2220" s="338">
        <v>115.4135730124497</v>
      </c>
      <c r="M2220" s="350"/>
    </row>
    <row r="2221" spans="1:13" hidden="1" outlineLevel="2" x14ac:dyDescent="0.35">
      <c r="A2221" s="339" t="s">
        <v>100</v>
      </c>
      <c r="B2221" s="331">
        <v>43759</v>
      </c>
      <c r="C2221" s="332" t="s">
        <v>3478</v>
      </c>
      <c r="D2221" s="332" t="s">
        <v>3479</v>
      </c>
      <c r="E2221" s="332" t="s">
        <v>472</v>
      </c>
      <c r="F2221" s="336">
        <v>367462</v>
      </c>
      <c r="G2221" s="330" t="s">
        <v>236</v>
      </c>
      <c r="H2221" s="329">
        <v>361.78376938622984</v>
      </c>
      <c r="I2221" s="338">
        <v>90.445942346557459</v>
      </c>
      <c r="J2221" s="338">
        <v>90.445942346557459</v>
      </c>
      <c r="K2221" s="338">
        <v>90.445942346557459</v>
      </c>
      <c r="L2221" s="338">
        <v>90.445942346557459</v>
      </c>
      <c r="M2221" s="350"/>
    </row>
    <row r="2222" spans="1:13" hidden="1" outlineLevel="2" x14ac:dyDescent="0.35">
      <c r="A2222" s="339" t="s">
        <v>100</v>
      </c>
      <c r="B2222" s="331">
        <v>43769</v>
      </c>
      <c r="C2222" s="332" t="s">
        <v>1649</v>
      </c>
      <c r="D2222" s="332" t="s">
        <v>3480</v>
      </c>
      <c r="E2222" s="332" t="s">
        <v>701</v>
      </c>
      <c r="F2222" s="336">
        <v>454660</v>
      </c>
      <c r="G2222" s="330" t="s">
        <v>236</v>
      </c>
      <c r="H2222" s="329">
        <v>447.63433658213165</v>
      </c>
      <c r="I2222" s="338">
        <v>111.90858414553291</v>
      </c>
      <c r="J2222" s="338">
        <v>111.90858414553291</v>
      </c>
      <c r="K2222" s="338">
        <v>111.90858414553291</v>
      </c>
      <c r="L2222" s="338">
        <v>111.90858414553291</v>
      </c>
      <c r="M2222" s="350"/>
    </row>
    <row r="2223" spans="1:13" hidden="1" outlineLevel="2" x14ac:dyDescent="0.35">
      <c r="A2223" s="339" t="s">
        <v>100</v>
      </c>
      <c r="B2223" s="331">
        <v>43775</v>
      </c>
      <c r="C2223" s="332" t="s">
        <v>1907</v>
      </c>
      <c r="D2223" s="332" t="s">
        <v>3481</v>
      </c>
      <c r="E2223" s="332" t="s">
        <v>701</v>
      </c>
      <c r="F2223" s="336">
        <v>618438</v>
      </c>
      <c r="G2223" s="330" t="s">
        <v>236</v>
      </c>
      <c r="H2223" s="329">
        <v>608.88154631412556</v>
      </c>
      <c r="I2223" s="338">
        <v>152.22038657853139</v>
      </c>
      <c r="J2223" s="338">
        <v>152.22038657853139</v>
      </c>
      <c r="K2223" s="338">
        <v>152.22038657853139</v>
      </c>
      <c r="L2223" s="338">
        <v>152.22038657853139</v>
      </c>
      <c r="M2223" s="350"/>
    </row>
    <row r="2224" spans="1:13" hidden="1" outlineLevel="2" x14ac:dyDescent="0.35">
      <c r="A2224" s="339" t="s">
        <v>100</v>
      </c>
      <c r="B2224" s="331">
        <v>44320</v>
      </c>
      <c r="C2224" s="332" t="s">
        <v>714</v>
      </c>
      <c r="D2224" s="332" t="s">
        <v>3482</v>
      </c>
      <c r="E2224" s="332" t="s">
        <v>1212</v>
      </c>
      <c r="F2224" s="336">
        <v>50000</v>
      </c>
      <c r="G2224" s="330" t="s">
        <v>236</v>
      </c>
      <c r="H2224" s="329">
        <v>42.631749322909528</v>
      </c>
      <c r="I2224" s="329">
        <v>10.657937330727382</v>
      </c>
      <c r="J2224" s="329">
        <v>10.657937330727382</v>
      </c>
      <c r="K2224" s="329">
        <v>10.657937330727382</v>
      </c>
      <c r="L2224" s="329">
        <v>10.657937330727382</v>
      </c>
      <c r="M2224" s="350"/>
    </row>
    <row r="2225" spans="1:13" hidden="1" outlineLevel="2" x14ac:dyDescent="0.35">
      <c r="A2225" s="339" t="s">
        <v>100</v>
      </c>
      <c r="B2225" s="331">
        <v>43753</v>
      </c>
      <c r="C2225" s="332" t="s">
        <v>717</v>
      </c>
      <c r="D2225" s="332" t="s">
        <v>3483</v>
      </c>
      <c r="E2225" s="332" t="s">
        <v>701</v>
      </c>
      <c r="F2225" s="336">
        <v>111510</v>
      </c>
      <c r="G2225" s="330" t="s">
        <v>236</v>
      </c>
      <c r="H2225" s="329">
        <v>109.78688442412682</v>
      </c>
      <c r="I2225" s="338">
        <v>27.446721106031706</v>
      </c>
      <c r="J2225" s="338">
        <v>27.446721106031706</v>
      </c>
      <c r="K2225" s="338">
        <v>27.446721106031706</v>
      </c>
      <c r="L2225" s="338">
        <v>27.446721106031706</v>
      </c>
      <c r="M2225" s="350"/>
    </row>
    <row r="2226" spans="1:13" hidden="1" outlineLevel="2" x14ac:dyDescent="0.35">
      <c r="A2226" s="339" t="s">
        <v>100</v>
      </c>
      <c r="B2226" s="331">
        <v>44561</v>
      </c>
      <c r="C2226" s="332" t="s">
        <v>494</v>
      </c>
      <c r="D2226" s="332" t="s">
        <v>3484</v>
      </c>
      <c r="E2226" s="332" t="s">
        <v>3485</v>
      </c>
      <c r="F2226" s="336">
        <v>24000</v>
      </c>
      <c r="G2226" s="330" t="s">
        <v>236</v>
      </c>
      <c r="H2226" s="329">
        <v>20.463239674996572</v>
      </c>
      <c r="I2226" s="329">
        <v>5.115809918749143</v>
      </c>
      <c r="J2226" s="329">
        <v>5.115809918749143</v>
      </c>
      <c r="K2226" s="329">
        <v>5.115809918749143</v>
      </c>
      <c r="L2226" s="329">
        <v>5.115809918749143</v>
      </c>
      <c r="M2226" s="350"/>
    </row>
    <row r="2227" spans="1:13" hidden="1" outlineLevel="2" x14ac:dyDescent="0.35">
      <c r="A2227" s="339" t="s">
        <v>100</v>
      </c>
      <c r="B2227" s="331">
        <v>44561</v>
      </c>
      <c r="C2227" s="332" t="s">
        <v>494</v>
      </c>
      <c r="D2227" s="332" t="s">
        <v>3484</v>
      </c>
      <c r="E2227" s="332" t="s">
        <v>288</v>
      </c>
      <c r="F2227" s="336">
        <v>54000</v>
      </c>
      <c r="G2227" s="330" t="s">
        <v>236</v>
      </c>
      <c r="H2227" s="329">
        <v>46.042289268742287</v>
      </c>
      <c r="I2227" s="329">
        <v>11.510572317185572</v>
      </c>
      <c r="J2227" s="329">
        <v>11.510572317185572</v>
      </c>
      <c r="K2227" s="329">
        <v>11.510572317185572</v>
      </c>
      <c r="L2227" s="329">
        <v>11.510572317185572</v>
      </c>
      <c r="M2227" s="350"/>
    </row>
    <row r="2228" spans="1:13" hidden="1" outlineLevel="2" x14ac:dyDescent="0.35">
      <c r="A2228" s="339" t="s">
        <v>100</v>
      </c>
      <c r="B2228" s="331">
        <v>44561</v>
      </c>
      <c r="C2228" s="332" t="s">
        <v>494</v>
      </c>
      <c r="D2228" s="332" t="s">
        <v>3484</v>
      </c>
      <c r="E2228" s="332" t="s">
        <v>3485</v>
      </c>
      <c r="F2228" s="336">
        <v>60000</v>
      </c>
      <c r="G2228" s="330" t="s">
        <v>236</v>
      </c>
      <c r="H2228" s="329">
        <v>51.15809918749143</v>
      </c>
      <c r="I2228" s="329">
        <v>12.789524796872858</v>
      </c>
      <c r="J2228" s="329">
        <v>12.789524796872858</v>
      </c>
      <c r="K2228" s="329">
        <v>12.789524796872858</v>
      </c>
      <c r="L2228" s="329">
        <v>12.789524796872858</v>
      </c>
      <c r="M2228" s="350"/>
    </row>
    <row r="2229" spans="1:13" hidden="1" outlineLevel="2" x14ac:dyDescent="0.35">
      <c r="A2229" s="339" t="s">
        <v>100</v>
      </c>
      <c r="B2229" s="331">
        <v>44561</v>
      </c>
      <c r="C2229" s="332" t="s">
        <v>494</v>
      </c>
      <c r="D2229" s="332" t="s">
        <v>3486</v>
      </c>
      <c r="E2229" s="332" t="s">
        <v>3485</v>
      </c>
      <c r="F2229" s="336">
        <v>62000</v>
      </c>
      <c r="G2229" s="330" t="s">
        <v>236</v>
      </c>
      <c r="H2229" s="329">
        <v>52.863369160407814</v>
      </c>
      <c r="I2229" s="329">
        <v>13.215842290101953</v>
      </c>
      <c r="J2229" s="329">
        <v>13.215842290101953</v>
      </c>
      <c r="K2229" s="329">
        <v>13.215842290101953</v>
      </c>
      <c r="L2229" s="329">
        <v>13.215842290101953</v>
      </c>
      <c r="M2229" s="350"/>
    </row>
    <row r="2230" spans="1:13" hidden="1" outlineLevel="2" x14ac:dyDescent="0.35">
      <c r="A2230" s="339" t="s">
        <v>100</v>
      </c>
      <c r="B2230" s="331">
        <v>44508</v>
      </c>
      <c r="C2230" s="332" t="s">
        <v>3487</v>
      </c>
      <c r="D2230" s="332" t="s">
        <v>3488</v>
      </c>
      <c r="E2230" s="332" t="s">
        <v>553</v>
      </c>
      <c r="F2230" s="336">
        <v>40620</v>
      </c>
      <c r="G2230" s="330" t="s">
        <v>236</v>
      </c>
      <c r="H2230" s="329">
        <v>34.634033149931696</v>
      </c>
      <c r="I2230" s="329">
        <v>8.658508287482924</v>
      </c>
      <c r="J2230" s="329">
        <v>8.658508287482924</v>
      </c>
      <c r="K2230" s="329">
        <v>8.658508287482924</v>
      </c>
      <c r="L2230" s="329">
        <v>8.658508287482924</v>
      </c>
      <c r="M2230" s="350"/>
    </row>
    <row r="2231" spans="1:13" hidden="1" outlineLevel="2" x14ac:dyDescent="0.35">
      <c r="A2231" s="339" t="s">
        <v>100</v>
      </c>
      <c r="B2231" s="331">
        <v>44509</v>
      </c>
      <c r="C2231" s="332" t="s">
        <v>3489</v>
      </c>
      <c r="D2231" s="332" t="s">
        <v>3490</v>
      </c>
      <c r="E2231" s="332" t="s">
        <v>330</v>
      </c>
      <c r="F2231" s="336">
        <v>46000</v>
      </c>
      <c r="G2231" s="330" t="s">
        <v>236</v>
      </c>
      <c r="H2231" s="329">
        <v>39.221209377076761</v>
      </c>
      <c r="I2231" s="329">
        <v>9.8053023442691902</v>
      </c>
      <c r="J2231" s="329">
        <v>9.8053023442691902</v>
      </c>
      <c r="K2231" s="329">
        <v>9.8053023442691902</v>
      </c>
      <c r="L2231" s="329">
        <v>9.8053023442691902</v>
      </c>
      <c r="M2231" s="350"/>
    </row>
    <row r="2232" spans="1:13" hidden="1" outlineLevel="2" x14ac:dyDescent="0.35">
      <c r="A2232" s="339" t="s">
        <v>100</v>
      </c>
      <c r="B2232" s="331">
        <v>44510</v>
      </c>
      <c r="C2232" s="332" t="s">
        <v>506</v>
      </c>
      <c r="D2232" s="332" t="s">
        <v>2004</v>
      </c>
      <c r="E2232" s="332" t="s">
        <v>2326</v>
      </c>
      <c r="F2232" s="336">
        <v>216000</v>
      </c>
      <c r="G2232" s="330" t="s">
        <v>236</v>
      </c>
      <c r="H2232" s="329">
        <v>184.16915707496915</v>
      </c>
      <c r="I2232" s="329">
        <v>46.042289268742287</v>
      </c>
      <c r="J2232" s="329">
        <v>46.042289268742287</v>
      </c>
      <c r="K2232" s="329">
        <v>46.042289268742287</v>
      </c>
      <c r="L2232" s="329">
        <v>46.042289268742287</v>
      </c>
      <c r="M2232" s="350"/>
    </row>
    <row r="2233" spans="1:13" hidden="1" outlineLevel="2" x14ac:dyDescent="0.35">
      <c r="A2233" s="339" t="s">
        <v>100</v>
      </c>
      <c r="B2233" s="331">
        <v>44537</v>
      </c>
      <c r="C2233" s="332" t="s">
        <v>3491</v>
      </c>
      <c r="D2233" s="332" t="s">
        <v>3492</v>
      </c>
      <c r="E2233" s="332" t="s">
        <v>623</v>
      </c>
      <c r="F2233" s="336">
        <v>500000</v>
      </c>
      <c r="G2233" s="330" t="s">
        <v>236</v>
      </c>
      <c r="H2233" s="329">
        <v>426.31749322909525</v>
      </c>
      <c r="I2233" s="329">
        <v>106.57937330727381</v>
      </c>
      <c r="J2233" s="329">
        <v>106.57937330727381</v>
      </c>
      <c r="K2233" s="329">
        <v>106.57937330727381</v>
      </c>
      <c r="L2233" s="329">
        <v>106.57937330727381</v>
      </c>
      <c r="M2233" s="350"/>
    </row>
    <row r="2234" spans="1:13" hidden="1" outlineLevel="2" x14ac:dyDescent="0.35">
      <c r="A2234" s="339" t="s">
        <v>100</v>
      </c>
      <c r="B2234" s="331">
        <v>44537</v>
      </c>
      <c r="C2234" s="332" t="s">
        <v>3493</v>
      </c>
      <c r="D2234" s="332" t="s">
        <v>3494</v>
      </c>
      <c r="E2234" s="332" t="s">
        <v>623</v>
      </c>
      <c r="F2234" s="336">
        <v>114000</v>
      </c>
      <c r="G2234" s="330" t="s">
        <v>236</v>
      </c>
      <c r="H2234" s="329">
        <v>97.200388456233711</v>
      </c>
      <c r="I2234" s="329">
        <v>24.300097114058428</v>
      </c>
      <c r="J2234" s="329">
        <v>24.300097114058428</v>
      </c>
      <c r="K2234" s="329">
        <v>24.300097114058428</v>
      </c>
      <c r="L2234" s="329">
        <v>24.300097114058428</v>
      </c>
      <c r="M2234" s="350"/>
    </row>
    <row r="2235" spans="1:13" hidden="1" outlineLevel="2" x14ac:dyDescent="0.35">
      <c r="A2235" s="339" t="s">
        <v>100</v>
      </c>
      <c r="B2235" s="331">
        <v>44537</v>
      </c>
      <c r="C2235" s="332" t="s">
        <v>3495</v>
      </c>
      <c r="D2235" s="332" t="s">
        <v>3496</v>
      </c>
      <c r="E2235" s="332" t="s">
        <v>623</v>
      </c>
      <c r="F2235" s="336">
        <v>497500</v>
      </c>
      <c r="G2235" s="330" t="s">
        <v>236</v>
      </c>
      <c r="H2235" s="329">
        <v>424.18590576294974</v>
      </c>
      <c r="I2235" s="329">
        <v>106.04647644073744</v>
      </c>
      <c r="J2235" s="329">
        <v>106.04647644073744</v>
      </c>
      <c r="K2235" s="329">
        <v>106.04647644073744</v>
      </c>
      <c r="L2235" s="329">
        <v>106.04647644073744</v>
      </c>
      <c r="M2235" s="350"/>
    </row>
    <row r="2236" spans="1:13" outlineLevel="1" collapsed="1" x14ac:dyDescent="0.35">
      <c r="A2236" s="343" t="s">
        <v>3497</v>
      </c>
      <c r="B2236" s="331"/>
      <c r="C2236" s="332"/>
      <c r="D2236" s="332"/>
      <c r="E2236" s="332"/>
      <c r="F2236" s="336"/>
      <c r="G2236" s="330"/>
      <c r="H2236" s="329">
        <f t="shared" ref="H2236:M2236" si="113">SUBTOTAL(9,H2213:H2235)</f>
        <v>5761.2688373546134</v>
      </c>
      <c r="I2236" s="329">
        <f t="shared" si="113"/>
        <v>1440.3172093386534</v>
      </c>
      <c r="J2236" s="329">
        <f t="shared" si="113"/>
        <v>1440.3172093386534</v>
      </c>
      <c r="K2236" s="329">
        <f t="shared" si="113"/>
        <v>1440.3172093386534</v>
      </c>
      <c r="L2236" s="329">
        <f t="shared" si="113"/>
        <v>1440.3172093386534</v>
      </c>
      <c r="M2236" s="350">
        <f t="shared" si="113"/>
        <v>0</v>
      </c>
    </row>
    <row r="2237" spans="1:13" hidden="1" outlineLevel="2" x14ac:dyDescent="0.35">
      <c r="A2237" s="339" t="s">
        <v>214</v>
      </c>
      <c r="B2237" s="331">
        <v>43921</v>
      </c>
      <c r="C2237" s="332" t="s">
        <v>1092</v>
      </c>
      <c r="D2237" s="332" t="s">
        <v>3498</v>
      </c>
      <c r="E2237" s="332" t="s">
        <v>1116</v>
      </c>
      <c r="F2237" s="336">
        <v>2612.5500000000002</v>
      </c>
      <c r="G2237" s="330" t="s">
        <v>56</v>
      </c>
      <c r="H2237" s="329">
        <v>2612.5500000000002</v>
      </c>
      <c r="I2237" s="338">
        <f t="shared" ref="I2237:L2245" si="114">$H2237/4</f>
        <v>653.13750000000005</v>
      </c>
      <c r="J2237" s="338">
        <f t="shared" si="114"/>
        <v>653.13750000000005</v>
      </c>
      <c r="K2237" s="338">
        <f t="shared" si="114"/>
        <v>653.13750000000005</v>
      </c>
      <c r="L2237" s="338">
        <f t="shared" si="114"/>
        <v>653.13750000000005</v>
      </c>
      <c r="M2237" s="339"/>
    </row>
    <row r="2238" spans="1:13" hidden="1" outlineLevel="2" x14ac:dyDescent="0.35">
      <c r="A2238" s="339" t="s">
        <v>214</v>
      </c>
      <c r="B2238" s="331">
        <v>44012</v>
      </c>
      <c r="C2238" s="332" t="s">
        <v>1094</v>
      </c>
      <c r="D2238" s="332" t="s">
        <v>3499</v>
      </c>
      <c r="E2238" s="332" t="s">
        <v>1116</v>
      </c>
      <c r="F2238" s="336">
        <v>2612.5500000000002</v>
      </c>
      <c r="G2238" s="330" t="s">
        <v>56</v>
      </c>
      <c r="H2238" s="329">
        <v>2612.5500000000002</v>
      </c>
      <c r="I2238" s="338">
        <f t="shared" si="114"/>
        <v>653.13750000000005</v>
      </c>
      <c r="J2238" s="338">
        <f t="shared" si="114"/>
        <v>653.13750000000005</v>
      </c>
      <c r="K2238" s="338">
        <f t="shared" si="114"/>
        <v>653.13750000000005</v>
      </c>
      <c r="L2238" s="338">
        <f t="shared" si="114"/>
        <v>653.13750000000005</v>
      </c>
      <c r="M2238" s="339"/>
    </row>
    <row r="2239" spans="1:13" hidden="1" outlineLevel="2" x14ac:dyDescent="0.35">
      <c r="A2239" s="339" t="s">
        <v>214</v>
      </c>
      <c r="B2239" s="331">
        <v>44104</v>
      </c>
      <c r="C2239" s="332" t="s">
        <v>1096</v>
      </c>
      <c r="D2239" s="332" t="s">
        <v>3500</v>
      </c>
      <c r="E2239" s="332" t="s">
        <v>1956</v>
      </c>
      <c r="F2239" s="336">
        <v>2612.5500000000002</v>
      </c>
      <c r="G2239" s="330" t="s">
        <v>56</v>
      </c>
      <c r="H2239" s="329">
        <v>2612.5500000000002</v>
      </c>
      <c r="I2239" s="338">
        <f t="shared" si="114"/>
        <v>653.13750000000005</v>
      </c>
      <c r="J2239" s="338">
        <f t="shared" si="114"/>
        <v>653.13750000000005</v>
      </c>
      <c r="K2239" s="338">
        <f t="shared" si="114"/>
        <v>653.13750000000005</v>
      </c>
      <c r="L2239" s="338">
        <f t="shared" si="114"/>
        <v>653.13750000000005</v>
      </c>
      <c r="M2239" s="339"/>
    </row>
    <row r="2240" spans="1:13" hidden="1" outlineLevel="2" x14ac:dyDescent="0.35">
      <c r="A2240" s="339" t="s">
        <v>214</v>
      </c>
      <c r="B2240" s="331">
        <v>44196</v>
      </c>
      <c r="C2240" s="332" t="s">
        <v>1099</v>
      </c>
      <c r="D2240" s="332" t="s">
        <v>3501</v>
      </c>
      <c r="E2240" s="332" t="s">
        <v>1116</v>
      </c>
      <c r="F2240" s="336">
        <v>2612.5500000000002</v>
      </c>
      <c r="G2240" s="330" t="s">
        <v>56</v>
      </c>
      <c r="H2240" s="329">
        <v>2612.5500000000002</v>
      </c>
      <c r="I2240" s="338">
        <f t="shared" si="114"/>
        <v>653.13750000000005</v>
      </c>
      <c r="J2240" s="338">
        <f t="shared" si="114"/>
        <v>653.13750000000005</v>
      </c>
      <c r="K2240" s="338">
        <f t="shared" si="114"/>
        <v>653.13750000000005</v>
      </c>
      <c r="L2240" s="338">
        <f t="shared" si="114"/>
        <v>653.13750000000005</v>
      </c>
      <c r="M2240" s="339"/>
    </row>
    <row r="2241" spans="1:13" hidden="1" outlineLevel="2" x14ac:dyDescent="0.35">
      <c r="A2241" s="339" t="s">
        <v>214</v>
      </c>
      <c r="B2241" s="331">
        <v>44286</v>
      </c>
      <c r="C2241" s="332" t="s">
        <v>1101</v>
      </c>
      <c r="D2241" s="332" t="s">
        <v>3502</v>
      </c>
      <c r="E2241" s="332" t="s">
        <v>1116</v>
      </c>
      <c r="F2241" s="336">
        <v>2612.5500000000002</v>
      </c>
      <c r="G2241" s="330" t="s">
        <v>56</v>
      </c>
      <c r="H2241" s="329">
        <v>2612.5500000000002</v>
      </c>
      <c r="I2241" s="338">
        <f t="shared" si="114"/>
        <v>653.13750000000005</v>
      </c>
      <c r="J2241" s="338">
        <f t="shared" si="114"/>
        <v>653.13750000000005</v>
      </c>
      <c r="K2241" s="338">
        <f t="shared" si="114"/>
        <v>653.13750000000005</v>
      </c>
      <c r="L2241" s="338">
        <f t="shared" si="114"/>
        <v>653.13750000000005</v>
      </c>
      <c r="M2241" s="339"/>
    </row>
    <row r="2242" spans="1:13" hidden="1" outlineLevel="2" x14ac:dyDescent="0.35">
      <c r="A2242" s="339" t="s">
        <v>214</v>
      </c>
      <c r="B2242" s="331">
        <v>44377</v>
      </c>
      <c r="C2242" s="332" t="s">
        <v>1103</v>
      </c>
      <c r="D2242" s="332" t="s">
        <v>3503</v>
      </c>
      <c r="E2242" s="332" t="s">
        <v>1116</v>
      </c>
      <c r="F2242" s="336">
        <v>2612.5500000000002</v>
      </c>
      <c r="G2242" s="330" t="s">
        <v>56</v>
      </c>
      <c r="H2242" s="329">
        <v>2612.5500000000002</v>
      </c>
      <c r="I2242" s="338">
        <f t="shared" si="114"/>
        <v>653.13750000000005</v>
      </c>
      <c r="J2242" s="338">
        <f t="shared" si="114"/>
        <v>653.13750000000005</v>
      </c>
      <c r="K2242" s="338">
        <f t="shared" si="114"/>
        <v>653.13750000000005</v>
      </c>
      <c r="L2242" s="338">
        <f t="shared" si="114"/>
        <v>653.13750000000005</v>
      </c>
      <c r="M2242" s="339"/>
    </row>
    <row r="2243" spans="1:13" hidden="1" outlineLevel="2" x14ac:dyDescent="0.35">
      <c r="A2243" s="339" t="s">
        <v>214</v>
      </c>
      <c r="B2243" s="331">
        <v>44469</v>
      </c>
      <c r="C2243" s="332" t="s">
        <v>3504</v>
      </c>
      <c r="D2243" s="332" t="s">
        <v>3505</v>
      </c>
      <c r="E2243" s="332" t="s">
        <v>1116</v>
      </c>
      <c r="F2243" s="336">
        <v>2210.62</v>
      </c>
      <c r="G2243" s="330" t="s">
        <v>56</v>
      </c>
      <c r="H2243" s="329">
        <v>2210.62</v>
      </c>
      <c r="I2243" s="338">
        <f t="shared" si="114"/>
        <v>552.65499999999997</v>
      </c>
      <c r="J2243" s="338">
        <f t="shared" si="114"/>
        <v>552.65499999999997</v>
      </c>
      <c r="K2243" s="338">
        <f t="shared" si="114"/>
        <v>552.65499999999997</v>
      </c>
      <c r="L2243" s="338">
        <f t="shared" si="114"/>
        <v>552.65499999999997</v>
      </c>
      <c r="M2243" s="339"/>
    </row>
    <row r="2244" spans="1:13" hidden="1" outlineLevel="2" x14ac:dyDescent="0.35">
      <c r="A2244" s="339" t="s">
        <v>214</v>
      </c>
      <c r="B2244" s="331">
        <v>44561</v>
      </c>
      <c r="C2244" s="332" t="s">
        <v>3506</v>
      </c>
      <c r="D2244" s="332" t="s">
        <v>3507</v>
      </c>
      <c r="E2244" s="332" t="s">
        <v>1116</v>
      </c>
      <c r="F2244" s="336">
        <v>1105.31</v>
      </c>
      <c r="G2244" s="330" t="s">
        <v>56</v>
      </c>
      <c r="H2244" s="329">
        <v>1105.31</v>
      </c>
      <c r="I2244" s="338">
        <f t="shared" si="114"/>
        <v>276.32749999999999</v>
      </c>
      <c r="J2244" s="338">
        <f t="shared" si="114"/>
        <v>276.32749999999999</v>
      </c>
      <c r="K2244" s="338">
        <f t="shared" si="114"/>
        <v>276.32749999999999</v>
      </c>
      <c r="L2244" s="338">
        <f t="shared" si="114"/>
        <v>276.32749999999999</v>
      </c>
      <c r="M2244" s="339"/>
    </row>
    <row r="2245" spans="1:13" hidden="1" outlineLevel="2" x14ac:dyDescent="0.35">
      <c r="A2245" s="339" t="s">
        <v>214</v>
      </c>
      <c r="B2245" s="331">
        <v>44561</v>
      </c>
      <c r="C2245" s="332" t="s">
        <v>3508</v>
      </c>
      <c r="D2245" s="332" t="s">
        <v>3509</v>
      </c>
      <c r="E2245" s="332" t="s">
        <v>1116</v>
      </c>
      <c r="F2245" s="336">
        <v>1105.31</v>
      </c>
      <c r="G2245" s="330" t="s">
        <v>56</v>
      </c>
      <c r="H2245" s="329">
        <v>1105.31</v>
      </c>
      <c r="I2245" s="338">
        <f t="shared" si="114"/>
        <v>276.32749999999999</v>
      </c>
      <c r="J2245" s="338">
        <f t="shared" si="114"/>
        <v>276.32749999999999</v>
      </c>
      <c r="K2245" s="338">
        <f t="shared" si="114"/>
        <v>276.32749999999999</v>
      </c>
      <c r="L2245" s="338">
        <f t="shared" si="114"/>
        <v>276.32749999999999</v>
      </c>
      <c r="M2245" s="339"/>
    </row>
    <row r="2246" spans="1:13" outlineLevel="1" collapsed="1" x14ac:dyDescent="0.35">
      <c r="A2246" s="343" t="s">
        <v>3510</v>
      </c>
      <c r="B2246" s="331"/>
      <c r="C2246" s="332"/>
      <c r="D2246" s="332"/>
      <c r="E2246" s="332"/>
      <c r="F2246" s="336"/>
      <c r="G2246" s="330"/>
      <c r="H2246" s="329">
        <f t="shared" ref="H2246:M2246" si="115">SUBTOTAL(9,H2237:H2245)</f>
        <v>20096.54</v>
      </c>
      <c r="I2246" s="338">
        <f t="shared" si="115"/>
        <v>5024.1350000000002</v>
      </c>
      <c r="J2246" s="338">
        <f t="shared" si="115"/>
        <v>5024.1350000000002</v>
      </c>
      <c r="K2246" s="338">
        <f t="shared" si="115"/>
        <v>5024.1350000000002</v>
      </c>
      <c r="L2246" s="338">
        <f t="shared" si="115"/>
        <v>5024.1350000000002</v>
      </c>
      <c r="M2246" s="339">
        <f t="shared" si="115"/>
        <v>0</v>
      </c>
    </row>
    <row r="2247" spans="1:13" hidden="1" outlineLevel="2" x14ac:dyDescent="0.35">
      <c r="A2247" s="339" t="s">
        <v>142</v>
      </c>
      <c r="B2247" s="331">
        <v>44187</v>
      </c>
      <c r="C2247" s="332" t="s">
        <v>3511</v>
      </c>
      <c r="D2247" s="332" t="s">
        <v>3512</v>
      </c>
      <c r="E2247" s="332" t="s">
        <v>3513</v>
      </c>
      <c r="F2247" s="336">
        <v>6900000</v>
      </c>
      <c r="G2247" s="330" t="s">
        <v>236</v>
      </c>
      <c r="H2247" s="329">
        <v>6410.5154425644641</v>
      </c>
      <c r="I2247" s="338"/>
      <c r="J2247" s="338">
        <v>6410.5154425644641</v>
      </c>
      <c r="K2247" s="338"/>
      <c r="L2247" s="338"/>
      <c r="M2247" s="350"/>
    </row>
    <row r="2248" spans="1:13" hidden="1" outlineLevel="2" x14ac:dyDescent="0.35">
      <c r="A2248" s="339" t="s">
        <v>142</v>
      </c>
      <c r="B2248" s="331">
        <v>44088</v>
      </c>
      <c r="C2248" s="332" t="s">
        <v>917</v>
      </c>
      <c r="D2248" s="332" t="s">
        <v>1139</v>
      </c>
      <c r="E2248" s="332" t="s">
        <v>472</v>
      </c>
      <c r="F2248" s="336">
        <v>294846</v>
      </c>
      <c r="G2248" s="330" t="s">
        <v>236</v>
      </c>
      <c r="H2248" s="329">
        <v>273.92968640266116</v>
      </c>
      <c r="I2248" s="338"/>
      <c r="J2248" s="338">
        <v>273.92968640266116</v>
      </c>
      <c r="K2248" s="338"/>
      <c r="L2248" s="338"/>
      <c r="M2248" s="350"/>
    </row>
    <row r="2249" spans="1:13" hidden="1" outlineLevel="2" x14ac:dyDescent="0.35">
      <c r="A2249" s="339" t="s">
        <v>142</v>
      </c>
      <c r="B2249" s="331">
        <v>44172</v>
      </c>
      <c r="C2249" s="332" t="s">
        <v>1396</v>
      </c>
      <c r="D2249" s="332" t="s">
        <v>3514</v>
      </c>
      <c r="E2249" s="332" t="s">
        <v>3515</v>
      </c>
      <c r="F2249" s="336">
        <v>940000</v>
      </c>
      <c r="G2249" s="330" t="s">
        <v>236</v>
      </c>
      <c r="H2249" s="329">
        <v>873.31659652327482</v>
      </c>
      <c r="I2249" s="338"/>
      <c r="J2249" s="338">
        <v>873.31659652327482</v>
      </c>
      <c r="K2249" s="338"/>
      <c r="L2249" s="338"/>
      <c r="M2249" s="350"/>
    </row>
    <row r="2250" spans="1:13" hidden="1" outlineLevel="2" x14ac:dyDescent="0.35">
      <c r="A2250" s="339" t="s">
        <v>142</v>
      </c>
      <c r="B2250" s="331">
        <v>44124</v>
      </c>
      <c r="C2250" s="332" t="s">
        <v>2324</v>
      </c>
      <c r="D2250" s="332" t="s">
        <v>3516</v>
      </c>
      <c r="E2250" s="332" t="s">
        <v>701</v>
      </c>
      <c r="F2250" s="336">
        <v>200000</v>
      </c>
      <c r="G2250" s="330" t="s">
        <v>236</v>
      </c>
      <c r="H2250" s="329">
        <v>185.81204181346271</v>
      </c>
      <c r="I2250" s="338"/>
      <c r="J2250" s="338">
        <v>185.81204181346271</v>
      </c>
      <c r="K2250" s="338"/>
      <c r="L2250" s="338"/>
      <c r="M2250" s="350"/>
    </row>
    <row r="2251" spans="1:13" hidden="1" outlineLevel="2" x14ac:dyDescent="0.35">
      <c r="A2251" s="339" t="s">
        <v>142</v>
      </c>
      <c r="B2251" s="331">
        <v>44130</v>
      </c>
      <c r="C2251" s="332" t="s">
        <v>689</v>
      </c>
      <c r="D2251" s="332" t="s">
        <v>3517</v>
      </c>
      <c r="E2251" s="332" t="s">
        <v>701</v>
      </c>
      <c r="F2251" s="336">
        <v>6318664</v>
      </c>
      <c r="G2251" s="330" t="s">
        <v>236</v>
      </c>
      <c r="H2251" s="329">
        <v>5870.4192968661082</v>
      </c>
      <c r="I2251" s="338"/>
      <c r="J2251" s="338">
        <v>5870.4192968661082</v>
      </c>
      <c r="K2251" s="338"/>
      <c r="L2251" s="338"/>
      <c r="M2251" s="350"/>
    </row>
    <row r="2252" spans="1:13" hidden="1" outlineLevel="2" x14ac:dyDescent="0.35">
      <c r="A2252" s="339" t="s">
        <v>142</v>
      </c>
      <c r="B2252" s="331">
        <v>44130</v>
      </c>
      <c r="C2252" s="332" t="s">
        <v>2327</v>
      </c>
      <c r="D2252" s="332" t="s">
        <v>3518</v>
      </c>
      <c r="E2252" s="332" t="s">
        <v>701</v>
      </c>
      <c r="F2252" s="336">
        <v>5908968</v>
      </c>
      <c r="G2252" s="330" t="s">
        <v>236</v>
      </c>
      <c r="H2252" s="329">
        <v>5489.7870454520662</v>
      </c>
      <c r="I2252" s="338"/>
      <c r="J2252" s="338">
        <v>5489.7870454520662</v>
      </c>
      <c r="K2252" s="338"/>
      <c r="L2252" s="338"/>
      <c r="M2252" s="350"/>
    </row>
    <row r="2253" spans="1:13" hidden="1" outlineLevel="2" x14ac:dyDescent="0.35">
      <c r="A2253" s="339" t="s">
        <v>142</v>
      </c>
      <c r="B2253" s="331">
        <v>44130</v>
      </c>
      <c r="C2253" s="332" t="s">
        <v>2327</v>
      </c>
      <c r="D2253" s="332" t="s">
        <v>3518</v>
      </c>
      <c r="E2253" s="332" t="s">
        <v>701</v>
      </c>
      <c r="F2253" s="336">
        <v>5908968</v>
      </c>
      <c r="G2253" s="330" t="s">
        <v>236</v>
      </c>
      <c r="H2253" s="329">
        <v>5489.7870454520662</v>
      </c>
      <c r="I2253" s="338"/>
      <c r="J2253" s="338">
        <v>5489.7870454520662</v>
      </c>
      <c r="K2253" s="338"/>
      <c r="L2253" s="338"/>
      <c r="M2253" s="350"/>
    </row>
    <row r="2254" spans="1:13" hidden="1" outlineLevel="2" x14ac:dyDescent="0.35">
      <c r="A2254" s="339" t="s">
        <v>142</v>
      </c>
      <c r="B2254" s="331">
        <v>44130</v>
      </c>
      <c r="C2254" s="332" t="s">
        <v>2327</v>
      </c>
      <c r="D2254" s="332" t="s">
        <v>3518</v>
      </c>
      <c r="E2254" s="332" t="s">
        <v>701</v>
      </c>
      <c r="F2254" s="336">
        <v>4575804</v>
      </c>
      <c r="G2254" s="330" t="s">
        <v>236</v>
      </c>
      <c r="H2254" s="329">
        <v>4251.1974208910497</v>
      </c>
      <c r="I2254" s="338"/>
      <c r="J2254" s="338">
        <v>4251.1974208910497</v>
      </c>
      <c r="K2254" s="338"/>
      <c r="L2254" s="338"/>
      <c r="M2254" s="350"/>
    </row>
    <row r="2255" spans="1:13" hidden="1" outlineLevel="2" x14ac:dyDescent="0.35">
      <c r="A2255" s="339" t="s">
        <v>142</v>
      </c>
      <c r="B2255" s="331">
        <v>44130</v>
      </c>
      <c r="C2255" s="332" t="s">
        <v>3519</v>
      </c>
      <c r="D2255" s="332" t="s">
        <v>3520</v>
      </c>
      <c r="E2255" s="332" t="s">
        <v>701</v>
      </c>
      <c r="F2255" s="336">
        <v>584500</v>
      </c>
      <c r="G2255" s="330" t="s">
        <v>236</v>
      </c>
      <c r="H2255" s="329">
        <v>543.03569219984479</v>
      </c>
      <c r="I2255" s="338"/>
      <c r="J2255" s="338">
        <v>543.03569219984479</v>
      </c>
      <c r="K2255" s="338"/>
      <c r="L2255" s="338"/>
      <c r="M2255" s="350"/>
    </row>
    <row r="2256" spans="1:13" hidden="1" outlineLevel="2" x14ac:dyDescent="0.35">
      <c r="A2256" s="339" t="s">
        <v>142</v>
      </c>
      <c r="B2256" s="331">
        <v>44130</v>
      </c>
      <c r="C2256" s="332" t="s">
        <v>2327</v>
      </c>
      <c r="D2256" s="332" t="s">
        <v>3518</v>
      </c>
      <c r="E2256" s="332" t="s">
        <v>701</v>
      </c>
      <c r="F2256" s="336">
        <v>6845416</v>
      </c>
      <c r="G2256" s="330" t="s">
        <v>236</v>
      </c>
      <c r="H2256" s="329">
        <v>6359.8036201127334</v>
      </c>
      <c r="I2256" s="338"/>
      <c r="J2256" s="338">
        <v>6359.8036201127334</v>
      </c>
      <c r="K2256" s="338"/>
      <c r="L2256" s="338"/>
      <c r="M2256" s="350"/>
    </row>
    <row r="2257" spans="1:13" hidden="1" outlineLevel="2" x14ac:dyDescent="0.35">
      <c r="A2257" s="339" t="s">
        <v>142</v>
      </c>
      <c r="B2257" s="331">
        <v>44169</v>
      </c>
      <c r="C2257" s="332" t="s">
        <v>3521</v>
      </c>
      <c r="D2257" s="332" t="s">
        <v>3522</v>
      </c>
      <c r="E2257" s="332" t="s">
        <v>701</v>
      </c>
      <c r="F2257" s="336">
        <v>148500</v>
      </c>
      <c r="G2257" s="330" t="s">
        <v>236</v>
      </c>
      <c r="H2257" s="329">
        <v>137.96544104649607</v>
      </c>
      <c r="I2257" s="338"/>
      <c r="J2257" s="338">
        <v>137.96544104649607</v>
      </c>
      <c r="K2257" s="338"/>
      <c r="L2257" s="338"/>
      <c r="M2257" s="350"/>
    </row>
    <row r="2258" spans="1:13" hidden="1" outlineLevel="2" x14ac:dyDescent="0.35">
      <c r="A2258" s="339" t="s">
        <v>142</v>
      </c>
      <c r="B2258" s="331">
        <v>43914</v>
      </c>
      <c r="C2258" s="332" t="s">
        <v>1429</v>
      </c>
      <c r="D2258" s="332" t="s">
        <v>3523</v>
      </c>
      <c r="E2258" s="332" t="s">
        <v>436</v>
      </c>
      <c r="F2258" s="336">
        <v>731000</v>
      </c>
      <c r="G2258" s="330" t="s">
        <v>236</v>
      </c>
      <c r="H2258" s="329">
        <v>679.14301282820622</v>
      </c>
      <c r="I2258" s="338"/>
      <c r="J2258" s="338">
        <v>679.14301282820622</v>
      </c>
      <c r="K2258" s="338"/>
      <c r="L2258" s="338"/>
      <c r="M2258" s="350"/>
    </row>
    <row r="2259" spans="1:13" hidden="1" outlineLevel="2" x14ac:dyDescent="0.35">
      <c r="A2259" s="339" t="s">
        <v>142</v>
      </c>
      <c r="B2259" s="331">
        <v>43914</v>
      </c>
      <c r="C2259" s="332" t="s">
        <v>1429</v>
      </c>
      <c r="D2259" s="332" t="s">
        <v>3523</v>
      </c>
      <c r="E2259" s="332" t="s">
        <v>436</v>
      </c>
      <c r="F2259" s="336">
        <v>515000</v>
      </c>
      <c r="G2259" s="330" t="s">
        <v>236</v>
      </c>
      <c r="H2259" s="329">
        <v>478.46600766966651</v>
      </c>
      <c r="I2259" s="338"/>
      <c r="J2259" s="338">
        <v>478.46600766966651</v>
      </c>
      <c r="K2259" s="338"/>
      <c r="L2259" s="338"/>
      <c r="M2259" s="350"/>
    </row>
    <row r="2260" spans="1:13" hidden="1" outlineLevel="2" x14ac:dyDescent="0.35">
      <c r="A2260" s="339" t="s">
        <v>142</v>
      </c>
      <c r="B2260" s="331">
        <v>43914</v>
      </c>
      <c r="C2260" s="332" t="s">
        <v>1434</v>
      </c>
      <c r="D2260" s="332" t="s">
        <v>3524</v>
      </c>
      <c r="E2260" s="332" t="s">
        <v>436</v>
      </c>
      <c r="F2260" s="336">
        <v>-246000</v>
      </c>
      <c r="G2260" s="330" t="s">
        <v>236</v>
      </c>
      <c r="H2260" s="329">
        <v>-228.54881143055914</v>
      </c>
      <c r="I2260" s="338"/>
      <c r="J2260" s="338">
        <v>-228.54881143055914</v>
      </c>
      <c r="K2260" s="338"/>
      <c r="L2260" s="338"/>
      <c r="M2260" s="350"/>
    </row>
    <row r="2261" spans="1:13" hidden="1" outlineLevel="2" x14ac:dyDescent="0.35">
      <c r="A2261" s="339" t="s">
        <v>142</v>
      </c>
      <c r="B2261" s="331">
        <v>44064</v>
      </c>
      <c r="C2261" s="332" t="s">
        <v>1691</v>
      </c>
      <c r="D2261" s="332" t="s">
        <v>3525</v>
      </c>
      <c r="E2261" s="332" t="s">
        <v>436</v>
      </c>
      <c r="F2261" s="336">
        <v>290000</v>
      </c>
      <c r="G2261" s="330" t="s">
        <v>236</v>
      </c>
      <c r="H2261" s="329">
        <v>269.42746062952097</v>
      </c>
      <c r="I2261" s="338"/>
      <c r="J2261" s="338">
        <v>269.42746062952097</v>
      </c>
      <c r="K2261" s="338"/>
      <c r="L2261" s="338"/>
      <c r="M2261" s="350"/>
    </row>
    <row r="2262" spans="1:13" hidden="1" outlineLevel="2" x14ac:dyDescent="0.35">
      <c r="A2262" s="339" t="s">
        <v>142</v>
      </c>
      <c r="B2262" s="331">
        <v>44081</v>
      </c>
      <c r="C2262" s="332" t="s">
        <v>3526</v>
      </c>
      <c r="D2262" s="332" t="s">
        <v>3527</v>
      </c>
      <c r="E2262" s="332" t="s">
        <v>436</v>
      </c>
      <c r="F2262" s="336">
        <v>423000</v>
      </c>
      <c r="G2262" s="330" t="s">
        <v>236</v>
      </c>
      <c r="H2262" s="329">
        <v>392.99246843547365</v>
      </c>
      <c r="I2262" s="338"/>
      <c r="J2262" s="338">
        <v>392.99246843547365</v>
      </c>
      <c r="K2262" s="338"/>
      <c r="L2262" s="338"/>
      <c r="M2262" s="350"/>
    </row>
    <row r="2263" spans="1:13" hidden="1" outlineLevel="2" x14ac:dyDescent="0.35">
      <c r="A2263" s="339" t="s">
        <v>142</v>
      </c>
      <c r="B2263" s="331">
        <v>44112</v>
      </c>
      <c r="C2263" s="332" t="s">
        <v>1996</v>
      </c>
      <c r="D2263" s="332" t="s">
        <v>3528</v>
      </c>
      <c r="E2263" s="332" t="s">
        <v>437</v>
      </c>
      <c r="F2263" s="336">
        <v>-60000</v>
      </c>
      <c r="G2263" s="330" t="s">
        <v>236</v>
      </c>
      <c r="H2263" s="329">
        <v>-55.743612544038818</v>
      </c>
      <c r="I2263" s="338"/>
      <c r="J2263" s="338">
        <v>-55.743612544038818</v>
      </c>
      <c r="K2263" s="338"/>
      <c r="L2263" s="338"/>
      <c r="M2263" s="350"/>
    </row>
    <row r="2264" spans="1:13" hidden="1" outlineLevel="2" x14ac:dyDescent="0.35">
      <c r="A2264" s="339" t="s">
        <v>142</v>
      </c>
      <c r="B2264" s="331">
        <v>44126</v>
      </c>
      <c r="C2264" s="332" t="s">
        <v>1705</v>
      </c>
      <c r="D2264" s="332" t="s">
        <v>3529</v>
      </c>
      <c r="E2264" s="332" t="s">
        <v>3530</v>
      </c>
      <c r="F2264" s="336">
        <v>153400</v>
      </c>
      <c r="G2264" s="330" t="s">
        <v>236</v>
      </c>
      <c r="H2264" s="329">
        <v>142.51783607092591</v>
      </c>
      <c r="I2264" s="338"/>
      <c r="J2264" s="338">
        <v>142.51783607092591</v>
      </c>
      <c r="K2264" s="338"/>
      <c r="L2264" s="338"/>
      <c r="M2264" s="350"/>
    </row>
    <row r="2265" spans="1:13" hidden="1" outlineLevel="2" x14ac:dyDescent="0.35">
      <c r="A2265" s="339" t="s">
        <v>142</v>
      </c>
      <c r="B2265" s="331">
        <v>44113</v>
      </c>
      <c r="C2265" s="332" t="s">
        <v>1999</v>
      </c>
      <c r="D2265" s="332" t="s">
        <v>3531</v>
      </c>
      <c r="E2265" s="332" t="s">
        <v>3532</v>
      </c>
      <c r="F2265" s="336">
        <v>1091475</v>
      </c>
      <c r="G2265" s="330" t="s">
        <v>236</v>
      </c>
      <c r="H2265" s="329">
        <v>1014.0459916917462</v>
      </c>
      <c r="I2265" s="338"/>
      <c r="J2265" s="338">
        <v>1014.0459916917462</v>
      </c>
      <c r="K2265" s="338"/>
      <c r="L2265" s="338"/>
      <c r="M2265" s="350"/>
    </row>
    <row r="2266" spans="1:13" hidden="1" outlineLevel="2" x14ac:dyDescent="0.35">
      <c r="A2266" s="339" t="s">
        <v>142</v>
      </c>
      <c r="B2266" s="331">
        <v>44113</v>
      </c>
      <c r="C2266" s="332" t="s">
        <v>3533</v>
      </c>
      <c r="D2266" s="332" t="s">
        <v>3534</v>
      </c>
      <c r="E2266" s="332" t="s">
        <v>3532</v>
      </c>
      <c r="F2266" s="336">
        <v>1609470</v>
      </c>
      <c r="G2266" s="330" t="s">
        <v>236</v>
      </c>
      <c r="H2266" s="329">
        <v>1495.2945346875692</v>
      </c>
      <c r="I2266" s="338"/>
      <c r="J2266" s="338">
        <v>1495.2945346875692</v>
      </c>
      <c r="K2266" s="338"/>
      <c r="L2266" s="338"/>
      <c r="M2266" s="350"/>
    </row>
    <row r="2267" spans="1:13" hidden="1" outlineLevel="2" x14ac:dyDescent="0.35">
      <c r="A2267" s="339" t="s">
        <v>142</v>
      </c>
      <c r="B2267" s="331">
        <v>44113</v>
      </c>
      <c r="C2267" s="332" t="s">
        <v>1336</v>
      </c>
      <c r="D2267" s="332" t="s">
        <v>3535</v>
      </c>
      <c r="E2267" s="332" t="s">
        <v>3532</v>
      </c>
      <c r="F2267" s="336">
        <v>2025640</v>
      </c>
      <c r="G2267" s="330" t="s">
        <v>236</v>
      </c>
      <c r="H2267" s="329">
        <v>1881.9415218951131</v>
      </c>
      <c r="I2267" s="338"/>
      <c r="J2267" s="338">
        <v>1881.9415218951131</v>
      </c>
      <c r="K2267" s="338"/>
      <c r="L2267" s="338"/>
      <c r="M2267" s="350"/>
    </row>
    <row r="2268" spans="1:13" hidden="1" outlineLevel="2" x14ac:dyDescent="0.35">
      <c r="A2268" s="339" t="s">
        <v>142</v>
      </c>
      <c r="B2268" s="331">
        <v>44113</v>
      </c>
      <c r="C2268" s="332" t="s">
        <v>2001</v>
      </c>
      <c r="D2268" s="332" t="s">
        <v>3536</v>
      </c>
      <c r="E2268" s="332" t="s">
        <v>3532</v>
      </c>
      <c r="F2268" s="336">
        <v>1452510</v>
      </c>
      <c r="G2268" s="330" t="s">
        <v>236</v>
      </c>
      <c r="H2268" s="329">
        <v>1349.4692442723638</v>
      </c>
      <c r="I2268" s="338"/>
      <c r="J2268" s="338">
        <v>1349.4692442723638</v>
      </c>
      <c r="K2268" s="338"/>
      <c r="L2268" s="338"/>
      <c r="M2268" s="350"/>
    </row>
    <row r="2269" spans="1:13" hidden="1" outlineLevel="2" x14ac:dyDescent="0.35">
      <c r="A2269" s="339" t="s">
        <v>142</v>
      </c>
      <c r="B2269" s="331">
        <v>44113</v>
      </c>
      <c r="C2269" s="332" t="s">
        <v>1338</v>
      </c>
      <c r="D2269" s="332" t="s">
        <v>3537</v>
      </c>
      <c r="E2269" s="332" t="s">
        <v>3532</v>
      </c>
      <c r="F2269" s="336">
        <v>1542300</v>
      </c>
      <c r="G2269" s="330" t="s">
        <v>236</v>
      </c>
      <c r="H2269" s="329">
        <v>1432.8895604445179</v>
      </c>
      <c r="I2269" s="338"/>
      <c r="J2269" s="338">
        <v>1432.8895604445179</v>
      </c>
      <c r="K2269" s="338"/>
      <c r="L2269" s="338"/>
      <c r="M2269" s="350"/>
    </row>
    <row r="2270" spans="1:13" hidden="1" outlineLevel="2" x14ac:dyDescent="0.35">
      <c r="A2270" s="339" t="s">
        <v>142</v>
      </c>
      <c r="B2270" s="331">
        <v>44118</v>
      </c>
      <c r="C2270" s="332" t="s">
        <v>1340</v>
      </c>
      <c r="D2270" s="332" t="s">
        <v>3538</v>
      </c>
      <c r="E2270" s="332" t="s">
        <v>3539</v>
      </c>
      <c r="F2270" s="336">
        <v>2000000</v>
      </c>
      <c r="G2270" s="330" t="s">
        <v>236</v>
      </c>
      <c r="H2270" s="329">
        <v>1858.1204181346272</v>
      </c>
      <c r="I2270" s="338"/>
      <c r="J2270" s="338">
        <v>1858.1204181346272</v>
      </c>
      <c r="K2270" s="338"/>
      <c r="L2270" s="338"/>
      <c r="M2270" s="350"/>
    </row>
    <row r="2271" spans="1:13" hidden="1" outlineLevel="2" x14ac:dyDescent="0.35">
      <c r="A2271" s="339" t="s">
        <v>142</v>
      </c>
      <c r="B2271" s="331">
        <v>44116</v>
      </c>
      <c r="C2271" s="332" t="s">
        <v>2314</v>
      </c>
      <c r="D2271" s="332" t="s">
        <v>3540</v>
      </c>
      <c r="E2271" s="332" t="s">
        <v>1347</v>
      </c>
      <c r="F2271" s="336">
        <v>144000</v>
      </c>
      <c r="G2271" s="330" t="s">
        <v>236</v>
      </c>
      <c r="H2271" s="329">
        <v>133.78467010569315</v>
      </c>
      <c r="I2271" s="338"/>
      <c r="J2271" s="338">
        <v>133.78467010569315</v>
      </c>
      <c r="K2271" s="338"/>
      <c r="L2271" s="338"/>
      <c r="M2271" s="350"/>
    </row>
    <row r="2272" spans="1:13" hidden="1" outlineLevel="2" x14ac:dyDescent="0.35">
      <c r="A2272" s="339" t="s">
        <v>142</v>
      </c>
      <c r="B2272" s="331">
        <v>44116</v>
      </c>
      <c r="C2272" s="332" t="s">
        <v>3541</v>
      </c>
      <c r="D2272" s="332" t="s">
        <v>3542</v>
      </c>
      <c r="E2272" s="332" t="s">
        <v>3532</v>
      </c>
      <c r="F2272" s="336">
        <v>1701600</v>
      </c>
      <c r="G2272" s="330" t="s">
        <v>236</v>
      </c>
      <c r="H2272" s="329">
        <v>1580.8888517489409</v>
      </c>
      <c r="I2272" s="338"/>
      <c r="J2272" s="338">
        <v>1580.8888517489409</v>
      </c>
      <c r="K2272" s="338"/>
      <c r="L2272" s="338"/>
      <c r="M2272" s="350"/>
    </row>
    <row r="2273" spans="1:13" hidden="1" outlineLevel="2" x14ac:dyDescent="0.35">
      <c r="A2273" s="339" t="s">
        <v>142</v>
      </c>
      <c r="B2273" s="331">
        <v>44118</v>
      </c>
      <c r="C2273" s="332" t="s">
        <v>3489</v>
      </c>
      <c r="D2273" s="332" t="s">
        <v>3543</v>
      </c>
      <c r="E2273" s="332" t="s">
        <v>3539</v>
      </c>
      <c r="F2273" s="336">
        <v>2000000</v>
      </c>
      <c r="G2273" s="330" t="s">
        <v>236</v>
      </c>
      <c r="H2273" s="329">
        <v>1858.1204181346272</v>
      </c>
      <c r="I2273" s="338"/>
      <c r="J2273" s="338">
        <v>1858.1204181346272</v>
      </c>
      <c r="K2273" s="338"/>
      <c r="L2273" s="338"/>
      <c r="M2273" s="350"/>
    </row>
    <row r="2274" spans="1:13" hidden="1" outlineLevel="2" x14ac:dyDescent="0.35">
      <c r="A2274" s="339" t="s">
        <v>142</v>
      </c>
      <c r="B2274" s="331">
        <v>44141</v>
      </c>
      <c r="C2274" s="332" t="s">
        <v>3544</v>
      </c>
      <c r="D2274" s="332" t="s">
        <v>3545</v>
      </c>
      <c r="E2274" s="332" t="s">
        <v>1150</v>
      </c>
      <c r="F2274" s="336">
        <v>287140</v>
      </c>
      <c r="G2274" s="330" t="s">
        <v>236</v>
      </c>
      <c r="H2274" s="329">
        <v>266.77034843158845</v>
      </c>
      <c r="I2274" s="338"/>
      <c r="J2274" s="338">
        <v>266.77034843158845</v>
      </c>
      <c r="K2274" s="338"/>
      <c r="L2274" s="338"/>
      <c r="M2274" s="350"/>
    </row>
    <row r="2275" spans="1:13" hidden="1" outlineLevel="2" x14ac:dyDescent="0.35">
      <c r="A2275" s="339" t="s">
        <v>142</v>
      </c>
      <c r="B2275" s="331">
        <v>44560</v>
      </c>
      <c r="C2275" s="332" t="s">
        <v>3546</v>
      </c>
      <c r="D2275" s="332" t="s">
        <v>3547</v>
      </c>
      <c r="E2275" s="332" t="s">
        <v>369</v>
      </c>
      <c r="F2275" s="336">
        <v>325520</v>
      </c>
      <c r="G2275" s="330" t="s">
        <v>236</v>
      </c>
      <c r="H2275" s="329">
        <v>287.30955170770807</v>
      </c>
      <c r="I2275" s="338"/>
      <c r="J2275" s="338">
        <v>287.30955170770807</v>
      </c>
      <c r="K2275" s="338"/>
      <c r="L2275" s="338"/>
      <c r="M2275" s="350"/>
    </row>
    <row r="2276" spans="1:13" hidden="1" outlineLevel="2" x14ac:dyDescent="0.35">
      <c r="A2276" s="339" t="s">
        <v>142</v>
      </c>
      <c r="B2276" s="331">
        <v>44560</v>
      </c>
      <c r="C2276" s="332" t="s">
        <v>3546</v>
      </c>
      <c r="D2276" s="332" t="s">
        <v>3548</v>
      </c>
      <c r="E2276" s="332" t="s">
        <v>369</v>
      </c>
      <c r="F2276" s="336">
        <v>566530</v>
      </c>
      <c r="G2276" s="330" t="s">
        <v>236</v>
      </c>
      <c r="H2276" s="329">
        <v>500.02912364514577</v>
      </c>
      <c r="I2276" s="338"/>
      <c r="J2276" s="338">
        <v>500.02912364514577</v>
      </c>
      <c r="K2276" s="338"/>
      <c r="L2276" s="338"/>
      <c r="M2276" s="350"/>
    </row>
    <row r="2277" spans="1:13" hidden="1" outlineLevel="2" x14ac:dyDescent="0.35">
      <c r="A2277" s="339" t="s">
        <v>142</v>
      </c>
      <c r="B2277" s="331">
        <v>44560</v>
      </c>
      <c r="C2277" s="332" t="s">
        <v>3546</v>
      </c>
      <c r="D2277" s="332" t="s">
        <v>3549</v>
      </c>
      <c r="E2277" s="332" t="s">
        <v>369</v>
      </c>
      <c r="F2277" s="336">
        <v>363080</v>
      </c>
      <c r="G2277" s="330" t="s">
        <v>236</v>
      </c>
      <c r="H2277" s="329">
        <v>320.4606538278282</v>
      </c>
      <c r="I2277" s="338"/>
      <c r="J2277" s="338">
        <v>320.4606538278282</v>
      </c>
      <c r="K2277" s="338"/>
      <c r="L2277" s="338"/>
      <c r="M2277" s="350"/>
    </row>
    <row r="2278" spans="1:13" hidden="1" outlineLevel="2" x14ac:dyDescent="0.35">
      <c r="A2278" s="339" t="s">
        <v>142</v>
      </c>
      <c r="B2278" s="331">
        <v>44560</v>
      </c>
      <c r="C2278" s="332" t="s">
        <v>3546</v>
      </c>
      <c r="D2278" s="332" t="s">
        <v>3550</v>
      </c>
      <c r="E2278" s="332" t="s">
        <v>369</v>
      </c>
      <c r="F2278" s="336">
        <v>344300</v>
      </c>
      <c r="G2278" s="330" t="s">
        <v>236</v>
      </c>
      <c r="H2278" s="329">
        <v>303.88510276776816</v>
      </c>
      <c r="I2278" s="338"/>
      <c r="J2278" s="338">
        <v>303.88510276776816</v>
      </c>
      <c r="K2278" s="338"/>
      <c r="L2278" s="338"/>
      <c r="M2278" s="350"/>
    </row>
    <row r="2279" spans="1:13" hidden="1" outlineLevel="2" x14ac:dyDescent="0.35">
      <c r="A2279" s="339" t="s">
        <v>142</v>
      </c>
      <c r="B2279" s="331">
        <v>44560</v>
      </c>
      <c r="C2279" s="332" t="s">
        <v>3546</v>
      </c>
      <c r="D2279" s="332" t="s">
        <v>3551</v>
      </c>
      <c r="E2279" s="332" t="s">
        <v>369</v>
      </c>
      <c r="F2279" s="336">
        <v>331780</v>
      </c>
      <c r="G2279" s="330" t="s">
        <v>236</v>
      </c>
      <c r="H2279" s="329">
        <v>292.83473539439473</v>
      </c>
      <c r="I2279" s="338"/>
      <c r="J2279" s="338">
        <v>292.83473539439473</v>
      </c>
      <c r="K2279" s="338"/>
      <c r="L2279" s="338"/>
      <c r="M2279" s="350"/>
    </row>
    <row r="2280" spans="1:13" hidden="1" outlineLevel="2" x14ac:dyDescent="0.35">
      <c r="A2280" s="339" t="s">
        <v>142</v>
      </c>
      <c r="B2280" s="331">
        <v>44560</v>
      </c>
      <c r="C2280" s="332" t="s">
        <v>3546</v>
      </c>
      <c r="D2280" s="332" t="s">
        <v>3552</v>
      </c>
      <c r="E2280" s="332" t="s">
        <v>369</v>
      </c>
      <c r="F2280" s="336">
        <v>466996</v>
      </c>
      <c r="G2280" s="330" t="s">
        <v>236</v>
      </c>
      <c r="H2280" s="329">
        <v>412.17870302682735</v>
      </c>
      <c r="I2280" s="338"/>
      <c r="J2280" s="338">
        <v>412.17870302682735</v>
      </c>
      <c r="K2280" s="338"/>
      <c r="L2280" s="338"/>
      <c r="M2280" s="350"/>
    </row>
    <row r="2281" spans="1:13" hidden="1" outlineLevel="2" x14ac:dyDescent="0.35">
      <c r="A2281" s="339" t="s">
        <v>142</v>
      </c>
      <c r="B2281" s="331">
        <v>44207</v>
      </c>
      <c r="C2281" s="332" t="s">
        <v>376</v>
      </c>
      <c r="D2281" s="332" t="s">
        <v>3553</v>
      </c>
      <c r="E2281" s="332" t="s">
        <v>3554</v>
      </c>
      <c r="F2281" s="336">
        <v>6720000</v>
      </c>
      <c r="G2281" s="330" t="s">
        <v>236</v>
      </c>
      <c r="H2281" s="329">
        <v>5729.7071089990404</v>
      </c>
      <c r="I2281" s="338"/>
      <c r="J2281" s="338">
        <v>5729.7071089990404</v>
      </c>
      <c r="K2281" s="338"/>
      <c r="L2281" s="338"/>
      <c r="M2281" s="350"/>
    </row>
    <row r="2282" spans="1:13" hidden="1" outlineLevel="2" x14ac:dyDescent="0.35">
      <c r="A2282" s="339" t="s">
        <v>142</v>
      </c>
      <c r="B2282" s="331">
        <v>44592</v>
      </c>
      <c r="C2282" s="332" t="s">
        <v>3478</v>
      </c>
      <c r="D2282" s="332" t="s">
        <v>3555</v>
      </c>
      <c r="E2282" s="332" t="s">
        <v>369</v>
      </c>
      <c r="F2282" s="336">
        <v>326772</v>
      </c>
      <c r="G2282" s="330" t="s">
        <v>236</v>
      </c>
      <c r="H2282" s="329">
        <v>288.41458844504541</v>
      </c>
      <c r="I2282" s="338"/>
      <c r="J2282" s="338">
        <v>288.41458844504541</v>
      </c>
      <c r="K2282" s="338"/>
      <c r="L2282" s="338"/>
      <c r="M2282" s="350"/>
    </row>
    <row r="2283" spans="1:13" hidden="1" outlineLevel="2" x14ac:dyDescent="0.35">
      <c r="A2283" s="339" t="s">
        <v>142</v>
      </c>
      <c r="B2283" s="331">
        <v>44592</v>
      </c>
      <c r="C2283" s="332" t="s">
        <v>3478</v>
      </c>
      <c r="D2283" s="332" t="s">
        <v>3556</v>
      </c>
      <c r="E2283" s="332" t="s">
        <v>369</v>
      </c>
      <c r="F2283" s="336">
        <v>316130</v>
      </c>
      <c r="G2283" s="330" t="s">
        <v>236</v>
      </c>
      <c r="H2283" s="329">
        <v>279.02177617767802</v>
      </c>
      <c r="I2283" s="338"/>
      <c r="J2283" s="338">
        <v>279.02177617767802</v>
      </c>
      <c r="K2283" s="338"/>
      <c r="L2283" s="338"/>
      <c r="M2283" s="350"/>
    </row>
    <row r="2284" spans="1:13" hidden="1" outlineLevel="2" x14ac:dyDescent="0.35">
      <c r="A2284" s="339" t="s">
        <v>142</v>
      </c>
      <c r="B2284" s="331">
        <v>44592</v>
      </c>
      <c r="C2284" s="332" t="s">
        <v>3478</v>
      </c>
      <c r="D2284" s="332" t="s">
        <v>3557</v>
      </c>
      <c r="E2284" s="332" t="s">
        <v>369</v>
      </c>
      <c r="F2284" s="336">
        <v>383112</v>
      </c>
      <c r="G2284" s="330" t="s">
        <v>236</v>
      </c>
      <c r="H2284" s="329">
        <v>338.14124162522563</v>
      </c>
      <c r="I2284" s="338"/>
      <c r="J2284" s="338">
        <v>338.14124162522563</v>
      </c>
      <c r="K2284" s="338"/>
      <c r="L2284" s="338"/>
      <c r="M2284" s="350"/>
    </row>
    <row r="2285" spans="1:13" hidden="1" outlineLevel="2" x14ac:dyDescent="0.35">
      <c r="A2285" s="339" t="s">
        <v>142</v>
      </c>
      <c r="B2285" s="331">
        <v>44334</v>
      </c>
      <c r="C2285" s="332" t="s">
        <v>2197</v>
      </c>
      <c r="D2285" s="332" t="s">
        <v>3558</v>
      </c>
      <c r="E2285" s="332" t="s">
        <v>3559</v>
      </c>
      <c r="F2285" s="336">
        <v>246000</v>
      </c>
      <c r="G2285" s="330" t="s">
        <v>236</v>
      </c>
      <c r="H2285" s="329">
        <v>209.74820666871486</v>
      </c>
      <c r="I2285" s="338"/>
      <c r="J2285" s="338">
        <v>209.74820666871486</v>
      </c>
      <c r="K2285" s="338"/>
      <c r="L2285" s="338"/>
      <c r="M2285" s="350"/>
    </row>
    <row r="2286" spans="1:13" hidden="1" outlineLevel="2" x14ac:dyDescent="0.35">
      <c r="A2286" s="339" t="s">
        <v>142</v>
      </c>
      <c r="B2286" s="331">
        <v>44405</v>
      </c>
      <c r="C2286" s="332" t="s">
        <v>563</v>
      </c>
      <c r="D2286" s="332" t="s">
        <v>3560</v>
      </c>
      <c r="E2286" s="332" t="s">
        <v>3561</v>
      </c>
      <c r="F2286" s="336">
        <v>11805000</v>
      </c>
      <c r="G2286" s="330" t="s">
        <v>236</v>
      </c>
      <c r="H2286" s="329">
        <v>10065.356015138939</v>
      </c>
      <c r="I2286" s="338"/>
      <c r="J2286" s="338">
        <v>10065.356015138939</v>
      </c>
      <c r="K2286" s="338"/>
      <c r="L2286" s="338"/>
      <c r="M2286" s="350"/>
    </row>
    <row r="2287" spans="1:13" hidden="1" outlineLevel="2" x14ac:dyDescent="0.35">
      <c r="A2287" s="339" t="s">
        <v>142</v>
      </c>
      <c r="B2287" s="331">
        <v>44377</v>
      </c>
      <c r="C2287" s="332" t="s">
        <v>3562</v>
      </c>
      <c r="D2287" s="332" t="s">
        <v>3563</v>
      </c>
      <c r="E2287" s="332" t="s">
        <v>369</v>
      </c>
      <c r="F2287" s="336">
        <v>680462</v>
      </c>
      <c r="G2287" s="330" t="s">
        <v>236</v>
      </c>
      <c r="H2287" s="329">
        <v>580.18570815531325</v>
      </c>
      <c r="I2287" s="338"/>
      <c r="J2287" s="338">
        <v>580.18570815531325</v>
      </c>
      <c r="K2287" s="338"/>
      <c r="L2287" s="338"/>
      <c r="M2287" s="350"/>
    </row>
    <row r="2288" spans="1:13" hidden="1" outlineLevel="2" x14ac:dyDescent="0.35">
      <c r="A2288" s="339" t="s">
        <v>142</v>
      </c>
      <c r="B2288" s="331">
        <v>44377</v>
      </c>
      <c r="C2288" s="332" t="s">
        <v>566</v>
      </c>
      <c r="D2288" s="332" t="s">
        <v>3564</v>
      </c>
      <c r="E2288" s="332" t="s">
        <v>369</v>
      </c>
      <c r="F2288" s="336">
        <v>756834</v>
      </c>
      <c r="G2288" s="330" t="s">
        <v>236</v>
      </c>
      <c r="H2288" s="329">
        <v>645.30314734109811</v>
      </c>
      <c r="I2288" s="338"/>
      <c r="J2288" s="338">
        <v>645.30314734109811</v>
      </c>
      <c r="K2288" s="338"/>
      <c r="L2288" s="338"/>
      <c r="M2288" s="350"/>
    </row>
    <row r="2289" spans="1:13" hidden="1" outlineLevel="2" x14ac:dyDescent="0.35">
      <c r="A2289" s="339" t="s">
        <v>142</v>
      </c>
      <c r="B2289" s="331">
        <v>44377</v>
      </c>
      <c r="C2289" s="332" t="s">
        <v>1719</v>
      </c>
      <c r="D2289" s="332" t="s">
        <v>3565</v>
      </c>
      <c r="E2289" s="332" t="s">
        <v>369</v>
      </c>
      <c r="F2289" s="336">
        <v>769980</v>
      </c>
      <c r="G2289" s="330" t="s">
        <v>236</v>
      </c>
      <c r="H2289" s="329">
        <v>656.51188687307751</v>
      </c>
      <c r="I2289" s="338"/>
      <c r="J2289" s="338">
        <v>656.51188687307751</v>
      </c>
      <c r="K2289" s="338"/>
      <c r="L2289" s="338"/>
      <c r="M2289" s="350"/>
    </row>
    <row r="2290" spans="1:13" hidden="1" outlineLevel="2" x14ac:dyDescent="0.35">
      <c r="A2290" s="339" t="s">
        <v>142</v>
      </c>
      <c r="B2290" s="331">
        <v>44426</v>
      </c>
      <c r="C2290" s="332" t="s">
        <v>3566</v>
      </c>
      <c r="D2290" s="332" t="s">
        <v>3567</v>
      </c>
      <c r="E2290" s="332" t="s">
        <v>3568</v>
      </c>
      <c r="F2290" s="336">
        <v>57132</v>
      </c>
      <c r="G2290" s="330" t="s">
        <v>236</v>
      </c>
      <c r="H2290" s="329">
        <v>48.712742046329339</v>
      </c>
      <c r="I2290" s="338"/>
      <c r="J2290" s="338">
        <v>48.712742046329339</v>
      </c>
      <c r="K2290" s="338"/>
      <c r="L2290" s="338"/>
      <c r="M2290" s="350"/>
    </row>
    <row r="2291" spans="1:13" hidden="1" outlineLevel="2" x14ac:dyDescent="0.35">
      <c r="A2291" s="339" t="s">
        <v>142</v>
      </c>
      <c r="B2291" s="331">
        <v>44503</v>
      </c>
      <c r="C2291" s="332" t="s">
        <v>1730</v>
      </c>
      <c r="D2291" s="332" t="s">
        <v>3569</v>
      </c>
      <c r="E2291" s="332" t="s">
        <v>1542</v>
      </c>
      <c r="F2291" s="336">
        <v>5980000</v>
      </c>
      <c r="G2291" s="330" t="s">
        <v>236</v>
      </c>
      <c r="H2291" s="329">
        <v>5098.7572190199789</v>
      </c>
      <c r="I2291" s="338"/>
      <c r="J2291" s="338">
        <v>5098.7572190199789</v>
      </c>
      <c r="K2291" s="338"/>
      <c r="L2291" s="338"/>
      <c r="M2291" s="350"/>
    </row>
    <row r="2292" spans="1:13" hidden="1" outlineLevel="2" x14ac:dyDescent="0.35">
      <c r="A2292" s="339" t="s">
        <v>142</v>
      </c>
      <c r="B2292" s="331">
        <v>44508</v>
      </c>
      <c r="C2292" s="332" t="s">
        <v>3570</v>
      </c>
      <c r="D2292" s="332" t="s">
        <v>3571</v>
      </c>
      <c r="E2292" s="332" t="s">
        <v>2367</v>
      </c>
      <c r="F2292" s="336">
        <v>177000</v>
      </c>
      <c r="G2292" s="330" t="s">
        <v>236</v>
      </c>
      <c r="H2292" s="329">
        <v>150.91639260309972</v>
      </c>
      <c r="I2292" s="338"/>
      <c r="J2292" s="338">
        <v>150.91639260309972</v>
      </c>
      <c r="K2292" s="338"/>
      <c r="L2292" s="338"/>
      <c r="M2292" s="350"/>
    </row>
    <row r="2293" spans="1:13" hidden="1" outlineLevel="2" x14ac:dyDescent="0.35">
      <c r="A2293" s="339" t="s">
        <v>142</v>
      </c>
      <c r="B2293" s="331">
        <v>44504</v>
      </c>
      <c r="C2293" s="332" t="s">
        <v>1159</v>
      </c>
      <c r="D2293" s="332" t="s">
        <v>3572</v>
      </c>
      <c r="E2293" s="332" t="s">
        <v>2369</v>
      </c>
      <c r="F2293" s="336">
        <v>354000</v>
      </c>
      <c r="G2293" s="330" t="s">
        <v>236</v>
      </c>
      <c r="H2293" s="329">
        <v>301.83278520619945</v>
      </c>
      <c r="I2293" s="338"/>
      <c r="J2293" s="338">
        <v>301.83278520619945</v>
      </c>
      <c r="K2293" s="338"/>
      <c r="L2293" s="338"/>
      <c r="M2293" s="350"/>
    </row>
    <row r="2294" spans="1:13" hidden="1" outlineLevel="2" x14ac:dyDescent="0.35">
      <c r="A2294" s="339" t="s">
        <v>142</v>
      </c>
      <c r="B2294" s="331">
        <v>44525</v>
      </c>
      <c r="C2294" s="332" t="s">
        <v>3573</v>
      </c>
      <c r="D2294" s="332" t="s">
        <v>3574</v>
      </c>
      <c r="E2294" s="332" t="s">
        <v>3575</v>
      </c>
      <c r="F2294" s="336">
        <v>157000</v>
      </c>
      <c r="G2294" s="330" t="s">
        <v>236</v>
      </c>
      <c r="H2294" s="329">
        <v>133.86369287393592</v>
      </c>
      <c r="I2294" s="338"/>
      <c r="J2294" s="338">
        <v>133.86369287393592</v>
      </c>
      <c r="K2294" s="338"/>
      <c r="L2294" s="338"/>
      <c r="M2294" s="350"/>
    </row>
    <row r="2295" spans="1:13" hidden="1" outlineLevel="2" x14ac:dyDescent="0.35">
      <c r="A2295" s="339" t="s">
        <v>142</v>
      </c>
      <c r="B2295" s="331">
        <v>44525</v>
      </c>
      <c r="C2295" s="332" t="s">
        <v>1161</v>
      </c>
      <c r="D2295" s="332" t="s">
        <v>3576</v>
      </c>
      <c r="E2295" s="332" t="s">
        <v>3577</v>
      </c>
      <c r="F2295" s="336">
        <v>192000</v>
      </c>
      <c r="G2295" s="330" t="s">
        <v>236</v>
      </c>
      <c r="H2295" s="329">
        <v>163.70591739997258</v>
      </c>
      <c r="I2295" s="338"/>
      <c r="J2295" s="338">
        <v>163.70591739997258</v>
      </c>
      <c r="K2295" s="338"/>
      <c r="L2295" s="338"/>
      <c r="M2295" s="350"/>
    </row>
    <row r="2296" spans="1:13" hidden="1" outlineLevel="2" x14ac:dyDescent="0.35">
      <c r="A2296" s="339" t="s">
        <v>142</v>
      </c>
      <c r="B2296" s="331">
        <v>44525</v>
      </c>
      <c r="C2296" s="332" t="s">
        <v>1164</v>
      </c>
      <c r="D2296" s="332" t="s">
        <v>3578</v>
      </c>
      <c r="E2296" s="332" t="s">
        <v>3579</v>
      </c>
      <c r="F2296" s="336">
        <v>157000</v>
      </c>
      <c r="G2296" s="330" t="s">
        <v>236</v>
      </c>
      <c r="H2296" s="329">
        <v>133.86369287393592</v>
      </c>
      <c r="I2296" s="338"/>
      <c r="J2296" s="338">
        <v>133.86369287393592</v>
      </c>
      <c r="K2296" s="338"/>
      <c r="L2296" s="338"/>
      <c r="M2296" s="350"/>
    </row>
    <row r="2297" spans="1:13" hidden="1" outlineLevel="2" x14ac:dyDescent="0.35">
      <c r="A2297" s="339" t="s">
        <v>142</v>
      </c>
      <c r="B2297" s="331">
        <v>44525</v>
      </c>
      <c r="C2297" s="332" t="s">
        <v>1166</v>
      </c>
      <c r="D2297" s="332" t="s">
        <v>3580</v>
      </c>
      <c r="E2297" s="332" t="s">
        <v>362</v>
      </c>
      <c r="F2297" s="336">
        <v>157000</v>
      </c>
      <c r="G2297" s="330" t="s">
        <v>236</v>
      </c>
      <c r="H2297" s="329">
        <v>133.86369287393592</v>
      </c>
      <c r="I2297" s="338"/>
      <c r="J2297" s="338">
        <v>133.86369287393592</v>
      </c>
      <c r="K2297" s="338"/>
      <c r="L2297" s="338"/>
      <c r="M2297" s="350"/>
    </row>
    <row r="2298" spans="1:13" hidden="1" outlineLevel="2" x14ac:dyDescent="0.35">
      <c r="A2298" s="339" t="s">
        <v>142</v>
      </c>
      <c r="B2298" s="331">
        <v>44525</v>
      </c>
      <c r="C2298" s="332" t="s">
        <v>1124</v>
      </c>
      <c r="D2298" s="332" t="s">
        <v>3581</v>
      </c>
      <c r="E2298" s="332" t="s">
        <v>1214</v>
      </c>
      <c r="F2298" s="336">
        <v>157000</v>
      </c>
      <c r="G2298" s="330" t="s">
        <v>236</v>
      </c>
      <c r="H2298" s="329">
        <v>133.86369287393592</v>
      </c>
      <c r="I2298" s="338"/>
      <c r="J2298" s="338">
        <v>133.86369287393592</v>
      </c>
      <c r="K2298" s="338"/>
      <c r="L2298" s="338"/>
      <c r="M2298" s="350"/>
    </row>
    <row r="2299" spans="1:13" hidden="1" outlineLevel="2" x14ac:dyDescent="0.35">
      <c r="A2299" s="339" t="s">
        <v>142</v>
      </c>
      <c r="B2299" s="331">
        <v>44525</v>
      </c>
      <c r="C2299" s="332" t="s">
        <v>1170</v>
      </c>
      <c r="D2299" s="332" t="s">
        <v>3582</v>
      </c>
      <c r="E2299" s="332" t="s">
        <v>3583</v>
      </c>
      <c r="F2299" s="336">
        <v>157000</v>
      </c>
      <c r="G2299" s="330" t="s">
        <v>236</v>
      </c>
      <c r="H2299" s="329">
        <v>133.86369287393592</v>
      </c>
      <c r="I2299" s="338"/>
      <c r="J2299" s="338">
        <v>133.86369287393592</v>
      </c>
      <c r="K2299" s="338"/>
      <c r="L2299" s="338"/>
      <c r="M2299" s="350"/>
    </row>
    <row r="2300" spans="1:13" hidden="1" outlineLevel="2" x14ac:dyDescent="0.35">
      <c r="A2300" s="339" t="s">
        <v>142</v>
      </c>
      <c r="B2300" s="331">
        <v>44537</v>
      </c>
      <c r="C2300" s="332" t="s">
        <v>3584</v>
      </c>
      <c r="D2300" s="332" t="s">
        <v>3585</v>
      </c>
      <c r="E2300" s="332" t="s">
        <v>3586</v>
      </c>
      <c r="F2300" s="336">
        <v>495600</v>
      </c>
      <c r="G2300" s="330" t="s">
        <v>236</v>
      </c>
      <c r="H2300" s="329">
        <v>422.56589928867919</v>
      </c>
      <c r="I2300" s="338"/>
      <c r="J2300" s="338">
        <v>422.56589928867919</v>
      </c>
      <c r="K2300" s="338"/>
      <c r="L2300" s="338"/>
      <c r="M2300" s="350"/>
    </row>
    <row r="2301" spans="1:13" hidden="1" outlineLevel="2" x14ac:dyDescent="0.35">
      <c r="A2301" s="339" t="s">
        <v>142</v>
      </c>
      <c r="B2301" s="331">
        <v>44552</v>
      </c>
      <c r="C2301" s="332" t="s">
        <v>3521</v>
      </c>
      <c r="D2301" s="332" t="s">
        <v>3587</v>
      </c>
      <c r="E2301" s="332" t="s">
        <v>3588</v>
      </c>
      <c r="F2301" s="336">
        <v>192000</v>
      </c>
      <c r="G2301" s="330" t="s">
        <v>236</v>
      </c>
      <c r="H2301" s="329">
        <v>163.70591739997258</v>
      </c>
      <c r="I2301" s="338"/>
      <c r="J2301" s="338">
        <v>163.70591739997258</v>
      </c>
      <c r="K2301" s="338"/>
      <c r="L2301" s="338"/>
      <c r="M2301" s="350"/>
    </row>
    <row r="2302" spans="1:13" hidden="1" outlineLevel="2" x14ac:dyDescent="0.35">
      <c r="A2302" s="339" t="s">
        <v>142</v>
      </c>
      <c r="B2302" s="331">
        <v>44552</v>
      </c>
      <c r="C2302" s="332" t="s">
        <v>658</v>
      </c>
      <c r="D2302" s="332" t="s">
        <v>3589</v>
      </c>
      <c r="E2302" s="332" t="s">
        <v>620</v>
      </c>
      <c r="F2302" s="336">
        <v>192000</v>
      </c>
      <c r="G2302" s="330" t="s">
        <v>236</v>
      </c>
      <c r="H2302" s="329">
        <v>163.70591739997258</v>
      </c>
      <c r="I2302" s="338"/>
      <c r="J2302" s="338">
        <v>163.70591739997258</v>
      </c>
      <c r="K2302" s="338"/>
      <c r="L2302" s="338"/>
      <c r="M2302" s="350"/>
    </row>
    <row r="2303" spans="1:13" hidden="1" outlineLevel="2" x14ac:dyDescent="0.35">
      <c r="A2303" s="339" t="s">
        <v>142</v>
      </c>
      <c r="B2303" s="331">
        <v>44552</v>
      </c>
      <c r="C2303" s="332" t="s">
        <v>3511</v>
      </c>
      <c r="D2303" s="332" t="s">
        <v>3590</v>
      </c>
      <c r="E2303" s="332" t="s">
        <v>3591</v>
      </c>
      <c r="F2303" s="336">
        <v>192000</v>
      </c>
      <c r="G2303" s="330" t="s">
        <v>236</v>
      </c>
      <c r="H2303" s="329">
        <v>163.70591739997258</v>
      </c>
      <c r="I2303" s="338"/>
      <c r="J2303" s="338">
        <v>163.70591739997258</v>
      </c>
      <c r="K2303" s="338"/>
      <c r="L2303" s="338"/>
      <c r="M2303" s="350"/>
    </row>
    <row r="2304" spans="1:13" hidden="1" outlineLevel="2" x14ac:dyDescent="0.35">
      <c r="A2304" s="339" t="s">
        <v>142</v>
      </c>
      <c r="B2304" s="331">
        <v>44554</v>
      </c>
      <c r="C2304" s="332" t="s">
        <v>3592</v>
      </c>
      <c r="D2304" s="332" t="s">
        <v>3593</v>
      </c>
      <c r="E2304" s="332" t="s">
        <v>3594</v>
      </c>
      <c r="F2304" s="336">
        <v>157000</v>
      </c>
      <c r="G2304" s="330" t="s">
        <v>236</v>
      </c>
      <c r="H2304" s="329">
        <v>133.86369287393592</v>
      </c>
      <c r="I2304" s="338"/>
      <c r="J2304" s="338">
        <v>133.86369287393592</v>
      </c>
      <c r="K2304" s="338"/>
      <c r="L2304" s="338"/>
      <c r="M2304" s="350"/>
    </row>
    <row r="2305" spans="1:13" hidden="1" outlineLevel="2" x14ac:dyDescent="0.35">
      <c r="A2305" s="326" t="s">
        <v>142</v>
      </c>
      <c r="B2305" s="331">
        <v>43781</v>
      </c>
      <c r="C2305" s="332" t="s">
        <v>670</v>
      </c>
      <c r="D2305" s="332" t="s">
        <v>3595</v>
      </c>
      <c r="E2305" s="332" t="s">
        <v>2384</v>
      </c>
      <c r="F2305" s="336">
        <v>2904000</v>
      </c>
      <c r="G2305" s="330" t="s">
        <v>236</v>
      </c>
      <c r="H2305" s="329">
        <v>2859.1257498669561</v>
      </c>
      <c r="I2305" s="338"/>
      <c r="J2305" s="338">
        <v>2859.1257498669561</v>
      </c>
      <c r="K2305" s="338"/>
      <c r="L2305" s="338"/>
      <c r="M2305" s="350"/>
    </row>
    <row r="2306" spans="1:13" hidden="1" outlineLevel="2" x14ac:dyDescent="0.35">
      <c r="A2306" s="326" t="s">
        <v>142</v>
      </c>
      <c r="B2306" s="331">
        <v>43781</v>
      </c>
      <c r="C2306" s="332" t="s">
        <v>3596</v>
      </c>
      <c r="D2306" s="332" t="s">
        <v>3595</v>
      </c>
      <c r="E2306" s="332" t="s">
        <v>2387</v>
      </c>
      <c r="F2306" s="336">
        <v>2904000</v>
      </c>
      <c r="G2306" s="330" t="s">
        <v>236</v>
      </c>
      <c r="H2306" s="329">
        <v>2859.1257498669561</v>
      </c>
      <c r="I2306" s="338"/>
      <c r="J2306" s="338">
        <v>2859.1257498669561</v>
      </c>
      <c r="K2306" s="338"/>
      <c r="L2306" s="338"/>
      <c r="M2306" s="350"/>
    </row>
    <row r="2307" spans="1:13" hidden="1" outlineLevel="2" x14ac:dyDescent="0.35">
      <c r="A2307" s="326" t="s">
        <v>142</v>
      </c>
      <c r="B2307" s="331">
        <v>43781</v>
      </c>
      <c r="C2307" s="332" t="s">
        <v>3597</v>
      </c>
      <c r="D2307" s="332" t="s">
        <v>3595</v>
      </c>
      <c r="E2307" s="332" t="s">
        <v>2382</v>
      </c>
      <c r="F2307" s="336">
        <v>2904000</v>
      </c>
      <c r="G2307" s="330" t="s">
        <v>236</v>
      </c>
      <c r="H2307" s="329">
        <v>2859.1257498669561</v>
      </c>
      <c r="I2307" s="338"/>
      <c r="J2307" s="338">
        <v>2859.1257498669561</v>
      </c>
      <c r="K2307" s="338"/>
      <c r="L2307" s="338"/>
      <c r="M2307" s="350"/>
    </row>
    <row r="2308" spans="1:13" hidden="1" outlineLevel="2" x14ac:dyDescent="0.35">
      <c r="A2308" s="326" t="s">
        <v>142</v>
      </c>
      <c r="B2308" s="331">
        <v>43755</v>
      </c>
      <c r="C2308" s="332" t="s">
        <v>3598</v>
      </c>
      <c r="D2308" s="332" t="s">
        <v>3599</v>
      </c>
      <c r="E2308" s="332" t="s">
        <v>3600</v>
      </c>
      <c r="F2308" s="336">
        <v>590925</v>
      </c>
      <c r="G2308" s="330" t="s">
        <v>236</v>
      </c>
      <c r="H2308" s="329">
        <v>581.79369274797898</v>
      </c>
      <c r="I2308" s="338"/>
      <c r="J2308" s="338">
        <v>581.79369274797898</v>
      </c>
      <c r="K2308" s="338"/>
      <c r="L2308" s="338"/>
      <c r="M2308" s="350"/>
    </row>
    <row r="2309" spans="1:13" outlineLevel="1" collapsed="1" x14ac:dyDescent="0.35">
      <c r="A2309" s="334" t="s">
        <v>3601</v>
      </c>
      <c r="B2309" s="331"/>
      <c r="C2309" s="332"/>
      <c r="D2309" s="332"/>
      <c r="E2309" s="332"/>
      <c r="F2309" s="336"/>
      <c r="G2309" s="330"/>
      <c r="H2309" s="329">
        <f t="shared" ref="H2309:M2309" si="116">SUBTOTAL(9,H2247:H2308)</f>
        <v>87984.198607680621</v>
      </c>
      <c r="I2309" s="338">
        <f t="shared" si="116"/>
        <v>0</v>
      </c>
      <c r="J2309" s="338">
        <f t="shared" si="116"/>
        <v>87984.198607680621</v>
      </c>
      <c r="K2309" s="338">
        <f t="shared" si="116"/>
        <v>0</v>
      </c>
      <c r="L2309" s="338">
        <f t="shared" si="116"/>
        <v>0</v>
      </c>
      <c r="M2309" s="350">
        <f t="shared" si="116"/>
        <v>0</v>
      </c>
    </row>
    <row r="2310" spans="1:13" hidden="1" outlineLevel="2" x14ac:dyDescent="0.35">
      <c r="A2310" s="339" t="s">
        <v>170</v>
      </c>
      <c r="B2310" s="331">
        <v>44560</v>
      </c>
      <c r="C2310" s="332" t="s">
        <v>3602</v>
      </c>
      <c r="D2310" s="332" t="s">
        <v>3603</v>
      </c>
      <c r="E2310" s="332" t="s">
        <v>369</v>
      </c>
      <c r="F2310" s="336">
        <v>326772</v>
      </c>
      <c r="G2310" s="330" t="s">
        <v>236</v>
      </c>
      <c r="H2310" s="329">
        <v>288.41458844504541</v>
      </c>
      <c r="I2310" s="338"/>
      <c r="J2310" s="338"/>
      <c r="K2310" s="338"/>
      <c r="L2310" s="338">
        <v>288.41458844504541</v>
      </c>
      <c r="M2310" s="350"/>
    </row>
    <row r="2311" spans="1:13" hidden="1" outlineLevel="2" x14ac:dyDescent="0.35">
      <c r="A2311" s="339" t="s">
        <v>170</v>
      </c>
      <c r="B2311" s="331">
        <v>44582</v>
      </c>
      <c r="C2311" s="332" t="s">
        <v>3604</v>
      </c>
      <c r="D2311" s="332" t="s">
        <v>3605</v>
      </c>
      <c r="E2311" s="332" t="s">
        <v>285</v>
      </c>
      <c r="F2311" s="336">
        <v>67500</v>
      </c>
      <c r="G2311" s="330" t="s">
        <v>236</v>
      </c>
      <c r="H2311" s="329">
        <v>59.57666115836291</v>
      </c>
      <c r="I2311" s="338"/>
      <c r="J2311" s="338"/>
      <c r="K2311" s="338"/>
      <c r="L2311" s="338">
        <v>59.57666115836291</v>
      </c>
      <c r="M2311" s="350"/>
    </row>
    <row r="2312" spans="1:13" hidden="1" outlineLevel="2" x14ac:dyDescent="0.35">
      <c r="A2312" s="339" t="s">
        <v>170</v>
      </c>
      <c r="B2312" s="331">
        <v>44628</v>
      </c>
      <c r="C2312" s="332" t="s">
        <v>1655</v>
      </c>
      <c r="D2312" s="332" t="s">
        <v>3606</v>
      </c>
      <c r="E2312" s="332" t="s">
        <v>285</v>
      </c>
      <c r="F2312" s="336">
        <v>4500</v>
      </c>
      <c r="G2312" s="330" t="s">
        <v>236</v>
      </c>
      <c r="H2312" s="329">
        <v>3.9717774105575274</v>
      </c>
      <c r="I2312" s="338"/>
      <c r="J2312" s="338"/>
      <c r="K2312" s="338"/>
      <c r="L2312" s="338">
        <v>3.9717774105575274</v>
      </c>
      <c r="M2312" s="350"/>
    </row>
    <row r="2313" spans="1:13" hidden="1" outlineLevel="2" x14ac:dyDescent="0.35">
      <c r="A2313" s="339" t="s">
        <v>170</v>
      </c>
      <c r="B2313" s="331">
        <v>44628</v>
      </c>
      <c r="C2313" s="332" t="s">
        <v>1657</v>
      </c>
      <c r="D2313" s="332" t="s">
        <v>3607</v>
      </c>
      <c r="E2313" s="332" t="s">
        <v>1196</v>
      </c>
      <c r="F2313" s="336">
        <v>408000</v>
      </c>
      <c r="G2313" s="330" t="s">
        <v>236</v>
      </c>
      <c r="H2313" s="329">
        <v>360.10781855721581</v>
      </c>
      <c r="I2313" s="338"/>
      <c r="J2313" s="338"/>
      <c r="K2313" s="338"/>
      <c r="L2313" s="338">
        <v>360.10781855721581</v>
      </c>
      <c r="M2313" s="350"/>
    </row>
    <row r="2314" spans="1:13" hidden="1" outlineLevel="2" x14ac:dyDescent="0.35">
      <c r="A2314" s="339" t="s">
        <v>170</v>
      </c>
      <c r="B2314" s="331">
        <v>44448</v>
      </c>
      <c r="C2314" s="332" t="s">
        <v>577</v>
      </c>
      <c r="D2314" s="332" t="s">
        <v>3608</v>
      </c>
      <c r="E2314" s="332" t="s">
        <v>1212</v>
      </c>
      <c r="F2314" s="336">
        <v>180000</v>
      </c>
      <c r="G2314" s="330" t="s">
        <v>236</v>
      </c>
      <c r="H2314" s="329">
        <v>153.47429756247428</v>
      </c>
      <c r="I2314" s="338"/>
      <c r="J2314" s="338"/>
      <c r="K2314" s="338"/>
      <c r="L2314" s="338">
        <v>153.47429756247428</v>
      </c>
      <c r="M2314" s="350"/>
    </row>
    <row r="2315" spans="1:13" hidden="1" outlineLevel="2" x14ac:dyDescent="0.35">
      <c r="A2315" s="339" t="s">
        <v>170</v>
      </c>
      <c r="B2315" s="331">
        <v>44445</v>
      </c>
      <c r="C2315" s="332" t="s">
        <v>581</v>
      </c>
      <c r="D2315" s="332" t="s">
        <v>3609</v>
      </c>
      <c r="E2315" s="332" t="s">
        <v>1209</v>
      </c>
      <c r="F2315" s="336">
        <v>195000</v>
      </c>
      <c r="G2315" s="330" t="s">
        <v>236</v>
      </c>
      <c r="H2315" s="329">
        <v>166.26382235934716</v>
      </c>
      <c r="I2315" s="338"/>
      <c r="J2315" s="338"/>
      <c r="K2315" s="338"/>
      <c r="L2315" s="338">
        <v>166.26382235934716</v>
      </c>
      <c r="M2315" s="350"/>
    </row>
    <row r="2316" spans="1:13" hidden="1" outlineLevel="2" x14ac:dyDescent="0.35">
      <c r="A2316" s="339" t="s">
        <v>170</v>
      </c>
      <c r="B2316" s="331">
        <v>44449</v>
      </c>
      <c r="C2316" s="332" t="s">
        <v>583</v>
      </c>
      <c r="D2316" s="332" t="s">
        <v>3610</v>
      </c>
      <c r="E2316" s="332" t="s">
        <v>1214</v>
      </c>
      <c r="F2316" s="336">
        <v>195000</v>
      </c>
      <c r="G2316" s="330" t="s">
        <v>236</v>
      </c>
      <c r="H2316" s="329">
        <v>166.26382235934716</v>
      </c>
      <c r="I2316" s="338"/>
      <c r="J2316" s="338"/>
      <c r="K2316" s="338"/>
      <c r="L2316" s="338">
        <v>166.26382235934716</v>
      </c>
      <c r="M2316" s="350"/>
    </row>
    <row r="2317" spans="1:13" hidden="1" outlineLevel="2" x14ac:dyDescent="0.35">
      <c r="A2317" s="339" t="s">
        <v>170</v>
      </c>
      <c r="B2317" s="331">
        <v>44558</v>
      </c>
      <c r="C2317" s="332" t="s">
        <v>3611</v>
      </c>
      <c r="D2317" s="332" t="s">
        <v>3612</v>
      </c>
      <c r="E2317" s="332" t="s">
        <v>330</v>
      </c>
      <c r="F2317" s="336">
        <v>187000</v>
      </c>
      <c r="G2317" s="330" t="s">
        <v>236</v>
      </c>
      <c r="H2317" s="329">
        <v>159.44274246768163</v>
      </c>
      <c r="I2317" s="338"/>
      <c r="J2317" s="338"/>
      <c r="K2317" s="338"/>
      <c r="L2317" s="338">
        <v>159.44274246768163</v>
      </c>
      <c r="M2317" s="350"/>
    </row>
    <row r="2318" spans="1:13" hidden="1" outlineLevel="2" x14ac:dyDescent="0.35">
      <c r="A2318" s="339" t="s">
        <v>170</v>
      </c>
      <c r="B2318" s="331">
        <v>44559</v>
      </c>
      <c r="C2318" s="332" t="s">
        <v>3613</v>
      </c>
      <c r="D2318" s="332" t="s">
        <v>3614</v>
      </c>
      <c r="E2318" s="332" t="s">
        <v>1214</v>
      </c>
      <c r="F2318" s="336">
        <v>150000</v>
      </c>
      <c r="G2318" s="330" t="s">
        <v>236</v>
      </c>
      <c r="H2318" s="329">
        <v>127.89524796872857</v>
      </c>
      <c r="I2318" s="338"/>
      <c r="J2318" s="338"/>
      <c r="K2318" s="338"/>
      <c r="L2318" s="338">
        <v>127.89524796872857</v>
      </c>
      <c r="M2318" s="350"/>
    </row>
    <row r="2319" spans="1:13" hidden="1" outlineLevel="2" x14ac:dyDescent="0.35">
      <c r="A2319" s="339" t="s">
        <v>170</v>
      </c>
      <c r="B2319" s="331">
        <v>44559</v>
      </c>
      <c r="C2319" s="332" t="s">
        <v>3615</v>
      </c>
      <c r="D2319" s="332" t="s">
        <v>3616</v>
      </c>
      <c r="E2319" s="332" t="s">
        <v>1212</v>
      </c>
      <c r="F2319" s="336">
        <v>356000</v>
      </c>
      <c r="G2319" s="330" t="s">
        <v>236</v>
      </c>
      <c r="H2319" s="329">
        <v>303.53805517911582</v>
      </c>
      <c r="I2319" s="338"/>
      <c r="J2319" s="338"/>
      <c r="K2319" s="338"/>
      <c r="L2319" s="338">
        <v>303.53805517911582</v>
      </c>
      <c r="M2319" s="350"/>
    </row>
    <row r="2320" spans="1:13" hidden="1" outlineLevel="2" x14ac:dyDescent="0.35">
      <c r="A2320" s="339" t="s">
        <v>170</v>
      </c>
      <c r="B2320" s="331">
        <v>44559</v>
      </c>
      <c r="C2320" s="332" t="s">
        <v>3617</v>
      </c>
      <c r="D2320" s="332" t="s">
        <v>3618</v>
      </c>
      <c r="E2320" s="332" t="s">
        <v>1212</v>
      </c>
      <c r="F2320" s="336">
        <v>135000</v>
      </c>
      <c r="G2320" s="330" t="s">
        <v>236</v>
      </c>
      <c r="H2320" s="329">
        <v>115.10572317185571</v>
      </c>
      <c r="I2320" s="338"/>
      <c r="J2320" s="338"/>
      <c r="K2320" s="338"/>
      <c r="L2320" s="338">
        <v>115.10572317185571</v>
      </c>
      <c r="M2320" s="350"/>
    </row>
    <row r="2321" spans="1:13" hidden="1" outlineLevel="2" x14ac:dyDescent="0.35">
      <c r="A2321" s="339" t="s">
        <v>170</v>
      </c>
      <c r="B2321" s="331">
        <v>44559</v>
      </c>
      <c r="C2321" s="332" t="s">
        <v>3619</v>
      </c>
      <c r="D2321" s="332" t="s">
        <v>3620</v>
      </c>
      <c r="E2321" s="332" t="s">
        <v>362</v>
      </c>
      <c r="F2321" s="336">
        <v>135000</v>
      </c>
      <c r="G2321" s="330" t="s">
        <v>236</v>
      </c>
      <c r="H2321" s="329">
        <v>115.10572317185571</v>
      </c>
      <c r="I2321" s="338"/>
      <c r="J2321" s="338"/>
      <c r="K2321" s="338"/>
      <c r="L2321" s="338">
        <v>115.10572317185571</v>
      </c>
      <c r="M2321" s="350"/>
    </row>
    <row r="2322" spans="1:13" outlineLevel="1" collapsed="1" x14ac:dyDescent="0.35">
      <c r="A2322" s="343" t="s">
        <v>3621</v>
      </c>
      <c r="B2322" s="331"/>
      <c r="C2322" s="332"/>
      <c r="D2322" s="332"/>
      <c r="E2322" s="332"/>
      <c r="F2322" s="336"/>
      <c r="G2322" s="330"/>
      <c r="H2322" s="329">
        <f t="shared" ref="H2322:M2322" si="117">SUBTOTAL(9,H2310:H2321)</f>
        <v>2019.160279811588</v>
      </c>
      <c r="I2322" s="338">
        <f t="shared" si="117"/>
        <v>0</v>
      </c>
      <c r="J2322" s="338">
        <f t="shared" si="117"/>
        <v>0</v>
      </c>
      <c r="K2322" s="338">
        <f t="shared" si="117"/>
        <v>0</v>
      </c>
      <c r="L2322" s="338">
        <f t="shared" si="117"/>
        <v>2019.160279811588</v>
      </c>
      <c r="M2322" s="350">
        <f t="shared" si="117"/>
        <v>0</v>
      </c>
    </row>
    <row r="2323" spans="1:13" hidden="1" outlineLevel="2" x14ac:dyDescent="0.35">
      <c r="A2323" s="339" t="s">
        <v>121</v>
      </c>
      <c r="B2323" s="331">
        <v>44582</v>
      </c>
      <c r="C2323" s="332" t="s">
        <v>1004</v>
      </c>
      <c r="D2323" s="332" t="s">
        <v>3622</v>
      </c>
      <c r="E2323" s="332" t="s">
        <v>662</v>
      </c>
      <c r="F2323" s="336">
        <v>60000</v>
      </c>
      <c r="G2323" s="330" t="s">
        <v>236</v>
      </c>
      <c r="H2323" s="329">
        <v>52.957032140767026</v>
      </c>
      <c r="I2323" s="338">
        <v>52.957032140767026</v>
      </c>
      <c r="J2323" s="338"/>
      <c r="K2323" s="338"/>
      <c r="L2323" s="338"/>
      <c r="M2323" s="350"/>
    </row>
    <row r="2324" spans="1:13" hidden="1" outlineLevel="2" x14ac:dyDescent="0.35">
      <c r="A2324" s="339" t="s">
        <v>121</v>
      </c>
      <c r="B2324" s="331">
        <v>44582</v>
      </c>
      <c r="C2324" s="332" t="s">
        <v>2426</v>
      </c>
      <c r="D2324" s="332" t="s">
        <v>3623</v>
      </c>
      <c r="E2324" s="332" t="s">
        <v>993</v>
      </c>
      <c r="F2324" s="336">
        <v>450000</v>
      </c>
      <c r="G2324" s="330" t="s">
        <v>236</v>
      </c>
      <c r="H2324" s="329">
        <v>397.17774105575273</v>
      </c>
      <c r="I2324" s="338">
        <v>397.17774105575273</v>
      </c>
      <c r="J2324" s="338"/>
      <c r="K2324" s="338"/>
      <c r="L2324" s="338"/>
      <c r="M2324" s="350"/>
    </row>
    <row r="2325" spans="1:13" hidden="1" outlineLevel="2" x14ac:dyDescent="0.35">
      <c r="A2325" s="339" t="s">
        <v>121</v>
      </c>
      <c r="B2325" s="331">
        <v>44582</v>
      </c>
      <c r="C2325" s="332" t="s">
        <v>1006</v>
      </c>
      <c r="D2325" s="332" t="s">
        <v>3624</v>
      </c>
      <c r="E2325" s="332" t="s">
        <v>993</v>
      </c>
      <c r="F2325" s="336">
        <v>300000</v>
      </c>
      <c r="G2325" s="330" t="s">
        <v>236</v>
      </c>
      <c r="H2325" s="329">
        <v>264.78516070383517</v>
      </c>
      <c r="I2325" s="338">
        <v>264.78516070383517</v>
      </c>
      <c r="J2325" s="338"/>
      <c r="K2325" s="338"/>
      <c r="L2325" s="338"/>
      <c r="M2325" s="350"/>
    </row>
    <row r="2326" spans="1:13" hidden="1" outlineLevel="2" x14ac:dyDescent="0.35">
      <c r="A2326" s="339" t="s">
        <v>121</v>
      </c>
      <c r="B2326" s="331">
        <v>44582</v>
      </c>
      <c r="C2326" s="332" t="s">
        <v>1014</v>
      </c>
      <c r="D2326" s="332" t="s">
        <v>3625</v>
      </c>
      <c r="E2326" s="332" t="s">
        <v>993</v>
      </c>
      <c r="F2326" s="336">
        <v>37000</v>
      </c>
      <c r="G2326" s="330" t="s">
        <v>236</v>
      </c>
      <c r="H2326" s="329">
        <v>32.656836486806334</v>
      </c>
      <c r="I2326" s="338">
        <v>32.656836486806334</v>
      </c>
      <c r="J2326" s="338"/>
      <c r="K2326" s="338"/>
      <c r="L2326" s="338"/>
      <c r="M2326" s="350"/>
    </row>
    <row r="2327" spans="1:13" hidden="1" outlineLevel="2" x14ac:dyDescent="0.35">
      <c r="A2327" s="339" t="s">
        <v>121</v>
      </c>
      <c r="B2327" s="331">
        <v>44582</v>
      </c>
      <c r="C2327" s="332" t="s">
        <v>1020</v>
      </c>
      <c r="D2327" s="332" t="s">
        <v>3626</v>
      </c>
      <c r="E2327" s="332" t="s">
        <v>993</v>
      </c>
      <c r="F2327" s="336">
        <v>180000</v>
      </c>
      <c r="G2327" s="330" t="s">
        <v>236</v>
      </c>
      <c r="H2327" s="329">
        <v>158.87109642230109</v>
      </c>
      <c r="I2327" s="338">
        <v>158.87109642230109</v>
      </c>
      <c r="J2327" s="338"/>
      <c r="K2327" s="338"/>
      <c r="L2327" s="338"/>
      <c r="M2327" s="350"/>
    </row>
    <row r="2328" spans="1:13" hidden="1" outlineLevel="2" x14ac:dyDescent="0.35">
      <c r="A2328" s="339" t="s">
        <v>121</v>
      </c>
      <c r="B2328" s="331">
        <v>44582</v>
      </c>
      <c r="C2328" s="332" t="s">
        <v>1027</v>
      </c>
      <c r="D2328" s="332" t="s">
        <v>3627</v>
      </c>
      <c r="E2328" s="332" t="s">
        <v>993</v>
      </c>
      <c r="F2328" s="336">
        <v>20000</v>
      </c>
      <c r="G2328" s="330" t="s">
        <v>236</v>
      </c>
      <c r="H2328" s="329">
        <v>17.652344046922344</v>
      </c>
      <c r="I2328" s="338">
        <v>17.652344046922344</v>
      </c>
      <c r="J2328" s="338"/>
      <c r="K2328" s="338"/>
      <c r="L2328" s="338"/>
      <c r="M2328" s="350"/>
    </row>
    <row r="2329" spans="1:13" hidden="1" outlineLevel="2" x14ac:dyDescent="0.35">
      <c r="A2329" s="339" t="s">
        <v>121</v>
      </c>
      <c r="B2329" s="331">
        <v>44582</v>
      </c>
      <c r="C2329" s="332" t="s">
        <v>1035</v>
      </c>
      <c r="D2329" s="332" t="s">
        <v>3628</v>
      </c>
      <c r="E2329" s="332" t="s">
        <v>993</v>
      </c>
      <c r="F2329" s="336">
        <v>180000</v>
      </c>
      <c r="G2329" s="330" t="s">
        <v>236</v>
      </c>
      <c r="H2329" s="329">
        <v>158.87109642230109</v>
      </c>
      <c r="I2329" s="338">
        <v>158.87109642230109</v>
      </c>
      <c r="J2329" s="338"/>
      <c r="K2329" s="338"/>
      <c r="L2329" s="338"/>
      <c r="M2329" s="350"/>
    </row>
    <row r="2330" spans="1:13" hidden="1" outlineLevel="2" x14ac:dyDescent="0.35">
      <c r="A2330" s="339" t="s">
        <v>121</v>
      </c>
      <c r="B2330" s="331">
        <v>44582</v>
      </c>
      <c r="C2330" s="332" t="s">
        <v>3629</v>
      </c>
      <c r="D2330" s="332" t="s">
        <v>3630</v>
      </c>
      <c r="E2330" s="332" t="s">
        <v>1214</v>
      </c>
      <c r="F2330" s="336">
        <v>20000</v>
      </c>
      <c r="G2330" s="330" t="s">
        <v>236</v>
      </c>
      <c r="H2330" s="329">
        <v>17.652344046922344</v>
      </c>
      <c r="I2330" s="338">
        <v>17.652344046922344</v>
      </c>
      <c r="J2330" s="338"/>
      <c r="K2330" s="338"/>
      <c r="L2330" s="338"/>
      <c r="M2330" s="350"/>
    </row>
    <row r="2331" spans="1:13" hidden="1" outlineLevel="2" x14ac:dyDescent="0.35">
      <c r="A2331" s="339" t="s">
        <v>121</v>
      </c>
      <c r="B2331" s="331">
        <v>44582</v>
      </c>
      <c r="C2331" s="332" t="s">
        <v>529</v>
      </c>
      <c r="D2331" s="332" t="s">
        <v>3631</v>
      </c>
      <c r="E2331" s="332" t="s">
        <v>1212</v>
      </c>
      <c r="F2331" s="336">
        <v>20000</v>
      </c>
      <c r="G2331" s="330" t="s">
        <v>236</v>
      </c>
      <c r="H2331" s="329">
        <v>17.652344046922344</v>
      </c>
      <c r="I2331" s="338">
        <v>17.652344046922344</v>
      </c>
      <c r="J2331" s="338"/>
      <c r="K2331" s="338"/>
      <c r="L2331" s="338"/>
      <c r="M2331" s="350"/>
    </row>
    <row r="2332" spans="1:13" hidden="1" outlineLevel="2" x14ac:dyDescent="0.35">
      <c r="A2332" s="339" t="s">
        <v>121</v>
      </c>
      <c r="B2332" s="331">
        <v>44582</v>
      </c>
      <c r="C2332" s="332" t="s">
        <v>3632</v>
      </c>
      <c r="D2332" s="332" t="s">
        <v>3633</v>
      </c>
      <c r="E2332" s="332" t="s">
        <v>1212</v>
      </c>
      <c r="F2332" s="336">
        <v>180000</v>
      </c>
      <c r="G2332" s="330" t="s">
        <v>236</v>
      </c>
      <c r="H2332" s="329">
        <v>158.87109642230109</v>
      </c>
      <c r="I2332" s="338">
        <v>158.87109642230109</v>
      </c>
      <c r="J2332" s="338"/>
      <c r="K2332" s="338"/>
      <c r="L2332" s="338"/>
      <c r="M2332" s="350"/>
    </row>
    <row r="2333" spans="1:13" hidden="1" outlineLevel="2" x14ac:dyDescent="0.35">
      <c r="A2333" s="339" t="s">
        <v>121</v>
      </c>
      <c r="B2333" s="331">
        <v>44589</v>
      </c>
      <c r="C2333" s="332" t="s">
        <v>1198</v>
      </c>
      <c r="D2333" s="332" t="s">
        <v>3634</v>
      </c>
      <c r="E2333" s="332" t="s">
        <v>993</v>
      </c>
      <c r="F2333" s="336">
        <v>395780</v>
      </c>
      <c r="G2333" s="330" t="s">
        <v>236</v>
      </c>
      <c r="H2333" s="329">
        <v>349.32223634454624</v>
      </c>
      <c r="I2333" s="338">
        <v>349.32223634454624</v>
      </c>
      <c r="J2333" s="338"/>
      <c r="K2333" s="338"/>
      <c r="L2333" s="338"/>
      <c r="M2333" s="350"/>
    </row>
    <row r="2334" spans="1:13" hidden="1" outlineLevel="2" x14ac:dyDescent="0.35">
      <c r="A2334" s="339" t="s">
        <v>121</v>
      </c>
      <c r="B2334" s="331">
        <v>44635</v>
      </c>
      <c r="C2334" s="332" t="s">
        <v>3635</v>
      </c>
      <c r="D2334" s="332" t="s">
        <v>3636</v>
      </c>
      <c r="E2334" s="332" t="s">
        <v>285</v>
      </c>
      <c r="F2334" s="336">
        <v>40500</v>
      </c>
      <c r="G2334" s="330" t="s">
        <v>236</v>
      </c>
      <c r="H2334" s="329">
        <v>35.745996695017745</v>
      </c>
      <c r="I2334" s="338">
        <v>35.745996695017745</v>
      </c>
      <c r="J2334" s="338"/>
      <c r="K2334" s="338"/>
      <c r="L2334" s="338"/>
      <c r="M2334" s="350"/>
    </row>
    <row r="2335" spans="1:13" hidden="1" outlineLevel="2" x14ac:dyDescent="0.35">
      <c r="A2335" s="339" t="s">
        <v>121</v>
      </c>
      <c r="B2335" s="331">
        <v>44421</v>
      </c>
      <c r="C2335" s="332" t="s">
        <v>3637</v>
      </c>
      <c r="D2335" s="332" t="s">
        <v>3638</v>
      </c>
      <c r="E2335" s="332" t="s">
        <v>2438</v>
      </c>
      <c r="F2335" s="336">
        <v>390000</v>
      </c>
      <c r="G2335" s="330" t="s">
        <v>236</v>
      </c>
      <c r="H2335" s="329">
        <v>332.52764471869432</v>
      </c>
      <c r="I2335" s="338">
        <v>332.52764471869432</v>
      </c>
      <c r="J2335" s="338"/>
      <c r="K2335" s="338"/>
      <c r="L2335" s="338"/>
      <c r="M2335" s="350"/>
    </row>
    <row r="2336" spans="1:13" hidden="1" outlineLevel="2" x14ac:dyDescent="0.35">
      <c r="A2336" s="339" t="s">
        <v>121</v>
      </c>
      <c r="B2336" s="331">
        <v>44525</v>
      </c>
      <c r="C2336" s="332" t="s">
        <v>3639</v>
      </c>
      <c r="D2336" s="332" t="s">
        <v>3640</v>
      </c>
      <c r="E2336" s="332" t="s">
        <v>3577</v>
      </c>
      <c r="F2336" s="336">
        <v>864000</v>
      </c>
      <c r="G2336" s="330" t="s">
        <v>236</v>
      </c>
      <c r="H2336" s="329">
        <v>736.6766282998766</v>
      </c>
      <c r="I2336" s="338">
        <v>736.6766282998766</v>
      </c>
      <c r="J2336" s="338"/>
      <c r="K2336" s="338"/>
      <c r="L2336" s="338"/>
      <c r="M2336" s="350"/>
    </row>
    <row r="2337" spans="1:13" hidden="1" outlineLevel="2" x14ac:dyDescent="0.35">
      <c r="A2337" s="339" t="s">
        <v>121</v>
      </c>
      <c r="B2337" s="331">
        <v>44525</v>
      </c>
      <c r="C2337" s="332" t="s">
        <v>1168</v>
      </c>
      <c r="D2337" s="332" t="s">
        <v>3641</v>
      </c>
      <c r="E2337" s="332" t="s">
        <v>362</v>
      </c>
      <c r="F2337" s="336">
        <v>864000</v>
      </c>
      <c r="G2337" s="330" t="s">
        <v>236</v>
      </c>
      <c r="H2337" s="329">
        <v>736.6766282998766</v>
      </c>
      <c r="I2337" s="338">
        <v>736.6766282998766</v>
      </c>
      <c r="J2337" s="338"/>
      <c r="K2337" s="338"/>
      <c r="L2337" s="338"/>
      <c r="M2337" s="350"/>
    </row>
    <row r="2338" spans="1:13" hidden="1" outlineLevel="2" x14ac:dyDescent="0.35">
      <c r="A2338" s="339" t="s">
        <v>121</v>
      </c>
      <c r="B2338" s="331">
        <v>44554</v>
      </c>
      <c r="C2338" s="332" t="s">
        <v>3642</v>
      </c>
      <c r="D2338" s="332" t="s">
        <v>3643</v>
      </c>
      <c r="E2338" s="332" t="s">
        <v>1214</v>
      </c>
      <c r="F2338" s="336">
        <v>834000</v>
      </c>
      <c r="G2338" s="330" t="s">
        <v>236</v>
      </c>
      <c r="H2338" s="329">
        <v>711.09757870613089</v>
      </c>
      <c r="I2338" s="338">
        <v>711.09757870613089</v>
      </c>
      <c r="J2338" s="338"/>
      <c r="K2338" s="338"/>
      <c r="L2338" s="338"/>
      <c r="M2338" s="350"/>
    </row>
    <row r="2339" spans="1:13" hidden="1" outlineLevel="2" x14ac:dyDescent="0.35">
      <c r="A2339" s="339" t="s">
        <v>121</v>
      </c>
      <c r="B2339" s="331">
        <v>44077</v>
      </c>
      <c r="C2339" s="332" t="s">
        <v>1696</v>
      </c>
      <c r="D2339" s="332" t="s">
        <v>3644</v>
      </c>
      <c r="E2339" s="332" t="s">
        <v>436</v>
      </c>
      <c r="F2339" s="336">
        <v>1500000</v>
      </c>
      <c r="G2339" s="330" t="s">
        <v>236</v>
      </c>
      <c r="H2339" s="329">
        <v>1393.5903136009704</v>
      </c>
      <c r="I2339" s="338">
        <v>1393.5903136009704</v>
      </c>
      <c r="J2339" s="338"/>
      <c r="K2339" s="338"/>
      <c r="L2339" s="338"/>
      <c r="M2339" s="350"/>
    </row>
    <row r="2340" spans="1:13" hidden="1" outlineLevel="2" x14ac:dyDescent="0.35">
      <c r="A2340" s="339" t="s">
        <v>121</v>
      </c>
      <c r="B2340" s="331">
        <v>44077</v>
      </c>
      <c r="C2340" s="332" t="s">
        <v>3645</v>
      </c>
      <c r="D2340" s="332" t="s">
        <v>3646</v>
      </c>
      <c r="E2340" s="332" t="s">
        <v>436</v>
      </c>
      <c r="F2340" s="336">
        <v>1500000</v>
      </c>
      <c r="G2340" s="330" t="s">
        <v>236</v>
      </c>
      <c r="H2340" s="329">
        <v>1393.5903136009704</v>
      </c>
      <c r="I2340" s="338">
        <v>1393.5903136009704</v>
      </c>
      <c r="J2340" s="338"/>
      <c r="K2340" s="338"/>
      <c r="L2340" s="338"/>
      <c r="M2340" s="350"/>
    </row>
    <row r="2341" spans="1:13" hidden="1" outlineLevel="2" x14ac:dyDescent="0.35">
      <c r="A2341" s="339" t="s">
        <v>121</v>
      </c>
      <c r="B2341" s="331">
        <v>44077</v>
      </c>
      <c r="C2341" s="332" t="s">
        <v>2353</v>
      </c>
      <c r="D2341" s="332" t="s">
        <v>3647</v>
      </c>
      <c r="E2341" s="332" t="s">
        <v>436</v>
      </c>
      <c r="F2341" s="336">
        <v>1500000</v>
      </c>
      <c r="G2341" s="330" t="s">
        <v>236</v>
      </c>
      <c r="H2341" s="329">
        <v>1393.5903136009704</v>
      </c>
      <c r="I2341" s="338">
        <v>1393.5903136009704</v>
      </c>
      <c r="J2341" s="338"/>
      <c r="K2341" s="338"/>
      <c r="L2341" s="338"/>
      <c r="M2341" s="350"/>
    </row>
    <row r="2342" spans="1:13" hidden="1" outlineLevel="2" x14ac:dyDescent="0.35">
      <c r="A2342" s="339" t="s">
        <v>121</v>
      </c>
      <c r="B2342" s="331">
        <v>44145</v>
      </c>
      <c r="C2342" s="332" t="s">
        <v>2364</v>
      </c>
      <c r="D2342" s="332" t="s">
        <v>3648</v>
      </c>
      <c r="E2342" s="332" t="s">
        <v>1150</v>
      </c>
      <c r="F2342" s="336">
        <v>390380</v>
      </c>
      <c r="G2342" s="330" t="s">
        <v>236</v>
      </c>
      <c r="H2342" s="329">
        <v>362.68652441569787</v>
      </c>
      <c r="I2342" s="338">
        <v>362.68652441569787</v>
      </c>
      <c r="J2342" s="338"/>
      <c r="K2342" s="338"/>
      <c r="L2342" s="338"/>
      <c r="M2342" s="350"/>
    </row>
    <row r="2343" spans="1:13" hidden="1" outlineLevel="2" x14ac:dyDescent="0.35">
      <c r="A2343" s="339" t="s">
        <v>121</v>
      </c>
      <c r="B2343" s="331">
        <v>44152</v>
      </c>
      <c r="C2343" s="332" t="s">
        <v>1708</v>
      </c>
      <c r="D2343" s="332" t="s">
        <v>3649</v>
      </c>
      <c r="E2343" s="332" t="s">
        <v>3650</v>
      </c>
      <c r="F2343" s="336">
        <v>105000</v>
      </c>
      <c r="G2343" s="330" t="s">
        <v>236</v>
      </c>
      <c r="H2343" s="329">
        <v>97.551321952067923</v>
      </c>
      <c r="I2343" s="338">
        <v>97.551321952067923</v>
      </c>
      <c r="J2343" s="338"/>
      <c r="K2343" s="338"/>
      <c r="L2343" s="338"/>
      <c r="M2343" s="350"/>
    </row>
    <row r="2344" spans="1:13" outlineLevel="1" collapsed="1" x14ac:dyDescent="0.35">
      <c r="A2344" s="343" t="s">
        <v>3651</v>
      </c>
      <c r="B2344" s="331"/>
      <c r="C2344" s="332"/>
      <c r="D2344" s="332"/>
      <c r="E2344" s="332"/>
      <c r="F2344" s="336"/>
      <c r="G2344" s="330"/>
      <c r="H2344" s="329">
        <f t="shared" ref="H2344:M2344" si="118">SUBTOTAL(9,H2323:H2343)</f>
        <v>8820.2025920296492</v>
      </c>
      <c r="I2344" s="338">
        <f t="shared" si="118"/>
        <v>8820.2025920296492</v>
      </c>
      <c r="J2344" s="338">
        <f t="shared" si="118"/>
        <v>0</v>
      </c>
      <c r="K2344" s="338">
        <f t="shared" si="118"/>
        <v>0</v>
      </c>
      <c r="L2344" s="338">
        <f t="shared" si="118"/>
        <v>0</v>
      </c>
      <c r="M2344" s="350">
        <f t="shared" si="118"/>
        <v>0</v>
      </c>
    </row>
    <row r="2345" spans="1:13" hidden="1" outlineLevel="2" x14ac:dyDescent="0.35">
      <c r="A2345" s="326" t="s">
        <v>83</v>
      </c>
      <c r="B2345" s="331">
        <v>44589</v>
      </c>
      <c r="C2345" s="332" t="s">
        <v>666</v>
      </c>
      <c r="D2345" s="332" t="s">
        <v>3652</v>
      </c>
      <c r="E2345" s="332" t="s">
        <v>623</v>
      </c>
      <c r="F2345" s="336">
        <v>4095000</v>
      </c>
      <c r="G2345" s="330" t="s">
        <v>236</v>
      </c>
      <c r="H2345" s="329">
        <v>3614.3174436073496</v>
      </c>
      <c r="I2345" s="338"/>
      <c r="J2345" s="338"/>
      <c r="K2345" s="338">
        <v>3614.3174436073496</v>
      </c>
      <c r="L2345" s="338"/>
      <c r="M2345" s="350"/>
    </row>
    <row r="2346" spans="1:13" outlineLevel="1" collapsed="1" x14ac:dyDescent="0.35">
      <c r="A2346" s="334" t="s">
        <v>3653</v>
      </c>
      <c r="B2346" s="331"/>
      <c r="C2346" s="332"/>
      <c r="D2346" s="332"/>
      <c r="E2346" s="332"/>
      <c r="F2346" s="336"/>
      <c r="G2346" s="330"/>
      <c r="H2346" s="329">
        <f t="shared" ref="H2346:M2346" si="119">SUBTOTAL(9,H2345:H2345)</f>
        <v>3614.3174436073496</v>
      </c>
      <c r="I2346" s="338">
        <f t="shared" si="119"/>
        <v>0</v>
      </c>
      <c r="J2346" s="338">
        <f t="shared" si="119"/>
        <v>0</v>
      </c>
      <c r="K2346" s="338">
        <f t="shared" si="119"/>
        <v>3614.3174436073496</v>
      </c>
      <c r="L2346" s="338">
        <f t="shared" si="119"/>
        <v>0</v>
      </c>
      <c r="M2346" s="350">
        <f t="shared" si="119"/>
        <v>0</v>
      </c>
    </row>
    <row r="2347" spans="1:13" hidden="1" outlineLevel="2" x14ac:dyDescent="0.35">
      <c r="A2347" s="326" t="s">
        <v>85</v>
      </c>
      <c r="B2347" s="331">
        <v>43860</v>
      </c>
      <c r="C2347" s="332" t="s">
        <v>3654</v>
      </c>
      <c r="D2347" s="332" t="s">
        <v>3655</v>
      </c>
      <c r="E2347" s="332" t="s">
        <v>2211</v>
      </c>
      <c r="F2347" s="336">
        <v>1640000</v>
      </c>
      <c r="G2347" s="330" t="s">
        <v>236</v>
      </c>
      <c r="H2347" s="329">
        <v>1523.6587428703942</v>
      </c>
      <c r="I2347" s="338"/>
      <c r="J2347" s="338"/>
      <c r="K2347" s="338"/>
      <c r="L2347" s="338">
        <v>1523.6587428703942</v>
      </c>
      <c r="M2347" s="350"/>
    </row>
    <row r="2348" spans="1:13" outlineLevel="1" collapsed="1" x14ac:dyDescent="0.35">
      <c r="A2348" s="334" t="s">
        <v>3656</v>
      </c>
      <c r="B2348" s="331"/>
      <c r="C2348" s="332"/>
      <c r="D2348" s="332"/>
      <c r="E2348" s="332"/>
      <c r="F2348" s="336"/>
      <c r="G2348" s="330"/>
      <c r="H2348" s="329">
        <f t="shared" ref="H2348:M2348" si="120">SUBTOTAL(9,H2347:H2347)</f>
        <v>1523.6587428703942</v>
      </c>
      <c r="I2348" s="338">
        <f t="shared" si="120"/>
        <v>0</v>
      </c>
      <c r="J2348" s="338">
        <f t="shared" si="120"/>
        <v>0</v>
      </c>
      <c r="K2348" s="338">
        <f t="shared" si="120"/>
        <v>0</v>
      </c>
      <c r="L2348" s="338">
        <f t="shared" si="120"/>
        <v>1523.6587428703942</v>
      </c>
      <c r="M2348" s="350">
        <f t="shared" si="120"/>
        <v>0</v>
      </c>
    </row>
    <row r="2349" spans="1:13" hidden="1" outlineLevel="2" x14ac:dyDescent="0.35">
      <c r="A2349" s="339" t="s">
        <v>164</v>
      </c>
      <c r="B2349" s="331">
        <v>43747</v>
      </c>
      <c r="C2349" s="332" t="s">
        <v>3657</v>
      </c>
      <c r="D2349" s="332" t="s">
        <v>3658</v>
      </c>
      <c r="E2349" s="332" t="s">
        <v>3659</v>
      </c>
      <c r="F2349" s="336">
        <v>450000</v>
      </c>
      <c r="G2349" s="330" t="s">
        <v>236</v>
      </c>
      <c r="H2349" s="329">
        <v>443.04634553723497</v>
      </c>
      <c r="I2349" s="338"/>
      <c r="J2349" s="338"/>
      <c r="K2349" s="338">
        <v>443.04634553723497</v>
      </c>
      <c r="L2349" s="338"/>
      <c r="M2349" s="350"/>
    </row>
    <row r="2350" spans="1:13" hidden="1" outlineLevel="2" x14ac:dyDescent="0.35">
      <c r="A2350" s="339" t="s">
        <v>164</v>
      </c>
      <c r="B2350" s="331">
        <v>43781</v>
      </c>
      <c r="C2350" s="332" t="s">
        <v>3660</v>
      </c>
      <c r="D2350" s="332" t="s">
        <v>3661</v>
      </c>
      <c r="E2350" s="332" t="s">
        <v>2382</v>
      </c>
      <c r="F2350" s="336">
        <v>1320000</v>
      </c>
      <c r="G2350" s="330" t="s">
        <v>236</v>
      </c>
      <c r="H2350" s="329">
        <v>1299.6026135758891</v>
      </c>
      <c r="I2350" s="338"/>
      <c r="J2350" s="338"/>
      <c r="K2350" s="338">
        <v>1299.6026135758891</v>
      </c>
      <c r="L2350" s="338"/>
      <c r="M2350" s="350"/>
    </row>
    <row r="2351" spans="1:13" hidden="1" outlineLevel="2" x14ac:dyDescent="0.35">
      <c r="A2351" s="339" t="s">
        <v>164</v>
      </c>
      <c r="B2351" s="331">
        <v>43781</v>
      </c>
      <c r="C2351" s="332" t="s">
        <v>3635</v>
      </c>
      <c r="D2351" s="332" t="s">
        <v>3661</v>
      </c>
      <c r="E2351" s="332" t="s">
        <v>2384</v>
      </c>
      <c r="F2351" s="336">
        <v>1315000</v>
      </c>
      <c r="G2351" s="330" t="s">
        <v>236</v>
      </c>
      <c r="H2351" s="329">
        <v>1294.6798764032533</v>
      </c>
      <c r="I2351" s="338"/>
      <c r="J2351" s="338"/>
      <c r="K2351" s="338">
        <v>1294.6798764032533</v>
      </c>
      <c r="L2351" s="338"/>
      <c r="M2351" s="350"/>
    </row>
    <row r="2352" spans="1:13" hidden="1" outlineLevel="2" x14ac:dyDescent="0.35">
      <c r="A2352" s="339" t="s">
        <v>164</v>
      </c>
      <c r="B2352" s="331">
        <v>43788</v>
      </c>
      <c r="C2352" s="332" t="s">
        <v>3662</v>
      </c>
      <c r="D2352" s="332" t="s">
        <v>3663</v>
      </c>
      <c r="E2352" s="332" t="s">
        <v>2387</v>
      </c>
      <c r="F2352" s="336">
        <v>1314000</v>
      </c>
      <c r="G2352" s="330" t="s">
        <v>236</v>
      </c>
      <c r="H2352" s="329">
        <v>1293.695328968726</v>
      </c>
      <c r="I2352" s="338"/>
      <c r="J2352" s="338"/>
      <c r="K2352" s="338">
        <v>1293.695328968726</v>
      </c>
      <c r="L2352" s="338"/>
      <c r="M2352" s="350"/>
    </row>
    <row r="2353" spans="1:13" hidden="1" outlineLevel="2" x14ac:dyDescent="0.35">
      <c r="A2353" s="339" t="s">
        <v>164</v>
      </c>
      <c r="B2353" s="331">
        <v>44322</v>
      </c>
      <c r="C2353" s="332" t="s">
        <v>1753</v>
      </c>
      <c r="D2353" s="332" t="s">
        <v>3664</v>
      </c>
      <c r="E2353" s="332" t="s">
        <v>701</v>
      </c>
      <c r="F2353" s="336">
        <v>4638580</v>
      </c>
      <c r="G2353" s="330" t="s">
        <v>236</v>
      </c>
      <c r="H2353" s="329">
        <v>3955.0155954852335</v>
      </c>
      <c r="I2353" s="338"/>
      <c r="J2353" s="338"/>
      <c r="K2353" s="338">
        <v>3955.0155954852335</v>
      </c>
      <c r="L2353" s="338"/>
      <c r="M2353" s="350"/>
    </row>
    <row r="2354" spans="1:13" hidden="1" outlineLevel="2" x14ac:dyDescent="0.35">
      <c r="A2354" s="339" t="s">
        <v>164</v>
      </c>
      <c r="B2354" s="331">
        <v>44333</v>
      </c>
      <c r="C2354" s="332" t="s">
        <v>2499</v>
      </c>
      <c r="D2354" s="332" t="s">
        <v>3665</v>
      </c>
      <c r="E2354" s="332" t="s">
        <v>606</v>
      </c>
      <c r="F2354" s="336">
        <v>406120</v>
      </c>
      <c r="G2354" s="330" t="s">
        <v>236</v>
      </c>
      <c r="H2354" s="329">
        <v>346.27212070040031</v>
      </c>
      <c r="I2354" s="338"/>
      <c r="J2354" s="338"/>
      <c r="K2354" s="338">
        <v>346.27212070040031</v>
      </c>
      <c r="L2354" s="338"/>
      <c r="M2354" s="350"/>
    </row>
    <row r="2355" spans="1:13" hidden="1" outlineLevel="2" x14ac:dyDescent="0.35">
      <c r="A2355" s="339" t="s">
        <v>164</v>
      </c>
      <c r="B2355" s="331">
        <v>44333</v>
      </c>
      <c r="C2355" s="332" t="s">
        <v>3666</v>
      </c>
      <c r="D2355" s="332" t="s">
        <v>3667</v>
      </c>
      <c r="E2355" s="332" t="s">
        <v>285</v>
      </c>
      <c r="F2355" s="336">
        <v>70588</v>
      </c>
      <c r="G2355" s="330" t="s">
        <v>236</v>
      </c>
      <c r="H2355" s="329">
        <v>60.18579842411075</v>
      </c>
      <c r="I2355" s="338"/>
      <c r="J2355" s="338"/>
      <c r="K2355" s="338">
        <v>60.18579842411075</v>
      </c>
      <c r="L2355" s="338"/>
      <c r="M2355" s="350"/>
    </row>
    <row r="2356" spans="1:13" hidden="1" outlineLevel="2" x14ac:dyDescent="0.35">
      <c r="A2356" s="339" t="s">
        <v>164</v>
      </c>
      <c r="B2356" s="331">
        <v>44335</v>
      </c>
      <c r="C2356" s="332" t="s">
        <v>1621</v>
      </c>
      <c r="D2356" s="332" t="s">
        <v>3668</v>
      </c>
      <c r="E2356" s="332" t="s">
        <v>3669</v>
      </c>
      <c r="F2356" s="336">
        <v>393000</v>
      </c>
      <c r="G2356" s="330" t="s">
        <v>236</v>
      </c>
      <c r="H2356" s="329">
        <v>335.08554967806884</v>
      </c>
      <c r="I2356" s="338"/>
      <c r="J2356" s="338"/>
      <c r="K2356" s="338">
        <v>335.08554967806884</v>
      </c>
      <c r="L2356" s="338"/>
      <c r="M2356" s="350"/>
    </row>
    <row r="2357" spans="1:13" hidden="1" outlineLevel="2" x14ac:dyDescent="0.35">
      <c r="A2357" s="339" t="s">
        <v>164</v>
      </c>
      <c r="B2357" s="331">
        <v>44335</v>
      </c>
      <c r="C2357" s="332" t="s">
        <v>842</v>
      </c>
      <c r="D2357" s="332" t="s">
        <v>3668</v>
      </c>
      <c r="E2357" s="332" t="s">
        <v>3669</v>
      </c>
      <c r="F2357" s="336">
        <v>313000</v>
      </c>
      <c r="G2357" s="330" t="s">
        <v>236</v>
      </c>
      <c r="H2357" s="329">
        <v>266.87475076141362</v>
      </c>
      <c r="I2357" s="338"/>
      <c r="J2357" s="338"/>
      <c r="K2357" s="338">
        <v>266.87475076141362</v>
      </c>
      <c r="L2357" s="338"/>
      <c r="M2357" s="350"/>
    </row>
    <row r="2358" spans="1:13" hidden="1" outlineLevel="2" x14ac:dyDescent="0.35">
      <c r="A2358" s="339" t="s">
        <v>164</v>
      </c>
      <c r="B2358" s="331">
        <v>44336</v>
      </c>
      <c r="C2358" s="332" t="s">
        <v>844</v>
      </c>
      <c r="D2358" s="332" t="s">
        <v>3670</v>
      </c>
      <c r="E2358" s="332" t="s">
        <v>235</v>
      </c>
      <c r="F2358" s="336">
        <v>1104000</v>
      </c>
      <c r="G2358" s="330" t="s">
        <v>236</v>
      </c>
      <c r="H2358" s="329">
        <v>941.30902504984226</v>
      </c>
      <c r="I2358" s="338"/>
      <c r="J2358" s="338"/>
      <c r="K2358" s="338">
        <v>941.30902504984226</v>
      </c>
      <c r="L2358" s="338"/>
      <c r="M2358" s="350"/>
    </row>
    <row r="2359" spans="1:13" hidden="1" outlineLevel="2" x14ac:dyDescent="0.35">
      <c r="A2359" s="339" t="s">
        <v>164</v>
      </c>
      <c r="B2359" s="331">
        <v>44334</v>
      </c>
      <c r="C2359" s="332" t="s">
        <v>744</v>
      </c>
      <c r="D2359" s="332" t="s">
        <v>3668</v>
      </c>
      <c r="E2359" s="332" t="s">
        <v>3671</v>
      </c>
      <c r="F2359" s="336">
        <v>652000</v>
      </c>
      <c r="G2359" s="330" t="s">
        <v>236</v>
      </c>
      <c r="H2359" s="329">
        <v>555.91801117074021</v>
      </c>
      <c r="I2359" s="338"/>
      <c r="J2359" s="338"/>
      <c r="K2359" s="338">
        <v>555.91801117074021</v>
      </c>
      <c r="L2359" s="338"/>
      <c r="M2359" s="350"/>
    </row>
    <row r="2360" spans="1:13" hidden="1" outlineLevel="2" x14ac:dyDescent="0.35">
      <c r="A2360" s="339" t="s">
        <v>164</v>
      </c>
      <c r="B2360" s="331">
        <v>44336</v>
      </c>
      <c r="C2360" s="332" t="s">
        <v>2412</v>
      </c>
      <c r="D2360" s="332" t="s">
        <v>3672</v>
      </c>
      <c r="E2360" s="332" t="s">
        <v>235</v>
      </c>
      <c r="F2360" s="336">
        <v>60000</v>
      </c>
      <c r="G2360" s="330" t="s">
        <v>236</v>
      </c>
      <c r="H2360" s="329">
        <v>51.15809918749143</v>
      </c>
      <c r="I2360" s="338"/>
      <c r="J2360" s="338"/>
      <c r="K2360" s="338">
        <v>51.15809918749143</v>
      </c>
      <c r="L2360" s="338"/>
      <c r="M2360" s="350"/>
    </row>
    <row r="2361" spans="1:13" hidden="1" outlineLevel="2" x14ac:dyDescent="0.35">
      <c r="A2361" s="339" t="s">
        <v>164</v>
      </c>
      <c r="B2361" s="331">
        <v>44335</v>
      </c>
      <c r="C2361" s="332" t="s">
        <v>759</v>
      </c>
      <c r="D2361" s="332" t="s">
        <v>3673</v>
      </c>
      <c r="E2361" s="332" t="s">
        <v>3669</v>
      </c>
      <c r="F2361" s="336">
        <v>393000</v>
      </c>
      <c r="G2361" s="330" t="s">
        <v>236</v>
      </c>
      <c r="H2361" s="329">
        <v>335.08554967806884</v>
      </c>
      <c r="I2361" s="338"/>
      <c r="J2361" s="338"/>
      <c r="K2361" s="338">
        <v>335.08554967806884</v>
      </c>
      <c r="L2361" s="338"/>
      <c r="M2361" s="350"/>
    </row>
    <row r="2362" spans="1:13" hidden="1" outlineLevel="2" x14ac:dyDescent="0.35">
      <c r="A2362" s="339" t="s">
        <v>164</v>
      </c>
      <c r="B2362" s="331">
        <v>44335</v>
      </c>
      <c r="C2362" s="332" t="s">
        <v>846</v>
      </c>
      <c r="D2362" s="332" t="s">
        <v>3673</v>
      </c>
      <c r="E2362" s="332" t="s">
        <v>3669</v>
      </c>
      <c r="F2362" s="336">
        <v>393000</v>
      </c>
      <c r="G2362" s="330" t="s">
        <v>236</v>
      </c>
      <c r="H2362" s="329">
        <v>335.08554967806884</v>
      </c>
      <c r="I2362" s="338"/>
      <c r="J2362" s="338"/>
      <c r="K2362" s="338">
        <v>335.08554967806884</v>
      </c>
      <c r="L2362" s="338"/>
      <c r="M2362" s="350"/>
    </row>
    <row r="2363" spans="1:13" hidden="1" outlineLevel="2" x14ac:dyDescent="0.35">
      <c r="A2363" s="339" t="s">
        <v>164</v>
      </c>
      <c r="B2363" s="331">
        <v>44335</v>
      </c>
      <c r="C2363" s="332" t="s">
        <v>761</v>
      </c>
      <c r="D2363" s="332" t="s">
        <v>3673</v>
      </c>
      <c r="E2363" s="332" t="s">
        <v>3669</v>
      </c>
      <c r="F2363" s="336">
        <v>381000</v>
      </c>
      <c r="G2363" s="330" t="s">
        <v>236</v>
      </c>
      <c r="H2363" s="329">
        <v>324.85392984057057</v>
      </c>
      <c r="I2363" s="338"/>
      <c r="J2363" s="338"/>
      <c r="K2363" s="338">
        <v>324.85392984057057</v>
      </c>
      <c r="L2363" s="338"/>
      <c r="M2363" s="350"/>
    </row>
    <row r="2364" spans="1:13" hidden="1" outlineLevel="2" x14ac:dyDescent="0.35">
      <c r="A2364" s="339" t="s">
        <v>164</v>
      </c>
      <c r="B2364" s="331">
        <v>44335</v>
      </c>
      <c r="C2364" s="332" t="s">
        <v>764</v>
      </c>
      <c r="D2364" s="332" t="s">
        <v>3673</v>
      </c>
      <c r="E2364" s="332" t="s">
        <v>3669</v>
      </c>
      <c r="F2364" s="336">
        <v>393000</v>
      </c>
      <c r="G2364" s="330" t="s">
        <v>236</v>
      </c>
      <c r="H2364" s="329">
        <v>335.08554967806884</v>
      </c>
      <c r="I2364" s="338"/>
      <c r="J2364" s="338"/>
      <c r="K2364" s="338">
        <v>335.08554967806884</v>
      </c>
      <c r="L2364" s="338"/>
      <c r="M2364" s="350"/>
    </row>
    <row r="2365" spans="1:13" hidden="1" outlineLevel="2" x14ac:dyDescent="0.35">
      <c r="A2365" s="339" t="s">
        <v>164</v>
      </c>
      <c r="B2365" s="331">
        <v>44357</v>
      </c>
      <c r="C2365" s="332" t="s">
        <v>2468</v>
      </c>
      <c r="D2365" s="332" t="s">
        <v>3674</v>
      </c>
      <c r="E2365" s="332" t="s">
        <v>1695</v>
      </c>
      <c r="F2365" s="336">
        <v>65000</v>
      </c>
      <c r="G2365" s="330" t="s">
        <v>236</v>
      </c>
      <c r="H2365" s="329">
        <v>55.421274119782382</v>
      </c>
      <c r="I2365" s="338"/>
      <c r="J2365" s="338"/>
      <c r="K2365" s="338">
        <v>55.421274119782382</v>
      </c>
      <c r="L2365" s="338"/>
      <c r="M2365" s="350"/>
    </row>
    <row r="2366" spans="1:13" hidden="1" outlineLevel="2" x14ac:dyDescent="0.35">
      <c r="A2366" s="339" t="s">
        <v>164</v>
      </c>
      <c r="B2366" s="331">
        <v>44357</v>
      </c>
      <c r="C2366" s="332" t="s">
        <v>774</v>
      </c>
      <c r="D2366" s="332" t="s">
        <v>3675</v>
      </c>
      <c r="E2366" s="332" t="s">
        <v>2558</v>
      </c>
      <c r="F2366" s="336">
        <v>1124550</v>
      </c>
      <c r="G2366" s="330" t="s">
        <v>236</v>
      </c>
      <c r="H2366" s="329">
        <v>958.83067402155814</v>
      </c>
      <c r="I2366" s="338"/>
      <c r="J2366" s="338"/>
      <c r="K2366" s="338">
        <v>958.83067402155814</v>
      </c>
      <c r="L2366" s="338"/>
      <c r="M2366" s="350"/>
    </row>
    <row r="2367" spans="1:13" hidden="1" outlineLevel="2" x14ac:dyDescent="0.35">
      <c r="A2367" s="339" t="s">
        <v>164</v>
      </c>
      <c r="B2367" s="331">
        <v>44365</v>
      </c>
      <c r="C2367" s="332" t="s">
        <v>3676</v>
      </c>
      <c r="D2367" s="332" t="s">
        <v>3677</v>
      </c>
      <c r="E2367" s="332" t="s">
        <v>606</v>
      </c>
      <c r="F2367" s="336">
        <v>478695</v>
      </c>
      <c r="G2367" s="330" t="s">
        <v>236</v>
      </c>
      <c r="H2367" s="329">
        <v>408.15210484260348</v>
      </c>
      <c r="I2367" s="338"/>
      <c r="J2367" s="338"/>
      <c r="K2367" s="338">
        <v>408.15210484260348</v>
      </c>
      <c r="L2367" s="338"/>
      <c r="M2367" s="350"/>
    </row>
    <row r="2368" spans="1:13" hidden="1" outlineLevel="2" x14ac:dyDescent="0.35">
      <c r="A2368" s="339" t="s">
        <v>164</v>
      </c>
      <c r="B2368" s="331">
        <v>44365</v>
      </c>
      <c r="C2368" s="332" t="s">
        <v>3678</v>
      </c>
      <c r="D2368" s="332" t="s">
        <v>3679</v>
      </c>
      <c r="E2368" s="332" t="s">
        <v>285</v>
      </c>
      <c r="F2368" s="336">
        <v>6150</v>
      </c>
      <c r="G2368" s="330" t="s">
        <v>236</v>
      </c>
      <c r="H2368" s="329">
        <v>5.2437051667178718</v>
      </c>
      <c r="I2368" s="338"/>
      <c r="J2368" s="338"/>
      <c r="K2368" s="338">
        <v>5.2437051667178718</v>
      </c>
      <c r="L2368" s="338"/>
      <c r="M2368" s="350"/>
    </row>
    <row r="2369" spans="1:13" hidden="1" outlineLevel="2" x14ac:dyDescent="0.35">
      <c r="A2369" s="339" t="s">
        <v>164</v>
      </c>
      <c r="B2369" s="331">
        <v>44376</v>
      </c>
      <c r="C2369" s="332" t="s">
        <v>1130</v>
      </c>
      <c r="D2369" s="332" t="s">
        <v>3680</v>
      </c>
      <c r="E2369" s="332" t="s">
        <v>285</v>
      </c>
      <c r="F2369" s="336">
        <v>4050</v>
      </c>
      <c r="G2369" s="330" t="s">
        <v>236</v>
      </c>
      <c r="H2369" s="329">
        <v>3.4531716951556715</v>
      </c>
      <c r="I2369" s="338"/>
      <c r="J2369" s="338"/>
      <c r="K2369" s="338">
        <v>3.4531716951556715</v>
      </c>
      <c r="L2369" s="338"/>
      <c r="M2369" s="350"/>
    </row>
    <row r="2370" spans="1:13" hidden="1" outlineLevel="2" x14ac:dyDescent="0.35">
      <c r="A2370" s="339" t="s">
        <v>164</v>
      </c>
      <c r="B2370" s="331">
        <v>44376</v>
      </c>
      <c r="C2370" s="332" t="s">
        <v>3681</v>
      </c>
      <c r="D2370" s="332" t="s">
        <v>3682</v>
      </c>
      <c r="E2370" s="332" t="s">
        <v>606</v>
      </c>
      <c r="F2370" s="336">
        <v>803140</v>
      </c>
      <c r="G2370" s="330" t="s">
        <v>236</v>
      </c>
      <c r="H2370" s="329">
        <v>684.78526302403111</v>
      </c>
      <c r="I2370" s="338"/>
      <c r="J2370" s="338"/>
      <c r="K2370" s="338">
        <v>684.78526302403111</v>
      </c>
      <c r="L2370" s="338"/>
      <c r="M2370" s="350"/>
    </row>
    <row r="2371" spans="1:13" hidden="1" outlineLevel="2" x14ac:dyDescent="0.35">
      <c r="A2371" s="339" t="s">
        <v>164</v>
      </c>
      <c r="B2371" s="331">
        <v>44405</v>
      </c>
      <c r="C2371" s="332" t="s">
        <v>481</v>
      </c>
      <c r="D2371" s="332" t="s">
        <v>3683</v>
      </c>
      <c r="E2371" s="332" t="s">
        <v>3684</v>
      </c>
      <c r="F2371" s="336">
        <v>400000</v>
      </c>
      <c r="G2371" s="330" t="s">
        <v>236</v>
      </c>
      <c r="H2371" s="329">
        <v>341.05399458327622</v>
      </c>
      <c r="I2371" s="338"/>
      <c r="J2371" s="338"/>
      <c r="K2371" s="338">
        <v>341.05399458327622</v>
      </c>
      <c r="L2371" s="338"/>
      <c r="M2371" s="350"/>
    </row>
    <row r="2372" spans="1:13" hidden="1" outlineLevel="2" x14ac:dyDescent="0.35">
      <c r="A2372" s="339" t="s">
        <v>164</v>
      </c>
      <c r="B2372" s="331">
        <v>44405</v>
      </c>
      <c r="C2372" s="332" t="s">
        <v>652</v>
      </c>
      <c r="D2372" s="332" t="s">
        <v>3685</v>
      </c>
      <c r="E2372" s="332" t="s">
        <v>3684</v>
      </c>
      <c r="F2372" s="336">
        <v>70588</v>
      </c>
      <c r="G2372" s="330" t="s">
        <v>236</v>
      </c>
      <c r="H2372" s="329">
        <v>60.18579842411075</v>
      </c>
      <c r="I2372" s="338"/>
      <c r="J2372" s="338"/>
      <c r="K2372" s="338">
        <v>60.18579842411075</v>
      </c>
      <c r="L2372" s="338"/>
      <c r="M2372" s="350"/>
    </row>
    <row r="2373" spans="1:13" hidden="1" outlineLevel="2" x14ac:dyDescent="0.35">
      <c r="A2373" s="339" t="s">
        <v>164</v>
      </c>
      <c r="B2373" s="331">
        <v>44469</v>
      </c>
      <c r="C2373" s="332" t="s">
        <v>1800</v>
      </c>
      <c r="D2373" s="332" t="s">
        <v>3686</v>
      </c>
      <c r="E2373" s="332" t="s">
        <v>1214</v>
      </c>
      <c r="F2373" s="336">
        <v>3450000</v>
      </c>
      <c r="G2373" s="330" t="s">
        <v>236</v>
      </c>
      <c r="H2373" s="329">
        <v>2941.5907032807572</v>
      </c>
      <c r="I2373" s="338"/>
      <c r="J2373" s="338"/>
      <c r="K2373" s="338">
        <v>2941.5907032807572</v>
      </c>
      <c r="L2373" s="338"/>
      <c r="M2373" s="350"/>
    </row>
    <row r="2374" spans="1:13" hidden="1" outlineLevel="2" x14ac:dyDescent="0.35">
      <c r="A2374" s="339" t="s">
        <v>164</v>
      </c>
      <c r="B2374" s="331">
        <v>44484</v>
      </c>
      <c r="C2374" s="332" t="s">
        <v>2301</v>
      </c>
      <c r="D2374" s="332" t="s">
        <v>3687</v>
      </c>
      <c r="E2374" s="332" t="s">
        <v>3577</v>
      </c>
      <c r="F2374" s="336">
        <v>3450000</v>
      </c>
      <c r="G2374" s="330" t="s">
        <v>236</v>
      </c>
      <c r="H2374" s="329">
        <v>2941.5907032807572</v>
      </c>
      <c r="I2374" s="338"/>
      <c r="J2374" s="338"/>
      <c r="K2374" s="338">
        <v>2941.5907032807572</v>
      </c>
      <c r="L2374" s="338"/>
      <c r="M2374" s="350"/>
    </row>
    <row r="2375" spans="1:13" hidden="1" outlineLevel="2" x14ac:dyDescent="0.35">
      <c r="A2375" s="339" t="s">
        <v>164</v>
      </c>
      <c r="B2375" s="331">
        <v>44445</v>
      </c>
      <c r="C2375" s="332" t="s">
        <v>3688</v>
      </c>
      <c r="D2375" s="332" t="s">
        <v>3686</v>
      </c>
      <c r="E2375" s="332" t="s">
        <v>1209</v>
      </c>
      <c r="F2375" s="336">
        <v>3450000</v>
      </c>
      <c r="G2375" s="330" t="s">
        <v>236</v>
      </c>
      <c r="H2375" s="329">
        <v>2941.5907032807572</v>
      </c>
      <c r="I2375" s="338"/>
      <c r="J2375" s="338"/>
      <c r="K2375" s="338">
        <v>2941.5907032807572</v>
      </c>
      <c r="L2375" s="338"/>
      <c r="M2375" s="350"/>
    </row>
    <row r="2376" spans="1:13" hidden="1" outlineLevel="2" x14ac:dyDescent="0.35">
      <c r="A2376" s="339" t="s">
        <v>164</v>
      </c>
      <c r="B2376" s="331">
        <v>44425</v>
      </c>
      <c r="C2376" s="332" t="s">
        <v>2479</v>
      </c>
      <c r="D2376" s="332" t="s">
        <v>3689</v>
      </c>
      <c r="E2376" s="332" t="s">
        <v>2558</v>
      </c>
      <c r="F2376" s="336">
        <v>1425000</v>
      </c>
      <c r="G2376" s="330" t="s">
        <v>236</v>
      </c>
      <c r="H2376" s="329">
        <v>1215.0048557029215</v>
      </c>
      <c r="I2376" s="338"/>
      <c r="J2376" s="338"/>
      <c r="K2376" s="338">
        <v>1215.0048557029215</v>
      </c>
      <c r="L2376" s="338"/>
      <c r="M2376" s="350"/>
    </row>
    <row r="2377" spans="1:13" hidden="1" outlineLevel="2" x14ac:dyDescent="0.35">
      <c r="A2377" s="339" t="s">
        <v>164</v>
      </c>
      <c r="B2377" s="331">
        <v>44452</v>
      </c>
      <c r="C2377" s="332" t="s">
        <v>3690</v>
      </c>
      <c r="D2377" s="332" t="s">
        <v>3691</v>
      </c>
      <c r="E2377" s="332" t="s">
        <v>2558</v>
      </c>
      <c r="F2377" s="336">
        <v>7871250</v>
      </c>
      <c r="G2377" s="330" t="s">
        <v>236</v>
      </c>
      <c r="H2377" s="329">
        <v>6711.3031371590323</v>
      </c>
      <c r="I2377" s="338"/>
      <c r="J2377" s="338"/>
      <c r="K2377" s="338">
        <v>6711.3031371590323</v>
      </c>
      <c r="L2377" s="338"/>
      <c r="M2377" s="350"/>
    </row>
    <row r="2378" spans="1:13" hidden="1" outlineLevel="2" x14ac:dyDescent="0.35">
      <c r="A2378" s="339" t="s">
        <v>164</v>
      </c>
      <c r="B2378" s="331">
        <v>44440</v>
      </c>
      <c r="C2378" s="332" t="s">
        <v>3692</v>
      </c>
      <c r="D2378" s="332" t="s">
        <v>3693</v>
      </c>
      <c r="E2378" s="332" t="s">
        <v>2423</v>
      </c>
      <c r="F2378" s="336">
        <v>6750000</v>
      </c>
      <c r="G2378" s="330" t="s">
        <v>236</v>
      </c>
      <c r="H2378" s="329">
        <v>5755.2861585927858</v>
      </c>
      <c r="I2378" s="338"/>
      <c r="J2378" s="338"/>
      <c r="K2378" s="338">
        <v>5755.2861585927858</v>
      </c>
      <c r="L2378" s="338"/>
      <c r="M2378" s="350"/>
    </row>
    <row r="2379" spans="1:13" hidden="1" outlineLevel="2" x14ac:dyDescent="0.35">
      <c r="A2379" s="339" t="s">
        <v>164</v>
      </c>
      <c r="B2379" s="331">
        <v>44510</v>
      </c>
      <c r="C2379" s="332" t="s">
        <v>3694</v>
      </c>
      <c r="D2379" s="332" t="s">
        <v>3695</v>
      </c>
      <c r="E2379" s="332" t="s">
        <v>3577</v>
      </c>
      <c r="F2379" s="336">
        <v>4200000</v>
      </c>
      <c r="G2379" s="330" t="s">
        <v>236</v>
      </c>
      <c r="H2379" s="329">
        <v>3581.0669431244</v>
      </c>
      <c r="I2379" s="338"/>
      <c r="J2379" s="338"/>
      <c r="K2379" s="338">
        <v>3581.0669431244</v>
      </c>
      <c r="L2379" s="338"/>
      <c r="M2379" s="350"/>
    </row>
    <row r="2380" spans="1:13" hidden="1" outlineLevel="2" x14ac:dyDescent="0.35">
      <c r="A2380" s="339" t="s">
        <v>164</v>
      </c>
      <c r="B2380" s="331">
        <v>44510</v>
      </c>
      <c r="C2380" s="332" t="s">
        <v>448</v>
      </c>
      <c r="D2380" s="332" t="s">
        <v>3695</v>
      </c>
      <c r="E2380" s="332" t="s">
        <v>1214</v>
      </c>
      <c r="F2380" s="336">
        <v>4200000</v>
      </c>
      <c r="G2380" s="330" t="s">
        <v>236</v>
      </c>
      <c r="H2380" s="329">
        <v>3581.0669431244</v>
      </c>
      <c r="I2380" s="338"/>
      <c r="J2380" s="338"/>
      <c r="K2380" s="338">
        <v>3581.0669431244</v>
      </c>
      <c r="L2380" s="338"/>
      <c r="M2380" s="350"/>
    </row>
    <row r="2381" spans="1:13" hidden="1" outlineLevel="2" x14ac:dyDescent="0.35">
      <c r="A2381" s="339" t="s">
        <v>164</v>
      </c>
      <c r="B2381" s="331">
        <v>44510</v>
      </c>
      <c r="C2381" s="332" t="s">
        <v>3696</v>
      </c>
      <c r="D2381" s="332" t="s">
        <v>3695</v>
      </c>
      <c r="E2381" s="332" t="s">
        <v>362</v>
      </c>
      <c r="F2381" s="336">
        <v>4200000</v>
      </c>
      <c r="G2381" s="330" t="s">
        <v>236</v>
      </c>
      <c r="H2381" s="329">
        <v>3581.0669431244</v>
      </c>
      <c r="I2381" s="338"/>
      <c r="J2381" s="338"/>
      <c r="K2381" s="338">
        <v>3581.0669431244</v>
      </c>
      <c r="L2381" s="338"/>
      <c r="M2381" s="350"/>
    </row>
    <row r="2382" spans="1:13" hidden="1" outlineLevel="2" x14ac:dyDescent="0.35">
      <c r="A2382" s="339" t="s">
        <v>164</v>
      </c>
      <c r="B2382" s="331">
        <v>44343</v>
      </c>
      <c r="C2382" s="332" t="s">
        <v>3697</v>
      </c>
      <c r="D2382" s="332" t="s">
        <v>3698</v>
      </c>
      <c r="E2382" s="332" t="s">
        <v>369</v>
      </c>
      <c r="F2382" s="336">
        <v>199280</v>
      </c>
      <c r="G2382" s="330" t="s">
        <v>236</v>
      </c>
      <c r="H2382" s="329">
        <v>169.91310010138821</v>
      </c>
      <c r="I2382" s="338"/>
      <c r="J2382" s="338"/>
      <c r="K2382" s="338">
        <v>169.91310010138821</v>
      </c>
      <c r="L2382" s="338"/>
      <c r="M2382" s="350"/>
    </row>
    <row r="2383" spans="1:13" hidden="1" outlineLevel="2" x14ac:dyDescent="0.35">
      <c r="A2383" s="339" t="s">
        <v>164</v>
      </c>
      <c r="B2383" s="331">
        <v>44077</v>
      </c>
      <c r="C2383" s="332" t="s">
        <v>3699</v>
      </c>
      <c r="D2383" s="332" t="s">
        <v>3700</v>
      </c>
      <c r="E2383" s="332" t="s">
        <v>436</v>
      </c>
      <c r="F2383" s="336">
        <v>1430000</v>
      </c>
      <c r="G2383" s="330" t="s">
        <v>236</v>
      </c>
      <c r="H2383" s="329">
        <v>1328.5560989662586</v>
      </c>
      <c r="I2383" s="338"/>
      <c r="J2383" s="338"/>
      <c r="K2383" s="338">
        <v>1328.5560989662586</v>
      </c>
      <c r="L2383" s="338"/>
      <c r="M2383" s="350"/>
    </row>
    <row r="2384" spans="1:13" hidden="1" outlineLevel="2" x14ac:dyDescent="0.35">
      <c r="A2384" s="339" t="s">
        <v>164</v>
      </c>
      <c r="B2384" s="331">
        <v>44077</v>
      </c>
      <c r="C2384" s="332" t="s">
        <v>618</v>
      </c>
      <c r="D2384" s="332" t="s">
        <v>3701</v>
      </c>
      <c r="E2384" s="332" t="s">
        <v>436</v>
      </c>
      <c r="F2384" s="336">
        <v>1430000</v>
      </c>
      <c r="G2384" s="330" t="s">
        <v>236</v>
      </c>
      <c r="H2384" s="329">
        <v>1328.5560989662586</v>
      </c>
      <c r="I2384" s="338"/>
      <c r="J2384" s="338"/>
      <c r="K2384" s="338">
        <v>1328.5560989662586</v>
      </c>
      <c r="L2384" s="338"/>
      <c r="M2384" s="350"/>
    </row>
    <row r="2385" spans="1:13" hidden="1" outlineLevel="2" x14ac:dyDescent="0.35">
      <c r="A2385" s="339" t="s">
        <v>164</v>
      </c>
      <c r="B2385" s="331">
        <v>44077</v>
      </c>
      <c r="C2385" s="332" t="s">
        <v>1220</v>
      </c>
      <c r="D2385" s="332" t="s">
        <v>3702</v>
      </c>
      <c r="E2385" s="332" t="s">
        <v>436</v>
      </c>
      <c r="F2385" s="336">
        <v>1430000</v>
      </c>
      <c r="G2385" s="330" t="s">
        <v>236</v>
      </c>
      <c r="H2385" s="329">
        <v>1328.5560989662586</v>
      </c>
      <c r="I2385" s="338"/>
      <c r="J2385" s="338"/>
      <c r="K2385" s="338">
        <v>1328.5560989662586</v>
      </c>
      <c r="L2385" s="338"/>
      <c r="M2385" s="350"/>
    </row>
    <row r="2386" spans="1:13" outlineLevel="1" collapsed="1" x14ac:dyDescent="0.35">
      <c r="A2386" s="343" t="s">
        <v>3703</v>
      </c>
      <c r="B2386" s="331"/>
      <c r="C2386" s="332"/>
      <c r="D2386" s="332"/>
      <c r="E2386" s="332"/>
      <c r="F2386" s="336"/>
      <c r="G2386" s="330"/>
      <c r="H2386" s="329">
        <f t="shared" ref="H2386:M2386" si="121">SUBTOTAL(9,H2349:H2385)</f>
        <v>52095.228167364789</v>
      </c>
      <c r="I2386" s="338">
        <f t="shared" si="121"/>
        <v>0</v>
      </c>
      <c r="J2386" s="338">
        <f t="shared" si="121"/>
        <v>0</v>
      </c>
      <c r="K2386" s="338">
        <f t="shared" si="121"/>
        <v>52095.228167364789</v>
      </c>
      <c r="L2386" s="338">
        <f t="shared" si="121"/>
        <v>0</v>
      </c>
      <c r="M2386" s="350">
        <f t="shared" si="121"/>
        <v>0</v>
      </c>
    </row>
    <row r="2387" spans="1:13" hidden="1" outlineLevel="2" x14ac:dyDescent="0.35">
      <c r="A2387" s="339" t="s">
        <v>150</v>
      </c>
      <c r="B2387" s="331">
        <v>44306</v>
      </c>
      <c r="C2387" s="332" t="s">
        <v>1659</v>
      </c>
      <c r="D2387" s="332" t="s">
        <v>3704</v>
      </c>
      <c r="E2387" s="332" t="s">
        <v>606</v>
      </c>
      <c r="F2387" s="336">
        <v>1569600</v>
      </c>
      <c r="G2387" s="330" t="s">
        <v>236</v>
      </c>
      <c r="H2387" s="329">
        <v>1338.2958747447758</v>
      </c>
      <c r="I2387" s="338"/>
      <c r="J2387" s="338"/>
      <c r="K2387" s="338">
        <v>1338.2958747447758</v>
      </c>
      <c r="L2387" s="338"/>
      <c r="M2387" s="350"/>
    </row>
    <row r="2388" spans="1:13" hidden="1" outlineLevel="2" x14ac:dyDescent="0.35">
      <c r="A2388" s="339" t="s">
        <v>150</v>
      </c>
      <c r="B2388" s="331">
        <v>44308</v>
      </c>
      <c r="C2388" s="332" t="s">
        <v>2385</v>
      </c>
      <c r="D2388" s="332" t="s">
        <v>3705</v>
      </c>
      <c r="E2388" s="332" t="s">
        <v>606</v>
      </c>
      <c r="F2388" s="336">
        <v>1618800</v>
      </c>
      <c r="G2388" s="330" t="s">
        <v>236</v>
      </c>
      <c r="H2388" s="329">
        <v>1380.2455160785187</v>
      </c>
      <c r="I2388" s="338"/>
      <c r="J2388" s="338"/>
      <c r="K2388" s="338">
        <v>1380.2455160785187</v>
      </c>
      <c r="L2388" s="338"/>
      <c r="M2388" s="350"/>
    </row>
    <row r="2389" spans="1:13" hidden="1" outlineLevel="2" x14ac:dyDescent="0.35">
      <c r="A2389" s="339" t="s">
        <v>150</v>
      </c>
      <c r="B2389" s="331">
        <v>44308</v>
      </c>
      <c r="C2389" s="332" t="s">
        <v>3596</v>
      </c>
      <c r="D2389" s="332" t="s">
        <v>3706</v>
      </c>
      <c r="E2389" s="332" t="s">
        <v>606</v>
      </c>
      <c r="F2389" s="336">
        <v>1295040</v>
      </c>
      <c r="G2389" s="330" t="s">
        <v>236</v>
      </c>
      <c r="H2389" s="329">
        <v>1104.1964128628151</v>
      </c>
      <c r="I2389" s="338"/>
      <c r="J2389" s="338"/>
      <c r="K2389" s="338">
        <v>1104.1964128628151</v>
      </c>
      <c r="L2389" s="338"/>
      <c r="M2389" s="350"/>
    </row>
    <row r="2390" spans="1:13" hidden="1" outlineLevel="2" x14ac:dyDescent="0.35">
      <c r="A2390" s="339" t="s">
        <v>150</v>
      </c>
      <c r="B2390" s="331">
        <v>44308</v>
      </c>
      <c r="C2390" s="332" t="s">
        <v>3597</v>
      </c>
      <c r="D2390" s="332" t="s">
        <v>3706</v>
      </c>
      <c r="E2390" s="332" t="s">
        <v>606</v>
      </c>
      <c r="F2390" s="336">
        <v>1569600</v>
      </c>
      <c r="G2390" s="330" t="s">
        <v>236</v>
      </c>
      <c r="H2390" s="329">
        <v>1338.2958747447758</v>
      </c>
      <c r="I2390" s="338"/>
      <c r="J2390" s="338"/>
      <c r="K2390" s="338">
        <v>1338.2958747447758</v>
      </c>
      <c r="L2390" s="338"/>
      <c r="M2390" s="350"/>
    </row>
    <row r="2391" spans="1:13" hidden="1" outlineLevel="2" x14ac:dyDescent="0.35">
      <c r="A2391" s="339" t="s">
        <v>150</v>
      </c>
      <c r="B2391" s="331">
        <v>44313</v>
      </c>
      <c r="C2391" s="332" t="s">
        <v>3707</v>
      </c>
      <c r="D2391" s="332" t="s">
        <v>3708</v>
      </c>
      <c r="E2391" s="332" t="s">
        <v>606</v>
      </c>
      <c r="F2391" s="336">
        <v>340080</v>
      </c>
      <c r="G2391" s="330" t="s">
        <v>236</v>
      </c>
      <c r="H2391" s="329">
        <v>289.9641061947014</v>
      </c>
      <c r="I2391" s="338"/>
      <c r="J2391" s="338"/>
      <c r="K2391" s="338">
        <v>289.9641061947014</v>
      </c>
      <c r="L2391" s="338"/>
      <c r="M2391" s="350"/>
    </row>
    <row r="2392" spans="1:13" hidden="1" outlineLevel="2" x14ac:dyDescent="0.35">
      <c r="A2392" s="339" t="s">
        <v>150</v>
      </c>
      <c r="B2392" s="331">
        <v>44313</v>
      </c>
      <c r="C2392" s="332" t="s">
        <v>3662</v>
      </c>
      <c r="D2392" s="332" t="s">
        <v>3709</v>
      </c>
      <c r="E2392" s="332" t="s">
        <v>606</v>
      </c>
      <c r="F2392" s="336">
        <v>2210520</v>
      </c>
      <c r="G2392" s="330" t="s">
        <v>236</v>
      </c>
      <c r="H2392" s="329">
        <v>1884.7666902655592</v>
      </c>
      <c r="I2392" s="338"/>
      <c r="J2392" s="338"/>
      <c r="K2392" s="338">
        <v>1884.7666902655592</v>
      </c>
      <c r="L2392" s="338"/>
      <c r="M2392" s="350"/>
    </row>
    <row r="2393" spans="1:13" hidden="1" outlineLevel="2" x14ac:dyDescent="0.35">
      <c r="A2393" s="339" t="s">
        <v>150</v>
      </c>
      <c r="B2393" s="331">
        <v>44314</v>
      </c>
      <c r="C2393" s="332" t="s">
        <v>3710</v>
      </c>
      <c r="D2393" s="332" t="s">
        <v>3711</v>
      </c>
      <c r="E2393" s="332" t="s">
        <v>606</v>
      </c>
      <c r="F2393" s="336">
        <v>144600</v>
      </c>
      <c r="G2393" s="330" t="s">
        <v>236</v>
      </c>
      <c r="H2393" s="329">
        <v>123.29101904185434</v>
      </c>
      <c r="I2393" s="338"/>
      <c r="J2393" s="338"/>
      <c r="K2393" s="338">
        <v>123.29101904185434</v>
      </c>
      <c r="L2393" s="338"/>
      <c r="M2393" s="350"/>
    </row>
    <row r="2394" spans="1:13" hidden="1" outlineLevel="2" x14ac:dyDescent="0.35">
      <c r="A2394" s="339" t="s">
        <v>150</v>
      </c>
      <c r="B2394" s="331">
        <v>44314</v>
      </c>
      <c r="C2394" s="332" t="s">
        <v>3712</v>
      </c>
      <c r="D2394" s="332" t="s">
        <v>3713</v>
      </c>
      <c r="E2394" s="332" t="s">
        <v>606</v>
      </c>
      <c r="F2394" s="336">
        <v>241100</v>
      </c>
      <c r="G2394" s="330" t="s">
        <v>236</v>
      </c>
      <c r="H2394" s="329">
        <v>205.57029523506972</v>
      </c>
      <c r="I2394" s="338"/>
      <c r="J2394" s="338"/>
      <c r="K2394" s="338">
        <v>205.57029523506972</v>
      </c>
      <c r="L2394" s="338"/>
      <c r="M2394" s="350"/>
    </row>
    <row r="2395" spans="1:13" hidden="1" outlineLevel="2" x14ac:dyDescent="0.35">
      <c r="A2395" s="339" t="s">
        <v>150</v>
      </c>
      <c r="B2395" s="331">
        <v>44314</v>
      </c>
      <c r="C2395" s="332" t="s">
        <v>3714</v>
      </c>
      <c r="D2395" s="332" t="s">
        <v>3715</v>
      </c>
      <c r="E2395" s="332" t="s">
        <v>285</v>
      </c>
      <c r="F2395" s="336">
        <v>9000</v>
      </c>
      <c r="G2395" s="330" t="s">
        <v>236</v>
      </c>
      <c r="H2395" s="329">
        <v>7.6737148781237146</v>
      </c>
      <c r="I2395" s="338"/>
      <c r="J2395" s="338"/>
      <c r="K2395" s="338">
        <v>7.6737148781237146</v>
      </c>
      <c r="L2395" s="338"/>
      <c r="M2395" s="350"/>
    </row>
    <row r="2396" spans="1:13" hidden="1" outlineLevel="2" x14ac:dyDescent="0.35">
      <c r="A2396" s="339" t="s">
        <v>150</v>
      </c>
      <c r="B2396" s="331">
        <v>44314</v>
      </c>
      <c r="C2396" s="332" t="s">
        <v>3716</v>
      </c>
      <c r="D2396" s="332" t="s">
        <v>3717</v>
      </c>
      <c r="E2396" s="332" t="s">
        <v>606</v>
      </c>
      <c r="F2396" s="336">
        <v>289320</v>
      </c>
      <c r="G2396" s="330" t="s">
        <v>236</v>
      </c>
      <c r="H2396" s="329">
        <v>246.68435428208366</v>
      </c>
      <c r="I2396" s="338"/>
      <c r="J2396" s="338"/>
      <c r="K2396" s="338">
        <v>246.68435428208366</v>
      </c>
      <c r="L2396" s="338"/>
      <c r="M2396" s="350"/>
    </row>
    <row r="2397" spans="1:13" hidden="1" outlineLevel="2" x14ac:dyDescent="0.35">
      <c r="A2397" s="339" t="s">
        <v>150</v>
      </c>
      <c r="B2397" s="331">
        <v>44314</v>
      </c>
      <c r="C2397" s="332" t="s">
        <v>2492</v>
      </c>
      <c r="D2397" s="332" t="s">
        <v>3715</v>
      </c>
      <c r="E2397" s="332" t="s">
        <v>285</v>
      </c>
      <c r="F2397" s="336">
        <v>15000</v>
      </c>
      <c r="G2397" s="330" t="s">
        <v>236</v>
      </c>
      <c r="H2397" s="329">
        <v>12.789524796872858</v>
      </c>
      <c r="I2397" s="338"/>
      <c r="J2397" s="338"/>
      <c r="K2397" s="338">
        <v>12.789524796872858</v>
      </c>
      <c r="L2397" s="338"/>
      <c r="M2397" s="350"/>
    </row>
    <row r="2398" spans="1:13" hidden="1" outlineLevel="2" x14ac:dyDescent="0.35">
      <c r="A2398" s="339" t="s">
        <v>150</v>
      </c>
      <c r="B2398" s="331">
        <v>44314</v>
      </c>
      <c r="C2398" s="332" t="s">
        <v>2309</v>
      </c>
      <c r="D2398" s="332" t="s">
        <v>3715</v>
      </c>
      <c r="E2398" s="332" t="s">
        <v>285</v>
      </c>
      <c r="F2398" s="336">
        <v>18000</v>
      </c>
      <c r="G2398" s="330" t="s">
        <v>236</v>
      </c>
      <c r="H2398" s="329">
        <v>15.347429756247429</v>
      </c>
      <c r="I2398" s="338"/>
      <c r="J2398" s="338"/>
      <c r="K2398" s="338">
        <v>15.347429756247429</v>
      </c>
      <c r="L2398" s="338"/>
      <c r="M2398" s="350"/>
    </row>
    <row r="2399" spans="1:13" hidden="1" outlineLevel="2" x14ac:dyDescent="0.35">
      <c r="A2399" s="339" t="s">
        <v>150</v>
      </c>
      <c r="B2399" s="331">
        <v>44320</v>
      </c>
      <c r="C2399" s="332" t="s">
        <v>735</v>
      </c>
      <c r="D2399" s="332" t="s">
        <v>3718</v>
      </c>
      <c r="E2399" s="332" t="s">
        <v>606</v>
      </c>
      <c r="F2399" s="336">
        <v>124135</v>
      </c>
      <c r="G2399" s="330" t="s">
        <v>236</v>
      </c>
      <c r="H2399" s="329">
        <v>105.84184404398748</v>
      </c>
      <c r="I2399" s="338"/>
      <c r="J2399" s="338"/>
      <c r="K2399" s="338">
        <v>105.84184404398748</v>
      </c>
      <c r="L2399" s="338"/>
      <c r="M2399" s="350"/>
    </row>
    <row r="2400" spans="1:13" hidden="1" outlineLevel="2" x14ac:dyDescent="0.35">
      <c r="A2400" s="339" t="s">
        <v>150</v>
      </c>
      <c r="B2400" s="331">
        <v>44323</v>
      </c>
      <c r="C2400" s="332" t="s">
        <v>696</v>
      </c>
      <c r="D2400" s="332" t="s">
        <v>3719</v>
      </c>
      <c r="E2400" s="332" t="s">
        <v>606</v>
      </c>
      <c r="F2400" s="336">
        <v>289320</v>
      </c>
      <c r="G2400" s="330" t="s">
        <v>236</v>
      </c>
      <c r="H2400" s="329">
        <v>246.68435428208366</v>
      </c>
      <c r="I2400" s="338"/>
      <c r="J2400" s="338"/>
      <c r="K2400" s="338">
        <v>246.68435428208366</v>
      </c>
      <c r="L2400" s="338"/>
      <c r="M2400" s="350"/>
    </row>
    <row r="2401" spans="1:13" hidden="1" outlineLevel="2" x14ac:dyDescent="0.35">
      <c r="A2401" s="339" t="s">
        <v>150</v>
      </c>
      <c r="B2401" s="331">
        <v>44323</v>
      </c>
      <c r="C2401" s="332" t="s">
        <v>3720</v>
      </c>
      <c r="D2401" s="332" t="s">
        <v>3721</v>
      </c>
      <c r="E2401" s="332" t="s">
        <v>285</v>
      </c>
      <c r="F2401" s="336">
        <v>18000</v>
      </c>
      <c r="G2401" s="330" t="s">
        <v>236</v>
      </c>
      <c r="H2401" s="329">
        <v>15.347429756247429</v>
      </c>
      <c r="I2401" s="338"/>
      <c r="J2401" s="338"/>
      <c r="K2401" s="338">
        <v>15.347429756247429</v>
      </c>
      <c r="L2401" s="338"/>
      <c r="M2401" s="350"/>
    </row>
    <row r="2402" spans="1:13" hidden="1" outlineLevel="2" x14ac:dyDescent="0.35">
      <c r="A2402" s="339" t="s">
        <v>150</v>
      </c>
      <c r="B2402" s="331">
        <v>44322</v>
      </c>
      <c r="C2402" s="332" t="s">
        <v>2262</v>
      </c>
      <c r="D2402" s="332" t="s">
        <v>3722</v>
      </c>
      <c r="E2402" s="332" t="s">
        <v>701</v>
      </c>
      <c r="F2402" s="336">
        <v>4138968</v>
      </c>
      <c r="G2402" s="330" t="s">
        <v>236</v>
      </c>
      <c r="H2402" s="329">
        <v>3529.0289246308839</v>
      </c>
      <c r="I2402" s="338"/>
      <c r="J2402" s="338"/>
      <c r="K2402" s="338">
        <v>3529.0289246308839</v>
      </c>
      <c r="L2402" s="338"/>
      <c r="M2402" s="350"/>
    </row>
    <row r="2403" spans="1:13" hidden="1" outlineLevel="2" x14ac:dyDescent="0.35">
      <c r="A2403" s="339" t="s">
        <v>150</v>
      </c>
      <c r="B2403" s="331">
        <v>44312</v>
      </c>
      <c r="C2403" s="332" t="s">
        <v>3723</v>
      </c>
      <c r="D2403" s="332" t="s">
        <v>3724</v>
      </c>
      <c r="E2403" s="332" t="s">
        <v>701</v>
      </c>
      <c r="F2403" s="336">
        <v>4138968</v>
      </c>
      <c r="G2403" s="330" t="s">
        <v>236</v>
      </c>
      <c r="H2403" s="329">
        <v>3529.0289246308839</v>
      </c>
      <c r="I2403" s="338"/>
      <c r="J2403" s="338"/>
      <c r="K2403" s="338">
        <v>3529.0289246308839</v>
      </c>
      <c r="L2403" s="338"/>
      <c r="M2403" s="350"/>
    </row>
    <row r="2404" spans="1:13" hidden="1" outlineLevel="2" x14ac:dyDescent="0.35">
      <c r="A2404" s="339" t="s">
        <v>150</v>
      </c>
      <c r="B2404" s="331">
        <v>44327</v>
      </c>
      <c r="C2404" s="332" t="s">
        <v>3725</v>
      </c>
      <c r="D2404" s="332" t="s">
        <v>3726</v>
      </c>
      <c r="E2404" s="332" t="s">
        <v>606</v>
      </c>
      <c r="F2404" s="336">
        <v>337540</v>
      </c>
      <c r="G2404" s="330" t="s">
        <v>236</v>
      </c>
      <c r="H2404" s="329">
        <v>287.79841332909763</v>
      </c>
      <c r="I2404" s="338"/>
      <c r="J2404" s="338"/>
      <c r="K2404" s="338">
        <v>287.79841332909763</v>
      </c>
      <c r="L2404" s="338"/>
      <c r="M2404" s="350"/>
    </row>
    <row r="2405" spans="1:13" hidden="1" outlineLevel="2" x14ac:dyDescent="0.35">
      <c r="A2405" s="339" t="s">
        <v>150</v>
      </c>
      <c r="B2405" s="331">
        <v>44327</v>
      </c>
      <c r="C2405" s="332" t="s">
        <v>3727</v>
      </c>
      <c r="D2405" s="332" t="s">
        <v>3728</v>
      </c>
      <c r="E2405" s="332" t="s">
        <v>285</v>
      </c>
      <c r="F2405" s="336">
        <v>21000</v>
      </c>
      <c r="G2405" s="330" t="s">
        <v>236</v>
      </c>
      <c r="H2405" s="329">
        <v>17.905334715622001</v>
      </c>
      <c r="I2405" s="338"/>
      <c r="J2405" s="338"/>
      <c r="K2405" s="338">
        <v>17.905334715622001</v>
      </c>
      <c r="L2405" s="338"/>
      <c r="M2405" s="350"/>
    </row>
    <row r="2406" spans="1:13" hidden="1" outlineLevel="2" x14ac:dyDescent="0.35">
      <c r="A2406" s="339" t="s">
        <v>150</v>
      </c>
      <c r="B2406" s="331">
        <v>44312</v>
      </c>
      <c r="C2406" s="332" t="s">
        <v>3729</v>
      </c>
      <c r="D2406" s="332" t="s">
        <v>3730</v>
      </c>
      <c r="E2406" s="332" t="s">
        <v>701</v>
      </c>
      <c r="F2406" s="336">
        <v>4138968</v>
      </c>
      <c r="G2406" s="330" t="s">
        <v>236</v>
      </c>
      <c r="H2406" s="329">
        <v>3529.0289246308839</v>
      </c>
      <c r="I2406" s="338"/>
      <c r="J2406" s="338"/>
      <c r="K2406" s="338">
        <v>3529.0289246308839</v>
      </c>
      <c r="L2406" s="338"/>
      <c r="M2406" s="350"/>
    </row>
    <row r="2407" spans="1:13" hidden="1" outlineLevel="2" x14ac:dyDescent="0.35">
      <c r="A2407" s="339" t="s">
        <v>150</v>
      </c>
      <c r="B2407" s="331">
        <v>44312</v>
      </c>
      <c r="C2407" s="332" t="s">
        <v>1755</v>
      </c>
      <c r="D2407" s="332" t="s">
        <v>3731</v>
      </c>
      <c r="E2407" s="332" t="s">
        <v>701</v>
      </c>
      <c r="F2407" s="336">
        <v>4138968</v>
      </c>
      <c r="G2407" s="330" t="s">
        <v>236</v>
      </c>
      <c r="H2407" s="329">
        <v>3529.0289246308839</v>
      </c>
      <c r="I2407" s="338"/>
      <c r="J2407" s="338"/>
      <c r="K2407" s="338">
        <v>3529.0289246308839</v>
      </c>
      <c r="L2407" s="338"/>
      <c r="M2407" s="350"/>
    </row>
    <row r="2408" spans="1:13" hidden="1" outlineLevel="2" x14ac:dyDescent="0.35">
      <c r="A2408" s="339" t="s">
        <v>150</v>
      </c>
      <c r="B2408" s="331">
        <v>44322</v>
      </c>
      <c r="C2408" s="332" t="s">
        <v>737</v>
      </c>
      <c r="D2408" s="332" t="s">
        <v>3732</v>
      </c>
      <c r="E2408" s="332" t="s">
        <v>701</v>
      </c>
      <c r="F2408" s="336">
        <v>5399208</v>
      </c>
      <c r="G2408" s="330" t="s">
        <v>236</v>
      </c>
      <c r="H2408" s="329">
        <v>4603.5536399649536</v>
      </c>
      <c r="I2408" s="338"/>
      <c r="J2408" s="338"/>
      <c r="K2408" s="338">
        <v>4603.5536399649536</v>
      </c>
      <c r="L2408" s="338"/>
      <c r="M2408" s="350"/>
    </row>
    <row r="2409" spans="1:13" hidden="1" outlineLevel="2" x14ac:dyDescent="0.35">
      <c r="A2409" s="339" t="s">
        <v>150</v>
      </c>
      <c r="B2409" s="331">
        <v>44330</v>
      </c>
      <c r="C2409" s="332" t="s">
        <v>3733</v>
      </c>
      <c r="D2409" s="332" t="s">
        <v>3734</v>
      </c>
      <c r="E2409" s="332" t="s">
        <v>606</v>
      </c>
      <c r="F2409" s="336">
        <v>170160</v>
      </c>
      <c r="G2409" s="330" t="s">
        <v>236</v>
      </c>
      <c r="H2409" s="329">
        <v>145.08436929572571</v>
      </c>
      <c r="I2409" s="338"/>
      <c r="J2409" s="338"/>
      <c r="K2409" s="338">
        <v>145.08436929572571</v>
      </c>
      <c r="L2409" s="338"/>
      <c r="M2409" s="350"/>
    </row>
    <row r="2410" spans="1:13" hidden="1" outlineLevel="2" x14ac:dyDescent="0.35">
      <c r="A2410" s="339" t="s">
        <v>150</v>
      </c>
      <c r="B2410" s="331">
        <v>44330</v>
      </c>
      <c r="C2410" s="332" t="s">
        <v>674</v>
      </c>
      <c r="D2410" s="332" t="s">
        <v>3735</v>
      </c>
      <c r="E2410" s="332" t="s">
        <v>285</v>
      </c>
      <c r="F2410" s="336">
        <v>13500</v>
      </c>
      <c r="G2410" s="330" t="s">
        <v>236</v>
      </c>
      <c r="H2410" s="329">
        <v>11.510572317185572</v>
      </c>
      <c r="I2410" s="338"/>
      <c r="J2410" s="338"/>
      <c r="K2410" s="338">
        <v>11.510572317185572</v>
      </c>
      <c r="L2410" s="338"/>
      <c r="M2410" s="350"/>
    </row>
    <row r="2411" spans="1:13" hidden="1" outlineLevel="2" x14ac:dyDescent="0.35">
      <c r="A2411" s="339" t="s">
        <v>150</v>
      </c>
      <c r="B2411" s="331">
        <v>44322</v>
      </c>
      <c r="C2411" s="332" t="s">
        <v>1533</v>
      </c>
      <c r="D2411" s="332" t="s">
        <v>3736</v>
      </c>
      <c r="E2411" s="332" t="s">
        <v>701</v>
      </c>
      <c r="F2411" s="336">
        <v>447000</v>
      </c>
      <c r="G2411" s="330" t="s">
        <v>236</v>
      </c>
      <c r="H2411" s="329">
        <v>381.12783894681115</v>
      </c>
      <c r="I2411" s="338"/>
      <c r="J2411" s="338"/>
      <c r="K2411" s="338">
        <v>381.12783894681115</v>
      </c>
      <c r="L2411" s="338"/>
      <c r="M2411" s="350"/>
    </row>
    <row r="2412" spans="1:13" hidden="1" outlineLevel="2" x14ac:dyDescent="0.35">
      <c r="A2412" s="339" t="s">
        <v>150</v>
      </c>
      <c r="B2412" s="331">
        <v>44342</v>
      </c>
      <c r="C2412" s="332" t="s">
        <v>3654</v>
      </c>
      <c r="D2412" s="332" t="s">
        <v>3737</v>
      </c>
      <c r="E2412" s="332" t="s">
        <v>701</v>
      </c>
      <c r="F2412" s="336">
        <v>279896</v>
      </c>
      <c r="G2412" s="330" t="s">
        <v>236</v>
      </c>
      <c r="H2412" s="329">
        <v>238.64912216970168</v>
      </c>
      <c r="I2412" s="338"/>
      <c r="J2412" s="338"/>
      <c r="K2412" s="338">
        <v>238.64912216970168</v>
      </c>
      <c r="L2412" s="338"/>
      <c r="M2412" s="350"/>
    </row>
    <row r="2413" spans="1:13" outlineLevel="1" collapsed="1" x14ac:dyDescent="0.35">
      <c r="A2413" s="343" t="s">
        <v>3738</v>
      </c>
      <c r="B2413" s="331"/>
      <c r="C2413" s="332"/>
      <c r="D2413" s="332"/>
      <c r="E2413" s="332"/>
      <c r="F2413" s="336"/>
      <c r="G2413" s="330"/>
      <c r="H2413" s="329">
        <f t="shared" ref="H2413:M2413" si="122">SUBTOTAL(9,H2387:H2412)</f>
        <v>28116.739430226349</v>
      </c>
      <c r="I2413" s="338">
        <f t="shared" si="122"/>
        <v>0</v>
      </c>
      <c r="J2413" s="338">
        <f t="shared" si="122"/>
        <v>0</v>
      </c>
      <c r="K2413" s="338">
        <f t="shared" si="122"/>
        <v>28116.739430226349</v>
      </c>
      <c r="L2413" s="338">
        <f t="shared" si="122"/>
        <v>0</v>
      </c>
      <c r="M2413" s="350">
        <f t="shared" si="122"/>
        <v>0</v>
      </c>
    </row>
    <row r="2414" spans="1:13" hidden="1" outlineLevel="2" x14ac:dyDescent="0.35">
      <c r="A2414" s="339" t="s">
        <v>123</v>
      </c>
      <c r="B2414" s="331">
        <v>43781</v>
      </c>
      <c r="C2414" s="332" t="s">
        <v>2374</v>
      </c>
      <c r="D2414" s="332" t="s">
        <v>3739</v>
      </c>
      <c r="E2414" s="332" t="s">
        <v>2384</v>
      </c>
      <c r="F2414" s="336">
        <v>330000</v>
      </c>
      <c r="G2414" s="330" t="s">
        <v>236</v>
      </c>
      <c r="H2414" s="329">
        <v>324.90065339397228</v>
      </c>
      <c r="I2414" s="338">
        <v>324.90065339397228</v>
      </c>
      <c r="J2414" s="338"/>
      <c r="K2414" s="338"/>
      <c r="L2414" s="338"/>
      <c r="M2414" s="350"/>
    </row>
    <row r="2415" spans="1:13" hidden="1" outlineLevel="2" x14ac:dyDescent="0.35">
      <c r="A2415" s="339" t="s">
        <v>123</v>
      </c>
      <c r="B2415" s="331">
        <v>43781</v>
      </c>
      <c r="C2415" s="332" t="s">
        <v>1910</v>
      </c>
      <c r="D2415" s="332" t="s">
        <v>3739</v>
      </c>
      <c r="E2415" s="332" t="s">
        <v>2387</v>
      </c>
      <c r="F2415" s="336">
        <v>330000</v>
      </c>
      <c r="G2415" s="330" t="s">
        <v>236</v>
      </c>
      <c r="H2415" s="329">
        <v>324.90065339397228</v>
      </c>
      <c r="I2415" s="338">
        <v>324.90065339397228</v>
      </c>
      <c r="J2415" s="338"/>
      <c r="K2415" s="338"/>
      <c r="L2415" s="338"/>
      <c r="M2415" s="350"/>
    </row>
    <row r="2416" spans="1:13" hidden="1" outlineLevel="2" x14ac:dyDescent="0.35">
      <c r="A2416" s="339" t="s">
        <v>123</v>
      </c>
      <c r="B2416" s="331">
        <v>43781</v>
      </c>
      <c r="C2416" s="332" t="s">
        <v>411</v>
      </c>
      <c r="D2416" s="332" t="s">
        <v>3739</v>
      </c>
      <c r="E2416" s="332" t="s">
        <v>2382</v>
      </c>
      <c r="F2416" s="336">
        <v>330000</v>
      </c>
      <c r="G2416" s="330" t="s">
        <v>236</v>
      </c>
      <c r="H2416" s="329">
        <v>324.90065339397228</v>
      </c>
      <c r="I2416" s="338">
        <v>324.90065339397228</v>
      </c>
      <c r="J2416" s="338"/>
      <c r="K2416" s="338"/>
      <c r="L2416" s="338"/>
      <c r="M2416" s="350"/>
    </row>
    <row r="2417" spans="1:13" hidden="1" outlineLevel="2" x14ac:dyDescent="0.35">
      <c r="A2417" s="339" t="s">
        <v>123</v>
      </c>
      <c r="B2417" s="331">
        <v>44077</v>
      </c>
      <c r="C2417" s="332" t="s">
        <v>3740</v>
      </c>
      <c r="D2417" s="332" t="s">
        <v>3741</v>
      </c>
      <c r="E2417" s="332" t="s">
        <v>436</v>
      </c>
      <c r="F2417" s="336">
        <v>360000</v>
      </c>
      <c r="G2417" s="330" t="s">
        <v>236</v>
      </c>
      <c r="H2417" s="329">
        <v>334.46167526423289</v>
      </c>
      <c r="I2417" s="338">
        <v>334.46167526423289</v>
      </c>
      <c r="J2417" s="338"/>
      <c r="K2417" s="338"/>
      <c r="L2417" s="338"/>
      <c r="M2417" s="350"/>
    </row>
    <row r="2418" spans="1:13" hidden="1" outlineLevel="2" x14ac:dyDescent="0.35">
      <c r="A2418" s="339" t="s">
        <v>123</v>
      </c>
      <c r="B2418" s="331">
        <v>44077</v>
      </c>
      <c r="C2418" s="332" t="s">
        <v>3740</v>
      </c>
      <c r="D2418" s="332" t="s">
        <v>3741</v>
      </c>
      <c r="E2418" s="332" t="s">
        <v>436</v>
      </c>
      <c r="F2418" s="336">
        <v>357900</v>
      </c>
      <c r="G2418" s="330" t="s">
        <v>236</v>
      </c>
      <c r="H2418" s="329">
        <v>332.51064882519154</v>
      </c>
      <c r="I2418" s="338">
        <v>332.51064882519154</v>
      </c>
      <c r="J2418" s="338"/>
      <c r="K2418" s="338"/>
      <c r="L2418" s="338"/>
      <c r="M2418" s="350"/>
    </row>
    <row r="2419" spans="1:13" hidden="1" outlineLevel="2" x14ac:dyDescent="0.35">
      <c r="A2419" s="339" t="s">
        <v>123</v>
      </c>
      <c r="B2419" s="331">
        <v>44077</v>
      </c>
      <c r="C2419" s="332" t="s">
        <v>3740</v>
      </c>
      <c r="D2419" s="332" t="s">
        <v>3741</v>
      </c>
      <c r="E2419" s="332" t="s">
        <v>436</v>
      </c>
      <c r="F2419" s="336">
        <v>357300</v>
      </c>
      <c r="G2419" s="330" t="s">
        <v>236</v>
      </c>
      <c r="H2419" s="329">
        <v>331.95321269975113</v>
      </c>
      <c r="I2419" s="338">
        <v>331.95321269975113</v>
      </c>
      <c r="J2419" s="338"/>
      <c r="K2419" s="338"/>
      <c r="L2419" s="338"/>
      <c r="M2419" s="350"/>
    </row>
    <row r="2420" spans="1:13" outlineLevel="1" collapsed="1" x14ac:dyDescent="0.35">
      <c r="A2420" s="343" t="s">
        <v>3742</v>
      </c>
      <c r="B2420" s="331"/>
      <c r="C2420" s="332"/>
      <c r="D2420" s="332"/>
      <c r="E2420" s="332"/>
      <c r="F2420" s="336"/>
      <c r="G2420" s="330"/>
      <c r="H2420" s="329">
        <f t="shared" ref="H2420:M2420" si="123">SUBTOTAL(9,H2414:H2419)</f>
        <v>1973.6274969710926</v>
      </c>
      <c r="I2420" s="338">
        <f t="shared" si="123"/>
        <v>1973.6274969710926</v>
      </c>
      <c r="J2420" s="338">
        <f t="shared" si="123"/>
        <v>0</v>
      </c>
      <c r="K2420" s="338">
        <f t="shared" si="123"/>
        <v>0</v>
      </c>
      <c r="L2420" s="338">
        <f t="shared" si="123"/>
        <v>0</v>
      </c>
      <c r="M2420" s="350">
        <f t="shared" si="123"/>
        <v>0</v>
      </c>
    </row>
    <row r="2421" spans="1:13" hidden="1" outlineLevel="2" x14ac:dyDescent="0.35">
      <c r="A2421" s="339" t="s">
        <v>141</v>
      </c>
      <c r="B2421" s="331">
        <v>44067</v>
      </c>
      <c r="C2421" s="332" t="s">
        <v>1202</v>
      </c>
      <c r="D2421" s="332" t="s">
        <v>2303</v>
      </c>
      <c r="E2421" s="332" t="s">
        <v>701</v>
      </c>
      <c r="F2421" s="336">
        <v>76110</v>
      </c>
      <c r="G2421" s="330" t="s">
        <v>236</v>
      </c>
      <c r="H2421" s="329">
        <v>70.710772512113238</v>
      </c>
      <c r="I2421" s="338"/>
      <c r="J2421" s="338">
        <v>70.710772512113238</v>
      </c>
      <c r="K2421" s="338"/>
      <c r="L2421" s="338"/>
      <c r="M2421" s="350"/>
    </row>
    <row r="2422" spans="1:13" hidden="1" outlineLevel="2" x14ac:dyDescent="0.35">
      <c r="A2422" s="339" t="s">
        <v>141</v>
      </c>
      <c r="B2422" s="331">
        <v>44067</v>
      </c>
      <c r="C2422" s="332" t="s">
        <v>1200</v>
      </c>
      <c r="D2422" s="332" t="s">
        <v>3743</v>
      </c>
      <c r="E2422" s="332" t="s">
        <v>701</v>
      </c>
      <c r="F2422" s="336">
        <v>1442704</v>
      </c>
      <c r="G2422" s="330" t="s">
        <v>236</v>
      </c>
      <c r="H2422" s="329">
        <v>1340.3588798622495</v>
      </c>
      <c r="I2422" s="338"/>
      <c r="J2422" s="338">
        <v>1340.3588798622495</v>
      </c>
      <c r="K2422" s="338"/>
      <c r="L2422" s="338"/>
      <c r="M2422" s="350"/>
    </row>
    <row r="2423" spans="1:13" hidden="1" outlineLevel="2" x14ac:dyDescent="0.35">
      <c r="A2423" s="339" t="s">
        <v>141</v>
      </c>
      <c r="B2423" s="331">
        <v>44049</v>
      </c>
      <c r="C2423" s="332" t="s">
        <v>3637</v>
      </c>
      <c r="D2423" s="332" t="s">
        <v>3744</v>
      </c>
      <c r="E2423" s="332" t="s">
        <v>436</v>
      </c>
      <c r="F2423" s="336">
        <v>27000</v>
      </c>
      <c r="G2423" s="330" t="s">
        <v>236</v>
      </c>
      <c r="H2423" s="329">
        <v>25.084625644817468</v>
      </c>
      <c r="I2423" s="338"/>
      <c r="J2423" s="338">
        <v>25.084625644817468</v>
      </c>
      <c r="K2423" s="338"/>
      <c r="L2423" s="338"/>
      <c r="M2423" s="350"/>
    </row>
    <row r="2424" spans="1:13" hidden="1" outlineLevel="2" x14ac:dyDescent="0.35">
      <c r="A2424" s="339" t="s">
        <v>141</v>
      </c>
      <c r="B2424" s="331">
        <v>44049</v>
      </c>
      <c r="C2424" s="332" t="s">
        <v>3566</v>
      </c>
      <c r="D2424" s="332" t="s">
        <v>3745</v>
      </c>
      <c r="E2424" s="332" t="s">
        <v>436</v>
      </c>
      <c r="F2424" s="336">
        <v>195500</v>
      </c>
      <c r="G2424" s="330" t="s">
        <v>236</v>
      </c>
      <c r="H2424" s="329">
        <v>181.6312708726598</v>
      </c>
      <c r="I2424" s="338"/>
      <c r="J2424" s="338">
        <v>181.6312708726598</v>
      </c>
      <c r="K2424" s="338"/>
      <c r="L2424" s="338"/>
      <c r="M2424" s="350"/>
    </row>
    <row r="2425" spans="1:13" hidden="1" outlineLevel="2" x14ac:dyDescent="0.35">
      <c r="A2425" s="339" t="s">
        <v>141</v>
      </c>
      <c r="B2425" s="331">
        <v>44049</v>
      </c>
      <c r="C2425" s="332" t="s">
        <v>3746</v>
      </c>
      <c r="D2425" s="332" t="s">
        <v>3747</v>
      </c>
      <c r="E2425" s="332" t="s">
        <v>436</v>
      </c>
      <c r="F2425" s="336">
        <v>233000</v>
      </c>
      <c r="G2425" s="330" t="s">
        <v>236</v>
      </c>
      <c r="H2425" s="329">
        <v>216.47102871268407</v>
      </c>
      <c r="I2425" s="338"/>
      <c r="J2425" s="338">
        <v>216.47102871268407</v>
      </c>
      <c r="K2425" s="338"/>
      <c r="L2425" s="338"/>
      <c r="M2425" s="350"/>
    </row>
    <row r="2426" spans="1:13" outlineLevel="1" collapsed="1" x14ac:dyDescent="0.35">
      <c r="A2426" s="343" t="s">
        <v>3748</v>
      </c>
      <c r="B2426" s="331"/>
      <c r="C2426" s="332"/>
      <c r="D2426" s="332"/>
      <c r="E2426" s="332"/>
      <c r="F2426" s="336"/>
      <c r="G2426" s="330"/>
      <c r="H2426" s="329">
        <f t="shared" ref="H2426:M2426" si="124">SUBTOTAL(9,H2421:H2425)</f>
        <v>1834.256577604524</v>
      </c>
      <c r="I2426" s="338">
        <f t="shared" si="124"/>
        <v>0</v>
      </c>
      <c r="J2426" s="338">
        <f t="shared" si="124"/>
        <v>1834.256577604524</v>
      </c>
      <c r="K2426" s="338">
        <f t="shared" si="124"/>
        <v>0</v>
      </c>
      <c r="L2426" s="338">
        <f t="shared" si="124"/>
        <v>0</v>
      </c>
      <c r="M2426" s="350">
        <f t="shared" si="124"/>
        <v>0</v>
      </c>
    </row>
    <row r="2427" spans="1:13" hidden="1" outlineLevel="2" x14ac:dyDescent="0.35">
      <c r="A2427" s="339" t="s">
        <v>109</v>
      </c>
      <c r="B2427" s="331">
        <v>44463</v>
      </c>
      <c r="C2427" s="332" t="s">
        <v>3749</v>
      </c>
      <c r="D2427" s="332" t="s">
        <v>3750</v>
      </c>
      <c r="E2427" s="332" t="s">
        <v>3751</v>
      </c>
      <c r="F2427" s="336">
        <v>85.77</v>
      </c>
      <c r="G2427" s="330" t="s">
        <v>56</v>
      </c>
      <c r="H2427" s="329">
        <v>85.77</v>
      </c>
      <c r="I2427" s="338">
        <f>$H2427/4</f>
        <v>21.442499999999999</v>
      </c>
      <c r="J2427" s="338">
        <f>$H2427/4</f>
        <v>21.442499999999999</v>
      </c>
      <c r="K2427" s="338">
        <f>$H2427/4</f>
        <v>21.442499999999999</v>
      </c>
      <c r="L2427" s="338">
        <f>$H2427/4</f>
        <v>21.442499999999999</v>
      </c>
      <c r="M2427" s="339"/>
    </row>
    <row r="2428" spans="1:13" outlineLevel="1" collapsed="1" x14ac:dyDescent="0.35">
      <c r="A2428" s="343" t="s">
        <v>3752</v>
      </c>
      <c r="B2428" s="331"/>
      <c r="C2428" s="332"/>
      <c r="D2428" s="332"/>
      <c r="E2428" s="332"/>
      <c r="F2428" s="336"/>
      <c r="G2428" s="330"/>
      <c r="H2428" s="329">
        <f t="shared" ref="H2428:M2428" si="125">SUBTOTAL(9,H2427:H2427)</f>
        <v>85.77</v>
      </c>
      <c r="I2428" s="338">
        <f t="shared" si="125"/>
        <v>21.442499999999999</v>
      </c>
      <c r="J2428" s="338">
        <f t="shared" si="125"/>
        <v>21.442499999999999</v>
      </c>
      <c r="K2428" s="338">
        <f t="shared" si="125"/>
        <v>21.442499999999999</v>
      </c>
      <c r="L2428" s="338">
        <f t="shared" si="125"/>
        <v>21.442499999999999</v>
      </c>
      <c r="M2428" s="339">
        <f t="shared" si="125"/>
        <v>0</v>
      </c>
    </row>
    <row r="2429" spans="1:13" hidden="1" outlineLevel="2" x14ac:dyDescent="0.35">
      <c r="A2429" s="339" t="s">
        <v>62</v>
      </c>
      <c r="B2429" s="331">
        <v>43801</v>
      </c>
      <c r="C2429" s="332" t="s">
        <v>3753</v>
      </c>
      <c r="D2429" s="332" t="s">
        <v>3754</v>
      </c>
      <c r="E2429" s="332" t="s">
        <v>623</v>
      </c>
      <c r="F2429" s="336">
        <v>945250</v>
      </c>
      <c r="G2429" s="330" t="s">
        <v>236</v>
      </c>
      <c r="H2429" s="329">
        <v>930.64346248682523</v>
      </c>
      <c r="I2429" s="338">
        <v>930.64346248682523</v>
      </c>
      <c r="J2429" s="338"/>
      <c r="K2429" s="338"/>
      <c r="L2429" s="338"/>
      <c r="M2429" s="350"/>
    </row>
    <row r="2430" spans="1:13" outlineLevel="1" collapsed="1" x14ac:dyDescent="0.35">
      <c r="A2430" s="343" t="s">
        <v>3755</v>
      </c>
      <c r="B2430" s="331"/>
      <c r="C2430" s="332"/>
      <c r="D2430" s="332"/>
      <c r="E2430" s="332"/>
      <c r="F2430" s="336"/>
      <c r="G2430" s="330"/>
      <c r="H2430" s="329">
        <f t="shared" ref="H2430:M2430" si="126">SUBTOTAL(9,H2429:H2429)</f>
        <v>930.64346248682523</v>
      </c>
      <c r="I2430" s="338">
        <f t="shared" si="126"/>
        <v>930.64346248682523</v>
      </c>
      <c r="J2430" s="338">
        <f t="shared" si="126"/>
        <v>0</v>
      </c>
      <c r="K2430" s="338">
        <f t="shared" si="126"/>
        <v>0</v>
      </c>
      <c r="L2430" s="338">
        <f t="shared" si="126"/>
        <v>0</v>
      </c>
      <c r="M2430" s="350">
        <f t="shared" si="126"/>
        <v>0</v>
      </c>
    </row>
    <row r="2431" spans="1:13" hidden="1" outlineLevel="2" x14ac:dyDescent="0.35">
      <c r="A2431" s="339" t="s">
        <v>86</v>
      </c>
      <c r="B2431" s="331">
        <v>43958</v>
      </c>
      <c r="C2431" s="332" t="s">
        <v>296</v>
      </c>
      <c r="D2431" s="332" t="s">
        <v>3756</v>
      </c>
      <c r="E2431" s="332" t="s">
        <v>623</v>
      </c>
      <c r="F2431" s="336">
        <v>8655000</v>
      </c>
      <c r="G2431" s="330" t="s">
        <v>236</v>
      </c>
      <c r="H2431" s="329">
        <v>8041.0161094775995</v>
      </c>
      <c r="I2431" s="338"/>
      <c r="J2431" s="338"/>
      <c r="K2431" s="338"/>
      <c r="L2431" s="338">
        <v>8041.0161094775995</v>
      </c>
      <c r="M2431" s="350"/>
    </row>
    <row r="2432" spans="1:13" outlineLevel="1" collapsed="1" x14ac:dyDescent="0.35">
      <c r="A2432" s="343" t="s">
        <v>3757</v>
      </c>
      <c r="B2432" s="331"/>
      <c r="C2432" s="332"/>
      <c r="D2432" s="332"/>
      <c r="E2432" s="332"/>
      <c r="F2432" s="336"/>
      <c r="G2432" s="330"/>
      <c r="H2432" s="329">
        <f t="shared" ref="H2432:M2432" si="127">SUBTOTAL(9,H2431:H2431)</f>
        <v>8041.0161094775995</v>
      </c>
      <c r="I2432" s="338">
        <f t="shared" si="127"/>
        <v>0</v>
      </c>
      <c r="J2432" s="338">
        <f t="shared" si="127"/>
        <v>0</v>
      </c>
      <c r="K2432" s="338">
        <f t="shared" si="127"/>
        <v>0</v>
      </c>
      <c r="L2432" s="338">
        <f t="shared" si="127"/>
        <v>8041.0161094775995</v>
      </c>
      <c r="M2432" s="350">
        <f t="shared" si="127"/>
        <v>0</v>
      </c>
    </row>
    <row r="2433" spans="1:13" hidden="1" outlineLevel="2" x14ac:dyDescent="0.35">
      <c r="A2433" s="339" t="s">
        <v>78</v>
      </c>
      <c r="B2433" s="331">
        <v>43801</v>
      </c>
      <c r="C2433" s="332" t="s">
        <v>3720</v>
      </c>
      <c r="D2433" s="332" t="s">
        <v>3758</v>
      </c>
      <c r="E2433" s="332" t="s">
        <v>623</v>
      </c>
      <c r="F2433" s="336">
        <v>1818000</v>
      </c>
      <c r="G2433" s="330" t="s">
        <v>236</v>
      </c>
      <c r="H2433" s="329">
        <v>1789.9072359704292</v>
      </c>
      <c r="I2433" s="338"/>
      <c r="J2433" s="338"/>
      <c r="K2433" s="338">
        <v>1789.9072359704292</v>
      </c>
      <c r="L2433" s="338"/>
      <c r="M2433" s="350"/>
    </row>
    <row r="2434" spans="1:13" hidden="1" outlineLevel="2" x14ac:dyDescent="0.35">
      <c r="A2434" s="339" t="s">
        <v>78</v>
      </c>
      <c r="B2434" s="331">
        <v>44347</v>
      </c>
      <c r="C2434" s="332" t="s">
        <v>2464</v>
      </c>
      <c r="D2434" s="332" t="s">
        <v>3759</v>
      </c>
      <c r="E2434" s="332" t="s">
        <v>623</v>
      </c>
      <c r="F2434" s="336">
        <v>4328600</v>
      </c>
      <c r="G2434" s="330" t="s">
        <v>236</v>
      </c>
      <c r="H2434" s="329">
        <v>3690.7158023829234</v>
      </c>
      <c r="I2434" s="338"/>
      <c r="J2434" s="338"/>
      <c r="K2434" s="338">
        <v>3690.7158023829234</v>
      </c>
      <c r="L2434" s="338"/>
      <c r="M2434" s="350"/>
    </row>
    <row r="2435" spans="1:13" hidden="1" outlineLevel="2" x14ac:dyDescent="0.35">
      <c r="A2435" s="339" t="s">
        <v>78</v>
      </c>
      <c r="B2435" s="331">
        <v>44524</v>
      </c>
      <c r="C2435" s="332" t="s">
        <v>1177</v>
      </c>
      <c r="D2435" s="332" t="s">
        <v>3760</v>
      </c>
      <c r="E2435" s="332" t="s">
        <v>623</v>
      </c>
      <c r="F2435" s="336">
        <v>4228650</v>
      </c>
      <c r="G2435" s="330" t="s">
        <v>236</v>
      </c>
      <c r="H2435" s="329">
        <v>3605.494935486427</v>
      </c>
      <c r="I2435" s="338"/>
      <c r="J2435" s="338"/>
      <c r="K2435" s="338">
        <v>3605.494935486427</v>
      </c>
      <c r="L2435" s="338"/>
      <c r="M2435" s="350"/>
    </row>
    <row r="2436" spans="1:13" hidden="1" outlineLevel="2" x14ac:dyDescent="0.35">
      <c r="A2436" s="326" t="s">
        <v>78</v>
      </c>
      <c r="B2436" s="331">
        <v>43851</v>
      </c>
      <c r="C2436" s="332" t="s">
        <v>237</v>
      </c>
      <c r="D2436" s="332" t="s">
        <v>3761</v>
      </c>
      <c r="E2436" s="332" t="s">
        <v>623</v>
      </c>
      <c r="F2436" s="336">
        <v>2787500</v>
      </c>
      <c r="G2436" s="330" t="s">
        <v>236</v>
      </c>
      <c r="H2436" s="329">
        <v>2589.7553327751366</v>
      </c>
      <c r="I2436" s="338"/>
      <c r="J2436" s="338"/>
      <c r="K2436" s="338">
        <v>2589.7553327751366</v>
      </c>
      <c r="L2436" s="338"/>
      <c r="M2436" s="350"/>
    </row>
    <row r="2437" spans="1:13" hidden="1" outlineLevel="2" x14ac:dyDescent="0.35">
      <c r="A2437" s="326" t="s">
        <v>78</v>
      </c>
      <c r="B2437" s="331">
        <v>44123</v>
      </c>
      <c r="C2437" s="332" t="s">
        <v>3762</v>
      </c>
      <c r="D2437" s="332" t="s">
        <v>3763</v>
      </c>
      <c r="E2437" s="332" t="s">
        <v>2523</v>
      </c>
      <c r="F2437" s="336">
        <v>2700000</v>
      </c>
      <c r="G2437" s="330" t="s">
        <v>236</v>
      </c>
      <c r="H2437" s="329">
        <v>2508.4625644817465</v>
      </c>
      <c r="I2437" s="338"/>
      <c r="J2437" s="338"/>
      <c r="K2437" s="338">
        <v>2508.4625644817465</v>
      </c>
      <c r="L2437" s="338"/>
      <c r="M2437" s="350"/>
    </row>
    <row r="2438" spans="1:13" outlineLevel="1" collapsed="1" x14ac:dyDescent="0.35">
      <c r="A2438" s="334" t="s">
        <v>3764</v>
      </c>
      <c r="B2438" s="331"/>
      <c r="C2438" s="332"/>
      <c r="D2438" s="332"/>
      <c r="E2438" s="332"/>
      <c r="F2438" s="336"/>
      <c r="G2438" s="330"/>
      <c r="H2438" s="329">
        <f t="shared" ref="H2438:M2438" si="128">SUBTOTAL(9,H2433:H2437)</f>
        <v>14184.335871096664</v>
      </c>
      <c r="I2438" s="338">
        <f t="shared" si="128"/>
        <v>0</v>
      </c>
      <c r="J2438" s="338">
        <f t="shared" si="128"/>
        <v>0</v>
      </c>
      <c r="K2438" s="338">
        <f t="shared" si="128"/>
        <v>14184.335871096664</v>
      </c>
      <c r="L2438" s="338">
        <f t="shared" si="128"/>
        <v>0</v>
      </c>
      <c r="M2438" s="350">
        <f t="shared" si="128"/>
        <v>0</v>
      </c>
    </row>
    <row r="2439" spans="1:13" hidden="1" outlineLevel="2" x14ac:dyDescent="0.35">
      <c r="A2439" s="326" t="s">
        <v>77</v>
      </c>
      <c r="B2439" s="331">
        <v>43752</v>
      </c>
      <c r="C2439" s="332" t="s">
        <v>533</v>
      </c>
      <c r="D2439" s="332" t="s">
        <v>3765</v>
      </c>
      <c r="E2439" s="332" t="s">
        <v>2438</v>
      </c>
      <c r="F2439" s="336">
        <v>198000</v>
      </c>
      <c r="G2439" s="330" t="s">
        <v>236</v>
      </c>
      <c r="H2439" s="329">
        <v>194.94039203638337</v>
      </c>
      <c r="I2439" s="338"/>
      <c r="J2439" s="338"/>
      <c r="K2439" s="338">
        <v>194.94039203638337</v>
      </c>
      <c r="L2439" s="338"/>
      <c r="M2439" s="350"/>
    </row>
    <row r="2440" spans="1:13" hidden="1" outlineLevel="2" x14ac:dyDescent="0.35">
      <c r="A2440" s="326" t="s">
        <v>77</v>
      </c>
      <c r="B2440" s="331">
        <v>43752</v>
      </c>
      <c r="C2440" s="332" t="s">
        <v>2307</v>
      </c>
      <c r="D2440" s="332" t="s">
        <v>3766</v>
      </c>
      <c r="E2440" s="332" t="s">
        <v>2438</v>
      </c>
      <c r="F2440" s="336">
        <v>348000</v>
      </c>
      <c r="G2440" s="330" t="s">
        <v>236</v>
      </c>
      <c r="H2440" s="329">
        <v>342.62250721546172</v>
      </c>
      <c r="I2440" s="338"/>
      <c r="J2440" s="338"/>
      <c r="K2440" s="338">
        <v>342.62250721546172</v>
      </c>
      <c r="L2440" s="338"/>
      <c r="M2440" s="350"/>
    </row>
    <row r="2441" spans="1:13" hidden="1" outlineLevel="2" x14ac:dyDescent="0.35">
      <c r="A2441" s="326" t="s">
        <v>77</v>
      </c>
      <c r="B2441" s="331">
        <v>43752</v>
      </c>
      <c r="C2441" s="332" t="s">
        <v>2252</v>
      </c>
      <c r="D2441" s="332" t="s">
        <v>3767</v>
      </c>
      <c r="E2441" s="332" t="s">
        <v>2438</v>
      </c>
      <c r="F2441" s="336">
        <v>320000</v>
      </c>
      <c r="G2441" s="330" t="s">
        <v>236</v>
      </c>
      <c r="H2441" s="329">
        <v>315.05517904870044</v>
      </c>
      <c r="I2441" s="338"/>
      <c r="J2441" s="338"/>
      <c r="K2441" s="338">
        <v>315.05517904870044</v>
      </c>
      <c r="L2441" s="338"/>
      <c r="M2441" s="350"/>
    </row>
    <row r="2442" spans="1:13" outlineLevel="1" collapsed="1" x14ac:dyDescent="0.35">
      <c r="A2442" s="334" t="s">
        <v>3768</v>
      </c>
      <c r="B2442" s="331"/>
      <c r="C2442" s="332"/>
      <c r="D2442" s="332"/>
      <c r="E2442" s="332"/>
      <c r="F2442" s="336"/>
      <c r="G2442" s="330"/>
      <c r="H2442" s="329">
        <f t="shared" ref="H2442:M2442" si="129">SUBTOTAL(9,H2439:H2441)</f>
        <v>852.61807830054556</v>
      </c>
      <c r="I2442" s="338">
        <f t="shared" si="129"/>
        <v>0</v>
      </c>
      <c r="J2442" s="338">
        <f t="shared" si="129"/>
        <v>0</v>
      </c>
      <c r="K2442" s="338">
        <f t="shared" si="129"/>
        <v>852.61807830054556</v>
      </c>
      <c r="L2442" s="338">
        <f t="shared" si="129"/>
        <v>0</v>
      </c>
      <c r="M2442" s="350">
        <f t="shared" si="129"/>
        <v>0</v>
      </c>
    </row>
    <row r="2443" spans="1:13" hidden="1" outlineLevel="2" x14ac:dyDescent="0.35">
      <c r="A2443" s="326" t="s">
        <v>90</v>
      </c>
      <c r="B2443" s="331">
        <v>44592</v>
      </c>
      <c r="C2443" s="332" t="s">
        <v>1978</v>
      </c>
      <c r="D2443" s="332" t="s">
        <v>3769</v>
      </c>
      <c r="E2443" s="332" t="s">
        <v>3770</v>
      </c>
      <c r="F2443" s="336">
        <v>342200</v>
      </c>
      <c r="G2443" s="330" t="s">
        <v>236</v>
      </c>
      <c r="H2443" s="329">
        <v>302.03160664284127</v>
      </c>
      <c r="I2443" s="338"/>
      <c r="J2443" s="338">
        <v>302.03160664284127</v>
      </c>
      <c r="K2443" s="338"/>
      <c r="L2443" s="338"/>
      <c r="M2443" s="350"/>
    </row>
    <row r="2444" spans="1:13" hidden="1" outlineLevel="2" x14ac:dyDescent="0.35">
      <c r="A2444" s="326" t="s">
        <v>90</v>
      </c>
      <c r="B2444" s="331">
        <v>44587</v>
      </c>
      <c r="C2444" s="332" t="s">
        <v>779</v>
      </c>
      <c r="D2444" s="332" t="s">
        <v>3771</v>
      </c>
      <c r="E2444" s="332" t="s">
        <v>285</v>
      </c>
      <c r="F2444" s="336">
        <v>20170662</v>
      </c>
      <c r="G2444" s="330" t="s">
        <v>236</v>
      </c>
      <c r="H2444" s="329">
        <v>17802.973263909138</v>
      </c>
      <c r="I2444" s="338"/>
      <c r="J2444" s="338">
        <v>17802.973263909138</v>
      </c>
      <c r="K2444" s="338"/>
      <c r="L2444" s="338"/>
      <c r="M2444" s="350"/>
    </row>
    <row r="2445" spans="1:13" hidden="1" outlineLevel="2" x14ac:dyDescent="0.35">
      <c r="A2445" s="326" t="s">
        <v>90</v>
      </c>
      <c r="B2445" s="331">
        <v>44587</v>
      </c>
      <c r="C2445" s="332" t="s">
        <v>779</v>
      </c>
      <c r="D2445" s="332" t="s">
        <v>3771</v>
      </c>
      <c r="E2445" s="332" t="s">
        <v>285</v>
      </c>
      <c r="F2445" s="336">
        <v>640000</v>
      </c>
      <c r="G2445" s="330" t="s">
        <v>236</v>
      </c>
      <c r="H2445" s="329">
        <v>564.87500950151502</v>
      </c>
      <c r="I2445" s="338"/>
      <c r="J2445" s="338">
        <v>564.87500950151502</v>
      </c>
      <c r="K2445" s="338"/>
      <c r="L2445" s="338"/>
      <c r="M2445" s="350"/>
    </row>
    <row r="2446" spans="1:13" hidden="1" outlineLevel="2" x14ac:dyDescent="0.35">
      <c r="A2446" s="326" t="s">
        <v>90</v>
      </c>
      <c r="B2446" s="331">
        <v>44587</v>
      </c>
      <c r="C2446" s="332" t="s">
        <v>779</v>
      </c>
      <c r="D2446" s="332" t="s">
        <v>3771</v>
      </c>
      <c r="E2446" s="332" t="s">
        <v>285</v>
      </c>
      <c r="F2446" s="336">
        <v>3000</v>
      </c>
      <c r="G2446" s="330" t="s">
        <v>236</v>
      </c>
      <c r="H2446" s="329">
        <v>2.6478516070383513</v>
      </c>
      <c r="I2446" s="338"/>
      <c r="J2446" s="338">
        <v>2.6478516070383513</v>
      </c>
      <c r="K2446" s="338"/>
      <c r="L2446" s="338"/>
      <c r="M2446" s="350"/>
    </row>
    <row r="2447" spans="1:13" hidden="1" outlineLevel="2" x14ac:dyDescent="0.35">
      <c r="A2447" s="326" t="s">
        <v>90</v>
      </c>
      <c r="B2447" s="331">
        <v>44589</v>
      </c>
      <c r="C2447" s="332" t="s">
        <v>779</v>
      </c>
      <c r="D2447" s="332" t="s">
        <v>3771</v>
      </c>
      <c r="E2447" s="332" t="s">
        <v>3772</v>
      </c>
      <c r="F2447" s="336">
        <v>477381</v>
      </c>
      <c r="G2447" s="330" t="s">
        <v>236</v>
      </c>
      <c r="H2447" s="329">
        <v>421.34468267319176</v>
      </c>
      <c r="I2447" s="338"/>
      <c r="J2447" s="338">
        <v>421.34468267319176</v>
      </c>
      <c r="K2447" s="338"/>
      <c r="L2447" s="338"/>
      <c r="M2447" s="350"/>
    </row>
    <row r="2448" spans="1:13" hidden="1" outlineLevel="2" x14ac:dyDescent="0.35">
      <c r="A2448" s="339" t="s">
        <v>90</v>
      </c>
      <c r="B2448" s="331">
        <v>44301</v>
      </c>
      <c r="C2448" s="332" t="s">
        <v>3773</v>
      </c>
      <c r="D2448" s="332" t="s">
        <v>3774</v>
      </c>
      <c r="E2448" s="332" t="s">
        <v>3775</v>
      </c>
      <c r="F2448" s="336">
        <v>125500</v>
      </c>
      <c r="G2448" s="330" t="s">
        <v>3776</v>
      </c>
      <c r="H2448" s="329">
        <v>113369.47</v>
      </c>
      <c r="I2448" s="338"/>
      <c r="J2448" s="338">
        <f>H2448</f>
        <v>113369.47</v>
      </c>
      <c r="K2448" s="338"/>
      <c r="L2448" s="338"/>
      <c r="M2448" s="339"/>
    </row>
    <row r="2449" spans="1:13" hidden="1" outlineLevel="2" x14ac:dyDescent="0.35">
      <c r="A2449" s="339" t="s">
        <v>90</v>
      </c>
      <c r="B2449" s="331">
        <v>44651</v>
      </c>
      <c r="C2449" s="332" t="s">
        <v>3777</v>
      </c>
      <c r="D2449" s="332" t="s">
        <v>3778</v>
      </c>
      <c r="E2449" s="332" t="s">
        <v>3775</v>
      </c>
      <c r="F2449" s="336">
        <v>-230.86</v>
      </c>
      <c r="G2449" s="330" t="s">
        <v>3776</v>
      </c>
      <c r="H2449" s="329">
        <v>-223.36</v>
      </c>
      <c r="I2449" s="338"/>
      <c r="J2449" s="338">
        <f>H2449</f>
        <v>-223.36</v>
      </c>
      <c r="K2449" s="338"/>
      <c r="L2449" s="338"/>
      <c r="M2449" s="339"/>
    </row>
    <row r="2450" spans="1:13" hidden="1" outlineLevel="2" x14ac:dyDescent="0.35">
      <c r="A2450" s="326" t="s">
        <v>90</v>
      </c>
      <c r="B2450" s="331">
        <v>44354</v>
      </c>
      <c r="C2450" s="332" t="s">
        <v>3779</v>
      </c>
      <c r="D2450" s="332" t="s">
        <v>3780</v>
      </c>
      <c r="E2450" s="332" t="s">
        <v>3775</v>
      </c>
      <c r="F2450" s="336">
        <v>2315.58</v>
      </c>
      <c r="G2450" s="330" t="s">
        <v>56</v>
      </c>
      <c r="H2450" s="329">
        <v>2315.58</v>
      </c>
      <c r="I2450" s="338"/>
      <c r="J2450" s="338">
        <f>H2450</f>
        <v>2315.58</v>
      </c>
      <c r="K2450" s="338"/>
      <c r="L2450" s="338"/>
      <c r="M2450" s="339"/>
    </row>
    <row r="2451" spans="1:13" hidden="1" outlineLevel="2" x14ac:dyDescent="0.35">
      <c r="A2451" s="326" t="s">
        <v>90</v>
      </c>
      <c r="B2451" s="331">
        <v>44354</v>
      </c>
      <c r="C2451" s="332" t="s">
        <v>3779</v>
      </c>
      <c r="D2451" s="332" t="s">
        <v>3780</v>
      </c>
      <c r="E2451" s="332" t="s">
        <v>3775</v>
      </c>
      <c r="F2451" s="336">
        <v>158.13</v>
      </c>
      <c r="G2451" s="330" t="s">
        <v>56</v>
      </c>
      <c r="H2451" s="329">
        <v>158.13</v>
      </c>
      <c r="I2451" s="338"/>
      <c r="J2451" s="338">
        <f>H2451</f>
        <v>158.13</v>
      </c>
      <c r="K2451" s="338"/>
      <c r="L2451" s="338"/>
      <c r="M2451" s="339"/>
    </row>
    <row r="2452" spans="1:13" outlineLevel="1" collapsed="1" x14ac:dyDescent="0.35">
      <c r="A2452" s="351" t="s">
        <v>3781</v>
      </c>
      <c r="B2452" s="352"/>
      <c r="C2452" s="353"/>
      <c r="D2452" s="353"/>
      <c r="E2452" s="353"/>
      <c r="F2452" s="354"/>
      <c r="G2452" s="355"/>
      <c r="H2452" s="356">
        <f t="shared" ref="H2452:M2452" si="130">SUBTOTAL(9,H2443:H2451)</f>
        <v>134713.69241433372</v>
      </c>
      <c r="I2452" s="354">
        <f t="shared" si="130"/>
        <v>0</v>
      </c>
      <c r="J2452" s="354">
        <f t="shared" si="130"/>
        <v>134713.69241433372</v>
      </c>
      <c r="K2452" s="354">
        <f t="shared" si="130"/>
        <v>0</v>
      </c>
      <c r="L2452" s="354">
        <f t="shared" si="130"/>
        <v>0</v>
      </c>
      <c r="M2452" s="353">
        <f t="shared" si="130"/>
        <v>0</v>
      </c>
    </row>
    <row r="2453" spans="1:13" x14ac:dyDescent="0.35">
      <c r="A2453" s="351" t="s">
        <v>3782</v>
      </c>
      <c r="B2453" s="352"/>
      <c r="C2453" s="353"/>
      <c r="D2453" s="353"/>
      <c r="E2453" s="353"/>
      <c r="F2453" s="354"/>
      <c r="G2453" s="355"/>
      <c r="H2453" s="357">
        <f t="shared" ref="H2453:M2453" si="131">SUBTOTAL(9,H2:H2451)</f>
        <v>1666242.1237158391</v>
      </c>
      <c r="I2453" s="358">
        <f t="shared" si="131"/>
        <v>194703.10767110426</v>
      </c>
      <c r="J2453" s="358">
        <f t="shared" si="131"/>
        <v>685716.96108844387</v>
      </c>
      <c r="K2453" s="358">
        <f t="shared" si="131"/>
        <v>464454.45832072757</v>
      </c>
      <c r="L2453" s="358">
        <f t="shared" si="131"/>
        <v>321367.59663556569</v>
      </c>
      <c r="M2453" s="359">
        <f t="shared" si="131"/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C0E3F-81FA-4BBB-BAA2-C603A0E7580A}">
  <dimension ref="B2:G119"/>
  <sheetViews>
    <sheetView topLeftCell="A97" workbookViewId="0">
      <selection activeCell="E129" sqref="E129"/>
    </sheetView>
  </sheetViews>
  <sheetFormatPr defaultRowHeight="15" x14ac:dyDescent="0.35"/>
  <cols>
    <col min="1" max="1" width="1.44140625" customWidth="1"/>
    <col min="2" max="2" width="8.44140625" customWidth="1"/>
    <col min="3" max="3" width="27.88671875" customWidth="1"/>
    <col min="4" max="4" width="11.109375" customWidth="1"/>
    <col min="5" max="5" width="24.88671875" customWidth="1"/>
    <col min="6" max="6" width="16.109375" customWidth="1"/>
    <col min="7" max="7" width="15" customWidth="1"/>
  </cols>
  <sheetData>
    <row r="2" spans="2:7" x14ac:dyDescent="0.35">
      <c r="B2" t="s">
        <v>1</v>
      </c>
      <c r="C2" t="s">
        <v>3783</v>
      </c>
      <c r="F2" t="s">
        <v>3784</v>
      </c>
      <c r="G2" s="362">
        <v>2019</v>
      </c>
    </row>
    <row r="3" spans="2:7" x14ac:dyDescent="0.35">
      <c r="B3" t="s">
        <v>3785</v>
      </c>
      <c r="C3" t="s">
        <v>34</v>
      </c>
      <c r="F3" t="s">
        <v>3786</v>
      </c>
      <c r="G3" t="s">
        <v>3787</v>
      </c>
    </row>
    <row r="4" spans="2:7" ht="15.6" thickBot="1" x14ac:dyDescent="0.4"/>
    <row r="5" spans="2:7" ht="15.6" thickBot="1" x14ac:dyDescent="0.4">
      <c r="C5" s="323" t="str">
        <f>IF([1]Summary!$B$1="Nederlands",[1]Parameters!C$14,IF([1]Summary!$B$1="English",[1]Parameters!C$15,IF([1]Summary!$B$1="Français",[1]Parameters!C$16,"")))</f>
        <v>Description of cash transfer</v>
      </c>
      <c r="D5" s="323" t="str">
        <f>IF([1]Summary!$B$1="Nederlands",[1]Parameters!D$14,IF([1]Summary!$B$1="English",[1]Parameters!D$15,IF([1]Summary!$B$1="Français",[1]Parameters!D$16,"")))</f>
        <v>Date</v>
      </c>
      <c r="E5" s="323" t="str">
        <f>IF([1]Summary!$B$1="Nederlands",[1]Parameters!E$14,IF([1]Summary!$B$1="English",[1]Parameters!E$15,IF([1]Summary!$B$1="Français",[1]Parameters!E$16,"")))</f>
        <v>Amount in local currency</v>
      </c>
      <c r="F5" s="323" t="str">
        <f>IF([1]Summary!$B$1="Nederlands",[1]Parameters!F$14,IF([1]Summary!$B$1="English",[1]Parameters!F$15,IF([1]Summary!$B$1="Français",[1]Parameters!F$16,"")))</f>
        <v>Amount in EUR</v>
      </c>
      <c r="G5" s="323" t="str">
        <f>IF([1]Summary!$B$1="Nederlands",[1]Parameters!G$14,IF([1]Summary!$B$1="English",[1]Parameters!G$15,IF([1]Summary!$B$1="Français",[1]Parameters!G$16,"")))</f>
        <v>Exchange rate</v>
      </c>
    </row>
    <row r="6" spans="2:7" ht="15.6" thickBot="1" x14ac:dyDescent="0.4">
      <c r="C6" s="363"/>
      <c r="D6" s="363"/>
      <c r="E6" s="363"/>
      <c r="F6" s="363"/>
      <c r="G6" s="363"/>
    </row>
    <row r="7" spans="2:7" ht="15.6" thickBot="1" x14ac:dyDescent="0.4">
      <c r="C7" s="364" t="s">
        <v>3788</v>
      </c>
      <c r="D7" s="365"/>
      <c r="E7" s="366"/>
      <c r="F7" s="366"/>
      <c r="G7" s="367"/>
    </row>
    <row r="8" spans="2:7" x14ac:dyDescent="0.35">
      <c r="C8" s="335" t="s">
        <v>3789</v>
      </c>
      <c r="D8" s="371">
        <v>43747</v>
      </c>
      <c r="E8" s="336">
        <v>162437957</v>
      </c>
      <c r="F8" s="336">
        <v>161382.32</v>
      </c>
      <c r="G8" s="372">
        <f>IFERROR(E8/F8,0)</f>
        <v>1006.5412183936877</v>
      </c>
    </row>
    <row r="9" spans="2:7" x14ac:dyDescent="0.35">
      <c r="C9" s="335" t="s">
        <v>3790</v>
      </c>
      <c r="D9" s="371">
        <v>43804</v>
      </c>
      <c r="E9" s="336">
        <v>184789305</v>
      </c>
      <c r="F9" s="336">
        <v>180479.39</v>
      </c>
      <c r="G9" s="372">
        <f t="shared" ref="G9:G14" si="0">IFERROR(E9/F9,0)</f>
        <v>1023.8803721577294</v>
      </c>
    </row>
    <row r="10" spans="2:7" x14ac:dyDescent="0.35">
      <c r="C10" s="335"/>
      <c r="D10" s="371"/>
      <c r="E10" s="336"/>
      <c r="F10" s="336"/>
      <c r="G10" s="372">
        <f t="shared" si="0"/>
        <v>0</v>
      </c>
    </row>
    <row r="11" spans="2:7" x14ac:dyDescent="0.35">
      <c r="C11" s="335"/>
      <c r="D11" s="371"/>
      <c r="E11" s="336"/>
      <c r="F11" s="336"/>
      <c r="G11" s="372">
        <f t="shared" si="0"/>
        <v>0</v>
      </c>
    </row>
    <row r="12" spans="2:7" x14ac:dyDescent="0.35">
      <c r="C12" s="335"/>
      <c r="D12" s="371"/>
      <c r="E12" s="336"/>
      <c r="F12" s="336"/>
      <c r="G12" s="372">
        <f t="shared" si="0"/>
        <v>0</v>
      </c>
    </row>
    <row r="13" spans="2:7" x14ac:dyDescent="0.35">
      <c r="C13" s="335"/>
      <c r="D13" s="371"/>
      <c r="E13" s="336"/>
      <c r="F13" s="336"/>
      <c r="G13" s="372">
        <f t="shared" si="0"/>
        <v>0</v>
      </c>
    </row>
    <row r="14" spans="2:7" ht="15.6" thickBot="1" x14ac:dyDescent="0.4">
      <c r="C14" s="347"/>
      <c r="D14" s="373"/>
      <c r="E14" s="346"/>
      <c r="F14" s="346"/>
      <c r="G14" s="372">
        <f t="shared" si="0"/>
        <v>0</v>
      </c>
    </row>
    <row r="15" spans="2:7" ht="15.6" thickBot="1" x14ac:dyDescent="0.4">
      <c r="C15" s="374"/>
      <c r="D15" s="375"/>
      <c r="E15" s="376">
        <f>SUM(E8:E14)</f>
        <v>347227262</v>
      </c>
      <c r="F15" s="376">
        <f>SUM(F8:F14)</f>
        <v>341861.71</v>
      </c>
      <c r="G15" s="377">
        <f>IFERROR(E15/F15,0)</f>
        <v>1015.6950949552086</v>
      </c>
    </row>
    <row r="16" spans="2:7" ht="15.6" thickBot="1" x14ac:dyDescent="0.4"/>
    <row r="17" spans="2:7" ht="15.6" thickBot="1" x14ac:dyDescent="0.4">
      <c r="C17" s="364" t="str">
        <f>IF([1]Summary!$B$1="Nederlands",[1]Parameters!H$14,IF([1]Summary!$B$1="English",[1]Parameters!H$15,IF([1]Summary!$B$1="Français",[1]Parameters!H$16,"")))</f>
        <v>Other income</v>
      </c>
      <c r="D17" s="365"/>
      <c r="E17" s="366"/>
      <c r="F17" s="366"/>
      <c r="G17" s="367"/>
    </row>
    <row r="18" spans="2:7" x14ac:dyDescent="0.35">
      <c r="C18" s="368"/>
      <c r="D18" s="369"/>
      <c r="E18" s="378"/>
      <c r="F18" s="378"/>
      <c r="G18" s="370"/>
    </row>
    <row r="19" spans="2:7" x14ac:dyDescent="0.35">
      <c r="C19" s="335"/>
      <c r="D19" s="371"/>
      <c r="E19" s="336"/>
      <c r="F19" s="336"/>
      <c r="G19" s="372"/>
    </row>
    <row r="20" spans="2:7" x14ac:dyDescent="0.35">
      <c r="C20" s="335"/>
      <c r="D20" s="371"/>
      <c r="E20" s="336"/>
      <c r="F20" s="336"/>
      <c r="G20" s="372"/>
    </row>
    <row r="21" spans="2:7" x14ac:dyDescent="0.35">
      <c r="C21" s="335"/>
      <c r="D21" s="371"/>
      <c r="E21" s="336"/>
      <c r="F21" s="336"/>
      <c r="G21" s="372"/>
    </row>
    <row r="22" spans="2:7" x14ac:dyDescent="0.35">
      <c r="C22" s="335"/>
      <c r="D22" s="371"/>
      <c r="E22" s="336"/>
      <c r="F22" s="336"/>
      <c r="G22" s="372"/>
    </row>
    <row r="23" spans="2:7" x14ac:dyDescent="0.35">
      <c r="C23" s="335"/>
      <c r="D23" s="371"/>
      <c r="E23" s="336"/>
      <c r="F23" s="336"/>
      <c r="G23" s="372"/>
    </row>
    <row r="24" spans="2:7" ht="15.6" thickBot="1" x14ac:dyDescent="0.4">
      <c r="C24" s="347"/>
      <c r="D24" s="373"/>
      <c r="E24" s="346"/>
      <c r="F24" s="346"/>
      <c r="G24" s="379"/>
    </row>
    <row r="25" spans="2:7" ht="15.6" thickBot="1" x14ac:dyDescent="0.4">
      <c r="C25" s="374"/>
      <c r="D25" s="375"/>
      <c r="E25" s="376">
        <f>SUM(E18:E24)</f>
        <v>0</v>
      </c>
      <c r="F25" s="376">
        <f>SUM(F18:F24)</f>
        <v>0</v>
      </c>
      <c r="G25" s="380"/>
    </row>
    <row r="26" spans="2:7" ht="15.6" thickBot="1" x14ac:dyDescent="0.4"/>
    <row r="27" spans="2:7" ht="15.6" thickBot="1" x14ac:dyDescent="0.4">
      <c r="C27" s="381" t="str">
        <f>CONCATENATE(IF([1]Summary!$B$1="Nederlands",[1]Parameters!E$10,IF([1]Summary!$B$1="English",[1]Parameters!E$11,IF([1]Summary!$B$1="Français",[1]Parameters!E$12,"")))," ",$C$2)</f>
        <v>Total 2019-02-REG-DGD</v>
      </c>
      <c r="D27" s="382"/>
      <c r="E27" s="383">
        <f>E25+E15</f>
        <v>347227262</v>
      </c>
      <c r="F27" s="383">
        <f>F25+F15</f>
        <v>341861.71</v>
      </c>
      <c r="G27" s="384"/>
    </row>
    <row r="28" spans="2:7" ht="15.6" thickBot="1" x14ac:dyDescent="0.4">
      <c r="G28" s="385"/>
    </row>
    <row r="29" spans="2:7" ht="15.6" thickBot="1" x14ac:dyDescent="0.4">
      <c r="C29" s="381" t="str">
        <f>IF([1]Summary!$B$1="Nederlands",[1]Parameters!I$14,IF([1]Summary!$B$1="English",[1]Parameters!I$15,IF([1]Summary!$B$1="Français",[1]Parameters!I$16,"")))</f>
        <v>Average exchange rate</v>
      </c>
      <c r="D29" s="382"/>
      <c r="E29" s="383"/>
      <c r="F29" s="383"/>
      <c r="G29" s="384">
        <f>G15</f>
        <v>1015.6950949552086</v>
      </c>
    </row>
    <row r="32" spans="2:7" x14ac:dyDescent="0.35">
      <c r="B32" t="s">
        <v>1</v>
      </c>
      <c r="C32" t="s">
        <v>3783</v>
      </c>
      <c r="F32" t="s">
        <v>3784</v>
      </c>
      <c r="G32" s="362">
        <v>2020</v>
      </c>
    </row>
    <row r="33" spans="2:7" x14ac:dyDescent="0.35">
      <c r="B33" t="s">
        <v>3785</v>
      </c>
      <c r="C33" t="s">
        <v>34</v>
      </c>
      <c r="F33" t="s">
        <v>3786</v>
      </c>
      <c r="G33" t="s">
        <v>3787</v>
      </c>
    </row>
    <row r="34" spans="2:7" ht="15.6" thickBot="1" x14ac:dyDescent="0.4"/>
    <row r="35" spans="2:7" ht="15.6" thickBot="1" x14ac:dyDescent="0.4">
      <c r="C35" s="323" t="str">
        <f>IF([2]Summary!$B$1="Nederlands",[2]Parameters!C$14,IF([2]Summary!$B$1="English",[2]Parameters!C$15,IF([2]Summary!$B$1="Français",[2]Parameters!C$16,"")))</f>
        <v>Description of cash transfer</v>
      </c>
      <c r="D35" s="323" t="str">
        <f>IF([2]Summary!$B$1="Nederlands",[2]Parameters!D$14,IF([2]Summary!$B$1="English",[2]Parameters!D$15,IF([2]Summary!$B$1="Français",[2]Parameters!D$16,"")))</f>
        <v>Date</v>
      </c>
      <c r="E35" s="323" t="str">
        <f>IF([2]Summary!$B$1="Nederlands",[2]Parameters!E$14,IF([2]Summary!$B$1="English",[2]Parameters!E$15,IF([2]Summary!$B$1="Français",[2]Parameters!E$16,"")))</f>
        <v>Amount in local currency</v>
      </c>
      <c r="F35" s="323" t="str">
        <f>IF([2]Summary!$B$1="Nederlands",[2]Parameters!F$14,IF([2]Summary!$B$1="English",[2]Parameters!F$15,IF([2]Summary!$B$1="Français",[2]Parameters!F$16,"")))</f>
        <v>Amount in EUR</v>
      </c>
      <c r="G35" s="323" t="str">
        <f>IF([2]Summary!$B$1="Nederlands",[2]Parameters!G$14,IF([2]Summary!$B$1="English",[2]Parameters!G$15,IF([2]Summary!$B$1="Français",[2]Parameters!G$16,"")))</f>
        <v>Exchange rate</v>
      </c>
    </row>
    <row r="36" spans="2:7" ht="15.6" thickBot="1" x14ac:dyDescent="0.4">
      <c r="C36" s="363"/>
      <c r="D36" s="363"/>
      <c r="E36" s="363"/>
      <c r="F36" s="363"/>
      <c r="G36" s="363"/>
    </row>
    <row r="37" spans="2:7" ht="15.6" thickBot="1" x14ac:dyDescent="0.4">
      <c r="C37" s="364" t="s">
        <v>3788</v>
      </c>
      <c r="D37" s="365"/>
      <c r="E37" s="366"/>
      <c r="F37" s="366"/>
      <c r="G37" s="367"/>
    </row>
    <row r="38" spans="2:7" x14ac:dyDescent="0.35">
      <c r="C38" s="335" t="s">
        <v>3789</v>
      </c>
      <c r="D38" s="371">
        <v>43957</v>
      </c>
      <c r="E38" s="336">
        <v>83389488</v>
      </c>
      <c r="F38" s="336">
        <v>81987.08</v>
      </c>
      <c r="G38" s="372">
        <f>IFERROR(E38/F38,0)</f>
        <v>1017.1052317023609</v>
      </c>
    </row>
    <row r="39" spans="2:7" x14ac:dyDescent="0.35">
      <c r="C39" s="335" t="s">
        <v>3790</v>
      </c>
      <c r="D39" s="371">
        <v>44021</v>
      </c>
      <c r="E39" s="336">
        <v>229175409</v>
      </c>
      <c r="F39" s="336">
        <v>216178.87</v>
      </c>
      <c r="G39" s="372">
        <f t="shared" ref="G39:G44" si="1">IFERROR(E39/F39,0)</f>
        <v>1060.1193770695536</v>
      </c>
    </row>
    <row r="40" spans="2:7" x14ac:dyDescent="0.35">
      <c r="C40" s="335" t="s">
        <v>3791</v>
      </c>
      <c r="D40" s="371">
        <v>44134</v>
      </c>
      <c r="E40" s="336">
        <v>183097855</v>
      </c>
      <c r="F40" s="336">
        <v>162334.59</v>
      </c>
      <c r="G40" s="372">
        <f t="shared" si="1"/>
        <v>1127.9041330624607</v>
      </c>
    </row>
    <row r="41" spans="2:7" x14ac:dyDescent="0.35">
      <c r="C41" s="335"/>
      <c r="D41" s="371"/>
      <c r="E41" s="336"/>
      <c r="F41" s="336"/>
      <c r="G41" s="372">
        <f t="shared" si="1"/>
        <v>0</v>
      </c>
    </row>
    <row r="42" spans="2:7" x14ac:dyDescent="0.35">
      <c r="C42" s="335"/>
      <c r="D42" s="371"/>
      <c r="E42" s="336"/>
      <c r="F42" s="336"/>
      <c r="G42" s="372">
        <f t="shared" si="1"/>
        <v>0</v>
      </c>
    </row>
    <row r="43" spans="2:7" x14ac:dyDescent="0.35">
      <c r="C43" s="335"/>
      <c r="D43" s="371"/>
      <c r="E43" s="336"/>
      <c r="F43" s="336"/>
      <c r="G43" s="372">
        <f t="shared" si="1"/>
        <v>0</v>
      </c>
    </row>
    <row r="44" spans="2:7" ht="15.6" thickBot="1" x14ac:dyDescent="0.4">
      <c r="C44" s="347"/>
      <c r="D44" s="373"/>
      <c r="E44" s="346"/>
      <c r="F44" s="346"/>
      <c r="G44" s="372">
        <f t="shared" si="1"/>
        <v>0</v>
      </c>
    </row>
    <row r="45" spans="2:7" ht="15.6" thickBot="1" x14ac:dyDescent="0.4">
      <c r="C45" s="374"/>
      <c r="D45" s="375"/>
      <c r="E45" s="386">
        <f>SUM(E38:E44)</f>
        <v>495662752</v>
      </c>
      <c r="F45" s="376">
        <f>SUM(F38:F44)</f>
        <v>460500.54000000004</v>
      </c>
      <c r="G45" s="377">
        <f>IFERROR(E45/F45,0)</f>
        <v>1076.3565054668557</v>
      </c>
    </row>
    <row r="46" spans="2:7" ht="15.6" thickBot="1" x14ac:dyDescent="0.4"/>
    <row r="47" spans="2:7" ht="15.6" thickBot="1" x14ac:dyDescent="0.4">
      <c r="C47" s="364" t="str">
        <f>IF([2]Summary!$B$1="Nederlands",[2]Parameters!H$14,IF([2]Summary!$B$1="English",[2]Parameters!H$15,IF([2]Summary!$B$1="Français",[2]Parameters!H$16,"")))</f>
        <v>Other income</v>
      </c>
      <c r="D47" s="365"/>
      <c r="E47" s="366"/>
      <c r="F47" s="366"/>
      <c r="G47" s="367"/>
    </row>
    <row r="48" spans="2:7" x14ac:dyDescent="0.35">
      <c r="C48" s="368"/>
      <c r="D48" s="369"/>
      <c r="E48" s="378"/>
      <c r="F48" s="378"/>
      <c r="G48" s="370"/>
    </row>
    <row r="49" spans="2:7" x14ac:dyDescent="0.35">
      <c r="C49" s="335"/>
      <c r="D49" s="371"/>
      <c r="E49" s="336"/>
      <c r="F49" s="336"/>
      <c r="G49" s="372"/>
    </row>
    <row r="50" spans="2:7" x14ac:dyDescent="0.35">
      <c r="C50" s="335"/>
      <c r="D50" s="371"/>
      <c r="E50" s="336"/>
      <c r="F50" s="336"/>
      <c r="G50" s="372"/>
    </row>
    <row r="51" spans="2:7" x14ac:dyDescent="0.35">
      <c r="C51" s="335"/>
      <c r="D51" s="371"/>
      <c r="E51" s="336"/>
      <c r="F51" s="336"/>
      <c r="G51" s="372"/>
    </row>
    <row r="52" spans="2:7" x14ac:dyDescent="0.35">
      <c r="C52" s="335"/>
      <c r="D52" s="371"/>
      <c r="E52" s="336"/>
      <c r="F52" s="336"/>
      <c r="G52" s="372"/>
    </row>
    <row r="53" spans="2:7" x14ac:dyDescent="0.35">
      <c r="C53" s="335"/>
      <c r="D53" s="371"/>
      <c r="E53" s="336"/>
      <c r="F53" s="336"/>
      <c r="G53" s="372"/>
    </row>
    <row r="54" spans="2:7" ht="15.6" thickBot="1" x14ac:dyDescent="0.4">
      <c r="C54" s="347"/>
      <c r="D54" s="373"/>
      <c r="E54" s="346"/>
      <c r="F54" s="346"/>
      <c r="G54" s="379"/>
    </row>
    <row r="55" spans="2:7" ht="15.6" thickBot="1" x14ac:dyDescent="0.4">
      <c r="C55" s="374"/>
      <c r="D55" s="375"/>
      <c r="E55" s="376">
        <f>SUM(E48:E54)</f>
        <v>0</v>
      </c>
      <c r="F55" s="376">
        <f>SUM(F48:F54)</f>
        <v>0</v>
      </c>
      <c r="G55" s="380"/>
    </row>
    <row r="56" spans="2:7" ht="15.6" thickBot="1" x14ac:dyDescent="0.4"/>
    <row r="57" spans="2:7" ht="15.6" thickBot="1" x14ac:dyDescent="0.4">
      <c r="C57" s="381" t="str">
        <f>CONCATENATE(IF([2]Summary!$B$1="Nederlands",[2]Parameters!E$10,IF([2]Summary!$B$1="English",[2]Parameters!E$11,IF([2]Summary!$B$1="Français",[2]Parameters!E$12,"")))," ",$C$2)</f>
        <v>Total 2019-02-REG-DGD</v>
      </c>
      <c r="D57" s="382"/>
      <c r="E57" s="383">
        <f>E55+E45</f>
        <v>495662752</v>
      </c>
      <c r="F57" s="383">
        <f>F55+F45</f>
        <v>460500.54000000004</v>
      </c>
      <c r="G57" s="384"/>
    </row>
    <row r="58" spans="2:7" ht="15.6" thickBot="1" x14ac:dyDescent="0.4">
      <c r="G58" s="385"/>
    </row>
    <row r="59" spans="2:7" ht="15.6" thickBot="1" x14ac:dyDescent="0.4">
      <c r="C59" s="381" t="str">
        <f>IF([2]Summary!$B$1="Nederlands",[2]Parameters!I$14,IF([2]Summary!$B$1="English",[2]Parameters!I$15,IF([2]Summary!$B$1="Français",[2]Parameters!I$16,"")))</f>
        <v>Average exchange rate</v>
      </c>
      <c r="D59" s="382"/>
      <c r="E59" s="383"/>
      <c r="F59" s="383"/>
      <c r="G59" s="384">
        <f>G45</f>
        <v>1076.3565054668557</v>
      </c>
    </row>
    <row r="62" spans="2:7" x14ac:dyDescent="0.35">
      <c r="B62" t="s">
        <v>1</v>
      </c>
      <c r="F62" t="s">
        <v>3784</v>
      </c>
      <c r="G62" s="362">
        <v>2021</v>
      </c>
    </row>
    <row r="63" spans="2:7" x14ac:dyDescent="0.35">
      <c r="B63" t="s">
        <v>3785</v>
      </c>
      <c r="C63" t="s">
        <v>34</v>
      </c>
      <c r="F63" t="s">
        <v>3786</v>
      </c>
      <c r="G63" t="s">
        <v>3787</v>
      </c>
    </row>
    <row r="64" spans="2:7" ht="15.6" thickBot="1" x14ac:dyDescent="0.4"/>
    <row r="65" spans="3:7" ht="15.6" thickBot="1" x14ac:dyDescent="0.4">
      <c r="C65" s="323" t="str">
        <f>IF([3]Summary!$B$1="Nederlands",[3]Parameters!C$14,IF([3]Summary!$B$1="English",[3]Parameters!C$15,IF([3]Summary!$B$1="Français",[3]Parameters!C$16,"")))</f>
        <v>Description of cash transfer</v>
      </c>
      <c r="D65" s="323" t="str">
        <f>IF([3]Summary!$B$1="Nederlands",[3]Parameters!D$14,IF([3]Summary!$B$1="English",[3]Parameters!D$15,IF([3]Summary!$B$1="Français",[3]Parameters!D$16,"")))</f>
        <v>Date</v>
      </c>
      <c r="E65" s="323" t="str">
        <f>IF([3]Summary!$B$1="Nederlands",[3]Parameters!E$14,IF([3]Summary!$B$1="English",[3]Parameters!E$15,IF([3]Summary!$B$1="Français",[3]Parameters!E$16,"")))</f>
        <v>Amount in local currency</v>
      </c>
      <c r="F65" s="323" t="str">
        <f>IF([3]Summary!$B$1="Nederlands",[3]Parameters!F$14,IF([3]Summary!$B$1="English",[3]Parameters!F$15,IF([3]Summary!$B$1="Français",[3]Parameters!F$16,"")))</f>
        <v>Amount in EUR</v>
      </c>
      <c r="G65" s="323" t="str">
        <f>IF([3]Summary!$B$1="Nederlands",[3]Parameters!G$14,IF([3]Summary!$B$1="English",[3]Parameters!G$15,IF([3]Summary!$B$1="Français",[3]Parameters!G$16,"")))</f>
        <v>Exchange rate</v>
      </c>
    </row>
    <row r="66" spans="3:7" ht="15.6" thickBot="1" x14ac:dyDescent="0.4">
      <c r="C66" s="363"/>
      <c r="D66" s="363"/>
      <c r="E66" s="363"/>
      <c r="F66" s="363"/>
      <c r="G66" s="363"/>
    </row>
    <row r="67" spans="3:7" ht="15.6" thickBot="1" x14ac:dyDescent="0.4">
      <c r="C67" s="364" t="s">
        <v>3788</v>
      </c>
      <c r="D67" s="365"/>
      <c r="E67" s="366"/>
      <c r="F67" s="366"/>
      <c r="G67" s="367"/>
    </row>
    <row r="68" spans="3:7" x14ac:dyDescent="0.35">
      <c r="C68" s="335" t="s">
        <v>3792</v>
      </c>
      <c r="D68" s="371">
        <v>44323</v>
      </c>
      <c r="E68" s="336">
        <v>161147145</v>
      </c>
      <c r="F68" s="336">
        <v>136024.95000000001</v>
      </c>
      <c r="G68" s="372">
        <f>IFERROR(E68/F68,0)</f>
        <v>1184.6881399331519</v>
      </c>
    </row>
    <row r="69" spans="3:7" x14ac:dyDescent="0.35">
      <c r="C69" s="335" t="s">
        <v>3793</v>
      </c>
      <c r="D69" s="371">
        <v>44385</v>
      </c>
      <c r="E69" s="336">
        <v>150501014</v>
      </c>
      <c r="F69" s="336">
        <v>128283</v>
      </c>
      <c r="G69" s="372">
        <f t="shared" ref="G69:G74" si="2">IFERROR(E69/F69,0)</f>
        <v>1173.1953103684823</v>
      </c>
    </row>
    <row r="70" spans="3:7" x14ac:dyDescent="0.35">
      <c r="C70" s="335" t="s">
        <v>3794</v>
      </c>
      <c r="D70" s="371">
        <v>44494</v>
      </c>
      <c r="E70" s="336">
        <v>137179334</v>
      </c>
      <c r="F70" s="336">
        <v>117122.57</v>
      </c>
      <c r="G70" s="372">
        <f t="shared" si="2"/>
        <v>1171.2459349209976</v>
      </c>
    </row>
    <row r="71" spans="3:7" x14ac:dyDescent="0.35">
      <c r="C71" s="335" t="s">
        <v>3795</v>
      </c>
      <c r="D71" s="371">
        <v>44547</v>
      </c>
      <c r="E71" s="336">
        <v>54528054</v>
      </c>
      <c r="F71" s="336">
        <v>47748.03</v>
      </c>
      <c r="G71" s="372">
        <f t="shared" si="2"/>
        <v>1141.995889673354</v>
      </c>
    </row>
    <row r="72" spans="3:7" x14ac:dyDescent="0.35">
      <c r="C72" s="335"/>
      <c r="D72" s="371"/>
      <c r="E72" s="336"/>
      <c r="F72" s="336"/>
      <c r="G72" s="372">
        <f t="shared" si="2"/>
        <v>0</v>
      </c>
    </row>
    <row r="73" spans="3:7" x14ac:dyDescent="0.35">
      <c r="C73" s="335"/>
      <c r="D73" s="371"/>
      <c r="E73" s="336"/>
      <c r="F73" s="336"/>
      <c r="G73" s="372">
        <f t="shared" si="2"/>
        <v>0</v>
      </c>
    </row>
    <row r="74" spans="3:7" ht="15.6" thickBot="1" x14ac:dyDescent="0.4">
      <c r="C74" s="347"/>
      <c r="D74" s="373"/>
      <c r="E74" s="346"/>
      <c r="F74" s="346"/>
      <c r="G74" s="372">
        <f t="shared" si="2"/>
        <v>0</v>
      </c>
    </row>
    <row r="75" spans="3:7" ht="15.6" thickBot="1" x14ac:dyDescent="0.4">
      <c r="C75" s="374"/>
      <c r="D75" s="375"/>
      <c r="E75" s="376">
        <f>SUM(E68:E74)</f>
        <v>503355547</v>
      </c>
      <c r="F75" s="376">
        <f>SUM(F68:F74)</f>
        <v>429178.55000000005</v>
      </c>
      <c r="G75" s="377">
        <f>IFERROR(E75/F75,0)</f>
        <v>1172.8348189815169</v>
      </c>
    </row>
    <row r="76" spans="3:7" ht="15.6" thickBot="1" x14ac:dyDescent="0.4"/>
    <row r="77" spans="3:7" ht="15.6" thickBot="1" x14ac:dyDescent="0.4">
      <c r="C77" s="364" t="str">
        <f>IF([3]Summary!$B$1="Nederlands",[3]Parameters!H$14,IF([3]Summary!$B$1="English",[3]Parameters!H$15,IF([3]Summary!$B$1="Français",[3]Parameters!H$16,"")))</f>
        <v>Other income</v>
      </c>
      <c r="D77" s="365"/>
      <c r="E77" s="366"/>
      <c r="F77" s="366"/>
      <c r="G77" s="367"/>
    </row>
    <row r="78" spans="3:7" x14ac:dyDescent="0.35">
      <c r="C78" s="368"/>
      <c r="D78" s="369"/>
      <c r="E78" s="378"/>
      <c r="F78" s="378"/>
      <c r="G78" s="370"/>
    </row>
    <row r="79" spans="3:7" x14ac:dyDescent="0.35">
      <c r="C79" s="335"/>
      <c r="D79" s="371"/>
      <c r="E79" s="336"/>
      <c r="F79" s="336"/>
      <c r="G79" s="372"/>
    </row>
    <row r="80" spans="3:7" x14ac:dyDescent="0.35">
      <c r="C80" s="335"/>
      <c r="D80" s="371"/>
      <c r="E80" s="336"/>
      <c r="F80" s="336"/>
      <c r="G80" s="372"/>
    </row>
    <row r="81" spans="2:7" x14ac:dyDescent="0.35">
      <c r="C81" s="335"/>
      <c r="D81" s="371"/>
      <c r="E81" s="336"/>
      <c r="F81" s="336"/>
      <c r="G81" s="372"/>
    </row>
    <row r="82" spans="2:7" x14ac:dyDescent="0.35">
      <c r="C82" s="335"/>
      <c r="D82" s="371"/>
      <c r="E82" s="336"/>
      <c r="F82" s="336"/>
      <c r="G82" s="372"/>
    </row>
    <row r="83" spans="2:7" x14ac:dyDescent="0.35">
      <c r="C83" s="335"/>
      <c r="D83" s="371"/>
      <c r="E83" s="336"/>
      <c r="F83" s="336"/>
      <c r="G83" s="372"/>
    </row>
    <row r="84" spans="2:7" ht="15.6" thickBot="1" x14ac:dyDescent="0.4">
      <c r="C84" s="347"/>
      <c r="D84" s="373"/>
      <c r="E84" s="346"/>
      <c r="F84" s="346"/>
      <c r="G84" s="379"/>
    </row>
    <row r="85" spans="2:7" ht="15.6" thickBot="1" x14ac:dyDescent="0.4">
      <c r="C85" s="374"/>
      <c r="D85" s="375"/>
      <c r="E85" s="376">
        <f>SUM(E78:E84)</f>
        <v>0</v>
      </c>
      <c r="F85" s="376">
        <f>SUM(F78:F84)</f>
        <v>0</v>
      </c>
      <c r="G85" s="380"/>
    </row>
    <row r="86" spans="2:7" ht="15.6" thickBot="1" x14ac:dyDescent="0.4"/>
    <row r="87" spans="2:7" ht="15.6" thickBot="1" x14ac:dyDescent="0.4">
      <c r="C87" s="381" t="str">
        <f>CONCATENATE(IF([3]Summary!$B$1="Nederlands",[3]Parameters!E$10,IF([3]Summary!$B$1="English",[3]Parameters!E$11,IF([3]Summary!$B$1="Français",[3]Parameters!E$12,"")))," ",$C$2)</f>
        <v>Total 2019-02-REG-DGD</v>
      </c>
      <c r="D87" s="382"/>
      <c r="E87" s="383">
        <f>E85+E75</f>
        <v>503355547</v>
      </c>
      <c r="F87" s="383">
        <f>F85+F75</f>
        <v>429178.55000000005</v>
      </c>
      <c r="G87" s="384"/>
    </row>
    <row r="88" spans="2:7" ht="15.6" thickBot="1" x14ac:dyDescent="0.4">
      <c r="G88" s="385"/>
    </row>
    <row r="89" spans="2:7" ht="15.6" thickBot="1" x14ac:dyDescent="0.4">
      <c r="C89" s="381" t="str">
        <f>IF([3]Summary!$B$1="Nederlands",[3]Parameters!I$14,IF([3]Summary!$B$1="English",[3]Parameters!I$15,IF([3]Summary!$B$1="Français",[3]Parameters!I$16,"")))</f>
        <v>Average exchange rate</v>
      </c>
      <c r="D89" s="382"/>
      <c r="E89" s="383"/>
      <c r="F89" s="383"/>
      <c r="G89" s="384">
        <f>G75</f>
        <v>1172.8348189815169</v>
      </c>
    </row>
    <row r="92" spans="2:7" x14ac:dyDescent="0.35">
      <c r="B92" t="s">
        <v>1</v>
      </c>
      <c r="C92" t="s">
        <v>3796</v>
      </c>
      <c r="F92" t="s">
        <v>3784</v>
      </c>
      <c r="G92" s="362">
        <v>2022</v>
      </c>
    </row>
    <row r="93" spans="2:7" x14ac:dyDescent="0.35">
      <c r="B93" t="s">
        <v>3785</v>
      </c>
      <c r="C93" t="s">
        <v>34</v>
      </c>
      <c r="F93" t="s">
        <v>3786</v>
      </c>
    </row>
    <row r="94" spans="2:7" ht="15.6" thickBot="1" x14ac:dyDescent="0.4"/>
    <row r="95" spans="2:7" ht="15.6" thickBot="1" x14ac:dyDescent="0.4">
      <c r="C95" s="323" t="str">
        <f>IF([4]Summary!$B$1="Nederlands",[4]Parameters!C$14,IF([4]Summary!$B$1="English",[4]Parameters!C$15,IF([4]Summary!$B$1="Français",[4]Parameters!C$16,"")))</f>
        <v>Description of cash transfer</v>
      </c>
      <c r="D95" s="323" t="str">
        <f>IF([4]Summary!$B$1="Nederlands",[4]Parameters!D$14,IF([4]Summary!$B$1="English",[4]Parameters!D$15,IF([4]Summary!$B$1="Français",[4]Parameters!D$16,"")))</f>
        <v>Date</v>
      </c>
      <c r="E95" s="323" t="str">
        <f>IF([4]Summary!$B$1="Nederlands",[4]Parameters!E$14,IF([4]Summary!$B$1="English",[4]Parameters!E$15,IF([4]Summary!$B$1="Français",[4]Parameters!E$16,"")))</f>
        <v>Amount in local currency</v>
      </c>
      <c r="F95" s="323" t="str">
        <f>IF([4]Summary!$B$1="Nederlands",[4]Parameters!F$14,IF([4]Summary!$B$1="English",[4]Parameters!F$15,IF([4]Summary!$B$1="Français",[4]Parameters!F$16,"")))</f>
        <v>Amount in EUR</v>
      </c>
      <c r="G95" s="323" t="str">
        <f>IF([4]Summary!$B$1="Nederlands",[4]Parameters!G$14,IF([4]Summary!$B$1="English",[4]Parameters!G$15,IF([4]Summary!$B$1="Français",[4]Parameters!G$16,"")))</f>
        <v>Exchange rate</v>
      </c>
    </row>
    <row r="96" spans="2:7" ht="15.6" thickBot="1" x14ac:dyDescent="0.4">
      <c r="C96" s="363"/>
      <c r="D96" s="363"/>
      <c r="E96" s="363"/>
      <c r="F96" s="363"/>
      <c r="G96" s="363"/>
    </row>
    <row r="97" spans="3:7" ht="15.6" thickBot="1" x14ac:dyDescent="0.4">
      <c r="C97" s="364" t="s">
        <v>3788</v>
      </c>
      <c r="D97" s="365"/>
      <c r="E97" s="366"/>
      <c r="F97" s="366"/>
      <c r="G97" s="367"/>
    </row>
    <row r="98" spans="3:7" x14ac:dyDescent="0.35">
      <c r="C98" s="335" t="s">
        <v>3797</v>
      </c>
      <c r="D98" s="371">
        <v>44623</v>
      </c>
      <c r="E98" s="336">
        <v>64726520</v>
      </c>
      <c r="F98" s="336">
        <v>57128.74</v>
      </c>
      <c r="G98" s="372">
        <f>IFERROR(E98/F98,0)</f>
        <v>1132.9940061692241</v>
      </c>
    </row>
    <row r="99" spans="3:7" x14ac:dyDescent="0.35">
      <c r="C99" s="335"/>
      <c r="D99" s="371"/>
      <c r="E99" s="336"/>
      <c r="F99" s="336"/>
      <c r="G99" s="372">
        <f t="shared" ref="G99:G101" si="3">IFERROR(E99/F99,0)</f>
        <v>0</v>
      </c>
    </row>
    <row r="100" spans="3:7" x14ac:dyDescent="0.35">
      <c r="C100" s="335"/>
      <c r="D100" s="371"/>
      <c r="E100" s="336"/>
      <c r="F100" s="336"/>
      <c r="G100" s="372">
        <f t="shared" si="3"/>
        <v>0</v>
      </c>
    </row>
    <row r="101" spans="3:7" x14ac:dyDescent="0.35">
      <c r="C101" s="335"/>
      <c r="D101" s="371"/>
      <c r="E101" s="336"/>
      <c r="F101" s="336"/>
      <c r="G101" s="372">
        <f t="shared" si="3"/>
        <v>0</v>
      </c>
    </row>
    <row r="102" spans="3:7" x14ac:dyDescent="0.35">
      <c r="C102" s="335"/>
      <c r="D102" s="371"/>
      <c r="E102" s="336"/>
      <c r="F102" s="336"/>
      <c r="G102" s="372">
        <f t="shared" ref="G102:G104" si="4">IFERROR(E102/F102,0)</f>
        <v>0</v>
      </c>
    </row>
    <row r="103" spans="3:7" x14ac:dyDescent="0.35">
      <c r="C103" s="335"/>
      <c r="D103" s="371"/>
      <c r="E103" s="336"/>
      <c r="F103" s="336"/>
      <c r="G103" s="372">
        <f t="shared" si="4"/>
        <v>0</v>
      </c>
    </row>
    <row r="104" spans="3:7" ht="15.6" thickBot="1" x14ac:dyDescent="0.4">
      <c r="C104" s="347"/>
      <c r="D104" s="373"/>
      <c r="E104" s="346"/>
      <c r="F104" s="346"/>
      <c r="G104" s="372">
        <f t="shared" si="4"/>
        <v>0</v>
      </c>
    </row>
    <row r="105" spans="3:7" ht="15.6" thickBot="1" x14ac:dyDescent="0.4">
      <c r="C105" s="374"/>
      <c r="D105" s="375"/>
      <c r="E105" s="376">
        <f>SUM(E98:E104)</f>
        <v>64726520</v>
      </c>
      <c r="F105" s="376">
        <f>SUM(F98:F104)</f>
        <v>57128.74</v>
      </c>
      <c r="G105" s="377">
        <f>IFERROR(E105/F105,0)</f>
        <v>1132.9940061692241</v>
      </c>
    </row>
    <row r="106" spans="3:7" ht="15.6" thickBot="1" x14ac:dyDescent="0.4"/>
    <row r="107" spans="3:7" ht="15.6" thickBot="1" x14ac:dyDescent="0.4">
      <c r="C107" s="364" t="str">
        <f>IF([4]Summary!$B$1="Nederlands",[4]Parameters!H$14,IF([4]Summary!$B$1="English",[4]Parameters!H$15,IF([4]Summary!$B$1="Français",[4]Parameters!H$16,"")))</f>
        <v>Other income</v>
      </c>
      <c r="D107" s="365"/>
      <c r="E107" s="366"/>
      <c r="F107" s="366"/>
      <c r="G107" s="367"/>
    </row>
    <row r="108" spans="3:7" x14ac:dyDescent="0.35">
      <c r="C108" s="368"/>
      <c r="D108" s="369"/>
      <c r="E108" s="378"/>
      <c r="F108" s="378"/>
      <c r="G108" s="370"/>
    </row>
    <row r="109" spans="3:7" x14ac:dyDescent="0.35">
      <c r="C109" s="335"/>
      <c r="D109" s="371"/>
      <c r="E109" s="336"/>
      <c r="F109" s="336"/>
      <c r="G109" s="372"/>
    </row>
    <row r="110" spans="3:7" x14ac:dyDescent="0.35">
      <c r="C110" s="335"/>
      <c r="D110" s="371"/>
      <c r="E110" s="336"/>
      <c r="F110" s="336"/>
      <c r="G110" s="372"/>
    </row>
    <row r="111" spans="3:7" x14ac:dyDescent="0.35">
      <c r="C111" s="335"/>
      <c r="D111" s="371"/>
      <c r="E111" s="336"/>
      <c r="F111" s="336"/>
      <c r="G111" s="372"/>
    </row>
    <row r="112" spans="3:7" x14ac:dyDescent="0.35">
      <c r="C112" s="335"/>
      <c r="D112" s="371"/>
      <c r="E112" s="336"/>
      <c r="F112" s="336"/>
      <c r="G112" s="372"/>
    </row>
    <row r="113" spans="3:7" x14ac:dyDescent="0.35">
      <c r="C113" s="335"/>
      <c r="D113" s="371"/>
      <c r="E113" s="336"/>
      <c r="F113" s="336"/>
      <c r="G113" s="372"/>
    </row>
    <row r="114" spans="3:7" ht="15.6" thickBot="1" x14ac:dyDescent="0.4">
      <c r="C114" s="347"/>
      <c r="D114" s="373"/>
      <c r="E114" s="346"/>
      <c r="F114" s="346"/>
      <c r="G114" s="379"/>
    </row>
    <row r="115" spans="3:7" ht="15.6" thickBot="1" x14ac:dyDescent="0.4">
      <c r="C115" s="374"/>
      <c r="D115" s="375"/>
      <c r="E115" s="376">
        <f>SUM(E108:E114)</f>
        <v>0</v>
      </c>
      <c r="F115" s="376">
        <f>SUM(F108:F114)</f>
        <v>0</v>
      </c>
      <c r="G115" s="380"/>
    </row>
    <row r="116" spans="3:7" ht="15.6" thickBot="1" x14ac:dyDescent="0.4"/>
    <row r="117" spans="3:7" ht="15.6" thickBot="1" x14ac:dyDescent="0.4">
      <c r="C117" s="381" t="str">
        <f>CONCATENATE(IF([4]Summary!$B$1="Nederlands",[4]Parameters!E$10,IF([4]Summary!$B$1="English",[4]Parameters!E$11,IF([4]Summary!$B$1="Français",[4]Parameters!E$12,"")))," ",$C$2)</f>
        <v>Total 2019-02-REG-DGD</v>
      </c>
      <c r="D117" s="382"/>
      <c r="E117" s="383">
        <f>E115+E105</f>
        <v>64726520</v>
      </c>
      <c r="F117" s="383">
        <f>F115+F105</f>
        <v>57128.74</v>
      </c>
      <c r="G117" s="384"/>
    </row>
    <row r="118" spans="3:7" ht="15.6" thickBot="1" x14ac:dyDescent="0.4">
      <c r="G118" s="385"/>
    </row>
    <row r="119" spans="3:7" ht="15.6" thickBot="1" x14ac:dyDescent="0.4">
      <c r="C119" s="381" t="str">
        <f>IF([4]Summary!$B$1="Nederlands",[4]Parameters!I$14,IF([4]Summary!$B$1="English",[4]Parameters!I$15,IF([4]Summary!$B$1="Français",[4]Parameters!I$16,"")))</f>
        <v>Average exchange rate</v>
      </c>
      <c r="D119" s="382"/>
      <c r="E119" s="383"/>
      <c r="F119" s="383"/>
      <c r="G119" s="384">
        <f>G105</f>
        <v>1132.9940061692241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92574-5A97-4305-B744-3DD2B16C72DA}">
  <dimension ref="A1:FB241"/>
  <sheetViews>
    <sheetView workbookViewId="0">
      <selection activeCell="B3" sqref="B3"/>
    </sheetView>
  </sheetViews>
  <sheetFormatPr defaultColWidth="9.33203125" defaultRowHeight="14.4" x14ac:dyDescent="0.3"/>
  <cols>
    <col min="1" max="1" width="11.44140625" style="314" customWidth="1"/>
    <col min="2" max="2" width="81.6640625" style="619" customWidth="1"/>
    <col min="3" max="3" width="14.6640625" style="620" customWidth="1"/>
    <col min="4" max="4" width="13.6640625" style="621" customWidth="1"/>
    <col min="5" max="5" width="18.109375" style="621" customWidth="1"/>
    <col min="6" max="6" width="22.109375" style="622" customWidth="1"/>
    <col min="7" max="7" width="10.5546875" style="622" customWidth="1"/>
    <col min="8" max="8" width="19.6640625" style="622" customWidth="1"/>
    <col min="9" max="9" width="14.33203125" style="622" customWidth="1"/>
    <col min="10" max="10" width="8.88671875" style="445" customWidth="1"/>
    <col min="11" max="11" width="14.33203125" style="622" customWidth="1"/>
    <col min="12" max="12" width="33.6640625" style="623" customWidth="1"/>
    <col min="13" max="13" width="33.6640625" style="622" customWidth="1"/>
    <col min="14" max="14" width="5.33203125" style="445" customWidth="1"/>
    <col min="15" max="15" width="14.33203125" style="622" customWidth="1"/>
    <col min="16" max="16" width="13.88671875" style="622" customWidth="1"/>
    <col min="17" max="17" width="13.44140625" style="622" customWidth="1"/>
    <col min="18" max="19" width="13.33203125" style="622" customWidth="1"/>
    <col min="20" max="20" width="5" style="624" customWidth="1"/>
    <col min="21" max="21" width="13.88671875" style="621" customWidth="1"/>
    <col min="22" max="22" width="15" style="621" customWidth="1"/>
    <col min="23" max="23" width="13" style="621" customWidth="1"/>
    <col min="24" max="24" width="13.6640625" style="621" customWidth="1"/>
    <col min="25" max="25" width="13" style="621" customWidth="1"/>
    <col min="26" max="26" width="5.109375" style="621" customWidth="1"/>
    <col min="27" max="27" width="20.6640625" style="621" customWidth="1"/>
    <col min="28" max="28" width="13.88671875" style="621" customWidth="1"/>
    <col min="29" max="30" width="12.88671875" style="621" customWidth="1"/>
    <col min="31" max="31" width="13.109375" style="621" customWidth="1"/>
    <col min="32" max="32" width="6.44140625" style="621" customWidth="1"/>
    <col min="33" max="33" width="11.6640625" style="621" customWidth="1"/>
    <col min="34" max="34" width="11.88671875" style="621" customWidth="1"/>
    <col min="35" max="35" width="11.33203125" style="621" customWidth="1"/>
    <col min="36" max="37" width="11.88671875" style="621" customWidth="1"/>
    <col min="38" max="16384" width="9.33203125" style="621"/>
  </cols>
  <sheetData>
    <row r="1" spans="1:37" s="146" customFormat="1" ht="15" thickBot="1" x14ac:dyDescent="0.35">
      <c r="A1" s="117"/>
      <c r="B1" s="118" t="s">
        <v>3798</v>
      </c>
      <c r="C1" s="827" t="s">
        <v>33</v>
      </c>
      <c r="D1" s="828"/>
      <c r="E1" s="119"/>
      <c r="F1" s="802"/>
      <c r="G1" s="803"/>
      <c r="H1" s="444"/>
      <c r="I1" s="444"/>
      <c r="J1" s="445"/>
      <c r="K1" s="444"/>
      <c r="L1" s="446"/>
      <c r="M1" s="444"/>
      <c r="N1" s="447"/>
      <c r="O1" s="444"/>
      <c r="P1" s="444"/>
      <c r="Q1" s="444"/>
      <c r="R1" s="444"/>
      <c r="S1" s="444"/>
      <c r="T1" s="145"/>
    </row>
    <row r="2" spans="1:37" s="146" customFormat="1" ht="20.25" customHeight="1" thickBot="1" x14ac:dyDescent="0.35">
      <c r="A2" s="117"/>
      <c r="B2" s="118" t="s">
        <v>3799</v>
      </c>
      <c r="C2" s="804" t="s">
        <v>3800</v>
      </c>
      <c r="D2" s="829"/>
      <c r="E2" s="125"/>
      <c r="F2" s="802"/>
      <c r="G2" s="803"/>
      <c r="H2" s="444"/>
      <c r="I2" s="444"/>
      <c r="J2" s="445"/>
      <c r="K2" s="444"/>
      <c r="L2" s="446"/>
      <c r="M2" s="444"/>
      <c r="N2" s="447"/>
      <c r="O2" s="830" t="s">
        <v>36</v>
      </c>
      <c r="P2" s="831"/>
      <c r="Q2" s="831"/>
      <c r="R2" s="831"/>
      <c r="S2" s="832"/>
      <c r="T2" s="145"/>
      <c r="U2" s="830" t="s">
        <v>37</v>
      </c>
      <c r="V2" s="831"/>
      <c r="W2" s="831"/>
      <c r="X2" s="831"/>
      <c r="Y2" s="832"/>
      <c r="AA2" s="809" t="s">
        <v>38</v>
      </c>
      <c r="AB2" s="810"/>
      <c r="AC2" s="810"/>
      <c r="AD2" s="810"/>
      <c r="AE2" s="811"/>
      <c r="AG2" s="809" t="s">
        <v>39</v>
      </c>
      <c r="AH2" s="810"/>
      <c r="AI2" s="810"/>
      <c r="AJ2" s="810"/>
      <c r="AK2" s="811"/>
    </row>
    <row r="3" spans="1:37" s="146" customFormat="1" ht="42.6" customHeight="1" x14ac:dyDescent="0.3">
      <c r="A3" s="117"/>
      <c r="B3" s="448"/>
      <c r="C3" s="449"/>
      <c r="D3" s="450"/>
      <c r="E3" s="450"/>
      <c r="F3" s="444"/>
      <c r="G3" s="444"/>
      <c r="H3" s="451" t="s">
        <v>40</v>
      </c>
      <c r="I3" s="131" t="s">
        <v>3801</v>
      </c>
      <c r="J3" s="130"/>
      <c r="K3" s="131" t="s">
        <v>42</v>
      </c>
      <c r="L3" s="131" t="s">
        <v>43</v>
      </c>
      <c r="M3" s="131" t="s">
        <v>44</v>
      </c>
      <c r="N3" s="130"/>
      <c r="O3" s="452"/>
      <c r="P3" s="452"/>
      <c r="Q3" s="452"/>
      <c r="R3" s="452"/>
      <c r="S3" s="452"/>
      <c r="T3" s="145"/>
      <c r="U3" s="414"/>
      <c r="V3" s="414"/>
      <c r="W3" s="414"/>
      <c r="X3" s="414"/>
      <c r="Y3" s="414"/>
      <c r="AA3" s="413"/>
      <c r="AB3" s="413"/>
      <c r="AC3" s="413"/>
      <c r="AD3" s="413"/>
      <c r="AE3" s="413"/>
      <c r="AG3" s="414"/>
      <c r="AH3" s="414"/>
      <c r="AI3" s="414"/>
      <c r="AJ3" s="414"/>
      <c r="AK3" s="414"/>
    </row>
    <row r="4" spans="1:37" s="146" customFormat="1" x14ac:dyDescent="0.3">
      <c r="A4" s="133"/>
      <c r="B4" s="453"/>
      <c r="C4" s="454" t="s">
        <v>45</v>
      </c>
      <c r="D4" s="135" t="s">
        <v>46</v>
      </c>
      <c r="E4" s="135" t="s">
        <v>47</v>
      </c>
      <c r="F4" s="135" t="s">
        <v>48</v>
      </c>
      <c r="G4" s="136" t="s">
        <v>49</v>
      </c>
      <c r="H4" s="136"/>
      <c r="I4" s="136"/>
      <c r="J4" s="137"/>
      <c r="K4" s="136"/>
      <c r="L4" s="455"/>
      <c r="M4" s="136"/>
      <c r="N4" s="137"/>
      <c r="O4" s="136" t="s">
        <v>50</v>
      </c>
      <c r="P4" s="456" t="s">
        <v>51</v>
      </c>
      <c r="Q4" s="136" t="s">
        <v>52</v>
      </c>
      <c r="R4" s="136" t="s">
        <v>53</v>
      </c>
      <c r="S4" s="136" t="s">
        <v>3802</v>
      </c>
      <c r="T4" s="145"/>
      <c r="U4" s="136" t="s">
        <v>50</v>
      </c>
      <c r="V4" s="456" t="s">
        <v>51</v>
      </c>
      <c r="W4" s="136" t="s">
        <v>52</v>
      </c>
      <c r="X4" s="136" t="s">
        <v>53</v>
      </c>
      <c r="Y4" s="136" t="s">
        <v>3802</v>
      </c>
      <c r="AA4" s="136" t="s">
        <v>50</v>
      </c>
      <c r="AB4" s="136" t="s">
        <v>51</v>
      </c>
      <c r="AC4" s="136" t="s">
        <v>52</v>
      </c>
      <c r="AD4" s="136" t="s">
        <v>53</v>
      </c>
      <c r="AE4" s="136" t="s">
        <v>3802</v>
      </c>
      <c r="AG4" s="136" t="s">
        <v>50</v>
      </c>
      <c r="AH4" s="136" t="s">
        <v>51</v>
      </c>
      <c r="AI4" s="136" t="s">
        <v>52</v>
      </c>
      <c r="AJ4" s="136" t="s">
        <v>53</v>
      </c>
      <c r="AK4" s="136" t="s">
        <v>3802</v>
      </c>
    </row>
    <row r="5" spans="1:37" s="146" customFormat="1" ht="15" customHeight="1" x14ac:dyDescent="0.3">
      <c r="A5" s="812" t="s">
        <v>54</v>
      </c>
      <c r="B5" s="814" t="s">
        <v>55</v>
      </c>
      <c r="C5" s="454"/>
      <c r="D5" s="457"/>
      <c r="E5" s="457"/>
      <c r="F5" s="816"/>
      <c r="G5" s="816">
        <v>2600</v>
      </c>
      <c r="H5" s="816" t="s">
        <v>56</v>
      </c>
      <c r="I5" s="817" t="s">
        <v>56</v>
      </c>
      <c r="J5" s="137"/>
      <c r="K5" s="817" t="s">
        <v>56</v>
      </c>
      <c r="L5" s="833" t="s">
        <v>56</v>
      </c>
      <c r="M5" s="817" t="s">
        <v>56</v>
      </c>
      <c r="N5" s="137"/>
      <c r="O5" s="458"/>
      <c r="P5" s="459"/>
      <c r="Q5" s="458"/>
      <c r="R5" s="458"/>
      <c r="S5" s="458"/>
      <c r="T5" s="145"/>
      <c r="U5" s="458"/>
      <c r="V5" s="459"/>
      <c r="W5" s="458"/>
      <c r="X5" s="458"/>
      <c r="Y5" s="458"/>
      <c r="AA5" s="138"/>
      <c r="AB5" s="138"/>
      <c r="AC5" s="138"/>
      <c r="AD5" s="138"/>
      <c r="AE5" s="138"/>
      <c r="AG5" s="138"/>
      <c r="AH5" s="138"/>
      <c r="AI5" s="138"/>
      <c r="AJ5" s="138"/>
      <c r="AK5" s="138"/>
    </row>
    <row r="6" spans="1:37" s="146" customFormat="1" ht="39" customHeight="1" x14ac:dyDescent="0.3">
      <c r="A6" s="813"/>
      <c r="B6" s="814"/>
      <c r="C6" s="454"/>
      <c r="D6" s="457"/>
      <c r="E6" s="457"/>
      <c r="F6" s="816"/>
      <c r="G6" s="816"/>
      <c r="H6" s="816"/>
      <c r="I6" s="818"/>
      <c r="J6" s="137"/>
      <c r="K6" s="818"/>
      <c r="L6" s="834"/>
      <c r="M6" s="818"/>
      <c r="N6" s="137"/>
      <c r="O6" s="136" t="s">
        <v>56</v>
      </c>
      <c r="P6" s="456" t="s">
        <v>56</v>
      </c>
      <c r="Q6" s="136" t="s">
        <v>56</v>
      </c>
      <c r="R6" s="136" t="s">
        <v>56</v>
      </c>
      <c r="S6" s="136" t="s">
        <v>56</v>
      </c>
      <c r="T6" s="145"/>
      <c r="U6" s="136" t="s">
        <v>56</v>
      </c>
      <c r="V6" s="456" t="s">
        <v>56</v>
      </c>
      <c r="W6" s="136" t="s">
        <v>56</v>
      </c>
      <c r="X6" s="136" t="s">
        <v>56</v>
      </c>
      <c r="Y6" s="136" t="s">
        <v>56</v>
      </c>
      <c r="AA6" s="136" t="s">
        <v>56</v>
      </c>
      <c r="AB6" s="136" t="s">
        <v>56</v>
      </c>
      <c r="AC6" s="136" t="s">
        <v>56</v>
      </c>
      <c r="AD6" s="136" t="s">
        <v>56</v>
      </c>
      <c r="AE6" s="136" t="s">
        <v>56</v>
      </c>
      <c r="AG6" s="136" t="s">
        <v>56</v>
      </c>
      <c r="AH6" s="136" t="s">
        <v>56</v>
      </c>
      <c r="AI6" s="136" t="s">
        <v>56</v>
      </c>
      <c r="AJ6" s="136" t="s">
        <v>56</v>
      </c>
      <c r="AK6" s="136" t="s">
        <v>56</v>
      </c>
    </row>
    <row r="7" spans="1:37" s="146" customFormat="1" ht="18" customHeight="1" x14ac:dyDescent="0.3">
      <c r="A7" s="139"/>
      <c r="B7" s="838" t="s">
        <v>57</v>
      </c>
      <c r="C7" s="838"/>
      <c r="D7" s="838"/>
      <c r="E7" s="838"/>
      <c r="F7" s="838"/>
      <c r="G7" s="838"/>
      <c r="H7" s="838"/>
      <c r="I7" s="142"/>
      <c r="J7" s="143"/>
      <c r="K7" s="142"/>
      <c r="L7" s="460"/>
      <c r="M7" s="187"/>
      <c r="N7" s="165"/>
      <c r="O7" s="142"/>
      <c r="P7" s="461"/>
      <c r="Q7" s="142"/>
      <c r="R7" s="142"/>
      <c r="S7" s="142"/>
      <c r="T7" s="145"/>
      <c r="U7" s="142"/>
      <c r="V7" s="461"/>
      <c r="W7" s="142"/>
      <c r="X7" s="142"/>
      <c r="Y7" s="142"/>
      <c r="AA7" s="144"/>
      <c r="AB7" s="144"/>
      <c r="AC7" s="144"/>
      <c r="AD7" s="144"/>
      <c r="AE7" s="144"/>
      <c r="AG7" s="415"/>
      <c r="AH7" s="415"/>
      <c r="AI7" s="415"/>
      <c r="AJ7" s="415"/>
      <c r="AK7" s="415"/>
    </row>
    <row r="8" spans="1:37" s="146" customFormat="1" ht="18" customHeight="1" x14ac:dyDescent="0.3">
      <c r="A8" s="139"/>
      <c r="B8" s="142" t="s">
        <v>8</v>
      </c>
      <c r="C8" s="462"/>
      <c r="D8" s="142"/>
      <c r="E8" s="142"/>
      <c r="F8" s="142"/>
      <c r="G8" s="142"/>
      <c r="H8" s="142"/>
      <c r="I8" s="142"/>
      <c r="J8" s="143"/>
      <c r="K8" s="142"/>
      <c r="L8" s="460"/>
      <c r="M8" s="187"/>
      <c r="N8" s="165"/>
      <c r="O8" s="142"/>
      <c r="P8" s="461"/>
      <c r="Q8" s="142"/>
      <c r="R8" s="142"/>
      <c r="S8" s="142"/>
      <c r="T8" s="145"/>
      <c r="U8" s="142"/>
      <c r="V8" s="461"/>
      <c r="W8" s="142"/>
      <c r="X8" s="142"/>
      <c r="Y8" s="142"/>
      <c r="AA8" s="142"/>
      <c r="AB8" s="142"/>
      <c r="AC8" s="142"/>
      <c r="AD8" s="142"/>
      <c r="AE8" s="142"/>
      <c r="AG8" s="415"/>
      <c r="AH8" s="415"/>
      <c r="AI8" s="415"/>
      <c r="AJ8" s="415"/>
      <c r="AK8" s="415"/>
    </row>
    <row r="9" spans="1:37" s="146" customFormat="1" ht="16.5" customHeight="1" x14ac:dyDescent="0.3">
      <c r="A9" s="139"/>
      <c r="B9" s="463" t="s">
        <v>3803</v>
      </c>
      <c r="C9" s="464" t="s">
        <v>65</v>
      </c>
      <c r="D9" s="463">
        <v>1</v>
      </c>
      <c r="E9" s="463">
        <v>50000000</v>
      </c>
      <c r="F9" s="465">
        <f>D9*E9</f>
        <v>50000000</v>
      </c>
      <c r="G9" s="465">
        <f t="shared" ref="G9:G42" si="0">$G$5</f>
        <v>2600</v>
      </c>
      <c r="H9" s="465">
        <f>IF($G$5=0,0,F9/G9)</f>
        <v>19230.76923076923</v>
      </c>
      <c r="I9" s="465">
        <v>19230.76923076923</v>
      </c>
      <c r="J9" s="466"/>
      <c r="K9" s="465">
        <f>SUM(U9:Y9)</f>
        <v>31382.616950712869</v>
      </c>
      <c r="L9" s="467">
        <f>K9-I9</f>
        <v>12151.847719943638</v>
      </c>
      <c r="M9" s="468">
        <f>IFERROR(L9/I9,0)</f>
        <v>0.63189608143706921</v>
      </c>
      <c r="N9" s="469"/>
      <c r="O9" s="470">
        <v>4807.6923076923076</v>
      </c>
      <c r="P9" s="470">
        <v>4807.6923076923076</v>
      </c>
      <c r="Q9" s="470">
        <v>4807.6923076923076</v>
      </c>
      <c r="R9" s="470">
        <v>4807.6923076923076</v>
      </c>
      <c r="S9" s="471"/>
      <c r="T9" s="145"/>
      <c r="U9" s="470">
        <v>7845.6542376782172</v>
      </c>
      <c r="V9" s="470">
        <v>7845.6542376782172</v>
      </c>
      <c r="W9" s="470">
        <v>7845.6542376782172</v>
      </c>
      <c r="X9" s="470">
        <v>7845.6542376782172</v>
      </c>
      <c r="Y9" s="470">
        <v>0</v>
      </c>
      <c r="AA9" s="155">
        <f t="shared" ref="AA9:AE11" si="1">U9-O9</f>
        <v>3037.9619299859096</v>
      </c>
      <c r="AB9" s="155">
        <f t="shared" si="1"/>
        <v>3037.9619299859096</v>
      </c>
      <c r="AC9" s="155">
        <f t="shared" si="1"/>
        <v>3037.9619299859096</v>
      </c>
      <c r="AD9" s="155">
        <f t="shared" si="1"/>
        <v>3037.9619299859096</v>
      </c>
      <c r="AE9" s="155">
        <f t="shared" si="1"/>
        <v>0</v>
      </c>
      <c r="AG9" s="156">
        <f t="shared" ref="AG9:AK11" si="2">IFERROR(AA9/O9,0)</f>
        <v>0.63189608143706921</v>
      </c>
      <c r="AH9" s="156">
        <f t="shared" si="2"/>
        <v>0.63189608143706921</v>
      </c>
      <c r="AI9" s="156">
        <f t="shared" si="2"/>
        <v>0.63189608143706921</v>
      </c>
      <c r="AJ9" s="156">
        <f t="shared" si="2"/>
        <v>0.63189608143706921</v>
      </c>
      <c r="AK9" s="156">
        <f t="shared" si="2"/>
        <v>0</v>
      </c>
    </row>
    <row r="10" spans="1:37" s="225" customFormat="1" x14ac:dyDescent="0.3">
      <c r="A10" s="139"/>
      <c r="B10" s="472" t="s">
        <v>3804</v>
      </c>
      <c r="C10" s="464" t="s">
        <v>59</v>
      </c>
      <c r="D10" s="472">
        <v>1</v>
      </c>
      <c r="E10" s="473">
        <v>5280000</v>
      </c>
      <c r="F10" s="474">
        <f t="shared" ref="F10" si="3">D10*E10</f>
        <v>5280000</v>
      </c>
      <c r="G10" s="474">
        <f t="shared" si="0"/>
        <v>2600</v>
      </c>
      <c r="H10" s="474"/>
      <c r="I10" s="465">
        <v>2030.7692307692307</v>
      </c>
      <c r="J10" s="466"/>
      <c r="K10" s="465">
        <f>SUM(U10:Y10)</f>
        <v>1958.5085283238543</v>
      </c>
      <c r="L10" s="467">
        <f>K10-I10</f>
        <v>-72.26070244537641</v>
      </c>
      <c r="M10" s="468">
        <f>IFERROR(L10/I10,0)</f>
        <v>-3.5582921658708085E-2</v>
      </c>
      <c r="N10" s="469"/>
      <c r="O10" s="470"/>
      <c r="P10" s="470"/>
      <c r="Q10" s="470"/>
      <c r="R10" s="470"/>
      <c r="S10" s="470">
        <v>2030.7692307692307</v>
      </c>
      <c r="T10" s="159"/>
      <c r="U10" s="470">
        <v>0</v>
      </c>
      <c r="V10" s="470">
        <v>0</v>
      </c>
      <c r="W10" s="470">
        <v>0</v>
      </c>
      <c r="X10" s="470">
        <v>0</v>
      </c>
      <c r="Y10" s="470">
        <v>1958.5085283238543</v>
      </c>
      <c r="AA10" s="155">
        <f t="shared" si="1"/>
        <v>0</v>
      </c>
      <c r="AB10" s="155">
        <f t="shared" si="1"/>
        <v>0</v>
      </c>
      <c r="AC10" s="155">
        <f t="shared" si="1"/>
        <v>0</v>
      </c>
      <c r="AD10" s="155">
        <f t="shared" si="1"/>
        <v>0</v>
      </c>
      <c r="AE10" s="155">
        <f t="shared" si="1"/>
        <v>-72.26070244537641</v>
      </c>
      <c r="AG10" s="156">
        <f t="shared" si="2"/>
        <v>0</v>
      </c>
      <c r="AH10" s="156">
        <f t="shared" si="2"/>
        <v>0</v>
      </c>
      <c r="AI10" s="156">
        <f t="shared" si="2"/>
        <v>0</v>
      </c>
      <c r="AJ10" s="156">
        <f t="shared" si="2"/>
        <v>0</v>
      </c>
      <c r="AK10" s="156">
        <f t="shared" si="2"/>
        <v>-3.5582921658708085E-2</v>
      </c>
    </row>
    <row r="11" spans="1:37" s="146" customFormat="1" ht="16.5" customHeight="1" x14ac:dyDescent="0.3">
      <c r="A11" s="139"/>
      <c r="B11" s="475" t="s">
        <v>3805</v>
      </c>
      <c r="C11" s="476"/>
      <c r="D11" s="477"/>
      <c r="E11" s="477"/>
      <c r="F11" s="477">
        <f>SUM(F9:F10)</f>
        <v>55280000</v>
      </c>
      <c r="G11" s="477"/>
      <c r="H11" s="477">
        <f>SUM(H9:H10)</f>
        <v>19230.76923076923</v>
      </c>
      <c r="I11" s="477">
        <f>SUM(I9:I10)</f>
        <v>21261.538461538461</v>
      </c>
      <c r="J11" s="478"/>
      <c r="K11" s="477">
        <f>SUM(K9:K10)</f>
        <v>33341.125479036724</v>
      </c>
      <c r="L11" s="479">
        <f>SUM(L9:L10)</f>
        <v>12079.587017498263</v>
      </c>
      <c r="M11" s="169">
        <f>IFERROR(L11/I11,0)</f>
        <v>0.56814266001258107</v>
      </c>
      <c r="N11" s="165"/>
      <c r="O11" s="477">
        <f>SUM(O9:O10)</f>
        <v>4807.6923076923076</v>
      </c>
      <c r="P11" s="477">
        <f t="shared" ref="P11:S11" si="4">SUM(P9:P10)</f>
        <v>4807.6923076923076</v>
      </c>
      <c r="Q11" s="477">
        <f t="shared" si="4"/>
        <v>4807.6923076923076</v>
      </c>
      <c r="R11" s="477">
        <f t="shared" si="4"/>
        <v>4807.6923076923076</v>
      </c>
      <c r="S11" s="477">
        <f t="shared" si="4"/>
        <v>2030.7692307692307</v>
      </c>
      <c r="T11" s="145"/>
      <c r="U11" s="477">
        <f>SUM(U9:U10)</f>
        <v>7845.6542376782172</v>
      </c>
      <c r="V11" s="477">
        <f t="shared" ref="V11:Y11" si="5">SUM(V9:V10)</f>
        <v>7845.6542376782172</v>
      </c>
      <c r="W11" s="477">
        <f t="shared" si="5"/>
        <v>7845.6542376782172</v>
      </c>
      <c r="X11" s="477">
        <f t="shared" si="5"/>
        <v>7845.6542376782172</v>
      </c>
      <c r="Y11" s="477">
        <f t="shared" si="5"/>
        <v>1958.5085283238543</v>
      </c>
      <c r="AA11" s="477">
        <f t="shared" si="1"/>
        <v>3037.9619299859096</v>
      </c>
      <c r="AB11" s="477">
        <f t="shared" si="1"/>
        <v>3037.9619299859096</v>
      </c>
      <c r="AC11" s="477">
        <f t="shared" si="1"/>
        <v>3037.9619299859096</v>
      </c>
      <c r="AD11" s="477">
        <f t="shared" si="1"/>
        <v>3037.9619299859096</v>
      </c>
      <c r="AE11" s="477">
        <f t="shared" si="1"/>
        <v>-72.26070244537641</v>
      </c>
      <c r="AG11" s="169">
        <f t="shared" si="2"/>
        <v>0.63189608143706921</v>
      </c>
      <c r="AH11" s="169">
        <f t="shared" si="2"/>
        <v>0.63189608143706921</v>
      </c>
      <c r="AI11" s="169">
        <f t="shared" si="2"/>
        <v>0.63189608143706921</v>
      </c>
      <c r="AJ11" s="169">
        <f t="shared" si="2"/>
        <v>0.63189608143706921</v>
      </c>
      <c r="AK11" s="169">
        <f t="shared" si="2"/>
        <v>-3.5582921658708085E-2</v>
      </c>
    </row>
    <row r="12" spans="1:37" s="146" customFormat="1" ht="18" customHeight="1" x14ac:dyDescent="0.3">
      <c r="A12" s="139"/>
      <c r="B12" s="480" t="s">
        <v>60</v>
      </c>
      <c r="C12" s="481"/>
      <c r="D12" s="480"/>
      <c r="E12" s="480"/>
      <c r="F12" s="480"/>
      <c r="G12" s="480"/>
      <c r="H12" s="480"/>
      <c r="I12" s="480"/>
      <c r="J12" s="478"/>
      <c r="K12" s="480"/>
      <c r="L12" s="482"/>
      <c r="M12" s="187"/>
      <c r="N12" s="165"/>
      <c r="O12" s="480"/>
      <c r="P12" s="483"/>
      <c r="Q12" s="480"/>
      <c r="R12" s="480"/>
      <c r="S12" s="480"/>
      <c r="T12" s="145"/>
      <c r="U12" s="480"/>
      <c r="V12" s="483"/>
      <c r="W12" s="480"/>
      <c r="X12" s="480"/>
      <c r="Y12" s="480"/>
      <c r="AA12" s="480"/>
      <c r="AB12" s="483"/>
      <c r="AC12" s="480"/>
      <c r="AD12" s="480"/>
      <c r="AE12" s="480"/>
      <c r="AG12" s="480"/>
      <c r="AH12" s="483"/>
      <c r="AI12" s="480"/>
      <c r="AJ12" s="480"/>
      <c r="AK12" s="480"/>
    </row>
    <row r="13" spans="1:37" s="225" customFormat="1" x14ac:dyDescent="0.3">
      <c r="A13" s="139"/>
      <c r="B13" s="472" t="s">
        <v>3806</v>
      </c>
      <c r="C13" s="484" t="s">
        <v>59</v>
      </c>
      <c r="D13" s="472">
        <v>1</v>
      </c>
      <c r="E13" s="472">
        <v>6000000</v>
      </c>
      <c r="F13" s="474">
        <f t="shared" ref="F13:F42" si="6">D13*E13</f>
        <v>6000000</v>
      </c>
      <c r="G13" s="474">
        <f t="shared" si="0"/>
        <v>2600</v>
      </c>
      <c r="H13" s="474">
        <f t="shared" ref="H13:H31" si="7">IF($G$5=0,0,F13/G13)</f>
        <v>2307.6923076923076</v>
      </c>
      <c r="I13" s="465">
        <v>0</v>
      </c>
      <c r="J13" s="466"/>
      <c r="K13" s="465">
        <f t="shared" ref="K13:K41" si="8">SUM(U13:Y13)</f>
        <v>0</v>
      </c>
      <c r="L13" s="467">
        <f t="shared" ref="L13:L42" si="9">K13-I13</f>
        <v>0</v>
      </c>
      <c r="M13" s="468">
        <f t="shared" ref="M13:M44" si="10">IFERROR(L13/I13,0)</f>
        <v>0</v>
      </c>
      <c r="N13" s="469"/>
      <c r="O13" s="517">
        <v>0</v>
      </c>
      <c r="P13" s="764"/>
      <c r="Q13" s="517"/>
      <c r="R13" s="517"/>
      <c r="S13" s="517"/>
      <c r="T13" s="159"/>
      <c r="U13" s="465"/>
      <c r="V13" s="465"/>
      <c r="W13" s="465"/>
      <c r="X13" s="465"/>
      <c r="Y13" s="465"/>
      <c r="AA13" s="155">
        <f t="shared" ref="AA13:AE44" si="11">U13-O13</f>
        <v>0</v>
      </c>
      <c r="AB13" s="155">
        <f t="shared" si="11"/>
        <v>0</v>
      </c>
      <c r="AC13" s="155">
        <f t="shared" si="11"/>
        <v>0</v>
      </c>
      <c r="AD13" s="155">
        <f t="shared" si="11"/>
        <v>0</v>
      </c>
      <c r="AE13" s="155">
        <f t="shared" si="11"/>
        <v>0</v>
      </c>
      <c r="AG13" s="156">
        <f t="shared" ref="AG13:AK44" si="12">IFERROR(AA13/O13,0)</f>
        <v>0</v>
      </c>
      <c r="AH13" s="156">
        <f t="shared" si="12"/>
        <v>0</v>
      </c>
      <c r="AI13" s="156">
        <f t="shared" si="12"/>
        <v>0</v>
      </c>
      <c r="AJ13" s="156">
        <f t="shared" si="12"/>
        <v>0</v>
      </c>
      <c r="AK13" s="156">
        <f t="shared" si="12"/>
        <v>0</v>
      </c>
    </row>
    <row r="14" spans="1:37" s="225" customFormat="1" x14ac:dyDescent="0.3">
      <c r="A14" s="139"/>
      <c r="B14" s="472" t="s">
        <v>3807</v>
      </c>
      <c r="C14" s="484" t="s">
        <v>59</v>
      </c>
      <c r="D14" s="472">
        <v>1</v>
      </c>
      <c r="E14" s="472">
        <v>20000000</v>
      </c>
      <c r="F14" s="474">
        <f t="shared" si="6"/>
        <v>20000000</v>
      </c>
      <c r="G14" s="474">
        <f t="shared" si="0"/>
        <v>2600</v>
      </c>
      <c r="H14" s="474">
        <f>IF($G$5=0,0,F14/G14)</f>
        <v>7692.3076923076924</v>
      </c>
      <c r="I14" s="465">
        <v>0</v>
      </c>
      <c r="J14" s="466"/>
      <c r="K14" s="465">
        <f t="shared" si="8"/>
        <v>0</v>
      </c>
      <c r="L14" s="467">
        <f t="shared" si="9"/>
        <v>0</v>
      </c>
      <c r="M14" s="468">
        <f t="shared" si="10"/>
        <v>0</v>
      </c>
      <c r="N14" s="469"/>
      <c r="O14" s="517">
        <v>0</v>
      </c>
      <c r="P14" s="764"/>
      <c r="Q14" s="517"/>
      <c r="R14" s="517"/>
      <c r="S14" s="517"/>
      <c r="T14" s="159"/>
      <c r="U14" s="465"/>
      <c r="V14" s="465"/>
      <c r="W14" s="465"/>
      <c r="X14" s="465"/>
      <c r="Y14" s="465"/>
      <c r="AA14" s="155">
        <f t="shared" si="11"/>
        <v>0</v>
      </c>
      <c r="AB14" s="155">
        <f t="shared" si="11"/>
        <v>0</v>
      </c>
      <c r="AC14" s="155">
        <f t="shared" si="11"/>
        <v>0</v>
      </c>
      <c r="AD14" s="155">
        <f t="shared" si="11"/>
        <v>0</v>
      </c>
      <c r="AE14" s="155">
        <f t="shared" si="11"/>
        <v>0</v>
      </c>
      <c r="AG14" s="156">
        <f t="shared" si="12"/>
        <v>0</v>
      </c>
      <c r="AH14" s="156">
        <f t="shared" si="12"/>
        <v>0</v>
      </c>
      <c r="AI14" s="156">
        <f t="shared" si="12"/>
        <v>0</v>
      </c>
      <c r="AJ14" s="156">
        <f t="shared" si="12"/>
        <v>0</v>
      </c>
      <c r="AK14" s="156">
        <f t="shared" si="12"/>
        <v>0</v>
      </c>
    </row>
    <row r="15" spans="1:37" s="225" customFormat="1" x14ac:dyDescent="0.3">
      <c r="A15" s="139"/>
      <c r="B15" s="472" t="s">
        <v>3808</v>
      </c>
      <c r="C15" s="484" t="s">
        <v>59</v>
      </c>
      <c r="D15" s="472">
        <v>1</v>
      </c>
      <c r="E15" s="472">
        <v>10000000</v>
      </c>
      <c r="F15" s="474">
        <f t="shared" si="6"/>
        <v>10000000</v>
      </c>
      <c r="G15" s="474">
        <f t="shared" si="0"/>
        <v>2600</v>
      </c>
      <c r="H15" s="474">
        <f t="shared" si="7"/>
        <v>3846.1538461538462</v>
      </c>
      <c r="I15" s="465">
        <v>0</v>
      </c>
      <c r="J15" s="466"/>
      <c r="K15" s="465">
        <f t="shared" si="8"/>
        <v>0</v>
      </c>
      <c r="L15" s="467">
        <f t="shared" si="9"/>
        <v>0</v>
      </c>
      <c r="M15" s="468">
        <f t="shared" si="10"/>
        <v>0</v>
      </c>
      <c r="N15" s="469"/>
      <c r="O15" s="517">
        <v>0</v>
      </c>
      <c r="P15" s="764"/>
      <c r="Q15" s="517"/>
      <c r="R15" s="517"/>
      <c r="S15" s="517"/>
      <c r="T15" s="159"/>
      <c r="U15" s="465"/>
      <c r="V15" s="465"/>
      <c r="W15" s="465"/>
      <c r="X15" s="465"/>
      <c r="Y15" s="465"/>
      <c r="AA15" s="155">
        <f t="shared" si="11"/>
        <v>0</v>
      </c>
      <c r="AB15" s="155">
        <f t="shared" si="11"/>
        <v>0</v>
      </c>
      <c r="AC15" s="155">
        <f t="shared" si="11"/>
        <v>0</v>
      </c>
      <c r="AD15" s="155">
        <f t="shared" si="11"/>
        <v>0</v>
      </c>
      <c r="AE15" s="155">
        <f t="shared" si="11"/>
        <v>0</v>
      </c>
      <c r="AG15" s="156">
        <f t="shared" si="12"/>
        <v>0</v>
      </c>
      <c r="AH15" s="156">
        <f t="shared" si="12"/>
        <v>0</v>
      </c>
      <c r="AI15" s="156">
        <f t="shared" si="12"/>
        <v>0</v>
      </c>
      <c r="AJ15" s="156">
        <f t="shared" si="12"/>
        <v>0</v>
      </c>
      <c r="AK15" s="156">
        <f t="shared" si="12"/>
        <v>0</v>
      </c>
    </row>
    <row r="16" spans="1:37" s="159" customFormat="1" x14ac:dyDescent="0.3">
      <c r="A16" s="139"/>
      <c r="B16" s="485" t="s">
        <v>3809</v>
      </c>
      <c r="C16" s="484" t="s">
        <v>59</v>
      </c>
      <c r="D16" s="472">
        <v>2</v>
      </c>
      <c r="E16" s="472">
        <v>10000000</v>
      </c>
      <c r="F16" s="474">
        <f t="shared" si="6"/>
        <v>20000000</v>
      </c>
      <c r="G16" s="474">
        <f t="shared" si="0"/>
        <v>2600</v>
      </c>
      <c r="H16" s="474">
        <f t="shared" si="7"/>
        <v>7692.3076923076924</v>
      </c>
      <c r="I16" s="465">
        <v>0</v>
      </c>
      <c r="J16" s="486"/>
      <c r="K16" s="465">
        <f t="shared" si="8"/>
        <v>0</v>
      </c>
      <c r="L16" s="467">
        <f t="shared" si="9"/>
        <v>0</v>
      </c>
      <c r="M16" s="468">
        <f t="shared" si="10"/>
        <v>0</v>
      </c>
      <c r="N16" s="157"/>
      <c r="O16" s="517">
        <v>0</v>
      </c>
      <c r="P16" s="549"/>
      <c r="Q16" s="542"/>
      <c r="R16" s="542"/>
      <c r="S16" s="542"/>
      <c r="T16" s="487"/>
      <c r="U16" s="465"/>
      <c r="V16" s="465"/>
      <c r="W16" s="465"/>
      <c r="X16" s="465"/>
      <c r="Y16" s="465"/>
      <c r="AA16" s="155">
        <f t="shared" si="11"/>
        <v>0</v>
      </c>
      <c r="AB16" s="155">
        <f t="shared" si="11"/>
        <v>0</v>
      </c>
      <c r="AC16" s="155">
        <f t="shared" si="11"/>
        <v>0</v>
      </c>
      <c r="AD16" s="155">
        <f t="shared" si="11"/>
        <v>0</v>
      </c>
      <c r="AE16" s="155">
        <f t="shared" si="11"/>
        <v>0</v>
      </c>
      <c r="AG16" s="156">
        <f t="shared" si="12"/>
        <v>0</v>
      </c>
      <c r="AH16" s="156">
        <f t="shared" si="12"/>
        <v>0</v>
      </c>
      <c r="AI16" s="156">
        <f t="shared" si="12"/>
        <v>0</v>
      </c>
      <c r="AJ16" s="156">
        <f t="shared" si="12"/>
        <v>0</v>
      </c>
      <c r="AK16" s="156">
        <f t="shared" si="12"/>
        <v>0</v>
      </c>
    </row>
    <row r="17" spans="1:37" s="159" customFormat="1" x14ac:dyDescent="0.3">
      <c r="A17" s="139"/>
      <c r="B17" s="472" t="s">
        <v>3810</v>
      </c>
      <c r="C17" s="464" t="s">
        <v>65</v>
      </c>
      <c r="D17" s="472">
        <v>1</v>
      </c>
      <c r="E17" s="472">
        <v>20000000</v>
      </c>
      <c r="F17" s="474">
        <f t="shared" si="6"/>
        <v>20000000</v>
      </c>
      <c r="G17" s="474">
        <f t="shared" si="0"/>
        <v>2600</v>
      </c>
      <c r="H17" s="474">
        <f t="shared" si="7"/>
        <v>7692.3076923076924</v>
      </c>
      <c r="I17" s="465">
        <v>4792</v>
      </c>
      <c r="J17" s="486"/>
      <c r="K17" s="465">
        <f t="shared" si="8"/>
        <v>5320.7488976953391</v>
      </c>
      <c r="L17" s="467">
        <f t="shared" si="9"/>
        <v>528.74889769533911</v>
      </c>
      <c r="M17" s="468">
        <f t="shared" si="10"/>
        <v>0.11033992022022936</v>
      </c>
      <c r="N17" s="157"/>
      <c r="O17" s="517">
        <v>4792</v>
      </c>
      <c r="P17" s="549"/>
      <c r="Q17" s="542"/>
      <c r="R17" s="542"/>
      <c r="S17" s="542"/>
      <c r="T17" s="487"/>
      <c r="U17" s="465">
        <v>5320.7488976953391</v>
      </c>
      <c r="V17" s="465">
        <v>0</v>
      </c>
      <c r="W17" s="465">
        <v>0</v>
      </c>
      <c r="X17" s="465">
        <v>0</v>
      </c>
      <c r="Y17" s="465">
        <v>0</v>
      </c>
      <c r="AA17" s="155">
        <f t="shared" si="11"/>
        <v>528.74889769533911</v>
      </c>
      <c r="AB17" s="155">
        <f t="shared" si="11"/>
        <v>0</v>
      </c>
      <c r="AC17" s="155">
        <f t="shared" si="11"/>
        <v>0</v>
      </c>
      <c r="AD17" s="155">
        <f t="shared" si="11"/>
        <v>0</v>
      </c>
      <c r="AE17" s="155">
        <f t="shared" si="11"/>
        <v>0</v>
      </c>
      <c r="AG17" s="156">
        <f t="shared" si="12"/>
        <v>0.11033992022022936</v>
      </c>
      <c r="AH17" s="156">
        <f t="shared" si="12"/>
        <v>0</v>
      </c>
      <c r="AI17" s="156">
        <f t="shared" si="12"/>
        <v>0</v>
      </c>
      <c r="AJ17" s="156">
        <f t="shared" si="12"/>
        <v>0</v>
      </c>
      <c r="AK17" s="156">
        <f t="shared" si="12"/>
        <v>0</v>
      </c>
    </row>
    <row r="18" spans="1:37" s="159" customFormat="1" x14ac:dyDescent="0.3">
      <c r="A18" s="139"/>
      <c r="B18" s="472" t="s">
        <v>68</v>
      </c>
      <c r="C18" s="464" t="s">
        <v>65</v>
      </c>
      <c r="D18" s="472">
        <v>50</v>
      </c>
      <c r="E18" s="472">
        <v>100000</v>
      </c>
      <c r="F18" s="474">
        <f t="shared" si="6"/>
        <v>5000000</v>
      </c>
      <c r="G18" s="474">
        <f t="shared" si="0"/>
        <v>2600</v>
      </c>
      <c r="H18" s="474">
        <f t="shared" si="7"/>
        <v>1923.0769230769231</v>
      </c>
      <c r="I18" s="465">
        <v>0</v>
      </c>
      <c r="J18" s="466"/>
      <c r="K18" s="465">
        <f t="shared" si="8"/>
        <v>0</v>
      </c>
      <c r="L18" s="467">
        <f t="shared" si="9"/>
        <v>0</v>
      </c>
      <c r="M18" s="468">
        <f t="shared" si="10"/>
        <v>0</v>
      </c>
      <c r="N18" s="469"/>
      <c r="O18" s="517">
        <v>0</v>
      </c>
      <c r="P18" s="765"/>
      <c r="Q18" s="534"/>
      <c r="R18" s="534"/>
      <c r="S18" s="534"/>
      <c r="U18" s="465"/>
      <c r="V18" s="465"/>
      <c r="W18" s="465"/>
      <c r="X18" s="465"/>
      <c r="Y18" s="465"/>
      <c r="AA18" s="155">
        <f t="shared" si="11"/>
        <v>0</v>
      </c>
      <c r="AB18" s="155">
        <f t="shared" si="11"/>
        <v>0</v>
      </c>
      <c r="AC18" s="155">
        <f t="shared" si="11"/>
        <v>0</v>
      </c>
      <c r="AD18" s="155">
        <f t="shared" si="11"/>
        <v>0</v>
      </c>
      <c r="AE18" s="155">
        <f t="shared" si="11"/>
        <v>0</v>
      </c>
      <c r="AG18" s="156">
        <f t="shared" si="12"/>
        <v>0</v>
      </c>
      <c r="AH18" s="156">
        <f t="shared" si="12"/>
        <v>0</v>
      </c>
      <c r="AI18" s="156">
        <f t="shared" si="12"/>
        <v>0</v>
      </c>
      <c r="AJ18" s="156">
        <f t="shared" si="12"/>
        <v>0</v>
      </c>
      <c r="AK18" s="156">
        <f t="shared" si="12"/>
        <v>0</v>
      </c>
    </row>
    <row r="19" spans="1:37" s="159" customFormat="1" x14ac:dyDescent="0.3">
      <c r="A19" s="139"/>
      <c r="B19" s="472" t="s">
        <v>3811</v>
      </c>
      <c r="C19" s="484" t="s">
        <v>59</v>
      </c>
      <c r="D19" s="472">
        <v>1</v>
      </c>
      <c r="E19" s="472">
        <v>10000000</v>
      </c>
      <c r="F19" s="474">
        <f t="shared" si="6"/>
        <v>10000000</v>
      </c>
      <c r="G19" s="474">
        <f t="shared" si="0"/>
        <v>2600</v>
      </c>
      <c r="H19" s="474">
        <f t="shared" si="7"/>
        <v>3846.1538461538462</v>
      </c>
      <c r="I19" s="465">
        <v>0</v>
      </c>
      <c r="J19" s="486"/>
      <c r="K19" s="465">
        <f t="shared" si="8"/>
        <v>0</v>
      </c>
      <c r="L19" s="467">
        <f t="shared" si="9"/>
        <v>0</v>
      </c>
      <c r="M19" s="468">
        <f t="shared" si="10"/>
        <v>0</v>
      </c>
      <c r="N19" s="157"/>
      <c r="O19" s="542"/>
      <c r="P19" s="549"/>
      <c r="Q19" s="542"/>
      <c r="R19" s="542"/>
      <c r="S19" s="542"/>
      <c r="T19" s="487"/>
      <c r="U19" s="474"/>
      <c r="V19" s="474"/>
      <c r="W19" s="474"/>
      <c r="X19" s="474"/>
      <c r="Y19" s="474"/>
      <c r="AA19" s="155">
        <f t="shared" si="11"/>
        <v>0</v>
      </c>
      <c r="AB19" s="155">
        <f t="shared" si="11"/>
        <v>0</v>
      </c>
      <c r="AC19" s="155">
        <f t="shared" si="11"/>
        <v>0</v>
      </c>
      <c r="AD19" s="155">
        <f t="shared" si="11"/>
        <v>0</v>
      </c>
      <c r="AE19" s="155">
        <f t="shared" si="11"/>
        <v>0</v>
      </c>
      <c r="AG19" s="156">
        <f t="shared" si="12"/>
        <v>0</v>
      </c>
      <c r="AH19" s="156">
        <f t="shared" si="12"/>
        <v>0</v>
      </c>
      <c r="AI19" s="156">
        <f t="shared" si="12"/>
        <v>0</v>
      </c>
      <c r="AJ19" s="156">
        <f t="shared" si="12"/>
        <v>0</v>
      </c>
      <c r="AK19" s="156">
        <f t="shared" si="12"/>
        <v>0</v>
      </c>
    </row>
    <row r="20" spans="1:37" s="159" customFormat="1" x14ac:dyDescent="0.3">
      <c r="A20" s="139"/>
      <c r="B20" s="472" t="s">
        <v>3812</v>
      </c>
      <c r="C20" s="484" t="s">
        <v>59</v>
      </c>
      <c r="D20" s="472">
        <v>1</v>
      </c>
      <c r="E20" s="472">
        <v>15000000</v>
      </c>
      <c r="F20" s="474">
        <f t="shared" si="6"/>
        <v>15000000</v>
      </c>
      <c r="G20" s="474">
        <f t="shared" si="0"/>
        <v>2600</v>
      </c>
      <c r="H20" s="474">
        <f>IF($G$5=0,0,F20/G20)</f>
        <v>5769.2307692307695</v>
      </c>
      <c r="I20" s="465">
        <v>0</v>
      </c>
      <c r="J20" s="486"/>
      <c r="K20" s="465">
        <f t="shared" si="8"/>
        <v>0</v>
      </c>
      <c r="L20" s="467">
        <f t="shared" si="9"/>
        <v>0</v>
      </c>
      <c r="M20" s="468">
        <f t="shared" si="10"/>
        <v>0</v>
      </c>
      <c r="N20" s="157"/>
      <c r="O20" s="542"/>
      <c r="P20" s="549"/>
      <c r="Q20" s="542"/>
      <c r="R20" s="542"/>
      <c r="S20" s="542"/>
      <c r="T20" s="487"/>
      <c r="U20" s="474"/>
      <c r="V20" s="474"/>
      <c r="W20" s="474"/>
      <c r="X20" s="474"/>
      <c r="Y20" s="474"/>
      <c r="AA20" s="155">
        <f t="shared" si="11"/>
        <v>0</v>
      </c>
      <c r="AB20" s="155">
        <f t="shared" si="11"/>
        <v>0</v>
      </c>
      <c r="AC20" s="155">
        <f t="shared" si="11"/>
        <v>0</v>
      </c>
      <c r="AD20" s="155">
        <f t="shared" si="11"/>
        <v>0</v>
      </c>
      <c r="AE20" s="155">
        <f t="shared" si="11"/>
        <v>0</v>
      </c>
      <c r="AG20" s="156">
        <f t="shared" si="12"/>
        <v>0</v>
      </c>
      <c r="AH20" s="156">
        <f t="shared" si="12"/>
        <v>0</v>
      </c>
      <c r="AI20" s="156">
        <f t="shared" si="12"/>
        <v>0</v>
      </c>
      <c r="AJ20" s="156">
        <f t="shared" si="12"/>
        <v>0</v>
      </c>
      <c r="AK20" s="156">
        <f t="shared" si="12"/>
        <v>0</v>
      </c>
    </row>
    <row r="21" spans="1:37" s="159" customFormat="1" x14ac:dyDescent="0.3">
      <c r="A21" s="139"/>
      <c r="B21" s="472" t="s">
        <v>3813</v>
      </c>
      <c r="C21" s="484" t="s">
        <v>59</v>
      </c>
      <c r="D21" s="472">
        <v>1</v>
      </c>
      <c r="E21" s="472">
        <v>4000000</v>
      </c>
      <c r="F21" s="474">
        <f t="shared" si="6"/>
        <v>4000000</v>
      </c>
      <c r="G21" s="474">
        <f t="shared" si="0"/>
        <v>2600</v>
      </c>
      <c r="H21" s="474">
        <f t="shared" si="7"/>
        <v>1538.4615384615386</v>
      </c>
      <c r="I21" s="465">
        <v>4073</v>
      </c>
      <c r="J21" s="466"/>
      <c r="K21" s="465">
        <f t="shared" si="8"/>
        <v>3266.8199999999997</v>
      </c>
      <c r="L21" s="467">
        <f t="shared" si="9"/>
        <v>-806.18000000000029</v>
      </c>
      <c r="M21" s="468">
        <f t="shared" si="10"/>
        <v>-0.19793272771912601</v>
      </c>
      <c r="N21" s="469"/>
      <c r="O21" s="517">
        <v>4073</v>
      </c>
      <c r="P21" s="765"/>
      <c r="Q21" s="534"/>
      <c r="R21" s="534"/>
      <c r="S21" s="534"/>
      <c r="U21" s="488">
        <v>2736.42</v>
      </c>
      <c r="V21" s="488">
        <v>132.6</v>
      </c>
      <c r="W21" s="488">
        <v>132.6</v>
      </c>
      <c r="X21" s="488">
        <v>132.6</v>
      </c>
      <c r="Y21" s="488">
        <v>132.6</v>
      </c>
      <c r="AA21" s="155">
        <f t="shared" si="11"/>
        <v>-1336.58</v>
      </c>
      <c r="AB21" s="155">
        <f t="shared" si="11"/>
        <v>132.6</v>
      </c>
      <c r="AC21" s="155">
        <f t="shared" si="11"/>
        <v>132.6</v>
      </c>
      <c r="AD21" s="155">
        <f t="shared" si="11"/>
        <v>132.6</v>
      </c>
      <c r="AE21" s="155">
        <f t="shared" si="11"/>
        <v>132.6</v>
      </c>
      <c r="AG21" s="156">
        <f t="shared" si="12"/>
        <v>-0.32815615025779521</v>
      </c>
      <c r="AH21" s="156">
        <f t="shared" si="12"/>
        <v>0</v>
      </c>
      <c r="AI21" s="156">
        <f t="shared" si="12"/>
        <v>0</v>
      </c>
      <c r="AJ21" s="156">
        <f t="shared" si="12"/>
        <v>0</v>
      </c>
      <c r="AK21" s="156">
        <f t="shared" si="12"/>
        <v>0</v>
      </c>
    </row>
    <row r="22" spans="1:37" s="159" customFormat="1" x14ac:dyDescent="0.3">
      <c r="A22" s="139"/>
      <c r="B22" s="489" t="s">
        <v>3814</v>
      </c>
      <c r="C22" s="484" t="s">
        <v>59</v>
      </c>
      <c r="D22" s="472">
        <v>1</v>
      </c>
      <c r="E22" s="472">
        <v>10000000</v>
      </c>
      <c r="F22" s="474">
        <f t="shared" si="6"/>
        <v>10000000</v>
      </c>
      <c r="G22" s="474">
        <f t="shared" si="0"/>
        <v>2600</v>
      </c>
      <c r="H22" s="474">
        <f t="shared" si="7"/>
        <v>3846.1538461538462</v>
      </c>
      <c r="I22" s="465">
        <v>0</v>
      </c>
      <c r="J22" s="486"/>
      <c r="K22" s="465">
        <f t="shared" si="8"/>
        <v>0</v>
      </c>
      <c r="L22" s="467">
        <f t="shared" si="9"/>
        <v>0</v>
      </c>
      <c r="M22" s="468">
        <f t="shared" si="10"/>
        <v>0</v>
      </c>
      <c r="N22" s="157"/>
      <c r="O22" s="542"/>
      <c r="P22" s="549"/>
      <c r="Q22" s="542"/>
      <c r="R22" s="542"/>
      <c r="S22" s="542"/>
      <c r="T22" s="487"/>
      <c r="U22" s="474"/>
      <c r="V22" s="474"/>
      <c r="W22" s="474"/>
      <c r="X22" s="474"/>
      <c r="Y22" s="474"/>
      <c r="AA22" s="155">
        <f t="shared" si="11"/>
        <v>0</v>
      </c>
      <c r="AB22" s="155">
        <f t="shared" si="11"/>
        <v>0</v>
      </c>
      <c r="AC22" s="155">
        <f t="shared" si="11"/>
        <v>0</v>
      </c>
      <c r="AD22" s="155">
        <f t="shared" si="11"/>
        <v>0</v>
      </c>
      <c r="AE22" s="155">
        <f t="shared" si="11"/>
        <v>0</v>
      </c>
      <c r="AG22" s="156">
        <f t="shared" si="12"/>
        <v>0</v>
      </c>
      <c r="AH22" s="156">
        <f t="shared" si="12"/>
        <v>0</v>
      </c>
      <c r="AI22" s="156">
        <f t="shared" si="12"/>
        <v>0</v>
      </c>
      <c r="AJ22" s="156">
        <f t="shared" si="12"/>
        <v>0</v>
      </c>
      <c r="AK22" s="156">
        <f t="shared" si="12"/>
        <v>0</v>
      </c>
    </row>
    <row r="23" spans="1:37" s="159" customFormat="1" x14ac:dyDescent="0.3">
      <c r="A23" s="139"/>
      <c r="B23" s="489" t="s">
        <v>3815</v>
      </c>
      <c r="C23" s="484" t="s">
        <v>59</v>
      </c>
      <c r="D23" s="472">
        <v>1</v>
      </c>
      <c r="E23" s="472">
        <v>10000000</v>
      </c>
      <c r="F23" s="474">
        <f t="shared" si="6"/>
        <v>10000000</v>
      </c>
      <c r="G23" s="474">
        <f t="shared" si="0"/>
        <v>2600</v>
      </c>
      <c r="H23" s="474">
        <f t="shared" si="7"/>
        <v>3846.1538461538462</v>
      </c>
      <c r="I23" s="465">
        <v>0</v>
      </c>
      <c r="J23" s="486"/>
      <c r="K23" s="465">
        <f t="shared" si="8"/>
        <v>0</v>
      </c>
      <c r="L23" s="467">
        <f t="shared" si="9"/>
        <v>0</v>
      </c>
      <c r="M23" s="468">
        <f t="shared" si="10"/>
        <v>0</v>
      </c>
      <c r="N23" s="157"/>
      <c r="O23" s="542"/>
      <c r="P23" s="549"/>
      <c r="Q23" s="542"/>
      <c r="R23" s="542"/>
      <c r="S23" s="542"/>
      <c r="T23" s="487"/>
      <c r="U23" s="474"/>
      <c r="V23" s="474"/>
      <c r="W23" s="474"/>
      <c r="X23" s="474"/>
      <c r="Y23" s="474"/>
      <c r="AA23" s="155">
        <f t="shared" si="11"/>
        <v>0</v>
      </c>
      <c r="AB23" s="155">
        <f t="shared" si="11"/>
        <v>0</v>
      </c>
      <c r="AC23" s="155">
        <f t="shared" si="11"/>
        <v>0</v>
      </c>
      <c r="AD23" s="155">
        <f t="shared" si="11"/>
        <v>0</v>
      </c>
      <c r="AE23" s="155">
        <f t="shared" si="11"/>
        <v>0</v>
      </c>
      <c r="AG23" s="156">
        <f t="shared" si="12"/>
        <v>0</v>
      </c>
      <c r="AH23" s="156">
        <f t="shared" si="12"/>
        <v>0</v>
      </c>
      <c r="AI23" s="156">
        <f t="shared" si="12"/>
        <v>0</v>
      </c>
      <c r="AJ23" s="156">
        <f t="shared" si="12"/>
        <v>0</v>
      </c>
      <c r="AK23" s="156">
        <f t="shared" si="12"/>
        <v>0</v>
      </c>
    </row>
    <row r="24" spans="1:37" s="418" customFormat="1" x14ac:dyDescent="0.3">
      <c r="A24" s="490"/>
      <c r="B24" s="491" t="s">
        <v>3816</v>
      </c>
      <c r="C24" s="464" t="s">
        <v>65</v>
      </c>
      <c r="D24" s="492">
        <v>1</v>
      </c>
      <c r="E24" s="492">
        <v>10000000</v>
      </c>
      <c r="F24" s="493">
        <f>D24*E24</f>
        <v>10000000</v>
      </c>
      <c r="G24" s="493">
        <f t="shared" si="0"/>
        <v>2600</v>
      </c>
      <c r="H24" s="493">
        <f t="shared" si="7"/>
        <v>3846.1538461538462</v>
      </c>
      <c r="I24" s="465">
        <v>2133.0769230769229</v>
      </c>
      <c r="J24" s="466"/>
      <c r="K24" s="465">
        <f t="shared" si="8"/>
        <v>2206.9069171438705</v>
      </c>
      <c r="L24" s="467">
        <f t="shared" si="9"/>
        <v>73.82999406694762</v>
      </c>
      <c r="M24" s="468">
        <f t="shared" si="10"/>
        <v>3.4611969811407108E-2</v>
      </c>
      <c r="N24" s="469"/>
      <c r="O24" s="517"/>
      <c r="P24" s="764">
        <v>2133.0769230769229</v>
      </c>
      <c r="Q24" s="517"/>
      <c r="R24" s="517"/>
      <c r="S24" s="517"/>
      <c r="U24" s="465">
        <v>551.72672928596762</v>
      </c>
      <c r="V24" s="465">
        <v>551.72672928596762</v>
      </c>
      <c r="W24" s="465">
        <v>551.72672928596762</v>
      </c>
      <c r="X24" s="465">
        <v>551.72672928596762</v>
      </c>
      <c r="Y24" s="465">
        <v>0</v>
      </c>
      <c r="AA24" s="155">
        <f t="shared" si="11"/>
        <v>551.72672928596762</v>
      </c>
      <c r="AB24" s="155">
        <f t="shared" si="11"/>
        <v>-1581.3501937909552</v>
      </c>
      <c r="AC24" s="155">
        <f t="shared" si="11"/>
        <v>551.72672928596762</v>
      </c>
      <c r="AD24" s="155">
        <f t="shared" si="11"/>
        <v>551.72672928596762</v>
      </c>
      <c r="AE24" s="155">
        <f t="shared" si="11"/>
        <v>0</v>
      </c>
      <c r="AG24" s="156">
        <f t="shared" si="12"/>
        <v>0</v>
      </c>
      <c r="AH24" s="156">
        <f t="shared" si="12"/>
        <v>-0.74134700754714822</v>
      </c>
      <c r="AI24" s="156">
        <f t="shared" si="12"/>
        <v>0</v>
      </c>
      <c r="AJ24" s="156">
        <f t="shared" si="12"/>
        <v>0</v>
      </c>
      <c r="AK24" s="156">
        <f t="shared" si="12"/>
        <v>0</v>
      </c>
    </row>
    <row r="25" spans="1:37" s="418" customFormat="1" x14ac:dyDescent="0.3">
      <c r="A25" s="490"/>
      <c r="B25" s="491" t="s">
        <v>3817</v>
      </c>
      <c r="C25" s="464" t="s">
        <v>65</v>
      </c>
      <c r="D25" s="492">
        <v>50</v>
      </c>
      <c r="E25" s="492">
        <v>200000</v>
      </c>
      <c r="F25" s="493">
        <f t="shared" si="6"/>
        <v>10000000</v>
      </c>
      <c r="G25" s="493">
        <f t="shared" si="0"/>
        <v>2600</v>
      </c>
      <c r="H25" s="493">
        <f t="shared" si="7"/>
        <v>3846.1538461538462</v>
      </c>
      <c r="I25" s="465">
        <v>4279.4166461538462</v>
      </c>
      <c r="J25" s="466"/>
      <c r="K25" s="465">
        <f t="shared" si="8"/>
        <v>7546.9744094594698</v>
      </c>
      <c r="L25" s="467">
        <f t="shared" si="9"/>
        <v>3267.5577633056237</v>
      </c>
      <c r="M25" s="468">
        <f t="shared" si="10"/>
        <v>0.76355214588473475</v>
      </c>
      <c r="N25" s="469"/>
      <c r="O25" s="517"/>
      <c r="P25" s="764">
        <v>4279.4166461538462</v>
      </c>
      <c r="Q25" s="517"/>
      <c r="R25" s="517"/>
      <c r="S25" s="517"/>
      <c r="U25" s="465">
        <v>4287.4446843493788</v>
      </c>
      <c r="V25" s="465">
        <v>3259.529725110091</v>
      </c>
      <c r="W25" s="465">
        <v>0</v>
      </c>
      <c r="X25" s="465">
        <v>0</v>
      </c>
      <c r="Y25" s="465">
        <v>0</v>
      </c>
      <c r="AA25" s="155">
        <f t="shared" si="11"/>
        <v>4287.4446843493788</v>
      </c>
      <c r="AB25" s="155">
        <f t="shared" si="11"/>
        <v>-1019.8869210437551</v>
      </c>
      <c r="AC25" s="155">
        <f t="shared" si="11"/>
        <v>0</v>
      </c>
      <c r="AD25" s="155">
        <f t="shared" si="11"/>
        <v>0</v>
      </c>
      <c r="AE25" s="155">
        <f t="shared" si="11"/>
        <v>0</v>
      </c>
      <c r="AG25" s="156">
        <f t="shared" si="12"/>
        <v>0</v>
      </c>
      <c r="AH25" s="156">
        <f t="shared" si="12"/>
        <v>-0.23832381966368832</v>
      </c>
      <c r="AI25" s="156">
        <f t="shared" si="12"/>
        <v>0</v>
      </c>
      <c r="AJ25" s="156">
        <f t="shared" si="12"/>
        <v>0</v>
      </c>
      <c r="AK25" s="156">
        <f t="shared" si="12"/>
        <v>0</v>
      </c>
    </row>
    <row r="26" spans="1:37" s="225" customFormat="1" x14ac:dyDescent="0.3">
      <c r="A26" s="139"/>
      <c r="B26" s="494" t="s">
        <v>3818</v>
      </c>
      <c r="C26" s="464" t="s">
        <v>65</v>
      </c>
      <c r="D26" s="472">
        <v>1000</v>
      </c>
      <c r="E26" s="472">
        <v>5000</v>
      </c>
      <c r="F26" s="474">
        <f t="shared" si="6"/>
        <v>5000000</v>
      </c>
      <c r="G26" s="474">
        <f t="shared" si="0"/>
        <v>2600</v>
      </c>
      <c r="H26" s="474">
        <f>IF($G$5=0,0,F26/G26)</f>
        <v>1923.0769230769231</v>
      </c>
      <c r="I26" s="465">
        <v>0</v>
      </c>
      <c r="J26" s="466"/>
      <c r="K26" s="465">
        <f t="shared" si="8"/>
        <v>0</v>
      </c>
      <c r="L26" s="467">
        <f t="shared" si="9"/>
        <v>0</v>
      </c>
      <c r="M26" s="468">
        <f t="shared" si="10"/>
        <v>0</v>
      </c>
      <c r="N26" s="469"/>
      <c r="O26" s="517"/>
      <c r="P26" s="764"/>
      <c r="Q26" s="517">
        <v>0</v>
      </c>
      <c r="R26" s="517"/>
      <c r="S26" s="517"/>
      <c r="T26" s="159"/>
      <c r="U26" s="465"/>
      <c r="V26" s="465"/>
      <c r="W26" s="465"/>
      <c r="X26" s="465"/>
      <c r="Y26" s="465"/>
      <c r="AA26" s="155">
        <f t="shared" si="11"/>
        <v>0</v>
      </c>
      <c r="AB26" s="155">
        <f t="shared" si="11"/>
        <v>0</v>
      </c>
      <c r="AC26" s="155">
        <f t="shared" si="11"/>
        <v>0</v>
      </c>
      <c r="AD26" s="155">
        <f t="shared" si="11"/>
        <v>0</v>
      </c>
      <c r="AE26" s="155">
        <f t="shared" si="11"/>
        <v>0</v>
      </c>
      <c r="AG26" s="156">
        <f t="shared" si="12"/>
        <v>0</v>
      </c>
      <c r="AH26" s="156">
        <f t="shared" si="12"/>
        <v>0</v>
      </c>
      <c r="AI26" s="156">
        <f t="shared" si="12"/>
        <v>0</v>
      </c>
      <c r="AJ26" s="156">
        <f t="shared" si="12"/>
        <v>0</v>
      </c>
      <c r="AK26" s="156">
        <f t="shared" si="12"/>
        <v>0</v>
      </c>
    </row>
    <row r="27" spans="1:37" s="418" customFormat="1" x14ac:dyDescent="0.3">
      <c r="A27" s="490"/>
      <c r="B27" s="491" t="s">
        <v>3819</v>
      </c>
      <c r="C27" s="464" t="s">
        <v>65</v>
      </c>
      <c r="D27" s="492">
        <v>90</v>
      </c>
      <c r="E27" s="492">
        <v>250000</v>
      </c>
      <c r="F27" s="493">
        <f t="shared" si="6"/>
        <v>22500000</v>
      </c>
      <c r="G27" s="493">
        <f t="shared" si="0"/>
        <v>2600</v>
      </c>
      <c r="H27" s="493">
        <f t="shared" si="7"/>
        <v>8653.8461538461543</v>
      </c>
      <c r="I27" s="465">
        <v>4326.9261538461542</v>
      </c>
      <c r="J27" s="466"/>
      <c r="K27" s="465">
        <f t="shared" si="8"/>
        <v>0</v>
      </c>
      <c r="L27" s="467">
        <f t="shared" si="9"/>
        <v>-4326.9261538461542</v>
      </c>
      <c r="M27" s="468">
        <f t="shared" si="10"/>
        <v>-1</v>
      </c>
      <c r="N27" s="469"/>
      <c r="O27" s="517"/>
      <c r="P27" s="764"/>
      <c r="Q27" s="517"/>
      <c r="R27" s="517">
        <v>4326.9261538461542</v>
      </c>
      <c r="S27" s="517"/>
      <c r="U27" s="465"/>
      <c r="V27" s="465"/>
      <c r="W27" s="465"/>
      <c r="X27" s="465"/>
      <c r="Y27" s="465"/>
      <c r="AA27" s="155">
        <f t="shared" si="11"/>
        <v>0</v>
      </c>
      <c r="AB27" s="155">
        <f t="shared" si="11"/>
        <v>0</v>
      </c>
      <c r="AC27" s="155">
        <f t="shared" si="11"/>
        <v>0</v>
      </c>
      <c r="AD27" s="155">
        <f t="shared" si="11"/>
        <v>-4326.9261538461542</v>
      </c>
      <c r="AE27" s="155">
        <f t="shared" si="11"/>
        <v>0</v>
      </c>
      <c r="AG27" s="156">
        <f t="shared" si="12"/>
        <v>0</v>
      </c>
      <c r="AH27" s="156">
        <f t="shared" si="12"/>
        <v>0</v>
      </c>
      <c r="AI27" s="156">
        <f t="shared" si="12"/>
        <v>0</v>
      </c>
      <c r="AJ27" s="156">
        <f t="shared" si="12"/>
        <v>-1</v>
      </c>
      <c r="AK27" s="156">
        <f t="shared" si="12"/>
        <v>0</v>
      </c>
    </row>
    <row r="28" spans="1:37" s="418" customFormat="1" x14ac:dyDescent="0.3">
      <c r="A28" s="490"/>
      <c r="B28" s="491" t="s">
        <v>3820</v>
      </c>
      <c r="C28" s="464" t="s">
        <v>65</v>
      </c>
      <c r="D28" s="492">
        <v>10</v>
      </c>
      <c r="E28" s="492">
        <v>250000</v>
      </c>
      <c r="F28" s="493">
        <f t="shared" si="6"/>
        <v>2500000</v>
      </c>
      <c r="G28" s="493">
        <f t="shared" si="0"/>
        <v>2600</v>
      </c>
      <c r="H28" s="493">
        <f t="shared" si="7"/>
        <v>961.53846153846155</v>
      </c>
      <c r="I28" s="465">
        <v>998.46153846153845</v>
      </c>
      <c r="J28" s="466"/>
      <c r="K28" s="465">
        <f t="shared" si="8"/>
        <v>1033.0202590886202</v>
      </c>
      <c r="L28" s="467">
        <f t="shared" si="9"/>
        <v>34.558720627081698</v>
      </c>
      <c r="M28" s="468">
        <f t="shared" si="10"/>
        <v>3.4611969811406941E-2</v>
      </c>
      <c r="N28" s="469"/>
      <c r="O28" s="517"/>
      <c r="P28" s="764"/>
      <c r="Q28" s="517"/>
      <c r="R28" s="517">
        <v>998.46153846153845</v>
      </c>
      <c r="S28" s="517"/>
      <c r="U28" s="465">
        <v>258.25506477215504</v>
      </c>
      <c r="V28" s="465">
        <v>258.25506477215504</v>
      </c>
      <c r="W28" s="465">
        <v>258.25506477215504</v>
      </c>
      <c r="X28" s="465">
        <v>258.25506477215504</v>
      </c>
      <c r="Y28" s="465">
        <v>0</v>
      </c>
      <c r="AA28" s="155">
        <f t="shared" si="11"/>
        <v>258.25506477215504</v>
      </c>
      <c r="AB28" s="155">
        <f t="shared" si="11"/>
        <v>258.25506477215504</v>
      </c>
      <c r="AC28" s="155">
        <f t="shared" si="11"/>
        <v>258.25506477215504</v>
      </c>
      <c r="AD28" s="155">
        <f t="shared" si="11"/>
        <v>-740.20647368938342</v>
      </c>
      <c r="AE28" s="155">
        <f t="shared" si="11"/>
        <v>0</v>
      </c>
      <c r="AG28" s="156">
        <f t="shared" si="12"/>
        <v>0</v>
      </c>
      <c r="AH28" s="156">
        <f t="shared" si="12"/>
        <v>0</v>
      </c>
      <c r="AI28" s="156">
        <f t="shared" si="12"/>
        <v>0</v>
      </c>
      <c r="AJ28" s="156">
        <f t="shared" si="12"/>
        <v>-0.74134700754714822</v>
      </c>
      <c r="AK28" s="156">
        <f t="shared" si="12"/>
        <v>0</v>
      </c>
    </row>
    <row r="29" spans="1:37" s="225" customFormat="1" ht="15.75" customHeight="1" x14ac:dyDescent="0.3">
      <c r="A29" s="139"/>
      <c r="B29" s="494" t="s">
        <v>3821</v>
      </c>
      <c r="C29" s="464" t="s">
        <v>65</v>
      </c>
      <c r="D29" s="472">
        <v>1</v>
      </c>
      <c r="E29" s="472">
        <v>10000000</v>
      </c>
      <c r="F29" s="474">
        <f t="shared" si="6"/>
        <v>10000000</v>
      </c>
      <c r="G29" s="474">
        <f t="shared" si="0"/>
        <v>2600</v>
      </c>
      <c r="H29" s="474">
        <f t="shared" si="7"/>
        <v>3846.1538461538462</v>
      </c>
      <c r="I29" s="465">
        <v>3846.1538461538462</v>
      </c>
      <c r="J29" s="466"/>
      <c r="K29" s="465">
        <f t="shared" si="8"/>
        <v>7270.0684942131847</v>
      </c>
      <c r="L29" s="467">
        <f t="shared" si="9"/>
        <v>3423.9146480593386</v>
      </c>
      <c r="M29" s="468">
        <f t="shared" si="10"/>
        <v>0.89021780849542798</v>
      </c>
      <c r="N29" s="469"/>
      <c r="O29" s="517"/>
      <c r="P29" s="764"/>
      <c r="Q29" s="517"/>
      <c r="R29" s="517">
        <v>3846.1538461538462</v>
      </c>
      <c r="S29" s="517"/>
      <c r="T29" s="159"/>
      <c r="U29" s="465">
        <v>0</v>
      </c>
      <c r="V29" s="465">
        <v>0</v>
      </c>
      <c r="W29" s="465">
        <v>0</v>
      </c>
      <c r="X29" s="465">
        <v>7270.0684942131847</v>
      </c>
      <c r="Y29" s="465">
        <v>0</v>
      </c>
      <c r="AA29" s="155">
        <f t="shared" si="11"/>
        <v>0</v>
      </c>
      <c r="AB29" s="155">
        <f t="shared" si="11"/>
        <v>0</v>
      </c>
      <c r="AC29" s="155">
        <f t="shared" si="11"/>
        <v>0</v>
      </c>
      <c r="AD29" s="155">
        <f t="shared" si="11"/>
        <v>3423.9146480593386</v>
      </c>
      <c r="AE29" s="155">
        <f t="shared" si="11"/>
        <v>0</v>
      </c>
      <c r="AG29" s="156">
        <f t="shared" si="12"/>
        <v>0</v>
      </c>
      <c r="AH29" s="156">
        <f t="shared" si="12"/>
        <v>0</v>
      </c>
      <c r="AI29" s="156">
        <f t="shared" si="12"/>
        <v>0</v>
      </c>
      <c r="AJ29" s="156">
        <f t="shared" si="12"/>
        <v>0.89021780849542798</v>
      </c>
      <c r="AK29" s="156">
        <f t="shared" si="12"/>
        <v>0</v>
      </c>
    </row>
    <row r="30" spans="1:37" s="418" customFormat="1" x14ac:dyDescent="0.3">
      <c r="A30" s="490"/>
      <c r="B30" s="491" t="s">
        <v>3822</v>
      </c>
      <c r="C30" s="464" t="s">
        <v>65</v>
      </c>
      <c r="D30" s="492">
        <v>2</v>
      </c>
      <c r="E30" s="492">
        <v>2000000</v>
      </c>
      <c r="F30" s="493">
        <f t="shared" si="6"/>
        <v>4000000</v>
      </c>
      <c r="G30" s="493">
        <f t="shared" si="0"/>
        <v>2600</v>
      </c>
      <c r="H30" s="493">
        <f t="shared" si="7"/>
        <v>1538.4615384615386</v>
      </c>
      <c r="I30" s="465">
        <v>1749.5769230769231</v>
      </c>
      <c r="J30" s="466"/>
      <c r="K30" s="465">
        <f t="shared" si="8"/>
        <v>1810.1332267211958</v>
      </c>
      <c r="L30" s="467">
        <f t="shared" si="9"/>
        <v>60.556303644272703</v>
      </c>
      <c r="M30" s="468">
        <f t="shared" si="10"/>
        <v>3.4611969811406941E-2</v>
      </c>
      <c r="N30" s="469"/>
      <c r="O30" s="470">
        <v>437.39423076923077</v>
      </c>
      <c r="P30" s="470">
        <v>437.39423076923077</v>
      </c>
      <c r="Q30" s="470">
        <v>437.39423076923077</v>
      </c>
      <c r="R30" s="470">
        <v>437.39423076923077</v>
      </c>
      <c r="S30" s="470"/>
      <c r="U30" s="470">
        <v>452.53330668029895</v>
      </c>
      <c r="V30" s="470">
        <v>452.53330668029895</v>
      </c>
      <c r="W30" s="470">
        <v>452.53330668029895</v>
      </c>
      <c r="X30" s="470">
        <v>452.53330668029895</v>
      </c>
      <c r="Y30" s="470">
        <v>0</v>
      </c>
      <c r="AA30" s="155">
        <f t="shared" si="11"/>
        <v>15.139075911068176</v>
      </c>
      <c r="AB30" s="155">
        <f t="shared" si="11"/>
        <v>15.139075911068176</v>
      </c>
      <c r="AC30" s="155">
        <f t="shared" si="11"/>
        <v>15.139075911068176</v>
      </c>
      <c r="AD30" s="155">
        <f t="shared" si="11"/>
        <v>15.139075911068176</v>
      </c>
      <c r="AE30" s="155">
        <f t="shared" si="11"/>
        <v>0</v>
      </c>
      <c r="AG30" s="156">
        <f t="shared" si="12"/>
        <v>3.4611969811406941E-2</v>
      </c>
      <c r="AH30" s="156">
        <f t="shared" si="12"/>
        <v>3.4611969811406941E-2</v>
      </c>
      <c r="AI30" s="156">
        <f t="shared" si="12"/>
        <v>3.4611969811406941E-2</v>
      </c>
      <c r="AJ30" s="156">
        <f t="shared" si="12"/>
        <v>3.4611969811406941E-2</v>
      </c>
      <c r="AK30" s="156">
        <f t="shared" si="12"/>
        <v>0</v>
      </c>
    </row>
    <row r="31" spans="1:37" s="225" customFormat="1" x14ac:dyDescent="0.3">
      <c r="A31" s="139"/>
      <c r="B31" s="472" t="s">
        <v>3823</v>
      </c>
      <c r="C31" s="464" t="s">
        <v>65</v>
      </c>
      <c r="D31" s="472">
        <v>1</v>
      </c>
      <c r="E31" s="472">
        <v>100000000</v>
      </c>
      <c r="F31" s="474">
        <f t="shared" si="6"/>
        <v>100000000</v>
      </c>
      <c r="G31" s="474">
        <f t="shared" si="0"/>
        <v>2600</v>
      </c>
      <c r="H31" s="474">
        <f t="shared" si="7"/>
        <v>38461.538461538461</v>
      </c>
      <c r="I31" s="465">
        <v>39721.062076923081</v>
      </c>
      <c r="J31" s="466"/>
      <c r="K31" s="465">
        <f t="shared" si="8"/>
        <v>41077.909998826777</v>
      </c>
      <c r="L31" s="467">
        <f t="shared" si="9"/>
        <v>1356.8479219036963</v>
      </c>
      <c r="M31" s="468">
        <f t="shared" si="10"/>
        <v>3.4159406897933633E-2</v>
      </c>
      <c r="N31" s="469"/>
      <c r="O31" s="470">
        <v>9930.2655192307702</v>
      </c>
      <c r="P31" s="470">
        <v>9930.2655192307702</v>
      </c>
      <c r="Q31" s="470">
        <v>9930.2655192307702</v>
      </c>
      <c r="R31" s="470">
        <v>9930.2655192307702</v>
      </c>
      <c r="S31" s="470"/>
      <c r="T31" s="159"/>
      <c r="U31" s="470">
        <v>10269.477499706694</v>
      </c>
      <c r="V31" s="470">
        <v>10269.477499706694</v>
      </c>
      <c r="W31" s="470">
        <v>10269.477499706694</v>
      </c>
      <c r="X31" s="470">
        <v>10269.477499706694</v>
      </c>
      <c r="Y31" s="470">
        <v>0</v>
      </c>
      <c r="AA31" s="155">
        <f t="shared" si="11"/>
        <v>339.21198047592407</v>
      </c>
      <c r="AB31" s="155">
        <f t="shared" si="11"/>
        <v>339.21198047592407</v>
      </c>
      <c r="AC31" s="155">
        <f t="shared" si="11"/>
        <v>339.21198047592407</v>
      </c>
      <c r="AD31" s="155">
        <f t="shared" si="11"/>
        <v>339.21198047592407</v>
      </c>
      <c r="AE31" s="155">
        <f t="shared" si="11"/>
        <v>0</v>
      </c>
      <c r="AG31" s="156">
        <f t="shared" si="12"/>
        <v>3.4159406897933633E-2</v>
      </c>
      <c r="AH31" s="156">
        <f t="shared" si="12"/>
        <v>3.4159406897933633E-2</v>
      </c>
      <c r="AI31" s="156">
        <f t="shared" si="12"/>
        <v>3.4159406897933633E-2</v>
      </c>
      <c r="AJ31" s="156">
        <f t="shared" si="12"/>
        <v>3.4159406897933633E-2</v>
      </c>
      <c r="AK31" s="156">
        <f t="shared" si="12"/>
        <v>0</v>
      </c>
    </row>
    <row r="32" spans="1:37" s="225" customFormat="1" x14ac:dyDescent="0.3">
      <c r="A32" s="139"/>
      <c r="B32" s="472" t="s">
        <v>3824</v>
      </c>
      <c r="C32" s="464" t="s">
        <v>59</v>
      </c>
      <c r="D32" s="472">
        <v>1</v>
      </c>
      <c r="E32" s="473">
        <v>5750000</v>
      </c>
      <c r="F32" s="474">
        <f t="shared" si="6"/>
        <v>5750000</v>
      </c>
      <c r="G32" s="474">
        <f t="shared" si="0"/>
        <v>2600</v>
      </c>
      <c r="H32" s="474">
        <v>0</v>
      </c>
      <c r="I32" s="465">
        <v>2303.5384615384614</v>
      </c>
      <c r="J32" s="466"/>
      <c r="K32" s="465">
        <f t="shared" si="8"/>
        <v>2148.8338085057962</v>
      </c>
      <c r="L32" s="467">
        <f t="shared" si="9"/>
        <v>-154.70465303266519</v>
      </c>
      <c r="M32" s="468">
        <f t="shared" si="10"/>
        <v>-6.7159570207194541E-2</v>
      </c>
      <c r="N32" s="469"/>
      <c r="O32" s="470"/>
      <c r="P32" s="470"/>
      <c r="Q32" s="470"/>
      <c r="R32" s="470"/>
      <c r="S32" s="470">
        <v>2303.5384615384614</v>
      </c>
      <c r="T32" s="159"/>
      <c r="U32" s="470">
        <v>0</v>
      </c>
      <c r="V32" s="470">
        <v>0</v>
      </c>
      <c r="W32" s="470">
        <v>0</v>
      </c>
      <c r="X32" s="470">
        <v>0</v>
      </c>
      <c r="Y32" s="470">
        <v>2148.8338085057962</v>
      </c>
      <c r="AA32" s="155">
        <f t="shared" si="11"/>
        <v>0</v>
      </c>
      <c r="AB32" s="155">
        <f t="shared" si="11"/>
        <v>0</v>
      </c>
      <c r="AC32" s="155">
        <f t="shared" si="11"/>
        <v>0</v>
      </c>
      <c r="AD32" s="155">
        <f t="shared" si="11"/>
        <v>0</v>
      </c>
      <c r="AE32" s="155">
        <f t="shared" si="11"/>
        <v>-154.70465303266519</v>
      </c>
      <c r="AG32" s="156">
        <f t="shared" si="12"/>
        <v>0</v>
      </c>
      <c r="AH32" s="156">
        <f t="shared" si="12"/>
        <v>0</v>
      </c>
      <c r="AI32" s="156">
        <f t="shared" si="12"/>
        <v>0</v>
      </c>
      <c r="AJ32" s="156">
        <f t="shared" si="12"/>
        <v>0</v>
      </c>
      <c r="AK32" s="156">
        <f t="shared" si="12"/>
        <v>-6.7159570207194541E-2</v>
      </c>
    </row>
    <row r="33" spans="1:37" s="225" customFormat="1" x14ac:dyDescent="0.3">
      <c r="A33" s="139"/>
      <c r="B33" s="472" t="s">
        <v>3825</v>
      </c>
      <c r="C33" s="464" t="s">
        <v>65</v>
      </c>
      <c r="D33" s="472">
        <v>5</v>
      </c>
      <c r="E33" s="495">
        <v>2400000</v>
      </c>
      <c r="F33" s="474">
        <f t="shared" si="6"/>
        <v>12000000</v>
      </c>
      <c r="G33" s="474">
        <f t="shared" si="0"/>
        <v>2600</v>
      </c>
      <c r="H33" s="474">
        <v>0</v>
      </c>
      <c r="I33" s="465">
        <v>4615.3846153846152</v>
      </c>
      <c r="J33" s="466"/>
      <c r="K33" s="465">
        <f t="shared" si="8"/>
        <v>5213.9452366558389</v>
      </c>
      <c r="L33" s="467">
        <f t="shared" si="9"/>
        <v>598.56062127122368</v>
      </c>
      <c r="M33" s="468">
        <f t="shared" si="10"/>
        <v>0.12968813460876513</v>
      </c>
      <c r="N33" s="469"/>
      <c r="O33" s="470"/>
      <c r="P33" s="470"/>
      <c r="Q33" s="470"/>
      <c r="R33" s="470"/>
      <c r="S33" s="470">
        <v>4615.3846153846152</v>
      </c>
      <c r="T33" s="159"/>
      <c r="U33" s="470">
        <v>0</v>
      </c>
      <c r="V33" s="470">
        <v>0</v>
      </c>
      <c r="W33" s="470">
        <v>0</v>
      </c>
      <c r="X33" s="470">
        <v>0</v>
      </c>
      <c r="Y33" s="470">
        <v>5213.9452366558389</v>
      </c>
      <c r="AA33" s="155">
        <f t="shared" si="11"/>
        <v>0</v>
      </c>
      <c r="AB33" s="155">
        <f t="shared" si="11"/>
        <v>0</v>
      </c>
      <c r="AC33" s="155">
        <f t="shared" si="11"/>
        <v>0</v>
      </c>
      <c r="AD33" s="155">
        <f t="shared" si="11"/>
        <v>0</v>
      </c>
      <c r="AE33" s="155">
        <f t="shared" si="11"/>
        <v>598.56062127122368</v>
      </c>
      <c r="AG33" s="156">
        <f t="shared" si="12"/>
        <v>0</v>
      </c>
      <c r="AH33" s="156">
        <f t="shared" si="12"/>
        <v>0</v>
      </c>
      <c r="AI33" s="156">
        <f t="shared" si="12"/>
        <v>0</v>
      </c>
      <c r="AJ33" s="156">
        <f t="shared" si="12"/>
        <v>0</v>
      </c>
      <c r="AK33" s="156">
        <f t="shared" si="12"/>
        <v>0.12968813460876513</v>
      </c>
    </row>
    <row r="34" spans="1:37" s="225" customFormat="1" x14ac:dyDescent="0.3">
      <c r="A34" s="139"/>
      <c r="B34" s="472" t="s">
        <v>3826</v>
      </c>
      <c r="C34" s="464" t="s">
        <v>65</v>
      </c>
      <c r="D34" s="472">
        <v>5</v>
      </c>
      <c r="E34" s="473">
        <v>1173000</v>
      </c>
      <c r="F34" s="474">
        <f t="shared" si="6"/>
        <v>5865000</v>
      </c>
      <c r="G34" s="474">
        <f t="shared" si="0"/>
        <v>2600</v>
      </c>
      <c r="H34" s="474">
        <v>0</v>
      </c>
      <c r="I34" s="465">
        <v>2255.7692307692309</v>
      </c>
      <c r="J34" s="466"/>
      <c r="K34" s="465">
        <f t="shared" si="8"/>
        <v>1536.7417539617209</v>
      </c>
      <c r="L34" s="467">
        <f t="shared" si="9"/>
        <v>-719.02747680751008</v>
      </c>
      <c r="M34" s="468">
        <f t="shared" si="10"/>
        <v>-0.31875045860179474</v>
      </c>
      <c r="N34" s="469"/>
      <c r="O34" s="470"/>
      <c r="P34" s="470"/>
      <c r="Q34" s="470"/>
      <c r="R34" s="470"/>
      <c r="S34" s="470">
        <v>2255.7692307692309</v>
      </c>
      <c r="T34" s="159"/>
      <c r="U34" s="470">
        <v>0</v>
      </c>
      <c r="V34" s="470">
        <v>0</v>
      </c>
      <c r="W34" s="470">
        <v>0</v>
      </c>
      <c r="X34" s="470">
        <v>0</v>
      </c>
      <c r="Y34" s="470">
        <v>1536.7417539617209</v>
      </c>
      <c r="AA34" s="155">
        <f t="shared" si="11"/>
        <v>0</v>
      </c>
      <c r="AB34" s="155">
        <f t="shared" si="11"/>
        <v>0</v>
      </c>
      <c r="AC34" s="155">
        <f t="shared" si="11"/>
        <v>0</v>
      </c>
      <c r="AD34" s="155">
        <f t="shared" si="11"/>
        <v>0</v>
      </c>
      <c r="AE34" s="155">
        <f t="shared" si="11"/>
        <v>-719.02747680751008</v>
      </c>
      <c r="AG34" s="156">
        <f t="shared" si="12"/>
        <v>0</v>
      </c>
      <c r="AH34" s="156">
        <f t="shared" si="12"/>
        <v>0</v>
      </c>
      <c r="AI34" s="156">
        <f t="shared" si="12"/>
        <v>0</v>
      </c>
      <c r="AJ34" s="156">
        <f t="shared" si="12"/>
        <v>0</v>
      </c>
      <c r="AK34" s="156">
        <f t="shared" si="12"/>
        <v>-0.31875045860179474</v>
      </c>
    </row>
    <row r="35" spans="1:37" s="225" customFormat="1" x14ac:dyDescent="0.3">
      <c r="A35" s="139"/>
      <c r="B35" s="472" t="s">
        <v>3827</v>
      </c>
      <c r="C35" s="464" t="s">
        <v>59</v>
      </c>
      <c r="D35" s="472">
        <v>1</v>
      </c>
      <c r="E35" s="474">
        <v>4350000</v>
      </c>
      <c r="F35" s="474">
        <f t="shared" si="6"/>
        <v>4350000</v>
      </c>
      <c r="G35" s="474">
        <f t="shared" si="0"/>
        <v>2600</v>
      </c>
      <c r="H35" s="474">
        <v>0</v>
      </c>
      <c r="I35" s="465">
        <v>1673.0769230769231</v>
      </c>
      <c r="J35" s="466"/>
      <c r="K35" s="465">
        <f t="shared" si="8"/>
        <v>0</v>
      </c>
      <c r="L35" s="467">
        <f t="shared" si="9"/>
        <v>-1673.0769230769231</v>
      </c>
      <c r="M35" s="468">
        <f t="shared" si="10"/>
        <v>-1</v>
      </c>
      <c r="N35" s="469"/>
      <c r="O35" s="470"/>
      <c r="P35" s="470"/>
      <c r="Q35" s="470"/>
      <c r="R35" s="470"/>
      <c r="S35" s="470">
        <v>1673.0769230769231</v>
      </c>
      <c r="T35" s="159"/>
      <c r="U35" s="470"/>
      <c r="V35" s="470"/>
      <c r="W35" s="470"/>
      <c r="X35" s="470"/>
      <c r="Y35" s="470"/>
      <c r="AA35" s="155">
        <f t="shared" si="11"/>
        <v>0</v>
      </c>
      <c r="AB35" s="155">
        <f t="shared" si="11"/>
        <v>0</v>
      </c>
      <c r="AC35" s="155">
        <f t="shared" si="11"/>
        <v>0</v>
      </c>
      <c r="AD35" s="155">
        <f t="shared" si="11"/>
        <v>0</v>
      </c>
      <c r="AE35" s="155">
        <f t="shared" si="11"/>
        <v>-1673.0769230769231</v>
      </c>
      <c r="AG35" s="156">
        <f t="shared" si="12"/>
        <v>0</v>
      </c>
      <c r="AH35" s="156">
        <f t="shared" si="12"/>
        <v>0</v>
      </c>
      <c r="AI35" s="156">
        <f t="shared" si="12"/>
        <v>0</v>
      </c>
      <c r="AJ35" s="156">
        <f t="shared" si="12"/>
        <v>0</v>
      </c>
      <c r="AK35" s="156">
        <f t="shared" si="12"/>
        <v>-1</v>
      </c>
    </row>
    <row r="36" spans="1:37" s="225" customFormat="1" x14ac:dyDescent="0.3">
      <c r="A36" s="139"/>
      <c r="B36" s="472" t="s">
        <v>3828</v>
      </c>
      <c r="C36" s="464" t="s">
        <v>65</v>
      </c>
      <c r="D36" s="472">
        <v>4</v>
      </c>
      <c r="E36" s="474">
        <v>400000</v>
      </c>
      <c r="F36" s="474">
        <f t="shared" si="6"/>
        <v>1600000</v>
      </c>
      <c r="G36" s="474">
        <f t="shared" si="0"/>
        <v>2600</v>
      </c>
      <c r="H36" s="474">
        <v>0</v>
      </c>
      <c r="I36" s="465">
        <v>615.38461538461536</v>
      </c>
      <c r="J36" s="466"/>
      <c r="K36" s="465">
        <f t="shared" si="8"/>
        <v>893.02184249591528</v>
      </c>
      <c r="L36" s="467">
        <f t="shared" si="9"/>
        <v>277.63722711129992</v>
      </c>
      <c r="M36" s="468">
        <f t="shared" si="10"/>
        <v>0.45116049405586239</v>
      </c>
      <c r="N36" s="469"/>
      <c r="O36" s="470"/>
      <c r="P36" s="470"/>
      <c r="Q36" s="470"/>
      <c r="R36" s="470"/>
      <c r="S36" s="470">
        <v>615.38461538461536</v>
      </c>
      <c r="T36" s="159"/>
      <c r="U36" s="470">
        <v>0</v>
      </c>
      <c r="V36" s="470">
        <v>0</v>
      </c>
      <c r="W36" s="470">
        <v>0</v>
      </c>
      <c r="X36" s="470">
        <v>0</v>
      </c>
      <c r="Y36" s="470">
        <v>893.02184249591528</v>
      </c>
      <c r="AA36" s="155">
        <f t="shared" si="11"/>
        <v>0</v>
      </c>
      <c r="AB36" s="155">
        <f t="shared" si="11"/>
        <v>0</v>
      </c>
      <c r="AC36" s="155">
        <f t="shared" si="11"/>
        <v>0</v>
      </c>
      <c r="AD36" s="155">
        <f t="shared" si="11"/>
        <v>0</v>
      </c>
      <c r="AE36" s="155">
        <f t="shared" si="11"/>
        <v>277.63722711129992</v>
      </c>
      <c r="AG36" s="156">
        <f t="shared" si="12"/>
        <v>0</v>
      </c>
      <c r="AH36" s="156">
        <f t="shared" si="12"/>
        <v>0</v>
      </c>
      <c r="AI36" s="156">
        <f t="shared" si="12"/>
        <v>0</v>
      </c>
      <c r="AJ36" s="156">
        <f t="shared" si="12"/>
        <v>0</v>
      </c>
      <c r="AK36" s="156">
        <f t="shared" si="12"/>
        <v>0.45116049405586239</v>
      </c>
    </row>
    <row r="37" spans="1:37" s="225" customFormat="1" x14ac:dyDescent="0.3">
      <c r="A37" s="139"/>
      <c r="B37" s="472" t="s">
        <v>3829</v>
      </c>
      <c r="C37" s="464" t="s">
        <v>65</v>
      </c>
      <c r="D37" s="472">
        <v>10</v>
      </c>
      <c r="E37" s="474">
        <v>1050000</v>
      </c>
      <c r="F37" s="474">
        <f t="shared" si="6"/>
        <v>10500000</v>
      </c>
      <c r="G37" s="474">
        <f t="shared" si="0"/>
        <v>2600</v>
      </c>
      <c r="H37" s="474">
        <v>0</v>
      </c>
      <c r="I37" s="465">
        <v>4038.4615384615386</v>
      </c>
      <c r="J37" s="466"/>
      <c r="K37" s="465">
        <f t="shared" si="8"/>
        <v>837.2079773399206</v>
      </c>
      <c r="L37" s="467">
        <f t="shared" si="9"/>
        <v>-3201.2535611216181</v>
      </c>
      <c r="M37" s="468">
        <f t="shared" si="10"/>
        <v>-0.79269135799201973</v>
      </c>
      <c r="N37" s="469"/>
      <c r="O37" s="470"/>
      <c r="P37" s="470"/>
      <c r="Q37" s="470"/>
      <c r="R37" s="470"/>
      <c r="S37" s="470">
        <v>4038.4615384615386</v>
      </c>
      <c r="T37" s="159"/>
      <c r="U37" s="470">
        <v>0</v>
      </c>
      <c r="V37" s="470">
        <v>0</v>
      </c>
      <c r="W37" s="470">
        <v>0</v>
      </c>
      <c r="X37" s="470">
        <v>0</v>
      </c>
      <c r="Y37" s="470">
        <v>837.2079773399206</v>
      </c>
      <c r="AA37" s="155">
        <f t="shared" si="11"/>
        <v>0</v>
      </c>
      <c r="AB37" s="155">
        <f t="shared" si="11"/>
        <v>0</v>
      </c>
      <c r="AC37" s="155">
        <f t="shared" si="11"/>
        <v>0</v>
      </c>
      <c r="AD37" s="155">
        <f t="shared" si="11"/>
        <v>0</v>
      </c>
      <c r="AE37" s="155">
        <f t="shared" si="11"/>
        <v>-3201.2535611216181</v>
      </c>
      <c r="AG37" s="156">
        <f t="shared" si="12"/>
        <v>0</v>
      </c>
      <c r="AH37" s="156">
        <f t="shared" si="12"/>
        <v>0</v>
      </c>
      <c r="AI37" s="156">
        <f t="shared" si="12"/>
        <v>0</v>
      </c>
      <c r="AJ37" s="156">
        <f t="shared" si="12"/>
        <v>0</v>
      </c>
      <c r="AK37" s="156">
        <f t="shared" si="12"/>
        <v>-0.79269135799201973</v>
      </c>
    </row>
    <row r="38" spans="1:37" s="159" customFormat="1" x14ac:dyDescent="0.3">
      <c r="A38" s="496"/>
      <c r="B38" s="472" t="s">
        <v>3830</v>
      </c>
      <c r="C38" s="497" t="s">
        <v>65</v>
      </c>
      <c r="D38" s="497">
        <v>7</v>
      </c>
      <c r="E38" s="497">
        <v>80000</v>
      </c>
      <c r="F38" s="472">
        <f>D38*E38</f>
        <v>560000</v>
      </c>
      <c r="G38" s="472">
        <v>2600</v>
      </c>
      <c r="H38" s="498"/>
      <c r="I38" s="465">
        <v>215.38461538461539</v>
      </c>
      <c r="J38" s="486"/>
      <c r="K38" s="465">
        <f t="shared" si="8"/>
        <v>391.86914726023883</v>
      </c>
      <c r="L38" s="467">
        <f>K38-I38</f>
        <v>176.48453187562345</v>
      </c>
      <c r="M38" s="499">
        <f>IFERROR(L38/I38,0)</f>
        <v>0.81939246942253741</v>
      </c>
      <c r="N38" s="157"/>
      <c r="O38" s="766"/>
      <c r="P38" s="767"/>
      <c r="Q38" s="766"/>
      <c r="R38" s="766"/>
      <c r="S38" s="502">
        <v>215.38461538461539</v>
      </c>
      <c r="U38" s="502">
        <v>0</v>
      </c>
      <c r="V38" s="502">
        <v>0</v>
      </c>
      <c r="W38" s="502">
        <v>0</v>
      </c>
      <c r="X38" s="502">
        <v>0</v>
      </c>
      <c r="Y38" s="502">
        <v>391.86914726023883</v>
      </c>
      <c r="AA38" s="155">
        <f t="shared" si="11"/>
        <v>0</v>
      </c>
      <c r="AB38" s="155">
        <f t="shared" si="11"/>
        <v>0</v>
      </c>
      <c r="AC38" s="155">
        <f t="shared" si="11"/>
        <v>0</v>
      </c>
      <c r="AD38" s="155">
        <f t="shared" si="11"/>
        <v>0</v>
      </c>
      <c r="AE38" s="155">
        <f t="shared" si="11"/>
        <v>176.48453187562345</v>
      </c>
      <c r="AG38" s="156">
        <f t="shared" si="12"/>
        <v>0</v>
      </c>
      <c r="AH38" s="156">
        <f t="shared" si="12"/>
        <v>0</v>
      </c>
      <c r="AI38" s="156">
        <f t="shared" si="12"/>
        <v>0</v>
      </c>
      <c r="AJ38" s="156">
        <f t="shared" si="12"/>
        <v>0</v>
      </c>
      <c r="AK38" s="156">
        <f t="shared" si="12"/>
        <v>0.81939246942253741</v>
      </c>
    </row>
    <row r="39" spans="1:37" s="225" customFormat="1" x14ac:dyDescent="0.3">
      <c r="A39" s="139"/>
      <c r="B39" s="472" t="s">
        <v>3831</v>
      </c>
      <c r="C39" s="464" t="s">
        <v>65</v>
      </c>
      <c r="D39" s="472">
        <v>2</v>
      </c>
      <c r="E39" s="474">
        <v>4500000</v>
      </c>
      <c r="F39" s="474">
        <f t="shared" si="6"/>
        <v>9000000</v>
      </c>
      <c r="G39" s="474">
        <f t="shared" si="0"/>
        <v>2600</v>
      </c>
      <c r="H39" s="474">
        <v>0</v>
      </c>
      <c r="I39" s="465">
        <v>3461.5384615384614</v>
      </c>
      <c r="J39" s="466"/>
      <c r="K39" s="465">
        <f t="shared" si="8"/>
        <v>3534.8781265463313</v>
      </c>
      <c r="L39" s="467">
        <f t="shared" si="9"/>
        <v>73.339665007869826</v>
      </c>
      <c r="M39" s="468">
        <f t="shared" si="10"/>
        <v>2.1187014335606838E-2</v>
      </c>
      <c r="N39" s="469"/>
      <c r="O39" s="470"/>
      <c r="P39" s="470"/>
      <c r="Q39" s="470"/>
      <c r="R39" s="470"/>
      <c r="S39" s="470">
        <v>3461.5384615384614</v>
      </c>
      <c r="T39" s="159"/>
      <c r="U39" s="470">
        <v>0</v>
      </c>
      <c r="V39" s="470">
        <v>0</v>
      </c>
      <c r="W39" s="470">
        <v>0</v>
      </c>
      <c r="X39" s="470">
        <v>0</v>
      </c>
      <c r="Y39" s="470">
        <v>3534.8781265463313</v>
      </c>
      <c r="AA39" s="155">
        <f t="shared" si="11"/>
        <v>0</v>
      </c>
      <c r="AB39" s="155">
        <f t="shared" si="11"/>
        <v>0</v>
      </c>
      <c r="AC39" s="155">
        <f t="shared" si="11"/>
        <v>0</v>
      </c>
      <c r="AD39" s="155">
        <f t="shared" si="11"/>
        <v>0</v>
      </c>
      <c r="AE39" s="155">
        <f t="shared" si="11"/>
        <v>73.339665007869826</v>
      </c>
      <c r="AG39" s="156">
        <f t="shared" si="12"/>
        <v>0</v>
      </c>
      <c r="AH39" s="156">
        <f t="shared" si="12"/>
        <v>0</v>
      </c>
      <c r="AI39" s="156">
        <f t="shared" si="12"/>
        <v>0</v>
      </c>
      <c r="AJ39" s="156">
        <f t="shared" si="12"/>
        <v>0</v>
      </c>
      <c r="AK39" s="156">
        <f t="shared" si="12"/>
        <v>2.1187014335606838E-2</v>
      </c>
    </row>
    <row r="40" spans="1:37" s="225" customFormat="1" x14ac:dyDescent="0.3">
      <c r="A40" s="139"/>
      <c r="B40" s="472" t="s">
        <v>3832</v>
      </c>
      <c r="C40" s="464" t="s">
        <v>65</v>
      </c>
      <c r="D40" s="472">
        <v>1</v>
      </c>
      <c r="E40" s="474">
        <v>2500000</v>
      </c>
      <c r="F40" s="474">
        <f t="shared" si="6"/>
        <v>2500000</v>
      </c>
      <c r="G40" s="474">
        <f t="shared" si="0"/>
        <v>2600</v>
      </c>
      <c r="H40" s="474">
        <v>0</v>
      </c>
      <c r="I40" s="465">
        <v>961.53846153846155</v>
      </c>
      <c r="J40" s="466"/>
      <c r="K40" s="465">
        <f t="shared" si="8"/>
        <v>4987.8990827740608</v>
      </c>
      <c r="L40" s="467">
        <f t="shared" si="9"/>
        <v>4026.3606212355994</v>
      </c>
      <c r="M40" s="468">
        <f t="shared" si="10"/>
        <v>4.1874150460850235</v>
      </c>
      <c r="N40" s="469"/>
      <c r="O40" s="470"/>
      <c r="P40" s="470"/>
      <c r="Q40" s="470"/>
      <c r="R40" s="470"/>
      <c r="S40" s="470">
        <v>961.53846153846155</v>
      </c>
      <c r="T40" s="159"/>
      <c r="U40" s="470">
        <v>0</v>
      </c>
      <c r="V40" s="470">
        <v>0</v>
      </c>
      <c r="W40" s="470">
        <v>0</v>
      </c>
      <c r="X40" s="470">
        <v>0</v>
      </c>
      <c r="Y40" s="470">
        <v>4987.8990827740608</v>
      </c>
      <c r="AA40" s="155">
        <f t="shared" si="11"/>
        <v>0</v>
      </c>
      <c r="AB40" s="155">
        <f t="shared" si="11"/>
        <v>0</v>
      </c>
      <c r="AC40" s="155">
        <f t="shared" si="11"/>
        <v>0</v>
      </c>
      <c r="AD40" s="155">
        <f t="shared" si="11"/>
        <v>0</v>
      </c>
      <c r="AE40" s="155">
        <f t="shared" si="11"/>
        <v>4026.3606212355994</v>
      </c>
      <c r="AG40" s="156">
        <f t="shared" si="12"/>
        <v>0</v>
      </c>
      <c r="AH40" s="156">
        <f t="shared" si="12"/>
        <v>0</v>
      </c>
      <c r="AI40" s="156">
        <f t="shared" si="12"/>
        <v>0</v>
      </c>
      <c r="AJ40" s="156">
        <f t="shared" si="12"/>
        <v>0</v>
      </c>
      <c r="AK40" s="156">
        <f t="shared" si="12"/>
        <v>4.1874150460850235</v>
      </c>
    </row>
    <row r="41" spans="1:37" s="225" customFormat="1" x14ac:dyDescent="0.3">
      <c r="A41" s="139"/>
      <c r="B41" s="472" t="s">
        <v>3833</v>
      </c>
      <c r="C41" s="464" t="s">
        <v>65</v>
      </c>
      <c r="D41" s="472">
        <v>8</v>
      </c>
      <c r="E41" s="474">
        <v>50000</v>
      </c>
      <c r="F41" s="474">
        <f t="shared" si="6"/>
        <v>400000</v>
      </c>
      <c r="G41" s="474">
        <f t="shared" si="0"/>
        <v>2600</v>
      </c>
      <c r="H41" s="474">
        <v>0</v>
      </c>
      <c r="I41" s="465">
        <v>153.84615384615384</v>
      </c>
      <c r="J41" s="466"/>
      <c r="K41" s="465">
        <f t="shared" si="8"/>
        <v>781.39411218392593</v>
      </c>
      <c r="L41" s="467">
        <f t="shared" si="9"/>
        <v>627.54795833777212</v>
      </c>
      <c r="M41" s="468">
        <f t="shared" si="10"/>
        <v>4.0790617291955193</v>
      </c>
      <c r="N41" s="469"/>
      <c r="O41" s="470"/>
      <c r="P41" s="470"/>
      <c r="Q41" s="470"/>
      <c r="R41" s="470"/>
      <c r="S41" s="470">
        <v>153.84615384615384</v>
      </c>
      <c r="T41" s="159"/>
      <c r="U41" s="470">
        <v>0</v>
      </c>
      <c r="V41" s="470">
        <v>0</v>
      </c>
      <c r="W41" s="470">
        <v>0</v>
      </c>
      <c r="X41" s="470">
        <v>0</v>
      </c>
      <c r="Y41" s="470">
        <v>781.39411218392593</v>
      </c>
      <c r="AA41" s="155">
        <f t="shared" si="11"/>
        <v>0</v>
      </c>
      <c r="AB41" s="155">
        <f t="shared" si="11"/>
        <v>0</v>
      </c>
      <c r="AC41" s="155">
        <f t="shared" si="11"/>
        <v>0</v>
      </c>
      <c r="AD41" s="155">
        <f t="shared" si="11"/>
        <v>0</v>
      </c>
      <c r="AE41" s="155">
        <f t="shared" si="11"/>
        <v>627.54795833777212</v>
      </c>
      <c r="AG41" s="156">
        <f t="shared" si="12"/>
        <v>0</v>
      </c>
      <c r="AH41" s="156">
        <f t="shared" si="12"/>
        <v>0</v>
      </c>
      <c r="AI41" s="156">
        <f t="shared" si="12"/>
        <v>0</v>
      </c>
      <c r="AJ41" s="156">
        <f t="shared" si="12"/>
        <v>0</v>
      </c>
      <c r="AK41" s="156">
        <f t="shared" si="12"/>
        <v>4.0790617291955193</v>
      </c>
    </row>
    <row r="42" spans="1:37" s="225" customFormat="1" x14ac:dyDescent="0.3">
      <c r="A42" s="139"/>
      <c r="B42" s="472" t="s">
        <v>3834</v>
      </c>
      <c r="C42" s="464" t="s">
        <v>65</v>
      </c>
      <c r="D42" s="472">
        <v>70</v>
      </c>
      <c r="E42" s="474">
        <v>10000</v>
      </c>
      <c r="F42" s="474">
        <f t="shared" si="6"/>
        <v>700000</v>
      </c>
      <c r="G42" s="474">
        <f t="shared" si="0"/>
        <v>2600</v>
      </c>
      <c r="H42" s="474">
        <v>0</v>
      </c>
      <c r="I42" s="465">
        <v>269.23076923076923</v>
      </c>
      <c r="J42" s="466"/>
      <c r="K42" s="465">
        <f>SUM(U42:Y42)</f>
        <v>409.30167781062784</v>
      </c>
      <c r="L42" s="467">
        <f t="shared" si="9"/>
        <v>140.07090857985861</v>
      </c>
      <c r="M42" s="468">
        <f t="shared" si="10"/>
        <v>0.52026337472518913</v>
      </c>
      <c r="N42" s="469"/>
      <c r="O42" s="470"/>
      <c r="P42" s="470"/>
      <c r="Q42" s="470"/>
      <c r="R42" s="470"/>
      <c r="S42" s="470">
        <v>269.23076923076923</v>
      </c>
      <c r="T42" s="159"/>
      <c r="U42" s="470">
        <v>0</v>
      </c>
      <c r="V42" s="470">
        <v>0</v>
      </c>
      <c r="W42" s="470">
        <v>0</v>
      </c>
      <c r="X42" s="470">
        <v>0</v>
      </c>
      <c r="Y42" s="470">
        <v>409.30167781062784</v>
      </c>
      <c r="AA42" s="155">
        <f t="shared" si="11"/>
        <v>0</v>
      </c>
      <c r="AB42" s="155">
        <f t="shared" si="11"/>
        <v>0</v>
      </c>
      <c r="AC42" s="155">
        <f t="shared" si="11"/>
        <v>0</v>
      </c>
      <c r="AD42" s="155">
        <f t="shared" si="11"/>
        <v>0</v>
      </c>
      <c r="AE42" s="155">
        <f t="shared" si="11"/>
        <v>140.07090857985861</v>
      </c>
      <c r="AG42" s="156">
        <f t="shared" si="12"/>
        <v>0</v>
      </c>
      <c r="AH42" s="156">
        <f t="shared" si="12"/>
        <v>0</v>
      </c>
      <c r="AI42" s="156">
        <f t="shared" si="12"/>
        <v>0</v>
      </c>
      <c r="AJ42" s="156">
        <f t="shared" si="12"/>
        <v>0</v>
      </c>
      <c r="AK42" s="156">
        <f t="shared" si="12"/>
        <v>0.52026337472518913</v>
      </c>
    </row>
    <row r="43" spans="1:37" s="146" customFormat="1" ht="21" customHeight="1" x14ac:dyDescent="0.3">
      <c r="A43" s="139"/>
      <c r="B43" s="475" t="s">
        <v>91</v>
      </c>
      <c r="C43" s="476"/>
      <c r="D43" s="477"/>
      <c r="E43" s="477"/>
      <c r="F43" s="477">
        <f>SUM(F13:F42)</f>
        <v>347225000</v>
      </c>
      <c r="G43" s="477"/>
      <c r="H43" s="477">
        <f>SUM(H13:H42)</f>
        <v>113076.92307692306</v>
      </c>
      <c r="I43" s="477">
        <f>SUM(I13:I42)</f>
        <v>86482.82795384615</v>
      </c>
      <c r="J43" s="478"/>
      <c r="K43" s="477">
        <f>SUM(K13:K42)</f>
        <v>90267.674968682826</v>
      </c>
      <c r="L43" s="479">
        <f>K43-I43</f>
        <v>3784.847014836676</v>
      </c>
      <c r="M43" s="169">
        <f>IFERROR(L43/I43,0)</f>
        <v>4.3764144910438861E-2</v>
      </c>
      <c r="N43" s="165"/>
      <c r="O43" s="477">
        <f>SUM(O13:O42)</f>
        <v>19232.659749999999</v>
      </c>
      <c r="P43" s="477">
        <f>SUM(P13:P42)</f>
        <v>16780.153319230769</v>
      </c>
      <c r="Q43" s="477">
        <f>SUM(Q13:Q42)</f>
        <v>10367.659750000001</v>
      </c>
      <c r="R43" s="477">
        <f>SUM(R13:R42)</f>
        <v>19539.20128846154</v>
      </c>
      <c r="S43" s="477">
        <f>SUM(S13:S42)</f>
        <v>20563.153846153844</v>
      </c>
      <c r="T43" s="145"/>
      <c r="U43" s="477">
        <f>SUM(U13:U42)</f>
        <v>23876.606182489835</v>
      </c>
      <c r="V43" s="477">
        <f>SUM(V13:V42)</f>
        <v>14924.122325555207</v>
      </c>
      <c r="W43" s="477">
        <f>SUM(W13:W42)</f>
        <v>11664.592600445116</v>
      </c>
      <c r="X43" s="477">
        <f>SUM(X13:X42)</f>
        <v>18934.661094658302</v>
      </c>
      <c r="Y43" s="477">
        <f>SUM(Y13:Y42)</f>
        <v>20867.692765534379</v>
      </c>
      <c r="AA43" s="477">
        <f t="shared" si="11"/>
        <v>4643.9464324898363</v>
      </c>
      <c r="AB43" s="477">
        <f t="shared" si="11"/>
        <v>-1856.0309936755621</v>
      </c>
      <c r="AC43" s="477">
        <f t="shared" si="11"/>
        <v>1296.932850445115</v>
      </c>
      <c r="AD43" s="477">
        <f t="shared" si="11"/>
        <v>-604.54019380323734</v>
      </c>
      <c r="AE43" s="477">
        <f t="shared" si="11"/>
        <v>304.53891938053494</v>
      </c>
      <c r="AG43" s="169">
        <f t="shared" si="12"/>
        <v>0.24146147713603869</v>
      </c>
      <c r="AH43" s="169">
        <f t="shared" si="12"/>
        <v>-0.11060870293410678</v>
      </c>
      <c r="AI43" s="169">
        <f t="shared" si="12"/>
        <v>0.12509407925401053</v>
      </c>
      <c r="AJ43" s="169">
        <f t="shared" si="12"/>
        <v>-3.0939862120169453E-2</v>
      </c>
      <c r="AK43" s="169">
        <f t="shared" si="12"/>
        <v>1.4809932448056661E-2</v>
      </c>
    </row>
    <row r="44" spans="1:37" s="146" customFormat="1" ht="21" customHeight="1" x14ac:dyDescent="0.3">
      <c r="A44" s="139"/>
      <c r="B44" s="503" t="s">
        <v>10</v>
      </c>
      <c r="C44" s="476"/>
      <c r="D44" s="477"/>
      <c r="E44" s="477"/>
      <c r="F44" s="503">
        <f>F43+F11</f>
        <v>402505000</v>
      </c>
      <c r="G44" s="477"/>
      <c r="H44" s="503">
        <f>H43+H11</f>
        <v>132307.69230769228</v>
      </c>
      <c r="I44" s="503">
        <f>I43+I11</f>
        <v>107744.3664153846</v>
      </c>
      <c r="J44" s="504"/>
      <c r="K44" s="503">
        <f>K43+K11</f>
        <v>123608.80044771955</v>
      </c>
      <c r="L44" s="505">
        <f>K44-I44</f>
        <v>15864.434032334946</v>
      </c>
      <c r="M44" s="506">
        <f t="shared" si="10"/>
        <v>0.14724142486645775</v>
      </c>
      <c r="N44" s="507"/>
      <c r="O44" s="503">
        <f>O43+O11</f>
        <v>24040.352057692307</v>
      </c>
      <c r="P44" s="503">
        <f>P43+P11</f>
        <v>21587.845626923077</v>
      </c>
      <c r="Q44" s="503">
        <f>Q43+Q11</f>
        <v>15175.352057692307</v>
      </c>
      <c r="R44" s="503">
        <f>R43+R11</f>
        <v>24346.893596153848</v>
      </c>
      <c r="S44" s="503">
        <f>S43+S11</f>
        <v>22593.923076923074</v>
      </c>
      <c r="T44" s="145"/>
      <c r="U44" s="503">
        <f>U43+U11</f>
        <v>31722.260420168051</v>
      </c>
      <c r="V44" s="503">
        <f>V43+V11</f>
        <v>22769.776563233423</v>
      </c>
      <c r="W44" s="503">
        <f>W43+W11</f>
        <v>19510.246838123334</v>
      </c>
      <c r="X44" s="503">
        <f>X43+X11</f>
        <v>26780.315332336519</v>
      </c>
      <c r="Y44" s="503">
        <f>Y43+Y11</f>
        <v>22826.201293858234</v>
      </c>
      <c r="AA44" s="503">
        <f t="shared" si="11"/>
        <v>7681.9083624757441</v>
      </c>
      <c r="AB44" s="503">
        <f t="shared" si="11"/>
        <v>1181.9309363103457</v>
      </c>
      <c r="AC44" s="503">
        <f t="shared" si="11"/>
        <v>4334.8947804310264</v>
      </c>
      <c r="AD44" s="503">
        <f t="shared" si="11"/>
        <v>2433.4217361826704</v>
      </c>
      <c r="AE44" s="503">
        <f t="shared" si="11"/>
        <v>232.27821693515943</v>
      </c>
      <c r="AG44" s="169">
        <f t="shared" si="12"/>
        <v>0.31954225728644131</v>
      </c>
      <c r="AH44" s="169">
        <f t="shared" si="12"/>
        <v>5.474983269457475E-2</v>
      </c>
      <c r="AI44" s="169">
        <f t="shared" si="12"/>
        <v>0.28565365494988243</v>
      </c>
      <c r="AJ44" s="169">
        <f t="shared" si="12"/>
        <v>9.9947934900700655E-2</v>
      </c>
      <c r="AK44" s="169">
        <f t="shared" si="12"/>
        <v>1.0280561553845564E-2</v>
      </c>
    </row>
    <row r="45" spans="1:37" s="146" customFormat="1" ht="15" customHeight="1" x14ac:dyDescent="0.3">
      <c r="A45" s="185"/>
      <c r="B45" s="839" t="s">
        <v>11</v>
      </c>
      <c r="C45" s="839"/>
      <c r="D45" s="839"/>
      <c r="E45" s="839"/>
      <c r="F45" s="839"/>
      <c r="G45" s="480"/>
      <c r="H45" s="480"/>
      <c r="I45" s="480"/>
      <c r="J45" s="478"/>
      <c r="K45" s="480"/>
      <c r="L45" s="482"/>
      <c r="M45" s="187"/>
      <c r="N45" s="165"/>
      <c r="O45" s="480"/>
      <c r="P45" s="483"/>
      <c r="Q45" s="480"/>
      <c r="R45" s="480"/>
      <c r="S45" s="480"/>
      <c r="T45" s="145"/>
      <c r="U45" s="480"/>
      <c r="V45" s="483"/>
      <c r="W45" s="480"/>
      <c r="X45" s="480"/>
      <c r="Y45" s="480"/>
      <c r="AA45" s="480"/>
      <c r="AB45" s="483"/>
      <c r="AC45" s="480"/>
      <c r="AD45" s="480"/>
      <c r="AE45" s="480"/>
      <c r="AG45" s="480"/>
      <c r="AH45" s="483"/>
      <c r="AI45" s="480"/>
      <c r="AJ45" s="480"/>
      <c r="AK45" s="480"/>
    </row>
    <row r="46" spans="1:37" s="146" customFormat="1" ht="15" customHeight="1" x14ac:dyDescent="0.3">
      <c r="A46" s="185"/>
      <c r="B46" s="840" t="s">
        <v>12</v>
      </c>
      <c r="C46" s="840"/>
      <c r="D46" s="840"/>
      <c r="E46" s="840"/>
      <c r="F46" s="840"/>
      <c r="G46" s="508"/>
      <c r="H46" s="508"/>
      <c r="I46" s="508"/>
      <c r="J46" s="478"/>
      <c r="K46" s="508"/>
      <c r="L46" s="509"/>
      <c r="M46" s="191"/>
      <c r="N46" s="165"/>
      <c r="O46" s="508"/>
      <c r="P46" s="510"/>
      <c r="Q46" s="508"/>
      <c r="R46" s="508"/>
      <c r="S46" s="508"/>
      <c r="T46" s="145"/>
      <c r="U46" s="508"/>
      <c r="V46" s="510"/>
      <c r="W46" s="508"/>
      <c r="X46" s="508"/>
      <c r="Y46" s="508"/>
      <c r="AA46" s="508"/>
      <c r="AB46" s="510"/>
      <c r="AC46" s="508"/>
      <c r="AD46" s="508"/>
      <c r="AE46" s="508"/>
      <c r="AG46" s="511"/>
      <c r="AH46" s="512"/>
      <c r="AI46" s="512"/>
      <c r="AJ46" s="512"/>
      <c r="AK46" s="512"/>
    </row>
    <row r="47" spans="1:37" s="418" customFormat="1" ht="15" customHeight="1" x14ac:dyDescent="0.3">
      <c r="A47" s="513"/>
      <c r="B47" s="492" t="s">
        <v>3835</v>
      </c>
      <c r="C47" s="514" t="s">
        <v>3836</v>
      </c>
      <c r="D47" s="515">
        <v>2</v>
      </c>
      <c r="E47" s="515">
        <v>15000000</v>
      </c>
      <c r="F47" s="515">
        <f t="shared" ref="F47:F72" si="13">D47*E47</f>
        <v>30000000</v>
      </c>
      <c r="G47" s="515">
        <f t="shared" ref="G47:G52" si="14">+$G$5</f>
        <v>2600</v>
      </c>
      <c r="H47" s="516">
        <f t="shared" ref="H47:H58" si="15">IF($G$5=0,0,F47/G47)</f>
        <v>11538.461538461539</v>
      </c>
      <c r="I47" s="465">
        <v>8000</v>
      </c>
      <c r="J47" s="466"/>
      <c r="K47" s="465">
        <f>SUM(U47:Y47)</f>
        <v>8584.7560434836887</v>
      </c>
      <c r="L47" s="467">
        <f t="shared" ref="L47:L78" si="16">K47-I47</f>
        <v>584.7560434836887</v>
      </c>
      <c r="M47" s="468">
        <f t="shared" ref="M47:M78" si="17">IFERROR(L47/I47,0)</f>
        <v>7.3094505435461088E-2</v>
      </c>
      <c r="N47" s="469"/>
      <c r="O47" s="470">
        <v>2000</v>
      </c>
      <c r="P47" s="470">
        <v>2000</v>
      </c>
      <c r="Q47" s="470">
        <v>2000</v>
      </c>
      <c r="R47" s="470">
        <v>2000</v>
      </c>
      <c r="S47" s="470"/>
      <c r="U47" s="470">
        <v>2146.1890108709222</v>
      </c>
      <c r="V47" s="470">
        <v>2146.1890108709222</v>
      </c>
      <c r="W47" s="470">
        <v>2146.1890108709222</v>
      </c>
      <c r="X47" s="470">
        <v>2146.1890108709222</v>
      </c>
      <c r="Y47" s="470">
        <v>0</v>
      </c>
      <c r="AA47" s="155">
        <f t="shared" ref="AA47:AE79" si="18">U47-O47</f>
        <v>146.18901087092217</v>
      </c>
      <c r="AB47" s="155">
        <f t="shared" si="18"/>
        <v>146.18901087092217</v>
      </c>
      <c r="AC47" s="155">
        <f t="shared" si="18"/>
        <v>146.18901087092217</v>
      </c>
      <c r="AD47" s="155">
        <f t="shared" si="18"/>
        <v>146.18901087092217</v>
      </c>
      <c r="AE47" s="155">
        <f t="shared" si="18"/>
        <v>0</v>
      </c>
      <c r="AG47" s="156">
        <f t="shared" ref="AG47:AK79" si="19">IFERROR(AA47/O47,0)</f>
        <v>7.3094505435461088E-2</v>
      </c>
      <c r="AH47" s="156">
        <f t="shared" si="19"/>
        <v>7.3094505435461088E-2</v>
      </c>
      <c r="AI47" s="156">
        <f t="shared" si="19"/>
        <v>7.3094505435461088E-2</v>
      </c>
      <c r="AJ47" s="156">
        <f t="shared" si="19"/>
        <v>7.3094505435461088E-2</v>
      </c>
      <c r="AK47" s="156">
        <f t="shared" si="19"/>
        <v>0</v>
      </c>
    </row>
    <row r="48" spans="1:37" s="225" customFormat="1" ht="15" customHeight="1" x14ac:dyDescent="0.3">
      <c r="A48" s="160"/>
      <c r="B48" s="472" t="s">
        <v>3837</v>
      </c>
      <c r="C48" s="497" t="s">
        <v>3838</v>
      </c>
      <c r="D48" s="518">
        <v>2</v>
      </c>
      <c r="E48" s="518">
        <v>20000000</v>
      </c>
      <c r="F48" s="518">
        <f t="shared" si="13"/>
        <v>40000000</v>
      </c>
      <c r="G48" s="518">
        <f t="shared" si="14"/>
        <v>2600</v>
      </c>
      <c r="H48" s="519">
        <f t="shared" si="15"/>
        <v>15384.615384615385</v>
      </c>
      <c r="I48" s="465">
        <v>4352.0961538461543</v>
      </c>
      <c r="J48" s="466"/>
      <c r="K48" s="465">
        <f t="shared" ref="K48:K78" si="20">SUM(U48:Y48)</f>
        <v>6370.0204113095269</v>
      </c>
      <c r="L48" s="467">
        <f t="shared" si="16"/>
        <v>2017.9242574633727</v>
      </c>
      <c r="M48" s="468">
        <f t="shared" si="17"/>
        <v>0.46366720452167332</v>
      </c>
      <c r="N48" s="469"/>
      <c r="O48" s="470">
        <v>1088.0240384615386</v>
      </c>
      <c r="P48" s="470">
        <v>1088.0240384615386</v>
      </c>
      <c r="Q48" s="470">
        <v>1088.0240384615386</v>
      </c>
      <c r="R48" s="470">
        <v>1088.0240384615386</v>
      </c>
      <c r="S48" s="470"/>
      <c r="T48" s="159"/>
      <c r="U48" s="470">
        <v>1592.5051028273817</v>
      </c>
      <c r="V48" s="470">
        <v>1592.5051028273817</v>
      </c>
      <c r="W48" s="470">
        <v>1592.5051028273817</v>
      </c>
      <c r="X48" s="470">
        <v>1592.5051028273817</v>
      </c>
      <c r="Y48" s="470">
        <v>0</v>
      </c>
      <c r="AA48" s="155">
        <f t="shared" si="18"/>
        <v>504.48106436584317</v>
      </c>
      <c r="AB48" s="155">
        <f t="shared" si="18"/>
        <v>504.48106436584317</v>
      </c>
      <c r="AC48" s="155">
        <f t="shared" si="18"/>
        <v>504.48106436584317</v>
      </c>
      <c r="AD48" s="155">
        <f t="shared" si="18"/>
        <v>504.48106436584317</v>
      </c>
      <c r="AE48" s="155">
        <f t="shared" si="18"/>
        <v>0</v>
      </c>
      <c r="AG48" s="156">
        <f t="shared" si="19"/>
        <v>0.46366720452167332</v>
      </c>
      <c r="AH48" s="156">
        <f t="shared" si="19"/>
        <v>0.46366720452167332</v>
      </c>
      <c r="AI48" s="156">
        <f t="shared" si="19"/>
        <v>0.46366720452167332</v>
      </c>
      <c r="AJ48" s="156">
        <f t="shared" si="19"/>
        <v>0.46366720452167332</v>
      </c>
      <c r="AK48" s="156">
        <f t="shared" si="19"/>
        <v>0</v>
      </c>
    </row>
    <row r="49" spans="1:39" s="225" customFormat="1" ht="15" customHeight="1" x14ac:dyDescent="0.3">
      <c r="A49" s="160"/>
      <c r="B49" s="472" t="s">
        <v>3839</v>
      </c>
      <c r="C49" s="497" t="s">
        <v>3840</v>
      </c>
      <c r="D49" s="518">
        <v>24</v>
      </c>
      <c r="E49" s="518">
        <v>150000</v>
      </c>
      <c r="F49" s="518">
        <f t="shared" si="13"/>
        <v>3600000</v>
      </c>
      <c r="G49" s="518">
        <f t="shared" si="14"/>
        <v>2600</v>
      </c>
      <c r="H49" s="519">
        <f t="shared" si="15"/>
        <v>1384.6153846153845</v>
      </c>
      <c r="I49" s="465">
        <v>1384.6153846153845</v>
      </c>
      <c r="J49" s="466"/>
      <c r="K49" s="465">
        <f t="shared" si="20"/>
        <v>1894.8265360427354</v>
      </c>
      <c r="L49" s="467">
        <f t="shared" si="16"/>
        <v>510.21115142735084</v>
      </c>
      <c r="M49" s="468">
        <f t="shared" si="17"/>
        <v>0.36848583158642007</v>
      </c>
      <c r="N49" s="469"/>
      <c r="O49" s="470">
        <v>346.15384615384613</v>
      </c>
      <c r="P49" s="470">
        <v>346.15384615384613</v>
      </c>
      <c r="Q49" s="470">
        <v>346.15384615384613</v>
      </c>
      <c r="R49" s="470">
        <v>346.15384615384613</v>
      </c>
      <c r="S49" s="470"/>
      <c r="T49" s="159"/>
      <c r="U49" s="470">
        <v>473.70663401068384</v>
      </c>
      <c r="V49" s="470">
        <v>473.70663401068384</v>
      </c>
      <c r="W49" s="470">
        <v>473.70663401068384</v>
      </c>
      <c r="X49" s="470">
        <v>473.70663401068384</v>
      </c>
      <c r="Y49" s="470">
        <v>0</v>
      </c>
      <c r="AA49" s="155">
        <f t="shared" si="18"/>
        <v>127.55278785683771</v>
      </c>
      <c r="AB49" s="155">
        <f t="shared" si="18"/>
        <v>127.55278785683771</v>
      </c>
      <c r="AC49" s="155">
        <f t="shared" si="18"/>
        <v>127.55278785683771</v>
      </c>
      <c r="AD49" s="155">
        <f t="shared" si="18"/>
        <v>127.55278785683771</v>
      </c>
      <c r="AE49" s="155">
        <f t="shared" si="18"/>
        <v>0</v>
      </c>
      <c r="AG49" s="156">
        <f t="shared" si="19"/>
        <v>0.36848583158642007</v>
      </c>
      <c r="AH49" s="156">
        <f t="shared" si="19"/>
        <v>0.36848583158642007</v>
      </c>
      <c r="AI49" s="156">
        <f t="shared" si="19"/>
        <v>0.36848583158642007</v>
      </c>
      <c r="AJ49" s="156">
        <f t="shared" si="19"/>
        <v>0.36848583158642007</v>
      </c>
      <c r="AK49" s="156">
        <f t="shared" si="19"/>
        <v>0</v>
      </c>
    </row>
    <row r="50" spans="1:39" s="527" customFormat="1" ht="15" customHeight="1" x14ac:dyDescent="0.3">
      <c r="A50" s="520"/>
      <c r="B50" s="521" t="s">
        <v>3841</v>
      </c>
      <c r="C50" s="522" t="s">
        <v>3840</v>
      </c>
      <c r="D50" s="523">
        <v>24</v>
      </c>
      <c r="E50" s="524">
        <v>400000</v>
      </c>
      <c r="F50" s="524">
        <f t="shared" si="13"/>
        <v>9600000</v>
      </c>
      <c r="G50" s="523">
        <f t="shared" si="14"/>
        <v>2600</v>
      </c>
      <c r="H50" s="525">
        <f t="shared" si="15"/>
        <v>3692.3076923076924</v>
      </c>
      <c r="I50" s="465">
        <v>3692.3076923076924</v>
      </c>
      <c r="J50" s="466"/>
      <c r="K50" s="465">
        <f t="shared" si="20"/>
        <v>7062.8605344067546</v>
      </c>
      <c r="L50" s="467">
        <f t="shared" si="16"/>
        <v>3370.5528420990622</v>
      </c>
      <c r="M50" s="468">
        <f t="shared" si="17"/>
        <v>0.91285806140182935</v>
      </c>
      <c r="N50" s="469"/>
      <c r="O50" s="470">
        <v>923.07692307692309</v>
      </c>
      <c r="P50" s="470">
        <v>923.07692307692309</v>
      </c>
      <c r="Q50" s="470">
        <v>923.07692307692309</v>
      </c>
      <c r="R50" s="470">
        <v>923.07692307692309</v>
      </c>
      <c r="S50" s="470"/>
      <c r="T50" s="526"/>
      <c r="U50" s="470">
        <v>1765.7151336016886</v>
      </c>
      <c r="V50" s="470">
        <v>1765.7151336016886</v>
      </c>
      <c r="W50" s="470">
        <v>1765.7151336016886</v>
      </c>
      <c r="X50" s="470">
        <v>1765.7151336016886</v>
      </c>
      <c r="Y50" s="470">
        <v>0</v>
      </c>
      <c r="AA50" s="155">
        <f t="shared" si="18"/>
        <v>842.63821052476555</v>
      </c>
      <c r="AB50" s="155">
        <f t="shared" si="18"/>
        <v>842.63821052476555</v>
      </c>
      <c r="AC50" s="155">
        <f t="shared" si="18"/>
        <v>842.63821052476555</v>
      </c>
      <c r="AD50" s="155">
        <f t="shared" si="18"/>
        <v>842.63821052476555</v>
      </c>
      <c r="AE50" s="155">
        <f t="shared" si="18"/>
        <v>0</v>
      </c>
      <c r="AG50" s="156">
        <f t="shared" si="19"/>
        <v>0.91285806140182935</v>
      </c>
      <c r="AH50" s="156">
        <f t="shared" si="19"/>
        <v>0.91285806140182935</v>
      </c>
      <c r="AI50" s="156">
        <f t="shared" si="19"/>
        <v>0.91285806140182935</v>
      </c>
      <c r="AJ50" s="156">
        <f t="shared" si="19"/>
        <v>0.91285806140182935</v>
      </c>
      <c r="AK50" s="156">
        <f t="shared" si="19"/>
        <v>0</v>
      </c>
      <c r="AL50" s="225"/>
      <c r="AM50" s="225"/>
    </row>
    <row r="51" spans="1:39" s="418" customFormat="1" ht="15" customHeight="1" x14ac:dyDescent="0.3">
      <c r="A51" s="513"/>
      <c r="B51" s="492" t="s">
        <v>3842</v>
      </c>
      <c r="C51" s="514" t="s">
        <v>3840</v>
      </c>
      <c r="D51" s="528">
        <v>24</v>
      </c>
      <c r="E51" s="515">
        <v>500000</v>
      </c>
      <c r="F51" s="515">
        <f t="shared" si="13"/>
        <v>12000000</v>
      </c>
      <c r="G51" s="528">
        <f t="shared" si="14"/>
        <v>2600</v>
      </c>
      <c r="H51" s="529">
        <f t="shared" si="15"/>
        <v>4615.3846153846152</v>
      </c>
      <c r="I51" s="465">
        <v>0</v>
      </c>
      <c r="J51" s="530"/>
      <c r="K51" s="465">
        <f t="shared" si="20"/>
        <v>0</v>
      </c>
      <c r="L51" s="467">
        <f t="shared" si="16"/>
        <v>0</v>
      </c>
      <c r="M51" s="468">
        <f t="shared" si="17"/>
        <v>0</v>
      </c>
      <c r="N51" s="531"/>
      <c r="O51" s="470">
        <v>0</v>
      </c>
      <c r="P51" s="470">
        <v>0</v>
      </c>
      <c r="Q51" s="470">
        <v>0</v>
      </c>
      <c r="R51" s="470">
        <v>0</v>
      </c>
      <c r="S51" s="470"/>
      <c r="U51" s="470"/>
      <c r="V51" s="470"/>
      <c r="W51" s="470"/>
      <c r="X51" s="470"/>
      <c r="Y51" s="470"/>
      <c r="AA51" s="532">
        <f t="shared" si="18"/>
        <v>0</v>
      </c>
      <c r="AB51" s="532">
        <f t="shared" si="18"/>
        <v>0</v>
      </c>
      <c r="AC51" s="532">
        <f t="shared" si="18"/>
        <v>0</v>
      </c>
      <c r="AD51" s="532">
        <f t="shared" si="18"/>
        <v>0</v>
      </c>
      <c r="AE51" s="532">
        <f t="shared" si="18"/>
        <v>0</v>
      </c>
      <c r="AG51" s="156">
        <f t="shared" si="19"/>
        <v>0</v>
      </c>
      <c r="AH51" s="156">
        <f t="shared" si="19"/>
        <v>0</v>
      </c>
      <c r="AI51" s="156">
        <f t="shared" si="19"/>
        <v>0</v>
      </c>
      <c r="AJ51" s="156">
        <f t="shared" si="19"/>
        <v>0</v>
      </c>
      <c r="AK51" s="156">
        <f t="shared" si="19"/>
        <v>0</v>
      </c>
      <c r="AL51" s="225"/>
      <c r="AM51" s="225"/>
    </row>
    <row r="52" spans="1:39" s="225" customFormat="1" ht="15" customHeight="1" x14ac:dyDescent="0.3">
      <c r="A52" s="160"/>
      <c r="B52" s="472" t="s">
        <v>3843</v>
      </c>
      <c r="C52" s="497" t="s">
        <v>3836</v>
      </c>
      <c r="D52" s="518">
        <v>1</v>
      </c>
      <c r="E52" s="518">
        <v>60000000</v>
      </c>
      <c r="F52" s="518">
        <f t="shared" si="13"/>
        <v>60000000</v>
      </c>
      <c r="G52" s="518">
        <f t="shared" si="14"/>
        <v>2600</v>
      </c>
      <c r="H52" s="519">
        <f t="shared" si="15"/>
        <v>23076.923076923078</v>
      </c>
      <c r="I52" s="465">
        <v>23076.923076923078</v>
      </c>
      <c r="J52" s="466"/>
      <c r="K52" s="465">
        <f t="shared" si="20"/>
        <v>23514.750000000004</v>
      </c>
      <c r="L52" s="467">
        <f t="shared" si="16"/>
        <v>437.8269230769256</v>
      </c>
      <c r="M52" s="468">
        <f t="shared" si="17"/>
        <v>1.8972500000000107E-2</v>
      </c>
      <c r="N52" s="469"/>
      <c r="O52" s="470">
        <v>5769.2307692307695</v>
      </c>
      <c r="P52" s="470">
        <v>5769.2307692307695</v>
      </c>
      <c r="Q52" s="470">
        <v>5769.2307692307695</v>
      </c>
      <c r="R52" s="470">
        <v>5769.2307692307695</v>
      </c>
      <c r="S52" s="470"/>
      <c r="T52" s="159"/>
      <c r="U52" s="470">
        <f>SUM('Invoice list TAN'!J2953:J2957,'Invoice list TAN'!J2959:J2960)+'Invoice list TAN'!J2958/2</f>
        <v>5869.5205000000005</v>
      </c>
      <c r="V52" s="470">
        <f>SUM('Invoice list TAN'!K2953:K2957,'Invoice list TAN'!K2959:K2960)+'Invoice list TAN'!K2958/2</f>
        <v>5869.5205000000005</v>
      </c>
      <c r="W52" s="470">
        <f>SUM('Invoice list TAN'!L2953:L2957,'Invoice list TAN'!L2959:L2960)+'Invoice list TAN'!L2958/2</f>
        <v>5869.5205000000005</v>
      </c>
      <c r="X52" s="470">
        <f>SUM('Invoice list TAN'!M2953:M2957,'Invoice list TAN'!M2959:M2960)+'Invoice list TAN'!M2958/2</f>
        <v>5869.5205000000005</v>
      </c>
      <c r="Y52" s="470">
        <f>SUM('Invoice list TAN'!N2953:N2957,'Invoice list TAN'!N2959:N2960)+'Invoice list TAN'!N2958/2</f>
        <v>36.667999999999999</v>
      </c>
      <c r="AA52" s="155">
        <f t="shared" si="18"/>
        <v>100.28973076923103</v>
      </c>
      <c r="AB52" s="155">
        <f t="shared" si="18"/>
        <v>100.28973076923103</v>
      </c>
      <c r="AC52" s="155">
        <f t="shared" si="18"/>
        <v>100.28973076923103</v>
      </c>
      <c r="AD52" s="155">
        <f t="shared" si="18"/>
        <v>100.28973076923103</v>
      </c>
      <c r="AE52" s="155">
        <f t="shared" si="18"/>
        <v>36.667999999999999</v>
      </c>
      <c r="AG52" s="156">
        <f t="shared" si="19"/>
        <v>1.7383553333333378E-2</v>
      </c>
      <c r="AH52" s="156">
        <f t="shared" si="19"/>
        <v>1.7383553333333378E-2</v>
      </c>
      <c r="AI52" s="156">
        <f t="shared" si="19"/>
        <v>1.7383553333333378E-2</v>
      </c>
      <c r="AJ52" s="156">
        <f t="shared" si="19"/>
        <v>1.7383553333333378E-2</v>
      </c>
      <c r="AK52" s="156">
        <f t="shared" si="19"/>
        <v>0</v>
      </c>
    </row>
    <row r="53" spans="1:39" s="225" customFormat="1" ht="15" customHeight="1" x14ac:dyDescent="0.3">
      <c r="A53" s="160"/>
      <c r="B53" s="472" t="s">
        <v>99</v>
      </c>
      <c r="C53" s="464" t="s">
        <v>65</v>
      </c>
      <c r="D53" s="518">
        <v>1</v>
      </c>
      <c r="E53" s="518">
        <v>15000000</v>
      </c>
      <c r="F53" s="518">
        <f t="shared" si="13"/>
        <v>15000000</v>
      </c>
      <c r="G53" s="518">
        <f>+$G$5</f>
        <v>2600</v>
      </c>
      <c r="H53" s="519">
        <f t="shared" si="15"/>
        <v>5769.2307692307695</v>
      </c>
      <c r="I53" s="465">
        <v>0</v>
      </c>
      <c r="J53" s="466"/>
      <c r="K53" s="465">
        <f t="shared" si="20"/>
        <v>0</v>
      </c>
      <c r="L53" s="467">
        <f t="shared" si="16"/>
        <v>0</v>
      </c>
      <c r="M53" s="468">
        <f t="shared" si="17"/>
        <v>0</v>
      </c>
      <c r="N53" s="469"/>
      <c r="O53" s="470">
        <v>0</v>
      </c>
      <c r="P53" s="470">
        <v>0</v>
      </c>
      <c r="Q53" s="470">
        <v>0</v>
      </c>
      <c r="R53" s="470">
        <v>0</v>
      </c>
      <c r="S53" s="470"/>
      <c r="T53" s="159"/>
      <c r="U53" s="470"/>
      <c r="V53" s="470"/>
      <c r="W53" s="470"/>
      <c r="X53" s="470"/>
      <c r="Y53" s="470"/>
      <c r="AA53" s="155">
        <f t="shared" si="18"/>
        <v>0</v>
      </c>
      <c r="AB53" s="155">
        <f t="shared" si="18"/>
        <v>0</v>
      </c>
      <c r="AC53" s="155">
        <f t="shared" si="18"/>
        <v>0</v>
      </c>
      <c r="AD53" s="155">
        <f t="shared" si="18"/>
        <v>0</v>
      </c>
      <c r="AE53" s="155">
        <f t="shared" si="18"/>
        <v>0</v>
      </c>
      <c r="AG53" s="156">
        <f t="shared" si="19"/>
        <v>0</v>
      </c>
      <c r="AH53" s="156">
        <f t="shared" si="19"/>
        <v>0</v>
      </c>
      <c r="AI53" s="156">
        <f t="shared" si="19"/>
        <v>0</v>
      </c>
      <c r="AJ53" s="156">
        <f t="shared" si="19"/>
        <v>0</v>
      </c>
      <c r="AK53" s="156">
        <f t="shared" si="19"/>
        <v>0</v>
      </c>
    </row>
    <row r="54" spans="1:39" s="225" customFormat="1" ht="15" customHeight="1" x14ac:dyDescent="0.3">
      <c r="A54" s="160"/>
      <c r="B54" s="472" t="s">
        <v>3844</v>
      </c>
      <c r="C54" s="497" t="s">
        <v>3840</v>
      </c>
      <c r="D54" s="518">
        <v>24</v>
      </c>
      <c r="E54" s="518">
        <v>600000</v>
      </c>
      <c r="F54" s="518">
        <f t="shared" si="13"/>
        <v>14400000</v>
      </c>
      <c r="G54" s="518">
        <f>+$G$5</f>
        <v>2600</v>
      </c>
      <c r="H54" s="519">
        <f t="shared" si="15"/>
        <v>5538.4615384615381</v>
      </c>
      <c r="I54" s="465">
        <v>945.13</v>
      </c>
      <c r="J54" s="466"/>
      <c r="K54" s="465">
        <f t="shared" si="20"/>
        <v>2026.6477531180717</v>
      </c>
      <c r="L54" s="467">
        <f t="shared" si="16"/>
        <v>1081.5177531180716</v>
      </c>
      <c r="M54" s="468">
        <f t="shared" si="17"/>
        <v>1.144305813081874</v>
      </c>
      <c r="N54" s="469"/>
      <c r="O54" s="470">
        <v>236.2825</v>
      </c>
      <c r="P54" s="470">
        <v>236.2825</v>
      </c>
      <c r="Q54" s="470">
        <v>236.2825</v>
      </c>
      <c r="R54" s="470">
        <v>236.2825</v>
      </c>
      <c r="S54" s="470"/>
      <c r="T54" s="159"/>
      <c r="U54" s="470">
        <v>506.66193827951793</v>
      </c>
      <c r="V54" s="470">
        <v>506.66193827951793</v>
      </c>
      <c r="W54" s="470">
        <v>506.66193827951793</v>
      </c>
      <c r="X54" s="470">
        <v>506.66193827951793</v>
      </c>
      <c r="Y54" s="470">
        <v>0</v>
      </c>
      <c r="AA54" s="155">
        <f t="shared" si="18"/>
        <v>270.3794382795179</v>
      </c>
      <c r="AB54" s="155">
        <f t="shared" si="18"/>
        <v>270.3794382795179</v>
      </c>
      <c r="AC54" s="155">
        <f t="shared" si="18"/>
        <v>270.3794382795179</v>
      </c>
      <c r="AD54" s="155">
        <f t="shared" si="18"/>
        <v>270.3794382795179</v>
      </c>
      <c r="AE54" s="155">
        <f t="shared" si="18"/>
        <v>0</v>
      </c>
      <c r="AG54" s="156">
        <f t="shared" si="19"/>
        <v>1.144305813081874</v>
      </c>
      <c r="AH54" s="156">
        <f t="shared" si="19"/>
        <v>1.144305813081874</v>
      </c>
      <c r="AI54" s="156">
        <f t="shared" si="19"/>
        <v>1.144305813081874</v>
      </c>
      <c r="AJ54" s="156">
        <f t="shared" si="19"/>
        <v>1.144305813081874</v>
      </c>
      <c r="AK54" s="156">
        <f t="shared" si="19"/>
        <v>0</v>
      </c>
    </row>
    <row r="55" spans="1:39" s="418" customFormat="1" ht="15" customHeight="1" x14ac:dyDescent="0.3">
      <c r="A55" s="513"/>
      <c r="B55" s="492" t="s">
        <v>3845</v>
      </c>
      <c r="C55" s="514" t="s">
        <v>3840</v>
      </c>
      <c r="D55" s="515">
        <v>24</v>
      </c>
      <c r="E55" s="515">
        <v>300000</v>
      </c>
      <c r="F55" s="515">
        <f t="shared" si="13"/>
        <v>7200000</v>
      </c>
      <c r="G55" s="515">
        <f>+$G$5</f>
        <v>2600</v>
      </c>
      <c r="H55" s="516">
        <f t="shared" si="15"/>
        <v>2769.2307692307691</v>
      </c>
      <c r="I55" s="465">
        <v>2769.2307692307691</v>
      </c>
      <c r="J55" s="466"/>
      <c r="K55" s="465">
        <f t="shared" si="20"/>
        <v>1434.5442620537558</v>
      </c>
      <c r="L55" s="467">
        <f t="shared" si="16"/>
        <v>-1334.6865071770133</v>
      </c>
      <c r="M55" s="468">
        <f t="shared" si="17"/>
        <v>-0.48197012759169927</v>
      </c>
      <c r="N55" s="469"/>
      <c r="O55" s="470">
        <v>692.30769230769226</v>
      </c>
      <c r="P55" s="470">
        <v>692.30769230769226</v>
      </c>
      <c r="Q55" s="470">
        <v>692.30769230769226</v>
      </c>
      <c r="R55" s="470">
        <v>692.30769230769226</v>
      </c>
      <c r="S55" s="470"/>
      <c r="U55" s="470">
        <v>358.63606551343895</v>
      </c>
      <c r="V55" s="470">
        <v>358.63606551343895</v>
      </c>
      <c r="W55" s="470">
        <v>358.63606551343895</v>
      </c>
      <c r="X55" s="470">
        <v>358.63606551343895</v>
      </c>
      <c r="Y55" s="470">
        <v>0</v>
      </c>
      <c r="AA55" s="155">
        <f t="shared" si="18"/>
        <v>-333.67162679425331</v>
      </c>
      <c r="AB55" s="155">
        <f t="shared" si="18"/>
        <v>-333.67162679425331</v>
      </c>
      <c r="AC55" s="155">
        <f t="shared" si="18"/>
        <v>-333.67162679425331</v>
      </c>
      <c r="AD55" s="155">
        <f t="shared" si="18"/>
        <v>-333.67162679425331</v>
      </c>
      <c r="AE55" s="155">
        <f t="shared" si="18"/>
        <v>0</v>
      </c>
      <c r="AG55" s="156">
        <f t="shared" si="19"/>
        <v>-0.48197012759169927</v>
      </c>
      <c r="AH55" s="156">
        <f t="shared" si="19"/>
        <v>-0.48197012759169927</v>
      </c>
      <c r="AI55" s="156">
        <f t="shared" si="19"/>
        <v>-0.48197012759169927</v>
      </c>
      <c r="AJ55" s="156">
        <f t="shared" si="19"/>
        <v>-0.48197012759169927</v>
      </c>
      <c r="AK55" s="156">
        <f t="shared" si="19"/>
        <v>0</v>
      </c>
      <c r="AL55" s="225"/>
      <c r="AM55" s="225"/>
    </row>
    <row r="56" spans="1:39" s="418" customFormat="1" ht="15" customHeight="1" x14ac:dyDescent="0.3">
      <c r="A56" s="513"/>
      <c r="B56" s="472" t="s">
        <v>3846</v>
      </c>
      <c r="C56" s="514" t="s">
        <v>3847</v>
      </c>
      <c r="D56" s="515">
        <v>8</v>
      </c>
      <c r="E56" s="515">
        <v>7000000</v>
      </c>
      <c r="F56" s="515">
        <f t="shared" si="13"/>
        <v>56000000</v>
      </c>
      <c r="G56" s="515">
        <f>+$G$5</f>
        <v>2600</v>
      </c>
      <c r="H56" s="516">
        <f t="shared" si="15"/>
        <v>21538.461538461539</v>
      </c>
      <c r="I56" s="465">
        <v>5000</v>
      </c>
      <c r="J56" s="466"/>
      <c r="K56" s="465">
        <f t="shared" si="20"/>
        <v>5957.0470964988426</v>
      </c>
      <c r="L56" s="467">
        <f t="shared" si="16"/>
        <v>957.04709649884262</v>
      </c>
      <c r="M56" s="468">
        <f t="shared" si="17"/>
        <v>0.19140941929976851</v>
      </c>
      <c r="N56" s="469"/>
      <c r="O56" s="470">
        <v>1250</v>
      </c>
      <c r="P56" s="470">
        <v>1250</v>
      </c>
      <c r="Q56" s="470">
        <v>1250</v>
      </c>
      <c r="R56" s="470">
        <v>1250</v>
      </c>
      <c r="S56" s="470"/>
      <c r="U56" s="470">
        <v>1489.2617741247107</v>
      </c>
      <c r="V56" s="470">
        <v>1489.2617741247107</v>
      </c>
      <c r="W56" s="470">
        <v>1489.2617741247107</v>
      </c>
      <c r="X56" s="470">
        <v>1489.2617741247107</v>
      </c>
      <c r="Y56" s="470">
        <v>0</v>
      </c>
      <c r="AA56" s="155">
        <f t="shared" si="18"/>
        <v>239.26177412471066</v>
      </c>
      <c r="AB56" s="155">
        <f t="shared" si="18"/>
        <v>239.26177412471066</v>
      </c>
      <c r="AC56" s="155">
        <f t="shared" si="18"/>
        <v>239.26177412471066</v>
      </c>
      <c r="AD56" s="155">
        <f t="shared" si="18"/>
        <v>239.26177412471066</v>
      </c>
      <c r="AE56" s="155">
        <f t="shared" si="18"/>
        <v>0</v>
      </c>
      <c r="AG56" s="156">
        <f t="shared" si="19"/>
        <v>0.19140941929976851</v>
      </c>
      <c r="AH56" s="156">
        <f t="shared" si="19"/>
        <v>0.19140941929976851</v>
      </c>
      <c r="AI56" s="156">
        <f t="shared" si="19"/>
        <v>0.19140941929976851</v>
      </c>
      <c r="AJ56" s="156">
        <f t="shared" si="19"/>
        <v>0.19140941929976851</v>
      </c>
      <c r="AK56" s="156">
        <f t="shared" si="19"/>
        <v>0</v>
      </c>
      <c r="AL56" s="225"/>
      <c r="AM56" s="225"/>
    </row>
    <row r="57" spans="1:39" s="225" customFormat="1" ht="15" customHeight="1" x14ac:dyDescent="0.3">
      <c r="A57" s="160"/>
      <c r="B57" s="472" t="s">
        <v>3848</v>
      </c>
      <c r="C57" s="497" t="s">
        <v>3836</v>
      </c>
      <c r="D57" s="518">
        <v>2</v>
      </c>
      <c r="E57" s="518">
        <v>33750000</v>
      </c>
      <c r="F57" s="518">
        <f t="shared" si="13"/>
        <v>67500000</v>
      </c>
      <c r="G57" s="518">
        <f>+$G$5</f>
        <v>2600</v>
      </c>
      <c r="H57" s="519">
        <f t="shared" si="15"/>
        <v>25961.538461538461</v>
      </c>
      <c r="I57" s="465">
        <v>25000</v>
      </c>
      <c r="J57" s="466"/>
      <c r="K57" s="465">
        <f t="shared" si="20"/>
        <v>29847.285768524474</v>
      </c>
      <c r="L57" s="467">
        <f t="shared" si="16"/>
        <v>4847.2857685244744</v>
      </c>
      <c r="M57" s="468">
        <f t="shared" si="17"/>
        <v>0.19389143074097898</v>
      </c>
      <c r="N57" s="469"/>
      <c r="O57" s="470">
        <v>6250</v>
      </c>
      <c r="P57" s="470">
        <v>6250</v>
      </c>
      <c r="Q57" s="470">
        <v>6250</v>
      </c>
      <c r="R57" s="470">
        <v>6250</v>
      </c>
      <c r="S57" s="470"/>
      <c r="T57" s="159"/>
      <c r="U57" s="470">
        <v>7461.8214421311186</v>
      </c>
      <c r="V57" s="470">
        <v>7461.8214421311186</v>
      </c>
      <c r="W57" s="470">
        <v>7461.8214421311186</v>
      </c>
      <c r="X57" s="470">
        <v>7461.8214421311186</v>
      </c>
      <c r="Y57" s="470">
        <v>0</v>
      </c>
      <c r="AA57" s="155">
        <f t="shared" si="18"/>
        <v>1211.8214421311186</v>
      </c>
      <c r="AB57" s="155">
        <f t="shared" si="18"/>
        <v>1211.8214421311186</v>
      </c>
      <c r="AC57" s="155">
        <f t="shared" si="18"/>
        <v>1211.8214421311186</v>
      </c>
      <c r="AD57" s="155">
        <f t="shared" si="18"/>
        <v>1211.8214421311186</v>
      </c>
      <c r="AE57" s="155">
        <f t="shared" si="18"/>
        <v>0</v>
      </c>
      <c r="AG57" s="156">
        <f t="shared" si="19"/>
        <v>0.19389143074097898</v>
      </c>
      <c r="AH57" s="156">
        <f t="shared" si="19"/>
        <v>0.19389143074097898</v>
      </c>
      <c r="AI57" s="156">
        <f t="shared" si="19"/>
        <v>0.19389143074097898</v>
      </c>
      <c r="AJ57" s="156">
        <f t="shared" si="19"/>
        <v>0.19389143074097898</v>
      </c>
      <c r="AK57" s="156">
        <f t="shared" si="19"/>
        <v>0</v>
      </c>
    </row>
    <row r="58" spans="1:39" s="159" customFormat="1" ht="15" customHeight="1" x14ac:dyDescent="0.3">
      <c r="A58" s="215"/>
      <c r="B58" s="533" t="s">
        <v>3849</v>
      </c>
      <c r="C58" s="497" t="s">
        <v>59</v>
      </c>
      <c r="D58" s="472">
        <v>1</v>
      </c>
      <c r="E58" s="472">
        <v>20000000</v>
      </c>
      <c r="F58" s="472">
        <f t="shared" si="13"/>
        <v>20000000</v>
      </c>
      <c r="G58" s="472">
        <f>$G$5</f>
        <v>2600</v>
      </c>
      <c r="H58" s="498">
        <f t="shared" si="15"/>
        <v>7692.3076923076924</v>
      </c>
      <c r="I58" s="465">
        <v>2310.16938076923</v>
      </c>
      <c r="J58" s="466"/>
      <c r="K58" s="465">
        <f t="shared" si="20"/>
        <v>3767.9040815581266</v>
      </c>
      <c r="L58" s="467">
        <f t="shared" si="16"/>
        <v>1457.7347007888966</v>
      </c>
      <c r="M58" s="468">
        <f t="shared" si="17"/>
        <v>0.63100771437958658</v>
      </c>
      <c r="N58" s="469"/>
      <c r="O58" s="470">
        <v>577.54234519230749</v>
      </c>
      <c r="P58" s="470">
        <v>577.54234519230749</v>
      </c>
      <c r="Q58" s="470">
        <v>577.54234519230749</v>
      </c>
      <c r="R58" s="470">
        <v>577.54234519230749</v>
      </c>
      <c r="S58" s="768"/>
      <c r="U58" s="470">
        <v>941.97602038953164</v>
      </c>
      <c r="V58" s="470">
        <v>941.97602038953164</v>
      </c>
      <c r="W58" s="470">
        <v>941.97602038953164</v>
      </c>
      <c r="X58" s="470">
        <v>941.97602038953164</v>
      </c>
      <c r="Y58" s="470">
        <v>0</v>
      </c>
      <c r="AA58" s="155">
        <f t="shared" si="18"/>
        <v>364.43367519722415</v>
      </c>
      <c r="AB58" s="155">
        <f t="shared" si="18"/>
        <v>364.43367519722415</v>
      </c>
      <c r="AC58" s="155">
        <f t="shared" si="18"/>
        <v>364.43367519722415</v>
      </c>
      <c r="AD58" s="155">
        <f t="shared" si="18"/>
        <v>364.43367519722415</v>
      </c>
      <c r="AE58" s="155">
        <f t="shared" si="18"/>
        <v>0</v>
      </c>
      <c r="AG58" s="156">
        <f t="shared" si="19"/>
        <v>0.63100771437958658</v>
      </c>
      <c r="AH58" s="156">
        <f t="shared" si="19"/>
        <v>0.63100771437958658</v>
      </c>
      <c r="AI58" s="156">
        <f t="shared" si="19"/>
        <v>0.63100771437958658</v>
      </c>
      <c r="AJ58" s="156">
        <f t="shared" si="19"/>
        <v>0.63100771437958658</v>
      </c>
      <c r="AK58" s="156">
        <f t="shared" si="19"/>
        <v>0</v>
      </c>
      <c r="AM58" s="225"/>
    </row>
    <row r="59" spans="1:39" s="159" customFormat="1" ht="28.8" x14ac:dyDescent="0.3">
      <c r="A59" s="496"/>
      <c r="B59" s="472" t="s">
        <v>3850</v>
      </c>
      <c r="C59" s="497" t="s">
        <v>3836</v>
      </c>
      <c r="D59" s="472">
        <v>1</v>
      </c>
      <c r="E59" s="472">
        <v>12200000</v>
      </c>
      <c r="F59" s="472">
        <f t="shared" si="13"/>
        <v>12200000</v>
      </c>
      <c r="G59" s="472">
        <f t="shared" ref="G59:G73" si="21">$G$5</f>
        <v>2600</v>
      </c>
      <c r="H59" s="498">
        <v>0</v>
      </c>
      <c r="I59" s="465">
        <v>5077</v>
      </c>
      <c r="J59" s="486"/>
      <c r="K59" s="465">
        <f t="shared" si="20"/>
        <v>5336.4678334462806</v>
      </c>
      <c r="L59" s="467">
        <f t="shared" si="16"/>
        <v>259.46783344628057</v>
      </c>
      <c r="M59" s="499">
        <f t="shared" si="17"/>
        <v>5.1106526185991839E-2</v>
      </c>
      <c r="N59" s="157"/>
      <c r="O59" s="766"/>
      <c r="P59" s="766"/>
      <c r="Q59" s="766"/>
      <c r="R59" s="766"/>
      <c r="S59" s="502">
        <v>5077</v>
      </c>
      <c r="U59" s="502">
        <v>0</v>
      </c>
      <c r="V59" s="502">
        <v>0</v>
      </c>
      <c r="W59" s="502">
        <v>0</v>
      </c>
      <c r="X59" s="502">
        <v>0</v>
      </c>
      <c r="Y59" s="502">
        <v>5336.4678334462806</v>
      </c>
      <c r="AA59" s="155">
        <f t="shared" si="18"/>
        <v>0</v>
      </c>
      <c r="AB59" s="155">
        <f t="shared" si="18"/>
        <v>0</v>
      </c>
      <c r="AC59" s="155">
        <f t="shared" si="18"/>
        <v>0</v>
      </c>
      <c r="AD59" s="155">
        <f t="shared" si="18"/>
        <v>0</v>
      </c>
      <c r="AE59" s="155">
        <f t="shared" si="18"/>
        <v>259.46783344628057</v>
      </c>
      <c r="AG59" s="156">
        <f t="shared" si="19"/>
        <v>0</v>
      </c>
      <c r="AH59" s="156">
        <f t="shared" si="19"/>
        <v>0</v>
      </c>
      <c r="AI59" s="156">
        <f t="shared" si="19"/>
        <v>0</v>
      </c>
      <c r="AJ59" s="156">
        <f t="shared" si="19"/>
        <v>0</v>
      </c>
      <c r="AK59" s="156">
        <f t="shared" si="19"/>
        <v>5.1106526185991839E-2</v>
      </c>
    </row>
    <row r="60" spans="1:39" s="159" customFormat="1" ht="15" customHeight="1" x14ac:dyDescent="0.3">
      <c r="A60" s="496"/>
      <c r="B60" s="472" t="s">
        <v>3851</v>
      </c>
      <c r="C60" s="497" t="s">
        <v>3836</v>
      </c>
      <c r="D60" s="472">
        <v>1</v>
      </c>
      <c r="E60" s="472">
        <v>1128000</v>
      </c>
      <c r="F60" s="472">
        <f t="shared" si="13"/>
        <v>1128000</v>
      </c>
      <c r="G60" s="472">
        <v>2600</v>
      </c>
      <c r="H60" s="498">
        <v>0</v>
      </c>
      <c r="I60" s="465">
        <v>433.84615384615387</v>
      </c>
      <c r="J60" s="486"/>
      <c r="K60" s="465">
        <f t="shared" si="20"/>
        <v>0</v>
      </c>
      <c r="L60" s="467">
        <f t="shared" si="16"/>
        <v>-433.84615384615387</v>
      </c>
      <c r="M60" s="499">
        <f t="shared" si="17"/>
        <v>-1</v>
      </c>
      <c r="N60" s="157"/>
      <c r="O60" s="766"/>
      <c r="P60" s="767"/>
      <c r="Q60" s="766"/>
      <c r="R60" s="766"/>
      <c r="S60" s="502">
        <v>433.84615384615387</v>
      </c>
      <c r="U60" s="502"/>
      <c r="V60" s="502"/>
      <c r="W60" s="502"/>
      <c r="X60" s="502"/>
      <c r="Y60" s="502"/>
      <c r="AA60" s="155">
        <f t="shared" si="18"/>
        <v>0</v>
      </c>
      <c r="AB60" s="155">
        <f t="shared" si="18"/>
        <v>0</v>
      </c>
      <c r="AC60" s="155">
        <f t="shared" si="18"/>
        <v>0</v>
      </c>
      <c r="AD60" s="155">
        <f t="shared" si="18"/>
        <v>0</v>
      </c>
      <c r="AE60" s="155">
        <f t="shared" si="18"/>
        <v>-433.84615384615387</v>
      </c>
      <c r="AG60" s="156">
        <f t="shared" si="19"/>
        <v>0</v>
      </c>
      <c r="AH60" s="156">
        <f t="shared" si="19"/>
        <v>0</v>
      </c>
      <c r="AI60" s="156">
        <f t="shared" si="19"/>
        <v>0</v>
      </c>
      <c r="AJ60" s="156">
        <f t="shared" si="19"/>
        <v>0</v>
      </c>
      <c r="AK60" s="156">
        <f t="shared" si="19"/>
        <v>-1</v>
      </c>
    </row>
    <row r="61" spans="1:39" s="159" customFormat="1" ht="15" customHeight="1" x14ac:dyDescent="0.3">
      <c r="A61" s="496"/>
      <c r="B61" s="472" t="s">
        <v>3852</v>
      </c>
      <c r="C61" s="497" t="s">
        <v>3836</v>
      </c>
      <c r="D61" s="472">
        <v>1</v>
      </c>
      <c r="E61" s="472">
        <v>596160</v>
      </c>
      <c r="F61" s="472">
        <f t="shared" si="13"/>
        <v>596160</v>
      </c>
      <c r="G61" s="472">
        <v>2600</v>
      </c>
      <c r="H61" s="498">
        <v>0</v>
      </c>
      <c r="I61" s="465">
        <v>229.2923076923077</v>
      </c>
      <c r="J61" s="486"/>
      <c r="K61" s="465">
        <f t="shared" si="20"/>
        <v>0</v>
      </c>
      <c r="L61" s="467">
        <f t="shared" si="16"/>
        <v>-229.2923076923077</v>
      </c>
      <c r="M61" s="499">
        <f t="shared" si="17"/>
        <v>-1</v>
      </c>
      <c r="N61" s="157"/>
      <c r="O61" s="766"/>
      <c r="P61" s="767"/>
      <c r="Q61" s="766"/>
      <c r="R61" s="766"/>
      <c r="S61" s="502">
        <v>229.2923076923077</v>
      </c>
      <c r="U61" s="502"/>
      <c r="V61" s="502"/>
      <c r="W61" s="502"/>
      <c r="X61" s="502"/>
      <c r="Y61" s="502"/>
      <c r="AA61" s="155">
        <f t="shared" si="18"/>
        <v>0</v>
      </c>
      <c r="AB61" s="155">
        <f t="shared" si="18"/>
        <v>0</v>
      </c>
      <c r="AC61" s="155">
        <f t="shared" si="18"/>
        <v>0</v>
      </c>
      <c r="AD61" s="155">
        <f t="shared" si="18"/>
        <v>0</v>
      </c>
      <c r="AE61" s="155">
        <f t="shared" si="18"/>
        <v>-229.2923076923077</v>
      </c>
      <c r="AG61" s="156">
        <f t="shared" si="19"/>
        <v>0</v>
      </c>
      <c r="AH61" s="156">
        <f t="shared" si="19"/>
        <v>0</v>
      </c>
      <c r="AI61" s="156">
        <f t="shared" si="19"/>
        <v>0</v>
      </c>
      <c r="AJ61" s="156">
        <f t="shared" si="19"/>
        <v>0</v>
      </c>
      <c r="AK61" s="156">
        <f t="shared" si="19"/>
        <v>-1</v>
      </c>
    </row>
    <row r="62" spans="1:39" s="159" customFormat="1" ht="15" customHeight="1" x14ac:dyDescent="0.3">
      <c r="A62" s="496"/>
      <c r="B62" s="472" t="s">
        <v>3853</v>
      </c>
      <c r="C62" s="497" t="s">
        <v>3836</v>
      </c>
      <c r="D62" s="472">
        <v>1</v>
      </c>
      <c r="E62" s="472">
        <v>913400</v>
      </c>
      <c r="F62" s="472">
        <f t="shared" si="13"/>
        <v>913400</v>
      </c>
      <c r="G62" s="472">
        <v>2600</v>
      </c>
      <c r="H62" s="498">
        <v>0</v>
      </c>
      <c r="I62" s="465">
        <v>351.30769230769232</v>
      </c>
      <c r="J62" s="486"/>
      <c r="K62" s="465">
        <f t="shared" si="20"/>
        <v>0</v>
      </c>
      <c r="L62" s="467">
        <f t="shared" si="16"/>
        <v>-351.30769230769232</v>
      </c>
      <c r="M62" s="499">
        <f t="shared" si="17"/>
        <v>-1</v>
      </c>
      <c r="N62" s="157"/>
      <c r="O62" s="766"/>
      <c r="P62" s="767"/>
      <c r="Q62" s="766"/>
      <c r="R62" s="766"/>
      <c r="S62" s="502">
        <v>351.30769230769232</v>
      </c>
      <c r="U62" s="502"/>
      <c r="V62" s="502"/>
      <c r="W62" s="502"/>
      <c r="X62" s="502"/>
      <c r="Y62" s="502"/>
      <c r="AA62" s="155">
        <f t="shared" si="18"/>
        <v>0</v>
      </c>
      <c r="AB62" s="155">
        <f t="shared" si="18"/>
        <v>0</v>
      </c>
      <c r="AC62" s="155">
        <f t="shared" si="18"/>
        <v>0</v>
      </c>
      <c r="AD62" s="155">
        <f t="shared" si="18"/>
        <v>0</v>
      </c>
      <c r="AE62" s="155">
        <f t="shared" si="18"/>
        <v>-351.30769230769232</v>
      </c>
      <c r="AG62" s="156">
        <f t="shared" si="19"/>
        <v>0</v>
      </c>
      <c r="AH62" s="156">
        <f t="shared" si="19"/>
        <v>0</v>
      </c>
      <c r="AI62" s="156">
        <f t="shared" si="19"/>
        <v>0</v>
      </c>
      <c r="AJ62" s="156">
        <f t="shared" si="19"/>
        <v>0</v>
      </c>
      <c r="AK62" s="156">
        <f t="shared" si="19"/>
        <v>-1</v>
      </c>
    </row>
    <row r="63" spans="1:39" s="159" customFormat="1" ht="15" customHeight="1" x14ac:dyDescent="0.3">
      <c r="A63" s="496"/>
      <c r="B63" s="472" t="s">
        <v>3854</v>
      </c>
      <c r="C63" s="497" t="s">
        <v>3836</v>
      </c>
      <c r="D63" s="497">
        <v>1</v>
      </c>
      <c r="E63" s="497">
        <v>10585580</v>
      </c>
      <c r="F63" s="472">
        <f t="shared" si="13"/>
        <v>10585580</v>
      </c>
      <c r="G63" s="472">
        <v>2600</v>
      </c>
      <c r="H63" s="498">
        <v>0</v>
      </c>
      <c r="I63" s="465">
        <v>8500</v>
      </c>
      <c r="J63" s="486"/>
      <c r="K63" s="465">
        <f t="shared" si="20"/>
        <v>10316.337161486565</v>
      </c>
      <c r="L63" s="467">
        <f t="shared" si="16"/>
        <v>1816.3371614865646</v>
      </c>
      <c r="M63" s="499">
        <f t="shared" si="17"/>
        <v>0.21368672488077231</v>
      </c>
      <c r="N63" s="157"/>
      <c r="O63" s="766"/>
      <c r="P63" s="767"/>
      <c r="Q63" s="766"/>
      <c r="R63" s="766"/>
      <c r="S63" s="502">
        <v>8500</v>
      </c>
      <c r="U63" s="502">
        <v>0</v>
      </c>
      <c r="V63" s="502">
        <v>0</v>
      </c>
      <c r="W63" s="502">
        <v>0</v>
      </c>
      <c r="X63" s="502">
        <v>0</v>
      </c>
      <c r="Y63" s="502">
        <v>10316.337161486565</v>
      </c>
      <c r="AA63" s="155">
        <f t="shared" si="18"/>
        <v>0</v>
      </c>
      <c r="AB63" s="155">
        <f t="shared" si="18"/>
        <v>0</v>
      </c>
      <c r="AC63" s="155">
        <f t="shared" si="18"/>
        <v>0</v>
      </c>
      <c r="AD63" s="155">
        <f t="shared" si="18"/>
        <v>0</v>
      </c>
      <c r="AE63" s="155">
        <f t="shared" si="18"/>
        <v>1816.3371614865646</v>
      </c>
      <c r="AG63" s="156">
        <f t="shared" si="19"/>
        <v>0</v>
      </c>
      <c r="AH63" s="156">
        <f t="shared" si="19"/>
        <v>0</v>
      </c>
      <c r="AI63" s="156">
        <f t="shared" si="19"/>
        <v>0</v>
      </c>
      <c r="AJ63" s="156">
        <f t="shared" si="19"/>
        <v>0</v>
      </c>
      <c r="AK63" s="156">
        <f t="shared" si="19"/>
        <v>0.21368672488077231</v>
      </c>
    </row>
    <row r="64" spans="1:39" s="159" customFormat="1" ht="13.95" customHeight="1" x14ac:dyDescent="0.3">
      <c r="A64" s="496"/>
      <c r="B64" s="535" t="s">
        <v>3855</v>
      </c>
      <c r="C64" s="497" t="s">
        <v>3856</v>
      </c>
      <c r="D64" s="497">
        <v>11</v>
      </c>
      <c r="E64" s="497">
        <v>200000</v>
      </c>
      <c r="F64" s="472">
        <f t="shared" si="13"/>
        <v>2200000</v>
      </c>
      <c r="G64" s="472">
        <v>2600</v>
      </c>
      <c r="H64" s="498"/>
      <c r="I64" s="465">
        <v>846.15384615384619</v>
      </c>
      <c r="J64" s="486"/>
      <c r="K64" s="465">
        <f t="shared" si="20"/>
        <v>466.90679594569571</v>
      </c>
      <c r="L64" s="467">
        <f t="shared" si="16"/>
        <v>-379.24705020815048</v>
      </c>
      <c r="M64" s="499">
        <f t="shared" si="17"/>
        <v>-0.44820105933690507</v>
      </c>
      <c r="N64" s="157"/>
      <c r="O64" s="766"/>
      <c r="P64" s="767"/>
      <c r="Q64" s="766"/>
      <c r="R64" s="766"/>
      <c r="S64" s="502">
        <v>846.15384615384619</v>
      </c>
      <c r="U64" s="502">
        <v>0</v>
      </c>
      <c r="V64" s="502">
        <v>0</v>
      </c>
      <c r="W64" s="502">
        <v>0</v>
      </c>
      <c r="X64" s="502">
        <v>0</v>
      </c>
      <c r="Y64" s="502">
        <v>466.90679594569571</v>
      </c>
      <c r="AA64" s="155">
        <f t="shared" si="18"/>
        <v>0</v>
      </c>
      <c r="AB64" s="155">
        <f t="shared" si="18"/>
        <v>0</v>
      </c>
      <c r="AC64" s="155">
        <f t="shared" si="18"/>
        <v>0</v>
      </c>
      <c r="AD64" s="155">
        <f t="shared" si="18"/>
        <v>0</v>
      </c>
      <c r="AE64" s="155">
        <f t="shared" si="18"/>
        <v>-379.24705020815048</v>
      </c>
      <c r="AG64" s="156">
        <f t="shared" si="19"/>
        <v>0</v>
      </c>
      <c r="AH64" s="156">
        <f t="shared" si="19"/>
        <v>0</v>
      </c>
      <c r="AI64" s="156">
        <f t="shared" si="19"/>
        <v>0</v>
      </c>
      <c r="AJ64" s="156">
        <f t="shared" si="19"/>
        <v>0</v>
      </c>
      <c r="AK64" s="156">
        <f t="shared" si="19"/>
        <v>-0.44820105933690507</v>
      </c>
    </row>
    <row r="65" spans="1:37" s="159" customFormat="1" ht="15" customHeight="1" x14ac:dyDescent="0.3">
      <c r="A65" s="496"/>
      <c r="B65" s="535" t="s">
        <v>3857</v>
      </c>
      <c r="C65" s="497" t="s">
        <v>3840</v>
      </c>
      <c r="D65" s="497">
        <v>10.5</v>
      </c>
      <c r="E65" s="497">
        <f>80000*20</f>
        <v>1600000</v>
      </c>
      <c r="F65" s="472">
        <f t="shared" si="13"/>
        <v>16800000</v>
      </c>
      <c r="G65" s="472">
        <v>2600</v>
      </c>
      <c r="H65" s="498">
        <v>0</v>
      </c>
      <c r="I65" s="465">
        <v>6461.5384615384619</v>
      </c>
      <c r="J65" s="486"/>
      <c r="K65" s="465">
        <f t="shared" si="20"/>
        <v>8651.1490991791798</v>
      </c>
      <c r="L65" s="467">
        <f t="shared" si="16"/>
        <v>2189.6106376407179</v>
      </c>
      <c r="M65" s="499">
        <f t="shared" si="17"/>
        <v>0.3388683129682063</v>
      </c>
      <c r="N65" s="157"/>
      <c r="O65" s="766"/>
      <c r="P65" s="767"/>
      <c r="Q65" s="766"/>
      <c r="R65" s="766"/>
      <c r="S65" s="502">
        <v>6461.5384615384619</v>
      </c>
      <c r="U65" s="502">
        <v>0</v>
      </c>
      <c r="V65" s="502">
        <v>0</v>
      </c>
      <c r="W65" s="502">
        <v>0</v>
      </c>
      <c r="X65" s="502">
        <v>0</v>
      </c>
      <c r="Y65" s="502">
        <v>8651.1490991791798</v>
      </c>
      <c r="AA65" s="155">
        <f t="shared" si="18"/>
        <v>0</v>
      </c>
      <c r="AB65" s="155">
        <f t="shared" si="18"/>
        <v>0</v>
      </c>
      <c r="AC65" s="155">
        <f t="shared" si="18"/>
        <v>0</v>
      </c>
      <c r="AD65" s="155">
        <f t="shared" si="18"/>
        <v>0</v>
      </c>
      <c r="AE65" s="155">
        <f t="shared" si="18"/>
        <v>2189.6106376407179</v>
      </c>
      <c r="AG65" s="156">
        <f t="shared" si="19"/>
        <v>0</v>
      </c>
      <c r="AH65" s="156">
        <f t="shared" si="19"/>
        <v>0</v>
      </c>
      <c r="AI65" s="156">
        <f t="shared" si="19"/>
        <v>0</v>
      </c>
      <c r="AJ65" s="156">
        <f t="shared" si="19"/>
        <v>0</v>
      </c>
      <c r="AK65" s="156">
        <f t="shared" si="19"/>
        <v>0.3388683129682063</v>
      </c>
    </row>
    <row r="66" spans="1:37" s="159" customFormat="1" ht="28.8" x14ac:dyDescent="0.3">
      <c r="A66" s="496"/>
      <c r="B66" s="535" t="s">
        <v>3858</v>
      </c>
      <c r="C66" s="497" t="s">
        <v>3840</v>
      </c>
      <c r="D66" s="497">
        <v>1</v>
      </c>
      <c r="E66" s="497">
        <v>1653156</v>
      </c>
      <c r="F66" s="472">
        <f t="shared" si="13"/>
        <v>1653156</v>
      </c>
      <c r="G66" s="472">
        <v>2600</v>
      </c>
      <c r="H66" s="498"/>
      <c r="I66" s="465">
        <v>635.82923076923078</v>
      </c>
      <c r="J66" s="486"/>
      <c r="K66" s="465">
        <f t="shared" si="20"/>
        <v>1371.5327130999767</v>
      </c>
      <c r="L66" s="467">
        <f t="shared" si="16"/>
        <v>735.70348233074594</v>
      </c>
      <c r="M66" s="499">
        <f t="shared" si="17"/>
        <v>1.1570771627480645</v>
      </c>
      <c r="N66" s="157"/>
      <c r="O66" s="766"/>
      <c r="P66" s="767"/>
      <c r="Q66" s="766"/>
      <c r="R66" s="766"/>
      <c r="S66" s="502">
        <v>635.82923076923078</v>
      </c>
      <c r="U66" s="502">
        <v>0</v>
      </c>
      <c r="V66" s="502">
        <v>0</v>
      </c>
      <c r="W66" s="502">
        <v>0</v>
      </c>
      <c r="X66" s="502">
        <v>0</v>
      </c>
      <c r="Y66" s="502">
        <v>1371.5327130999767</v>
      </c>
      <c r="AA66" s="155">
        <f t="shared" si="18"/>
        <v>0</v>
      </c>
      <c r="AB66" s="155">
        <f t="shared" si="18"/>
        <v>0</v>
      </c>
      <c r="AC66" s="155">
        <f t="shared" si="18"/>
        <v>0</v>
      </c>
      <c r="AD66" s="155">
        <f t="shared" si="18"/>
        <v>0</v>
      </c>
      <c r="AE66" s="155">
        <f t="shared" si="18"/>
        <v>735.70348233074594</v>
      </c>
      <c r="AG66" s="156">
        <f t="shared" si="19"/>
        <v>0</v>
      </c>
      <c r="AH66" s="156">
        <f t="shared" si="19"/>
        <v>0</v>
      </c>
      <c r="AI66" s="156">
        <f t="shared" si="19"/>
        <v>0</v>
      </c>
      <c r="AJ66" s="156">
        <f t="shared" si="19"/>
        <v>0</v>
      </c>
      <c r="AK66" s="156">
        <f t="shared" si="19"/>
        <v>1.1570771627480645</v>
      </c>
    </row>
    <row r="67" spans="1:37" s="159" customFormat="1" ht="15.6" customHeight="1" x14ac:dyDescent="0.3">
      <c r="A67" s="496"/>
      <c r="B67" s="535" t="s">
        <v>3859</v>
      </c>
      <c r="C67" s="497" t="s">
        <v>59</v>
      </c>
      <c r="D67" s="497">
        <v>1</v>
      </c>
      <c r="E67" s="497">
        <v>2000000</v>
      </c>
      <c r="F67" s="472">
        <f t="shared" si="13"/>
        <v>2000000</v>
      </c>
      <c r="G67" s="472">
        <v>2600</v>
      </c>
      <c r="H67" s="498"/>
      <c r="I67" s="465">
        <v>769.23076923076928</v>
      </c>
      <c r="J67" s="486"/>
      <c r="K67" s="465">
        <f t="shared" si="20"/>
        <v>8272.7310934215348</v>
      </c>
      <c r="L67" s="467">
        <f t="shared" si="16"/>
        <v>7503.5003241907652</v>
      </c>
      <c r="M67" s="499">
        <f t="shared" si="17"/>
        <v>9.7545504214479948</v>
      </c>
      <c r="N67" s="157"/>
      <c r="O67" s="766"/>
      <c r="P67" s="767"/>
      <c r="Q67" s="766"/>
      <c r="R67" s="766"/>
      <c r="S67" s="502">
        <v>769.23076923076928</v>
      </c>
      <c r="U67" s="502">
        <v>0</v>
      </c>
      <c r="V67" s="502">
        <v>0</v>
      </c>
      <c r="W67" s="502">
        <v>0</v>
      </c>
      <c r="X67" s="502">
        <v>0</v>
      </c>
      <c r="Y67" s="502">
        <v>8272.7310934215348</v>
      </c>
      <c r="AA67" s="155">
        <f t="shared" si="18"/>
        <v>0</v>
      </c>
      <c r="AB67" s="155">
        <f t="shared" si="18"/>
        <v>0</v>
      </c>
      <c r="AC67" s="155">
        <f t="shared" si="18"/>
        <v>0</v>
      </c>
      <c r="AD67" s="155">
        <f t="shared" si="18"/>
        <v>0</v>
      </c>
      <c r="AE67" s="155">
        <f t="shared" si="18"/>
        <v>7503.5003241907652</v>
      </c>
      <c r="AG67" s="156">
        <f t="shared" si="19"/>
        <v>0</v>
      </c>
      <c r="AH67" s="156">
        <f t="shared" si="19"/>
        <v>0</v>
      </c>
      <c r="AI67" s="156">
        <f t="shared" si="19"/>
        <v>0</v>
      </c>
      <c r="AJ67" s="156">
        <f t="shared" si="19"/>
        <v>0</v>
      </c>
      <c r="AK67" s="156">
        <f t="shared" si="19"/>
        <v>9.7545504214479948</v>
      </c>
    </row>
    <row r="68" spans="1:37" s="159" customFormat="1" x14ac:dyDescent="0.3">
      <c r="A68" s="496"/>
      <c r="B68" s="535" t="s">
        <v>3860</v>
      </c>
      <c r="C68" s="497" t="s">
        <v>65</v>
      </c>
      <c r="D68" s="497">
        <v>6</v>
      </c>
      <c r="E68" s="497">
        <v>500000</v>
      </c>
      <c r="F68" s="472">
        <f t="shared" si="13"/>
        <v>3000000</v>
      </c>
      <c r="G68" s="472">
        <v>2600</v>
      </c>
      <c r="H68" s="498"/>
      <c r="I68" s="465">
        <v>1153.8461538461538</v>
      </c>
      <c r="J68" s="486"/>
      <c r="K68" s="465">
        <f t="shared" si="20"/>
        <v>1093.9517570574963</v>
      </c>
      <c r="L68" s="467">
        <f t="shared" si="16"/>
        <v>-59.894396788657559</v>
      </c>
      <c r="M68" s="499">
        <f t="shared" si="17"/>
        <v>-5.190847721683655E-2</v>
      </c>
      <c r="N68" s="157"/>
      <c r="O68" s="766"/>
      <c r="P68" s="767"/>
      <c r="Q68" s="766"/>
      <c r="R68" s="766"/>
      <c r="S68" s="502">
        <v>1153.8461538461538</v>
      </c>
      <c r="U68" s="502">
        <v>0</v>
      </c>
      <c r="V68" s="502">
        <v>0</v>
      </c>
      <c r="W68" s="502">
        <v>0</v>
      </c>
      <c r="X68" s="502">
        <v>0</v>
      </c>
      <c r="Y68" s="502">
        <v>1093.9517570574963</v>
      </c>
      <c r="AA68" s="155">
        <f t="shared" si="18"/>
        <v>0</v>
      </c>
      <c r="AB68" s="155">
        <f t="shared" si="18"/>
        <v>0</v>
      </c>
      <c r="AC68" s="155">
        <f t="shared" si="18"/>
        <v>0</v>
      </c>
      <c r="AD68" s="155">
        <f t="shared" si="18"/>
        <v>0</v>
      </c>
      <c r="AE68" s="155">
        <f t="shared" si="18"/>
        <v>-59.894396788657559</v>
      </c>
      <c r="AG68" s="156">
        <f t="shared" si="19"/>
        <v>0</v>
      </c>
      <c r="AH68" s="156">
        <f t="shared" si="19"/>
        <v>0</v>
      </c>
      <c r="AI68" s="156">
        <f t="shared" si="19"/>
        <v>0</v>
      </c>
      <c r="AJ68" s="156">
        <f t="shared" si="19"/>
        <v>0</v>
      </c>
      <c r="AK68" s="156">
        <f t="shared" si="19"/>
        <v>-5.190847721683655E-2</v>
      </c>
    </row>
    <row r="69" spans="1:37" s="159" customFormat="1" x14ac:dyDescent="0.3">
      <c r="A69" s="496"/>
      <c r="B69" s="535" t="s">
        <v>3861</v>
      </c>
      <c r="C69" s="497" t="s">
        <v>59</v>
      </c>
      <c r="D69" s="497">
        <v>1</v>
      </c>
      <c r="E69" s="497">
        <v>7500000</v>
      </c>
      <c r="F69" s="472">
        <f t="shared" si="13"/>
        <v>7500000</v>
      </c>
      <c r="G69" s="472">
        <v>2600</v>
      </c>
      <c r="H69" s="498"/>
      <c r="I69" s="465">
        <v>2884.6153846153848</v>
      </c>
      <c r="J69" s="486"/>
      <c r="K69" s="465">
        <f t="shared" si="20"/>
        <v>3947.0601718914436</v>
      </c>
      <c r="L69" s="467">
        <f t="shared" si="16"/>
        <v>1062.4447872760588</v>
      </c>
      <c r="M69" s="499">
        <f t="shared" si="17"/>
        <v>0.36831419292236706</v>
      </c>
      <c r="N69" s="157"/>
      <c r="O69" s="766"/>
      <c r="P69" s="767"/>
      <c r="Q69" s="766"/>
      <c r="R69" s="766"/>
      <c r="S69" s="502">
        <v>2884.6153846153848</v>
      </c>
      <c r="U69" s="502">
        <v>0</v>
      </c>
      <c r="V69" s="502">
        <v>0</v>
      </c>
      <c r="W69" s="502">
        <v>0</v>
      </c>
      <c r="X69" s="502">
        <v>0</v>
      </c>
      <c r="Y69" s="502">
        <v>3947.0601718914436</v>
      </c>
      <c r="AA69" s="155">
        <f t="shared" si="18"/>
        <v>0</v>
      </c>
      <c r="AB69" s="155">
        <f t="shared" si="18"/>
        <v>0</v>
      </c>
      <c r="AC69" s="155">
        <f t="shared" si="18"/>
        <v>0</v>
      </c>
      <c r="AD69" s="155">
        <f t="shared" si="18"/>
        <v>0</v>
      </c>
      <c r="AE69" s="155">
        <f t="shared" si="18"/>
        <v>1062.4447872760588</v>
      </c>
      <c r="AG69" s="156">
        <f t="shared" si="19"/>
        <v>0</v>
      </c>
      <c r="AH69" s="156">
        <f t="shared" si="19"/>
        <v>0</v>
      </c>
      <c r="AI69" s="156">
        <f t="shared" si="19"/>
        <v>0</v>
      </c>
      <c r="AJ69" s="156">
        <f t="shared" si="19"/>
        <v>0</v>
      </c>
      <c r="AK69" s="156">
        <f t="shared" si="19"/>
        <v>0.36831419292236706</v>
      </c>
    </row>
    <row r="70" spans="1:37" s="159" customFormat="1" x14ac:dyDescent="0.3">
      <c r="A70" s="496"/>
      <c r="B70" s="535" t="s">
        <v>3862</v>
      </c>
      <c r="C70" s="497" t="s">
        <v>3863</v>
      </c>
      <c r="D70" s="497">
        <v>9460</v>
      </c>
      <c r="E70" s="497">
        <v>1500</v>
      </c>
      <c r="F70" s="472">
        <f t="shared" si="13"/>
        <v>14190000</v>
      </c>
      <c r="G70" s="472">
        <v>2600</v>
      </c>
      <c r="H70" s="498"/>
      <c r="I70" s="465">
        <v>5457.6923076923076</v>
      </c>
      <c r="J70" s="486"/>
      <c r="K70" s="465">
        <f t="shared" si="20"/>
        <v>6584.3237190243908</v>
      </c>
      <c r="L70" s="467">
        <f t="shared" si="16"/>
        <v>1126.6314113320832</v>
      </c>
      <c r="M70" s="499">
        <f t="shared" si="17"/>
        <v>0.20642999784802088</v>
      </c>
      <c r="N70" s="157"/>
      <c r="O70" s="766"/>
      <c r="P70" s="767"/>
      <c r="Q70" s="766"/>
      <c r="R70" s="766"/>
      <c r="S70" s="502">
        <v>5457.6923076923076</v>
      </c>
      <c r="U70" s="502">
        <v>0</v>
      </c>
      <c r="V70" s="502">
        <v>0</v>
      </c>
      <c r="W70" s="502">
        <v>0</v>
      </c>
      <c r="X70" s="502">
        <v>0</v>
      </c>
      <c r="Y70" s="502">
        <v>6584.3237190243908</v>
      </c>
      <c r="AA70" s="155">
        <f t="shared" si="18"/>
        <v>0</v>
      </c>
      <c r="AB70" s="155">
        <f t="shared" si="18"/>
        <v>0</v>
      </c>
      <c r="AC70" s="155">
        <f t="shared" si="18"/>
        <v>0</v>
      </c>
      <c r="AD70" s="155">
        <f t="shared" si="18"/>
        <v>0</v>
      </c>
      <c r="AE70" s="155">
        <f t="shared" si="18"/>
        <v>1126.6314113320832</v>
      </c>
      <c r="AG70" s="156">
        <f t="shared" si="19"/>
        <v>0</v>
      </c>
      <c r="AH70" s="156">
        <f t="shared" si="19"/>
        <v>0</v>
      </c>
      <c r="AI70" s="156">
        <f t="shared" si="19"/>
        <v>0</v>
      </c>
      <c r="AJ70" s="156">
        <f t="shared" si="19"/>
        <v>0</v>
      </c>
      <c r="AK70" s="156">
        <f t="shared" si="19"/>
        <v>0.20642999784802088</v>
      </c>
    </row>
    <row r="71" spans="1:37" s="159" customFormat="1" x14ac:dyDescent="0.3">
      <c r="A71" s="496"/>
      <c r="B71" s="535" t="s">
        <v>3864</v>
      </c>
      <c r="C71" s="497" t="s">
        <v>59</v>
      </c>
      <c r="D71" s="497">
        <v>1</v>
      </c>
      <c r="E71" s="497">
        <v>7668000.0000000047</v>
      </c>
      <c r="F71" s="472">
        <f t="shared" si="13"/>
        <v>7668000.0000000047</v>
      </c>
      <c r="G71" s="472">
        <v>2600</v>
      </c>
      <c r="H71" s="498"/>
      <c r="I71" s="465">
        <v>2949.2307692307709</v>
      </c>
      <c r="J71" s="486"/>
      <c r="K71" s="465">
        <f t="shared" si="20"/>
        <v>4708.1153395200899</v>
      </c>
      <c r="L71" s="467">
        <f t="shared" si="16"/>
        <v>1758.8845702893191</v>
      </c>
      <c r="M71" s="499">
        <f t="shared" si="17"/>
        <v>0.59638756947733795</v>
      </c>
      <c r="N71" s="157"/>
      <c r="O71" s="766"/>
      <c r="P71" s="767"/>
      <c r="Q71" s="766"/>
      <c r="R71" s="766"/>
      <c r="S71" s="502">
        <v>2949.2307692307709</v>
      </c>
      <c r="U71" s="502">
        <v>0</v>
      </c>
      <c r="V71" s="502">
        <v>0</v>
      </c>
      <c r="W71" s="502">
        <v>0</v>
      </c>
      <c r="X71" s="502">
        <v>0</v>
      </c>
      <c r="Y71" s="502">
        <v>4708.1153395200899</v>
      </c>
      <c r="AA71" s="155">
        <f t="shared" si="18"/>
        <v>0</v>
      </c>
      <c r="AB71" s="155">
        <f t="shared" si="18"/>
        <v>0</v>
      </c>
      <c r="AC71" s="155">
        <f t="shared" si="18"/>
        <v>0</v>
      </c>
      <c r="AD71" s="155">
        <f t="shared" si="18"/>
        <v>0</v>
      </c>
      <c r="AE71" s="155">
        <f t="shared" si="18"/>
        <v>1758.8845702893191</v>
      </c>
      <c r="AG71" s="156">
        <f t="shared" si="19"/>
        <v>0</v>
      </c>
      <c r="AH71" s="156">
        <f t="shared" si="19"/>
        <v>0</v>
      </c>
      <c r="AI71" s="156">
        <f t="shared" si="19"/>
        <v>0</v>
      </c>
      <c r="AJ71" s="156">
        <f t="shared" si="19"/>
        <v>0</v>
      </c>
      <c r="AK71" s="156">
        <f t="shared" si="19"/>
        <v>0.59638756947733795</v>
      </c>
    </row>
    <row r="72" spans="1:37" s="159" customFormat="1" x14ac:dyDescent="0.3">
      <c r="A72" s="496"/>
      <c r="B72" s="535" t="s">
        <v>3865</v>
      </c>
      <c r="C72" s="497" t="s">
        <v>3840</v>
      </c>
      <c r="D72" s="497">
        <v>6</v>
      </c>
      <c r="E72" s="497">
        <v>1200000</v>
      </c>
      <c r="F72" s="472">
        <f t="shared" si="13"/>
        <v>7200000</v>
      </c>
      <c r="G72" s="472">
        <v>2600</v>
      </c>
      <c r="H72" s="498"/>
      <c r="I72" s="465">
        <v>2769.2307692307691</v>
      </c>
      <c r="J72" s="486"/>
      <c r="K72" s="465">
        <f t="shared" si="20"/>
        <v>9860.4495108923984</v>
      </c>
      <c r="L72" s="467">
        <f t="shared" si="16"/>
        <v>7091.2187416616289</v>
      </c>
      <c r="M72" s="499">
        <f t="shared" si="17"/>
        <v>2.560717878933366</v>
      </c>
      <c r="N72" s="157"/>
      <c r="O72" s="766"/>
      <c r="P72" s="767"/>
      <c r="Q72" s="766"/>
      <c r="R72" s="766"/>
      <c r="S72" s="502">
        <v>2769.2307692307691</v>
      </c>
      <c r="U72" s="502">
        <v>0</v>
      </c>
      <c r="V72" s="502">
        <v>0</v>
      </c>
      <c r="W72" s="502">
        <v>0</v>
      </c>
      <c r="X72" s="502">
        <v>0</v>
      </c>
      <c r="Y72" s="502">
        <v>9860.4495108923984</v>
      </c>
      <c r="AA72" s="155">
        <f t="shared" si="18"/>
        <v>0</v>
      </c>
      <c r="AB72" s="155">
        <f t="shared" si="18"/>
        <v>0</v>
      </c>
      <c r="AC72" s="155">
        <f t="shared" si="18"/>
        <v>0</v>
      </c>
      <c r="AD72" s="155">
        <f t="shared" si="18"/>
        <v>0</v>
      </c>
      <c r="AE72" s="155">
        <f t="shared" si="18"/>
        <v>7091.2187416616289</v>
      </c>
      <c r="AG72" s="156">
        <f t="shared" si="19"/>
        <v>0</v>
      </c>
      <c r="AH72" s="156">
        <f t="shared" si="19"/>
        <v>0</v>
      </c>
      <c r="AI72" s="156">
        <f t="shared" si="19"/>
        <v>0</v>
      </c>
      <c r="AJ72" s="156">
        <f t="shared" si="19"/>
        <v>0</v>
      </c>
      <c r="AK72" s="156">
        <f t="shared" si="19"/>
        <v>2.560717878933366</v>
      </c>
    </row>
    <row r="73" spans="1:37" s="159" customFormat="1" ht="15.75" customHeight="1" x14ac:dyDescent="0.3">
      <c r="A73" s="496"/>
      <c r="B73" s="533" t="s">
        <v>3866</v>
      </c>
      <c r="C73" s="497" t="s">
        <v>59</v>
      </c>
      <c r="D73" s="472">
        <v>1</v>
      </c>
      <c r="E73" s="472"/>
      <c r="F73" s="472"/>
      <c r="G73" s="472">
        <f t="shared" si="21"/>
        <v>2600</v>
      </c>
      <c r="H73" s="498"/>
      <c r="I73" s="465">
        <v>0</v>
      </c>
      <c r="J73" s="536"/>
      <c r="K73" s="465">
        <f t="shared" si="20"/>
        <v>0</v>
      </c>
      <c r="L73" s="467">
        <f t="shared" si="16"/>
        <v>0</v>
      </c>
      <c r="M73" s="468">
        <f t="shared" si="17"/>
        <v>0</v>
      </c>
      <c r="N73" s="195"/>
      <c r="O73" s="537"/>
      <c r="P73" s="769"/>
      <c r="Q73" s="537"/>
      <c r="R73" s="537"/>
      <c r="S73" s="502">
        <v>0</v>
      </c>
      <c r="U73" s="537"/>
      <c r="V73" s="537"/>
      <c r="W73" s="537"/>
      <c r="X73" s="537"/>
      <c r="Y73" s="537"/>
      <c r="AA73" s="155">
        <f t="shared" si="18"/>
        <v>0</v>
      </c>
      <c r="AB73" s="155">
        <f t="shared" si="18"/>
        <v>0</v>
      </c>
      <c r="AC73" s="155">
        <f t="shared" si="18"/>
        <v>0</v>
      </c>
      <c r="AD73" s="155">
        <f t="shared" si="18"/>
        <v>0</v>
      </c>
      <c r="AE73" s="155">
        <f t="shared" si="18"/>
        <v>0</v>
      </c>
      <c r="AG73" s="156">
        <f t="shared" si="19"/>
        <v>0</v>
      </c>
      <c r="AH73" s="156">
        <f t="shared" si="19"/>
        <v>0</v>
      </c>
      <c r="AI73" s="156">
        <f t="shared" si="19"/>
        <v>0</v>
      </c>
      <c r="AJ73" s="156">
        <f t="shared" si="19"/>
        <v>0</v>
      </c>
      <c r="AK73" s="156">
        <f t="shared" si="19"/>
        <v>0</v>
      </c>
    </row>
    <row r="74" spans="1:37" s="159" customFormat="1" ht="15" customHeight="1" x14ac:dyDescent="0.3">
      <c r="A74" s="496"/>
      <c r="B74" s="538" t="s">
        <v>3867</v>
      </c>
      <c r="C74" s="539" t="s">
        <v>215</v>
      </c>
      <c r="D74" s="540">
        <v>12</v>
      </c>
      <c r="E74" s="540">
        <v>2800</v>
      </c>
      <c r="F74" s="541"/>
      <c r="G74" s="541"/>
      <c r="H74" s="541">
        <f>D74*E74</f>
        <v>33600</v>
      </c>
      <c r="I74" s="465">
        <v>26880</v>
      </c>
      <c r="J74" s="486"/>
      <c r="K74" s="465">
        <f t="shared" si="20"/>
        <v>19045.143333333337</v>
      </c>
      <c r="L74" s="467">
        <f t="shared" si="16"/>
        <v>-7834.8566666666629</v>
      </c>
      <c r="M74" s="468">
        <f t="shared" si="17"/>
        <v>-0.29147532242063479</v>
      </c>
      <c r="N74" s="157"/>
      <c r="O74" s="470">
        <v>6720</v>
      </c>
      <c r="P74" s="470">
        <v>6720</v>
      </c>
      <c r="Q74" s="470">
        <v>6720</v>
      </c>
      <c r="R74" s="470">
        <v>6720</v>
      </c>
      <c r="S74" s="502"/>
      <c r="T74" s="487"/>
      <c r="U74" s="502">
        <f>'Budget - actual UGA'!T49</f>
        <v>4761.2858333333343</v>
      </c>
      <c r="V74" s="502">
        <f>'Budget - actual UGA'!U49</f>
        <v>4761.2858333333343</v>
      </c>
      <c r="W74" s="502">
        <f>'Budget - actual UGA'!V49</f>
        <v>4761.2858333333343</v>
      </c>
      <c r="X74" s="502">
        <f>'Budget - actual UGA'!W49</f>
        <v>4761.2858333333343</v>
      </c>
      <c r="Y74" s="502">
        <v>0</v>
      </c>
      <c r="AA74" s="155">
        <f t="shared" si="18"/>
        <v>-1958.7141666666657</v>
      </c>
      <c r="AB74" s="155">
        <f t="shared" si="18"/>
        <v>-1958.7141666666657</v>
      </c>
      <c r="AC74" s="155">
        <f t="shared" si="18"/>
        <v>-1958.7141666666657</v>
      </c>
      <c r="AD74" s="155">
        <f t="shared" si="18"/>
        <v>-1958.7141666666657</v>
      </c>
      <c r="AE74" s="155">
        <f t="shared" si="18"/>
        <v>0</v>
      </c>
      <c r="AG74" s="156">
        <f t="shared" si="19"/>
        <v>-0.29147532242063479</v>
      </c>
      <c r="AH74" s="156">
        <f t="shared" si="19"/>
        <v>-0.29147532242063479</v>
      </c>
      <c r="AI74" s="156">
        <f t="shared" si="19"/>
        <v>-0.29147532242063479</v>
      </c>
      <c r="AJ74" s="156">
        <f t="shared" si="19"/>
        <v>-0.29147532242063479</v>
      </c>
      <c r="AK74" s="156">
        <f t="shared" si="19"/>
        <v>0</v>
      </c>
    </row>
    <row r="75" spans="1:37" s="159" customFormat="1" ht="15" customHeight="1" x14ac:dyDescent="0.3">
      <c r="A75" s="496"/>
      <c r="B75" s="533" t="s">
        <v>3868</v>
      </c>
      <c r="C75" s="497" t="s">
        <v>215</v>
      </c>
      <c r="D75" s="472">
        <v>24</v>
      </c>
      <c r="E75" s="472">
        <v>3416.6666666666665</v>
      </c>
      <c r="F75" s="472"/>
      <c r="G75" s="472"/>
      <c r="H75" s="498">
        <f>D75*E75</f>
        <v>82000</v>
      </c>
      <c r="I75" s="465">
        <v>82000</v>
      </c>
      <c r="J75" s="466"/>
      <c r="K75" s="465">
        <f t="shared" si="20"/>
        <v>112520.31375345122</v>
      </c>
      <c r="L75" s="467">
        <f t="shared" si="16"/>
        <v>30520.313753451221</v>
      </c>
      <c r="M75" s="468">
        <f t="shared" si="17"/>
        <v>0.37219894821281979</v>
      </c>
      <c r="N75" s="469"/>
      <c r="O75" s="470">
        <v>16400</v>
      </c>
      <c r="P75" s="470">
        <v>16400</v>
      </c>
      <c r="Q75" s="470">
        <v>16400</v>
      </c>
      <c r="R75" s="470">
        <v>16400</v>
      </c>
      <c r="S75" s="470">
        <v>16400</v>
      </c>
      <c r="U75" s="502">
        <v>22504.062750690246</v>
      </c>
      <c r="V75" s="502">
        <v>22504.062750690246</v>
      </c>
      <c r="W75" s="502">
        <v>22504.062750690246</v>
      </c>
      <c r="X75" s="502">
        <v>22504.062750690246</v>
      </c>
      <c r="Y75" s="502">
        <v>22504.062750690246</v>
      </c>
      <c r="AA75" s="155">
        <f t="shared" si="18"/>
        <v>6104.0627506902456</v>
      </c>
      <c r="AB75" s="155">
        <f t="shared" si="18"/>
        <v>6104.0627506902456</v>
      </c>
      <c r="AC75" s="155">
        <f t="shared" si="18"/>
        <v>6104.0627506902456</v>
      </c>
      <c r="AD75" s="155">
        <f t="shared" si="18"/>
        <v>6104.0627506902456</v>
      </c>
      <c r="AE75" s="155">
        <f t="shared" si="18"/>
        <v>6104.0627506902456</v>
      </c>
      <c r="AG75" s="156">
        <f t="shared" si="19"/>
        <v>0.37219894821281985</v>
      </c>
      <c r="AH75" s="156">
        <f t="shared" si="19"/>
        <v>0.37219894821281985</v>
      </c>
      <c r="AI75" s="156">
        <f t="shared" si="19"/>
        <v>0.37219894821281985</v>
      </c>
      <c r="AJ75" s="156">
        <f t="shared" si="19"/>
        <v>0.37219894821281985</v>
      </c>
      <c r="AK75" s="156">
        <f t="shared" si="19"/>
        <v>0.37219894821281985</v>
      </c>
    </row>
    <row r="76" spans="1:37" s="159" customFormat="1" ht="15" customHeight="1" x14ac:dyDescent="0.3">
      <c r="A76" s="543"/>
      <c r="B76" s="538" t="s">
        <v>107</v>
      </c>
      <c r="C76" s="539" t="s">
        <v>3869</v>
      </c>
      <c r="D76" s="540">
        <v>1</v>
      </c>
      <c r="E76" s="544">
        <v>4800</v>
      </c>
      <c r="F76" s="541"/>
      <c r="G76" s="541"/>
      <c r="H76" s="541">
        <v>4800</v>
      </c>
      <c r="I76" s="465">
        <v>4800</v>
      </c>
      <c r="J76" s="466"/>
      <c r="K76" s="465">
        <f t="shared" si="20"/>
        <v>1862.8700000000001</v>
      </c>
      <c r="L76" s="467">
        <f t="shared" si="16"/>
        <v>-2937.13</v>
      </c>
      <c r="M76" s="468">
        <f t="shared" si="17"/>
        <v>-0.6119020833333334</v>
      </c>
      <c r="N76" s="545"/>
      <c r="O76" s="470">
        <v>1200</v>
      </c>
      <c r="P76" s="470">
        <v>1200</v>
      </c>
      <c r="Q76" s="470">
        <v>1200</v>
      </c>
      <c r="R76" s="470">
        <v>1200</v>
      </c>
      <c r="S76" s="502"/>
      <c r="U76" s="502">
        <v>372.57400000000001</v>
      </c>
      <c r="V76" s="502">
        <v>372.57400000000001</v>
      </c>
      <c r="W76" s="502">
        <v>372.57400000000001</v>
      </c>
      <c r="X76" s="502">
        <v>372.57400000000001</v>
      </c>
      <c r="Y76" s="502">
        <v>372.57400000000001</v>
      </c>
      <c r="AA76" s="155">
        <f t="shared" si="18"/>
        <v>-827.42599999999993</v>
      </c>
      <c r="AB76" s="155">
        <f t="shared" si="18"/>
        <v>-827.42599999999993</v>
      </c>
      <c r="AC76" s="155">
        <f t="shared" si="18"/>
        <v>-827.42599999999993</v>
      </c>
      <c r="AD76" s="155">
        <f t="shared" si="18"/>
        <v>-827.42599999999993</v>
      </c>
      <c r="AE76" s="155">
        <f t="shared" si="18"/>
        <v>372.57400000000001</v>
      </c>
      <c r="AG76" s="156">
        <f t="shared" si="19"/>
        <v>-0.68952166666666659</v>
      </c>
      <c r="AH76" s="156">
        <f t="shared" si="19"/>
        <v>-0.68952166666666659</v>
      </c>
      <c r="AI76" s="156">
        <f t="shared" si="19"/>
        <v>-0.68952166666666659</v>
      </c>
      <c r="AJ76" s="156">
        <f t="shared" si="19"/>
        <v>-0.68952166666666659</v>
      </c>
      <c r="AK76" s="156">
        <f t="shared" si="19"/>
        <v>0</v>
      </c>
    </row>
    <row r="77" spans="1:37" s="159" customFormat="1" ht="15" customHeight="1" x14ac:dyDescent="0.3">
      <c r="A77" s="543"/>
      <c r="B77" s="538" t="s">
        <v>109</v>
      </c>
      <c r="C77" s="539" t="s">
        <v>59</v>
      </c>
      <c r="D77" s="540">
        <v>1</v>
      </c>
      <c r="E77" s="544">
        <v>3333.33</v>
      </c>
      <c r="F77" s="541"/>
      <c r="G77" s="541"/>
      <c r="H77" s="541">
        <f>D77*E77</f>
        <v>3333.33</v>
      </c>
      <c r="I77" s="465">
        <v>3333.33</v>
      </c>
      <c r="J77" s="466"/>
      <c r="K77" s="465">
        <f t="shared" si="20"/>
        <v>4615.8066484007622</v>
      </c>
      <c r="L77" s="467">
        <f t="shared" si="16"/>
        <v>1282.4766484007623</v>
      </c>
      <c r="M77" s="468">
        <f t="shared" si="17"/>
        <v>0.38474337926360797</v>
      </c>
      <c r="N77" s="545"/>
      <c r="O77" s="470">
        <v>833.33249999999998</v>
      </c>
      <c r="P77" s="470">
        <v>833.33249999999998</v>
      </c>
      <c r="Q77" s="470">
        <v>833.33249999999998</v>
      </c>
      <c r="R77" s="470">
        <v>833.33249999999998</v>
      </c>
      <c r="S77" s="502"/>
      <c r="U77" s="502">
        <v>1153.9516621001906</v>
      </c>
      <c r="V77" s="502">
        <v>1153.9516621001906</v>
      </c>
      <c r="W77" s="502">
        <v>1153.9516621001906</v>
      </c>
      <c r="X77" s="502">
        <v>1153.9516621001906</v>
      </c>
      <c r="Y77" s="502">
        <v>0</v>
      </c>
      <c r="AA77" s="155">
        <f t="shared" si="18"/>
        <v>320.61916210019058</v>
      </c>
      <c r="AB77" s="155">
        <f t="shared" si="18"/>
        <v>320.61916210019058</v>
      </c>
      <c r="AC77" s="155">
        <f t="shared" si="18"/>
        <v>320.61916210019058</v>
      </c>
      <c r="AD77" s="155">
        <f t="shared" si="18"/>
        <v>320.61916210019058</v>
      </c>
      <c r="AE77" s="155">
        <f t="shared" si="18"/>
        <v>0</v>
      </c>
      <c r="AG77" s="156">
        <f t="shared" si="19"/>
        <v>0.38474337926360797</v>
      </c>
      <c r="AH77" s="156">
        <f t="shared" si="19"/>
        <v>0.38474337926360797</v>
      </c>
      <c r="AI77" s="156">
        <f t="shared" si="19"/>
        <v>0.38474337926360797</v>
      </c>
      <c r="AJ77" s="156">
        <f t="shared" si="19"/>
        <v>0.38474337926360797</v>
      </c>
      <c r="AK77" s="156">
        <f t="shared" si="19"/>
        <v>0</v>
      </c>
    </row>
    <row r="78" spans="1:37" s="145" customFormat="1" ht="15" customHeight="1" x14ac:dyDescent="0.3">
      <c r="A78" s="543"/>
      <c r="B78" s="546" t="s">
        <v>110</v>
      </c>
      <c r="C78" s="539" t="s">
        <v>59</v>
      </c>
      <c r="D78" s="547">
        <v>1</v>
      </c>
      <c r="E78" s="544">
        <v>6300</v>
      </c>
      <c r="F78" s="548"/>
      <c r="G78" s="548"/>
      <c r="H78" s="548">
        <v>6300</v>
      </c>
      <c r="I78" s="465">
        <v>0</v>
      </c>
      <c r="J78" s="486"/>
      <c r="K78" s="465">
        <f t="shared" si="20"/>
        <v>0</v>
      </c>
      <c r="L78" s="467">
        <f t="shared" si="16"/>
        <v>0</v>
      </c>
      <c r="M78" s="468">
        <f t="shared" si="17"/>
        <v>0</v>
      </c>
      <c r="N78" s="204"/>
      <c r="O78" s="502"/>
      <c r="P78" s="770"/>
      <c r="Q78" s="502"/>
      <c r="R78" s="502"/>
      <c r="S78" s="502"/>
      <c r="T78" s="487"/>
      <c r="U78" s="502"/>
      <c r="V78" s="502"/>
      <c r="W78" s="502"/>
      <c r="X78" s="502"/>
      <c r="Y78" s="502"/>
      <c r="AA78" s="155">
        <f t="shared" si="18"/>
        <v>0</v>
      </c>
      <c r="AB78" s="155">
        <f t="shared" si="18"/>
        <v>0</v>
      </c>
      <c r="AC78" s="155">
        <f t="shared" si="18"/>
        <v>0</v>
      </c>
      <c r="AD78" s="155">
        <f t="shared" si="18"/>
        <v>0</v>
      </c>
      <c r="AE78" s="155">
        <f t="shared" si="18"/>
        <v>0</v>
      </c>
      <c r="AG78" s="156">
        <f t="shared" si="19"/>
        <v>0</v>
      </c>
      <c r="AH78" s="156">
        <f t="shared" si="19"/>
        <v>0</v>
      </c>
      <c r="AI78" s="156">
        <f t="shared" si="19"/>
        <v>0</v>
      </c>
      <c r="AJ78" s="156">
        <f t="shared" si="19"/>
        <v>0</v>
      </c>
      <c r="AK78" s="156">
        <f t="shared" si="19"/>
        <v>0</v>
      </c>
    </row>
    <row r="79" spans="1:37" s="167" customFormat="1" ht="15" customHeight="1" x14ac:dyDescent="0.3">
      <c r="A79" s="160"/>
      <c r="B79" s="477" t="s">
        <v>111</v>
      </c>
      <c r="C79" s="476"/>
      <c r="D79" s="477"/>
      <c r="E79" s="477"/>
      <c r="F79" s="477">
        <f>SUM(F47:F78)</f>
        <v>422934296</v>
      </c>
      <c r="G79" s="477"/>
      <c r="H79" s="477">
        <f>SUM(H47:H78)</f>
        <v>258994.86846153843</v>
      </c>
      <c r="I79" s="477">
        <f>SUM(I47:I78)</f>
        <v>232062.61630384615</v>
      </c>
      <c r="J79" s="478"/>
      <c r="K79" s="477">
        <f>SUM(K47:K78)</f>
        <v>289113.8014171464</v>
      </c>
      <c r="L79" s="479">
        <f>K79-I79</f>
        <v>57051.185113300249</v>
      </c>
      <c r="M79" s="169">
        <f>IFERROR(L79/I79,0)</f>
        <v>0.24584392791039431</v>
      </c>
      <c r="N79" s="165"/>
      <c r="O79" s="477">
        <f>SUM(O47:O78)</f>
        <v>44285.950614423076</v>
      </c>
      <c r="P79" s="477">
        <f>SUM(P47:P78)</f>
        <v>44285.950614423076</v>
      </c>
      <c r="Q79" s="477">
        <f>SUM(Q47:Q78)</f>
        <v>44285.950614423076</v>
      </c>
      <c r="R79" s="477">
        <f>SUM(R47:R78)</f>
        <v>44285.950614423076</v>
      </c>
      <c r="S79" s="477">
        <f>SUM(S47:S78)</f>
        <v>54918.813846153847</v>
      </c>
      <c r="T79" s="166"/>
      <c r="U79" s="477">
        <f>SUM(U47:U78)</f>
        <v>51397.867867872759</v>
      </c>
      <c r="V79" s="477">
        <f>SUM(V47:V78)</f>
        <v>51397.867867872759</v>
      </c>
      <c r="W79" s="477">
        <f>SUM(W47:W78)</f>
        <v>51397.867867872759</v>
      </c>
      <c r="X79" s="477">
        <f>SUM(X47:X78)</f>
        <v>51397.867867872759</v>
      </c>
      <c r="Y79" s="477">
        <f>SUM(Y47:Y78)</f>
        <v>83522.329945655278</v>
      </c>
      <c r="AA79" s="477">
        <f t="shared" si="18"/>
        <v>7111.9172534496829</v>
      </c>
      <c r="AB79" s="477">
        <f t="shared" si="18"/>
        <v>7111.9172534496829</v>
      </c>
      <c r="AC79" s="477">
        <f t="shared" si="18"/>
        <v>7111.9172534496829</v>
      </c>
      <c r="AD79" s="477">
        <f t="shared" si="18"/>
        <v>7111.9172534496829</v>
      </c>
      <c r="AE79" s="477">
        <f t="shared" si="18"/>
        <v>28603.51609950143</v>
      </c>
      <c r="AG79" s="169">
        <f t="shared" si="19"/>
        <v>0.16059082293095159</v>
      </c>
      <c r="AH79" s="169">
        <f t="shared" si="19"/>
        <v>0.16059082293095159</v>
      </c>
      <c r="AI79" s="169">
        <f t="shared" si="19"/>
        <v>0.16059082293095159</v>
      </c>
      <c r="AJ79" s="169">
        <f t="shared" si="19"/>
        <v>0.16059082293095159</v>
      </c>
      <c r="AK79" s="169">
        <f t="shared" si="19"/>
        <v>0.52083273647587403</v>
      </c>
    </row>
    <row r="80" spans="1:37" s="146" customFormat="1" ht="15" customHeight="1" x14ac:dyDescent="0.3">
      <c r="A80" s="185"/>
      <c r="B80" s="840" t="s">
        <v>13</v>
      </c>
      <c r="C80" s="840"/>
      <c r="D80" s="840"/>
      <c r="E80" s="840"/>
      <c r="F80" s="840"/>
      <c r="G80" s="508"/>
      <c r="H80" s="508"/>
      <c r="I80" s="508"/>
      <c r="J80" s="478"/>
      <c r="K80" s="508"/>
      <c r="L80" s="509"/>
      <c r="M80" s="191"/>
      <c r="N80" s="165"/>
      <c r="O80" s="508"/>
      <c r="P80" s="510"/>
      <c r="Q80" s="508"/>
      <c r="R80" s="508"/>
      <c r="S80" s="508"/>
      <c r="T80" s="145"/>
      <c r="U80" s="508"/>
      <c r="V80" s="510"/>
      <c r="W80" s="508"/>
      <c r="X80" s="508"/>
      <c r="Y80" s="508"/>
      <c r="AA80" s="191"/>
      <c r="AB80" s="191"/>
      <c r="AC80" s="191"/>
      <c r="AD80" s="191"/>
      <c r="AE80" s="191"/>
      <c r="AG80" s="511"/>
      <c r="AH80" s="512"/>
      <c r="AI80" s="512"/>
      <c r="AJ80" s="512"/>
      <c r="AK80" s="512"/>
    </row>
    <row r="81" spans="1:37" s="146" customFormat="1" ht="15" customHeight="1" x14ac:dyDescent="0.3">
      <c r="A81" s="210"/>
      <c r="B81" s="841" t="s">
        <v>3870</v>
      </c>
      <c r="C81" s="842"/>
      <c r="D81" s="842"/>
      <c r="E81" s="842"/>
      <c r="F81" s="842"/>
      <c r="G81" s="842"/>
      <c r="H81" s="843"/>
      <c r="I81" s="550"/>
      <c r="J81" s="551"/>
      <c r="K81" s="550"/>
      <c r="L81" s="552"/>
      <c r="M81" s="214"/>
      <c r="N81" s="165"/>
      <c r="O81" s="550"/>
      <c r="P81" s="553"/>
      <c r="Q81" s="550"/>
      <c r="R81" s="550"/>
      <c r="S81" s="550"/>
      <c r="T81" s="145"/>
      <c r="U81" s="550"/>
      <c r="V81" s="553"/>
      <c r="W81" s="550"/>
      <c r="X81" s="550"/>
      <c r="Y81" s="550"/>
      <c r="AA81" s="214"/>
      <c r="AB81" s="214"/>
      <c r="AC81" s="214"/>
      <c r="AD81" s="214"/>
      <c r="AE81" s="214"/>
      <c r="AG81" s="554"/>
      <c r="AH81" s="554"/>
      <c r="AI81" s="554"/>
      <c r="AJ81" s="554"/>
      <c r="AK81" s="554"/>
    </row>
    <row r="82" spans="1:37" s="159" customFormat="1" ht="15" customHeight="1" x14ac:dyDescent="0.3">
      <c r="A82" s="215"/>
      <c r="B82" s="485" t="s">
        <v>3871</v>
      </c>
      <c r="C82" s="497" t="s">
        <v>59</v>
      </c>
      <c r="D82" s="555">
        <v>1</v>
      </c>
      <c r="E82" s="472">
        <v>41000000</v>
      </c>
      <c r="F82" s="472">
        <f t="shared" ref="F82:F84" si="22">D82*E82</f>
        <v>41000000</v>
      </c>
      <c r="G82" s="472">
        <f>+$G$5</f>
        <v>2600</v>
      </c>
      <c r="H82" s="472">
        <f>IF($G$5=0,0,F82/G82)</f>
        <v>15769.23076923077</v>
      </c>
      <c r="I82" s="465">
        <v>16285.634253846154</v>
      </c>
      <c r="J82" s="466"/>
      <c r="K82" s="465">
        <f t="shared" ref="K82:K88" si="23">SUM(U82:Y82)</f>
        <v>16257.738545019183</v>
      </c>
      <c r="L82" s="467">
        <f t="shared" ref="L82:L88" si="24">K82-I82</f>
        <v>-27.895708826970804</v>
      </c>
      <c r="M82" s="468">
        <f t="shared" ref="M82:M88" si="25">IFERROR(L82/I82,0)</f>
        <v>-1.7129028192673992E-3</v>
      </c>
      <c r="N82" s="469"/>
      <c r="O82" s="771">
        <v>16285.634253846154</v>
      </c>
      <c r="P82" s="772"/>
      <c r="Q82" s="773"/>
      <c r="R82" s="773"/>
      <c r="S82" s="773"/>
      <c r="U82" s="155">
        <v>16257.738545019183</v>
      </c>
      <c r="V82" s="155">
        <v>0</v>
      </c>
      <c r="W82" s="155">
        <v>0</v>
      </c>
      <c r="X82" s="155">
        <v>0</v>
      </c>
      <c r="Y82" s="155">
        <v>0</v>
      </c>
      <c r="Z82" s="423"/>
      <c r="AA82" s="155">
        <f t="shared" ref="AA82:AE88" si="26">U82-O82</f>
        <v>-27.895708826970804</v>
      </c>
      <c r="AB82" s="155">
        <f t="shared" si="26"/>
        <v>0</v>
      </c>
      <c r="AC82" s="155">
        <f t="shared" si="26"/>
        <v>0</v>
      </c>
      <c r="AD82" s="155">
        <f t="shared" si="26"/>
        <v>0</v>
      </c>
      <c r="AE82" s="155">
        <f t="shared" si="26"/>
        <v>0</v>
      </c>
      <c r="AF82" s="423"/>
      <c r="AG82" s="156">
        <f t="shared" ref="AG82:AK88" si="27">IFERROR(AA82/O82,0)</f>
        <v>-1.7129028192673992E-3</v>
      </c>
      <c r="AH82" s="156">
        <f t="shared" si="27"/>
        <v>0</v>
      </c>
      <c r="AI82" s="156">
        <f t="shared" si="27"/>
        <v>0</v>
      </c>
      <c r="AJ82" s="156">
        <f t="shared" si="27"/>
        <v>0</v>
      </c>
      <c r="AK82" s="156">
        <f t="shared" si="27"/>
        <v>0</v>
      </c>
    </row>
    <row r="83" spans="1:37" s="159" customFormat="1" ht="30" customHeight="1" x14ac:dyDescent="0.3">
      <c r="A83" s="215"/>
      <c r="B83" s="485" t="s">
        <v>3872</v>
      </c>
      <c r="C83" s="497" t="s">
        <v>59</v>
      </c>
      <c r="D83" s="555">
        <v>1</v>
      </c>
      <c r="E83" s="472">
        <v>15000000</v>
      </c>
      <c r="F83" s="472">
        <f t="shared" si="22"/>
        <v>15000000</v>
      </c>
      <c r="G83" s="472">
        <f t="shared" ref="G83:G88" si="28">+$G$5</f>
        <v>2600</v>
      </c>
      <c r="H83" s="472">
        <f t="shared" ref="H83:H88" si="29">IF($G$5=0,0,F83/G83)</f>
        <v>5769.2307692307695</v>
      </c>
      <c r="I83" s="465">
        <v>0</v>
      </c>
      <c r="J83" s="466"/>
      <c r="K83" s="465">
        <f t="shared" si="23"/>
        <v>0</v>
      </c>
      <c r="L83" s="467">
        <f t="shared" si="24"/>
        <v>0</v>
      </c>
      <c r="M83" s="468">
        <f t="shared" si="25"/>
        <v>0</v>
      </c>
      <c r="N83" s="469"/>
      <c r="O83" s="771">
        <v>0</v>
      </c>
      <c r="P83" s="772"/>
      <c r="Q83" s="773"/>
      <c r="R83" s="773"/>
      <c r="S83" s="773"/>
      <c r="T83" s="487"/>
      <c r="U83" s="155"/>
      <c r="V83" s="155"/>
      <c r="W83" s="155"/>
      <c r="X83" s="155"/>
      <c r="Y83" s="155"/>
      <c r="Z83" s="423"/>
      <c r="AA83" s="155">
        <f t="shared" si="26"/>
        <v>0</v>
      </c>
      <c r="AB83" s="155">
        <f t="shared" si="26"/>
        <v>0</v>
      </c>
      <c r="AC83" s="155">
        <f t="shared" si="26"/>
        <v>0</v>
      </c>
      <c r="AD83" s="155">
        <f t="shared" si="26"/>
        <v>0</v>
      </c>
      <c r="AE83" s="155">
        <f t="shared" si="26"/>
        <v>0</v>
      </c>
      <c r="AF83" s="423"/>
      <c r="AG83" s="156">
        <f t="shared" si="27"/>
        <v>0</v>
      </c>
      <c r="AH83" s="156">
        <f t="shared" si="27"/>
        <v>0</v>
      </c>
      <c r="AI83" s="156">
        <f t="shared" si="27"/>
        <v>0</v>
      </c>
      <c r="AJ83" s="156">
        <f t="shared" si="27"/>
        <v>0</v>
      </c>
      <c r="AK83" s="156">
        <f t="shared" si="27"/>
        <v>0</v>
      </c>
    </row>
    <row r="84" spans="1:37" s="159" customFormat="1" ht="15" customHeight="1" x14ac:dyDescent="0.3">
      <c r="A84" s="215"/>
      <c r="B84" s="485" t="s">
        <v>3873</v>
      </c>
      <c r="C84" s="497" t="s">
        <v>59</v>
      </c>
      <c r="D84" s="555">
        <v>1</v>
      </c>
      <c r="E84" s="472">
        <v>15000000</v>
      </c>
      <c r="F84" s="472">
        <f t="shared" si="22"/>
        <v>15000000</v>
      </c>
      <c r="G84" s="472">
        <f t="shared" si="28"/>
        <v>2600</v>
      </c>
      <c r="H84" s="472">
        <f t="shared" si="29"/>
        <v>5769.2307692307695</v>
      </c>
      <c r="I84" s="465">
        <v>0</v>
      </c>
      <c r="J84" s="486"/>
      <c r="K84" s="465">
        <f t="shared" si="23"/>
        <v>0</v>
      </c>
      <c r="L84" s="467">
        <f t="shared" si="24"/>
        <v>0</v>
      </c>
      <c r="M84" s="468">
        <f t="shared" si="25"/>
        <v>0</v>
      </c>
      <c r="N84" s="157"/>
      <c r="O84" s="771">
        <v>0</v>
      </c>
      <c r="P84" s="774"/>
      <c r="Q84" s="775"/>
      <c r="R84" s="775"/>
      <c r="S84" s="775"/>
      <c r="T84" s="487"/>
      <c r="U84" s="155"/>
      <c r="V84" s="155"/>
      <c r="W84" s="155"/>
      <c r="X84" s="155"/>
      <c r="Y84" s="155"/>
      <c r="Z84" s="423"/>
      <c r="AA84" s="155">
        <f t="shared" si="26"/>
        <v>0</v>
      </c>
      <c r="AB84" s="155">
        <f t="shared" si="26"/>
        <v>0</v>
      </c>
      <c r="AC84" s="155">
        <f t="shared" si="26"/>
        <v>0</v>
      </c>
      <c r="AD84" s="155">
        <f t="shared" si="26"/>
        <v>0</v>
      </c>
      <c r="AE84" s="155">
        <f t="shared" si="26"/>
        <v>0</v>
      </c>
      <c r="AF84" s="423"/>
      <c r="AG84" s="156">
        <f t="shared" si="27"/>
        <v>0</v>
      </c>
      <c r="AH84" s="156">
        <f t="shared" si="27"/>
        <v>0</v>
      </c>
      <c r="AI84" s="156">
        <f t="shared" si="27"/>
        <v>0</v>
      </c>
      <c r="AJ84" s="156">
        <f t="shared" si="27"/>
        <v>0</v>
      </c>
      <c r="AK84" s="156">
        <f t="shared" si="27"/>
        <v>0</v>
      </c>
    </row>
    <row r="85" spans="1:37" s="159" customFormat="1" ht="15" customHeight="1" x14ac:dyDescent="0.3">
      <c r="A85" s="215"/>
      <c r="B85" s="556" t="s">
        <v>3874</v>
      </c>
      <c r="C85" s="497" t="s">
        <v>59</v>
      </c>
      <c r="D85" s="555">
        <v>1</v>
      </c>
      <c r="E85" s="557">
        <v>10000000</v>
      </c>
      <c r="F85" s="472">
        <f>D85*E85</f>
        <v>10000000</v>
      </c>
      <c r="G85" s="472">
        <f t="shared" si="28"/>
        <v>2600</v>
      </c>
      <c r="H85" s="472">
        <f>IF($G$5=0,0,F85/G85)</f>
        <v>3846.1538461538462</v>
      </c>
      <c r="I85" s="465">
        <v>0</v>
      </c>
      <c r="J85" s="486"/>
      <c r="K85" s="465">
        <f t="shared" si="23"/>
        <v>0</v>
      </c>
      <c r="L85" s="467">
        <f t="shared" si="24"/>
        <v>0</v>
      </c>
      <c r="M85" s="468">
        <f t="shared" si="25"/>
        <v>0</v>
      </c>
      <c r="N85" s="157"/>
      <c r="O85" s="771">
        <v>0</v>
      </c>
      <c r="P85" s="774"/>
      <c r="Q85" s="775"/>
      <c r="R85" s="775"/>
      <c r="S85" s="775"/>
      <c r="T85" s="487"/>
      <c r="U85" s="155"/>
      <c r="V85" s="155"/>
      <c r="W85" s="155"/>
      <c r="X85" s="155"/>
      <c r="Y85" s="155"/>
      <c r="Z85" s="423"/>
      <c r="AA85" s="155">
        <f t="shared" si="26"/>
        <v>0</v>
      </c>
      <c r="AB85" s="155">
        <f t="shared" si="26"/>
        <v>0</v>
      </c>
      <c r="AC85" s="155">
        <f t="shared" si="26"/>
        <v>0</v>
      </c>
      <c r="AD85" s="155">
        <f t="shared" si="26"/>
        <v>0</v>
      </c>
      <c r="AE85" s="155">
        <f t="shared" si="26"/>
        <v>0</v>
      </c>
      <c r="AF85" s="423"/>
      <c r="AG85" s="156">
        <f t="shared" si="27"/>
        <v>0</v>
      </c>
      <c r="AH85" s="156">
        <f t="shared" si="27"/>
        <v>0</v>
      </c>
      <c r="AI85" s="156">
        <f t="shared" si="27"/>
        <v>0</v>
      </c>
      <c r="AJ85" s="156">
        <f t="shared" si="27"/>
        <v>0</v>
      </c>
      <c r="AK85" s="156">
        <f t="shared" si="27"/>
        <v>0</v>
      </c>
    </row>
    <row r="86" spans="1:37" s="159" customFormat="1" ht="15" customHeight="1" x14ac:dyDescent="0.3">
      <c r="A86" s="215"/>
      <c r="B86" s="485" t="s">
        <v>3875</v>
      </c>
      <c r="C86" s="497" t="s">
        <v>59</v>
      </c>
      <c r="D86" s="555">
        <v>1</v>
      </c>
      <c r="E86" s="472">
        <v>5000000</v>
      </c>
      <c r="F86" s="472">
        <f>D86*E86</f>
        <v>5000000</v>
      </c>
      <c r="G86" s="472">
        <f t="shared" si="28"/>
        <v>2600</v>
      </c>
      <c r="H86" s="472">
        <f t="shared" si="29"/>
        <v>1923.0769230769231</v>
      </c>
      <c r="I86" s="465">
        <v>0</v>
      </c>
      <c r="J86" s="466"/>
      <c r="K86" s="465">
        <f t="shared" si="23"/>
        <v>0</v>
      </c>
      <c r="L86" s="467">
        <f t="shared" si="24"/>
        <v>0</v>
      </c>
      <c r="M86" s="468">
        <f t="shared" si="25"/>
        <v>0</v>
      </c>
      <c r="N86" s="469"/>
      <c r="O86" s="771">
        <v>0</v>
      </c>
      <c r="P86" s="772"/>
      <c r="Q86" s="773"/>
      <c r="R86" s="773"/>
      <c r="S86" s="773"/>
      <c r="U86" s="155"/>
      <c r="V86" s="155"/>
      <c r="W86" s="155"/>
      <c r="X86" s="155"/>
      <c r="Y86" s="155"/>
      <c r="Z86" s="423"/>
      <c r="AA86" s="155">
        <f t="shared" si="26"/>
        <v>0</v>
      </c>
      <c r="AB86" s="155">
        <f t="shared" si="26"/>
        <v>0</v>
      </c>
      <c r="AC86" s="155">
        <f t="shared" si="26"/>
        <v>0</v>
      </c>
      <c r="AD86" s="155">
        <f t="shared" si="26"/>
        <v>0</v>
      </c>
      <c r="AE86" s="155">
        <f t="shared" si="26"/>
        <v>0</v>
      </c>
      <c r="AF86" s="423"/>
      <c r="AG86" s="156">
        <f t="shared" si="27"/>
        <v>0</v>
      </c>
      <c r="AH86" s="156">
        <f t="shared" si="27"/>
        <v>0</v>
      </c>
      <c r="AI86" s="156">
        <f t="shared" si="27"/>
        <v>0</v>
      </c>
      <c r="AJ86" s="156">
        <f t="shared" si="27"/>
        <v>0</v>
      </c>
      <c r="AK86" s="156">
        <f t="shared" si="27"/>
        <v>0</v>
      </c>
    </row>
    <row r="87" spans="1:37" s="159" customFormat="1" ht="15" customHeight="1" x14ac:dyDescent="0.3">
      <c r="A87" s="215"/>
      <c r="B87" s="485" t="s">
        <v>3876</v>
      </c>
      <c r="C87" s="497" t="s">
        <v>59</v>
      </c>
      <c r="D87" s="555">
        <v>1</v>
      </c>
      <c r="E87" s="472">
        <v>20000000</v>
      </c>
      <c r="F87" s="472">
        <f>D87*E87</f>
        <v>20000000</v>
      </c>
      <c r="G87" s="472">
        <f t="shared" si="28"/>
        <v>2600</v>
      </c>
      <c r="H87" s="472">
        <f t="shared" si="29"/>
        <v>7692.3076923076924</v>
      </c>
      <c r="I87" s="465">
        <v>0</v>
      </c>
      <c r="J87" s="486"/>
      <c r="K87" s="465">
        <f t="shared" si="23"/>
        <v>0</v>
      </c>
      <c r="L87" s="467">
        <f t="shared" si="24"/>
        <v>0</v>
      </c>
      <c r="M87" s="468">
        <f t="shared" si="25"/>
        <v>0</v>
      </c>
      <c r="N87" s="157"/>
      <c r="O87" s="771">
        <v>0</v>
      </c>
      <c r="P87" s="774"/>
      <c r="Q87" s="775"/>
      <c r="R87" s="775"/>
      <c r="S87" s="775"/>
      <c r="T87" s="487"/>
      <c r="U87" s="155"/>
      <c r="V87" s="155"/>
      <c r="W87" s="155"/>
      <c r="X87" s="155"/>
      <c r="Y87" s="155"/>
      <c r="Z87" s="423"/>
      <c r="AA87" s="155">
        <f t="shared" si="26"/>
        <v>0</v>
      </c>
      <c r="AB87" s="155">
        <f t="shared" si="26"/>
        <v>0</v>
      </c>
      <c r="AC87" s="155">
        <f t="shared" si="26"/>
        <v>0</v>
      </c>
      <c r="AD87" s="155">
        <f t="shared" si="26"/>
        <v>0</v>
      </c>
      <c r="AE87" s="155">
        <f t="shared" si="26"/>
        <v>0</v>
      </c>
      <c r="AF87" s="423"/>
      <c r="AG87" s="156">
        <f t="shared" si="27"/>
        <v>0</v>
      </c>
      <c r="AH87" s="156">
        <f t="shared" si="27"/>
        <v>0</v>
      </c>
      <c r="AI87" s="156">
        <f t="shared" si="27"/>
        <v>0</v>
      </c>
      <c r="AJ87" s="156">
        <f t="shared" si="27"/>
        <v>0</v>
      </c>
      <c r="AK87" s="156">
        <f t="shared" si="27"/>
        <v>0</v>
      </c>
    </row>
    <row r="88" spans="1:37" s="159" customFormat="1" ht="15" customHeight="1" x14ac:dyDescent="0.3">
      <c r="A88" s="215"/>
      <c r="B88" s="485" t="s">
        <v>3877</v>
      </c>
      <c r="C88" s="497" t="s">
        <v>59</v>
      </c>
      <c r="D88" s="555">
        <v>1</v>
      </c>
      <c r="E88" s="472">
        <v>50000000</v>
      </c>
      <c r="F88" s="472">
        <f>D88*E88</f>
        <v>50000000</v>
      </c>
      <c r="G88" s="472">
        <f t="shared" si="28"/>
        <v>2600</v>
      </c>
      <c r="H88" s="472">
        <f t="shared" si="29"/>
        <v>19230.76923076923</v>
      </c>
      <c r="I88" s="465">
        <v>0</v>
      </c>
      <c r="J88" s="486"/>
      <c r="K88" s="465">
        <f t="shared" si="23"/>
        <v>0</v>
      </c>
      <c r="L88" s="467">
        <f t="shared" si="24"/>
        <v>0</v>
      </c>
      <c r="M88" s="468">
        <f t="shared" si="25"/>
        <v>0</v>
      </c>
      <c r="N88" s="157"/>
      <c r="O88" s="771">
        <v>0</v>
      </c>
      <c r="P88" s="774"/>
      <c r="Q88" s="775"/>
      <c r="R88" s="775"/>
      <c r="S88" s="775"/>
      <c r="T88" s="487"/>
      <c r="U88" s="155"/>
      <c r="V88" s="155"/>
      <c r="W88" s="155"/>
      <c r="X88" s="155"/>
      <c r="Y88" s="155"/>
      <c r="Z88" s="423"/>
      <c r="AA88" s="155">
        <f t="shared" si="26"/>
        <v>0</v>
      </c>
      <c r="AB88" s="155">
        <f t="shared" si="26"/>
        <v>0</v>
      </c>
      <c r="AC88" s="155">
        <f t="shared" si="26"/>
        <v>0</v>
      </c>
      <c r="AD88" s="155">
        <f t="shared" si="26"/>
        <v>0</v>
      </c>
      <c r="AE88" s="155">
        <f t="shared" si="26"/>
        <v>0</v>
      </c>
      <c r="AF88" s="423"/>
      <c r="AG88" s="156">
        <f t="shared" si="27"/>
        <v>0</v>
      </c>
      <c r="AH88" s="156">
        <f t="shared" si="27"/>
        <v>0</v>
      </c>
      <c r="AI88" s="156">
        <f t="shared" si="27"/>
        <v>0</v>
      </c>
      <c r="AJ88" s="156">
        <f t="shared" si="27"/>
        <v>0</v>
      </c>
      <c r="AK88" s="156">
        <f t="shared" si="27"/>
        <v>0</v>
      </c>
    </row>
    <row r="89" spans="1:37" s="146" customFormat="1" ht="18" customHeight="1" x14ac:dyDescent="0.3">
      <c r="A89" s="210"/>
      <c r="B89" s="841" t="s">
        <v>3878</v>
      </c>
      <c r="C89" s="842"/>
      <c r="D89" s="842"/>
      <c r="E89" s="842"/>
      <c r="F89" s="842"/>
      <c r="G89" s="842" t="s">
        <v>125</v>
      </c>
      <c r="H89" s="843" t="s">
        <v>125</v>
      </c>
      <c r="I89" s="550"/>
      <c r="J89" s="551"/>
      <c r="K89" s="550"/>
      <c r="L89" s="552"/>
      <c r="M89" s="214"/>
      <c r="N89" s="165"/>
      <c r="O89" s="776"/>
      <c r="P89" s="777"/>
      <c r="Q89" s="776"/>
      <c r="R89" s="776"/>
      <c r="S89" s="776"/>
      <c r="T89" s="145"/>
      <c r="U89" s="550"/>
      <c r="V89" s="550"/>
      <c r="W89" s="550"/>
      <c r="X89" s="550"/>
      <c r="Y89" s="550"/>
      <c r="AA89" s="214"/>
      <c r="AB89" s="214"/>
      <c r="AC89" s="214"/>
      <c r="AD89" s="214"/>
      <c r="AE89" s="214"/>
      <c r="AG89" s="554"/>
      <c r="AH89" s="554"/>
      <c r="AI89" s="554"/>
      <c r="AJ89" s="554"/>
      <c r="AK89" s="554"/>
    </row>
    <row r="90" spans="1:37" s="159" customFormat="1" ht="15" customHeight="1" x14ac:dyDescent="0.3">
      <c r="A90" s="215"/>
      <c r="B90" s="533" t="s">
        <v>3879</v>
      </c>
      <c r="C90" s="497" t="s">
        <v>59</v>
      </c>
      <c r="D90" s="472">
        <v>1</v>
      </c>
      <c r="E90" s="472">
        <v>41000000</v>
      </c>
      <c r="F90" s="472">
        <f>E90</f>
        <v>41000000</v>
      </c>
      <c r="G90" s="472">
        <f t="shared" ref="G90:G153" si="30">$G$5</f>
        <v>2600</v>
      </c>
      <c r="H90" s="472">
        <f t="shared" ref="H90:H99" si="31">IF($G$5=0,0,F90/G90)</f>
        <v>15769.23076923077</v>
      </c>
      <c r="I90" s="465">
        <v>0</v>
      </c>
      <c r="J90" s="486"/>
      <c r="K90" s="465">
        <f t="shared" ref="K90:K153" si="32">SUM(U90:Y90)</f>
        <v>0</v>
      </c>
      <c r="L90" s="467">
        <f t="shared" ref="L90:L108" si="33">K90-I90</f>
        <v>0</v>
      </c>
      <c r="M90" s="468">
        <f t="shared" ref="M90:M108" si="34">IFERROR(L90/I90,0)</f>
        <v>0</v>
      </c>
      <c r="N90" s="157"/>
      <c r="O90" s="542"/>
      <c r="P90" s="549">
        <v>0</v>
      </c>
      <c r="Q90" s="542"/>
      <c r="R90" s="542"/>
      <c r="S90" s="542"/>
      <c r="T90" s="487"/>
      <c r="U90" s="474"/>
      <c r="V90" s="474"/>
      <c r="W90" s="474"/>
      <c r="X90" s="474"/>
      <c r="Y90" s="474"/>
      <c r="AA90" s="155">
        <f t="shared" ref="AA90:AE108" si="35">U90-O90</f>
        <v>0</v>
      </c>
      <c r="AB90" s="155">
        <f t="shared" si="35"/>
        <v>0</v>
      </c>
      <c r="AC90" s="155">
        <f t="shared" si="35"/>
        <v>0</v>
      </c>
      <c r="AD90" s="155">
        <f t="shared" si="35"/>
        <v>0</v>
      </c>
      <c r="AE90" s="155">
        <f t="shared" si="35"/>
        <v>0</v>
      </c>
      <c r="AG90" s="156">
        <f t="shared" ref="AG90:AK108" si="36">IFERROR(AA90/O90,0)</f>
        <v>0</v>
      </c>
      <c r="AH90" s="156">
        <f t="shared" si="36"/>
        <v>0</v>
      </c>
      <c r="AI90" s="156">
        <f t="shared" si="36"/>
        <v>0</v>
      </c>
      <c r="AJ90" s="156">
        <f t="shared" si="36"/>
        <v>0</v>
      </c>
      <c r="AK90" s="156">
        <f t="shared" si="36"/>
        <v>0</v>
      </c>
    </row>
    <row r="91" spans="1:37" s="159" customFormat="1" ht="15" customHeight="1" x14ac:dyDescent="0.3">
      <c r="A91" s="215"/>
      <c r="B91" s="533" t="s">
        <v>3880</v>
      </c>
      <c r="C91" s="497" t="s">
        <v>59</v>
      </c>
      <c r="D91" s="472">
        <v>1</v>
      </c>
      <c r="E91" s="472">
        <v>15000000</v>
      </c>
      <c r="F91" s="472">
        <f>D91*E91</f>
        <v>15000000</v>
      </c>
      <c r="G91" s="472">
        <f t="shared" si="30"/>
        <v>2600</v>
      </c>
      <c r="H91" s="472">
        <f t="shared" si="31"/>
        <v>5769.2307692307695</v>
      </c>
      <c r="I91" s="465">
        <v>0</v>
      </c>
      <c r="J91" s="486"/>
      <c r="K91" s="465">
        <f t="shared" si="32"/>
        <v>0</v>
      </c>
      <c r="L91" s="467">
        <f t="shared" si="33"/>
        <v>0</v>
      </c>
      <c r="M91" s="468">
        <f t="shared" si="34"/>
        <v>0</v>
      </c>
      <c r="N91" s="157"/>
      <c r="O91" s="542"/>
      <c r="P91" s="549">
        <v>0</v>
      </c>
      <c r="Q91" s="542"/>
      <c r="R91" s="542"/>
      <c r="S91" s="542"/>
      <c r="T91" s="487"/>
      <c r="U91" s="474"/>
      <c r="V91" s="474"/>
      <c r="W91" s="474"/>
      <c r="X91" s="474"/>
      <c r="Y91" s="474"/>
      <c r="AA91" s="155">
        <f t="shared" si="35"/>
        <v>0</v>
      </c>
      <c r="AB91" s="155">
        <f t="shared" si="35"/>
        <v>0</v>
      </c>
      <c r="AC91" s="155">
        <f t="shared" si="35"/>
        <v>0</v>
      </c>
      <c r="AD91" s="155">
        <f t="shared" si="35"/>
        <v>0</v>
      </c>
      <c r="AE91" s="155">
        <f t="shared" si="35"/>
        <v>0</v>
      </c>
      <c r="AG91" s="156">
        <f t="shared" si="36"/>
        <v>0</v>
      </c>
      <c r="AH91" s="156">
        <f t="shared" si="36"/>
        <v>0</v>
      </c>
      <c r="AI91" s="156">
        <f t="shared" si="36"/>
        <v>0</v>
      </c>
      <c r="AJ91" s="156">
        <f t="shared" si="36"/>
        <v>0</v>
      </c>
      <c r="AK91" s="156">
        <f t="shared" si="36"/>
        <v>0</v>
      </c>
    </row>
    <row r="92" spans="1:37" s="159" customFormat="1" ht="15" customHeight="1" x14ac:dyDescent="0.3">
      <c r="A92" s="215"/>
      <c r="B92" s="533" t="s">
        <v>3881</v>
      </c>
      <c r="C92" s="497" t="s">
        <v>59</v>
      </c>
      <c r="D92" s="472">
        <v>1</v>
      </c>
      <c r="E92" s="472">
        <v>15000000</v>
      </c>
      <c r="F92" s="472">
        <f>D92*E92</f>
        <v>15000000</v>
      </c>
      <c r="G92" s="472">
        <f t="shared" si="30"/>
        <v>2600</v>
      </c>
      <c r="H92" s="472">
        <f t="shared" si="31"/>
        <v>5769.2307692307695</v>
      </c>
      <c r="I92" s="465">
        <v>0</v>
      </c>
      <c r="J92" s="486"/>
      <c r="K92" s="465">
        <f t="shared" si="32"/>
        <v>0</v>
      </c>
      <c r="L92" s="467">
        <f t="shared" si="33"/>
        <v>0</v>
      </c>
      <c r="M92" s="468">
        <f t="shared" si="34"/>
        <v>0</v>
      </c>
      <c r="N92" s="157"/>
      <c r="O92" s="542"/>
      <c r="P92" s="549">
        <v>0</v>
      </c>
      <c r="Q92" s="542"/>
      <c r="R92" s="542"/>
      <c r="S92" s="542"/>
      <c r="T92" s="487"/>
      <c r="U92" s="474"/>
      <c r="V92" s="474"/>
      <c r="W92" s="474"/>
      <c r="X92" s="474"/>
      <c r="Y92" s="474"/>
      <c r="AA92" s="155">
        <f t="shared" si="35"/>
        <v>0</v>
      </c>
      <c r="AB92" s="155">
        <f t="shared" si="35"/>
        <v>0</v>
      </c>
      <c r="AC92" s="155">
        <f t="shared" si="35"/>
        <v>0</v>
      </c>
      <c r="AD92" s="155">
        <f t="shared" si="35"/>
        <v>0</v>
      </c>
      <c r="AE92" s="155">
        <f t="shared" si="35"/>
        <v>0</v>
      </c>
      <c r="AG92" s="156">
        <f t="shared" si="36"/>
        <v>0</v>
      </c>
      <c r="AH92" s="156">
        <f t="shared" si="36"/>
        <v>0</v>
      </c>
      <c r="AI92" s="156">
        <f t="shared" si="36"/>
        <v>0</v>
      </c>
      <c r="AJ92" s="156">
        <f t="shared" si="36"/>
        <v>0</v>
      </c>
      <c r="AK92" s="156">
        <f t="shared" si="36"/>
        <v>0</v>
      </c>
    </row>
    <row r="93" spans="1:37" s="159" customFormat="1" ht="28.8" x14ac:dyDescent="0.3">
      <c r="A93" s="215"/>
      <c r="B93" s="558" t="s">
        <v>3882</v>
      </c>
      <c r="C93" s="497" t="s">
        <v>59</v>
      </c>
      <c r="D93" s="472">
        <v>2</v>
      </c>
      <c r="E93" s="472">
        <v>10000000</v>
      </c>
      <c r="F93" s="472">
        <f t="shared" ref="F93:F100" si="37">D93*E93</f>
        <v>20000000</v>
      </c>
      <c r="G93" s="472">
        <f t="shared" si="30"/>
        <v>2600</v>
      </c>
      <c r="H93" s="472">
        <f t="shared" si="31"/>
        <v>7692.3076923076924</v>
      </c>
      <c r="I93" s="465">
        <v>0</v>
      </c>
      <c r="J93" s="486"/>
      <c r="K93" s="465">
        <f t="shared" si="32"/>
        <v>0</v>
      </c>
      <c r="L93" s="467">
        <f t="shared" si="33"/>
        <v>0</v>
      </c>
      <c r="M93" s="468">
        <f t="shared" si="34"/>
        <v>0</v>
      </c>
      <c r="N93" s="157"/>
      <c r="O93" s="542"/>
      <c r="P93" s="549">
        <v>0</v>
      </c>
      <c r="Q93" s="542"/>
      <c r="R93" s="542"/>
      <c r="S93" s="542"/>
      <c r="T93" s="487"/>
      <c r="U93" s="474"/>
      <c r="V93" s="474"/>
      <c r="W93" s="474"/>
      <c r="X93" s="474"/>
      <c r="Y93" s="474"/>
      <c r="AA93" s="155">
        <f t="shared" si="35"/>
        <v>0</v>
      </c>
      <c r="AB93" s="155">
        <f t="shared" si="35"/>
        <v>0</v>
      </c>
      <c r="AC93" s="155">
        <f t="shared" si="35"/>
        <v>0</v>
      </c>
      <c r="AD93" s="155">
        <f t="shared" si="35"/>
        <v>0</v>
      </c>
      <c r="AE93" s="155">
        <f t="shared" si="35"/>
        <v>0</v>
      </c>
      <c r="AG93" s="156">
        <f t="shared" si="36"/>
        <v>0</v>
      </c>
      <c r="AH93" s="156">
        <f t="shared" si="36"/>
        <v>0</v>
      </c>
      <c r="AI93" s="156">
        <f t="shared" si="36"/>
        <v>0</v>
      </c>
      <c r="AJ93" s="156">
        <f t="shared" si="36"/>
        <v>0</v>
      </c>
      <c r="AK93" s="156">
        <f t="shared" si="36"/>
        <v>0</v>
      </c>
    </row>
    <row r="94" spans="1:37" s="159" customFormat="1" ht="20.25" customHeight="1" x14ac:dyDescent="0.3">
      <c r="A94" s="215"/>
      <c r="B94" s="533" t="s">
        <v>129</v>
      </c>
      <c r="C94" s="484" t="s">
        <v>114</v>
      </c>
      <c r="D94" s="472">
        <v>1</v>
      </c>
      <c r="E94" s="472">
        <v>5028280</v>
      </c>
      <c r="F94" s="472">
        <f t="shared" si="37"/>
        <v>5028280</v>
      </c>
      <c r="G94" s="472">
        <f t="shared" si="30"/>
        <v>2600</v>
      </c>
      <c r="H94" s="472">
        <f t="shared" si="31"/>
        <v>1933.9538461538461</v>
      </c>
      <c r="I94" s="465">
        <v>0</v>
      </c>
      <c r="J94" s="486"/>
      <c r="K94" s="465">
        <f t="shared" si="32"/>
        <v>0</v>
      </c>
      <c r="L94" s="467">
        <f t="shared" si="33"/>
        <v>0</v>
      </c>
      <c r="M94" s="468">
        <f t="shared" si="34"/>
        <v>0</v>
      </c>
      <c r="N94" s="157"/>
      <c r="O94" s="542"/>
      <c r="P94" s="549">
        <v>0</v>
      </c>
      <c r="Q94" s="542"/>
      <c r="R94" s="542"/>
      <c r="S94" s="542"/>
      <c r="T94" s="487"/>
      <c r="U94" s="474"/>
      <c r="V94" s="474"/>
      <c r="W94" s="474"/>
      <c r="X94" s="474"/>
      <c r="Y94" s="474"/>
      <c r="AA94" s="155">
        <f t="shared" si="35"/>
        <v>0</v>
      </c>
      <c r="AB94" s="155">
        <f t="shared" si="35"/>
        <v>0</v>
      </c>
      <c r="AC94" s="155">
        <f t="shared" si="35"/>
        <v>0</v>
      </c>
      <c r="AD94" s="155">
        <f t="shared" si="35"/>
        <v>0</v>
      </c>
      <c r="AE94" s="155">
        <f t="shared" si="35"/>
        <v>0</v>
      </c>
      <c r="AG94" s="156">
        <f t="shared" si="36"/>
        <v>0</v>
      </c>
      <c r="AH94" s="156">
        <f t="shared" si="36"/>
        <v>0</v>
      </c>
      <c r="AI94" s="156">
        <f t="shared" si="36"/>
        <v>0</v>
      </c>
      <c r="AJ94" s="156">
        <f t="shared" si="36"/>
        <v>0</v>
      </c>
      <c r="AK94" s="156">
        <f t="shared" si="36"/>
        <v>0</v>
      </c>
    </row>
    <row r="95" spans="1:37" s="159" customFormat="1" ht="15" customHeight="1" x14ac:dyDescent="0.3">
      <c r="A95" s="215"/>
      <c r="B95" s="533" t="s">
        <v>3883</v>
      </c>
      <c r="C95" s="497" t="s">
        <v>59</v>
      </c>
      <c r="D95" s="472">
        <v>1</v>
      </c>
      <c r="E95" s="472">
        <v>25000000</v>
      </c>
      <c r="F95" s="472">
        <f t="shared" si="37"/>
        <v>25000000</v>
      </c>
      <c r="G95" s="472">
        <f t="shared" si="30"/>
        <v>2600</v>
      </c>
      <c r="H95" s="472">
        <f t="shared" si="31"/>
        <v>9615.3846153846152</v>
      </c>
      <c r="I95" s="465">
        <v>0</v>
      </c>
      <c r="J95" s="486"/>
      <c r="K95" s="465">
        <f t="shared" si="32"/>
        <v>0</v>
      </c>
      <c r="L95" s="467">
        <f t="shared" si="33"/>
        <v>0</v>
      </c>
      <c r="M95" s="468">
        <f t="shared" si="34"/>
        <v>0</v>
      </c>
      <c r="N95" s="157"/>
      <c r="O95" s="542"/>
      <c r="P95" s="549">
        <v>0</v>
      </c>
      <c r="Q95" s="542"/>
      <c r="R95" s="542"/>
      <c r="S95" s="542"/>
      <c r="T95" s="487"/>
      <c r="U95" s="474"/>
      <c r="V95" s="474"/>
      <c r="W95" s="474"/>
      <c r="X95" s="474"/>
      <c r="Y95" s="474"/>
      <c r="AA95" s="155">
        <f t="shared" si="35"/>
        <v>0</v>
      </c>
      <c r="AB95" s="155">
        <f t="shared" si="35"/>
        <v>0</v>
      </c>
      <c r="AC95" s="155">
        <f t="shared" si="35"/>
        <v>0</v>
      </c>
      <c r="AD95" s="155">
        <f t="shared" si="35"/>
        <v>0</v>
      </c>
      <c r="AE95" s="155">
        <f t="shared" si="35"/>
        <v>0</v>
      </c>
      <c r="AG95" s="156">
        <f t="shared" si="36"/>
        <v>0</v>
      </c>
      <c r="AH95" s="156">
        <f t="shared" si="36"/>
        <v>0</v>
      </c>
      <c r="AI95" s="156">
        <f t="shared" si="36"/>
        <v>0</v>
      </c>
      <c r="AJ95" s="156">
        <f t="shared" si="36"/>
        <v>0</v>
      </c>
      <c r="AK95" s="156">
        <f t="shared" si="36"/>
        <v>0</v>
      </c>
    </row>
    <row r="96" spans="1:37" s="159" customFormat="1" ht="15" customHeight="1" x14ac:dyDescent="0.3">
      <c r="A96" s="215"/>
      <c r="B96" s="533" t="s">
        <v>3884</v>
      </c>
      <c r="C96" s="497" t="s">
        <v>59</v>
      </c>
      <c r="D96" s="472">
        <v>1</v>
      </c>
      <c r="E96" s="472">
        <v>15000000</v>
      </c>
      <c r="F96" s="472">
        <f>D96*E96</f>
        <v>15000000</v>
      </c>
      <c r="G96" s="472">
        <f t="shared" si="30"/>
        <v>2600</v>
      </c>
      <c r="H96" s="472">
        <f t="shared" si="31"/>
        <v>5769.2307692307695</v>
      </c>
      <c r="I96" s="465">
        <v>0</v>
      </c>
      <c r="J96" s="486"/>
      <c r="K96" s="465">
        <f t="shared" si="32"/>
        <v>0</v>
      </c>
      <c r="L96" s="467">
        <f t="shared" si="33"/>
        <v>0</v>
      </c>
      <c r="M96" s="468">
        <f t="shared" si="34"/>
        <v>0</v>
      </c>
      <c r="N96" s="157"/>
      <c r="O96" s="542"/>
      <c r="P96" s="549">
        <v>0</v>
      </c>
      <c r="Q96" s="542"/>
      <c r="R96" s="542"/>
      <c r="S96" s="542"/>
      <c r="T96" s="487"/>
      <c r="U96" s="474"/>
      <c r="V96" s="474"/>
      <c r="W96" s="474"/>
      <c r="X96" s="474"/>
      <c r="Y96" s="474"/>
      <c r="AA96" s="155">
        <f t="shared" si="35"/>
        <v>0</v>
      </c>
      <c r="AB96" s="155">
        <f t="shared" si="35"/>
        <v>0</v>
      </c>
      <c r="AC96" s="155">
        <f t="shared" si="35"/>
        <v>0</v>
      </c>
      <c r="AD96" s="155">
        <f t="shared" si="35"/>
        <v>0</v>
      </c>
      <c r="AE96" s="155">
        <f t="shared" si="35"/>
        <v>0</v>
      </c>
      <c r="AG96" s="156">
        <f t="shared" si="36"/>
        <v>0</v>
      </c>
      <c r="AH96" s="156">
        <f t="shared" si="36"/>
        <v>0</v>
      </c>
      <c r="AI96" s="156">
        <f t="shared" si="36"/>
        <v>0</v>
      </c>
      <c r="AJ96" s="156">
        <f t="shared" si="36"/>
        <v>0</v>
      </c>
      <c r="AK96" s="156">
        <f t="shared" si="36"/>
        <v>0</v>
      </c>
    </row>
    <row r="97" spans="1:158" s="159" customFormat="1" ht="15" customHeight="1" x14ac:dyDescent="0.3">
      <c r="A97" s="215"/>
      <c r="B97" s="489" t="s">
        <v>3885</v>
      </c>
      <c r="C97" s="497" t="s">
        <v>59</v>
      </c>
      <c r="D97" s="472">
        <v>1</v>
      </c>
      <c r="E97" s="472">
        <v>10000000</v>
      </c>
      <c r="F97" s="472">
        <f t="shared" si="37"/>
        <v>10000000</v>
      </c>
      <c r="G97" s="472">
        <f t="shared" si="30"/>
        <v>2600</v>
      </c>
      <c r="H97" s="472">
        <f t="shared" si="31"/>
        <v>3846.1538461538462</v>
      </c>
      <c r="I97" s="465">
        <v>0</v>
      </c>
      <c r="J97" s="486"/>
      <c r="K97" s="465">
        <f t="shared" si="32"/>
        <v>0</v>
      </c>
      <c r="L97" s="467">
        <f t="shared" si="33"/>
        <v>0</v>
      </c>
      <c r="M97" s="468">
        <f t="shared" si="34"/>
        <v>0</v>
      </c>
      <c r="N97" s="157"/>
      <c r="O97" s="542"/>
      <c r="P97" s="549">
        <v>0</v>
      </c>
      <c r="Q97" s="542"/>
      <c r="R97" s="542"/>
      <c r="S97" s="542"/>
      <c r="T97" s="487"/>
      <c r="U97" s="474"/>
      <c r="V97" s="474"/>
      <c r="W97" s="474"/>
      <c r="X97" s="474"/>
      <c r="Y97" s="474"/>
      <c r="AA97" s="155">
        <f t="shared" si="35"/>
        <v>0</v>
      </c>
      <c r="AB97" s="155">
        <f t="shared" si="35"/>
        <v>0</v>
      </c>
      <c r="AC97" s="155">
        <f t="shared" si="35"/>
        <v>0</v>
      </c>
      <c r="AD97" s="155">
        <f t="shared" si="35"/>
        <v>0</v>
      </c>
      <c r="AE97" s="155">
        <f t="shared" si="35"/>
        <v>0</v>
      </c>
      <c r="AG97" s="156">
        <f t="shared" si="36"/>
        <v>0</v>
      </c>
      <c r="AH97" s="156">
        <f t="shared" si="36"/>
        <v>0</v>
      </c>
      <c r="AI97" s="156">
        <f t="shared" si="36"/>
        <v>0</v>
      </c>
      <c r="AJ97" s="156">
        <f t="shared" si="36"/>
        <v>0</v>
      </c>
      <c r="AK97" s="156">
        <f t="shared" si="36"/>
        <v>0</v>
      </c>
    </row>
    <row r="98" spans="1:158" s="159" customFormat="1" ht="15" customHeight="1" x14ac:dyDescent="0.3">
      <c r="A98" s="215"/>
      <c r="B98" s="559" t="s">
        <v>138</v>
      </c>
      <c r="C98" s="497" t="s">
        <v>59</v>
      </c>
      <c r="D98" s="472">
        <v>1</v>
      </c>
      <c r="E98" s="472">
        <v>7500000</v>
      </c>
      <c r="F98" s="472">
        <f t="shared" si="37"/>
        <v>7500000</v>
      </c>
      <c r="G98" s="472">
        <f t="shared" si="30"/>
        <v>2600</v>
      </c>
      <c r="H98" s="472">
        <f t="shared" si="31"/>
        <v>2884.6153846153848</v>
      </c>
      <c r="I98" s="465">
        <v>0</v>
      </c>
      <c r="J98" s="486"/>
      <c r="K98" s="465">
        <f t="shared" si="32"/>
        <v>0</v>
      </c>
      <c r="L98" s="467">
        <f t="shared" si="33"/>
        <v>0</v>
      </c>
      <c r="M98" s="468">
        <f t="shared" si="34"/>
        <v>0</v>
      </c>
      <c r="N98" s="157"/>
      <c r="O98" s="542"/>
      <c r="P98" s="549">
        <v>0</v>
      </c>
      <c r="Q98" s="542"/>
      <c r="R98" s="542"/>
      <c r="S98" s="542"/>
      <c r="T98" s="487"/>
      <c r="U98" s="474"/>
      <c r="V98" s="474"/>
      <c r="W98" s="474"/>
      <c r="X98" s="474"/>
      <c r="Y98" s="474"/>
      <c r="AA98" s="155">
        <f t="shared" si="35"/>
        <v>0</v>
      </c>
      <c r="AB98" s="155">
        <f t="shared" si="35"/>
        <v>0</v>
      </c>
      <c r="AC98" s="155">
        <f t="shared" si="35"/>
        <v>0</v>
      </c>
      <c r="AD98" s="155">
        <f t="shared" si="35"/>
        <v>0</v>
      </c>
      <c r="AE98" s="155">
        <f t="shared" si="35"/>
        <v>0</v>
      </c>
      <c r="AG98" s="156">
        <f t="shared" si="36"/>
        <v>0</v>
      </c>
      <c r="AH98" s="156">
        <f t="shared" si="36"/>
        <v>0</v>
      </c>
      <c r="AI98" s="156">
        <f t="shared" si="36"/>
        <v>0</v>
      </c>
      <c r="AJ98" s="156">
        <f t="shared" si="36"/>
        <v>0</v>
      </c>
      <c r="AK98" s="156">
        <f t="shared" si="36"/>
        <v>0</v>
      </c>
    </row>
    <row r="99" spans="1:158" s="159" customFormat="1" ht="18" customHeight="1" x14ac:dyDescent="0.3">
      <c r="A99" s="215"/>
      <c r="B99" s="556" t="s">
        <v>3886</v>
      </c>
      <c r="C99" s="497" t="s">
        <v>59</v>
      </c>
      <c r="D99" s="472">
        <v>1</v>
      </c>
      <c r="E99" s="472">
        <v>5000000</v>
      </c>
      <c r="F99" s="472">
        <f t="shared" si="37"/>
        <v>5000000</v>
      </c>
      <c r="G99" s="472">
        <f t="shared" si="30"/>
        <v>2600</v>
      </c>
      <c r="H99" s="472">
        <f t="shared" si="31"/>
        <v>1923.0769230769231</v>
      </c>
      <c r="I99" s="465">
        <v>0</v>
      </c>
      <c r="J99" s="486"/>
      <c r="K99" s="465">
        <f t="shared" si="32"/>
        <v>0</v>
      </c>
      <c r="L99" s="467">
        <f t="shared" si="33"/>
        <v>0</v>
      </c>
      <c r="M99" s="468">
        <f t="shared" si="34"/>
        <v>0</v>
      </c>
      <c r="N99" s="157"/>
      <c r="O99" s="542"/>
      <c r="P99" s="549">
        <v>0</v>
      </c>
      <c r="Q99" s="542"/>
      <c r="R99" s="542"/>
      <c r="S99" s="542"/>
      <c r="T99" s="487"/>
      <c r="U99" s="474"/>
      <c r="V99" s="474"/>
      <c r="W99" s="474"/>
      <c r="X99" s="474"/>
      <c r="Y99" s="474"/>
      <c r="AA99" s="155">
        <f t="shared" si="35"/>
        <v>0</v>
      </c>
      <c r="AB99" s="155">
        <f t="shared" si="35"/>
        <v>0</v>
      </c>
      <c r="AC99" s="155">
        <f t="shared" si="35"/>
        <v>0</v>
      </c>
      <c r="AD99" s="155">
        <f t="shared" si="35"/>
        <v>0</v>
      </c>
      <c r="AE99" s="155">
        <f t="shared" si="35"/>
        <v>0</v>
      </c>
      <c r="AG99" s="156">
        <f t="shared" si="36"/>
        <v>0</v>
      </c>
      <c r="AH99" s="156">
        <f t="shared" si="36"/>
        <v>0</v>
      </c>
      <c r="AI99" s="156">
        <f t="shared" si="36"/>
        <v>0</v>
      </c>
      <c r="AJ99" s="156">
        <f t="shared" si="36"/>
        <v>0</v>
      </c>
      <c r="AK99" s="156">
        <f t="shared" si="36"/>
        <v>0</v>
      </c>
    </row>
    <row r="100" spans="1:158" s="159" customFormat="1" ht="28.8" x14ac:dyDescent="0.3">
      <c r="A100" s="215"/>
      <c r="B100" s="556" t="s">
        <v>3887</v>
      </c>
      <c r="C100" s="497" t="s">
        <v>59</v>
      </c>
      <c r="D100" s="472">
        <v>1</v>
      </c>
      <c r="E100" s="472">
        <v>30000000</v>
      </c>
      <c r="F100" s="472">
        <f t="shared" si="37"/>
        <v>30000000</v>
      </c>
      <c r="G100" s="472">
        <f t="shared" si="30"/>
        <v>2600</v>
      </c>
      <c r="H100" s="472">
        <f>IF($G$5=0,0,F100/G100)</f>
        <v>11538.461538461539</v>
      </c>
      <c r="I100" s="465">
        <v>0</v>
      </c>
      <c r="J100" s="486"/>
      <c r="K100" s="465">
        <f t="shared" si="32"/>
        <v>0</v>
      </c>
      <c r="L100" s="467">
        <f t="shared" si="33"/>
        <v>0</v>
      </c>
      <c r="M100" s="468">
        <f t="shared" si="34"/>
        <v>0</v>
      </c>
      <c r="N100" s="157"/>
      <c r="O100" s="542"/>
      <c r="P100" s="549">
        <v>0</v>
      </c>
      <c r="Q100" s="542"/>
      <c r="R100" s="542"/>
      <c r="S100" s="542"/>
      <c r="T100" s="487"/>
      <c r="U100" s="474"/>
      <c r="V100" s="474"/>
      <c r="W100" s="474"/>
      <c r="X100" s="474"/>
      <c r="Y100" s="474"/>
      <c r="AA100" s="155">
        <f t="shared" si="35"/>
        <v>0</v>
      </c>
      <c r="AB100" s="155">
        <f t="shared" si="35"/>
        <v>0</v>
      </c>
      <c r="AC100" s="155">
        <f t="shared" si="35"/>
        <v>0</v>
      </c>
      <c r="AD100" s="155">
        <f t="shared" si="35"/>
        <v>0</v>
      </c>
      <c r="AE100" s="155">
        <f t="shared" si="35"/>
        <v>0</v>
      </c>
      <c r="AG100" s="156">
        <f t="shared" si="36"/>
        <v>0</v>
      </c>
      <c r="AH100" s="156">
        <f t="shared" si="36"/>
        <v>0</v>
      </c>
      <c r="AI100" s="156">
        <f t="shared" si="36"/>
        <v>0</v>
      </c>
      <c r="AJ100" s="156">
        <f t="shared" si="36"/>
        <v>0</v>
      </c>
      <c r="AK100" s="156">
        <f t="shared" si="36"/>
        <v>0</v>
      </c>
    </row>
    <row r="101" spans="1:158" s="159" customFormat="1" x14ac:dyDescent="0.3">
      <c r="A101" s="215"/>
      <c r="B101" s="556" t="s">
        <v>3888</v>
      </c>
      <c r="C101" s="484" t="s">
        <v>59</v>
      </c>
      <c r="D101" s="472">
        <v>1</v>
      </c>
      <c r="E101" s="472">
        <v>86473400</v>
      </c>
      <c r="F101" s="472">
        <f>D101*E101</f>
        <v>86473400</v>
      </c>
      <c r="G101" s="472">
        <f t="shared" si="30"/>
        <v>2600</v>
      </c>
      <c r="H101" s="472">
        <f>IF($G$5=0,0,F101/G101)</f>
        <v>33259</v>
      </c>
      <c r="I101" s="465">
        <v>0</v>
      </c>
      <c r="J101" s="486"/>
      <c r="K101" s="465">
        <f t="shared" si="32"/>
        <v>4270.6491643446234</v>
      </c>
      <c r="L101" s="467">
        <f t="shared" si="33"/>
        <v>4270.6491643446234</v>
      </c>
      <c r="M101" s="468">
        <f t="shared" si="34"/>
        <v>0</v>
      </c>
      <c r="N101" s="157"/>
      <c r="O101" s="542"/>
      <c r="P101" s="549">
        <v>0</v>
      </c>
      <c r="Q101" s="542"/>
      <c r="R101" s="542"/>
      <c r="S101" s="542"/>
      <c r="T101" s="487"/>
      <c r="U101" s="474">
        <v>0</v>
      </c>
      <c r="V101" s="474">
        <v>4270.6491643446234</v>
      </c>
      <c r="W101" s="474">
        <v>0</v>
      </c>
      <c r="X101" s="474">
        <v>0</v>
      </c>
      <c r="Y101" s="474">
        <v>0</v>
      </c>
      <c r="AA101" s="155">
        <f t="shared" si="35"/>
        <v>0</v>
      </c>
      <c r="AB101" s="155">
        <f t="shared" si="35"/>
        <v>4270.6491643446234</v>
      </c>
      <c r="AC101" s="155">
        <f t="shared" si="35"/>
        <v>0</v>
      </c>
      <c r="AD101" s="155">
        <f t="shared" si="35"/>
        <v>0</v>
      </c>
      <c r="AE101" s="155">
        <f t="shared" si="35"/>
        <v>0</v>
      </c>
      <c r="AG101" s="156">
        <f t="shared" si="36"/>
        <v>0</v>
      </c>
      <c r="AH101" s="156">
        <f t="shared" si="36"/>
        <v>0</v>
      </c>
      <c r="AI101" s="156">
        <f t="shared" si="36"/>
        <v>0</v>
      </c>
      <c r="AJ101" s="156">
        <f t="shared" si="36"/>
        <v>0</v>
      </c>
      <c r="AK101" s="156">
        <f t="shared" si="36"/>
        <v>0</v>
      </c>
    </row>
    <row r="102" spans="1:158" s="418" customFormat="1" x14ac:dyDescent="0.3">
      <c r="A102" s="560"/>
      <c r="B102" s="561" t="s">
        <v>3889</v>
      </c>
      <c r="C102" s="464" t="s">
        <v>59</v>
      </c>
      <c r="D102" s="492">
        <v>1</v>
      </c>
      <c r="E102" s="492"/>
      <c r="F102" s="492"/>
      <c r="G102" s="472">
        <f t="shared" si="30"/>
        <v>2600</v>
      </c>
      <c r="H102" s="492"/>
      <c r="I102" s="465">
        <v>6977.75</v>
      </c>
      <c r="J102" s="562"/>
      <c r="K102" s="465">
        <f t="shared" si="32"/>
        <v>6965.797792352856</v>
      </c>
      <c r="L102" s="467">
        <f t="shared" si="33"/>
        <v>-11.95220764714395</v>
      </c>
      <c r="M102" s="468">
        <f t="shared" si="34"/>
        <v>-1.7129028192675217E-3</v>
      </c>
      <c r="N102" s="563"/>
      <c r="O102" s="778"/>
      <c r="P102" s="501">
        <v>6977.75</v>
      </c>
      <c r="Q102" s="778"/>
      <c r="R102" s="778"/>
      <c r="S102" s="778"/>
      <c r="T102" s="564"/>
      <c r="U102" s="492">
        <v>0</v>
      </c>
      <c r="V102" s="492">
        <v>6965.797792352856</v>
      </c>
      <c r="W102" s="492">
        <v>0</v>
      </c>
      <c r="X102" s="492">
        <v>0</v>
      </c>
      <c r="Y102" s="492">
        <v>0</v>
      </c>
      <c r="AA102" s="532">
        <f t="shared" si="35"/>
        <v>0</v>
      </c>
      <c r="AB102" s="532">
        <f t="shared" si="35"/>
        <v>-11.95220764714395</v>
      </c>
      <c r="AC102" s="532">
        <f t="shared" si="35"/>
        <v>0</v>
      </c>
      <c r="AD102" s="532">
        <f t="shared" si="35"/>
        <v>0</v>
      </c>
      <c r="AE102" s="532">
        <f t="shared" si="35"/>
        <v>0</v>
      </c>
      <c r="AG102" s="156">
        <f t="shared" si="36"/>
        <v>0</v>
      </c>
      <c r="AH102" s="156">
        <f t="shared" si="36"/>
        <v>-1.7129028192675217E-3</v>
      </c>
      <c r="AI102" s="156">
        <f t="shared" si="36"/>
        <v>0</v>
      </c>
      <c r="AJ102" s="156">
        <f t="shared" si="36"/>
        <v>0</v>
      </c>
      <c r="AK102" s="156">
        <f t="shared" si="36"/>
        <v>0</v>
      </c>
      <c r="AL102" s="159"/>
      <c r="AM102" s="159"/>
      <c r="AN102" s="159"/>
      <c r="AO102" s="159"/>
      <c r="AP102" s="159"/>
      <c r="AQ102" s="159"/>
      <c r="AR102" s="159"/>
      <c r="AS102" s="159"/>
      <c r="AT102" s="159"/>
      <c r="AU102" s="159"/>
      <c r="AV102" s="159"/>
      <c r="AW102" s="159"/>
      <c r="AX102" s="159"/>
      <c r="AY102" s="159"/>
      <c r="AZ102" s="159"/>
      <c r="BA102" s="159"/>
      <c r="BB102" s="159"/>
      <c r="BC102" s="159"/>
      <c r="BD102" s="159"/>
      <c r="BE102" s="159"/>
      <c r="BF102" s="159"/>
      <c r="BG102" s="159"/>
      <c r="BH102" s="159"/>
      <c r="BI102" s="159"/>
      <c r="BJ102" s="159"/>
      <c r="BK102" s="159"/>
      <c r="BL102" s="159"/>
      <c r="BM102" s="159"/>
      <c r="BN102" s="159"/>
      <c r="BO102" s="159"/>
      <c r="BP102" s="159"/>
      <c r="BQ102" s="159"/>
      <c r="BR102" s="159"/>
      <c r="BS102" s="159"/>
      <c r="BT102" s="159"/>
      <c r="BU102" s="159"/>
      <c r="BV102" s="159"/>
      <c r="BW102" s="159"/>
      <c r="BX102" s="159"/>
      <c r="BY102" s="159"/>
      <c r="BZ102" s="159"/>
      <c r="CA102" s="159"/>
      <c r="CB102" s="159"/>
      <c r="CC102" s="159"/>
      <c r="CD102" s="159"/>
      <c r="CE102" s="159"/>
      <c r="CF102" s="159"/>
      <c r="CG102" s="159"/>
      <c r="CH102" s="159"/>
      <c r="CI102" s="159"/>
      <c r="CJ102" s="159"/>
      <c r="CK102" s="159"/>
      <c r="CL102" s="159"/>
      <c r="CM102" s="159"/>
      <c r="CN102" s="159"/>
      <c r="CO102" s="159"/>
      <c r="CP102" s="159"/>
      <c r="CQ102" s="159"/>
      <c r="CR102" s="159"/>
      <c r="CS102" s="159"/>
      <c r="CT102" s="159"/>
      <c r="CU102" s="159"/>
      <c r="CV102" s="159"/>
      <c r="CW102" s="159"/>
      <c r="CX102" s="159"/>
      <c r="CY102" s="159"/>
      <c r="CZ102" s="159"/>
      <c r="DA102" s="159"/>
      <c r="DB102" s="159"/>
      <c r="DC102" s="159"/>
      <c r="DD102" s="159"/>
      <c r="DE102" s="159"/>
      <c r="DF102" s="159"/>
      <c r="DG102" s="159"/>
      <c r="DH102" s="159"/>
      <c r="DI102" s="159"/>
      <c r="DJ102" s="159"/>
      <c r="DK102" s="159"/>
      <c r="DL102" s="159"/>
      <c r="DM102" s="159"/>
      <c r="DN102" s="159"/>
      <c r="DO102" s="159"/>
      <c r="DP102" s="159"/>
      <c r="DQ102" s="159"/>
      <c r="DR102" s="159"/>
      <c r="DS102" s="159"/>
      <c r="DT102" s="159"/>
      <c r="DU102" s="159"/>
      <c r="DV102" s="159"/>
      <c r="DW102" s="159"/>
      <c r="DX102" s="159"/>
      <c r="DY102" s="159"/>
      <c r="DZ102" s="159"/>
      <c r="EA102" s="159"/>
      <c r="EB102" s="159"/>
      <c r="EC102" s="159"/>
      <c r="ED102" s="159"/>
      <c r="EE102" s="159"/>
      <c r="EF102" s="159"/>
      <c r="EG102" s="159"/>
      <c r="EH102" s="159"/>
      <c r="EI102" s="159"/>
      <c r="EJ102" s="159"/>
      <c r="EK102" s="159"/>
      <c r="EL102" s="159"/>
      <c r="EM102" s="159"/>
      <c r="EN102" s="159"/>
      <c r="EO102" s="159"/>
      <c r="EP102" s="159"/>
      <c r="EQ102" s="159"/>
      <c r="ER102" s="159"/>
      <c r="ES102" s="159"/>
      <c r="ET102" s="159"/>
      <c r="EU102" s="159"/>
      <c r="EV102" s="159"/>
      <c r="EW102" s="159"/>
      <c r="EX102" s="159"/>
      <c r="EY102" s="159"/>
      <c r="EZ102" s="159"/>
      <c r="FA102" s="159"/>
      <c r="FB102" s="159"/>
    </row>
    <row r="103" spans="1:158" s="418" customFormat="1" x14ac:dyDescent="0.3">
      <c r="A103" s="560"/>
      <c r="B103" s="565" t="s">
        <v>3890</v>
      </c>
      <c r="C103" s="464" t="s">
        <v>59</v>
      </c>
      <c r="D103" s="492">
        <v>1</v>
      </c>
      <c r="E103" s="492"/>
      <c r="F103" s="492"/>
      <c r="G103" s="472">
        <f t="shared" si="30"/>
        <v>2600</v>
      </c>
      <c r="H103" s="492"/>
      <c r="I103" s="465">
        <v>7700.4038461538457</v>
      </c>
      <c r="J103" s="562"/>
      <c r="K103" s="465">
        <f t="shared" si="32"/>
        <v>7687.2138026962712</v>
      </c>
      <c r="L103" s="467">
        <f t="shared" si="33"/>
        <v>-13.190043457574575</v>
      </c>
      <c r="M103" s="468">
        <f t="shared" si="34"/>
        <v>-1.7129028192674159E-3</v>
      </c>
      <c r="N103" s="563"/>
      <c r="O103" s="778"/>
      <c r="P103" s="501">
        <v>7700.4038461538457</v>
      </c>
      <c r="Q103" s="778"/>
      <c r="R103" s="778"/>
      <c r="S103" s="778"/>
      <c r="T103" s="564"/>
      <c r="U103" s="492">
        <v>0</v>
      </c>
      <c r="V103" s="492">
        <v>7687.2138026962712</v>
      </c>
      <c r="W103" s="492">
        <v>0</v>
      </c>
      <c r="X103" s="492">
        <v>0</v>
      </c>
      <c r="Y103" s="492">
        <v>0</v>
      </c>
      <c r="AA103" s="532">
        <f t="shared" si="35"/>
        <v>0</v>
      </c>
      <c r="AB103" s="532">
        <f t="shared" si="35"/>
        <v>-13.190043457574575</v>
      </c>
      <c r="AC103" s="532">
        <f t="shared" si="35"/>
        <v>0</v>
      </c>
      <c r="AD103" s="532">
        <f t="shared" si="35"/>
        <v>0</v>
      </c>
      <c r="AE103" s="532">
        <f t="shared" si="35"/>
        <v>0</v>
      </c>
      <c r="AG103" s="156">
        <f t="shared" si="36"/>
        <v>0</v>
      </c>
      <c r="AH103" s="156">
        <f t="shared" si="36"/>
        <v>-1.7129028192674159E-3</v>
      </c>
      <c r="AI103" s="156">
        <f t="shared" si="36"/>
        <v>0</v>
      </c>
      <c r="AJ103" s="156">
        <f t="shared" si="36"/>
        <v>0</v>
      </c>
      <c r="AK103" s="156">
        <f t="shared" si="36"/>
        <v>0</v>
      </c>
      <c r="AL103" s="159"/>
      <c r="AM103" s="159"/>
      <c r="AN103" s="159"/>
      <c r="AO103" s="159"/>
      <c r="AP103" s="159"/>
      <c r="AQ103" s="159"/>
      <c r="AR103" s="159"/>
      <c r="AS103" s="159"/>
      <c r="AT103" s="159"/>
      <c r="AU103" s="159"/>
      <c r="AV103" s="159"/>
      <c r="AW103" s="159"/>
      <c r="AX103" s="159"/>
      <c r="AY103" s="159"/>
      <c r="AZ103" s="159"/>
      <c r="BA103" s="159"/>
      <c r="BB103" s="159"/>
      <c r="BC103" s="159"/>
      <c r="BD103" s="159"/>
      <c r="BE103" s="159"/>
      <c r="BF103" s="159"/>
      <c r="BG103" s="159"/>
      <c r="BH103" s="159"/>
      <c r="BI103" s="159"/>
      <c r="BJ103" s="159"/>
      <c r="BK103" s="159"/>
      <c r="BL103" s="159"/>
      <c r="BM103" s="159"/>
      <c r="BN103" s="159"/>
      <c r="BO103" s="159"/>
      <c r="BP103" s="159"/>
      <c r="BQ103" s="159"/>
      <c r="BR103" s="159"/>
      <c r="BS103" s="159"/>
      <c r="BT103" s="159"/>
      <c r="BU103" s="159"/>
      <c r="BV103" s="159"/>
      <c r="BW103" s="159"/>
      <c r="BX103" s="159"/>
      <c r="BY103" s="159"/>
      <c r="BZ103" s="159"/>
      <c r="CA103" s="159"/>
      <c r="CB103" s="159"/>
      <c r="CC103" s="159"/>
      <c r="CD103" s="159"/>
      <c r="CE103" s="159"/>
      <c r="CF103" s="159"/>
      <c r="CG103" s="159"/>
      <c r="CH103" s="159"/>
      <c r="CI103" s="159"/>
      <c r="CJ103" s="159"/>
      <c r="CK103" s="159"/>
      <c r="CL103" s="159"/>
      <c r="CM103" s="159"/>
      <c r="CN103" s="159"/>
      <c r="CO103" s="159"/>
      <c r="CP103" s="159"/>
      <c r="CQ103" s="159"/>
      <c r="CR103" s="159"/>
      <c r="CS103" s="159"/>
      <c r="CT103" s="159"/>
      <c r="CU103" s="159"/>
      <c r="CV103" s="159"/>
      <c r="CW103" s="159"/>
      <c r="CX103" s="159"/>
      <c r="CY103" s="159"/>
      <c r="CZ103" s="159"/>
      <c r="DA103" s="159"/>
      <c r="DB103" s="159"/>
      <c r="DC103" s="159"/>
      <c r="DD103" s="159"/>
      <c r="DE103" s="159"/>
      <c r="DF103" s="159"/>
      <c r="DG103" s="159"/>
      <c r="DH103" s="159"/>
      <c r="DI103" s="159"/>
      <c r="DJ103" s="159"/>
      <c r="DK103" s="159"/>
      <c r="DL103" s="159"/>
      <c r="DM103" s="159"/>
      <c r="DN103" s="159"/>
      <c r="DO103" s="159"/>
      <c r="DP103" s="159"/>
      <c r="DQ103" s="159"/>
      <c r="DR103" s="159"/>
      <c r="DS103" s="159"/>
      <c r="DT103" s="159"/>
      <c r="DU103" s="159"/>
      <c r="DV103" s="159"/>
      <c r="DW103" s="159"/>
      <c r="DX103" s="159"/>
      <c r="DY103" s="159"/>
      <c r="DZ103" s="159"/>
      <c r="EA103" s="159"/>
      <c r="EB103" s="159"/>
      <c r="EC103" s="159"/>
      <c r="ED103" s="159"/>
      <c r="EE103" s="159"/>
      <c r="EF103" s="159"/>
      <c r="EG103" s="159"/>
      <c r="EH103" s="159"/>
      <c r="EI103" s="159"/>
      <c r="EJ103" s="159"/>
      <c r="EK103" s="159"/>
      <c r="EL103" s="159"/>
      <c r="EM103" s="159"/>
      <c r="EN103" s="159"/>
      <c r="EO103" s="159"/>
      <c r="EP103" s="159"/>
      <c r="EQ103" s="159"/>
      <c r="ER103" s="159"/>
      <c r="ES103" s="159"/>
      <c r="ET103" s="159"/>
      <c r="EU103" s="159"/>
      <c r="EV103" s="159"/>
      <c r="EW103" s="159"/>
      <c r="EX103" s="159"/>
      <c r="EY103" s="159"/>
      <c r="EZ103" s="159"/>
      <c r="FA103" s="159"/>
      <c r="FB103" s="159"/>
    </row>
    <row r="104" spans="1:158" s="418" customFormat="1" x14ac:dyDescent="0.3">
      <c r="A104" s="560"/>
      <c r="B104" s="561" t="s">
        <v>3891</v>
      </c>
      <c r="C104" s="464" t="s">
        <v>59</v>
      </c>
      <c r="D104" s="492">
        <v>1</v>
      </c>
      <c r="E104" s="492"/>
      <c r="F104" s="492"/>
      <c r="G104" s="472">
        <f t="shared" si="30"/>
        <v>2600</v>
      </c>
      <c r="H104" s="492"/>
      <c r="I104" s="465">
        <v>42530.153846153844</v>
      </c>
      <c r="J104" s="562"/>
      <c r="K104" s="465">
        <f t="shared" si="32"/>
        <v>42457.303825726885</v>
      </c>
      <c r="L104" s="467">
        <f t="shared" si="33"/>
        <v>-72.850020426958508</v>
      </c>
      <c r="M104" s="468">
        <f t="shared" si="34"/>
        <v>-1.7129028192675254E-3</v>
      </c>
      <c r="N104" s="563"/>
      <c r="O104" s="778"/>
      <c r="P104" s="501">
        <v>42530.153846153844</v>
      </c>
      <c r="Q104" s="778"/>
      <c r="R104" s="778"/>
      <c r="S104" s="778"/>
      <c r="T104" s="564"/>
      <c r="U104" s="492">
        <v>0</v>
      </c>
      <c r="V104" s="492">
        <v>42457.303825726885</v>
      </c>
      <c r="W104" s="492">
        <v>0</v>
      </c>
      <c r="X104" s="492">
        <v>0</v>
      </c>
      <c r="Y104" s="492">
        <v>0</v>
      </c>
      <c r="AA104" s="532">
        <f t="shared" si="35"/>
        <v>0</v>
      </c>
      <c r="AB104" s="532">
        <f t="shared" si="35"/>
        <v>-72.850020426958508</v>
      </c>
      <c r="AC104" s="532">
        <f t="shared" si="35"/>
        <v>0</v>
      </c>
      <c r="AD104" s="532">
        <f t="shared" si="35"/>
        <v>0</v>
      </c>
      <c r="AE104" s="532">
        <f t="shared" si="35"/>
        <v>0</v>
      </c>
      <c r="AG104" s="156">
        <f t="shared" si="36"/>
        <v>0</v>
      </c>
      <c r="AH104" s="156">
        <f t="shared" si="36"/>
        <v>-1.7129028192675254E-3</v>
      </c>
      <c r="AI104" s="156">
        <f t="shared" si="36"/>
        <v>0</v>
      </c>
      <c r="AJ104" s="156">
        <f t="shared" si="36"/>
        <v>0</v>
      </c>
      <c r="AK104" s="156">
        <f t="shared" si="36"/>
        <v>0</v>
      </c>
      <c r="AL104" s="159"/>
      <c r="AM104" s="159"/>
      <c r="AN104" s="159"/>
      <c r="AO104" s="159"/>
      <c r="AP104" s="159"/>
      <c r="AQ104" s="159"/>
      <c r="AR104" s="159"/>
      <c r="AS104" s="159"/>
      <c r="AT104" s="159"/>
      <c r="AU104" s="159"/>
      <c r="AV104" s="159"/>
      <c r="AW104" s="159"/>
      <c r="AX104" s="159"/>
      <c r="AY104" s="159"/>
      <c r="AZ104" s="159"/>
      <c r="BA104" s="159"/>
      <c r="BB104" s="159"/>
      <c r="BC104" s="159"/>
      <c r="BD104" s="159"/>
      <c r="BE104" s="159"/>
      <c r="BF104" s="159"/>
      <c r="BG104" s="159"/>
      <c r="BH104" s="159"/>
      <c r="BI104" s="159"/>
      <c r="BJ104" s="159"/>
      <c r="BK104" s="159"/>
      <c r="BL104" s="159"/>
      <c r="BM104" s="159"/>
      <c r="BN104" s="159"/>
      <c r="BO104" s="159"/>
      <c r="BP104" s="159"/>
      <c r="BQ104" s="159"/>
      <c r="BR104" s="159"/>
      <c r="BS104" s="159"/>
      <c r="BT104" s="159"/>
      <c r="BU104" s="159"/>
      <c r="BV104" s="159"/>
      <c r="BW104" s="159"/>
      <c r="BX104" s="159"/>
      <c r="BY104" s="159"/>
      <c r="BZ104" s="159"/>
      <c r="CA104" s="159"/>
      <c r="CB104" s="159"/>
      <c r="CC104" s="159"/>
      <c r="CD104" s="159"/>
      <c r="CE104" s="159"/>
      <c r="CF104" s="159"/>
      <c r="CG104" s="159"/>
      <c r="CH104" s="159"/>
      <c r="CI104" s="159"/>
      <c r="CJ104" s="159"/>
      <c r="CK104" s="159"/>
      <c r="CL104" s="159"/>
      <c r="CM104" s="159"/>
      <c r="CN104" s="159"/>
      <c r="CO104" s="159"/>
      <c r="CP104" s="159"/>
      <c r="CQ104" s="159"/>
      <c r="CR104" s="159"/>
      <c r="CS104" s="159"/>
      <c r="CT104" s="159"/>
      <c r="CU104" s="159"/>
      <c r="CV104" s="159"/>
      <c r="CW104" s="159"/>
      <c r="CX104" s="159"/>
      <c r="CY104" s="159"/>
      <c r="CZ104" s="159"/>
      <c r="DA104" s="159"/>
      <c r="DB104" s="159"/>
      <c r="DC104" s="159"/>
      <c r="DD104" s="159"/>
      <c r="DE104" s="159"/>
      <c r="DF104" s="159"/>
      <c r="DG104" s="159"/>
      <c r="DH104" s="159"/>
      <c r="DI104" s="159"/>
      <c r="DJ104" s="159"/>
      <c r="DK104" s="159"/>
      <c r="DL104" s="159"/>
      <c r="DM104" s="159"/>
      <c r="DN104" s="159"/>
      <c r="DO104" s="159"/>
      <c r="DP104" s="159"/>
      <c r="DQ104" s="159"/>
      <c r="DR104" s="159"/>
      <c r="DS104" s="159"/>
      <c r="DT104" s="159"/>
      <c r="DU104" s="159"/>
      <c r="DV104" s="159"/>
      <c r="DW104" s="159"/>
      <c r="DX104" s="159"/>
      <c r="DY104" s="159"/>
      <c r="DZ104" s="159"/>
      <c r="EA104" s="159"/>
      <c r="EB104" s="159"/>
      <c r="EC104" s="159"/>
      <c r="ED104" s="159"/>
      <c r="EE104" s="159"/>
      <c r="EF104" s="159"/>
      <c r="EG104" s="159"/>
      <c r="EH104" s="159"/>
      <c r="EI104" s="159"/>
      <c r="EJ104" s="159"/>
      <c r="EK104" s="159"/>
      <c r="EL104" s="159"/>
      <c r="EM104" s="159"/>
      <c r="EN104" s="159"/>
      <c r="EO104" s="159"/>
      <c r="EP104" s="159"/>
      <c r="EQ104" s="159"/>
      <c r="ER104" s="159"/>
      <c r="ES104" s="159"/>
      <c r="ET104" s="159"/>
      <c r="EU104" s="159"/>
      <c r="EV104" s="159"/>
      <c r="EW104" s="159"/>
      <c r="EX104" s="159"/>
      <c r="EY104" s="159"/>
      <c r="EZ104" s="159"/>
      <c r="FA104" s="159"/>
      <c r="FB104" s="159"/>
    </row>
    <row r="105" spans="1:158" s="418" customFormat="1" x14ac:dyDescent="0.3">
      <c r="A105" s="560"/>
      <c r="B105" s="561" t="s">
        <v>3892</v>
      </c>
      <c r="C105" s="464" t="s">
        <v>59</v>
      </c>
      <c r="D105" s="492">
        <v>1</v>
      </c>
      <c r="E105" s="492"/>
      <c r="F105" s="492"/>
      <c r="G105" s="472">
        <f t="shared" si="30"/>
        <v>2600</v>
      </c>
      <c r="H105" s="492"/>
      <c r="I105" s="465">
        <v>63013.864999999998</v>
      </c>
      <c r="J105" s="562"/>
      <c r="K105" s="465">
        <f t="shared" si="32"/>
        <v>62905.928372988557</v>
      </c>
      <c r="L105" s="467">
        <f t="shared" si="33"/>
        <v>-107.93662701144058</v>
      </c>
      <c r="M105" s="468">
        <f t="shared" si="34"/>
        <v>-1.7129028192674832E-3</v>
      </c>
      <c r="N105" s="563"/>
      <c r="O105" s="778"/>
      <c r="P105" s="501">
        <v>63013.864999999998</v>
      </c>
      <c r="Q105" s="778"/>
      <c r="R105" s="778"/>
      <c r="S105" s="778"/>
      <c r="T105" s="564"/>
      <c r="U105" s="492">
        <v>0</v>
      </c>
      <c r="V105" s="492">
        <v>62905.928372988557</v>
      </c>
      <c r="W105" s="492">
        <v>0</v>
      </c>
      <c r="X105" s="492">
        <v>0</v>
      </c>
      <c r="Y105" s="492">
        <v>0</v>
      </c>
      <c r="AA105" s="532">
        <f t="shared" si="35"/>
        <v>0</v>
      </c>
      <c r="AB105" s="532">
        <f t="shared" si="35"/>
        <v>-107.93662701144058</v>
      </c>
      <c r="AC105" s="532">
        <f t="shared" si="35"/>
        <v>0</v>
      </c>
      <c r="AD105" s="532">
        <f t="shared" si="35"/>
        <v>0</v>
      </c>
      <c r="AE105" s="532">
        <f t="shared" si="35"/>
        <v>0</v>
      </c>
      <c r="AG105" s="156">
        <f t="shared" si="36"/>
        <v>0</v>
      </c>
      <c r="AH105" s="156">
        <f t="shared" si="36"/>
        <v>-1.7129028192674832E-3</v>
      </c>
      <c r="AI105" s="156">
        <f t="shared" si="36"/>
        <v>0</v>
      </c>
      <c r="AJ105" s="156">
        <f t="shared" si="36"/>
        <v>0</v>
      </c>
      <c r="AK105" s="156">
        <f t="shared" si="36"/>
        <v>0</v>
      </c>
      <c r="AL105" s="159"/>
      <c r="AM105" s="159"/>
      <c r="AN105" s="159"/>
      <c r="AO105" s="159"/>
      <c r="AP105" s="159"/>
      <c r="AQ105" s="159"/>
      <c r="AR105" s="159"/>
      <c r="AS105" s="159"/>
      <c r="AT105" s="159"/>
      <c r="AU105" s="159"/>
      <c r="AV105" s="159"/>
      <c r="AW105" s="159"/>
      <c r="AX105" s="159"/>
      <c r="AY105" s="159"/>
      <c r="AZ105" s="159"/>
      <c r="BA105" s="159"/>
      <c r="BB105" s="159"/>
      <c r="BC105" s="159"/>
      <c r="BD105" s="159"/>
      <c r="BE105" s="159"/>
      <c r="BF105" s="159"/>
      <c r="BG105" s="159"/>
      <c r="BH105" s="159"/>
      <c r="BI105" s="159"/>
      <c r="BJ105" s="159"/>
      <c r="BK105" s="159"/>
      <c r="BL105" s="159"/>
      <c r="BM105" s="159"/>
      <c r="BN105" s="159"/>
      <c r="BO105" s="159"/>
      <c r="BP105" s="159"/>
      <c r="BQ105" s="159"/>
      <c r="BR105" s="159"/>
      <c r="BS105" s="159"/>
      <c r="BT105" s="159"/>
      <c r="BU105" s="159"/>
      <c r="BV105" s="159"/>
      <c r="BW105" s="159"/>
      <c r="BX105" s="159"/>
      <c r="BY105" s="159"/>
      <c r="BZ105" s="159"/>
      <c r="CA105" s="159"/>
      <c r="CB105" s="159"/>
      <c r="CC105" s="159"/>
      <c r="CD105" s="159"/>
      <c r="CE105" s="159"/>
      <c r="CF105" s="159"/>
      <c r="CG105" s="159"/>
      <c r="CH105" s="159"/>
      <c r="CI105" s="159"/>
      <c r="CJ105" s="159"/>
      <c r="CK105" s="159"/>
      <c r="CL105" s="159"/>
      <c r="CM105" s="159"/>
      <c r="CN105" s="159"/>
      <c r="CO105" s="159"/>
      <c r="CP105" s="159"/>
      <c r="CQ105" s="159"/>
      <c r="CR105" s="159"/>
      <c r="CS105" s="159"/>
      <c r="CT105" s="159"/>
      <c r="CU105" s="159"/>
      <c r="CV105" s="159"/>
      <c r="CW105" s="159"/>
      <c r="CX105" s="159"/>
      <c r="CY105" s="159"/>
      <c r="CZ105" s="159"/>
      <c r="DA105" s="159"/>
      <c r="DB105" s="159"/>
      <c r="DC105" s="159"/>
      <c r="DD105" s="159"/>
      <c r="DE105" s="159"/>
      <c r="DF105" s="159"/>
      <c r="DG105" s="159"/>
      <c r="DH105" s="159"/>
      <c r="DI105" s="159"/>
      <c r="DJ105" s="159"/>
      <c r="DK105" s="159"/>
      <c r="DL105" s="159"/>
      <c r="DM105" s="159"/>
      <c r="DN105" s="159"/>
      <c r="DO105" s="159"/>
      <c r="DP105" s="159"/>
      <c r="DQ105" s="159"/>
      <c r="DR105" s="159"/>
      <c r="DS105" s="159"/>
      <c r="DT105" s="159"/>
      <c r="DU105" s="159"/>
      <c r="DV105" s="159"/>
      <c r="DW105" s="159"/>
      <c r="DX105" s="159"/>
      <c r="DY105" s="159"/>
      <c r="DZ105" s="159"/>
      <c r="EA105" s="159"/>
      <c r="EB105" s="159"/>
      <c r="EC105" s="159"/>
      <c r="ED105" s="159"/>
      <c r="EE105" s="159"/>
      <c r="EF105" s="159"/>
      <c r="EG105" s="159"/>
      <c r="EH105" s="159"/>
      <c r="EI105" s="159"/>
      <c r="EJ105" s="159"/>
      <c r="EK105" s="159"/>
      <c r="EL105" s="159"/>
      <c r="EM105" s="159"/>
      <c r="EN105" s="159"/>
      <c r="EO105" s="159"/>
      <c r="EP105" s="159"/>
      <c r="EQ105" s="159"/>
      <c r="ER105" s="159"/>
      <c r="ES105" s="159"/>
      <c r="ET105" s="159"/>
      <c r="EU105" s="159"/>
      <c r="EV105" s="159"/>
      <c r="EW105" s="159"/>
      <c r="EX105" s="159"/>
      <c r="EY105" s="159"/>
      <c r="EZ105" s="159"/>
      <c r="FA105" s="159"/>
      <c r="FB105" s="159"/>
    </row>
    <row r="106" spans="1:158" s="418" customFormat="1" x14ac:dyDescent="0.3">
      <c r="A106" s="560"/>
      <c r="B106" s="561" t="s">
        <v>3893</v>
      </c>
      <c r="C106" s="464" t="s">
        <v>59</v>
      </c>
      <c r="D106" s="492">
        <v>1</v>
      </c>
      <c r="E106" s="492"/>
      <c r="F106" s="492"/>
      <c r="G106" s="472">
        <f t="shared" si="30"/>
        <v>2600</v>
      </c>
      <c r="H106" s="492"/>
      <c r="I106" s="465">
        <v>3846.1538461538462</v>
      </c>
      <c r="J106" s="562"/>
      <c r="K106" s="465">
        <f t="shared" si="32"/>
        <v>3839.5657583874331</v>
      </c>
      <c r="L106" s="467">
        <f t="shared" si="33"/>
        <v>-6.5880877664130821</v>
      </c>
      <c r="M106" s="468">
        <f t="shared" si="34"/>
        <v>-1.7129028192674014E-3</v>
      </c>
      <c r="N106" s="563"/>
      <c r="O106" s="778"/>
      <c r="P106" s="501">
        <v>3846.1538461538462</v>
      </c>
      <c r="Q106" s="778"/>
      <c r="R106" s="778"/>
      <c r="S106" s="778"/>
      <c r="T106" s="564"/>
      <c r="U106" s="492">
        <v>0</v>
      </c>
      <c r="V106" s="492">
        <v>3839.5657583874331</v>
      </c>
      <c r="W106" s="492">
        <v>0</v>
      </c>
      <c r="X106" s="492">
        <v>0</v>
      </c>
      <c r="Y106" s="492">
        <v>0</v>
      </c>
      <c r="AA106" s="532">
        <f t="shared" si="35"/>
        <v>0</v>
      </c>
      <c r="AB106" s="532">
        <f t="shared" si="35"/>
        <v>-6.5880877664130821</v>
      </c>
      <c r="AC106" s="532">
        <f t="shared" si="35"/>
        <v>0</v>
      </c>
      <c r="AD106" s="532">
        <f t="shared" si="35"/>
        <v>0</v>
      </c>
      <c r="AE106" s="532">
        <f t="shared" si="35"/>
        <v>0</v>
      </c>
      <c r="AG106" s="156">
        <f t="shared" si="36"/>
        <v>0</v>
      </c>
      <c r="AH106" s="156">
        <f t="shared" si="36"/>
        <v>-1.7129028192674014E-3</v>
      </c>
      <c r="AI106" s="156">
        <f t="shared" si="36"/>
        <v>0</v>
      </c>
      <c r="AJ106" s="156">
        <f t="shared" si="36"/>
        <v>0</v>
      </c>
      <c r="AK106" s="156">
        <f t="shared" si="36"/>
        <v>0</v>
      </c>
      <c r="AL106" s="159"/>
      <c r="AM106" s="159"/>
      <c r="AN106" s="159"/>
      <c r="AO106" s="159"/>
      <c r="AP106" s="159"/>
      <c r="AQ106" s="159"/>
      <c r="AR106" s="159"/>
      <c r="AS106" s="159"/>
      <c r="AT106" s="159"/>
      <c r="AU106" s="159"/>
      <c r="AV106" s="159"/>
      <c r="AW106" s="159"/>
      <c r="AX106" s="159"/>
      <c r="AY106" s="159"/>
      <c r="AZ106" s="159"/>
      <c r="BA106" s="159"/>
      <c r="BB106" s="159"/>
      <c r="BC106" s="159"/>
      <c r="BD106" s="159"/>
      <c r="BE106" s="159"/>
      <c r="BF106" s="159"/>
      <c r="BG106" s="159"/>
      <c r="BH106" s="159"/>
      <c r="BI106" s="159"/>
      <c r="BJ106" s="159"/>
      <c r="BK106" s="159"/>
      <c r="BL106" s="159"/>
      <c r="BM106" s="159"/>
      <c r="BN106" s="159"/>
      <c r="BO106" s="159"/>
      <c r="BP106" s="159"/>
      <c r="BQ106" s="159"/>
      <c r="BR106" s="159"/>
      <c r="BS106" s="159"/>
      <c r="BT106" s="159"/>
      <c r="BU106" s="159"/>
      <c r="BV106" s="159"/>
      <c r="BW106" s="159"/>
      <c r="BX106" s="159"/>
      <c r="BY106" s="159"/>
      <c r="BZ106" s="159"/>
      <c r="CA106" s="159"/>
      <c r="CB106" s="159"/>
      <c r="CC106" s="159"/>
      <c r="CD106" s="159"/>
      <c r="CE106" s="159"/>
      <c r="CF106" s="159"/>
      <c r="CG106" s="159"/>
      <c r="CH106" s="159"/>
      <c r="CI106" s="159"/>
      <c r="CJ106" s="159"/>
      <c r="CK106" s="159"/>
      <c r="CL106" s="159"/>
      <c r="CM106" s="159"/>
      <c r="CN106" s="159"/>
      <c r="CO106" s="159"/>
      <c r="CP106" s="159"/>
      <c r="CQ106" s="159"/>
      <c r="CR106" s="159"/>
      <c r="CS106" s="159"/>
      <c r="CT106" s="159"/>
      <c r="CU106" s="159"/>
      <c r="CV106" s="159"/>
      <c r="CW106" s="159"/>
      <c r="CX106" s="159"/>
      <c r="CY106" s="159"/>
      <c r="CZ106" s="159"/>
      <c r="DA106" s="159"/>
      <c r="DB106" s="159"/>
      <c r="DC106" s="159"/>
      <c r="DD106" s="159"/>
      <c r="DE106" s="159"/>
      <c r="DF106" s="159"/>
      <c r="DG106" s="159"/>
      <c r="DH106" s="159"/>
      <c r="DI106" s="159"/>
      <c r="DJ106" s="159"/>
      <c r="DK106" s="159"/>
      <c r="DL106" s="159"/>
      <c r="DM106" s="159"/>
      <c r="DN106" s="159"/>
      <c r="DO106" s="159"/>
      <c r="DP106" s="159"/>
      <c r="DQ106" s="159"/>
      <c r="DR106" s="159"/>
      <c r="DS106" s="159"/>
      <c r="DT106" s="159"/>
      <c r="DU106" s="159"/>
      <c r="DV106" s="159"/>
      <c r="DW106" s="159"/>
      <c r="DX106" s="159"/>
      <c r="DY106" s="159"/>
      <c r="DZ106" s="159"/>
      <c r="EA106" s="159"/>
      <c r="EB106" s="159"/>
      <c r="EC106" s="159"/>
      <c r="ED106" s="159"/>
      <c r="EE106" s="159"/>
      <c r="EF106" s="159"/>
      <c r="EG106" s="159"/>
      <c r="EH106" s="159"/>
      <c r="EI106" s="159"/>
      <c r="EJ106" s="159"/>
      <c r="EK106" s="159"/>
      <c r="EL106" s="159"/>
      <c r="EM106" s="159"/>
      <c r="EN106" s="159"/>
      <c r="EO106" s="159"/>
      <c r="EP106" s="159"/>
      <c r="EQ106" s="159"/>
      <c r="ER106" s="159"/>
      <c r="ES106" s="159"/>
      <c r="ET106" s="159"/>
      <c r="EU106" s="159"/>
      <c r="EV106" s="159"/>
      <c r="EW106" s="159"/>
      <c r="EX106" s="159"/>
      <c r="EY106" s="159"/>
      <c r="EZ106" s="159"/>
      <c r="FA106" s="159"/>
      <c r="FB106" s="159"/>
    </row>
    <row r="107" spans="1:158" s="418" customFormat="1" x14ac:dyDescent="0.3">
      <c r="A107" s="560"/>
      <c r="B107" s="561" t="s">
        <v>3894</v>
      </c>
      <c r="C107" s="464" t="s">
        <v>59</v>
      </c>
      <c r="D107" s="492">
        <v>1</v>
      </c>
      <c r="E107" s="492"/>
      <c r="F107" s="492"/>
      <c r="G107" s="472">
        <f t="shared" si="30"/>
        <v>2600</v>
      </c>
      <c r="H107" s="492"/>
      <c r="I107" s="465">
        <v>8441.538461538461</v>
      </c>
      <c r="J107" s="562"/>
      <c r="K107" s="465">
        <f t="shared" si="32"/>
        <v>12347.889896343648</v>
      </c>
      <c r="L107" s="467">
        <f t="shared" si="33"/>
        <v>3906.3514348051867</v>
      </c>
      <c r="M107" s="468">
        <f t="shared" si="34"/>
        <v>0.46275349601300741</v>
      </c>
      <c r="N107" s="563"/>
      <c r="O107" s="778"/>
      <c r="P107" s="501">
        <v>8441.538461538461</v>
      </c>
      <c r="Q107" s="778"/>
      <c r="R107" s="778"/>
      <c r="S107" s="778"/>
      <c r="T107" s="564"/>
      <c r="U107" s="492">
        <v>0</v>
      </c>
      <c r="V107" s="492">
        <v>12347.889896343648</v>
      </c>
      <c r="W107" s="492">
        <v>0</v>
      </c>
      <c r="X107" s="492">
        <v>0</v>
      </c>
      <c r="Y107" s="492">
        <v>0</v>
      </c>
      <c r="AA107" s="532">
        <f t="shared" si="35"/>
        <v>0</v>
      </c>
      <c r="AB107" s="532">
        <f t="shared" si="35"/>
        <v>3906.3514348051867</v>
      </c>
      <c r="AC107" s="532">
        <f t="shared" si="35"/>
        <v>0</v>
      </c>
      <c r="AD107" s="532">
        <f t="shared" si="35"/>
        <v>0</v>
      </c>
      <c r="AE107" s="532">
        <f t="shared" si="35"/>
        <v>0</v>
      </c>
      <c r="AG107" s="156">
        <f t="shared" si="36"/>
        <v>0</v>
      </c>
      <c r="AH107" s="156">
        <f t="shared" si="36"/>
        <v>0.46275349601300741</v>
      </c>
      <c r="AI107" s="156">
        <f t="shared" si="36"/>
        <v>0</v>
      </c>
      <c r="AJ107" s="156">
        <f t="shared" si="36"/>
        <v>0</v>
      </c>
      <c r="AK107" s="156">
        <f t="shared" si="36"/>
        <v>0</v>
      </c>
      <c r="AL107" s="159"/>
      <c r="AM107" s="159"/>
      <c r="AN107" s="159"/>
      <c r="AO107" s="159"/>
      <c r="AP107" s="159"/>
      <c r="AQ107" s="159"/>
      <c r="AR107" s="159"/>
      <c r="AS107" s="159"/>
      <c r="AT107" s="159"/>
      <c r="AU107" s="159"/>
      <c r="AV107" s="159"/>
      <c r="AW107" s="159"/>
      <c r="AX107" s="159"/>
      <c r="AY107" s="159"/>
      <c r="AZ107" s="159"/>
      <c r="BA107" s="159"/>
      <c r="BB107" s="159"/>
      <c r="BC107" s="159"/>
      <c r="BD107" s="159"/>
      <c r="BE107" s="159"/>
      <c r="BF107" s="159"/>
      <c r="BG107" s="159"/>
      <c r="BH107" s="159"/>
      <c r="BI107" s="159"/>
      <c r="BJ107" s="159"/>
      <c r="BK107" s="159"/>
      <c r="BL107" s="159"/>
      <c r="BM107" s="159"/>
      <c r="BN107" s="159"/>
      <c r="BO107" s="159"/>
      <c r="BP107" s="159"/>
      <c r="BQ107" s="159"/>
      <c r="BR107" s="159"/>
      <c r="BS107" s="159"/>
      <c r="BT107" s="159"/>
      <c r="BU107" s="159"/>
      <c r="BV107" s="159"/>
      <c r="BW107" s="159"/>
      <c r="BX107" s="159"/>
      <c r="BY107" s="159"/>
      <c r="BZ107" s="159"/>
      <c r="CA107" s="159"/>
      <c r="CB107" s="159"/>
      <c r="CC107" s="159"/>
      <c r="CD107" s="159"/>
      <c r="CE107" s="159"/>
      <c r="CF107" s="159"/>
      <c r="CG107" s="159"/>
      <c r="CH107" s="159"/>
      <c r="CI107" s="159"/>
      <c r="CJ107" s="159"/>
      <c r="CK107" s="159"/>
      <c r="CL107" s="159"/>
      <c r="CM107" s="159"/>
      <c r="CN107" s="159"/>
      <c r="CO107" s="159"/>
      <c r="CP107" s="159"/>
      <c r="CQ107" s="159"/>
      <c r="CR107" s="159"/>
      <c r="CS107" s="159"/>
      <c r="CT107" s="159"/>
      <c r="CU107" s="159"/>
      <c r="CV107" s="159"/>
      <c r="CW107" s="159"/>
      <c r="CX107" s="159"/>
      <c r="CY107" s="159"/>
      <c r="CZ107" s="159"/>
      <c r="DA107" s="159"/>
      <c r="DB107" s="159"/>
      <c r="DC107" s="159"/>
      <c r="DD107" s="159"/>
      <c r="DE107" s="159"/>
      <c r="DF107" s="159"/>
      <c r="DG107" s="159"/>
      <c r="DH107" s="159"/>
      <c r="DI107" s="159"/>
      <c r="DJ107" s="159"/>
      <c r="DK107" s="159"/>
      <c r="DL107" s="159"/>
      <c r="DM107" s="159"/>
      <c r="DN107" s="159"/>
      <c r="DO107" s="159"/>
      <c r="DP107" s="159"/>
      <c r="DQ107" s="159"/>
      <c r="DR107" s="159"/>
      <c r="DS107" s="159"/>
      <c r="DT107" s="159"/>
      <c r="DU107" s="159"/>
      <c r="DV107" s="159"/>
      <c r="DW107" s="159"/>
      <c r="DX107" s="159"/>
      <c r="DY107" s="159"/>
      <c r="DZ107" s="159"/>
      <c r="EA107" s="159"/>
      <c r="EB107" s="159"/>
      <c r="EC107" s="159"/>
      <c r="ED107" s="159"/>
      <c r="EE107" s="159"/>
      <c r="EF107" s="159"/>
      <c r="EG107" s="159"/>
      <c r="EH107" s="159"/>
      <c r="EI107" s="159"/>
      <c r="EJ107" s="159"/>
      <c r="EK107" s="159"/>
      <c r="EL107" s="159"/>
      <c r="EM107" s="159"/>
      <c r="EN107" s="159"/>
      <c r="EO107" s="159"/>
      <c r="EP107" s="159"/>
      <c r="EQ107" s="159"/>
      <c r="ER107" s="159"/>
      <c r="ES107" s="159"/>
      <c r="ET107" s="159"/>
      <c r="EU107" s="159"/>
      <c r="EV107" s="159"/>
      <c r="EW107" s="159"/>
      <c r="EX107" s="159"/>
      <c r="EY107" s="159"/>
      <c r="EZ107" s="159"/>
      <c r="FA107" s="159"/>
      <c r="FB107" s="159"/>
    </row>
    <row r="108" spans="1:158" s="418" customFormat="1" x14ac:dyDescent="0.3">
      <c r="A108" s="560"/>
      <c r="B108" s="565" t="s">
        <v>3895</v>
      </c>
      <c r="C108" s="464" t="s">
        <v>59</v>
      </c>
      <c r="D108" s="492">
        <v>1</v>
      </c>
      <c r="E108" s="492"/>
      <c r="F108" s="492"/>
      <c r="G108" s="472">
        <f t="shared" si="30"/>
        <v>2600</v>
      </c>
      <c r="H108" s="492"/>
      <c r="I108" s="465">
        <v>18259</v>
      </c>
      <c r="J108" s="566"/>
      <c r="K108" s="465">
        <f t="shared" si="32"/>
        <v>7754.6534017159556</v>
      </c>
      <c r="L108" s="467">
        <f t="shared" si="33"/>
        <v>-10504.346598284044</v>
      </c>
      <c r="M108" s="468">
        <f t="shared" si="34"/>
        <v>-0.57529692744860317</v>
      </c>
      <c r="N108" s="563"/>
      <c r="O108" s="778"/>
      <c r="P108" s="501">
        <v>18259</v>
      </c>
      <c r="Q108" s="778"/>
      <c r="R108" s="778"/>
      <c r="S108" s="778"/>
      <c r="T108" s="564"/>
      <c r="U108" s="492">
        <v>0</v>
      </c>
      <c r="V108" s="492">
        <v>7754.6534017159556</v>
      </c>
      <c r="W108" s="492">
        <v>0</v>
      </c>
      <c r="X108" s="492">
        <v>0</v>
      </c>
      <c r="Y108" s="492">
        <v>0</v>
      </c>
      <c r="AA108" s="532">
        <f t="shared" si="35"/>
        <v>0</v>
      </c>
      <c r="AB108" s="532">
        <f t="shared" si="35"/>
        <v>-10504.346598284044</v>
      </c>
      <c r="AC108" s="532">
        <f t="shared" si="35"/>
        <v>0</v>
      </c>
      <c r="AD108" s="532">
        <f t="shared" si="35"/>
        <v>0</v>
      </c>
      <c r="AE108" s="532">
        <f t="shared" si="35"/>
        <v>0</v>
      </c>
      <c r="AG108" s="156">
        <f t="shared" si="36"/>
        <v>0</v>
      </c>
      <c r="AH108" s="156">
        <f t="shared" si="36"/>
        <v>-0.57529692744860317</v>
      </c>
      <c r="AI108" s="156">
        <f t="shared" si="36"/>
        <v>0</v>
      </c>
      <c r="AJ108" s="156">
        <f t="shared" si="36"/>
        <v>0</v>
      </c>
      <c r="AK108" s="156">
        <f t="shared" si="36"/>
        <v>0</v>
      </c>
      <c r="AL108" s="159"/>
      <c r="AM108" s="159"/>
      <c r="AN108" s="159"/>
      <c r="AO108" s="159"/>
      <c r="AP108" s="159"/>
      <c r="AQ108" s="159"/>
      <c r="AR108" s="159"/>
      <c r="AS108" s="159"/>
      <c r="AT108" s="159"/>
      <c r="AU108" s="159"/>
      <c r="AV108" s="159"/>
      <c r="AW108" s="159"/>
      <c r="AX108" s="159"/>
      <c r="AY108" s="159"/>
      <c r="AZ108" s="159"/>
      <c r="BA108" s="159"/>
      <c r="BB108" s="159"/>
      <c r="BC108" s="159"/>
      <c r="BD108" s="159"/>
      <c r="BE108" s="159"/>
      <c r="BF108" s="159"/>
      <c r="BG108" s="159"/>
      <c r="BH108" s="159"/>
      <c r="BI108" s="159"/>
      <c r="BJ108" s="159"/>
      <c r="BK108" s="159"/>
      <c r="BL108" s="159"/>
      <c r="BM108" s="159"/>
      <c r="BN108" s="159"/>
      <c r="BO108" s="159"/>
      <c r="BP108" s="159"/>
      <c r="BQ108" s="159"/>
      <c r="BR108" s="159"/>
      <c r="BS108" s="159"/>
      <c r="BT108" s="159"/>
      <c r="BU108" s="159"/>
      <c r="BV108" s="159"/>
      <c r="BW108" s="159"/>
      <c r="BX108" s="159"/>
      <c r="BY108" s="159"/>
      <c r="BZ108" s="159"/>
      <c r="CA108" s="159"/>
      <c r="CB108" s="159"/>
      <c r="CC108" s="159"/>
      <c r="CD108" s="159"/>
      <c r="CE108" s="159"/>
      <c r="CF108" s="159"/>
      <c r="CG108" s="159"/>
      <c r="CH108" s="159"/>
      <c r="CI108" s="159"/>
      <c r="CJ108" s="159"/>
      <c r="CK108" s="159"/>
      <c r="CL108" s="159"/>
      <c r="CM108" s="159"/>
      <c r="CN108" s="159"/>
      <c r="CO108" s="159"/>
      <c r="CP108" s="159"/>
      <c r="CQ108" s="159"/>
      <c r="CR108" s="159"/>
      <c r="CS108" s="159"/>
      <c r="CT108" s="159"/>
      <c r="CU108" s="159"/>
      <c r="CV108" s="159"/>
      <c r="CW108" s="159"/>
      <c r="CX108" s="159"/>
      <c r="CY108" s="159"/>
      <c r="CZ108" s="159"/>
      <c r="DA108" s="159"/>
      <c r="DB108" s="159"/>
      <c r="DC108" s="159"/>
      <c r="DD108" s="159"/>
      <c r="DE108" s="159"/>
      <c r="DF108" s="159"/>
      <c r="DG108" s="159"/>
      <c r="DH108" s="159"/>
      <c r="DI108" s="159"/>
      <c r="DJ108" s="159"/>
      <c r="DK108" s="159"/>
      <c r="DL108" s="159"/>
      <c r="DM108" s="159"/>
      <c r="DN108" s="159"/>
      <c r="DO108" s="159"/>
      <c r="DP108" s="159"/>
      <c r="DQ108" s="159"/>
      <c r="DR108" s="159"/>
      <c r="DS108" s="159"/>
      <c r="DT108" s="159"/>
      <c r="DU108" s="159"/>
      <c r="DV108" s="159"/>
      <c r="DW108" s="159"/>
      <c r="DX108" s="159"/>
      <c r="DY108" s="159"/>
      <c r="DZ108" s="159"/>
      <c r="EA108" s="159"/>
      <c r="EB108" s="159"/>
      <c r="EC108" s="159"/>
      <c r="ED108" s="159"/>
      <c r="EE108" s="159"/>
      <c r="EF108" s="159"/>
      <c r="EG108" s="159"/>
      <c r="EH108" s="159"/>
      <c r="EI108" s="159"/>
      <c r="EJ108" s="159"/>
      <c r="EK108" s="159"/>
      <c r="EL108" s="159"/>
      <c r="EM108" s="159"/>
      <c r="EN108" s="159"/>
      <c r="EO108" s="159"/>
      <c r="EP108" s="159"/>
      <c r="EQ108" s="159"/>
      <c r="ER108" s="159"/>
      <c r="ES108" s="159"/>
      <c r="ET108" s="159"/>
      <c r="EU108" s="159"/>
      <c r="EV108" s="159"/>
      <c r="EW108" s="159"/>
      <c r="EX108" s="159"/>
      <c r="EY108" s="159"/>
      <c r="EZ108" s="159"/>
      <c r="FA108" s="159"/>
      <c r="FB108" s="159"/>
    </row>
    <row r="109" spans="1:158" s="146" customFormat="1" x14ac:dyDescent="0.3">
      <c r="A109" s="210"/>
      <c r="B109" s="841" t="s">
        <v>3896</v>
      </c>
      <c r="C109" s="842"/>
      <c r="D109" s="842"/>
      <c r="E109" s="842"/>
      <c r="F109" s="842" t="s">
        <v>125</v>
      </c>
      <c r="G109" s="842" t="s">
        <v>125</v>
      </c>
      <c r="H109" s="843" t="s">
        <v>125</v>
      </c>
      <c r="I109" s="550"/>
      <c r="J109" s="551"/>
      <c r="K109" s="550"/>
      <c r="L109" s="552"/>
      <c r="M109" s="214"/>
      <c r="N109" s="165"/>
      <c r="O109" s="776"/>
      <c r="P109" s="777"/>
      <c r="Q109" s="776"/>
      <c r="R109" s="776"/>
      <c r="S109" s="776"/>
      <c r="T109" s="145"/>
      <c r="U109" s="550"/>
      <c r="V109" s="550"/>
      <c r="W109" s="550"/>
      <c r="X109" s="550"/>
      <c r="Y109" s="550"/>
      <c r="AA109" s="214"/>
      <c r="AB109" s="214"/>
      <c r="AC109" s="214"/>
      <c r="AD109" s="214"/>
      <c r="AE109" s="214"/>
      <c r="AG109" s="554"/>
      <c r="AH109" s="554"/>
      <c r="AI109" s="554"/>
      <c r="AJ109" s="554"/>
      <c r="AK109" s="554"/>
      <c r="AL109" s="159"/>
      <c r="AM109" s="159"/>
      <c r="AN109" s="159"/>
      <c r="AO109" s="159"/>
      <c r="AP109" s="159"/>
      <c r="AQ109" s="159"/>
      <c r="AR109" s="159"/>
      <c r="AS109" s="159"/>
      <c r="AT109" s="159"/>
      <c r="AU109" s="159"/>
      <c r="AV109" s="159"/>
      <c r="AW109" s="159"/>
      <c r="AX109" s="159"/>
      <c r="AY109" s="159"/>
      <c r="AZ109" s="159"/>
      <c r="BA109" s="159"/>
      <c r="BB109" s="159"/>
      <c r="BC109" s="159"/>
      <c r="BD109" s="159"/>
      <c r="BE109" s="159"/>
      <c r="BF109" s="159"/>
      <c r="BG109" s="159"/>
      <c r="BH109" s="159"/>
      <c r="BI109" s="159"/>
      <c r="BJ109" s="159"/>
      <c r="BK109" s="159"/>
      <c r="BL109" s="159"/>
      <c r="BM109" s="159"/>
      <c r="BN109" s="159"/>
      <c r="BO109" s="159"/>
      <c r="BP109" s="159"/>
      <c r="BQ109" s="159"/>
      <c r="BR109" s="159"/>
      <c r="BS109" s="159"/>
      <c r="BT109" s="159"/>
      <c r="BU109" s="159"/>
      <c r="BV109" s="159"/>
      <c r="BW109" s="159"/>
      <c r="BX109" s="159"/>
      <c r="BY109" s="159"/>
      <c r="BZ109" s="159"/>
      <c r="CA109" s="159"/>
      <c r="CB109" s="159"/>
      <c r="CC109" s="159"/>
      <c r="CD109" s="159"/>
      <c r="CE109" s="159"/>
      <c r="CF109" s="159"/>
      <c r="CG109" s="159"/>
      <c r="CH109" s="159"/>
      <c r="CI109" s="159"/>
      <c r="CJ109" s="159"/>
      <c r="CK109" s="159"/>
      <c r="CL109" s="159"/>
      <c r="CM109" s="159"/>
      <c r="CN109" s="159"/>
      <c r="CO109" s="159"/>
      <c r="CP109" s="159"/>
      <c r="CQ109" s="159"/>
      <c r="CR109" s="159"/>
      <c r="CS109" s="159"/>
      <c r="CT109" s="159"/>
      <c r="CU109" s="159"/>
      <c r="CV109" s="159"/>
      <c r="CW109" s="159"/>
      <c r="CX109" s="159"/>
      <c r="CY109" s="159"/>
      <c r="CZ109" s="159"/>
      <c r="DA109" s="159"/>
      <c r="DB109" s="159"/>
      <c r="DC109" s="159"/>
      <c r="DD109" s="159"/>
      <c r="DE109" s="159"/>
      <c r="DF109" s="159"/>
      <c r="DG109" s="159"/>
      <c r="DH109" s="159"/>
      <c r="DI109" s="159"/>
      <c r="DJ109" s="159"/>
      <c r="DK109" s="159"/>
      <c r="DL109" s="159"/>
      <c r="DM109" s="159"/>
      <c r="DN109" s="159"/>
      <c r="DO109" s="159"/>
      <c r="DP109" s="159"/>
      <c r="DQ109" s="159"/>
      <c r="DR109" s="159"/>
      <c r="DS109" s="159"/>
      <c r="DT109" s="159"/>
      <c r="DU109" s="159"/>
      <c r="DV109" s="159"/>
      <c r="DW109" s="159"/>
      <c r="DX109" s="159"/>
      <c r="DY109" s="159"/>
      <c r="DZ109" s="159"/>
      <c r="EA109" s="159"/>
      <c r="EB109" s="159"/>
      <c r="EC109" s="159"/>
      <c r="ED109" s="159"/>
      <c r="EE109" s="159"/>
      <c r="EF109" s="159"/>
      <c r="EG109" s="159"/>
      <c r="EH109" s="159"/>
      <c r="EI109" s="159"/>
      <c r="EJ109" s="159"/>
      <c r="EK109" s="159"/>
      <c r="EL109" s="159"/>
      <c r="EM109" s="159"/>
      <c r="EN109" s="159"/>
      <c r="EO109" s="159"/>
      <c r="EP109" s="159"/>
      <c r="EQ109" s="159"/>
      <c r="ER109" s="159"/>
      <c r="ES109" s="159"/>
      <c r="ET109" s="159"/>
      <c r="EU109" s="159"/>
      <c r="EV109" s="159"/>
      <c r="EW109" s="159"/>
      <c r="EX109" s="159"/>
      <c r="EY109" s="159"/>
      <c r="EZ109" s="159"/>
      <c r="FA109" s="159"/>
      <c r="FB109" s="159"/>
    </row>
    <row r="110" spans="1:158" s="159" customFormat="1" ht="15" customHeight="1" x14ac:dyDescent="0.3">
      <c r="A110" s="215"/>
      <c r="B110" s="489" t="s">
        <v>3897</v>
      </c>
      <c r="C110" s="484" t="s">
        <v>59</v>
      </c>
      <c r="D110" s="472">
        <v>4</v>
      </c>
      <c r="E110" s="472">
        <v>10000000</v>
      </c>
      <c r="F110" s="472">
        <f t="shared" ref="F110:F128" si="38">D110*E110</f>
        <v>40000000</v>
      </c>
      <c r="G110" s="472">
        <f t="shared" si="30"/>
        <v>2600</v>
      </c>
      <c r="H110" s="472">
        <f>IF($G$5=0,0,F110/G110)</f>
        <v>15384.615384615385</v>
      </c>
      <c r="I110" s="465">
        <v>7433.2653846153844</v>
      </c>
      <c r="J110" s="466"/>
      <c r="K110" s="465">
        <f t="shared" si="32"/>
        <v>7420.5367629474713</v>
      </c>
      <c r="L110" s="467">
        <f t="shared" ref="L110:L128" si="39">K110-I110</f>
        <v>-12.728621667913103</v>
      </c>
      <c r="M110" s="468">
        <f t="shared" ref="M110:M128" si="40">IFERROR(L110/I110,0)</f>
        <v>-1.7123862810357218E-3</v>
      </c>
      <c r="N110" s="469"/>
      <c r="O110" s="534"/>
      <c r="P110" s="765"/>
      <c r="Q110" s="534">
        <v>7433.2653846153844</v>
      </c>
      <c r="R110" s="534"/>
      <c r="S110" s="534"/>
      <c r="T110" s="487"/>
      <c r="U110" s="488">
        <v>0</v>
      </c>
      <c r="V110" s="488">
        <v>0</v>
      </c>
      <c r="W110" s="488">
        <v>7420.5367629474713</v>
      </c>
      <c r="X110" s="488">
        <v>0</v>
      </c>
      <c r="Y110" s="488">
        <v>0</v>
      </c>
      <c r="AA110" s="155">
        <f t="shared" ref="AA110:AE128" si="41">U110-O110</f>
        <v>0</v>
      </c>
      <c r="AB110" s="155">
        <f t="shared" si="41"/>
        <v>0</v>
      </c>
      <c r="AC110" s="155">
        <f t="shared" si="41"/>
        <v>-12.728621667913103</v>
      </c>
      <c r="AD110" s="155">
        <f t="shared" si="41"/>
        <v>0</v>
      </c>
      <c r="AE110" s="155">
        <f t="shared" si="41"/>
        <v>0</v>
      </c>
      <c r="AG110" s="156">
        <f t="shared" ref="AG110:AK128" si="42">IFERROR(AA110/O110,0)</f>
        <v>0</v>
      </c>
      <c r="AH110" s="156">
        <f t="shared" si="42"/>
        <v>0</v>
      </c>
      <c r="AI110" s="156">
        <f t="shared" si="42"/>
        <v>-1.7123862810357218E-3</v>
      </c>
      <c r="AJ110" s="156">
        <f t="shared" si="42"/>
        <v>0</v>
      </c>
      <c r="AK110" s="156">
        <f t="shared" si="42"/>
        <v>0</v>
      </c>
    </row>
    <row r="111" spans="1:158" s="159" customFormat="1" ht="15" customHeight="1" x14ac:dyDescent="0.3">
      <c r="A111" s="215"/>
      <c r="B111" s="489" t="s">
        <v>3898</v>
      </c>
      <c r="C111" s="484" t="s">
        <v>59</v>
      </c>
      <c r="D111" s="472">
        <v>8</v>
      </c>
      <c r="E111" s="472">
        <v>5000000</v>
      </c>
      <c r="F111" s="472">
        <f t="shared" si="38"/>
        <v>40000000</v>
      </c>
      <c r="G111" s="472">
        <f t="shared" si="30"/>
        <v>2600</v>
      </c>
      <c r="H111" s="472">
        <f t="shared" ref="H111:H128" si="43">IF($G$5=0,0,F111/G111)</f>
        <v>15384.615384615385</v>
      </c>
      <c r="I111" s="465">
        <v>0</v>
      </c>
      <c r="J111" s="486"/>
      <c r="K111" s="465">
        <f t="shared" si="32"/>
        <v>0</v>
      </c>
      <c r="L111" s="467">
        <f t="shared" si="39"/>
        <v>0</v>
      </c>
      <c r="M111" s="468">
        <f t="shared" si="40"/>
        <v>0</v>
      </c>
      <c r="N111" s="157"/>
      <c r="O111" s="542"/>
      <c r="P111" s="549"/>
      <c r="Q111" s="534">
        <v>0</v>
      </c>
      <c r="R111" s="542"/>
      <c r="S111" s="549"/>
      <c r="T111" s="487"/>
      <c r="U111" s="474"/>
      <c r="V111" s="474"/>
      <c r="W111" s="474"/>
      <c r="X111" s="474"/>
      <c r="Y111" s="474"/>
      <c r="AA111" s="155">
        <f t="shared" si="41"/>
        <v>0</v>
      </c>
      <c r="AB111" s="155">
        <f t="shared" si="41"/>
        <v>0</v>
      </c>
      <c r="AC111" s="155">
        <f t="shared" si="41"/>
        <v>0</v>
      </c>
      <c r="AD111" s="155">
        <f t="shared" si="41"/>
        <v>0</v>
      </c>
      <c r="AE111" s="155">
        <f t="shared" si="41"/>
        <v>0</v>
      </c>
      <c r="AG111" s="156">
        <f t="shared" si="42"/>
        <v>0</v>
      </c>
      <c r="AH111" s="156">
        <f t="shared" si="42"/>
        <v>0</v>
      </c>
      <c r="AI111" s="156">
        <f t="shared" si="42"/>
        <v>0</v>
      </c>
      <c r="AJ111" s="156">
        <f t="shared" si="42"/>
        <v>0</v>
      </c>
      <c r="AK111" s="156">
        <f t="shared" si="42"/>
        <v>0</v>
      </c>
    </row>
    <row r="112" spans="1:158" s="159" customFormat="1" ht="15" customHeight="1" x14ac:dyDescent="0.3">
      <c r="A112" s="215"/>
      <c r="B112" s="489" t="s">
        <v>152</v>
      </c>
      <c r="C112" s="484" t="s">
        <v>59</v>
      </c>
      <c r="D112" s="472">
        <v>4</v>
      </c>
      <c r="E112" s="472">
        <v>5000000</v>
      </c>
      <c r="F112" s="472">
        <f t="shared" si="38"/>
        <v>20000000</v>
      </c>
      <c r="G112" s="472">
        <f t="shared" si="30"/>
        <v>2600</v>
      </c>
      <c r="H112" s="472">
        <f t="shared" si="43"/>
        <v>7692.3076923076924</v>
      </c>
      <c r="I112" s="465">
        <v>0</v>
      </c>
      <c r="J112" s="486"/>
      <c r="K112" s="465">
        <f t="shared" si="32"/>
        <v>0</v>
      </c>
      <c r="L112" s="467">
        <f t="shared" si="39"/>
        <v>0</v>
      </c>
      <c r="M112" s="468">
        <f t="shared" si="40"/>
        <v>0</v>
      </c>
      <c r="N112" s="157"/>
      <c r="O112" s="542"/>
      <c r="P112" s="549"/>
      <c r="Q112" s="534">
        <v>0</v>
      </c>
      <c r="R112" s="542"/>
      <c r="S112" s="549"/>
      <c r="T112" s="487"/>
      <c r="U112" s="474"/>
      <c r="V112" s="474"/>
      <c r="W112" s="474"/>
      <c r="X112" s="474"/>
      <c r="Y112" s="474"/>
      <c r="AA112" s="155">
        <f t="shared" si="41"/>
        <v>0</v>
      </c>
      <c r="AB112" s="155">
        <f t="shared" si="41"/>
        <v>0</v>
      </c>
      <c r="AC112" s="155">
        <f t="shared" si="41"/>
        <v>0</v>
      </c>
      <c r="AD112" s="155">
        <f t="shared" si="41"/>
        <v>0</v>
      </c>
      <c r="AE112" s="155">
        <f t="shared" si="41"/>
        <v>0</v>
      </c>
      <c r="AG112" s="156">
        <f t="shared" si="42"/>
        <v>0</v>
      </c>
      <c r="AH112" s="156">
        <f t="shared" si="42"/>
        <v>0</v>
      </c>
      <c r="AI112" s="156">
        <f t="shared" si="42"/>
        <v>0</v>
      </c>
      <c r="AJ112" s="156">
        <f t="shared" si="42"/>
        <v>0</v>
      </c>
      <c r="AK112" s="156">
        <f t="shared" si="42"/>
        <v>0</v>
      </c>
    </row>
    <row r="113" spans="1:37" s="159" customFormat="1" ht="15" customHeight="1" x14ac:dyDescent="0.3">
      <c r="A113" s="215"/>
      <c r="B113" s="489" t="s">
        <v>153</v>
      </c>
      <c r="C113" s="484" t="s">
        <v>59</v>
      </c>
      <c r="D113" s="472">
        <v>2</v>
      </c>
      <c r="E113" s="472">
        <v>10000000</v>
      </c>
      <c r="F113" s="472">
        <f t="shared" si="38"/>
        <v>20000000</v>
      </c>
      <c r="G113" s="472">
        <f t="shared" si="30"/>
        <v>2600</v>
      </c>
      <c r="H113" s="472">
        <f t="shared" si="43"/>
        <v>7692.3076923076924</v>
      </c>
      <c r="I113" s="465">
        <v>6994.8461538461543</v>
      </c>
      <c r="J113" s="486"/>
      <c r="K113" s="465">
        <f t="shared" si="32"/>
        <v>7236.9515577585116</v>
      </c>
      <c r="L113" s="467">
        <f t="shared" si="39"/>
        <v>242.10540391235736</v>
      </c>
      <c r="M113" s="468">
        <f t="shared" si="40"/>
        <v>3.4611969811406698E-2</v>
      </c>
      <c r="N113" s="157"/>
      <c r="O113" s="542"/>
      <c r="P113" s="549"/>
      <c r="Q113" s="534">
        <v>6994.8461538461543</v>
      </c>
      <c r="R113" s="542"/>
      <c r="S113" s="549"/>
      <c r="T113" s="487"/>
      <c r="U113" s="474">
        <v>0</v>
      </c>
      <c r="V113" s="474">
        <v>0</v>
      </c>
      <c r="W113" s="474">
        <v>7236.9515577585116</v>
      </c>
      <c r="X113" s="474">
        <v>0</v>
      </c>
      <c r="Y113" s="474">
        <v>0</v>
      </c>
      <c r="AA113" s="155">
        <f t="shared" si="41"/>
        <v>0</v>
      </c>
      <c r="AB113" s="155">
        <f t="shared" si="41"/>
        <v>0</v>
      </c>
      <c r="AC113" s="155">
        <f t="shared" si="41"/>
        <v>242.10540391235736</v>
      </c>
      <c r="AD113" s="155">
        <f t="shared" si="41"/>
        <v>0</v>
      </c>
      <c r="AE113" s="155">
        <f t="shared" si="41"/>
        <v>0</v>
      </c>
      <c r="AG113" s="156">
        <f t="shared" si="42"/>
        <v>0</v>
      </c>
      <c r="AH113" s="156">
        <f t="shared" si="42"/>
        <v>0</v>
      </c>
      <c r="AI113" s="156">
        <f t="shared" si="42"/>
        <v>3.4611969811406698E-2</v>
      </c>
      <c r="AJ113" s="156">
        <f t="shared" si="42"/>
        <v>0</v>
      </c>
      <c r="AK113" s="156">
        <f t="shared" si="42"/>
        <v>0</v>
      </c>
    </row>
    <row r="114" spans="1:37" s="159" customFormat="1" ht="15" customHeight="1" x14ac:dyDescent="0.3">
      <c r="A114" s="215"/>
      <c r="B114" s="489" t="s">
        <v>3899</v>
      </c>
      <c r="C114" s="484" t="s">
        <v>59</v>
      </c>
      <c r="D114" s="472">
        <v>12</v>
      </c>
      <c r="E114" s="472">
        <v>5000000</v>
      </c>
      <c r="F114" s="472">
        <f>D114*E114</f>
        <v>60000000</v>
      </c>
      <c r="G114" s="472">
        <f t="shared" si="30"/>
        <v>2600</v>
      </c>
      <c r="H114" s="472">
        <f t="shared" si="43"/>
        <v>23076.923076923078</v>
      </c>
      <c r="I114" s="465">
        <v>0</v>
      </c>
      <c r="J114" s="486"/>
      <c r="K114" s="465">
        <f t="shared" si="32"/>
        <v>0</v>
      </c>
      <c r="L114" s="467">
        <f t="shared" si="39"/>
        <v>0</v>
      </c>
      <c r="M114" s="468">
        <f t="shared" si="40"/>
        <v>0</v>
      </c>
      <c r="N114" s="157"/>
      <c r="O114" s="542"/>
      <c r="P114" s="549"/>
      <c r="Q114" s="534">
        <v>0</v>
      </c>
      <c r="R114" s="542"/>
      <c r="S114" s="549"/>
      <c r="T114" s="487"/>
      <c r="U114" s="474"/>
      <c r="V114" s="474"/>
      <c r="W114" s="474"/>
      <c r="X114" s="474"/>
      <c r="Y114" s="474"/>
      <c r="AA114" s="155">
        <f t="shared" si="41"/>
        <v>0</v>
      </c>
      <c r="AB114" s="155">
        <f t="shared" si="41"/>
        <v>0</v>
      </c>
      <c r="AC114" s="155">
        <f t="shared" si="41"/>
        <v>0</v>
      </c>
      <c r="AD114" s="155">
        <f t="shared" si="41"/>
        <v>0</v>
      </c>
      <c r="AE114" s="155">
        <f t="shared" si="41"/>
        <v>0</v>
      </c>
      <c r="AG114" s="156">
        <f t="shared" si="42"/>
        <v>0</v>
      </c>
      <c r="AH114" s="156">
        <f t="shared" si="42"/>
        <v>0</v>
      </c>
      <c r="AI114" s="156">
        <f t="shared" si="42"/>
        <v>0</v>
      </c>
      <c r="AJ114" s="156">
        <f t="shared" si="42"/>
        <v>0</v>
      </c>
      <c r="AK114" s="156">
        <f t="shared" si="42"/>
        <v>0</v>
      </c>
    </row>
    <row r="115" spans="1:37" s="159" customFormat="1" ht="15" customHeight="1" x14ac:dyDescent="0.3">
      <c r="A115" s="215"/>
      <c r="B115" s="489" t="s">
        <v>3900</v>
      </c>
      <c r="C115" s="484" t="s">
        <v>59</v>
      </c>
      <c r="D115" s="472">
        <v>2</v>
      </c>
      <c r="E115" s="472">
        <v>10000000</v>
      </c>
      <c r="F115" s="472">
        <f>D115*E115</f>
        <v>20000000</v>
      </c>
      <c r="G115" s="472">
        <f t="shared" si="30"/>
        <v>2600</v>
      </c>
      <c r="H115" s="472">
        <f t="shared" si="43"/>
        <v>7692.3076923076924</v>
      </c>
      <c r="I115" s="465">
        <v>5692</v>
      </c>
      <c r="J115" s="486"/>
      <c r="K115" s="465">
        <f t="shared" si="32"/>
        <v>3546.7703016401138</v>
      </c>
      <c r="L115" s="467">
        <f t="shared" si="39"/>
        <v>-2145.2296983598862</v>
      </c>
      <c r="M115" s="468">
        <f t="shared" si="40"/>
        <v>-0.37688504890370456</v>
      </c>
      <c r="N115" s="157"/>
      <c r="O115" s="542"/>
      <c r="P115" s="549"/>
      <c r="Q115" s="534">
        <v>5692</v>
      </c>
      <c r="R115" s="542"/>
      <c r="S115" s="549"/>
      <c r="T115" s="487"/>
      <c r="U115" s="474">
        <v>0</v>
      </c>
      <c r="V115" s="474">
        <v>0</v>
      </c>
      <c r="W115" s="474">
        <v>3546.7703016401138</v>
      </c>
      <c r="X115" s="474">
        <v>0</v>
      </c>
      <c r="Y115" s="474">
        <v>0</v>
      </c>
      <c r="AA115" s="155">
        <f t="shared" si="41"/>
        <v>0</v>
      </c>
      <c r="AB115" s="155">
        <f t="shared" si="41"/>
        <v>0</v>
      </c>
      <c r="AC115" s="155">
        <f t="shared" si="41"/>
        <v>-2145.2296983598862</v>
      </c>
      <c r="AD115" s="155">
        <f t="shared" si="41"/>
        <v>0</v>
      </c>
      <c r="AE115" s="155">
        <f t="shared" si="41"/>
        <v>0</v>
      </c>
      <c r="AG115" s="156">
        <f t="shared" si="42"/>
        <v>0</v>
      </c>
      <c r="AH115" s="156">
        <f t="shared" si="42"/>
        <v>0</v>
      </c>
      <c r="AI115" s="156">
        <f t="shared" si="42"/>
        <v>-0.37688504890370456</v>
      </c>
      <c r="AJ115" s="156">
        <f t="shared" si="42"/>
        <v>0</v>
      </c>
      <c r="AK115" s="156">
        <f t="shared" si="42"/>
        <v>0</v>
      </c>
    </row>
    <row r="116" spans="1:37" s="159" customFormat="1" ht="15" customHeight="1" x14ac:dyDescent="0.3">
      <c r="A116" s="215"/>
      <c r="B116" s="489" t="s">
        <v>3901</v>
      </c>
      <c r="C116" s="484" t="s">
        <v>59</v>
      </c>
      <c r="D116" s="472">
        <v>2</v>
      </c>
      <c r="E116" s="472">
        <v>20500000</v>
      </c>
      <c r="F116" s="472">
        <f t="shared" si="38"/>
        <v>41000000</v>
      </c>
      <c r="G116" s="472">
        <f t="shared" si="30"/>
        <v>2600</v>
      </c>
      <c r="H116" s="472">
        <f>IF($G$5=0,0,F116/G116)</f>
        <v>15769.23076923077</v>
      </c>
      <c r="I116" s="465">
        <v>10497.115384615385</v>
      </c>
      <c r="J116" s="486"/>
      <c r="K116" s="465">
        <f t="shared" si="32"/>
        <v>10479.134846078901</v>
      </c>
      <c r="L116" s="467">
        <f t="shared" si="39"/>
        <v>-17.980538536483436</v>
      </c>
      <c r="M116" s="468">
        <f t="shared" si="40"/>
        <v>-1.7129028192674519E-3</v>
      </c>
      <c r="N116" s="157"/>
      <c r="O116" s="542"/>
      <c r="P116" s="549"/>
      <c r="Q116" s="534">
        <v>10497.115384615385</v>
      </c>
      <c r="R116" s="542"/>
      <c r="S116" s="549"/>
      <c r="T116" s="487"/>
      <c r="U116" s="474">
        <v>0</v>
      </c>
      <c r="V116" s="474">
        <v>0</v>
      </c>
      <c r="W116" s="474">
        <v>10479.134846078901</v>
      </c>
      <c r="X116" s="474">
        <v>0</v>
      </c>
      <c r="Y116" s="474">
        <v>0</v>
      </c>
      <c r="AA116" s="155">
        <f t="shared" si="41"/>
        <v>0</v>
      </c>
      <c r="AB116" s="155">
        <f t="shared" si="41"/>
        <v>0</v>
      </c>
      <c r="AC116" s="155">
        <f t="shared" si="41"/>
        <v>-17.980538536483436</v>
      </c>
      <c r="AD116" s="155">
        <f t="shared" si="41"/>
        <v>0</v>
      </c>
      <c r="AE116" s="155">
        <f t="shared" si="41"/>
        <v>0</v>
      </c>
      <c r="AG116" s="156">
        <f t="shared" si="42"/>
        <v>0</v>
      </c>
      <c r="AH116" s="156">
        <f t="shared" si="42"/>
        <v>0</v>
      </c>
      <c r="AI116" s="156">
        <f t="shared" si="42"/>
        <v>-1.7129028192674519E-3</v>
      </c>
      <c r="AJ116" s="156">
        <f t="shared" si="42"/>
        <v>0</v>
      </c>
      <c r="AK116" s="156">
        <f t="shared" si="42"/>
        <v>0</v>
      </c>
    </row>
    <row r="117" spans="1:37" s="159" customFormat="1" ht="15" customHeight="1" x14ac:dyDescent="0.3">
      <c r="A117" s="215"/>
      <c r="B117" s="489" t="s">
        <v>3902</v>
      </c>
      <c r="C117" s="484" t="s">
        <v>59</v>
      </c>
      <c r="D117" s="472">
        <v>1</v>
      </c>
      <c r="E117" s="472">
        <v>10000000</v>
      </c>
      <c r="F117" s="472">
        <f t="shared" si="38"/>
        <v>10000000</v>
      </c>
      <c r="G117" s="472">
        <f t="shared" si="30"/>
        <v>2600</v>
      </c>
      <c r="H117" s="472">
        <f t="shared" si="43"/>
        <v>3846.1538461538462</v>
      </c>
      <c r="I117" s="465">
        <v>3846.1538461538462</v>
      </c>
      <c r="J117" s="466"/>
      <c r="K117" s="465">
        <f t="shared" si="32"/>
        <v>0</v>
      </c>
      <c r="L117" s="467">
        <f t="shared" si="39"/>
        <v>-3846.1538461538462</v>
      </c>
      <c r="M117" s="468">
        <f t="shared" si="40"/>
        <v>-1</v>
      </c>
      <c r="N117" s="469"/>
      <c r="O117" s="534"/>
      <c r="P117" s="765"/>
      <c r="Q117" s="534">
        <v>3846.1538461538462</v>
      </c>
      <c r="R117" s="534"/>
      <c r="S117" s="534"/>
      <c r="U117" s="488"/>
      <c r="V117" s="488"/>
      <c r="W117" s="488"/>
      <c r="X117" s="488"/>
      <c r="Y117" s="488"/>
      <c r="AA117" s="155">
        <f t="shared" si="41"/>
        <v>0</v>
      </c>
      <c r="AB117" s="155">
        <f t="shared" si="41"/>
        <v>0</v>
      </c>
      <c r="AC117" s="155">
        <f t="shared" si="41"/>
        <v>-3846.1538461538462</v>
      </c>
      <c r="AD117" s="155">
        <f t="shared" si="41"/>
        <v>0</v>
      </c>
      <c r="AE117" s="155">
        <f t="shared" si="41"/>
        <v>0</v>
      </c>
      <c r="AG117" s="156">
        <f t="shared" si="42"/>
        <v>0</v>
      </c>
      <c r="AH117" s="156">
        <f t="shared" si="42"/>
        <v>0</v>
      </c>
      <c r="AI117" s="156">
        <f t="shared" si="42"/>
        <v>-1</v>
      </c>
      <c r="AJ117" s="156">
        <f t="shared" si="42"/>
        <v>0</v>
      </c>
      <c r="AK117" s="156">
        <f t="shared" si="42"/>
        <v>0</v>
      </c>
    </row>
    <row r="118" spans="1:37" s="159" customFormat="1" ht="15" customHeight="1" x14ac:dyDescent="0.3">
      <c r="A118" s="215"/>
      <c r="B118" s="489" t="s">
        <v>3903</v>
      </c>
      <c r="C118" s="484" t="s">
        <v>59</v>
      </c>
      <c r="D118" s="472">
        <v>1</v>
      </c>
      <c r="E118" s="472">
        <v>10000000</v>
      </c>
      <c r="F118" s="472">
        <f t="shared" si="38"/>
        <v>10000000</v>
      </c>
      <c r="G118" s="472">
        <f t="shared" si="30"/>
        <v>2600</v>
      </c>
      <c r="H118" s="472">
        <f t="shared" si="43"/>
        <v>3846.1538461538462</v>
      </c>
      <c r="I118" s="465">
        <v>3927.5384615384614</v>
      </c>
      <c r="J118" s="466"/>
      <c r="K118" s="465">
        <f t="shared" si="32"/>
        <v>4601.5275831394192</v>
      </c>
      <c r="L118" s="467">
        <f t="shared" si="39"/>
        <v>673.98912160095779</v>
      </c>
      <c r="M118" s="468">
        <f t="shared" si="40"/>
        <v>0.17160598889130893</v>
      </c>
      <c r="N118" s="469"/>
      <c r="O118" s="534"/>
      <c r="P118" s="765"/>
      <c r="Q118" s="534">
        <v>3927.5384615384614</v>
      </c>
      <c r="R118" s="534"/>
      <c r="S118" s="534"/>
      <c r="U118" s="488">
        <v>0</v>
      </c>
      <c r="V118" s="488">
        <v>0</v>
      </c>
      <c r="W118" s="488">
        <v>4601.5275831394192</v>
      </c>
      <c r="X118" s="488">
        <v>0</v>
      </c>
      <c r="Y118" s="488">
        <v>0</v>
      </c>
      <c r="AA118" s="155">
        <f t="shared" si="41"/>
        <v>0</v>
      </c>
      <c r="AB118" s="155">
        <f t="shared" si="41"/>
        <v>0</v>
      </c>
      <c r="AC118" s="155">
        <f t="shared" si="41"/>
        <v>673.98912160095779</v>
      </c>
      <c r="AD118" s="155">
        <f t="shared" si="41"/>
        <v>0</v>
      </c>
      <c r="AE118" s="155">
        <f t="shared" si="41"/>
        <v>0</v>
      </c>
      <c r="AG118" s="156">
        <f t="shared" si="42"/>
        <v>0</v>
      </c>
      <c r="AH118" s="156">
        <f t="shared" si="42"/>
        <v>0</v>
      </c>
      <c r="AI118" s="156">
        <f t="shared" si="42"/>
        <v>0.17160598889130893</v>
      </c>
      <c r="AJ118" s="156">
        <f t="shared" si="42"/>
        <v>0</v>
      </c>
      <c r="AK118" s="156">
        <f t="shared" si="42"/>
        <v>0</v>
      </c>
    </row>
    <row r="119" spans="1:37" s="418" customFormat="1" ht="15" customHeight="1" x14ac:dyDescent="0.3">
      <c r="A119" s="567"/>
      <c r="B119" s="491" t="s">
        <v>3904</v>
      </c>
      <c r="C119" s="464" t="s">
        <v>59</v>
      </c>
      <c r="D119" s="492">
        <v>1</v>
      </c>
      <c r="E119" s="492">
        <v>13000000</v>
      </c>
      <c r="F119" s="492">
        <f t="shared" si="38"/>
        <v>13000000</v>
      </c>
      <c r="G119" s="492">
        <f t="shared" si="30"/>
        <v>2600</v>
      </c>
      <c r="H119" s="492">
        <f t="shared" si="43"/>
        <v>5000</v>
      </c>
      <c r="I119" s="465">
        <v>3633</v>
      </c>
      <c r="J119" s="530"/>
      <c r="K119" s="465">
        <f t="shared" si="32"/>
        <v>2801.4239686346391</v>
      </c>
      <c r="L119" s="467">
        <f t="shared" si="39"/>
        <v>-831.5760313653609</v>
      </c>
      <c r="M119" s="468">
        <f t="shared" si="40"/>
        <v>-0.2288951366268541</v>
      </c>
      <c r="N119" s="531"/>
      <c r="O119" s="517"/>
      <c r="P119" s="764"/>
      <c r="Q119" s="517">
        <v>3633</v>
      </c>
      <c r="R119" s="517"/>
      <c r="S119" s="517"/>
      <c r="U119" s="465">
        <v>0</v>
      </c>
      <c r="V119" s="465">
        <v>0</v>
      </c>
      <c r="W119" s="465">
        <v>2801.4239686346391</v>
      </c>
      <c r="X119" s="465">
        <v>0</v>
      </c>
      <c r="Y119" s="465">
        <v>0</v>
      </c>
      <c r="AA119" s="532">
        <f t="shared" si="41"/>
        <v>0</v>
      </c>
      <c r="AB119" s="532">
        <f t="shared" si="41"/>
        <v>0</v>
      </c>
      <c r="AC119" s="532">
        <f t="shared" si="41"/>
        <v>-831.5760313653609</v>
      </c>
      <c r="AD119" s="532">
        <f t="shared" si="41"/>
        <v>0</v>
      </c>
      <c r="AE119" s="532">
        <f t="shared" si="41"/>
        <v>0</v>
      </c>
      <c r="AG119" s="156">
        <f t="shared" si="42"/>
        <v>0</v>
      </c>
      <c r="AH119" s="156">
        <f t="shared" si="42"/>
        <v>0</v>
      </c>
      <c r="AI119" s="156">
        <f t="shared" si="42"/>
        <v>-0.2288951366268541</v>
      </c>
      <c r="AJ119" s="156">
        <f t="shared" si="42"/>
        <v>0</v>
      </c>
      <c r="AK119" s="156">
        <f t="shared" si="42"/>
        <v>0</v>
      </c>
    </row>
    <row r="120" spans="1:37" s="418" customFormat="1" ht="15" customHeight="1" x14ac:dyDescent="0.3">
      <c r="A120" s="567"/>
      <c r="B120" s="491" t="s">
        <v>3905</v>
      </c>
      <c r="C120" s="464" t="s">
        <v>59</v>
      </c>
      <c r="D120" s="492">
        <v>1</v>
      </c>
      <c r="E120" s="492">
        <v>5000000</v>
      </c>
      <c r="F120" s="492">
        <f t="shared" si="38"/>
        <v>5000000</v>
      </c>
      <c r="G120" s="492">
        <f t="shared" si="30"/>
        <v>2600</v>
      </c>
      <c r="H120" s="492">
        <f t="shared" si="43"/>
        <v>1923.0769230769231</v>
      </c>
      <c r="I120" s="465">
        <v>590.07692307692309</v>
      </c>
      <c r="J120" s="530"/>
      <c r="K120" s="465">
        <f t="shared" si="32"/>
        <v>589.373343912471</v>
      </c>
      <c r="L120" s="467">
        <f t="shared" si="39"/>
        <v>-0.70357916445209412</v>
      </c>
      <c r="M120" s="468">
        <f t="shared" si="40"/>
        <v>-1.1923516018611945E-3</v>
      </c>
      <c r="N120" s="531"/>
      <c r="O120" s="517"/>
      <c r="P120" s="764"/>
      <c r="Q120" s="517">
        <v>590.07692307692309</v>
      </c>
      <c r="R120" s="517"/>
      <c r="S120" s="517"/>
      <c r="U120" s="465">
        <v>0</v>
      </c>
      <c r="V120" s="465">
        <v>0</v>
      </c>
      <c r="W120" s="465">
        <v>589.373343912471</v>
      </c>
      <c r="X120" s="465">
        <v>0</v>
      </c>
      <c r="Y120" s="465">
        <v>0</v>
      </c>
      <c r="AA120" s="532">
        <f t="shared" si="41"/>
        <v>0</v>
      </c>
      <c r="AB120" s="532">
        <f t="shared" si="41"/>
        <v>0</v>
      </c>
      <c r="AC120" s="532">
        <f t="shared" si="41"/>
        <v>-0.70357916445209412</v>
      </c>
      <c r="AD120" s="532">
        <f t="shared" si="41"/>
        <v>0</v>
      </c>
      <c r="AE120" s="532">
        <f t="shared" si="41"/>
        <v>0</v>
      </c>
      <c r="AG120" s="156">
        <f t="shared" si="42"/>
        <v>0</v>
      </c>
      <c r="AH120" s="156">
        <f t="shared" si="42"/>
        <v>0</v>
      </c>
      <c r="AI120" s="156">
        <f t="shared" si="42"/>
        <v>-1.1923516018611945E-3</v>
      </c>
      <c r="AJ120" s="156">
        <f t="shared" si="42"/>
        <v>0</v>
      </c>
      <c r="AK120" s="156">
        <f t="shared" si="42"/>
        <v>0</v>
      </c>
    </row>
    <row r="121" spans="1:37" s="418" customFormat="1" ht="15" customHeight="1" x14ac:dyDescent="0.3">
      <c r="A121" s="567"/>
      <c r="B121" s="491" t="s">
        <v>3906</v>
      </c>
      <c r="C121" s="464" t="s">
        <v>59</v>
      </c>
      <c r="D121" s="492">
        <v>1</v>
      </c>
      <c r="E121" s="492">
        <v>5000000</v>
      </c>
      <c r="F121" s="492">
        <f t="shared" si="38"/>
        <v>5000000</v>
      </c>
      <c r="G121" s="492">
        <f t="shared" si="30"/>
        <v>2600</v>
      </c>
      <c r="H121" s="492">
        <f t="shared" si="43"/>
        <v>1923.0769230769231</v>
      </c>
      <c r="I121" s="465">
        <v>7.6923076923094413E-2</v>
      </c>
      <c r="J121" s="530"/>
      <c r="K121" s="465">
        <f t="shared" si="32"/>
        <v>0</v>
      </c>
      <c r="L121" s="467">
        <f t="shared" si="39"/>
        <v>-7.6923076923094413E-2</v>
      </c>
      <c r="M121" s="468">
        <f t="shared" si="40"/>
        <v>-1</v>
      </c>
      <c r="N121" s="531"/>
      <c r="O121" s="517"/>
      <c r="P121" s="764"/>
      <c r="Q121" s="517">
        <v>7.6923076923094413E-2</v>
      </c>
      <c r="R121" s="517"/>
      <c r="S121" s="517"/>
      <c r="U121" s="465"/>
      <c r="V121" s="465"/>
      <c r="W121" s="465"/>
      <c r="X121" s="465"/>
      <c r="Y121" s="465"/>
      <c r="AA121" s="532">
        <f t="shared" si="41"/>
        <v>0</v>
      </c>
      <c r="AB121" s="532">
        <f t="shared" si="41"/>
        <v>0</v>
      </c>
      <c r="AC121" s="532">
        <f t="shared" si="41"/>
        <v>-7.6923076923094413E-2</v>
      </c>
      <c r="AD121" s="532">
        <f t="shared" si="41"/>
        <v>0</v>
      </c>
      <c r="AE121" s="532">
        <f t="shared" si="41"/>
        <v>0</v>
      </c>
      <c r="AG121" s="156">
        <f t="shared" si="42"/>
        <v>0</v>
      </c>
      <c r="AH121" s="156">
        <f t="shared" si="42"/>
        <v>0</v>
      </c>
      <c r="AI121" s="156">
        <f t="shared" si="42"/>
        <v>-1</v>
      </c>
      <c r="AJ121" s="156">
        <f t="shared" si="42"/>
        <v>0</v>
      </c>
      <c r="AK121" s="156">
        <f t="shared" si="42"/>
        <v>0</v>
      </c>
    </row>
    <row r="122" spans="1:37" s="418" customFormat="1" ht="15" customHeight="1" x14ac:dyDescent="0.3">
      <c r="A122" s="567"/>
      <c r="B122" s="491" t="s">
        <v>3907</v>
      </c>
      <c r="C122" s="464" t="s">
        <v>59</v>
      </c>
      <c r="D122" s="492">
        <v>1</v>
      </c>
      <c r="E122" s="492">
        <v>5000000</v>
      </c>
      <c r="F122" s="492">
        <f t="shared" si="38"/>
        <v>5000000</v>
      </c>
      <c r="G122" s="492">
        <f t="shared" si="30"/>
        <v>2600</v>
      </c>
      <c r="H122" s="492">
        <f t="shared" si="43"/>
        <v>1923.0769230769231</v>
      </c>
      <c r="I122" s="465">
        <v>1923.0769230769231</v>
      </c>
      <c r="J122" s="530"/>
      <c r="K122" s="465">
        <f t="shared" si="32"/>
        <v>1103.5517418643274</v>
      </c>
      <c r="L122" s="467">
        <f t="shared" si="39"/>
        <v>-819.52518121259573</v>
      </c>
      <c r="M122" s="468">
        <f t="shared" si="40"/>
        <v>-0.42615309423054976</v>
      </c>
      <c r="N122" s="531"/>
      <c r="O122" s="517"/>
      <c r="P122" s="764"/>
      <c r="Q122" s="517">
        <v>1923.0769230769231</v>
      </c>
      <c r="R122" s="517"/>
      <c r="S122" s="517"/>
      <c r="U122" s="465">
        <v>0</v>
      </c>
      <c r="V122" s="465">
        <v>0</v>
      </c>
      <c r="W122" s="465">
        <v>1103.5517418643274</v>
      </c>
      <c r="X122" s="465">
        <v>0</v>
      </c>
      <c r="Y122" s="465">
        <v>0</v>
      </c>
      <c r="AA122" s="532">
        <f t="shared" si="41"/>
        <v>0</v>
      </c>
      <c r="AB122" s="532">
        <f t="shared" si="41"/>
        <v>0</v>
      </c>
      <c r="AC122" s="532">
        <f t="shared" si="41"/>
        <v>-819.52518121259573</v>
      </c>
      <c r="AD122" s="532">
        <f t="shared" si="41"/>
        <v>0</v>
      </c>
      <c r="AE122" s="532">
        <f t="shared" si="41"/>
        <v>0</v>
      </c>
      <c r="AG122" s="156">
        <f t="shared" si="42"/>
        <v>0</v>
      </c>
      <c r="AH122" s="156">
        <f t="shared" si="42"/>
        <v>0</v>
      </c>
      <c r="AI122" s="156">
        <f t="shared" si="42"/>
        <v>-0.42615309423054976</v>
      </c>
      <c r="AJ122" s="156">
        <f t="shared" si="42"/>
        <v>0</v>
      </c>
      <c r="AK122" s="156">
        <f t="shared" si="42"/>
        <v>0</v>
      </c>
    </row>
    <row r="123" spans="1:37" s="418" customFormat="1" ht="15" customHeight="1" x14ac:dyDescent="0.3">
      <c r="A123" s="567"/>
      <c r="B123" s="491" t="s">
        <v>3908</v>
      </c>
      <c r="C123" s="464" t="s">
        <v>59</v>
      </c>
      <c r="D123" s="492">
        <v>1</v>
      </c>
      <c r="E123" s="492">
        <v>2000000</v>
      </c>
      <c r="F123" s="492">
        <f t="shared" si="38"/>
        <v>2000000</v>
      </c>
      <c r="G123" s="492">
        <f t="shared" si="30"/>
        <v>2600</v>
      </c>
      <c r="H123" s="492">
        <f t="shared" si="43"/>
        <v>769.23076923076928</v>
      </c>
      <c r="I123" s="465">
        <v>769.23076923076928</v>
      </c>
      <c r="J123" s="530"/>
      <c r="K123" s="465">
        <f t="shared" si="32"/>
        <v>1018.5631787582403</v>
      </c>
      <c r="L123" s="467">
        <f t="shared" si="39"/>
        <v>249.33240952747099</v>
      </c>
      <c r="M123" s="468">
        <f t="shared" si="40"/>
        <v>0.32413213238571226</v>
      </c>
      <c r="N123" s="531"/>
      <c r="O123" s="517"/>
      <c r="P123" s="764"/>
      <c r="Q123" s="517">
        <v>769.23076923076928</v>
      </c>
      <c r="R123" s="517"/>
      <c r="S123" s="517"/>
      <c r="U123" s="465">
        <v>0</v>
      </c>
      <c r="V123" s="465">
        <v>0</v>
      </c>
      <c r="W123" s="465">
        <v>1018.5631787582403</v>
      </c>
      <c r="X123" s="465">
        <v>0</v>
      </c>
      <c r="Y123" s="465">
        <v>0</v>
      </c>
      <c r="AA123" s="532">
        <f t="shared" si="41"/>
        <v>0</v>
      </c>
      <c r="AB123" s="532">
        <f t="shared" si="41"/>
        <v>0</v>
      </c>
      <c r="AC123" s="532">
        <f t="shared" si="41"/>
        <v>249.33240952747099</v>
      </c>
      <c r="AD123" s="532">
        <f t="shared" si="41"/>
        <v>0</v>
      </c>
      <c r="AE123" s="532">
        <f t="shared" si="41"/>
        <v>0</v>
      </c>
      <c r="AG123" s="156">
        <f t="shared" si="42"/>
        <v>0</v>
      </c>
      <c r="AH123" s="156">
        <f t="shared" si="42"/>
        <v>0</v>
      </c>
      <c r="AI123" s="156">
        <f t="shared" si="42"/>
        <v>0.32413213238571226</v>
      </c>
      <c r="AJ123" s="156">
        <f t="shared" si="42"/>
        <v>0</v>
      </c>
      <c r="AK123" s="156">
        <f t="shared" si="42"/>
        <v>0</v>
      </c>
    </row>
    <row r="124" spans="1:37" s="418" customFormat="1" ht="15" customHeight="1" x14ac:dyDescent="0.3">
      <c r="A124" s="567"/>
      <c r="B124" s="491" t="s">
        <v>3909</v>
      </c>
      <c r="C124" s="464" t="s">
        <v>59</v>
      </c>
      <c r="D124" s="492">
        <v>1</v>
      </c>
      <c r="E124" s="492">
        <v>10000000</v>
      </c>
      <c r="F124" s="492">
        <f t="shared" si="38"/>
        <v>10000000</v>
      </c>
      <c r="G124" s="492">
        <f t="shared" si="30"/>
        <v>2600</v>
      </c>
      <c r="H124" s="492">
        <f t="shared" si="43"/>
        <v>3846.1538461538462</v>
      </c>
      <c r="I124" s="465">
        <v>0</v>
      </c>
      <c r="J124" s="530"/>
      <c r="K124" s="465">
        <f t="shared" si="32"/>
        <v>0</v>
      </c>
      <c r="L124" s="467">
        <f t="shared" si="39"/>
        <v>0</v>
      </c>
      <c r="M124" s="468">
        <f t="shared" si="40"/>
        <v>0</v>
      </c>
      <c r="N124" s="531"/>
      <c r="O124" s="517"/>
      <c r="P124" s="764"/>
      <c r="Q124" s="517">
        <v>0</v>
      </c>
      <c r="R124" s="517"/>
      <c r="S124" s="517"/>
      <c r="U124" s="465"/>
      <c r="V124" s="465"/>
      <c r="W124" s="465"/>
      <c r="X124" s="465"/>
      <c r="Y124" s="465"/>
      <c r="AA124" s="532">
        <f t="shared" si="41"/>
        <v>0</v>
      </c>
      <c r="AB124" s="532">
        <f t="shared" si="41"/>
        <v>0</v>
      </c>
      <c r="AC124" s="532">
        <f t="shared" si="41"/>
        <v>0</v>
      </c>
      <c r="AD124" s="532">
        <f t="shared" si="41"/>
        <v>0</v>
      </c>
      <c r="AE124" s="532">
        <f t="shared" si="41"/>
        <v>0</v>
      </c>
      <c r="AG124" s="156">
        <f t="shared" si="42"/>
        <v>0</v>
      </c>
      <c r="AH124" s="156">
        <f t="shared" si="42"/>
        <v>0</v>
      </c>
      <c r="AI124" s="156">
        <f t="shared" si="42"/>
        <v>0</v>
      </c>
      <c r="AJ124" s="156">
        <f t="shared" si="42"/>
        <v>0</v>
      </c>
      <c r="AK124" s="156">
        <f t="shared" si="42"/>
        <v>0</v>
      </c>
    </row>
    <row r="125" spans="1:37" s="418" customFormat="1" ht="15" customHeight="1" x14ac:dyDescent="0.3">
      <c r="A125" s="567"/>
      <c r="B125" s="491" t="s">
        <v>164</v>
      </c>
      <c r="C125" s="464" t="s">
        <v>59</v>
      </c>
      <c r="D125" s="492">
        <v>1</v>
      </c>
      <c r="E125" s="492">
        <v>40000000</v>
      </c>
      <c r="F125" s="492">
        <f t="shared" si="38"/>
        <v>40000000</v>
      </c>
      <c r="G125" s="492">
        <f t="shared" si="30"/>
        <v>2600</v>
      </c>
      <c r="H125" s="492">
        <f t="shared" si="43"/>
        <v>15384.615384615385</v>
      </c>
      <c r="I125" s="465">
        <v>0</v>
      </c>
      <c r="J125" s="568"/>
      <c r="K125" s="465">
        <f t="shared" si="32"/>
        <v>0</v>
      </c>
      <c r="L125" s="467">
        <f t="shared" si="39"/>
        <v>0</v>
      </c>
      <c r="M125" s="468">
        <f t="shared" si="40"/>
        <v>0</v>
      </c>
      <c r="N125" s="569"/>
      <c r="O125" s="500"/>
      <c r="P125" s="501"/>
      <c r="Q125" s="517">
        <v>0</v>
      </c>
      <c r="R125" s="500"/>
      <c r="S125" s="501"/>
      <c r="T125" s="564"/>
      <c r="U125" s="493"/>
      <c r="V125" s="493"/>
      <c r="W125" s="493"/>
      <c r="X125" s="493"/>
      <c r="Y125" s="493"/>
      <c r="AA125" s="532">
        <f t="shared" si="41"/>
        <v>0</v>
      </c>
      <c r="AB125" s="532">
        <f t="shared" si="41"/>
        <v>0</v>
      </c>
      <c r="AC125" s="532">
        <f t="shared" si="41"/>
        <v>0</v>
      </c>
      <c r="AD125" s="532">
        <f t="shared" si="41"/>
        <v>0</v>
      </c>
      <c r="AE125" s="532">
        <f t="shared" si="41"/>
        <v>0</v>
      </c>
      <c r="AG125" s="156">
        <f t="shared" si="42"/>
        <v>0</v>
      </c>
      <c r="AH125" s="156">
        <f t="shared" si="42"/>
        <v>0</v>
      </c>
      <c r="AI125" s="156">
        <f t="shared" si="42"/>
        <v>0</v>
      </c>
      <c r="AJ125" s="156">
        <f t="shared" si="42"/>
        <v>0</v>
      </c>
      <c r="AK125" s="156">
        <f t="shared" si="42"/>
        <v>0</v>
      </c>
    </row>
    <row r="126" spans="1:37" s="418" customFormat="1" ht="15" customHeight="1" x14ac:dyDescent="0.3">
      <c r="A126" s="567"/>
      <c r="B126" s="491" t="s">
        <v>3910</v>
      </c>
      <c r="C126" s="464" t="s">
        <v>59</v>
      </c>
      <c r="D126" s="492">
        <v>1</v>
      </c>
      <c r="E126" s="492">
        <v>25000000</v>
      </c>
      <c r="F126" s="492">
        <f t="shared" si="38"/>
        <v>25000000</v>
      </c>
      <c r="G126" s="492">
        <f t="shared" si="30"/>
        <v>2600</v>
      </c>
      <c r="H126" s="492">
        <f t="shared" si="43"/>
        <v>9615.3846153846152</v>
      </c>
      <c r="I126" s="465">
        <v>0</v>
      </c>
      <c r="J126" s="568"/>
      <c r="K126" s="465">
        <f t="shared" si="32"/>
        <v>6726.6126101136069</v>
      </c>
      <c r="L126" s="467">
        <f t="shared" si="39"/>
        <v>6726.6126101136069</v>
      </c>
      <c r="M126" s="468">
        <f t="shared" si="40"/>
        <v>0</v>
      </c>
      <c r="N126" s="569"/>
      <c r="O126" s="500"/>
      <c r="P126" s="501"/>
      <c r="Q126" s="517">
        <v>0</v>
      </c>
      <c r="R126" s="500"/>
      <c r="S126" s="501"/>
      <c r="T126" s="564"/>
      <c r="U126" s="493">
        <v>0</v>
      </c>
      <c r="V126" s="493">
        <v>0</v>
      </c>
      <c r="W126" s="493">
        <v>6726.6126101136069</v>
      </c>
      <c r="X126" s="493">
        <v>0</v>
      </c>
      <c r="Y126" s="493">
        <v>0</v>
      </c>
      <c r="AA126" s="532">
        <f t="shared" si="41"/>
        <v>0</v>
      </c>
      <c r="AB126" s="532">
        <f t="shared" si="41"/>
        <v>0</v>
      </c>
      <c r="AC126" s="532">
        <f t="shared" si="41"/>
        <v>6726.6126101136069</v>
      </c>
      <c r="AD126" s="532">
        <f t="shared" si="41"/>
        <v>0</v>
      </c>
      <c r="AE126" s="532">
        <f t="shared" si="41"/>
        <v>0</v>
      </c>
      <c r="AG126" s="156">
        <f t="shared" si="42"/>
        <v>0</v>
      </c>
      <c r="AH126" s="156">
        <f t="shared" si="42"/>
        <v>0</v>
      </c>
      <c r="AI126" s="156">
        <f t="shared" si="42"/>
        <v>0</v>
      </c>
      <c r="AJ126" s="156">
        <f t="shared" si="42"/>
        <v>0</v>
      </c>
      <c r="AK126" s="156">
        <f t="shared" si="42"/>
        <v>0</v>
      </c>
    </row>
    <row r="127" spans="1:37" s="418" customFormat="1" ht="15" customHeight="1" x14ac:dyDescent="0.3">
      <c r="A127" s="567"/>
      <c r="B127" s="491" t="s">
        <v>3911</v>
      </c>
      <c r="C127" s="464" t="s">
        <v>59</v>
      </c>
      <c r="D127" s="492">
        <v>1</v>
      </c>
      <c r="E127" s="492">
        <v>10000000</v>
      </c>
      <c r="F127" s="492">
        <f t="shared" si="38"/>
        <v>10000000</v>
      </c>
      <c r="G127" s="492">
        <f t="shared" si="30"/>
        <v>2600</v>
      </c>
      <c r="H127" s="492">
        <f t="shared" si="43"/>
        <v>3846.1538461538462</v>
      </c>
      <c r="I127" s="465">
        <v>4675.3846153846152</v>
      </c>
      <c r="J127" s="568"/>
      <c r="K127" s="465">
        <f t="shared" si="32"/>
        <v>4837.2088865490241</v>
      </c>
      <c r="L127" s="467">
        <f t="shared" si="39"/>
        <v>161.82427116440886</v>
      </c>
      <c r="M127" s="468">
        <f t="shared" si="40"/>
        <v>3.4611969811406962E-2</v>
      </c>
      <c r="N127" s="569"/>
      <c r="O127" s="500"/>
      <c r="P127" s="501"/>
      <c r="Q127" s="517">
        <v>4675.3846153846152</v>
      </c>
      <c r="R127" s="500"/>
      <c r="S127" s="517"/>
      <c r="U127" s="493">
        <v>0</v>
      </c>
      <c r="V127" s="493">
        <v>0</v>
      </c>
      <c r="W127" s="493">
        <v>4837.2088865490241</v>
      </c>
      <c r="X127" s="493">
        <v>0</v>
      </c>
      <c r="Y127" s="493">
        <v>0</v>
      </c>
      <c r="AA127" s="532">
        <f t="shared" si="41"/>
        <v>0</v>
      </c>
      <c r="AB127" s="532">
        <f t="shared" si="41"/>
        <v>0</v>
      </c>
      <c r="AC127" s="532">
        <f t="shared" si="41"/>
        <v>161.82427116440886</v>
      </c>
      <c r="AD127" s="532">
        <f t="shared" si="41"/>
        <v>0</v>
      </c>
      <c r="AE127" s="532">
        <f t="shared" si="41"/>
        <v>0</v>
      </c>
      <c r="AG127" s="156">
        <f t="shared" si="42"/>
        <v>0</v>
      </c>
      <c r="AH127" s="156">
        <f t="shared" si="42"/>
        <v>0</v>
      </c>
      <c r="AI127" s="156">
        <f t="shared" si="42"/>
        <v>3.4611969811406962E-2</v>
      </c>
      <c r="AJ127" s="156">
        <f t="shared" si="42"/>
        <v>0</v>
      </c>
      <c r="AK127" s="156">
        <f t="shared" si="42"/>
        <v>0</v>
      </c>
    </row>
    <row r="128" spans="1:37" s="418" customFormat="1" ht="15" customHeight="1" x14ac:dyDescent="0.3">
      <c r="A128" s="567"/>
      <c r="B128" s="491" t="s">
        <v>3912</v>
      </c>
      <c r="C128" s="464" t="s">
        <v>59</v>
      </c>
      <c r="D128" s="492">
        <v>1</v>
      </c>
      <c r="E128" s="492">
        <v>15000000</v>
      </c>
      <c r="F128" s="492">
        <f t="shared" si="38"/>
        <v>15000000</v>
      </c>
      <c r="G128" s="492">
        <f t="shared" si="30"/>
        <v>2600</v>
      </c>
      <c r="H128" s="492">
        <f t="shared" si="43"/>
        <v>5769.2307692307695</v>
      </c>
      <c r="I128" s="465">
        <v>0</v>
      </c>
      <c r="J128" s="568"/>
      <c r="K128" s="465">
        <f t="shared" si="32"/>
        <v>0</v>
      </c>
      <c r="L128" s="467">
        <f t="shared" si="39"/>
        <v>0</v>
      </c>
      <c r="M128" s="468">
        <f t="shared" si="40"/>
        <v>0</v>
      </c>
      <c r="N128" s="569"/>
      <c r="O128" s="500"/>
      <c r="P128" s="501"/>
      <c r="Q128" s="517">
        <v>0</v>
      </c>
      <c r="R128" s="500"/>
      <c r="S128" s="501"/>
      <c r="U128" s="493"/>
      <c r="V128" s="493"/>
      <c r="W128" s="493"/>
      <c r="X128" s="493"/>
      <c r="Y128" s="493"/>
      <c r="AA128" s="532">
        <f t="shared" si="41"/>
        <v>0</v>
      </c>
      <c r="AB128" s="532">
        <f t="shared" si="41"/>
        <v>0</v>
      </c>
      <c r="AC128" s="532">
        <f t="shared" si="41"/>
        <v>0</v>
      </c>
      <c r="AD128" s="532">
        <f t="shared" si="41"/>
        <v>0</v>
      </c>
      <c r="AE128" s="532">
        <f t="shared" si="41"/>
        <v>0</v>
      </c>
      <c r="AG128" s="156">
        <f t="shared" si="42"/>
        <v>0</v>
      </c>
      <c r="AH128" s="156">
        <f t="shared" si="42"/>
        <v>0</v>
      </c>
      <c r="AI128" s="156">
        <f t="shared" si="42"/>
        <v>0</v>
      </c>
      <c r="AJ128" s="156">
        <f t="shared" si="42"/>
        <v>0</v>
      </c>
      <c r="AK128" s="156">
        <f t="shared" si="42"/>
        <v>0</v>
      </c>
    </row>
    <row r="129" spans="1:37" s="146" customFormat="1" ht="15" customHeight="1" x14ac:dyDescent="0.3">
      <c r="A129" s="210"/>
      <c r="B129" s="841" t="s">
        <v>167</v>
      </c>
      <c r="C129" s="842"/>
      <c r="D129" s="842"/>
      <c r="E129" s="842"/>
      <c r="F129" s="842"/>
      <c r="G129" s="842"/>
      <c r="H129" s="843"/>
      <c r="I129" s="550"/>
      <c r="J129" s="551"/>
      <c r="K129" s="550"/>
      <c r="L129" s="552"/>
      <c r="M129" s="214"/>
      <c r="N129" s="165"/>
      <c r="O129" s="776"/>
      <c r="P129" s="777"/>
      <c r="Q129" s="776"/>
      <c r="R129" s="776"/>
      <c r="S129" s="776"/>
      <c r="T129" s="145"/>
      <c r="U129" s="550"/>
      <c r="V129" s="550"/>
      <c r="W129" s="550"/>
      <c r="X129" s="550"/>
      <c r="Y129" s="550"/>
      <c r="AA129" s="214"/>
      <c r="AB129" s="214"/>
      <c r="AC129" s="214"/>
      <c r="AD129" s="214"/>
      <c r="AE129" s="214"/>
      <c r="AG129" s="554"/>
      <c r="AH129" s="554"/>
      <c r="AI129" s="554"/>
      <c r="AJ129" s="554"/>
      <c r="AK129" s="554"/>
    </row>
    <row r="130" spans="1:37" s="159" customFormat="1" ht="15" customHeight="1" x14ac:dyDescent="0.3">
      <c r="A130" s="215"/>
      <c r="B130" s="489" t="s">
        <v>3913</v>
      </c>
      <c r="C130" s="484" t="s">
        <v>59</v>
      </c>
      <c r="D130" s="472">
        <v>1</v>
      </c>
      <c r="E130" s="472">
        <v>32000000</v>
      </c>
      <c r="F130" s="472">
        <f t="shared" ref="F130:F137" si="44">D130*E130</f>
        <v>32000000</v>
      </c>
      <c r="G130" s="472">
        <f t="shared" ref="G130:G137" si="45">$G$5</f>
        <v>2600</v>
      </c>
      <c r="H130" s="472">
        <f>IF($G$5=0,0,F130/G130)</f>
        <v>12307.692307692309</v>
      </c>
      <c r="I130" s="493">
        <v>10308</v>
      </c>
      <c r="J130" s="486"/>
      <c r="K130" s="465">
        <f t="shared" si="32"/>
        <v>17828.712806897303</v>
      </c>
      <c r="L130" s="467">
        <f t="shared" ref="L130:L138" si="46">K130-I130</f>
        <v>7520.7128068973034</v>
      </c>
      <c r="M130" s="468">
        <f t="shared" ref="M130:M138" si="47">IFERROR(L130/I130,0)</f>
        <v>0.72959961262100348</v>
      </c>
      <c r="N130" s="157"/>
      <c r="O130" s="542"/>
      <c r="P130" s="549"/>
      <c r="Q130" s="542"/>
      <c r="R130" s="542">
        <v>10308</v>
      </c>
      <c r="S130" s="542"/>
      <c r="T130" s="487"/>
      <c r="U130" s="474">
        <v>0</v>
      </c>
      <c r="V130" s="474">
        <v>0</v>
      </c>
      <c r="W130" s="474">
        <v>0</v>
      </c>
      <c r="X130" s="474">
        <v>17828.712806897303</v>
      </c>
      <c r="Y130" s="474">
        <v>0</v>
      </c>
      <c r="AA130" s="155">
        <f t="shared" ref="AA130:AE138" si="48">U130-O130</f>
        <v>0</v>
      </c>
      <c r="AB130" s="155">
        <f t="shared" si="48"/>
        <v>0</v>
      </c>
      <c r="AC130" s="155">
        <f t="shared" si="48"/>
        <v>0</v>
      </c>
      <c r="AD130" s="155">
        <f t="shared" si="48"/>
        <v>7520.7128068973034</v>
      </c>
      <c r="AE130" s="155">
        <f t="shared" si="48"/>
        <v>0</v>
      </c>
      <c r="AG130" s="156">
        <f t="shared" ref="AG130:AK138" si="49">IFERROR(AA130/O130,0)</f>
        <v>0</v>
      </c>
      <c r="AH130" s="156">
        <f t="shared" si="49"/>
        <v>0</v>
      </c>
      <c r="AI130" s="156">
        <f t="shared" si="49"/>
        <v>0</v>
      </c>
      <c r="AJ130" s="156">
        <f t="shared" si="49"/>
        <v>0.72959961262100348</v>
      </c>
      <c r="AK130" s="156">
        <f t="shared" si="49"/>
        <v>0</v>
      </c>
    </row>
    <row r="131" spans="1:37" s="159" customFormat="1" ht="15" customHeight="1" x14ac:dyDescent="0.3">
      <c r="A131" s="215"/>
      <c r="B131" s="489" t="s">
        <v>3914</v>
      </c>
      <c r="C131" s="484" t="s">
        <v>59</v>
      </c>
      <c r="D131" s="472">
        <v>2</v>
      </c>
      <c r="E131" s="472">
        <v>6000000</v>
      </c>
      <c r="F131" s="472">
        <f t="shared" si="44"/>
        <v>12000000</v>
      </c>
      <c r="G131" s="472">
        <f t="shared" si="45"/>
        <v>2600</v>
      </c>
      <c r="H131" s="472">
        <f t="shared" ref="H131:H137" si="50">IF($G$5=0,0,F131/G131)</f>
        <v>4615.3846153846152</v>
      </c>
      <c r="I131" s="493">
        <v>4615.3846153846152</v>
      </c>
      <c r="J131" s="466"/>
      <c r="K131" s="465">
        <f t="shared" si="32"/>
        <v>0</v>
      </c>
      <c r="L131" s="467">
        <f t="shared" si="46"/>
        <v>-4615.3846153846152</v>
      </c>
      <c r="M131" s="468">
        <f t="shared" si="47"/>
        <v>-1</v>
      </c>
      <c r="N131" s="469"/>
      <c r="O131" s="534"/>
      <c r="P131" s="765"/>
      <c r="Q131" s="534"/>
      <c r="R131" s="542">
        <v>4615.3846153846152</v>
      </c>
      <c r="S131" s="534"/>
      <c r="T131" s="487"/>
      <c r="U131" s="488"/>
      <c r="V131" s="488"/>
      <c r="W131" s="488"/>
      <c r="X131" s="488"/>
      <c r="Y131" s="488"/>
      <c r="AA131" s="155">
        <f t="shared" si="48"/>
        <v>0</v>
      </c>
      <c r="AB131" s="155">
        <f t="shared" si="48"/>
        <v>0</v>
      </c>
      <c r="AC131" s="155">
        <f t="shared" si="48"/>
        <v>0</v>
      </c>
      <c r="AD131" s="155">
        <f t="shared" si="48"/>
        <v>-4615.3846153846152</v>
      </c>
      <c r="AE131" s="155">
        <f t="shared" si="48"/>
        <v>0</v>
      </c>
      <c r="AG131" s="156">
        <f t="shared" si="49"/>
        <v>0</v>
      </c>
      <c r="AH131" s="156">
        <f t="shared" si="49"/>
        <v>0</v>
      </c>
      <c r="AI131" s="156">
        <f t="shared" si="49"/>
        <v>0</v>
      </c>
      <c r="AJ131" s="156">
        <f t="shared" si="49"/>
        <v>-1</v>
      </c>
      <c r="AK131" s="156">
        <f t="shared" si="49"/>
        <v>0</v>
      </c>
    </row>
    <row r="132" spans="1:37" s="159" customFormat="1" ht="15" customHeight="1" x14ac:dyDescent="0.3">
      <c r="A132" s="215"/>
      <c r="B132" s="489" t="s">
        <v>3915</v>
      </c>
      <c r="C132" s="484" t="s">
        <v>59</v>
      </c>
      <c r="D132" s="472">
        <v>2</v>
      </c>
      <c r="E132" s="472">
        <v>5000000</v>
      </c>
      <c r="F132" s="472">
        <f t="shared" si="44"/>
        <v>10000000</v>
      </c>
      <c r="G132" s="472">
        <f t="shared" si="45"/>
        <v>2600</v>
      </c>
      <c r="H132" s="472">
        <f t="shared" si="50"/>
        <v>3846.1538461538462</v>
      </c>
      <c r="I132" s="493">
        <v>3846.1538461538462</v>
      </c>
      <c r="J132" s="466"/>
      <c r="K132" s="465">
        <f t="shared" si="32"/>
        <v>0</v>
      </c>
      <c r="L132" s="467">
        <f t="shared" si="46"/>
        <v>-3846.1538461538462</v>
      </c>
      <c r="M132" s="468">
        <f t="shared" si="47"/>
        <v>-1</v>
      </c>
      <c r="N132" s="469"/>
      <c r="O132" s="534"/>
      <c r="P132" s="765"/>
      <c r="Q132" s="534"/>
      <c r="R132" s="542">
        <v>3846.1538461538462</v>
      </c>
      <c r="S132" s="534"/>
      <c r="U132" s="488"/>
      <c r="V132" s="488"/>
      <c r="W132" s="488"/>
      <c r="X132" s="488"/>
      <c r="Y132" s="488"/>
      <c r="AA132" s="155">
        <f t="shared" si="48"/>
        <v>0</v>
      </c>
      <c r="AB132" s="155">
        <f t="shared" si="48"/>
        <v>0</v>
      </c>
      <c r="AC132" s="155">
        <f t="shared" si="48"/>
        <v>0</v>
      </c>
      <c r="AD132" s="155">
        <f t="shared" si="48"/>
        <v>-3846.1538461538462</v>
      </c>
      <c r="AE132" s="155">
        <f t="shared" si="48"/>
        <v>0</v>
      </c>
      <c r="AG132" s="156">
        <f t="shared" si="49"/>
        <v>0</v>
      </c>
      <c r="AH132" s="156">
        <f t="shared" si="49"/>
        <v>0</v>
      </c>
      <c r="AI132" s="156">
        <f t="shared" si="49"/>
        <v>0</v>
      </c>
      <c r="AJ132" s="156">
        <f t="shared" si="49"/>
        <v>-1</v>
      </c>
      <c r="AK132" s="156">
        <f t="shared" si="49"/>
        <v>0</v>
      </c>
    </row>
    <row r="133" spans="1:37" s="159" customFormat="1" ht="15" customHeight="1" x14ac:dyDescent="0.3">
      <c r="A133" s="215"/>
      <c r="B133" s="489" t="s">
        <v>3916</v>
      </c>
      <c r="C133" s="484" t="s">
        <v>59</v>
      </c>
      <c r="D133" s="472">
        <v>2</v>
      </c>
      <c r="E133" s="472">
        <v>2500000</v>
      </c>
      <c r="F133" s="472">
        <f t="shared" si="44"/>
        <v>5000000</v>
      </c>
      <c r="G133" s="472">
        <f t="shared" si="45"/>
        <v>2600</v>
      </c>
      <c r="H133" s="472">
        <f t="shared" si="50"/>
        <v>1923.0769230769231</v>
      </c>
      <c r="I133" s="493">
        <v>1923.0769230769231</v>
      </c>
      <c r="J133" s="466"/>
      <c r="K133" s="465">
        <f t="shared" si="32"/>
        <v>480.37133277592784</v>
      </c>
      <c r="L133" s="467">
        <f t="shared" si="46"/>
        <v>-1442.7055903009953</v>
      </c>
      <c r="M133" s="468">
        <f t="shared" si="47"/>
        <v>-0.75020690695651748</v>
      </c>
      <c r="N133" s="469"/>
      <c r="O133" s="534"/>
      <c r="P133" s="765"/>
      <c r="Q133" s="534"/>
      <c r="R133" s="542">
        <v>1923.0769230769231</v>
      </c>
      <c r="S133" s="534"/>
      <c r="T133" s="487"/>
      <c r="U133" s="488">
        <v>0</v>
      </c>
      <c r="V133" s="488">
        <v>0</v>
      </c>
      <c r="W133" s="488">
        <v>0</v>
      </c>
      <c r="X133" s="488">
        <v>480.37133277592784</v>
      </c>
      <c r="Y133" s="488">
        <v>0</v>
      </c>
      <c r="AA133" s="155">
        <f t="shared" si="48"/>
        <v>0</v>
      </c>
      <c r="AB133" s="155">
        <f t="shared" si="48"/>
        <v>0</v>
      </c>
      <c r="AC133" s="155">
        <f t="shared" si="48"/>
        <v>0</v>
      </c>
      <c r="AD133" s="155">
        <f t="shared" si="48"/>
        <v>-1442.7055903009953</v>
      </c>
      <c r="AE133" s="155">
        <f t="shared" si="48"/>
        <v>0</v>
      </c>
      <c r="AG133" s="156">
        <f t="shared" si="49"/>
        <v>0</v>
      </c>
      <c r="AH133" s="156">
        <f t="shared" si="49"/>
        <v>0</v>
      </c>
      <c r="AI133" s="156">
        <f t="shared" si="49"/>
        <v>0</v>
      </c>
      <c r="AJ133" s="156">
        <f t="shared" si="49"/>
        <v>-0.75020690695651748</v>
      </c>
      <c r="AK133" s="156">
        <f t="shared" si="49"/>
        <v>0</v>
      </c>
    </row>
    <row r="134" spans="1:37" s="159" customFormat="1" ht="15" customHeight="1" x14ac:dyDescent="0.3">
      <c r="A134" s="215"/>
      <c r="B134" s="489" t="s">
        <v>3917</v>
      </c>
      <c r="C134" s="484" t="s">
        <v>59</v>
      </c>
      <c r="D134" s="472">
        <v>2</v>
      </c>
      <c r="E134" s="472">
        <v>10000000</v>
      </c>
      <c r="F134" s="472">
        <f t="shared" si="44"/>
        <v>20000000</v>
      </c>
      <c r="G134" s="472">
        <f t="shared" si="45"/>
        <v>2600</v>
      </c>
      <c r="H134" s="472">
        <f t="shared" si="50"/>
        <v>7692.3076923076924</v>
      </c>
      <c r="I134" s="493">
        <v>7692.3076923076924</v>
      </c>
      <c r="J134" s="466"/>
      <c r="K134" s="465">
        <f t="shared" si="32"/>
        <v>5038.8013277963273</v>
      </c>
      <c r="L134" s="467">
        <f t="shared" si="46"/>
        <v>-2653.5063645113651</v>
      </c>
      <c r="M134" s="468">
        <f t="shared" si="47"/>
        <v>-0.34495582738647745</v>
      </c>
      <c r="N134" s="469"/>
      <c r="O134" s="534"/>
      <c r="P134" s="765"/>
      <c r="Q134" s="534"/>
      <c r="R134" s="542">
        <v>7692.3076923076924</v>
      </c>
      <c r="S134" s="534"/>
      <c r="T134" s="487"/>
      <c r="U134" s="488">
        <v>0</v>
      </c>
      <c r="V134" s="488">
        <v>0</v>
      </c>
      <c r="W134" s="488">
        <v>0</v>
      </c>
      <c r="X134" s="488">
        <v>5038.8013277963273</v>
      </c>
      <c r="Y134" s="488">
        <v>0</v>
      </c>
      <c r="AA134" s="155">
        <f t="shared" si="48"/>
        <v>0</v>
      </c>
      <c r="AB134" s="155">
        <f t="shared" si="48"/>
        <v>0</v>
      </c>
      <c r="AC134" s="155">
        <f t="shared" si="48"/>
        <v>0</v>
      </c>
      <c r="AD134" s="155">
        <f t="shared" si="48"/>
        <v>-2653.5063645113651</v>
      </c>
      <c r="AE134" s="155">
        <f t="shared" si="48"/>
        <v>0</v>
      </c>
      <c r="AG134" s="156">
        <f t="shared" si="49"/>
        <v>0</v>
      </c>
      <c r="AH134" s="156">
        <f t="shared" si="49"/>
        <v>0</v>
      </c>
      <c r="AI134" s="156">
        <f t="shared" si="49"/>
        <v>0</v>
      </c>
      <c r="AJ134" s="156">
        <f t="shared" si="49"/>
        <v>-0.34495582738647745</v>
      </c>
      <c r="AK134" s="156">
        <f t="shared" si="49"/>
        <v>0</v>
      </c>
    </row>
    <row r="135" spans="1:37" s="159" customFormat="1" ht="15" customHeight="1" x14ac:dyDescent="0.3">
      <c r="A135" s="215"/>
      <c r="B135" s="489" t="s">
        <v>3918</v>
      </c>
      <c r="C135" s="484" t="s">
        <v>59</v>
      </c>
      <c r="D135" s="472">
        <v>2</v>
      </c>
      <c r="E135" s="472">
        <v>20000000</v>
      </c>
      <c r="F135" s="472">
        <f t="shared" si="44"/>
        <v>40000000</v>
      </c>
      <c r="G135" s="472">
        <f t="shared" si="45"/>
        <v>2600</v>
      </c>
      <c r="H135" s="472">
        <f t="shared" si="50"/>
        <v>15384.615384615385</v>
      </c>
      <c r="I135" s="493">
        <v>384.61538461538476</v>
      </c>
      <c r="J135" s="466"/>
      <c r="K135" s="465">
        <f t="shared" si="32"/>
        <v>2916.8325930522838</v>
      </c>
      <c r="L135" s="467">
        <f t="shared" si="46"/>
        <v>2532.217208436899</v>
      </c>
      <c r="M135" s="468">
        <f t="shared" si="47"/>
        <v>6.5837647419359353</v>
      </c>
      <c r="N135" s="469"/>
      <c r="O135" s="534"/>
      <c r="P135" s="765"/>
      <c r="Q135" s="534"/>
      <c r="R135" s="542">
        <v>384.61538461538476</v>
      </c>
      <c r="S135" s="534"/>
      <c r="U135" s="488">
        <v>0</v>
      </c>
      <c r="V135" s="488">
        <v>0</v>
      </c>
      <c r="W135" s="488">
        <v>0</v>
      </c>
      <c r="X135" s="488">
        <v>2916.8325930522838</v>
      </c>
      <c r="Y135" s="488">
        <v>0</v>
      </c>
      <c r="AA135" s="155">
        <f t="shared" si="48"/>
        <v>0</v>
      </c>
      <c r="AB135" s="155">
        <f t="shared" si="48"/>
        <v>0</v>
      </c>
      <c r="AC135" s="155">
        <f t="shared" si="48"/>
        <v>0</v>
      </c>
      <c r="AD135" s="155">
        <f t="shared" si="48"/>
        <v>2532.217208436899</v>
      </c>
      <c r="AE135" s="155">
        <f t="shared" si="48"/>
        <v>0</v>
      </c>
      <c r="AG135" s="156">
        <f t="shared" si="49"/>
        <v>0</v>
      </c>
      <c r="AH135" s="156">
        <f t="shared" si="49"/>
        <v>0</v>
      </c>
      <c r="AI135" s="156">
        <f t="shared" si="49"/>
        <v>0</v>
      </c>
      <c r="AJ135" s="156">
        <f t="shared" si="49"/>
        <v>6.5837647419359353</v>
      </c>
      <c r="AK135" s="156">
        <f t="shared" si="49"/>
        <v>0</v>
      </c>
    </row>
    <row r="136" spans="1:37" s="159" customFormat="1" ht="15" customHeight="1" x14ac:dyDescent="0.3">
      <c r="A136" s="215"/>
      <c r="B136" s="489" t="s">
        <v>3919</v>
      </c>
      <c r="C136" s="484" t="s">
        <v>59</v>
      </c>
      <c r="D136" s="472">
        <v>1</v>
      </c>
      <c r="E136" s="472">
        <v>30000000</v>
      </c>
      <c r="F136" s="472">
        <f t="shared" si="44"/>
        <v>30000000</v>
      </c>
      <c r="G136" s="472">
        <f t="shared" si="45"/>
        <v>2600</v>
      </c>
      <c r="H136" s="472">
        <f t="shared" si="50"/>
        <v>11538.461538461539</v>
      </c>
      <c r="I136" s="493">
        <v>2165</v>
      </c>
      <c r="J136" s="570"/>
      <c r="K136" s="465">
        <f t="shared" si="32"/>
        <v>0</v>
      </c>
      <c r="L136" s="467">
        <f t="shared" si="46"/>
        <v>-2165</v>
      </c>
      <c r="M136" s="468">
        <f t="shared" si="47"/>
        <v>-1</v>
      </c>
      <c r="N136" s="223"/>
      <c r="O136" s="779"/>
      <c r="P136" s="780"/>
      <c r="Q136" s="779"/>
      <c r="R136" s="542">
        <v>2165</v>
      </c>
      <c r="S136" s="779"/>
      <c r="T136" s="487"/>
      <c r="U136" s="472"/>
      <c r="V136" s="472"/>
      <c r="W136" s="472"/>
      <c r="X136" s="472"/>
      <c r="Y136" s="472"/>
      <c r="AA136" s="155">
        <f t="shared" si="48"/>
        <v>0</v>
      </c>
      <c r="AB136" s="155">
        <f t="shared" si="48"/>
        <v>0</v>
      </c>
      <c r="AC136" s="155">
        <f t="shared" si="48"/>
        <v>0</v>
      </c>
      <c r="AD136" s="155">
        <f t="shared" si="48"/>
        <v>-2165</v>
      </c>
      <c r="AE136" s="155">
        <f t="shared" si="48"/>
        <v>0</v>
      </c>
      <c r="AG136" s="156">
        <f t="shared" si="49"/>
        <v>0</v>
      </c>
      <c r="AH136" s="156">
        <f t="shared" si="49"/>
        <v>0</v>
      </c>
      <c r="AI136" s="156">
        <f t="shared" si="49"/>
        <v>0</v>
      </c>
      <c r="AJ136" s="156">
        <f t="shared" si="49"/>
        <v>-1</v>
      </c>
      <c r="AK136" s="156">
        <f t="shared" si="49"/>
        <v>0</v>
      </c>
    </row>
    <row r="137" spans="1:37" s="159" customFormat="1" ht="15" customHeight="1" x14ac:dyDescent="0.3">
      <c r="A137" s="215"/>
      <c r="B137" s="489" t="s">
        <v>3920</v>
      </c>
      <c r="C137" s="484" t="s">
        <v>59</v>
      </c>
      <c r="D137" s="472">
        <v>1</v>
      </c>
      <c r="E137" s="472">
        <v>20000000</v>
      </c>
      <c r="F137" s="472">
        <f t="shared" si="44"/>
        <v>20000000</v>
      </c>
      <c r="G137" s="472">
        <f t="shared" si="45"/>
        <v>2600</v>
      </c>
      <c r="H137" s="472">
        <f t="shared" si="50"/>
        <v>7692.3076923076924</v>
      </c>
      <c r="I137" s="493">
        <v>0</v>
      </c>
      <c r="J137" s="570"/>
      <c r="K137" s="465">
        <f t="shared" si="32"/>
        <v>0</v>
      </c>
      <c r="L137" s="467">
        <f t="shared" si="46"/>
        <v>0</v>
      </c>
      <c r="M137" s="468">
        <f t="shared" si="47"/>
        <v>0</v>
      </c>
      <c r="N137" s="223"/>
      <c r="O137" s="779"/>
      <c r="P137" s="780"/>
      <c r="Q137" s="779"/>
      <c r="R137" s="542">
        <v>0</v>
      </c>
      <c r="S137" s="779"/>
      <c r="T137" s="487"/>
      <c r="U137" s="472"/>
      <c r="V137" s="472"/>
      <c r="W137" s="472"/>
      <c r="X137" s="472"/>
      <c r="Y137" s="472"/>
      <c r="AA137" s="155">
        <f t="shared" si="48"/>
        <v>0</v>
      </c>
      <c r="AB137" s="155">
        <f t="shared" si="48"/>
        <v>0</v>
      </c>
      <c r="AC137" s="155">
        <f t="shared" si="48"/>
        <v>0</v>
      </c>
      <c r="AD137" s="155">
        <f t="shared" si="48"/>
        <v>0</v>
      </c>
      <c r="AE137" s="155">
        <f t="shared" si="48"/>
        <v>0</v>
      </c>
      <c r="AG137" s="156">
        <f t="shared" si="49"/>
        <v>0</v>
      </c>
      <c r="AH137" s="156">
        <f t="shared" si="49"/>
        <v>0</v>
      </c>
      <c r="AI137" s="156">
        <f t="shared" si="49"/>
        <v>0</v>
      </c>
      <c r="AJ137" s="156">
        <f t="shared" si="49"/>
        <v>0</v>
      </c>
      <c r="AK137" s="156">
        <f t="shared" si="49"/>
        <v>0</v>
      </c>
    </row>
    <row r="138" spans="1:37" s="159" customFormat="1" ht="15" customHeight="1" x14ac:dyDescent="0.3">
      <c r="A138" s="215"/>
      <c r="B138" s="489" t="s">
        <v>3921</v>
      </c>
      <c r="C138" s="484" t="s">
        <v>59</v>
      </c>
      <c r="D138" s="472">
        <v>1</v>
      </c>
      <c r="E138" s="472">
        <v>92500000</v>
      </c>
      <c r="F138" s="472">
        <f>D138*E138</f>
        <v>92500000</v>
      </c>
      <c r="G138" s="472">
        <f t="shared" si="30"/>
        <v>2600</v>
      </c>
      <c r="H138" s="472">
        <f>IF($G$5=0,0,F138/G138)</f>
        <v>35576.923076923078</v>
      </c>
      <c r="I138" s="493">
        <f>20576.9230769231-15840</f>
        <v>4736.9230769230999</v>
      </c>
      <c r="J138" s="466"/>
      <c r="K138" s="465">
        <f t="shared" si="32"/>
        <v>2754.7863378827124</v>
      </c>
      <c r="L138" s="467">
        <f t="shared" si="46"/>
        <v>-1982.1367390403875</v>
      </c>
      <c r="M138" s="468">
        <f t="shared" si="47"/>
        <v>-0.41844393646516587</v>
      </c>
      <c r="N138" s="469"/>
      <c r="O138" s="534"/>
      <c r="P138" s="765"/>
      <c r="Q138" s="534"/>
      <c r="R138" s="542">
        <v>4736.9230769230999</v>
      </c>
      <c r="S138" s="534"/>
      <c r="U138" s="488">
        <v>0</v>
      </c>
      <c r="V138" s="488">
        <v>0</v>
      </c>
      <c r="W138" s="488">
        <v>0</v>
      </c>
      <c r="X138" s="488">
        <v>2754.7863378827124</v>
      </c>
      <c r="Y138" s="488">
        <v>0</v>
      </c>
      <c r="AA138" s="155">
        <f t="shared" si="48"/>
        <v>0</v>
      </c>
      <c r="AB138" s="155">
        <f t="shared" si="48"/>
        <v>0</v>
      </c>
      <c r="AC138" s="155">
        <f t="shared" si="48"/>
        <v>0</v>
      </c>
      <c r="AD138" s="155">
        <f t="shared" si="48"/>
        <v>-1982.1367390403875</v>
      </c>
      <c r="AE138" s="155">
        <f t="shared" si="48"/>
        <v>0</v>
      </c>
      <c r="AG138" s="156">
        <f t="shared" si="49"/>
        <v>0</v>
      </c>
      <c r="AH138" s="156">
        <f t="shared" si="49"/>
        <v>0</v>
      </c>
      <c r="AI138" s="156">
        <f t="shared" si="49"/>
        <v>0</v>
      </c>
      <c r="AJ138" s="156">
        <f t="shared" si="49"/>
        <v>-0.41844393646516587</v>
      </c>
      <c r="AK138" s="156">
        <f t="shared" si="49"/>
        <v>0</v>
      </c>
    </row>
    <row r="139" spans="1:37" s="159" customFormat="1" ht="47.25" customHeight="1" x14ac:dyDescent="0.3">
      <c r="A139" s="215"/>
      <c r="B139" s="841" t="s">
        <v>3922</v>
      </c>
      <c r="C139" s="842"/>
      <c r="D139" s="842"/>
      <c r="E139" s="842"/>
      <c r="F139" s="842"/>
      <c r="G139" s="842"/>
      <c r="H139" s="842"/>
      <c r="I139" s="843"/>
      <c r="J139" s="466"/>
      <c r="K139" s="550"/>
      <c r="L139" s="552"/>
      <c r="M139" s="550"/>
      <c r="N139" s="469"/>
      <c r="O139" s="776"/>
      <c r="P139" s="776"/>
      <c r="Q139" s="776"/>
      <c r="R139" s="776"/>
      <c r="S139" s="776"/>
      <c r="U139" s="550"/>
      <c r="V139" s="550"/>
      <c r="W139" s="550"/>
      <c r="X139" s="550"/>
      <c r="Y139" s="550"/>
      <c r="AA139" s="550"/>
      <c r="AB139" s="550"/>
      <c r="AC139" s="550"/>
      <c r="AD139" s="550"/>
      <c r="AE139" s="550"/>
      <c r="AG139" s="550"/>
      <c r="AH139" s="550"/>
      <c r="AI139" s="550"/>
      <c r="AJ139" s="550"/>
      <c r="AK139" s="550"/>
    </row>
    <row r="140" spans="1:37" s="575" customFormat="1" ht="15" customHeight="1" x14ac:dyDescent="0.3">
      <c r="A140" s="185"/>
      <c r="B140" s="489" t="s">
        <v>3923</v>
      </c>
      <c r="C140" s="484" t="s">
        <v>3856</v>
      </c>
      <c r="D140" s="472">
        <v>12</v>
      </c>
      <c r="E140" s="472">
        <v>300000</v>
      </c>
      <c r="F140" s="472">
        <f t="shared" ref="F140:F166" si="51">D140*E140</f>
        <v>3600000</v>
      </c>
      <c r="G140" s="472">
        <f t="shared" si="30"/>
        <v>2600</v>
      </c>
      <c r="H140" s="571"/>
      <c r="I140" s="493">
        <v>9076.5384615384592</v>
      </c>
      <c r="J140" s="572"/>
      <c r="K140" s="465">
        <f t="shared" si="32"/>
        <v>8358.6018412413359</v>
      </c>
      <c r="L140" s="467">
        <f t="shared" ref="L140:L182" si="52">K140-I140</f>
        <v>-717.93662029712323</v>
      </c>
      <c r="M140" s="468">
        <f t="shared" ref="M140:M167" si="53">IFERROR(L140/I140,0)</f>
        <v>-7.9098064018497435E-2</v>
      </c>
      <c r="N140" s="253"/>
      <c r="O140" s="781"/>
      <c r="P140" s="782"/>
      <c r="Q140" s="781"/>
      <c r="R140" s="783"/>
      <c r="S140" s="779">
        <v>9076.5384615384592</v>
      </c>
      <c r="T140" s="574"/>
      <c r="U140" s="472">
        <v>0</v>
      </c>
      <c r="V140" s="472">
        <v>0</v>
      </c>
      <c r="W140" s="472">
        <v>0</v>
      </c>
      <c r="X140" s="472">
        <v>0</v>
      </c>
      <c r="Y140" s="472">
        <v>8358.6018412413359</v>
      </c>
      <c r="AA140" s="155">
        <f t="shared" ref="AA140:AE184" si="54">U140-O140</f>
        <v>0</v>
      </c>
      <c r="AB140" s="155">
        <f t="shared" si="54"/>
        <v>0</v>
      </c>
      <c r="AC140" s="155">
        <f t="shared" si="54"/>
        <v>0</v>
      </c>
      <c r="AD140" s="155">
        <f t="shared" si="54"/>
        <v>0</v>
      </c>
      <c r="AE140" s="155">
        <f t="shared" si="54"/>
        <v>-717.93662029712323</v>
      </c>
      <c r="AF140" s="159"/>
      <c r="AG140" s="156">
        <f t="shared" ref="AG140:AK184" si="55">IFERROR(AA140/O140,0)</f>
        <v>0</v>
      </c>
      <c r="AH140" s="156">
        <f t="shared" si="55"/>
        <v>0</v>
      </c>
      <c r="AI140" s="156">
        <f t="shared" si="55"/>
        <v>0</v>
      </c>
      <c r="AJ140" s="156">
        <f t="shared" si="55"/>
        <v>0</v>
      </c>
      <c r="AK140" s="156">
        <f t="shared" si="55"/>
        <v>-7.9098064018497435E-2</v>
      </c>
    </row>
    <row r="141" spans="1:37" s="575" customFormat="1" ht="15" customHeight="1" x14ac:dyDescent="0.3">
      <c r="A141" s="185"/>
      <c r="B141" s="489" t="s">
        <v>3924</v>
      </c>
      <c r="C141" s="484" t="s">
        <v>3925</v>
      </c>
      <c r="D141" s="472">
        <v>1</v>
      </c>
      <c r="E141" s="472">
        <v>5050000</v>
      </c>
      <c r="F141" s="472">
        <f t="shared" si="51"/>
        <v>5050000</v>
      </c>
      <c r="G141" s="472">
        <f t="shared" si="30"/>
        <v>2600</v>
      </c>
      <c r="H141" s="571"/>
      <c r="I141" s="493">
        <v>1942.3076923076924</v>
      </c>
      <c r="J141" s="572"/>
      <c r="K141" s="465">
        <f t="shared" si="32"/>
        <v>1981.2433760640629</v>
      </c>
      <c r="L141" s="467">
        <f t="shared" si="52"/>
        <v>38.935683756370508</v>
      </c>
      <c r="M141" s="468">
        <f t="shared" si="53"/>
        <v>2.0046094607240262E-2</v>
      </c>
      <c r="N141" s="253"/>
      <c r="O141" s="781"/>
      <c r="P141" s="782"/>
      <c r="Q141" s="781"/>
      <c r="R141" s="783"/>
      <c r="S141" s="779">
        <v>1942.3076923076924</v>
      </c>
      <c r="T141" s="574"/>
      <c r="U141" s="472">
        <v>0</v>
      </c>
      <c r="V141" s="472">
        <v>0</v>
      </c>
      <c r="W141" s="472">
        <v>0</v>
      </c>
      <c r="X141" s="472">
        <v>0</v>
      </c>
      <c r="Y141" s="472">
        <v>1981.2433760640629</v>
      </c>
      <c r="AA141" s="155">
        <f t="shared" si="54"/>
        <v>0</v>
      </c>
      <c r="AB141" s="155">
        <f t="shared" si="54"/>
        <v>0</v>
      </c>
      <c r="AC141" s="155">
        <f t="shared" si="54"/>
        <v>0</v>
      </c>
      <c r="AD141" s="155">
        <f t="shared" si="54"/>
        <v>0</v>
      </c>
      <c r="AE141" s="155">
        <f t="shared" si="54"/>
        <v>38.935683756370508</v>
      </c>
      <c r="AF141" s="159"/>
      <c r="AG141" s="156">
        <f t="shared" si="55"/>
        <v>0</v>
      </c>
      <c r="AH141" s="156">
        <f t="shared" si="55"/>
        <v>0</v>
      </c>
      <c r="AI141" s="156">
        <f t="shared" si="55"/>
        <v>0</v>
      </c>
      <c r="AJ141" s="156">
        <f t="shared" si="55"/>
        <v>0</v>
      </c>
      <c r="AK141" s="156">
        <f t="shared" si="55"/>
        <v>2.0046094607240262E-2</v>
      </c>
    </row>
    <row r="142" spans="1:37" s="575" customFormat="1" ht="15" customHeight="1" x14ac:dyDescent="0.3">
      <c r="A142" s="185"/>
      <c r="B142" s="489" t="s">
        <v>3926</v>
      </c>
      <c r="C142" s="484" t="s">
        <v>65</v>
      </c>
      <c r="D142" s="472">
        <v>12</v>
      </c>
      <c r="E142" s="472">
        <v>25000</v>
      </c>
      <c r="F142" s="472">
        <f t="shared" si="51"/>
        <v>300000</v>
      </c>
      <c r="G142" s="472">
        <f t="shared" si="30"/>
        <v>2600</v>
      </c>
      <c r="H142" s="571"/>
      <c r="I142" s="493">
        <v>115.38461538461539</v>
      </c>
      <c r="J142" s="572"/>
      <c r="K142" s="465">
        <f t="shared" si="32"/>
        <v>104.4835555720221</v>
      </c>
      <c r="L142" s="467">
        <f t="shared" si="52"/>
        <v>-10.901059812593289</v>
      </c>
      <c r="M142" s="468">
        <f t="shared" si="53"/>
        <v>-9.4475851709141828E-2</v>
      </c>
      <c r="N142" s="253"/>
      <c r="O142" s="781"/>
      <c r="P142" s="782"/>
      <c r="Q142" s="781"/>
      <c r="R142" s="783"/>
      <c r="S142" s="779">
        <v>115.38461538461539</v>
      </c>
      <c r="T142" s="574"/>
      <c r="U142" s="472">
        <v>0</v>
      </c>
      <c r="V142" s="472">
        <v>0</v>
      </c>
      <c r="W142" s="472">
        <v>0</v>
      </c>
      <c r="X142" s="472">
        <v>0</v>
      </c>
      <c r="Y142" s="472">
        <v>104.4835555720221</v>
      </c>
      <c r="AA142" s="155">
        <f t="shared" si="54"/>
        <v>0</v>
      </c>
      <c r="AB142" s="155">
        <f t="shared" si="54"/>
        <v>0</v>
      </c>
      <c r="AC142" s="155">
        <f t="shared" si="54"/>
        <v>0</v>
      </c>
      <c r="AD142" s="155">
        <f t="shared" si="54"/>
        <v>0</v>
      </c>
      <c r="AE142" s="155">
        <f t="shared" si="54"/>
        <v>-10.901059812593289</v>
      </c>
      <c r="AF142" s="159"/>
      <c r="AG142" s="156">
        <f t="shared" si="55"/>
        <v>0</v>
      </c>
      <c r="AH142" s="156">
        <f t="shared" si="55"/>
        <v>0</v>
      </c>
      <c r="AI142" s="156">
        <f t="shared" si="55"/>
        <v>0</v>
      </c>
      <c r="AJ142" s="156">
        <f t="shared" si="55"/>
        <v>0</v>
      </c>
      <c r="AK142" s="156">
        <f t="shared" si="55"/>
        <v>-9.4475851709141828E-2</v>
      </c>
    </row>
    <row r="143" spans="1:37" s="575" customFormat="1" ht="15" customHeight="1" x14ac:dyDescent="0.3">
      <c r="A143" s="185"/>
      <c r="B143" s="489" t="s">
        <v>3927</v>
      </c>
      <c r="C143" s="484" t="s">
        <v>65</v>
      </c>
      <c r="D143" s="472">
        <v>10</v>
      </c>
      <c r="E143" s="472">
        <v>25000</v>
      </c>
      <c r="F143" s="472">
        <f t="shared" si="51"/>
        <v>250000</v>
      </c>
      <c r="G143" s="472">
        <f t="shared" si="30"/>
        <v>2600</v>
      </c>
      <c r="H143" s="571"/>
      <c r="I143" s="493">
        <v>96.15384615384616</v>
      </c>
      <c r="J143" s="572"/>
      <c r="K143" s="465">
        <f t="shared" si="32"/>
        <v>87.069629643351746</v>
      </c>
      <c r="L143" s="467">
        <f t="shared" si="52"/>
        <v>-9.0842165104944144</v>
      </c>
      <c r="M143" s="468">
        <f t="shared" si="53"/>
        <v>-9.4475851709141898E-2</v>
      </c>
      <c r="N143" s="253"/>
      <c r="O143" s="781"/>
      <c r="P143" s="782"/>
      <c r="Q143" s="781"/>
      <c r="R143" s="783"/>
      <c r="S143" s="779">
        <v>96.15384615384616</v>
      </c>
      <c r="T143" s="574"/>
      <c r="U143" s="472">
        <v>0</v>
      </c>
      <c r="V143" s="472">
        <v>0</v>
      </c>
      <c r="W143" s="472">
        <v>0</v>
      </c>
      <c r="X143" s="472">
        <v>0</v>
      </c>
      <c r="Y143" s="472">
        <v>87.069629643351746</v>
      </c>
      <c r="AA143" s="155">
        <f t="shared" si="54"/>
        <v>0</v>
      </c>
      <c r="AB143" s="155">
        <f t="shared" si="54"/>
        <v>0</v>
      </c>
      <c r="AC143" s="155">
        <f t="shared" si="54"/>
        <v>0</v>
      </c>
      <c r="AD143" s="155">
        <f t="shared" si="54"/>
        <v>0</v>
      </c>
      <c r="AE143" s="155">
        <f t="shared" si="54"/>
        <v>-9.0842165104944144</v>
      </c>
      <c r="AF143" s="159"/>
      <c r="AG143" s="156">
        <f t="shared" si="55"/>
        <v>0</v>
      </c>
      <c r="AH143" s="156">
        <f t="shared" si="55"/>
        <v>0</v>
      </c>
      <c r="AI143" s="156">
        <f t="shared" si="55"/>
        <v>0</v>
      </c>
      <c r="AJ143" s="156">
        <f t="shared" si="55"/>
        <v>0</v>
      </c>
      <c r="AK143" s="156">
        <f t="shared" si="55"/>
        <v>-9.4475851709141898E-2</v>
      </c>
    </row>
    <row r="144" spans="1:37" s="575" customFormat="1" ht="15" customHeight="1" x14ac:dyDescent="0.3">
      <c r="A144" s="185"/>
      <c r="B144" s="489" t="s">
        <v>3928</v>
      </c>
      <c r="C144" s="484" t="s">
        <v>65</v>
      </c>
      <c r="D144" s="472">
        <v>10</v>
      </c>
      <c r="E144" s="472">
        <v>25000</v>
      </c>
      <c r="F144" s="472">
        <f t="shared" si="51"/>
        <v>250000</v>
      </c>
      <c r="G144" s="472">
        <f t="shared" si="30"/>
        <v>2600</v>
      </c>
      <c r="H144" s="571"/>
      <c r="I144" s="493">
        <v>96.15384615384616</v>
      </c>
      <c r="J144" s="572"/>
      <c r="K144" s="465">
        <f t="shared" si="32"/>
        <v>87.069629643351746</v>
      </c>
      <c r="L144" s="467">
        <f t="shared" si="52"/>
        <v>-9.0842165104944144</v>
      </c>
      <c r="M144" s="468">
        <f t="shared" si="53"/>
        <v>-9.4475851709141898E-2</v>
      </c>
      <c r="N144" s="253"/>
      <c r="O144" s="781"/>
      <c r="P144" s="782"/>
      <c r="Q144" s="781"/>
      <c r="R144" s="783"/>
      <c r="S144" s="779">
        <v>96.15384615384616</v>
      </c>
      <c r="T144" s="574"/>
      <c r="U144" s="472">
        <v>0</v>
      </c>
      <c r="V144" s="472">
        <v>0</v>
      </c>
      <c r="W144" s="472">
        <v>0</v>
      </c>
      <c r="X144" s="472">
        <v>0</v>
      </c>
      <c r="Y144" s="472">
        <v>87.069629643351746</v>
      </c>
      <c r="AA144" s="155">
        <f t="shared" si="54"/>
        <v>0</v>
      </c>
      <c r="AB144" s="155">
        <f t="shared" si="54"/>
        <v>0</v>
      </c>
      <c r="AC144" s="155">
        <f t="shared" si="54"/>
        <v>0</v>
      </c>
      <c r="AD144" s="155">
        <f t="shared" si="54"/>
        <v>0</v>
      </c>
      <c r="AE144" s="155">
        <f t="shared" si="54"/>
        <v>-9.0842165104944144</v>
      </c>
      <c r="AF144" s="159"/>
      <c r="AG144" s="156">
        <f t="shared" si="55"/>
        <v>0</v>
      </c>
      <c r="AH144" s="156">
        <f t="shared" si="55"/>
        <v>0</v>
      </c>
      <c r="AI144" s="156">
        <f t="shared" si="55"/>
        <v>0</v>
      </c>
      <c r="AJ144" s="156">
        <f t="shared" si="55"/>
        <v>0</v>
      </c>
      <c r="AK144" s="156">
        <f t="shared" si="55"/>
        <v>-9.4475851709141898E-2</v>
      </c>
    </row>
    <row r="145" spans="1:99" s="575" customFormat="1" ht="15" customHeight="1" x14ac:dyDescent="0.3">
      <c r="A145" s="185"/>
      <c r="B145" s="489" t="s">
        <v>3929</v>
      </c>
      <c r="C145" s="484" t="s">
        <v>65</v>
      </c>
      <c r="D145" s="472">
        <v>10</v>
      </c>
      <c r="E145" s="472">
        <v>25000</v>
      </c>
      <c r="F145" s="472">
        <f t="shared" si="51"/>
        <v>250000</v>
      </c>
      <c r="G145" s="472">
        <f t="shared" si="30"/>
        <v>2600</v>
      </c>
      <c r="H145" s="571"/>
      <c r="I145" s="493">
        <v>96.15384615384616</v>
      </c>
      <c r="J145" s="572"/>
      <c r="K145" s="465">
        <f t="shared" si="32"/>
        <v>87.069629643351746</v>
      </c>
      <c r="L145" s="467">
        <f t="shared" si="52"/>
        <v>-9.0842165104944144</v>
      </c>
      <c r="M145" s="468">
        <f t="shared" si="53"/>
        <v>-9.4475851709141898E-2</v>
      </c>
      <c r="N145" s="253"/>
      <c r="O145" s="781"/>
      <c r="P145" s="782"/>
      <c r="Q145" s="781"/>
      <c r="R145" s="783"/>
      <c r="S145" s="779">
        <v>96.15384615384616</v>
      </c>
      <c r="T145" s="574"/>
      <c r="U145" s="472">
        <v>0</v>
      </c>
      <c r="V145" s="472">
        <v>0</v>
      </c>
      <c r="W145" s="472">
        <v>0</v>
      </c>
      <c r="X145" s="472">
        <v>0</v>
      </c>
      <c r="Y145" s="472">
        <v>87.069629643351746</v>
      </c>
      <c r="AA145" s="155">
        <f t="shared" si="54"/>
        <v>0</v>
      </c>
      <c r="AB145" s="155">
        <f t="shared" si="54"/>
        <v>0</v>
      </c>
      <c r="AC145" s="155">
        <f t="shared" si="54"/>
        <v>0</v>
      </c>
      <c r="AD145" s="155">
        <f t="shared" si="54"/>
        <v>0</v>
      </c>
      <c r="AE145" s="155">
        <f t="shared" si="54"/>
        <v>-9.0842165104944144</v>
      </c>
      <c r="AF145" s="159"/>
      <c r="AG145" s="156">
        <f t="shared" si="55"/>
        <v>0</v>
      </c>
      <c r="AH145" s="156">
        <f t="shared" si="55"/>
        <v>0</v>
      </c>
      <c r="AI145" s="156">
        <f t="shared" si="55"/>
        <v>0</v>
      </c>
      <c r="AJ145" s="156">
        <f t="shared" si="55"/>
        <v>0</v>
      </c>
      <c r="AK145" s="156">
        <f t="shared" si="55"/>
        <v>-9.4475851709141898E-2</v>
      </c>
    </row>
    <row r="146" spans="1:99" s="575" customFormat="1" ht="15" customHeight="1" x14ac:dyDescent="0.3">
      <c r="A146" s="185"/>
      <c r="B146" s="489" t="s">
        <v>3930</v>
      </c>
      <c r="C146" s="484" t="s">
        <v>65</v>
      </c>
      <c r="D146" s="472">
        <v>70</v>
      </c>
      <c r="E146" s="472">
        <v>15000</v>
      </c>
      <c r="F146" s="472">
        <f t="shared" si="51"/>
        <v>1050000</v>
      </c>
      <c r="G146" s="472">
        <f t="shared" si="30"/>
        <v>2600</v>
      </c>
      <c r="H146" s="571"/>
      <c r="I146" s="493">
        <v>403.84615384615387</v>
      </c>
      <c r="J146" s="572"/>
      <c r="K146" s="465">
        <f t="shared" si="32"/>
        <v>351.62735048276664</v>
      </c>
      <c r="L146" s="467">
        <f t="shared" si="52"/>
        <v>-52.218803363387224</v>
      </c>
      <c r="M146" s="468">
        <f t="shared" si="53"/>
        <v>-0.12930370356648263</v>
      </c>
      <c r="N146" s="253"/>
      <c r="O146" s="781"/>
      <c r="P146" s="782"/>
      <c r="Q146" s="781"/>
      <c r="R146" s="783"/>
      <c r="S146" s="779">
        <v>403.84615384615387</v>
      </c>
      <c r="T146" s="574"/>
      <c r="U146" s="472">
        <v>0</v>
      </c>
      <c r="V146" s="472">
        <v>0</v>
      </c>
      <c r="W146" s="472">
        <v>0</v>
      </c>
      <c r="X146" s="472">
        <v>0</v>
      </c>
      <c r="Y146" s="472">
        <v>351.62735048276664</v>
      </c>
      <c r="AA146" s="155">
        <f t="shared" si="54"/>
        <v>0</v>
      </c>
      <c r="AB146" s="155">
        <f t="shared" si="54"/>
        <v>0</v>
      </c>
      <c r="AC146" s="155">
        <f t="shared" si="54"/>
        <v>0</v>
      </c>
      <c r="AD146" s="155">
        <f t="shared" si="54"/>
        <v>0</v>
      </c>
      <c r="AE146" s="155">
        <f t="shared" si="54"/>
        <v>-52.218803363387224</v>
      </c>
      <c r="AF146" s="159"/>
      <c r="AG146" s="156">
        <f t="shared" si="55"/>
        <v>0</v>
      </c>
      <c r="AH146" s="156">
        <f t="shared" si="55"/>
        <v>0</v>
      </c>
      <c r="AI146" s="156">
        <f t="shared" si="55"/>
        <v>0</v>
      </c>
      <c r="AJ146" s="156">
        <f t="shared" si="55"/>
        <v>0</v>
      </c>
      <c r="AK146" s="156">
        <f t="shared" si="55"/>
        <v>-0.12930370356648263</v>
      </c>
    </row>
    <row r="147" spans="1:99" s="575" customFormat="1" ht="15" customHeight="1" x14ac:dyDescent="0.3">
      <c r="A147" s="185"/>
      <c r="B147" s="489" t="s">
        <v>3931</v>
      </c>
      <c r="C147" s="484" t="s">
        <v>65</v>
      </c>
      <c r="D147" s="472">
        <v>70</v>
      </c>
      <c r="E147" s="472">
        <v>15000</v>
      </c>
      <c r="F147" s="472">
        <f t="shared" si="51"/>
        <v>1050000</v>
      </c>
      <c r="G147" s="472">
        <f t="shared" si="30"/>
        <v>2600</v>
      </c>
      <c r="H147" s="571"/>
      <c r="I147" s="474">
        <v>9819.2307692307695</v>
      </c>
      <c r="J147" s="572"/>
      <c r="K147" s="465">
        <f t="shared" si="32"/>
        <v>9035.3717469130461</v>
      </c>
      <c r="L147" s="467">
        <f t="shared" si="52"/>
        <v>-783.85902231772343</v>
      </c>
      <c r="M147" s="468">
        <f t="shared" si="53"/>
        <v>-7.9828964278342379E-2</v>
      </c>
      <c r="N147" s="253"/>
      <c r="O147" s="781"/>
      <c r="P147" s="782"/>
      <c r="Q147" s="781"/>
      <c r="R147" s="783"/>
      <c r="S147" s="779">
        <v>9819.2307692307695</v>
      </c>
      <c r="T147" s="574"/>
      <c r="U147" s="472">
        <v>0</v>
      </c>
      <c r="V147" s="472">
        <v>0</v>
      </c>
      <c r="W147" s="472">
        <v>0</v>
      </c>
      <c r="X147" s="472">
        <v>0</v>
      </c>
      <c r="Y147" s="472">
        <v>9035.3717469130461</v>
      </c>
      <c r="AA147" s="155">
        <f t="shared" si="54"/>
        <v>0</v>
      </c>
      <c r="AB147" s="155">
        <f t="shared" si="54"/>
        <v>0</v>
      </c>
      <c r="AC147" s="155">
        <f t="shared" si="54"/>
        <v>0</v>
      </c>
      <c r="AD147" s="155">
        <f t="shared" si="54"/>
        <v>0</v>
      </c>
      <c r="AE147" s="155">
        <f t="shared" si="54"/>
        <v>-783.85902231772343</v>
      </c>
      <c r="AF147" s="159"/>
      <c r="AG147" s="156">
        <f t="shared" si="55"/>
        <v>0</v>
      </c>
      <c r="AH147" s="156">
        <f t="shared" si="55"/>
        <v>0</v>
      </c>
      <c r="AI147" s="156">
        <f t="shared" si="55"/>
        <v>0</v>
      </c>
      <c r="AJ147" s="156">
        <f t="shared" si="55"/>
        <v>0</v>
      </c>
      <c r="AK147" s="156">
        <f t="shared" si="55"/>
        <v>-7.9828964278342379E-2</v>
      </c>
    </row>
    <row r="148" spans="1:99" s="575" customFormat="1" ht="15" customHeight="1" x14ac:dyDescent="0.3">
      <c r="A148" s="185"/>
      <c r="B148" s="489" t="s">
        <v>3932</v>
      </c>
      <c r="C148" s="484" t="s">
        <v>3933</v>
      </c>
      <c r="D148" s="472">
        <v>288</v>
      </c>
      <c r="E148" s="472">
        <v>99000</v>
      </c>
      <c r="F148" s="472">
        <f t="shared" si="51"/>
        <v>28512000</v>
      </c>
      <c r="G148" s="472">
        <f t="shared" si="30"/>
        <v>2600</v>
      </c>
      <c r="H148" s="571"/>
      <c r="I148" s="493">
        <v>0</v>
      </c>
      <c r="J148" s="572"/>
      <c r="K148" s="465">
        <f t="shared" si="32"/>
        <v>0</v>
      </c>
      <c r="L148" s="467">
        <f t="shared" si="52"/>
        <v>0</v>
      </c>
      <c r="M148" s="468">
        <f t="shared" si="53"/>
        <v>0</v>
      </c>
      <c r="N148" s="253"/>
      <c r="O148" s="781"/>
      <c r="P148" s="782"/>
      <c r="Q148" s="781"/>
      <c r="R148" s="783"/>
      <c r="S148" s="779">
        <v>0</v>
      </c>
      <c r="T148" s="574"/>
      <c r="U148" s="472"/>
      <c r="V148" s="472"/>
      <c r="W148" s="472"/>
      <c r="X148" s="472"/>
      <c r="Y148" s="472"/>
      <c r="AA148" s="155">
        <f t="shared" si="54"/>
        <v>0</v>
      </c>
      <c r="AB148" s="155">
        <f t="shared" si="54"/>
        <v>0</v>
      </c>
      <c r="AC148" s="155">
        <f t="shared" si="54"/>
        <v>0</v>
      </c>
      <c r="AD148" s="155">
        <f t="shared" si="54"/>
        <v>0</v>
      </c>
      <c r="AE148" s="155">
        <f t="shared" si="54"/>
        <v>0</v>
      </c>
      <c r="AF148" s="159"/>
      <c r="AG148" s="156">
        <f t="shared" si="55"/>
        <v>0</v>
      </c>
      <c r="AH148" s="156">
        <f t="shared" si="55"/>
        <v>0</v>
      </c>
      <c r="AI148" s="156">
        <f t="shared" si="55"/>
        <v>0</v>
      </c>
      <c r="AJ148" s="156">
        <f t="shared" si="55"/>
        <v>0</v>
      </c>
      <c r="AK148" s="156">
        <f t="shared" si="55"/>
        <v>0</v>
      </c>
    </row>
    <row r="149" spans="1:99" s="575" customFormat="1" ht="15" customHeight="1" x14ac:dyDescent="0.3">
      <c r="A149" s="185"/>
      <c r="B149" s="489" t="s">
        <v>3932</v>
      </c>
      <c r="C149" s="484" t="s">
        <v>3863</v>
      </c>
      <c r="D149" s="472">
        <v>12100</v>
      </c>
      <c r="E149" s="472">
        <v>2300</v>
      </c>
      <c r="F149" s="472">
        <f t="shared" si="51"/>
        <v>27830000</v>
      </c>
      <c r="G149" s="472">
        <f t="shared" si="30"/>
        <v>2600</v>
      </c>
      <c r="H149" s="571"/>
      <c r="I149" s="493">
        <v>10703.846153846154</v>
      </c>
      <c r="J149" s="572"/>
      <c r="K149" s="465">
        <f t="shared" si="32"/>
        <v>0</v>
      </c>
      <c r="L149" s="467">
        <f t="shared" si="52"/>
        <v>-10703.846153846154</v>
      </c>
      <c r="M149" s="468">
        <f t="shared" si="53"/>
        <v>-1</v>
      </c>
      <c r="N149" s="253"/>
      <c r="O149" s="781"/>
      <c r="P149" s="782"/>
      <c r="Q149" s="781"/>
      <c r="R149" s="783"/>
      <c r="S149" s="779">
        <v>10703.846153846154</v>
      </c>
      <c r="T149" s="574"/>
      <c r="U149" s="472"/>
      <c r="V149" s="472"/>
      <c r="W149" s="472"/>
      <c r="X149" s="472"/>
      <c r="Y149" s="472"/>
      <c r="AA149" s="155">
        <f t="shared" si="54"/>
        <v>0</v>
      </c>
      <c r="AB149" s="155">
        <f t="shared" si="54"/>
        <v>0</v>
      </c>
      <c r="AC149" s="155">
        <f t="shared" si="54"/>
        <v>0</v>
      </c>
      <c r="AD149" s="155">
        <f t="shared" si="54"/>
        <v>0</v>
      </c>
      <c r="AE149" s="155">
        <f t="shared" si="54"/>
        <v>-10703.846153846154</v>
      </c>
      <c r="AF149" s="159"/>
      <c r="AG149" s="156">
        <f t="shared" si="55"/>
        <v>0</v>
      </c>
      <c r="AH149" s="156">
        <f t="shared" si="55"/>
        <v>0</v>
      </c>
      <c r="AI149" s="156">
        <f t="shared" si="55"/>
        <v>0</v>
      </c>
      <c r="AJ149" s="156">
        <f t="shared" si="55"/>
        <v>0</v>
      </c>
      <c r="AK149" s="156">
        <f t="shared" si="55"/>
        <v>-1</v>
      </c>
    </row>
    <row r="150" spans="1:99" s="581" customFormat="1" ht="15" customHeight="1" x14ac:dyDescent="0.3">
      <c r="A150" s="576"/>
      <c r="B150" s="489" t="s">
        <v>3934</v>
      </c>
      <c r="C150" s="484" t="s">
        <v>3935</v>
      </c>
      <c r="D150" s="472">
        <v>1</v>
      </c>
      <c r="E150" s="472">
        <v>6000000</v>
      </c>
      <c r="F150" s="472">
        <f>D150*E150</f>
        <v>6000000</v>
      </c>
      <c r="G150" s="472">
        <v>2600</v>
      </c>
      <c r="H150" s="577"/>
      <c r="I150" s="493">
        <v>2307.6923076923076</v>
      </c>
      <c r="J150" s="578"/>
      <c r="K150" s="465">
        <f t="shared" si="32"/>
        <v>765.02204507150077</v>
      </c>
      <c r="L150" s="467">
        <f t="shared" si="52"/>
        <v>-1542.6702626208069</v>
      </c>
      <c r="M150" s="499">
        <f t="shared" si="53"/>
        <v>-0.66849044713568295</v>
      </c>
      <c r="N150" s="579"/>
      <c r="O150" s="784"/>
      <c r="P150" s="785"/>
      <c r="Q150" s="784"/>
      <c r="R150" s="786"/>
      <c r="S150" s="779">
        <v>2307.6923076923076</v>
      </c>
      <c r="T150" s="580"/>
      <c r="U150" s="492">
        <v>0</v>
      </c>
      <c r="V150" s="492">
        <v>0</v>
      </c>
      <c r="W150" s="492">
        <v>0</v>
      </c>
      <c r="X150" s="492">
        <v>0</v>
      </c>
      <c r="Y150" s="492">
        <v>765.02204507150077</v>
      </c>
      <c r="AA150" s="155">
        <f t="shared" si="54"/>
        <v>0</v>
      </c>
      <c r="AB150" s="155">
        <f t="shared" si="54"/>
        <v>0</v>
      </c>
      <c r="AC150" s="155">
        <f t="shared" si="54"/>
        <v>0</v>
      </c>
      <c r="AD150" s="155">
        <f t="shared" si="54"/>
        <v>0</v>
      </c>
      <c r="AE150" s="155">
        <f t="shared" si="54"/>
        <v>-1542.6702626208069</v>
      </c>
      <c r="AF150" s="159"/>
      <c r="AG150" s="156">
        <f t="shared" si="55"/>
        <v>0</v>
      </c>
      <c r="AH150" s="156">
        <f t="shared" si="55"/>
        <v>0</v>
      </c>
      <c r="AI150" s="156">
        <f t="shared" si="55"/>
        <v>0</v>
      </c>
      <c r="AJ150" s="156">
        <f t="shared" si="55"/>
        <v>0</v>
      </c>
      <c r="AK150" s="156">
        <f t="shared" si="55"/>
        <v>-0.66849044713568295</v>
      </c>
      <c r="AL150" s="575"/>
      <c r="AM150" s="575"/>
      <c r="AN150" s="575"/>
      <c r="AO150" s="575"/>
      <c r="AP150" s="575"/>
      <c r="AQ150" s="575"/>
      <c r="AR150" s="575"/>
      <c r="AS150" s="575"/>
      <c r="AT150" s="575"/>
      <c r="AU150" s="575"/>
      <c r="AV150" s="575"/>
      <c r="AW150" s="575"/>
      <c r="AX150" s="575"/>
      <c r="AY150" s="575"/>
      <c r="AZ150" s="575"/>
      <c r="BA150" s="575"/>
      <c r="BB150" s="575"/>
      <c r="BC150" s="575"/>
      <c r="BD150" s="575"/>
      <c r="BE150" s="575"/>
      <c r="BF150" s="575"/>
      <c r="BG150" s="575"/>
      <c r="BH150" s="575"/>
      <c r="BI150" s="575"/>
      <c r="BJ150" s="575"/>
      <c r="BK150" s="575"/>
      <c r="BL150" s="575"/>
      <c r="BM150" s="575"/>
      <c r="BN150" s="575"/>
      <c r="BO150" s="575"/>
      <c r="BP150" s="575"/>
      <c r="BQ150" s="575"/>
      <c r="BR150" s="575"/>
      <c r="BS150" s="575"/>
      <c r="BT150" s="575"/>
      <c r="BU150" s="575"/>
      <c r="BV150" s="575"/>
      <c r="BW150" s="575"/>
      <c r="BX150" s="575"/>
      <c r="BY150" s="575"/>
      <c r="BZ150" s="575"/>
      <c r="CA150" s="575"/>
      <c r="CB150" s="575"/>
      <c r="CC150" s="575"/>
      <c r="CD150" s="575"/>
      <c r="CE150" s="575"/>
      <c r="CF150" s="575"/>
      <c r="CG150" s="575"/>
      <c r="CH150" s="575"/>
      <c r="CI150" s="575"/>
      <c r="CJ150" s="575"/>
      <c r="CK150" s="575"/>
      <c r="CL150" s="575"/>
      <c r="CM150" s="575"/>
      <c r="CN150" s="575"/>
      <c r="CO150" s="575"/>
      <c r="CP150" s="575"/>
      <c r="CQ150" s="575"/>
      <c r="CR150" s="575"/>
      <c r="CS150" s="575"/>
      <c r="CT150" s="575"/>
      <c r="CU150" s="575"/>
    </row>
    <row r="151" spans="1:99" s="581" customFormat="1" ht="15" customHeight="1" x14ac:dyDescent="0.3">
      <c r="A151" s="576"/>
      <c r="B151" s="489" t="s">
        <v>3936</v>
      </c>
      <c r="C151" s="484" t="s">
        <v>3840</v>
      </c>
      <c r="D151" s="472">
        <v>1</v>
      </c>
      <c r="E151" s="472">
        <v>5000000</v>
      </c>
      <c r="F151" s="472">
        <f>D151*E151</f>
        <v>5000000</v>
      </c>
      <c r="G151" s="472">
        <v>2600</v>
      </c>
      <c r="H151" s="577"/>
      <c r="I151" s="493">
        <v>4250</v>
      </c>
      <c r="J151" s="578"/>
      <c r="K151" s="465">
        <f t="shared" si="32"/>
        <v>5051.898981486268</v>
      </c>
      <c r="L151" s="467">
        <f t="shared" si="52"/>
        <v>801.89898148626799</v>
      </c>
      <c r="M151" s="499">
        <f t="shared" si="53"/>
        <v>0.18868211329088658</v>
      </c>
      <c r="N151" s="579"/>
      <c r="O151" s="784"/>
      <c r="P151" s="785"/>
      <c r="Q151" s="784"/>
      <c r="R151" s="786"/>
      <c r="S151" s="779">
        <v>4250</v>
      </c>
      <c r="T151" s="580"/>
      <c r="U151" s="492">
        <v>0</v>
      </c>
      <c r="V151" s="492">
        <v>0</v>
      </c>
      <c r="W151" s="492">
        <v>0</v>
      </c>
      <c r="X151" s="492">
        <v>0</v>
      </c>
      <c r="Y151" s="492">
        <v>5051.898981486268</v>
      </c>
      <c r="AA151" s="155">
        <f t="shared" si="54"/>
        <v>0</v>
      </c>
      <c r="AB151" s="155">
        <f t="shared" si="54"/>
        <v>0</v>
      </c>
      <c r="AC151" s="155">
        <f t="shared" si="54"/>
        <v>0</v>
      </c>
      <c r="AD151" s="155">
        <f t="shared" si="54"/>
        <v>0</v>
      </c>
      <c r="AE151" s="155">
        <f t="shared" si="54"/>
        <v>801.89898148626799</v>
      </c>
      <c r="AF151" s="159"/>
      <c r="AG151" s="156">
        <f t="shared" si="55"/>
        <v>0</v>
      </c>
      <c r="AH151" s="156">
        <f t="shared" si="55"/>
        <v>0</v>
      </c>
      <c r="AI151" s="156">
        <f t="shared" si="55"/>
        <v>0</v>
      </c>
      <c r="AJ151" s="156">
        <f t="shared" si="55"/>
        <v>0</v>
      </c>
      <c r="AK151" s="156">
        <f t="shared" si="55"/>
        <v>0.18868211329088658</v>
      </c>
      <c r="AL151" s="575"/>
      <c r="AM151" s="575"/>
      <c r="AN151" s="575"/>
      <c r="AO151" s="575"/>
      <c r="AP151" s="575"/>
      <c r="AQ151" s="575"/>
      <c r="AR151" s="575"/>
      <c r="AS151" s="575"/>
      <c r="AT151" s="575"/>
      <c r="AU151" s="575"/>
      <c r="AV151" s="575"/>
      <c r="AW151" s="575"/>
      <c r="AX151" s="575"/>
      <c r="AY151" s="575"/>
      <c r="AZ151" s="575"/>
      <c r="BA151" s="575"/>
      <c r="BB151" s="575"/>
      <c r="BC151" s="575"/>
      <c r="BD151" s="575"/>
      <c r="BE151" s="575"/>
      <c r="BF151" s="575"/>
      <c r="BG151" s="575"/>
      <c r="BH151" s="575"/>
      <c r="BI151" s="575"/>
      <c r="BJ151" s="575"/>
      <c r="BK151" s="575"/>
      <c r="BL151" s="575"/>
      <c r="BM151" s="575"/>
      <c r="BN151" s="575"/>
      <c r="BO151" s="575"/>
      <c r="BP151" s="575"/>
      <c r="BQ151" s="575"/>
      <c r="BR151" s="575"/>
      <c r="BS151" s="575"/>
      <c r="BT151" s="575"/>
      <c r="BU151" s="575"/>
      <c r="BV151" s="575"/>
      <c r="BW151" s="575"/>
      <c r="BX151" s="575"/>
      <c r="BY151" s="575"/>
      <c r="BZ151" s="575"/>
      <c r="CA151" s="575"/>
      <c r="CB151" s="575"/>
      <c r="CC151" s="575"/>
      <c r="CD151" s="575"/>
      <c r="CE151" s="575"/>
      <c r="CF151" s="575"/>
      <c r="CG151" s="575"/>
      <c r="CH151" s="575"/>
      <c r="CI151" s="575"/>
      <c r="CJ151" s="575"/>
      <c r="CK151" s="575"/>
      <c r="CL151" s="575"/>
      <c r="CM151" s="575"/>
      <c r="CN151" s="575"/>
      <c r="CO151" s="575"/>
      <c r="CP151" s="575"/>
      <c r="CQ151" s="575"/>
      <c r="CR151" s="575"/>
      <c r="CS151" s="575"/>
      <c r="CT151" s="575"/>
      <c r="CU151" s="575"/>
    </row>
    <row r="152" spans="1:99" s="581" customFormat="1" ht="15" customHeight="1" x14ac:dyDescent="0.3">
      <c r="A152" s="576"/>
      <c r="B152" s="489" t="s">
        <v>3937</v>
      </c>
      <c r="C152" s="484" t="s">
        <v>3840</v>
      </c>
      <c r="D152" s="472">
        <v>1</v>
      </c>
      <c r="E152" s="472">
        <f>4000000</f>
        <v>4000000</v>
      </c>
      <c r="F152" s="472">
        <f>D152*E152</f>
        <v>4000000</v>
      </c>
      <c r="G152" s="472">
        <v>2600</v>
      </c>
      <c r="H152" s="577"/>
      <c r="I152" s="493">
        <v>1538.4615384615386</v>
      </c>
      <c r="J152" s="578"/>
      <c r="K152" s="465">
        <f t="shared" si="32"/>
        <v>1147.1609751728779</v>
      </c>
      <c r="L152" s="467">
        <f t="shared" si="52"/>
        <v>-391.30056328866067</v>
      </c>
      <c r="M152" s="499">
        <f t="shared" si="53"/>
        <v>-0.25434536613762943</v>
      </c>
      <c r="N152" s="579"/>
      <c r="O152" s="784"/>
      <c r="P152" s="785"/>
      <c r="Q152" s="784"/>
      <c r="R152" s="786"/>
      <c r="S152" s="779">
        <v>1538.4615384615386</v>
      </c>
      <c r="T152" s="580"/>
      <c r="U152" s="492">
        <v>0</v>
      </c>
      <c r="V152" s="492">
        <v>0</v>
      </c>
      <c r="W152" s="492">
        <v>0</v>
      </c>
      <c r="X152" s="492">
        <v>0</v>
      </c>
      <c r="Y152" s="492">
        <v>1147.1609751728779</v>
      </c>
      <c r="AA152" s="155">
        <f t="shared" si="54"/>
        <v>0</v>
      </c>
      <c r="AB152" s="155">
        <f t="shared" si="54"/>
        <v>0</v>
      </c>
      <c r="AC152" s="155">
        <f t="shared" si="54"/>
        <v>0</v>
      </c>
      <c r="AD152" s="155">
        <f t="shared" si="54"/>
        <v>0</v>
      </c>
      <c r="AE152" s="155">
        <f t="shared" si="54"/>
        <v>-391.30056328866067</v>
      </c>
      <c r="AF152" s="159"/>
      <c r="AG152" s="156">
        <f t="shared" si="55"/>
        <v>0</v>
      </c>
      <c r="AH152" s="156">
        <f t="shared" si="55"/>
        <v>0</v>
      </c>
      <c r="AI152" s="156">
        <f t="shared" si="55"/>
        <v>0</v>
      </c>
      <c r="AJ152" s="156">
        <f t="shared" si="55"/>
        <v>0</v>
      </c>
      <c r="AK152" s="156">
        <f t="shared" si="55"/>
        <v>-0.25434536613762943</v>
      </c>
      <c r="AL152" s="575"/>
      <c r="AM152" s="575"/>
      <c r="AN152" s="575"/>
      <c r="AO152" s="575"/>
      <c r="AP152" s="575"/>
      <c r="AQ152" s="575"/>
      <c r="AR152" s="575"/>
      <c r="AS152" s="575"/>
      <c r="AT152" s="575"/>
      <c r="AU152" s="575"/>
      <c r="AV152" s="575"/>
      <c r="AW152" s="575"/>
      <c r="AX152" s="575"/>
      <c r="AY152" s="575"/>
      <c r="AZ152" s="575"/>
      <c r="BA152" s="575"/>
      <c r="BB152" s="575"/>
      <c r="BC152" s="575"/>
      <c r="BD152" s="575"/>
      <c r="BE152" s="575"/>
      <c r="BF152" s="575"/>
      <c r="BG152" s="575"/>
      <c r="BH152" s="575"/>
      <c r="BI152" s="575"/>
      <c r="BJ152" s="575"/>
      <c r="BK152" s="575"/>
      <c r="BL152" s="575"/>
      <c r="BM152" s="575"/>
      <c r="BN152" s="575"/>
      <c r="BO152" s="575"/>
      <c r="BP152" s="575"/>
      <c r="BQ152" s="575"/>
      <c r="BR152" s="575"/>
      <c r="BS152" s="575"/>
      <c r="BT152" s="575"/>
      <c r="BU152" s="575"/>
      <c r="BV152" s="575"/>
      <c r="BW152" s="575"/>
      <c r="BX152" s="575"/>
      <c r="BY152" s="575"/>
      <c r="BZ152" s="575"/>
      <c r="CA152" s="575"/>
      <c r="CB152" s="575"/>
      <c r="CC152" s="575"/>
      <c r="CD152" s="575"/>
      <c r="CE152" s="575"/>
      <c r="CF152" s="575"/>
      <c r="CG152" s="575"/>
      <c r="CH152" s="575"/>
      <c r="CI152" s="575"/>
      <c r="CJ152" s="575"/>
      <c r="CK152" s="575"/>
      <c r="CL152" s="575"/>
      <c r="CM152" s="575"/>
      <c r="CN152" s="575"/>
      <c r="CO152" s="575"/>
      <c r="CP152" s="575"/>
      <c r="CQ152" s="575"/>
      <c r="CR152" s="575"/>
      <c r="CS152" s="575"/>
      <c r="CT152" s="575"/>
      <c r="CU152" s="575"/>
    </row>
    <row r="153" spans="1:99" s="575" customFormat="1" ht="15" customHeight="1" x14ac:dyDescent="0.3">
      <c r="A153" s="185"/>
      <c r="B153" s="489" t="s">
        <v>3938</v>
      </c>
      <c r="C153" s="484" t="s">
        <v>3925</v>
      </c>
      <c r="D153" s="472">
        <v>1</v>
      </c>
      <c r="E153" s="472">
        <v>12000000</v>
      </c>
      <c r="F153" s="472">
        <f t="shared" si="51"/>
        <v>12000000</v>
      </c>
      <c r="G153" s="472">
        <f t="shared" si="30"/>
        <v>2600</v>
      </c>
      <c r="H153" s="571"/>
      <c r="I153" s="493"/>
      <c r="J153" s="572"/>
      <c r="K153" s="465">
        <f t="shared" si="32"/>
        <v>0</v>
      </c>
      <c r="L153" s="467">
        <f t="shared" si="52"/>
        <v>0</v>
      </c>
      <c r="M153" s="499">
        <f t="shared" si="53"/>
        <v>0</v>
      </c>
      <c r="N153" s="253"/>
      <c r="O153" s="781"/>
      <c r="P153" s="782"/>
      <c r="Q153" s="781"/>
      <c r="R153" s="783"/>
      <c r="S153" s="779">
        <v>0</v>
      </c>
      <c r="T153" s="574"/>
      <c r="U153" s="472"/>
      <c r="V153" s="472"/>
      <c r="W153" s="472"/>
      <c r="X153" s="472"/>
      <c r="Y153" s="472"/>
      <c r="AA153" s="155">
        <f t="shared" si="54"/>
        <v>0</v>
      </c>
      <c r="AB153" s="155">
        <f t="shared" si="54"/>
        <v>0</v>
      </c>
      <c r="AC153" s="155">
        <f t="shared" si="54"/>
        <v>0</v>
      </c>
      <c r="AD153" s="155">
        <f t="shared" si="54"/>
        <v>0</v>
      </c>
      <c r="AE153" s="155">
        <f t="shared" si="54"/>
        <v>0</v>
      </c>
      <c r="AF153" s="159"/>
      <c r="AG153" s="156">
        <f t="shared" si="55"/>
        <v>0</v>
      </c>
      <c r="AH153" s="156">
        <f t="shared" si="55"/>
        <v>0</v>
      </c>
      <c r="AI153" s="156">
        <f t="shared" si="55"/>
        <v>0</v>
      </c>
      <c r="AJ153" s="156">
        <f t="shared" si="55"/>
        <v>0</v>
      </c>
      <c r="AK153" s="156">
        <f t="shared" si="55"/>
        <v>0</v>
      </c>
    </row>
    <row r="154" spans="1:99" s="575" customFormat="1" ht="15" customHeight="1" x14ac:dyDescent="0.3">
      <c r="A154" s="185"/>
      <c r="B154" s="489" t="s">
        <v>3939</v>
      </c>
      <c r="C154" s="484" t="s">
        <v>3925</v>
      </c>
      <c r="D154" s="472">
        <v>4</v>
      </c>
      <c r="E154" s="472">
        <v>3500000</v>
      </c>
      <c r="F154" s="472">
        <f t="shared" si="51"/>
        <v>14000000</v>
      </c>
      <c r="G154" s="472">
        <f t="shared" ref="G154:G217" si="56">$G$5</f>
        <v>2600</v>
      </c>
      <c r="H154" s="571"/>
      <c r="I154" s="493">
        <v>0</v>
      </c>
      <c r="J154" s="572"/>
      <c r="K154" s="465">
        <f t="shared" ref="K154:K182" si="57">SUM(U154:Y154)</f>
        <v>0</v>
      </c>
      <c r="L154" s="467">
        <f t="shared" si="52"/>
        <v>0</v>
      </c>
      <c r="M154" s="499">
        <f t="shared" si="53"/>
        <v>0</v>
      </c>
      <c r="N154" s="253"/>
      <c r="O154" s="781"/>
      <c r="P154" s="782"/>
      <c r="Q154" s="781"/>
      <c r="R154" s="783"/>
      <c r="S154" s="779">
        <v>0</v>
      </c>
      <c r="T154" s="574"/>
      <c r="U154" s="472"/>
      <c r="V154" s="472"/>
      <c r="W154" s="472"/>
      <c r="X154" s="472"/>
      <c r="Y154" s="472"/>
      <c r="AA154" s="155">
        <f t="shared" si="54"/>
        <v>0</v>
      </c>
      <c r="AB154" s="155">
        <f t="shared" si="54"/>
        <v>0</v>
      </c>
      <c r="AC154" s="155">
        <f t="shared" si="54"/>
        <v>0</v>
      </c>
      <c r="AD154" s="155">
        <f t="shared" si="54"/>
        <v>0</v>
      </c>
      <c r="AE154" s="155">
        <f t="shared" si="54"/>
        <v>0</v>
      </c>
      <c r="AF154" s="159"/>
      <c r="AG154" s="156">
        <f t="shared" si="55"/>
        <v>0</v>
      </c>
      <c r="AH154" s="156">
        <f t="shared" si="55"/>
        <v>0</v>
      </c>
      <c r="AI154" s="156">
        <f t="shared" si="55"/>
        <v>0</v>
      </c>
      <c r="AJ154" s="156">
        <f t="shared" si="55"/>
        <v>0</v>
      </c>
      <c r="AK154" s="156">
        <f t="shared" si="55"/>
        <v>0</v>
      </c>
    </row>
    <row r="155" spans="1:99" s="575" customFormat="1" ht="15" customHeight="1" x14ac:dyDescent="0.3">
      <c r="A155" s="185"/>
      <c r="B155" s="489" t="s">
        <v>3940</v>
      </c>
      <c r="C155" s="484" t="s">
        <v>3840</v>
      </c>
      <c r="D155" s="472">
        <v>550</v>
      </c>
      <c r="E155" s="472">
        <v>48000</v>
      </c>
      <c r="F155" s="472">
        <f t="shared" si="51"/>
        <v>26400000</v>
      </c>
      <c r="G155" s="472">
        <f t="shared" si="56"/>
        <v>2600</v>
      </c>
      <c r="H155" s="571"/>
      <c r="I155" s="493">
        <v>10153.846153846154</v>
      </c>
      <c r="J155" s="572"/>
      <c r="K155" s="465">
        <f t="shared" si="57"/>
        <v>11123.703325589742</v>
      </c>
      <c r="L155" s="467">
        <f t="shared" si="52"/>
        <v>969.85717174358797</v>
      </c>
      <c r="M155" s="468">
        <f t="shared" si="53"/>
        <v>9.551623661111093E-2</v>
      </c>
      <c r="N155" s="253"/>
      <c r="O155" s="781"/>
      <c r="P155" s="782"/>
      <c r="Q155" s="781"/>
      <c r="R155" s="783"/>
      <c r="S155" s="779">
        <v>10153.846153846154</v>
      </c>
      <c r="T155" s="574"/>
      <c r="U155" s="472">
        <v>0</v>
      </c>
      <c r="V155" s="472">
        <v>0</v>
      </c>
      <c r="W155" s="472">
        <v>0</v>
      </c>
      <c r="X155" s="472">
        <v>0</v>
      </c>
      <c r="Y155" s="472">
        <v>11123.703325589742</v>
      </c>
      <c r="AA155" s="155">
        <f t="shared" si="54"/>
        <v>0</v>
      </c>
      <c r="AB155" s="155">
        <f t="shared" si="54"/>
        <v>0</v>
      </c>
      <c r="AC155" s="155">
        <f t="shared" si="54"/>
        <v>0</v>
      </c>
      <c r="AD155" s="155">
        <f t="shared" si="54"/>
        <v>0</v>
      </c>
      <c r="AE155" s="155">
        <f t="shared" si="54"/>
        <v>969.85717174358797</v>
      </c>
      <c r="AF155" s="159"/>
      <c r="AG155" s="156">
        <f t="shared" si="55"/>
        <v>0</v>
      </c>
      <c r="AH155" s="156">
        <f t="shared" si="55"/>
        <v>0</v>
      </c>
      <c r="AI155" s="156">
        <f t="shared" si="55"/>
        <v>0</v>
      </c>
      <c r="AJ155" s="156">
        <f t="shared" si="55"/>
        <v>0</v>
      </c>
      <c r="AK155" s="156">
        <f t="shared" si="55"/>
        <v>9.551623661111093E-2</v>
      </c>
    </row>
    <row r="156" spans="1:99" s="575" customFormat="1" ht="15" customHeight="1" x14ac:dyDescent="0.3">
      <c r="A156" s="185"/>
      <c r="B156" s="489" t="s">
        <v>3941</v>
      </c>
      <c r="C156" s="484" t="s">
        <v>3840</v>
      </c>
      <c r="D156" s="472">
        <v>12</v>
      </c>
      <c r="E156" s="472">
        <v>66000</v>
      </c>
      <c r="F156" s="472">
        <f t="shared" si="51"/>
        <v>792000</v>
      </c>
      <c r="G156" s="472">
        <f t="shared" si="56"/>
        <v>2600</v>
      </c>
      <c r="H156" s="571"/>
      <c r="I156" s="493">
        <v>0</v>
      </c>
      <c r="J156" s="572"/>
      <c r="K156" s="465">
        <f t="shared" si="57"/>
        <v>160.74393164926477</v>
      </c>
      <c r="L156" s="467">
        <f t="shared" si="52"/>
        <v>160.74393164926477</v>
      </c>
      <c r="M156" s="499">
        <f t="shared" si="53"/>
        <v>0</v>
      </c>
      <c r="N156" s="253"/>
      <c r="O156" s="781"/>
      <c r="P156" s="782"/>
      <c r="Q156" s="781"/>
      <c r="R156" s="783"/>
      <c r="S156" s="779">
        <v>0</v>
      </c>
      <c r="T156" s="574"/>
      <c r="U156" s="472">
        <v>0</v>
      </c>
      <c r="V156" s="472">
        <v>0</v>
      </c>
      <c r="W156" s="472">
        <v>0</v>
      </c>
      <c r="X156" s="472">
        <v>0</v>
      </c>
      <c r="Y156" s="472">
        <v>160.74393164926477</v>
      </c>
      <c r="AA156" s="155">
        <f t="shared" si="54"/>
        <v>0</v>
      </c>
      <c r="AB156" s="155">
        <f t="shared" si="54"/>
        <v>0</v>
      </c>
      <c r="AC156" s="155">
        <f t="shared" si="54"/>
        <v>0</v>
      </c>
      <c r="AD156" s="155">
        <f t="shared" si="54"/>
        <v>0</v>
      </c>
      <c r="AE156" s="155">
        <f t="shared" si="54"/>
        <v>160.74393164926477</v>
      </c>
      <c r="AF156" s="159"/>
      <c r="AG156" s="156">
        <f t="shared" si="55"/>
        <v>0</v>
      </c>
      <c r="AH156" s="156">
        <f t="shared" si="55"/>
        <v>0</v>
      </c>
      <c r="AI156" s="156">
        <f t="shared" si="55"/>
        <v>0</v>
      </c>
      <c r="AJ156" s="156">
        <f t="shared" si="55"/>
        <v>0</v>
      </c>
      <c r="AK156" s="156">
        <f t="shared" si="55"/>
        <v>0</v>
      </c>
    </row>
    <row r="157" spans="1:99" s="575" customFormat="1" ht="15" customHeight="1" x14ac:dyDescent="0.3">
      <c r="A157" s="185"/>
      <c r="B157" s="489" t="s">
        <v>3942</v>
      </c>
      <c r="C157" s="484" t="s">
        <v>3840</v>
      </c>
      <c r="D157" s="472">
        <v>11</v>
      </c>
      <c r="E157" s="472">
        <v>55000</v>
      </c>
      <c r="F157" s="472">
        <f t="shared" si="51"/>
        <v>605000</v>
      </c>
      <c r="G157" s="472">
        <f t="shared" si="56"/>
        <v>2600</v>
      </c>
      <c r="H157" s="571"/>
      <c r="I157" s="493">
        <v>232.69230769230768</v>
      </c>
      <c r="J157" s="572"/>
      <c r="K157" s="465">
        <f t="shared" si="57"/>
        <v>211.34850272403327</v>
      </c>
      <c r="L157" s="467">
        <f t="shared" si="52"/>
        <v>-21.343804968274412</v>
      </c>
      <c r="M157" s="499">
        <f t="shared" si="53"/>
        <v>-9.1725442838865245E-2</v>
      </c>
      <c r="N157" s="253"/>
      <c r="O157" s="781"/>
      <c r="P157" s="782"/>
      <c r="Q157" s="781"/>
      <c r="R157" s="783"/>
      <c r="S157" s="779">
        <v>232.69230769230768</v>
      </c>
      <c r="T157" s="574"/>
      <c r="U157" s="472">
        <v>0</v>
      </c>
      <c r="V157" s="472">
        <v>0</v>
      </c>
      <c r="W157" s="472">
        <v>0</v>
      </c>
      <c r="X157" s="472">
        <v>0</v>
      </c>
      <c r="Y157" s="472">
        <v>211.34850272403327</v>
      </c>
      <c r="AA157" s="155">
        <f t="shared" si="54"/>
        <v>0</v>
      </c>
      <c r="AB157" s="155">
        <f t="shared" si="54"/>
        <v>0</v>
      </c>
      <c r="AC157" s="155">
        <f t="shared" si="54"/>
        <v>0</v>
      </c>
      <c r="AD157" s="155">
        <f t="shared" si="54"/>
        <v>0</v>
      </c>
      <c r="AE157" s="155">
        <f t="shared" si="54"/>
        <v>-21.343804968274412</v>
      </c>
      <c r="AF157" s="159"/>
      <c r="AG157" s="156">
        <f t="shared" si="55"/>
        <v>0</v>
      </c>
      <c r="AH157" s="156">
        <f t="shared" si="55"/>
        <v>0</v>
      </c>
      <c r="AI157" s="156">
        <f t="shared" si="55"/>
        <v>0</v>
      </c>
      <c r="AJ157" s="156">
        <f t="shared" si="55"/>
        <v>0</v>
      </c>
      <c r="AK157" s="156">
        <f t="shared" si="55"/>
        <v>-9.1725442838865245E-2</v>
      </c>
    </row>
    <row r="158" spans="1:99" s="575" customFormat="1" ht="15" customHeight="1" x14ac:dyDescent="0.3">
      <c r="A158" s="185"/>
      <c r="B158" s="489" t="s">
        <v>3943</v>
      </c>
      <c r="C158" s="484" t="s">
        <v>3840</v>
      </c>
      <c r="D158" s="472">
        <v>44</v>
      </c>
      <c r="E158" s="472">
        <v>48000</v>
      </c>
      <c r="F158" s="472">
        <f t="shared" si="51"/>
        <v>2112000</v>
      </c>
      <c r="G158" s="472">
        <f t="shared" si="56"/>
        <v>2600</v>
      </c>
      <c r="H158" s="571"/>
      <c r="I158" s="493">
        <v>812.30769230769226</v>
      </c>
      <c r="J158" s="572"/>
      <c r="K158" s="465">
        <f t="shared" si="57"/>
        <v>720.37095294670496</v>
      </c>
      <c r="L158" s="467">
        <f t="shared" si="52"/>
        <v>-91.936739360987303</v>
      </c>
      <c r="M158" s="499">
        <f t="shared" si="53"/>
        <v>-0.11317969807697301</v>
      </c>
      <c r="N158" s="253"/>
      <c r="O158" s="781"/>
      <c r="P158" s="782"/>
      <c r="Q158" s="781"/>
      <c r="R158" s="783"/>
      <c r="S158" s="779">
        <v>812.30769230769226</v>
      </c>
      <c r="T158" s="574"/>
      <c r="U158" s="472">
        <v>0</v>
      </c>
      <c r="V158" s="472">
        <v>0</v>
      </c>
      <c r="W158" s="472">
        <v>0</v>
      </c>
      <c r="X158" s="472">
        <v>0</v>
      </c>
      <c r="Y158" s="472">
        <v>720.37095294670496</v>
      </c>
      <c r="AA158" s="155">
        <f t="shared" si="54"/>
        <v>0</v>
      </c>
      <c r="AB158" s="155">
        <f t="shared" si="54"/>
        <v>0</v>
      </c>
      <c r="AC158" s="155">
        <f t="shared" si="54"/>
        <v>0</v>
      </c>
      <c r="AD158" s="155">
        <f t="shared" si="54"/>
        <v>0</v>
      </c>
      <c r="AE158" s="155">
        <f t="shared" si="54"/>
        <v>-91.936739360987303</v>
      </c>
      <c r="AF158" s="159"/>
      <c r="AG158" s="156">
        <f t="shared" si="55"/>
        <v>0</v>
      </c>
      <c r="AH158" s="156">
        <f t="shared" si="55"/>
        <v>0</v>
      </c>
      <c r="AI158" s="156">
        <f t="shared" si="55"/>
        <v>0</v>
      </c>
      <c r="AJ158" s="156">
        <f t="shared" si="55"/>
        <v>0</v>
      </c>
      <c r="AK158" s="156">
        <f t="shared" si="55"/>
        <v>-0.11317969807697301</v>
      </c>
    </row>
    <row r="159" spans="1:99" s="575" customFormat="1" ht="15" customHeight="1" x14ac:dyDescent="0.3">
      <c r="A159" s="185"/>
      <c r="B159" s="489" t="s">
        <v>3944</v>
      </c>
      <c r="C159" s="484" t="s">
        <v>3840</v>
      </c>
      <c r="D159" s="472">
        <v>88</v>
      </c>
      <c r="E159" s="472">
        <v>36000</v>
      </c>
      <c r="F159" s="472">
        <f t="shared" si="51"/>
        <v>3168000</v>
      </c>
      <c r="G159" s="472">
        <f t="shared" si="56"/>
        <v>2600</v>
      </c>
      <c r="H159" s="571"/>
      <c r="I159" s="493">
        <v>1218.4615384615386</v>
      </c>
      <c r="J159" s="572"/>
      <c r="K159" s="465">
        <f t="shared" si="57"/>
        <v>1107.3470846949349</v>
      </c>
      <c r="L159" s="467">
        <f t="shared" si="52"/>
        <v>-111.11445376660367</v>
      </c>
      <c r="M159" s="499">
        <f t="shared" si="53"/>
        <v>-9.1192417864005532E-2</v>
      </c>
      <c r="N159" s="253"/>
      <c r="O159" s="781"/>
      <c r="P159" s="782"/>
      <c r="Q159" s="781"/>
      <c r="R159" s="783"/>
      <c r="S159" s="779">
        <v>1218.4615384615386</v>
      </c>
      <c r="T159" s="574"/>
      <c r="U159" s="472">
        <v>0</v>
      </c>
      <c r="V159" s="472">
        <v>0</v>
      </c>
      <c r="W159" s="472">
        <v>0</v>
      </c>
      <c r="X159" s="472">
        <v>0</v>
      </c>
      <c r="Y159" s="472">
        <v>1107.3470846949349</v>
      </c>
      <c r="AA159" s="155">
        <f t="shared" si="54"/>
        <v>0</v>
      </c>
      <c r="AB159" s="155">
        <f t="shared" si="54"/>
        <v>0</v>
      </c>
      <c r="AC159" s="155">
        <f t="shared" si="54"/>
        <v>0</v>
      </c>
      <c r="AD159" s="155">
        <f t="shared" si="54"/>
        <v>0</v>
      </c>
      <c r="AE159" s="155">
        <f t="shared" si="54"/>
        <v>-111.11445376660367</v>
      </c>
      <c r="AF159" s="159"/>
      <c r="AG159" s="156">
        <f t="shared" si="55"/>
        <v>0</v>
      </c>
      <c r="AH159" s="156">
        <f t="shared" si="55"/>
        <v>0</v>
      </c>
      <c r="AI159" s="156">
        <f t="shared" si="55"/>
        <v>0</v>
      </c>
      <c r="AJ159" s="156">
        <f t="shared" si="55"/>
        <v>0</v>
      </c>
      <c r="AK159" s="156">
        <f t="shared" si="55"/>
        <v>-9.1192417864005532E-2</v>
      </c>
    </row>
    <row r="160" spans="1:99" s="575" customFormat="1" ht="15" customHeight="1" x14ac:dyDescent="0.3">
      <c r="A160" s="185"/>
      <c r="B160" s="489" t="s">
        <v>3945</v>
      </c>
      <c r="C160" s="484" t="s">
        <v>3840</v>
      </c>
      <c r="D160" s="472">
        <v>132</v>
      </c>
      <c r="E160" s="472">
        <v>36000</v>
      </c>
      <c r="F160" s="472">
        <f t="shared" si="51"/>
        <v>4752000</v>
      </c>
      <c r="G160" s="472">
        <f t="shared" si="56"/>
        <v>2600</v>
      </c>
      <c r="H160" s="571"/>
      <c r="I160" s="493">
        <v>2492.3076923076924</v>
      </c>
      <c r="J160" s="572"/>
      <c r="K160" s="465">
        <f t="shared" si="57"/>
        <v>1875.3458692414226</v>
      </c>
      <c r="L160" s="467">
        <f t="shared" si="52"/>
        <v>-616.96182306626974</v>
      </c>
      <c r="M160" s="499">
        <f t="shared" si="53"/>
        <v>-0.24754641048955267</v>
      </c>
      <c r="N160" s="253"/>
      <c r="O160" s="781"/>
      <c r="P160" s="782"/>
      <c r="Q160" s="781"/>
      <c r="R160" s="783"/>
      <c r="S160" s="779">
        <v>2492.3076923076924</v>
      </c>
      <c r="T160" s="574"/>
      <c r="U160" s="472">
        <v>0</v>
      </c>
      <c r="V160" s="472">
        <v>0</v>
      </c>
      <c r="W160" s="472">
        <v>0</v>
      </c>
      <c r="X160" s="472">
        <v>0</v>
      </c>
      <c r="Y160" s="472">
        <v>1875.3458692414226</v>
      </c>
      <c r="AA160" s="155">
        <f t="shared" si="54"/>
        <v>0</v>
      </c>
      <c r="AB160" s="155">
        <f t="shared" si="54"/>
        <v>0</v>
      </c>
      <c r="AC160" s="155">
        <f t="shared" si="54"/>
        <v>0</v>
      </c>
      <c r="AD160" s="155">
        <f t="shared" si="54"/>
        <v>0</v>
      </c>
      <c r="AE160" s="155">
        <f t="shared" si="54"/>
        <v>-616.96182306626974</v>
      </c>
      <c r="AF160" s="159"/>
      <c r="AG160" s="156">
        <f t="shared" si="55"/>
        <v>0</v>
      </c>
      <c r="AH160" s="156">
        <f t="shared" si="55"/>
        <v>0</v>
      </c>
      <c r="AI160" s="156">
        <f t="shared" si="55"/>
        <v>0</v>
      </c>
      <c r="AJ160" s="156">
        <f t="shared" si="55"/>
        <v>0</v>
      </c>
      <c r="AK160" s="156">
        <f t="shared" si="55"/>
        <v>-0.24754641048955267</v>
      </c>
    </row>
    <row r="161" spans="1:37" s="575" customFormat="1" ht="15" customHeight="1" x14ac:dyDescent="0.3">
      <c r="A161" s="185"/>
      <c r="B161" s="489" t="s">
        <v>3946</v>
      </c>
      <c r="C161" s="484" t="s">
        <v>3840</v>
      </c>
      <c r="D161" s="472">
        <v>132</v>
      </c>
      <c r="E161" s="472">
        <v>36000</v>
      </c>
      <c r="F161" s="472">
        <f t="shared" si="51"/>
        <v>4752000</v>
      </c>
      <c r="G161" s="472">
        <f t="shared" si="56"/>
        <v>2600</v>
      </c>
      <c r="H161" s="571"/>
      <c r="I161" s="493">
        <v>2160</v>
      </c>
      <c r="J161" s="572"/>
      <c r="K161" s="465">
        <f t="shared" si="57"/>
        <v>1768.1832481419126</v>
      </c>
      <c r="L161" s="467">
        <f t="shared" si="52"/>
        <v>-391.8167518580874</v>
      </c>
      <c r="M161" s="499">
        <f t="shared" si="53"/>
        <v>-0.18139664437874417</v>
      </c>
      <c r="N161" s="253"/>
      <c r="O161" s="781"/>
      <c r="P161" s="782"/>
      <c r="Q161" s="781"/>
      <c r="R161" s="783"/>
      <c r="S161" s="779">
        <v>2160</v>
      </c>
      <c r="T161" s="574"/>
      <c r="U161" s="472">
        <v>0</v>
      </c>
      <c r="V161" s="472">
        <v>0</v>
      </c>
      <c r="W161" s="472">
        <v>0</v>
      </c>
      <c r="X161" s="472">
        <v>0</v>
      </c>
      <c r="Y161" s="472">
        <v>1768.1832481419126</v>
      </c>
      <c r="AA161" s="155">
        <f t="shared" si="54"/>
        <v>0</v>
      </c>
      <c r="AB161" s="155">
        <f t="shared" si="54"/>
        <v>0</v>
      </c>
      <c r="AC161" s="155">
        <f t="shared" si="54"/>
        <v>0</v>
      </c>
      <c r="AD161" s="155">
        <f t="shared" si="54"/>
        <v>0</v>
      </c>
      <c r="AE161" s="155">
        <f t="shared" si="54"/>
        <v>-391.8167518580874</v>
      </c>
      <c r="AF161" s="159"/>
      <c r="AG161" s="156">
        <f t="shared" si="55"/>
        <v>0</v>
      </c>
      <c r="AH161" s="156">
        <f t="shared" si="55"/>
        <v>0</v>
      </c>
      <c r="AI161" s="156">
        <f t="shared" si="55"/>
        <v>0</v>
      </c>
      <c r="AJ161" s="156">
        <f t="shared" si="55"/>
        <v>0</v>
      </c>
      <c r="AK161" s="156">
        <f t="shared" si="55"/>
        <v>-0.18139664437874417</v>
      </c>
    </row>
    <row r="162" spans="1:37" s="575" customFormat="1" ht="15" customHeight="1" x14ac:dyDescent="0.3">
      <c r="A162" s="185"/>
      <c r="B162" s="489" t="s">
        <v>3947</v>
      </c>
      <c r="C162" s="484" t="s">
        <v>3840</v>
      </c>
      <c r="D162" s="472">
        <v>44</v>
      </c>
      <c r="E162" s="472">
        <v>48000</v>
      </c>
      <c r="F162" s="472">
        <f t="shared" si="51"/>
        <v>2112000</v>
      </c>
      <c r="G162" s="472">
        <f t="shared" si="56"/>
        <v>2600</v>
      </c>
      <c r="H162" s="571"/>
      <c r="I162" s="493">
        <v>812.30769230769226</v>
      </c>
      <c r="J162" s="572"/>
      <c r="K162" s="465">
        <f t="shared" si="57"/>
        <v>720.37095294670496</v>
      </c>
      <c r="L162" s="467">
        <f t="shared" si="52"/>
        <v>-91.936739360987303</v>
      </c>
      <c r="M162" s="499">
        <f t="shared" si="53"/>
        <v>-0.11317969807697301</v>
      </c>
      <c r="N162" s="253"/>
      <c r="O162" s="781"/>
      <c r="P162" s="782"/>
      <c r="Q162" s="781"/>
      <c r="R162" s="783"/>
      <c r="S162" s="779">
        <v>812.30769230769226</v>
      </c>
      <c r="T162" s="574"/>
      <c r="U162" s="472">
        <v>0</v>
      </c>
      <c r="V162" s="472">
        <v>0</v>
      </c>
      <c r="W162" s="472">
        <v>0</v>
      </c>
      <c r="X162" s="472">
        <v>0</v>
      </c>
      <c r="Y162" s="472">
        <v>720.37095294670496</v>
      </c>
      <c r="AA162" s="155">
        <f t="shared" si="54"/>
        <v>0</v>
      </c>
      <c r="AB162" s="155">
        <f t="shared" si="54"/>
        <v>0</v>
      </c>
      <c r="AC162" s="155">
        <f t="shared" si="54"/>
        <v>0</v>
      </c>
      <c r="AD162" s="155">
        <f t="shared" si="54"/>
        <v>0</v>
      </c>
      <c r="AE162" s="155">
        <f t="shared" si="54"/>
        <v>-91.936739360987303</v>
      </c>
      <c r="AF162" s="159"/>
      <c r="AG162" s="156">
        <f t="shared" si="55"/>
        <v>0</v>
      </c>
      <c r="AH162" s="156">
        <f t="shared" si="55"/>
        <v>0</v>
      </c>
      <c r="AI162" s="156">
        <f t="shared" si="55"/>
        <v>0</v>
      </c>
      <c r="AJ162" s="156">
        <f t="shared" si="55"/>
        <v>0</v>
      </c>
      <c r="AK162" s="156">
        <f t="shared" si="55"/>
        <v>-0.11317969807697301</v>
      </c>
    </row>
    <row r="163" spans="1:37" s="575" customFormat="1" ht="15" customHeight="1" x14ac:dyDescent="0.3">
      <c r="A163" s="185"/>
      <c r="B163" s="489" t="s">
        <v>3948</v>
      </c>
      <c r="C163" s="484" t="s">
        <v>3840</v>
      </c>
      <c r="D163" s="472">
        <v>44</v>
      </c>
      <c r="E163" s="472">
        <v>48000</v>
      </c>
      <c r="F163" s="472">
        <f t="shared" si="51"/>
        <v>2112000</v>
      </c>
      <c r="G163" s="472">
        <f t="shared" si="56"/>
        <v>2600</v>
      </c>
      <c r="H163" s="571"/>
      <c r="I163" s="493">
        <v>812.30769230769226</v>
      </c>
      <c r="J163" s="572"/>
      <c r="K163" s="465">
        <f t="shared" si="57"/>
        <v>738.23138979662326</v>
      </c>
      <c r="L163" s="467">
        <f t="shared" si="52"/>
        <v>-74.076302511069002</v>
      </c>
      <c r="M163" s="499">
        <f t="shared" si="53"/>
        <v>-9.1192417864005407E-2</v>
      </c>
      <c r="N163" s="253"/>
      <c r="O163" s="781"/>
      <c r="P163" s="782"/>
      <c r="Q163" s="781"/>
      <c r="R163" s="783"/>
      <c r="S163" s="779">
        <v>812.30769230769226</v>
      </c>
      <c r="T163" s="574"/>
      <c r="U163" s="472">
        <v>0</v>
      </c>
      <c r="V163" s="472">
        <v>0</v>
      </c>
      <c r="W163" s="472">
        <v>0</v>
      </c>
      <c r="X163" s="472">
        <v>0</v>
      </c>
      <c r="Y163" s="472">
        <v>738.23138979662326</v>
      </c>
      <c r="AA163" s="155">
        <f t="shared" si="54"/>
        <v>0</v>
      </c>
      <c r="AB163" s="155">
        <f t="shared" si="54"/>
        <v>0</v>
      </c>
      <c r="AC163" s="155">
        <f t="shared" si="54"/>
        <v>0</v>
      </c>
      <c r="AD163" s="155">
        <f t="shared" si="54"/>
        <v>0</v>
      </c>
      <c r="AE163" s="155">
        <f t="shared" si="54"/>
        <v>-74.076302511069002</v>
      </c>
      <c r="AF163" s="159"/>
      <c r="AG163" s="156">
        <f t="shared" si="55"/>
        <v>0</v>
      </c>
      <c r="AH163" s="156">
        <f t="shared" si="55"/>
        <v>0</v>
      </c>
      <c r="AI163" s="156">
        <f t="shared" si="55"/>
        <v>0</v>
      </c>
      <c r="AJ163" s="156">
        <f t="shared" si="55"/>
        <v>0</v>
      </c>
      <c r="AK163" s="156">
        <f t="shared" si="55"/>
        <v>-9.1192417864005407E-2</v>
      </c>
    </row>
    <row r="164" spans="1:37" s="575" customFormat="1" ht="15" customHeight="1" x14ac:dyDescent="0.3">
      <c r="A164" s="185"/>
      <c r="B164" s="489" t="s">
        <v>3949</v>
      </c>
      <c r="C164" s="484" t="s">
        <v>3840</v>
      </c>
      <c r="D164" s="472">
        <v>88</v>
      </c>
      <c r="E164" s="472">
        <v>60000</v>
      </c>
      <c r="F164" s="472">
        <f t="shared" si="51"/>
        <v>5280000</v>
      </c>
      <c r="G164" s="472">
        <f t="shared" si="56"/>
        <v>2600</v>
      </c>
      <c r="H164" s="571"/>
      <c r="I164" s="493">
        <v>2030.7692307692307</v>
      </c>
      <c r="J164" s="572"/>
      <c r="K164" s="465">
        <f t="shared" si="57"/>
        <v>1845.5784744915579</v>
      </c>
      <c r="L164" s="467">
        <f t="shared" si="52"/>
        <v>-185.19075627767279</v>
      </c>
      <c r="M164" s="499">
        <f t="shared" si="53"/>
        <v>-9.1192417864005546E-2</v>
      </c>
      <c r="N164" s="253"/>
      <c r="O164" s="781"/>
      <c r="P164" s="782"/>
      <c r="Q164" s="781"/>
      <c r="R164" s="783"/>
      <c r="S164" s="779">
        <v>2030.7692307692307</v>
      </c>
      <c r="T164" s="574"/>
      <c r="U164" s="472">
        <v>0</v>
      </c>
      <c r="V164" s="472">
        <v>0</v>
      </c>
      <c r="W164" s="472">
        <v>0</v>
      </c>
      <c r="X164" s="472">
        <v>0</v>
      </c>
      <c r="Y164" s="472">
        <v>1845.5784744915579</v>
      </c>
      <c r="AA164" s="155">
        <f t="shared" si="54"/>
        <v>0</v>
      </c>
      <c r="AB164" s="155">
        <f t="shared" si="54"/>
        <v>0</v>
      </c>
      <c r="AC164" s="155">
        <f t="shared" si="54"/>
        <v>0</v>
      </c>
      <c r="AD164" s="155">
        <f t="shared" si="54"/>
        <v>0</v>
      </c>
      <c r="AE164" s="155">
        <f t="shared" si="54"/>
        <v>-185.19075627767279</v>
      </c>
      <c r="AF164" s="159"/>
      <c r="AG164" s="156">
        <f t="shared" si="55"/>
        <v>0</v>
      </c>
      <c r="AH164" s="156">
        <f t="shared" si="55"/>
        <v>0</v>
      </c>
      <c r="AI164" s="156">
        <f t="shared" si="55"/>
        <v>0</v>
      </c>
      <c r="AJ164" s="156">
        <f t="shared" si="55"/>
        <v>0</v>
      </c>
      <c r="AK164" s="156">
        <f t="shared" si="55"/>
        <v>-9.1192417864005546E-2</v>
      </c>
    </row>
    <row r="165" spans="1:37" s="575" customFormat="1" ht="15" customHeight="1" x14ac:dyDescent="0.3">
      <c r="A165" s="185"/>
      <c r="B165" s="489" t="s">
        <v>3950</v>
      </c>
      <c r="C165" s="484" t="s">
        <v>3925</v>
      </c>
      <c r="D165" s="472">
        <v>1</v>
      </c>
      <c r="E165" s="472">
        <f>6000000-910000</f>
        <v>5090000</v>
      </c>
      <c r="F165" s="472">
        <f t="shared" si="51"/>
        <v>5090000</v>
      </c>
      <c r="G165" s="472">
        <f t="shared" si="56"/>
        <v>2600</v>
      </c>
      <c r="H165" s="571"/>
      <c r="I165" s="493">
        <v>1957.6923076923076</v>
      </c>
      <c r="J165" s="572"/>
      <c r="K165" s="465">
        <f t="shared" si="57"/>
        <v>2129.8570943527579</v>
      </c>
      <c r="L165" s="467">
        <f t="shared" si="52"/>
        <v>172.16478666045032</v>
      </c>
      <c r="M165" s="499">
        <f t="shared" si="53"/>
        <v>8.7942720101605268E-2</v>
      </c>
      <c r="N165" s="253"/>
      <c r="O165" s="781"/>
      <c r="P165" s="782"/>
      <c r="Q165" s="781"/>
      <c r="R165" s="783"/>
      <c r="S165" s="779">
        <v>1957.6923076923076</v>
      </c>
      <c r="T165" s="574"/>
      <c r="U165" s="472">
        <v>0</v>
      </c>
      <c r="V165" s="472">
        <v>0</v>
      </c>
      <c r="W165" s="472">
        <v>0</v>
      </c>
      <c r="X165" s="472">
        <v>0</v>
      </c>
      <c r="Y165" s="472">
        <v>2129.8570943527579</v>
      </c>
      <c r="AA165" s="155">
        <f t="shared" si="54"/>
        <v>0</v>
      </c>
      <c r="AB165" s="155">
        <f t="shared" si="54"/>
        <v>0</v>
      </c>
      <c r="AC165" s="155">
        <f t="shared" si="54"/>
        <v>0</v>
      </c>
      <c r="AD165" s="155">
        <f t="shared" si="54"/>
        <v>0</v>
      </c>
      <c r="AE165" s="155">
        <f t="shared" si="54"/>
        <v>172.16478666045032</v>
      </c>
      <c r="AF165" s="159"/>
      <c r="AG165" s="156">
        <f t="shared" si="55"/>
        <v>0</v>
      </c>
      <c r="AH165" s="156">
        <f t="shared" si="55"/>
        <v>0</v>
      </c>
      <c r="AI165" s="156">
        <f t="shared" si="55"/>
        <v>0</v>
      </c>
      <c r="AJ165" s="156">
        <f t="shared" si="55"/>
        <v>0</v>
      </c>
      <c r="AK165" s="156">
        <f t="shared" si="55"/>
        <v>8.7942720101605268E-2</v>
      </c>
    </row>
    <row r="166" spans="1:37" s="575" customFormat="1" ht="15" customHeight="1" x14ac:dyDescent="0.3">
      <c r="A166" s="185"/>
      <c r="B166" s="489" t="s">
        <v>3951</v>
      </c>
      <c r="C166" s="484" t="s">
        <v>3952</v>
      </c>
      <c r="D166" s="472">
        <v>1160</v>
      </c>
      <c r="E166" s="472">
        <v>7000</v>
      </c>
      <c r="F166" s="472">
        <f t="shared" si="51"/>
        <v>8120000</v>
      </c>
      <c r="G166" s="472">
        <f t="shared" si="56"/>
        <v>2600</v>
      </c>
      <c r="H166" s="571"/>
      <c r="I166" s="493">
        <v>0</v>
      </c>
      <c r="J166" s="572"/>
      <c r="K166" s="465">
        <f t="shared" si="57"/>
        <v>0</v>
      </c>
      <c r="L166" s="467">
        <f t="shared" si="52"/>
        <v>0</v>
      </c>
      <c r="M166" s="499">
        <f t="shared" si="53"/>
        <v>0</v>
      </c>
      <c r="N166" s="253"/>
      <c r="O166" s="781"/>
      <c r="P166" s="782"/>
      <c r="Q166" s="781"/>
      <c r="R166" s="783"/>
      <c r="S166" s="779">
        <v>0</v>
      </c>
      <c r="T166" s="574"/>
      <c r="U166" s="472"/>
      <c r="V166" s="472"/>
      <c r="W166" s="472"/>
      <c r="X166" s="472"/>
      <c r="Y166" s="472"/>
      <c r="AA166" s="155">
        <f t="shared" si="54"/>
        <v>0</v>
      </c>
      <c r="AB166" s="155">
        <f t="shared" si="54"/>
        <v>0</v>
      </c>
      <c r="AC166" s="155">
        <f t="shared" si="54"/>
        <v>0</v>
      </c>
      <c r="AD166" s="155">
        <f t="shared" si="54"/>
        <v>0</v>
      </c>
      <c r="AE166" s="155">
        <f t="shared" si="54"/>
        <v>0</v>
      </c>
      <c r="AF166" s="159"/>
      <c r="AG166" s="156">
        <f t="shared" si="55"/>
        <v>0</v>
      </c>
      <c r="AH166" s="156">
        <f t="shared" si="55"/>
        <v>0</v>
      </c>
      <c r="AI166" s="156">
        <f t="shared" si="55"/>
        <v>0</v>
      </c>
      <c r="AJ166" s="156">
        <f t="shared" si="55"/>
        <v>0</v>
      </c>
      <c r="AK166" s="156">
        <f t="shared" si="55"/>
        <v>0</v>
      </c>
    </row>
    <row r="167" spans="1:37" s="575" customFormat="1" ht="15" customHeight="1" x14ac:dyDescent="0.3">
      <c r="A167" s="185"/>
      <c r="B167" s="489" t="s">
        <v>3953</v>
      </c>
      <c r="C167" s="484" t="s">
        <v>3863</v>
      </c>
      <c r="D167" s="472">
        <v>21285</v>
      </c>
      <c r="E167" s="472">
        <v>2300</v>
      </c>
      <c r="F167" s="472">
        <f>D167*E167</f>
        <v>48955500</v>
      </c>
      <c r="G167" s="472">
        <f t="shared" si="56"/>
        <v>2600</v>
      </c>
      <c r="H167" s="571"/>
      <c r="I167" s="493">
        <v>18829.038461538461</v>
      </c>
      <c r="J167" s="572"/>
      <c r="K167" s="465">
        <f t="shared" si="57"/>
        <v>28833.121467537181</v>
      </c>
      <c r="L167" s="467">
        <f t="shared" si="52"/>
        <v>10004.08300599872</v>
      </c>
      <c r="M167" s="499">
        <f t="shared" si="53"/>
        <v>0.53131141170239649</v>
      </c>
      <c r="N167" s="253"/>
      <c r="O167" s="781"/>
      <c r="P167" s="782"/>
      <c r="Q167" s="781"/>
      <c r="R167" s="783"/>
      <c r="S167" s="779">
        <v>18829.038461538461</v>
      </c>
      <c r="T167" s="574"/>
      <c r="U167" s="472">
        <v>0</v>
      </c>
      <c r="V167" s="472">
        <v>0</v>
      </c>
      <c r="W167" s="472">
        <v>0</v>
      </c>
      <c r="X167" s="472">
        <v>0</v>
      </c>
      <c r="Y167" s="472">
        <v>28833.121467537181</v>
      </c>
      <c r="AA167" s="155">
        <f t="shared" si="54"/>
        <v>0</v>
      </c>
      <c r="AB167" s="155">
        <f t="shared" si="54"/>
        <v>0</v>
      </c>
      <c r="AC167" s="155">
        <f t="shared" si="54"/>
        <v>0</v>
      </c>
      <c r="AD167" s="155">
        <f t="shared" si="54"/>
        <v>0</v>
      </c>
      <c r="AE167" s="155">
        <f t="shared" si="54"/>
        <v>10004.08300599872</v>
      </c>
      <c r="AF167" s="159"/>
      <c r="AG167" s="156">
        <f t="shared" si="55"/>
        <v>0</v>
      </c>
      <c r="AH167" s="156">
        <f t="shared" si="55"/>
        <v>0</v>
      </c>
      <c r="AI167" s="156">
        <f t="shared" si="55"/>
        <v>0</v>
      </c>
      <c r="AJ167" s="156">
        <f t="shared" si="55"/>
        <v>0</v>
      </c>
      <c r="AK167" s="156">
        <f t="shared" si="55"/>
        <v>0.53131141170239649</v>
      </c>
    </row>
    <row r="168" spans="1:37" s="575" customFormat="1" ht="15" customHeight="1" x14ac:dyDescent="0.3">
      <c r="A168" s="210"/>
      <c r="B168" s="489" t="s">
        <v>3954</v>
      </c>
      <c r="C168" s="484" t="s">
        <v>3955</v>
      </c>
      <c r="D168" s="472">
        <v>390</v>
      </c>
      <c r="E168" s="472">
        <f>25000</f>
        <v>25000</v>
      </c>
      <c r="F168" s="472">
        <f>D168*E168</f>
        <v>9750000</v>
      </c>
      <c r="G168" s="472">
        <v>2600</v>
      </c>
      <c r="H168" s="573"/>
      <c r="I168" s="493">
        <v>3750</v>
      </c>
      <c r="J168" s="572"/>
      <c r="K168" s="465">
        <f t="shared" si="57"/>
        <v>3611.1570755928574</v>
      </c>
      <c r="L168" s="467">
        <f t="shared" si="52"/>
        <v>-138.84292440714262</v>
      </c>
      <c r="M168" s="499">
        <v>0</v>
      </c>
      <c r="N168" s="253"/>
      <c r="O168" s="781"/>
      <c r="P168" s="782"/>
      <c r="Q168" s="781"/>
      <c r="R168" s="783"/>
      <c r="S168" s="779">
        <v>3750</v>
      </c>
      <c r="T168" s="574"/>
      <c r="U168" s="472">
        <v>0</v>
      </c>
      <c r="V168" s="472">
        <v>0</v>
      </c>
      <c r="W168" s="472">
        <v>0</v>
      </c>
      <c r="X168" s="472">
        <v>0</v>
      </c>
      <c r="Y168" s="472">
        <v>3611.1570755928574</v>
      </c>
      <c r="AA168" s="155">
        <f t="shared" si="54"/>
        <v>0</v>
      </c>
      <c r="AB168" s="155">
        <f t="shared" si="54"/>
        <v>0</v>
      </c>
      <c r="AC168" s="155">
        <f t="shared" si="54"/>
        <v>0</v>
      </c>
      <c r="AD168" s="155">
        <f t="shared" si="54"/>
        <v>0</v>
      </c>
      <c r="AE168" s="155">
        <f t="shared" si="54"/>
        <v>-138.84292440714262</v>
      </c>
      <c r="AF168" s="159"/>
      <c r="AG168" s="156">
        <f t="shared" si="55"/>
        <v>0</v>
      </c>
      <c r="AH168" s="156">
        <f t="shared" si="55"/>
        <v>0</v>
      </c>
      <c r="AI168" s="156">
        <f t="shared" si="55"/>
        <v>0</v>
      </c>
      <c r="AJ168" s="156">
        <f t="shared" si="55"/>
        <v>0</v>
      </c>
      <c r="AK168" s="156">
        <f t="shared" si="55"/>
        <v>-3.7024779841904699E-2</v>
      </c>
    </row>
    <row r="169" spans="1:37" s="575" customFormat="1" ht="15" customHeight="1" x14ac:dyDescent="0.3">
      <c r="A169" s="210"/>
      <c r="B169" s="489" t="s">
        <v>3956</v>
      </c>
      <c r="C169" s="484" t="s">
        <v>59</v>
      </c>
      <c r="D169" s="472">
        <v>1</v>
      </c>
      <c r="E169" s="472">
        <v>12867600</v>
      </c>
      <c r="F169" s="472">
        <f>D169*E169</f>
        <v>12867600</v>
      </c>
      <c r="G169" s="472">
        <v>2600</v>
      </c>
      <c r="H169" s="573"/>
      <c r="I169" s="493">
        <v>4949.0769230769229</v>
      </c>
      <c r="J169" s="572"/>
      <c r="K169" s="465">
        <f t="shared" si="57"/>
        <v>0</v>
      </c>
      <c r="L169" s="467">
        <f t="shared" si="52"/>
        <v>-4949.0769230769229</v>
      </c>
      <c r="M169" s="499">
        <v>0</v>
      </c>
      <c r="N169" s="253"/>
      <c r="O169" s="781"/>
      <c r="P169" s="782"/>
      <c r="Q169" s="781"/>
      <c r="R169" s="783"/>
      <c r="S169" s="779">
        <v>4949.0769230769229</v>
      </c>
      <c r="T169" s="574"/>
      <c r="U169" s="472"/>
      <c r="V169" s="472"/>
      <c r="W169" s="472"/>
      <c r="X169" s="472"/>
      <c r="Y169" s="472"/>
      <c r="AA169" s="155">
        <f t="shared" si="54"/>
        <v>0</v>
      </c>
      <c r="AB169" s="155">
        <f t="shared" si="54"/>
        <v>0</v>
      </c>
      <c r="AC169" s="155">
        <f t="shared" si="54"/>
        <v>0</v>
      </c>
      <c r="AD169" s="155">
        <f t="shared" si="54"/>
        <v>0</v>
      </c>
      <c r="AE169" s="155">
        <f t="shared" si="54"/>
        <v>-4949.0769230769229</v>
      </c>
      <c r="AF169" s="159"/>
      <c r="AG169" s="156">
        <f t="shared" si="55"/>
        <v>0</v>
      </c>
      <c r="AH169" s="156">
        <f t="shared" si="55"/>
        <v>0</v>
      </c>
      <c r="AI169" s="156">
        <f t="shared" si="55"/>
        <v>0</v>
      </c>
      <c r="AJ169" s="156">
        <f t="shared" si="55"/>
        <v>0</v>
      </c>
      <c r="AK169" s="156">
        <f t="shared" si="55"/>
        <v>-1</v>
      </c>
    </row>
    <row r="170" spans="1:37" s="575" customFormat="1" ht="15" customHeight="1" x14ac:dyDescent="0.3">
      <c r="A170" s="210"/>
      <c r="B170" s="489" t="s">
        <v>3957</v>
      </c>
      <c r="C170" s="484" t="s">
        <v>3925</v>
      </c>
      <c r="D170" s="472">
        <v>5</v>
      </c>
      <c r="E170" s="472">
        <v>2000000</v>
      </c>
      <c r="F170" s="472">
        <f>D170*E170</f>
        <v>10000000</v>
      </c>
      <c r="G170" s="472">
        <f t="shared" ref="G170:G174" si="58">$G$5</f>
        <v>2600</v>
      </c>
      <c r="H170" s="582"/>
      <c r="I170" s="493">
        <v>3846.1538461538462</v>
      </c>
      <c r="J170" s="583"/>
      <c r="K170" s="465">
        <f t="shared" si="57"/>
        <v>10121.28630738808</v>
      </c>
      <c r="L170" s="467">
        <f t="shared" si="52"/>
        <v>6275.1324612342341</v>
      </c>
      <c r="M170" s="499">
        <f t="shared" ref="M170:M182" si="59">IFERROR(L170/I170,0)</f>
        <v>1.6315344399209009</v>
      </c>
      <c r="N170" s="584"/>
      <c r="O170" s="783"/>
      <c r="P170" s="787"/>
      <c r="Q170" s="783"/>
      <c r="R170" s="783"/>
      <c r="S170" s="779">
        <v>3846.1538461538462</v>
      </c>
      <c r="U170" s="474">
        <v>0</v>
      </c>
      <c r="V170" s="474">
        <v>0</v>
      </c>
      <c r="W170" s="474">
        <v>0</v>
      </c>
      <c r="X170" s="474">
        <v>0</v>
      </c>
      <c r="Y170" s="474">
        <v>10121.28630738808</v>
      </c>
      <c r="AA170" s="155">
        <f t="shared" si="54"/>
        <v>0</v>
      </c>
      <c r="AB170" s="155">
        <f t="shared" si="54"/>
        <v>0</v>
      </c>
      <c r="AC170" s="155">
        <f t="shared" si="54"/>
        <v>0</v>
      </c>
      <c r="AD170" s="155">
        <f t="shared" si="54"/>
        <v>0</v>
      </c>
      <c r="AE170" s="155">
        <f t="shared" si="54"/>
        <v>6275.1324612342341</v>
      </c>
      <c r="AF170" s="159"/>
      <c r="AG170" s="156">
        <f t="shared" si="55"/>
        <v>0</v>
      </c>
      <c r="AH170" s="156">
        <f t="shared" si="55"/>
        <v>0</v>
      </c>
      <c r="AI170" s="156">
        <f t="shared" si="55"/>
        <v>0</v>
      </c>
      <c r="AJ170" s="156">
        <f t="shared" si="55"/>
        <v>0</v>
      </c>
      <c r="AK170" s="156">
        <f t="shared" si="55"/>
        <v>1.6315344399209009</v>
      </c>
    </row>
    <row r="171" spans="1:37" s="575" customFormat="1" ht="15" customHeight="1" x14ac:dyDescent="0.3">
      <c r="A171" s="210"/>
      <c r="B171" s="489" t="s">
        <v>3958</v>
      </c>
      <c r="C171" s="484"/>
      <c r="D171" s="472"/>
      <c r="E171" s="472"/>
      <c r="F171" s="472"/>
      <c r="G171" s="472"/>
      <c r="H171" s="582"/>
      <c r="I171" s="493">
        <v>30000</v>
      </c>
      <c r="J171" s="583"/>
      <c r="K171" s="465">
        <f t="shared" si="57"/>
        <v>54148.256063655987</v>
      </c>
      <c r="L171" s="467">
        <f t="shared" si="52"/>
        <v>24148.256063655987</v>
      </c>
      <c r="M171" s="156">
        <f t="shared" si="59"/>
        <v>0.80494186878853291</v>
      </c>
      <c r="N171" s="584"/>
      <c r="O171" s="783"/>
      <c r="P171" s="787"/>
      <c r="Q171" s="783"/>
      <c r="R171" s="783"/>
      <c r="S171" s="779">
        <v>30000</v>
      </c>
      <c r="U171" s="474">
        <v>0</v>
      </c>
      <c r="V171" s="474">
        <v>0</v>
      </c>
      <c r="W171" s="474">
        <v>0</v>
      </c>
      <c r="X171" s="474">
        <v>0</v>
      </c>
      <c r="Y171" s="474">
        <v>54148.256063655987</v>
      </c>
      <c r="AA171" s="155">
        <f t="shared" si="54"/>
        <v>0</v>
      </c>
      <c r="AB171" s="155">
        <f t="shared" si="54"/>
        <v>0</v>
      </c>
      <c r="AC171" s="155">
        <f t="shared" si="54"/>
        <v>0</v>
      </c>
      <c r="AD171" s="155">
        <f t="shared" si="54"/>
        <v>0</v>
      </c>
      <c r="AE171" s="155">
        <f t="shared" si="54"/>
        <v>24148.256063655987</v>
      </c>
      <c r="AF171" s="159"/>
      <c r="AG171" s="156">
        <f t="shared" si="55"/>
        <v>0</v>
      </c>
      <c r="AH171" s="156">
        <f t="shared" si="55"/>
        <v>0</v>
      </c>
      <c r="AI171" s="156">
        <f t="shared" si="55"/>
        <v>0</v>
      </c>
      <c r="AJ171" s="156">
        <f t="shared" si="55"/>
        <v>0</v>
      </c>
      <c r="AK171" s="156">
        <f t="shared" si="55"/>
        <v>0.80494186878853291</v>
      </c>
    </row>
    <row r="172" spans="1:37" s="575" customFormat="1" ht="15" customHeight="1" x14ac:dyDescent="0.3">
      <c r="A172" s="210"/>
      <c r="B172" s="585" t="s">
        <v>3959</v>
      </c>
      <c r="C172" s="484" t="s">
        <v>3863</v>
      </c>
      <c r="D172" s="472">
        <v>9460</v>
      </c>
      <c r="E172" s="472">
        <v>2300</v>
      </c>
      <c r="F172" s="472">
        <f>D172*E172</f>
        <v>21758000</v>
      </c>
      <c r="G172" s="472">
        <f t="shared" si="58"/>
        <v>2600</v>
      </c>
      <c r="H172" s="582"/>
      <c r="I172" s="493">
        <v>8368.461538461539</v>
      </c>
      <c r="J172" s="583"/>
      <c r="K172" s="465">
        <f t="shared" si="57"/>
        <v>7230.6802774801636</v>
      </c>
      <c r="L172" s="467">
        <f t="shared" si="52"/>
        <v>-1137.7812609813755</v>
      </c>
      <c r="M172" s="156">
        <f t="shared" si="59"/>
        <v>-0.13596062499088041</v>
      </c>
      <c r="N172" s="584"/>
      <c r="O172" s="783"/>
      <c r="P172" s="787"/>
      <c r="Q172" s="783"/>
      <c r="R172" s="783"/>
      <c r="S172" s="779">
        <v>8368.461538461539</v>
      </c>
      <c r="U172" s="474">
        <v>0</v>
      </c>
      <c r="V172" s="474">
        <v>0</v>
      </c>
      <c r="W172" s="474">
        <v>0</v>
      </c>
      <c r="X172" s="474">
        <v>0</v>
      </c>
      <c r="Y172" s="474">
        <v>7230.6802774801636</v>
      </c>
      <c r="AA172" s="155">
        <f t="shared" si="54"/>
        <v>0</v>
      </c>
      <c r="AB172" s="155">
        <f t="shared" si="54"/>
        <v>0</v>
      </c>
      <c r="AC172" s="155">
        <f t="shared" si="54"/>
        <v>0</v>
      </c>
      <c r="AD172" s="155">
        <f t="shared" si="54"/>
        <v>0</v>
      </c>
      <c r="AE172" s="155">
        <f t="shared" si="54"/>
        <v>-1137.7812609813755</v>
      </c>
      <c r="AF172" s="159"/>
      <c r="AG172" s="156">
        <f t="shared" si="55"/>
        <v>0</v>
      </c>
      <c r="AH172" s="156">
        <f t="shared" si="55"/>
        <v>0</v>
      </c>
      <c r="AI172" s="156">
        <f t="shared" si="55"/>
        <v>0</v>
      </c>
      <c r="AJ172" s="156">
        <f t="shared" si="55"/>
        <v>0</v>
      </c>
      <c r="AK172" s="156">
        <f t="shared" si="55"/>
        <v>-0.13596062499088041</v>
      </c>
    </row>
    <row r="173" spans="1:37" s="575" customFormat="1" ht="15" customHeight="1" x14ac:dyDescent="0.3">
      <c r="A173" s="210"/>
      <c r="B173" s="585" t="s">
        <v>3960</v>
      </c>
      <c r="C173" s="484" t="s">
        <v>3935</v>
      </c>
      <c r="D173" s="472">
        <v>1</v>
      </c>
      <c r="E173" s="472">
        <v>4626000</v>
      </c>
      <c r="F173" s="472">
        <f>D173*E173</f>
        <v>4626000</v>
      </c>
      <c r="G173" s="472">
        <f t="shared" si="58"/>
        <v>2600</v>
      </c>
      <c r="H173" s="582"/>
      <c r="I173" s="493">
        <v>1779.2307692307693</v>
      </c>
      <c r="J173" s="583"/>
      <c r="K173" s="465">
        <f t="shared" si="57"/>
        <v>1406.8814943654397</v>
      </c>
      <c r="L173" s="467">
        <f t="shared" si="52"/>
        <v>-372.34927486532956</v>
      </c>
      <c r="M173" s="156">
        <f t="shared" si="59"/>
        <v>-0.20927542469733179</v>
      </c>
      <c r="N173" s="584"/>
      <c r="O173" s="783"/>
      <c r="P173" s="787"/>
      <c r="Q173" s="783"/>
      <c r="R173" s="783"/>
      <c r="S173" s="779">
        <v>1779.2307692307693</v>
      </c>
      <c r="U173" s="474">
        <v>0</v>
      </c>
      <c r="V173" s="474">
        <v>0</v>
      </c>
      <c r="W173" s="474">
        <v>0</v>
      </c>
      <c r="X173" s="474">
        <v>0</v>
      </c>
      <c r="Y173" s="474">
        <v>1406.8814943654397</v>
      </c>
      <c r="AA173" s="155">
        <f t="shared" si="54"/>
        <v>0</v>
      </c>
      <c r="AB173" s="155">
        <f t="shared" si="54"/>
        <v>0</v>
      </c>
      <c r="AC173" s="155">
        <f t="shared" si="54"/>
        <v>0</v>
      </c>
      <c r="AD173" s="155">
        <f t="shared" si="54"/>
        <v>0</v>
      </c>
      <c r="AE173" s="155">
        <f t="shared" si="54"/>
        <v>-372.34927486532956</v>
      </c>
      <c r="AF173" s="159"/>
      <c r="AG173" s="156">
        <f t="shared" si="55"/>
        <v>0</v>
      </c>
      <c r="AH173" s="156">
        <f t="shared" si="55"/>
        <v>0</v>
      </c>
      <c r="AI173" s="156">
        <f t="shared" si="55"/>
        <v>0</v>
      </c>
      <c r="AJ173" s="156">
        <f t="shared" si="55"/>
        <v>0</v>
      </c>
      <c r="AK173" s="156">
        <f t="shared" si="55"/>
        <v>-0.20927542469733179</v>
      </c>
    </row>
    <row r="174" spans="1:37" s="575" customFormat="1" ht="15" customHeight="1" x14ac:dyDescent="0.3">
      <c r="A174" s="210"/>
      <c r="B174" s="585" t="s">
        <v>3961</v>
      </c>
      <c r="C174" s="484" t="s">
        <v>3935</v>
      </c>
      <c r="D174" s="472">
        <v>1</v>
      </c>
      <c r="E174" s="472">
        <v>10535000</v>
      </c>
      <c r="F174" s="472">
        <f>D174*E174</f>
        <v>10535000</v>
      </c>
      <c r="G174" s="472">
        <f t="shared" si="58"/>
        <v>2600</v>
      </c>
      <c r="H174" s="582"/>
      <c r="I174" s="493">
        <v>4051.9230769230771</v>
      </c>
      <c r="J174" s="583"/>
      <c r="K174" s="465">
        <f t="shared" si="57"/>
        <v>2861.4280295740991</v>
      </c>
      <c r="L174" s="467">
        <f t="shared" si="52"/>
        <v>-1190.495047348978</v>
      </c>
      <c r="M174" s="156">
        <f t="shared" si="59"/>
        <v>-0.29380988354127602</v>
      </c>
      <c r="N174" s="584"/>
      <c r="O174" s="783"/>
      <c r="P174" s="787"/>
      <c r="Q174" s="783"/>
      <c r="R174" s="783"/>
      <c r="S174" s="779">
        <v>4051.9230769230771</v>
      </c>
      <c r="U174" s="474">
        <v>0</v>
      </c>
      <c r="V174" s="474">
        <v>0</v>
      </c>
      <c r="W174" s="474">
        <v>0</v>
      </c>
      <c r="X174" s="474">
        <v>0</v>
      </c>
      <c r="Y174" s="474">
        <v>2861.4280295740991</v>
      </c>
      <c r="AA174" s="155">
        <f t="shared" si="54"/>
        <v>0</v>
      </c>
      <c r="AB174" s="155">
        <f t="shared" si="54"/>
        <v>0</v>
      </c>
      <c r="AC174" s="155">
        <f t="shared" si="54"/>
        <v>0</v>
      </c>
      <c r="AD174" s="155">
        <f t="shared" si="54"/>
        <v>0</v>
      </c>
      <c r="AE174" s="155">
        <f t="shared" si="54"/>
        <v>-1190.495047348978</v>
      </c>
      <c r="AF174" s="159"/>
      <c r="AG174" s="156">
        <f t="shared" si="55"/>
        <v>0</v>
      </c>
      <c r="AH174" s="156">
        <f t="shared" si="55"/>
        <v>0</v>
      </c>
      <c r="AI174" s="156">
        <f t="shared" si="55"/>
        <v>0</v>
      </c>
      <c r="AJ174" s="156">
        <f t="shared" si="55"/>
        <v>0</v>
      </c>
      <c r="AK174" s="156">
        <f t="shared" si="55"/>
        <v>-0.29380988354127602</v>
      </c>
    </row>
    <row r="175" spans="1:37" s="575" customFormat="1" ht="15" customHeight="1" x14ac:dyDescent="0.3">
      <c r="A175" s="185"/>
      <c r="B175" s="489" t="s">
        <v>3962</v>
      </c>
      <c r="C175" s="484" t="s">
        <v>65</v>
      </c>
      <c r="D175" s="472">
        <v>65000</v>
      </c>
      <c r="E175" s="472">
        <v>220</v>
      </c>
      <c r="F175" s="472">
        <f t="shared" ref="F175:F182" si="60">D175*E175</f>
        <v>14300000</v>
      </c>
      <c r="G175" s="472">
        <f t="shared" si="56"/>
        <v>2600</v>
      </c>
      <c r="H175" s="586"/>
      <c r="I175" s="493">
        <v>5500</v>
      </c>
      <c r="J175" s="572"/>
      <c r="K175" s="465">
        <f t="shared" si="57"/>
        <v>6046.5020585660932</v>
      </c>
      <c r="L175" s="467">
        <f t="shared" si="52"/>
        <v>546.50205856609318</v>
      </c>
      <c r="M175" s="156">
        <f t="shared" si="59"/>
        <v>9.9364010648380574E-2</v>
      </c>
      <c r="N175" s="253"/>
      <c r="O175" s="781"/>
      <c r="P175" s="782"/>
      <c r="Q175" s="781"/>
      <c r="R175" s="783"/>
      <c r="S175" s="779">
        <v>5500</v>
      </c>
      <c r="T175" s="574"/>
      <c r="U175" s="472">
        <v>0</v>
      </c>
      <c r="V175" s="472">
        <v>0</v>
      </c>
      <c r="W175" s="472">
        <v>0</v>
      </c>
      <c r="X175" s="472">
        <v>0</v>
      </c>
      <c r="Y175" s="472">
        <v>6046.5020585660932</v>
      </c>
      <c r="AA175" s="155">
        <f t="shared" si="54"/>
        <v>0</v>
      </c>
      <c r="AB175" s="155">
        <f t="shared" si="54"/>
        <v>0</v>
      </c>
      <c r="AC175" s="155">
        <f t="shared" si="54"/>
        <v>0</v>
      </c>
      <c r="AD175" s="155">
        <f t="shared" si="54"/>
        <v>0</v>
      </c>
      <c r="AE175" s="155">
        <f t="shared" si="54"/>
        <v>546.50205856609318</v>
      </c>
      <c r="AF175" s="159"/>
      <c r="AG175" s="156">
        <f t="shared" si="55"/>
        <v>0</v>
      </c>
      <c r="AH175" s="156">
        <f t="shared" si="55"/>
        <v>0</v>
      </c>
      <c r="AI175" s="156">
        <f t="shared" si="55"/>
        <v>0</v>
      </c>
      <c r="AJ175" s="156">
        <f t="shared" si="55"/>
        <v>0</v>
      </c>
      <c r="AK175" s="156">
        <f t="shared" si="55"/>
        <v>9.9364010648380574E-2</v>
      </c>
    </row>
    <row r="176" spans="1:37" s="575" customFormat="1" ht="15" customHeight="1" x14ac:dyDescent="0.3">
      <c r="A176" s="185"/>
      <c r="B176" s="489" t="s">
        <v>3963</v>
      </c>
      <c r="C176" s="484" t="s">
        <v>65</v>
      </c>
      <c r="D176" s="472">
        <v>65000</v>
      </c>
      <c r="E176" s="472">
        <v>1350</v>
      </c>
      <c r="F176" s="472">
        <f t="shared" si="60"/>
        <v>87750000</v>
      </c>
      <c r="G176" s="472">
        <f t="shared" si="56"/>
        <v>2600</v>
      </c>
      <c r="H176" s="586"/>
      <c r="I176" s="493">
        <v>33750</v>
      </c>
      <c r="J176" s="572"/>
      <c r="K176" s="465">
        <f t="shared" si="57"/>
        <v>29263.953686156772</v>
      </c>
      <c r="L176" s="467">
        <f t="shared" si="52"/>
        <v>-4486.0463138432278</v>
      </c>
      <c r="M176" s="156">
        <f t="shared" si="59"/>
        <v>-0.13291989078054009</v>
      </c>
      <c r="N176" s="253"/>
      <c r="O176" s="781"/>
      <c r="P176" s="782"/>
      <c r="Q176" s="781"/>
      <c r="R176" s="783"/>
      <c r="S176" s="779">
        <v>33750</v>
      </c>
      <c r="T176" s="574"/>
      <c r="U176" s="472">
        <v>0</v>
      </c>
      <c r="V176" s="472">
        <v>0</v>
      </c>
      <c r="W176" s="472">
        <v>0</v>
      </c>
      <c r="X176" s="472">
        <v>0</v>
      </c>
      <c r="Y176" s="472">
        <v>29263.953686156772</v>
      </c>
      <c r="AA176" s="155">
        <f t="shared" si="54"/>
        <v>0</v>
      </c>
      <c r="AB176" s="155">
        <f t="shared" si="54"/>
        <v>0</v>
      </c>
      <c r="AC176" s="155">
        <f t="shared" si="54"/>
        <v>0</v>
      </c>
      <c r="AD176" s="155">
        <f t="shared" si="54"/>
        <v>0</v>
      </c>
      <c r="AE176" s="155">
        <f t="shared" si="54"/>
        <v>-4486.0463138432278</v>
      </c>
      <c r="AF176" s="159"/>
      <c r="AG176" s="156">
        <f t="shared" si="55"/>
        <v>0</v>
      </c>
      <c r="AH176" s="156">
        <f t="shared" si="55"/>
        <v>0</v>
      </c>
      <c r="AI176" s="156">
        <f t="shared" si="55"/>
        <v>0</v>
      </c>
      <c r="AJ176" s="156">
        <f t="shared" si="55"/>
        <v>0</v>
      </c>
      <c r="AK176" s="156">
        <f t="shared" si="55"/>
        <v>-0.13291989078054009</v>
      </c>
    </row>
    <row r="177" spans="1:37" s="575" customFormat="1" ht="15" customHeight="1" x14ac:dyDescent="0.3">
      <c r="A177" s="185"/>
      <c r="B177" s="489" t="s">
        <v>3964</v>
      </c>
      <c r="C177" s="484" t="s">
        <v>65</v>
      </c>
      <c r="D177" s="472">
        <v>8000</v>
      </c>
      <c r="E177" s="472">
        <v>1000</v>
      </c>
      <c r="F177" s="472">
        <f t="shared" si="60"/>
        <v>8000000</v>
      </c>
      <c r="G177" s="472">
        <f t="shared" si="56"/>
        <v>2600</v>
      </c>
      <c r="H177" s="586"/>
      <c r="I177" s="493">
        <v>3076.9230769230771</v>
      </c>
      <c r="J177" s="572"/>
      <c r="K177" s="465">
        <f t="shared" si="57"/>
        <v>2917.2046854866567</v>
      </c>
      <c r="L177" s="467">
        <f t="shared" si="52"/>
        <v>-159.71839143642046</v>
      </c>
      <c r="M177" s="156">
        <f t="shared" si="59"/>
        <v>-5.1908477216836647E-2</v>
      </c>
      <c r="N177" s="253"/>
      <c r="O177" s="781"/>
      <c r="P177" s="782"/>
      <c r="Q177" s="781"/>
      <c r="R177" s="783"/>
      <c r="S177" s="779">
        <v>3076.9230769230771</v>
      </c>
      <c r="T177" s="574"/>
      <c r="U177" s="472">
        <v>0</v>
      </c>
      <c r="V177" s="472">
        <v>0</v>
      </c>
      <c r="W177" s="472">
        <v>0</v>
      </c>
      <c r="X177" s="472">
        <v>0</v>
      </c>
      <c r="Y177" s="472">
        <v>2917.2046854866567</v>
      </c>
      <c r="AA177" s="155">
        <f t="shared" si="54"/>
        <v>0</v>
      </c>
      <c r="AB177" s="155">
        <f t="shared" si="54"/>
        <v>0</v>
      </c>
      <c r="AC177" s="155">
        <f t="shared" si="54"/>
        <v>0</v>
      </c>
      <c r="AD177" s="155">
        <f t="shared" si="54"/>
        <v>0</v>
      </c>
      <c r="AE177" s="155">
        <f t="shared" si="54"/>
        <v>-159.71839143642046</v>
      </c>
      <c r="AF177" s="159"/>
      <c r="AG177" s="156">
        <f t="shared" si="55"/>
        <v>0</v>
      </c>
      <c r="AH177" s="156">
        <f t="shared" si="55"/>
        <v>0</v>
      </c>
      <c r="AI177" s="156">
        <f t="shared" si="55"/>
        <v>0</v>
      </c>
      <c r="AJ177" s="156">
        <f t="shared" si="55"/>
        <v>0</v>
      </c>
      <c r="AK177" s="156">
        <f t="shared" si="55"/>
        <v>-5.1908477216836647E-2</v>
      </c>
    </row>
    <row r="178" spans="1:37" s="575" customFormat="1" ht="15" customHeight="1" x14ac:dyDescent="0.3">
      <c r="A178" s="185"/>
      <c r="B178" s="489" t="s">
        <v>3965</v>
      </c>
      <c r="C178" s="484" t="s">
        <v>59</v>
      </c>
      <c r="D178" s="472">
        <v>1</v>
      </c>
      <c r="E178" s="472">
        <v>8828000</v>
      </c>
      <c r="F178" s="472">
        <f t="shared" si="60"/>
        <v>8828000</v>
      </c>
      <c r="G178" s="472">
        <f t="shared" si="56"/>
        <v>2600</v>
      </c>
      <c r="H178" s="586"/>
      <c r="I178" s="493">
        <v>3395.3846153846152</v>
      </c>
      <c r="J178" s="572"/>
      <c r="K178" s="465">
        <f t="shared" si="57"/>
        <v>0</v>
      </c>
      <c r="L178" s="467">
        <f t="shared" si="52"/>
        <v>-3395.3846153846152</v>
      </c>
      <c r="M178" s="156">
        <f t="shared" si="59"/>
        <v>-1</v>
      </c>
      <c r="N178" s="253"/>
      <c r="O178" s="781"/>
      <c r="P178" s="782"/>
      <c r="Q178" s="781"/>
      <c r="R178" s="783"/>
      <c r="S178" s="779">
        <v>3395.3846153846152</v>
      </c>
      <c r="T178" s="574"/>
      <c r="U178" s="472"/>
      <c r="V178" s="472"/>
      <c r="W178" s="472"/>
      <c r="X178" s="472"/>
      <c r="Y178" s="472"/>
      <c r="AA178" s="155">
        <f t="shared" si="54"/>
        <v>0</v>
      </c>
      <c r="AB178" s="155">
        <f t="shared" si="54"/>
        <v>0</v>
      </c>
      <c r="AC178" s="155">
        <f t="shared" si="54"/>
        <v>0</v>
      </c>
      <c r="AD178" s="155">
        <f t="shared" si="54"/>
        <v>0</v>
      </c>
      <c r="AE178" s="155">
        <f t="shared" si="54"/>
        <v>-3395.3846153846152</v>
      </c>
      <c r="AF178" s="159"/>
      <c r="AG178" s="156">
        <f t="shared" si="55"/>
        <v>0</v>
      </c>
      <c r="AH178" s="156">
        <f t="shared" si="55"/>
        <v>0</v>
      </c>
      <c r="AI178" s="156">
        <f t="shared" si="55"/>
        <v>0</v>
      </c>
      <c r="AJ178" s="156">
        <f t="shared" si="55"/>
        <v>0</v>
      </c>
      <c r="AK178" s="156">
        <f t="shared" si="55"/>
        <v>-1</v>
      </c>
    </row>
    <row r="179" spans="1:37" s="575" customFormat="1" ht="15" customHeight="1" x14ac:dyDescent="0.3">
      <c r="A179" s="185"/>
      <c r="B179" s="489" t="s">
        <v>3966</v>
      </c>
      <c r="C179" s="484" t="s">
        <v>3935</v>
      </c>
      <c r="D179" s="472">
        <v>1</v>
      </c>
      <c r="E179" s="472">
        <v>8600000</v>
      </c>
      <c r="F179" s="472">
        <f t="shared" si="60"/>
        <v>8600000</v>
      </c>
      <c r="G179" s="472">
        <f t="shared" si="56"/>
        <v>2600</v>
      </c>
      <c r="H179" s="586"/>
      <c r="I179" s="493">
        <v>3307.6923076923076</v>
      </c>
      <c r="J179" s="572"/>
      <c r="K179" s="465">
        <f t="shared" si="57"/>
        <v>3368.1807159470941</v>
      </c>
      <c r="L179" s="467">
        <f t="shared" si="52"/>
        <v>60.488408254786464</v>
      </c>
      <c r="M179" s="156">
        <f t="shared" si="59"/>
        <v>1.8287193193307537E-2</v>
      </c>
      <c r="N179" s="253"/>
      <c r="O179" s="781"/>
      <c r="P179" s="782"/>
      <c r="Q179" s="781"/>
      <c r="R179" s="783"/>
      <c r="S179" s="779">
        <v>3307.6923076923076</v>
      </c>
      <c r="T179" s="574"/>
      <c r="U179" s="472">
        <v>0</v>
      </c>
      <c r="V179" s="472">
        <v>0</v>
      </c>
      <c r="W179" s="472">
        <v>0</v>
      </c>
      <c r="X179" s="472">
        <v>0</v>
      </c>
      <c r="Y179" s="472">
        <v>3368.1807159470941</v>
      </c>
      <c r="AA179" s="155">
        <f t="shared" si="54"/>
        <v>0</v>
      </c>
      <c r="AB179" s="155">
        <f t="shared" si="54"/>
        <v>0</v>
      </c>
      <c r="AC179" s="155">
        <f t="shared" si="54"/>
        <v>0</v>
      </c>
      <c r="AD179" s="155">
        <f t="shared" si="54"/>
        <v>0</v>
      </c>
      <c r="AE179" s="155">
        <f t="shared" si="54"/>
        <v>60.488408254786464</v>
      </c>
      <c r="AF179" s="159"/>
      <c r="AG179" s="156">
        <f t="shared" si="55"/>
        <v>0</v>
      </c>
      <c r="AH179" s="156">
        <f t="shared" si="55"/>
        <v>0</v>
      </c>
      <c r="AI179" s="156">
        <f t="shared" si="55"/>
        <v>0</v>
      </c>
      <c r="AJ179" s="156">
        <f t="shared" si="55"/>
        <v>0</v>
      </c>
      <c r="AK179" s="156">
        <f t="shared" si="55"/>
        <v>1.8287193193307537E-2</v>
      </c>
    </row>
    <row r="180" spans="1:37" s="575" customFormat="1" ht="15" customHeight="1" x14ac:dyDescent="0.3">
      <c r="A180" s="185"/>
      <c r="B180" s="489" t="s">
        <v>3967</v>
      </c>
      <c r="C180" s="484" t="s">
        <v>3935</v>
      </c>
      <c r="D180" s="472">
        <v>1</v>
      </c>
      <c r="E180" s="472">
        <v>8600000</v>
      </c>
      <c r="F180" s="472">
        <f t="shared" si="60"/>
        <v>8600000</v>
      </c>
      <c r="G180" s="472">
        <f t="shared" si="56"/>
        <v>2600</v>
      </c>
      <c r="H180" s="586"/>
      <c r="I180" s="493">
        <v>3307.6923076923076</v>
      </c>
      <c r="J180" s="572"/>
      <c r="K180" s="465">
        <f t="shared" si="57"/>
        <v>2659.3446284659613</v>
      </c>
      <c r="L180" s="467">
        <f t="shared" si="52"/>
        <v>-648.34767922634637</v>
      </c>
      <c r="M180" s="156">
        <f t="shared" si="59"/>
        <v>-0.19601208906843029</v>
      </c>
      <c r="N180" s="253"/>
      <c r="O180" s="781"/>
      <c r="P180" s="782"/>
      <c r="Q180" s="781"/>
      <c r="R180" s="783"/>
      <c r="S180" s="779">
        <v>3307.6923076923076</v>
      </c>
      <c r="T180" s="574"/>
      <c r="U180" s="472">
        <v>0</v>
      </c>
      <c r="V180" s="472">
        <v>0</v>
      </c>
      <c r="W180" s="472">
        <v>0</v>
      </c>
      <c r="X180" s="472">
        <v>0</v>
      </c>
      <c r="Y180" s="472">
        <v>2659.3446284659613</v>
      </c>
      <c r="AA180" s="155">
        <f t="shared" si="54"/>
        <v>0</v>
      </c>
      <c r="AB180" s="155">
        <f t="shared" si="54"/>
        <v>0</v>
      </c>
      <c r="AC180" s="155">
        <f t="shared" si="54"/>
        <v>0</v>
      </c>
      <c r="AD180" s="155">
        <f t="shared" si="54"/>
        <v>0</v>
      </c>
      <c r="AE180" s="155">
        <f t="shared" si="54"/>
        <v>-648.34767922634637</v>
      </c>
      <c r="AF180" s="159"/>
      <c r="AG180" s="156">
        <f t="shared" si="55"/>
        <v>0</v>
      </c>
      <c r="AH180" s="156">
        <f t="shared" si="55"/>
        <v>0</v>
      </c>
      <c r="AI180" s="156">
        <f t="shared" si="55"/>
        <v>0</v>
      </c>
      <c r="AJ180" s="156">
        <f t="shared" si="55"/>
        <v>0</v>
      </c>
      <c r="AK180" s="156">
        <f t="shared" si="55"/>
        <v>-0.19601208906843029</v>
      </c>
    </row>
    <row r="181" spans="1:37" s="575" customFormat="1" ht="15" customHeight="1" x14ac:dyDescent="0.3">
      <c r="A181" s="185"/>
      <c r="B181" s="489" t="s">
        <v>3968</v>
      </c>
      <c r="C181" s="484" t="s">
        <v>59</v>
      </c>
      <c r="D181" s="472">
        <v>1</v>
      </c>
      <c r="E181" s="472">
        <v>155636000</v>
      </c>
      <c r="F181" s="472">
        <f t="shared" si="60"/>
        <v>155636000</v>
      </c>
      <c r="G181" s="472">
        <f t="shared" si="56"/>
        <v>2600</v>
      </c>
      <c r="H181" s="586"/>
      <c r="I181" s="493">
        <v>283705</v>
      </c>
      <c r="J181" s="572"/>
      <c r="K181" s="465">
        <f t="shared" si="57"/>
        <v>200027.22711205645</v>
      </c>
      <c r="L181" s="467">
        <f t="shared" si="52"/>
        <v>-83677.772887943545</v>
      </c>
      <c r="M181" s="156">
        <f t="shared" si="59"/>
        <v>-0.2949464157767524</v>
      </c>
      <c r="N181" s="253"/>
      <c r="O181" s="781"/>
      <c r="P181" s="782"/>
      <c r="Q181" s="781"/>
      <c r="R181" s="783"/>
      <c r="S181" s="779">
        <v>283705</v>
      </c>
      <c r="T181" s="574"/>
      <c r="U181" s="472">
        <v>0</v>
      </c>
      <c r="V181" s="472">
        <v>0</v>
      </c>
      <c r="W181" s="472">
        <v>0</v>
      </c>
      <c r="X181" s="472">
        <v>0</v>
      </c>
      <c r="Y181" s="472">
        <v>200027.22711205645</v>
      </c>
      <c r="AA181" s="155">
        <f t="shared" si="54"/>
        <v>0</v>
      </c>
      <c r="AB181" s="155">
        <f t="shared" si="54"/>
        <v>0</v>
      </c>
      <c r="AC181" s="155">
        <f t="shared" si="54"/>
        <v>0</v>
      </c>
      <c r="AD181" s="155">
        <f t="shared" si="54"/>
        <v>0</v>
      </c>
      <c r="AE181" s="155">
        <f t="shared" si="54"/>
        <v>-83677.772887943545</v>
      </c>
      <c r="AF181" s="159"/>
      <c r="AG181" s="156">
        <f t="shared" si="55"/>
        <v>0</v>
      </c>
      <c r="AH181" s="156">
        <f t="shared" si="55"/>
        <v>0</v>
      </c>
      <c r="AI181" s="156">
        <f t="shared" si="55"/>
        <v>0</v>
      </c>
      <c r="AJ181" s="156">
        <f t="shared" si="55"/>
        <v>0</v>
      </c>
      <c r="AK181" s="156">
        <f t="shared" si="55"/>
        <v>-0.2949464157767524</v>
      </c>
    </row>
    <row r="182" spans="1:37" s="575" customFormat="1" ht="15" customHeight="1" x14ac:dyDescent="0.3">
      <c r="A182" s="185"/>
      <c r="B182" s="489" t="s">
        <v>3969</v>
      </c>
      <c r="C182" s="484" t="s">
        <v>59</v>
      </c>
      <c r="D182" s="472">
        <v>1</v>
      </c>
      <c r="E182" s="472">
        <v>3680012</v>
      </c>
      <c r="F182" s="472">
        <f t="shared" si="60"/>
        <v>3680012</v>
      </c>
      <c r="G182" s="472">
        <f t="shared" si="56"/>
        <v>2600</v>
      </c>
      <c r="H182" s="586"/>
      <c r="I182" s="493">
        <v>1415.3892307692308</v>
      </c>
      <c r="J182" s="572"/>
      <c r="K182" s="465">
        <f t="shared" si="57"/>
        <v>1079.0680596825644</v>
      </c>
      <c r="L182" s="467">
        <f t="shared" si="52"/>
        <v>-336.32117108666648</v>
      </c>
      <c r="M182" s="156">
        <f t="shared" si="59"/>
        <v>-0.23761744386304523</v>
      </c>
      <c r="N182" s="253"/>
      <c r="O182" s="781"/>
      <c r="P182" s="782"/>
      <c r="Q182" s="781"/>
      <c r="R182" s="783"/>
      <c r="S182" s="779">
        <v>1415.3892307692308</v>
      </c>
      <c r="T182" s="574"/>
      <c r="U182" s="472">
        <v>0</v>
      </c>
      <c r="V182" s="472">
        <v>0</v>
      </c>
      <c r="W182" s="472">
        <v>0</v>
      </c>
      <c r="X182" s="472">
        <v>0</v>
      </c>
      <c r="Y182" s="472">
        <v>1079.0680596825644</v>
      </c>
      <c r="AA182" s="155">
        <f t="shared" si="54"/>
        <v>0</v>
      </c>
      <c r="AB182" s="155">
        <f t="shared" si="54"/>
        <v>0</v>
      </c>
      <c r="AC182" s="155">
        <f t="shared" si="54"/>
        <v>0</v>
      </c>
      <c r="AD182" s="155">
        <f t="shared" si="54"/>
        <v>0</v>
      </c>
      <c r="AE182" s="155">
        <f t="shared" si="54"/>
        <v>-336.32117108666648</v>
      </c>
      <c r="AF182" s="159"/>
      <c r="AG182" s="156">
        <f t="shared" si="55"/>
        <v>0</v>
      </c>
      <c r="AH182" s="156">
        <f t="shared" si="55"/>
        <v>0</v>
      </c>
      <c r="AI182" s="156">
        <f t="shared" si="55"/>
        <v>0</v>
      </c>
      <c r="AJ182" s="156">
        <f t="shared" si="55"/>
        <v>0</v>
      </c>
      <c r="AK182" s="156">
        <f t="shared" si="55"/>
        <v>-0.23761744386304523</v>
      </c>
    </row>
    <row r="183" spans="1:37" s="167" customFormat="1" ht="15" customHeight="1" x14ac:dyDescent="0.3">
      <c r="A183" s="247"/>
      <c r="B183" s="477" t="s">
        <v>183</v>
      </c>
      <c r="C183" s="476"/>
      <c r="D183" s="477"/>
      <c r="E183" s="477"/>
      <c r="F183" s="477">
        <f>SUM(F82:F88)+SUM(F90:F101)+SUM(F110:F128)+SUM(F130:F182)</f>
        <v>1671824792</v>
      </c>
      <c r="G183" s="477"/>
      <c r="H183" s="477">
        <f>SUM(H82:H88)+SUM(H90:H101)+SUM(H110:H128)+SUM(H130:H182)</f>
        <v>416731.41538461536</v>
      </c>
      <c r="I183" s="477">
        <f>SUM(I82:I182)</f>
        <v>728868.15386923088</v>
      </c>
      <c r="J183" s="478"/>
      <c r="K183" s="477">
        <f>SUM(K82:K182)</f>
        <v>646899.89098884177</v>
      </c>
      <c r="L183" s="479">
        <f>K183-I183</f>
        <v>-81968.262880389113</v>
      </c>
      <c r="M183" s="169">
        <f>IFERROR(L183/I183,0)</f>
        <v>-0.11245965740889725</v>
      </c>
      <c r="N183" s="165"/>
      <c r="O183" s="477">
        <f>SUM(O82:O182)</f>
        <v>16285.634253846154</v>
      </c>
      <c r="P183" s="477">
        <f>SUM(P82:P182)</f>
        <v>150768.86499999999</v>
      </c>
      <c r="Q183" s="477">
        <f>SUM(Q82:Q182)</f>
        <v>49981.765384615377</v>
      </c>
      <c r="R183" s="477">
        <f>SUM(R82:R182)</f>
        <v>35671.461538461561</v>
      </c>
      <c r="S183" s="477">
        <f>SUM(S82:S182)</f>
        <v>476160.42769230774</v>
      </c>
      <c r="T183" s="166"/>
      <c r="U183" s="477">
        <f>SUM(U82:U182)</f>
        <v>16257.738545019183</v>
      </c>
      <c r="V183" s="477">
        <f t="shared" ref="V183:X183" si="61">SUM(V82:V182)</f>
        <v>148229.0020145562</v>
      </c>
      <c r="W183" s="477">
        <f t="shared" si="61"/>
        <v>50361.654781396719</v>
      </c>
      <c r="X183" s="477">
        <f t="shared" si="61"/>
        <v>29019.504398404559</v>
      </c>
      <c r="Y183" s="477">
        <f>SUM(Y82:Y182)</f>
        <v>403031.99124946498</v>
      </c>
      <c r="AA183" s="477">
        <f t="shared" si="54"/>
        <v>-27.895708826970804</v>
      </c>
      <c r="AB183" s="477">
        <f t="shared" si="54"/>
        <v>-2539.8629854437895</v>
      </c>
      <c r="AC183" s="477">
        <f t="shared" si="54"/>
        <v>379.88939678134193</v>
      </c>
      <c r="AD183" s="477">
        <f t="shared" si="54"/>
        <v>-6651.9571400570021</v>
      </c>
      <c r="AE183" s="477">
        <f t="shared" si="54"/>
        <v>-73128.436442842765</v>
      </c>
      <c r="AG183" s="169">
        <f t="shared" si="55"/>
        <v>-1.7129028192673992E-3</v>
      </c>
      <c r="AH183" s="169">
        <f t="shared" si="55"/>
        <v>-1.684607087440626E-2</v>
      </c>
      <c r="AI183" s="169">
        <f t="shared" si="55"/>
        <v>7.6005598013205366E-3</v>
      </c>
      <c r="AJ183" s="169">
        <f t="shared" si="55"/>
        <v>-0.18647840186993045</v>
      </c>
      <c r="AK183" s="169">
        <f t="shared" si="55"/>
        <v>-0.15357940767412523</v>
      </c>
    </row>
    <row r="184" spans="1:37" s="255" customFormat="1" ht="15" customHeight="1" x14ac:dyDescent="0.3">
      <c r="A184" s="248"/>
      <c r="B184" s="503" t="s">
        <v>184</v>
      </c>
      <c r="C184" s="587"/>
      <c r="D184" s="503"/>
      <c r="E184" s="503"/>
      <c r="F184" s="475">
        <f>+F183+F79</f>
        <v>2094759088</v>
      </c>
      <c r="G184" s="475"/>
      <c r="H184" s="475">
        <f>+H183+H79</f>
        <v>675726.28384615376</v>
      </c>
      <c r="I184" s="475">
        <f>I183+I79</f>
        <v>960930.77017307701</v>
      </c>
      <c r="J184" s="572"/>
      <c r="K184" s="475">
        <f>K183+K79</f>
        <v>936013.69240598823</v>
      </c>
      <c r="L184" s="588">
        <f>K184-I184</f>
        <v>-24917.077767088776</v>
      </c>
      <c r="M184" s="252">
        <f>IFERROR(L184/I184,0)</f>
        <v>-2.5930148706343189E-2</v>
      </c>
      <c r="N184" s="253"/>
      <c r="O184" s="475">
        <f>O183+O79</f>
        <v>60571.58486826923</v>
      </c>
      <c r="P184" s="475">
        <f>P183+P79</f>
        <v>195054.81561442307</v>
      </c>
      <c r="Q184" s="475">
        <f>Q183+Q79</f>
        <v>94267.715999038453</v>
      </c>
      <c r="R184" s="475">
        <f>R183+R79</f>
        <v>79957.412152884644</v>
      </c>
      <c r="S184" s="475">
        <f>S183+S79</f>
        <v>531079.24153846153</v>
      </c>
      <c r="T184" s="254"/>
      <c r="U184" s="475">
        <f>U183+U79</f>
        <v>67655.606412891939</v>
      </c>
      <c r="V184" s="475">
        <f t="shared" ref="V184:Y184" si="62">V183+V79</f>
        <v>199626.86988242896</v>
      </c>
      <c r="W184" s="475">
        <f t="shared" si="62"/>
        <v>101759.52264926948</v>
      </c>
      <c r="X184" s="475">
        <f t="shared" si="62"/>
        <v>80417.372266277322</v>
      </c>
      <c r="Y184" s="475">
        <f t="shared" si="62"/>
        <v>486554.32119512022</v>
      </c>
      <c r="AA184" s="503">
        <f t="shared" si="54"/>
        <v>7084.0215446227085</v>
      </c>
      <c r="AB184" s="503">
        <f t="shared" si="54"/>
        <v>4572.0542680058861</v>
      </c>
      <c r="AC184" s="503">
        <f t="shared" si="54"/>
        <v>7491.8066502310248</v>
      </c>
      <c r="AD184" s="503">
        <f t="shared" si="54"/>
        <v>459.96011339267716</v>
      </c>
      <c r="AE184" s="503">
        <f t="shared" si="54"/>
        <v>-44524.920343341306</v>
      </c>
      <c r="AG184" s="169">
        <f t="shared" si="55"/>
        <v>0.11695288409621445</v>
      </c>
      <c r="AH184" s="169">
        <f t="shared" si="55"/>
        <v>2.3439843069774542E-2</v>
      </c>
      <c r="AI184" s="169">
        <f t="shared" si="55"/>
        <v>7.947372619389062E-2</v>
      </c>
      <c r="AJ184" s="169">
        <f t="shared" si="55"/>
        <v>5.7525637837452575E-3</v>
      </c>
      <c r="AK184" s="169">
        <f t="shared" si="55"/>
        <v>-8.3838562799703684E-2</v>
      </c>
    </row>
    <row r="185" spans="1:37" s="146" customFormat="1" ht="15" customHeight="1" x14ac:dyDescent="0.3">
      <c r="A185" s="589"/>
      <c r="B185" s="835" t="s">
        <v>16</v>
      </c>
      <c r="C185" s="836"/>
      <c r="D185" s="836"/>
      <c r="E185" s="836"/>
      <c r="F185" s="837"/>
      <c r="G185" s="480"/>
      <c r="H185" s="480"/>
      <c r="I185" s="480"/>
      <c r="J185" s="478"/>
      <c r="K185" s="480"/>
      <c r="L185" s="482"/>
      <c r="M185" s="187"/>
      <c r="N185" s="165"/>
      <c r="O185" s="480"/>
      <c r="P185" s="483"/>
      <c r="Q185" s="480"/>
      <c r="R185" s="480"/>
      <c r="S185" s="480"/>
      <c r="T185" s="145"/>
      <c r="U185" s="480"/>
      <c r="V185" s="483"/>
      <c r="W185" s="480"/>
      <c r="X185" s="480"/>
      <c r="Y185" s="480"/>
      <c r="AA185" s="480"/>
      <c r="AB185" s="483"/>
      <c r="AC185" s="480"/>
      <c r="AD185" s="480"/>
      <c r="AE185" s="480"/>
      <c r="AG185" s="480"/>
      <c r="AH185" s="483"/>
      <c r="AI185" s="480"/>
      <c r="AJ185" s="480"/>
      <c r="AK185" s="480"/>
    </row>
    <row r="186" spans="1:37" s="146" customFormat="1" ht="15" customHeight="1" x14ac:dyDescent="0.3">
      <c r="A186" s="590"/>
      <c r="B186" s="591" t="s">
        <v>185</v>
      </c>
      <c r="C186" s="591"/>
      <c r="D186" s="591"/>
      <c r="E186" s="591"/>
      <c r="F186" s="508"/>
      <c r="G186" s="508"/>
      <c r="H186" s="508"/>
      <c r="I186" s="508"/>
      <c r="J186" s="478"/>
      <c r="K186" s="508"/>
      <c r="L186" s="509"/>
      <c r="M186" s="191"/>
      <c r="N186" s="165"/>
      <c r="O186" s="508"/>
      <c r="P186" s="510"/>
      <c r="Q186" s="508"/>
      <c r="R186" s="508"/>
      <c r="S186" s="508"/>
      <c r="T186" s="145"/>
      <c r="U186" s="508"/>
      <c r="V186" s="510"/>
      <c r="W186" s="508"/>
      <c r="X186" s="508"/>
      <c r="Y186" s="508"/>
      <c r="AA186" s="592"/>
      <c r="AB186" s="592"/>
      <c r="AC186" s="592"/>
      <c r="AD186" s="592"/>
      <c r="AE186" s="592"/>
      <c r="AG186" s="511"/>
      <c r="AH186" s="511"/>
      <c r="AI186" s="511"/>
      <c r="AJ186" s="511"/>
      <c r="AK186" s="511"/>
    </row>
    <row r="187" spans="1:37" s="418" customFormat="1" ht="15" customHeight="1" x14ac:dyDescent="0.3">
      <c r="A187" s="258"/>
      <c r="B187" s="485" t="s">
        <v>3970</v>
      </c>
      <c r="C187" s="464" t="s">
        <v>3840</v>
      </c>
      <c r="D187" s="492">
        <v>24</v>
      </c>
      <c r="E187" s="492">
        <v>4093750</v>
      </c>
      <c r="F187" s="492">
        <f>D187*E187</f>
        <v>98250000</v>
      </c>
      <c r="G187" s="492">
        <f>$G$5</f>
        <v>2600</v>
      </c>
      <c r="H187" s="492">
        <f>IF($G$5=0,0,F187/G187)</f>
        <v>37788.461538461539</v>
      </c>
      <c r="I187" s="493">
        <v>34146.865384615383</v>
      </c>
      <c r="J187" s="466"/>
      <c r="K187" s="465">
        <f t="shared" ref="K187:K236" si="63">SUM(U187:Y187)</f>
        <v>39630.235805884236</v>
      </c>
      <c r="L187" s="467">
        <f t="shared" ref="L187:L223" si="64">K187-I187</f>
        <v>5483.3704212688535</v>
      </c>
      <c r="M187" s="468">
        <f t="shared" ref="M187:M223" si="65">IFERROR(L187/I187,0)</f>
        <v>0.16058195560578001</v>
      </c>
      <c r="N187" s="469"/>
      <c r="O187" s="471">
        <v>8536.7163461538457</v>
      </c>
      <c r="P187" s="471">
        <v>8536.7163461538457</v>
      </c>
      <c r="Q187" s="471">
        <v>8536.7163461538457</v>
      </c>
      <c r="R187" s="471">
        <v>8536.7163461538457</v>
      </c>
      <c r="S187" s="471"/>
      <c r="U187" s="471">
        <v>9907.5589514710591</v>
      </c>
      <c r="V187" s="471">
        <v>9907.5589514710591</v>
      </c>
      <c r="W187" s="471">
        <v>9907.5589514710591</v>
      </c>
      <c r="X187" s="471">
        <v>9907.5589514710591</v>
      </c>
      <c r="Y187" s="471">
        <v>0</v>
      </c>
      <c r="AA187" s="155">
        <f t="shared" ref="AA187:AE222" si="66">U187-O187</f>
        <v>1370.8426053172134</v>
      </c>
      <c r="AB187" s="155">
        <f t="shared" si="66"/>
        <v>1370.8426053172134</v>
      </c>
      <c r="AC187" s="155">
        <f t="shared" si="66"/>
        <v>1370.8426053172134</v>
      </c>
      <c r="AD187" s="155">
        <f t="shared" si="66"/>
        <v>1370.8426053172134</v>
      </c>
      <c r="AE187" s="155">
        <f t="shared" si="66"/>
        <v>0</v>
      </c>
      <c r="AG187" s="156">
        <f t="shared" ref="AG187:AK223" si="67">IFERROR(AA187/O187,0)</f>
        <v>0.16058195560578001</v>
      </c>
      <c r="AH187" s="156">
        <f t="shared" si="67"/>
        <v>0.16058195560578001</v>
      </c>
      <c r="AI187" s="156">
        <f t="shared" si="67"/>
        <v>0.16058195560578001</v>
      </c>
      <c r="AJ187" s="156">
        <f t="shared" si="67"/>
        <v>0.16058195560578001</v>
      </c>
      <c r="AK187" s="156">
        <f t="shared" si="67"/>
        <v>0</v>
      </c>
    </row>
    <row r="188" spans="1:37" s="146" customFormat="1" ht="15" customHeight="1" x14ac:dyDescent="0.3">
      <c r="A188" s="258"/>
      <c r="B188" s="593" t="s">
        <v>3971</v>
      </c>
      <c r="C188" s="594" t="s">
        <v>3840</v>
      </c>
      <c r="D188" s="595">
        <v>24</v>
      </c>
      <c r="E188" s="595">
        <v>3275000</v>
      </c>
      <c r="F188" s="595">
        <f>D188*E188</f>
        <v>78600000</v>
      </c>
      <c r="G188" s="595">
        <f t="shared" ref="G188:G198" si="68">$G$5</f>
        <v>2600</v>
      </c>
      <c r="H188" s="595">
        <f t="shared" ref="H188:H194" si="69">IF($G$5=0,0,F188/G188)</f>
        <v>30230.76923076923</v>
      </c>
      <c r="I188" s="493">
        <v>24546.048076923078</v>
      </c>
      <c r="J188" s="466"/>
      <c r="K188" s="465">
        <f t="shared" si="63"/>
        <v>23556.200720467568</v>
      </c>
      <c r="L188" s="467">
        <f t="shared" si="64"/>
        <v>-989.84735645550973</v>
      </c>
      <c r="M188" s="468">
        <f t="shared" si="65"/>
        <v>-4.0326139399446258E-2</v>
      </c>
      <c r="N188" s="469"/>
      <c r="O188" s="471">
        <v>6136.5120192307695</v>
      </c>
      <c r="P188" s="471">
        <v>6136.5120192307695</v>
      </c>
      <c r="Q188" s="471">
        <v>6136.5120192307695</v>
      </c>
      <c r="R188" s="471">
        <v>6136.5120192307695</v>
      </c>
      <c r="S188" s="471"/>
      <c r="T188" s="145"/>
      <c r="U188" s="471">
        <v>5889.0501801168921</v>
      </c>
      <c r="V188" s="471">
        <v>5889.0501801168921</v>
      </c>
      <c r="W188" s="471">
        <v>5889.0501801168921</v>
      </c>
      <c r="X188" s="471">
        <v>5889.0501801168921</v>
      </c>
      <c r="Y188" s="471">
        <v>0</v>
      </c>
      <c r="AA188" s="155">
        <f t="shared" si="66"/>
        <v>-247.46183911387743</v>
      </c>
      <c r="AB188" s="155">
        <f t="shared" si="66"/>
        <v>-247.46183911387743</v>
      </c>
      <c r="AC188" s="155">
        <f t="shared" si="66"/>
        <v>-247.46183911387743</v>
      </c>
      <c r="AD188" s="155">
        <f t="shared" si="66"/>
        <v>-247.46183911387743</v>
      </c>
      <c r="AE188" s="155">
        <f t="shared" si="66"/>
        <v>0</v>
      </c>
      <c r="AG188" s="156">
        <f t="shared" si="67"/>
        <v>-4.0326139399446258E-2</v>
      </c>
      <c r="AH188" s="156">
        <f t="shared" si="67"/>
        <v>-4.0326139399446258E-2</v>
      </c>
      <c r="AI188" s="156">
        <f t="shared" si="67"/>
        <v>-4.0326139399446258E-2</v>
      </c>
      <c r="AJ188" s="156">
        <f t="shared" si="67"/>
        <v>-4.0326139399446258E-2</v>
      </c>
      <c r="AK188" s="156">
        <f t="shared" si="67"/>
        <v>0</v>
      </c>
    </row>
    <row r="189" spans="1:37" s="575" customFormat="1" ht="15" customHeight="1" x14ac:dyDescent="0.3">
      <c r="A189" s="185"/>
      <c r="B189" s="489" t="s">
        <v>3972</v>
      </c>
      <c r="C189" s="484" t="s">
        <v>3840</v>
      </c>
      <c r="D189" s="472">
        <v>24</v>
      </c>
      <c r="E189" s="472">
        <v>4093750</v>
      </c>
      <c r="F189" s="472">
        <f t="shared" ref="F189:F194" si="70">D189*E189</f>
        <v>98250000</v>
      </c>
      <c r="G189" s="472">
        <f t="shared" si="68"/>
        <v>2600</v>
      </c>
      <c r="H189" s="472">
        <f t="shared" si="69"/>
        <v>37788.461538461539</v>
      </c>
      <c r="I189" s="493">
        <v>26909.658653846156</v>
      </c>
      <c r="J189" s="572"/>
      <c r="K189" s="465">
        <f t="shared" si="63"/>
        <v>11959.421160012287</v>
      </c>
      <c r="L189" s="467">
        <f t="shared" si="64"/>
        <v>-14950.237493833869</v>
      </c>
      <c r="M189" s="499">
        <f t="shared" si="65"/>
        <v>-0.55557142831676365</v>
      </c>
      <c r="N189" s="253"/>
      <c r="O189" s="788">
        <v>6727.414663461539</v>
      </c>
      <c r="P189" s="789">
        <v>6727.414663461539</v>
      </c>
      <c r="Q189" s="788">
        <v>6727.414663461539</v>
      </c>
      <c r="R189" s="790">
        <v>6727.414663461539</v>
      </c>
      <c r="S189" s="788"/>
      <c r="T189" s="574"/>
      <c r="U189" s="472">
        <v>2989.8552900030718</v>
      </c>
      <c r="V189" s="472">
        <v>2989.8552900030718</v>
      </c>
      <c r="W189" s="472">
        <v>2989.8552900030718</v>
      </c>
      <c r="X189" s="472">
        <v>2989.8552900030718</v>
      </c>
      <c r="Y189" s="472">
        <v>0</v>
      </c>
      <c r="AA189" s="155">
        <f t="shared" si="66"/>
        <v>-3737.5593734584672</v>
      </c>
      <c r="AB189" s="155">
        <f t="shared" si="66"/>
        <v>-3737.5593734584672</v>
      </c>
      <c r="AC189" s="155">
        <f t="shared" si="66"/>
        <v>-3737.5593734584672</v>
      </c>
      <c r="AD189" s="155">
        <f t="shared" si="66"/>
        <v>-3737.5593734584672</v>
      </c>
      <c r="AE189" s="155">
        <f t="shared" si="66"/>
        <v>0</v>
      </c>
      <c r="AF189" s="159"/>
      <c r="AG189" s="156">
        <f t="shared" si="67"/>
        <v>-0.55557142831676365</v>
      </c>
      <c r="AH189" s="156">
        <f t="shared" si="67"/>
        <v>-0.55557142831676365</v>
      </c>
      <c r="AI189" s="156">
        <f t="shared" si="67"/>
        <v>-0.55557142831676365</v>
      </c>
      <c r="AJ189" s="156">
        <f t="shared" si="67"/>
        <v>-0.55557142831676365</v>
      </c>
      <c r="AK189" s="156">
        <f t="shared" si="67"/>
        <v>0</v>
      </c>
    </row>
    <row r="190" spans="1:37" s="146" customFormat="1" ht="15" customHeight="1" x14ac:dyDescent="0.3">
      <c r="A190" s="258"/>
      <c r="B190" s="593" t="s">
        <v>3973</v>
      </c>
      <c r="C190" s="594" t="s">
        <v>3840</v>
      </c>
      <c r="D190" s="595">
        <v>24</v>
      </c>
      <c r="E190" s="595">
        <v>2456250</v>
      </c>
      <c r="F190" s="595">
        <f t="shared" si="70"/>
        <v>58950000</v>
      </c>
      <c r="G190" s="595">
        <f t="shared" si="68"/>
        <v>2600</v>
      </c>
      <c r="H190" s="595">
        <f t="shared" si="69"/>
        <v>22673.076923076922</v>
      </c>
      <c r="I190" s="493">
        <v>22409.211538461539</v>
      </c>
      <c r="J190" s="466"/>
      <c r="K190" s="465">
        <f t="shared" si="63"/>
        <v>31913.968948068003</v>
      </c>
      <c r="L190" s="467">
        <f t="shared" si="64"/>
        <v>9504.7574096064636</v>
      </c>
      <c r="M190" s="468">
        <f t="shared" si="65"/>
        <v>0.42414510627887064</v>
      </c>
      <c r="N190" s="469"/>
      <c r="O190" s="471">
        <v>5602.3028846153848</v>
      </c>
      <c r="P190" s="471">
        <v>5602.3028846153848</v>
      </c>
      <c r="Q190" s="471">
        <v>5602.3028846153848</v>
      </c>
      <c r="R190" s="471">
        <v>5602.3028846153848</v>
      </c>
      <c r="S190" s="471"/>
      <c r="T190" s="145"/>
      <c r="U190" s="471">
        <v>7978.4922370170007</v>
      </c>
      <c r="V190" s="471">
        <v>7978.4922370170007</v>
      </c>
      <c r="W190" s="471">
        <v>7978.4922370170007</v>
      </c>
      <c r="X190" s="471">
        <v>7978.4922370170007</v>
      </c>
      <c r="Y190" s="471">
        <v>0</v>
      </c>
      <c r="AA190" s="155">
        <f t="shared" si="66"/>
        <v>2376.1893524016159</v>
      </c>
      <c r="AB190" s="155">
        <f t="shared" si="66"/>
        <v>2376.1893524016159</v>
      </c>
      <c r="AC190" s="155">
        <f t="shared" si="66"/>
        <v>2376.1893524016159</v>
      </c>
      <c r="AD190" s="155">
        <f t="shared" si="66"/>
        <v>2376.1893524016159</v>
      </c>
      <c r="AE190" s="155">
        <f t="shared" si="66"/>
        <v>0</v>
      </c>
      <c r="AG190" s="156">
        <f t="shared" si="67"/>
        <v>0.42414510627887064</v>
      </c>
      <c r="AH190" s="156">
        <f t="shared" si="67"/>
        <v>0.42414510627887064</v>
      </c>
      <c r="AI190" s="156">
        <f t="shared" si="67"/>
        <v>0.42414510627887064</v>
      </c>
      <c r="AJ190" s="156">
        <f t="shared" si="67"/>
        <v>0.42414510627887064</v>
      </c>
      <c r="AK190" s="156">
        <f t="shared" si="67"/>
        <v>0</v>
      </c>
    </row>
    <row r="191" spans="1:37" s="146" customFormat="1" ht="15" customHeight="1" x14ac:dyDescent="0.3">
      <c r="A191" s="258"/>
      <c r="B191" s="593" t="s">
        <v>3974</v>
      </c>
      <c r="C191" s="594" t="s">
        <v>3840</v>
      </c>
      <c r="D191" s="595">
        <v>20</v>
      </c>
      <c r="E191" s="595">
        <v>5804938</v>
      </c>
      <c r="F191" s="595">
        <f t="shared" si="70"/>
        <v>116098760</v>
      </c>
      <c r="G191" s="595">
        <f t="shared" si="68"/>
        <v>2600</v>
      </c>
      <c r="H191" s="595">
        <f t="shared" si="69"/>
        <v>44653.369230769233</v>
      </c>
      <c r="I191" s="493">
        <v>42294.359615384616</v>
      </c>
      <c r="J191" s="466"/>
      <c r="K191" s="465">
        <f t="shared" si="63"/>
        <v>48081.586809471155</v>
      </c>
      <c r="L191" s="467">
        <f t="shared" si="64"/>
        <v>5787.2271940865394</v>
      </c>
      <c r="M191" s="468">
        <f t="shared" si="65"/>
        <v>0.13683212718467144</v>
      </c>
      <c r="N191" s="469"/>
      <c r="O191" s="471">
        <v>10573.589903846154</v>
      </c>
      <c r="P191" s="471">
        <v>10573.589903846154</v>
      </c>
      <c r="Q191" s="471">
        <v>10573.589903846154</v>
      </c>
      <c r="R191" s="471">
        <v>10573.589903846154</v>
      </c>
      <c r="S191" s="471"/>
      <c r="T191" s="145"/>
      <c r="U191" s="471">
        <v>12020.396702367789</v>
      </c>
      <c r="V191" s="471">
        <v>12020.396702367789</v>
      </c>
      <c r="W191" s="471">
        <v>12020.396702367789</v>
      </c>
      <c r="X191" s="471">
        <v>12020.396702367789</v>
      </c>
      <c r="Y191" s="471">
        <v>0</v>
      </c>
      <c r="AA191" s="155">
        <f t="shared" si="66"/>
        <v>1446.8067985216348</v>
      </c>
      <c r="AB191" s="155">
        <f t="shared" si="66"/>
        <v>1446.8067985216348</v>
      </c>
      <c r="AC191" s="155">
        <f t="shared" si="66"/>
        <v>1446.8067985216348</v>
      </c>
      <c r="AD191" s="155">
        <f t="shared" si="66"/>
        <v>1446.8067985216348</v>
      </c>
      <c r="AE191" s="155">
        <f t="shared" si="66"/>
        <v>0</v>
      </c>
      <c r="AG191" s="156">
        <f t="shared" si="67"/>
        <v>0.13683212718467144</v>
      </c>
      <c r="AH191" s="156">
        <f t="shared" si="67"/>
        <v>0.13683212718467144</v>
      </c>
      <c r="AI191" s="156">
        <f t="shared" si="67"/>
        <v>0.13683212718467144</v>
      </c>
      <c r="AJ191" s="156">
        <f t="shared" si="67"/>
        <v>0.13683212718467144</v>
      </c>
      <c r="AK191" s="156">
        <f t="shared" si="67"/>
        <v>0</v>
      </c>
    </row>
    <row r="192" spans="1:37" s="146" customFormat="1" ht="15" customHeight="1" x14ac:dyDescent="0.3">
      <c r="A192" s="258"/>
      <c r="B192" s="593" t="s">
        <v>3975</v>
      </c>
      <c r="C192" s="594" t="s">
        <v>3840</v>
      </c>
      <c r="D192" s="595">
        <v>24</v>
      </c>
      <c r="E192" s="595">
        <v>4093750</v>
      </c>
      <c r="F192" s="595">
        <f t="shared" si="70"/>
        <v>98250000</v>
      </c>
      <c r="G192" s="595">
        <f t="shared" si="68"/>
        <v>2600</v>
      </c>
      <c r="H192" s="595">
        <f t="shared" si="69"/>
        <v>37788.461538461539</v>
      </c>
      <c r="I192" s="493">
        <v>29792.057692307691</v>
      </c>
      <c r="J192" s="466"/>
      <c r="K192" s="465">
        <f t="shared" si="63"/>
        <v>29126.828920086569</v>
      </c>
      <c r="L192" s="467">
        <f t="shared" si="64"/>
        <v>-665.2287722211222</v>
      </c>
      <c r="M192" s="468">
        <f t="shared" si="65"/>
        <v>-2.2329064312764279E-2</v>
      </c>
      <c r="N192" s="469"/>
      <c r="O192" s="471">
        <v>7448.0144230769229</v>
      </c>
      <c r="P192" s="471">
        <v>7448.0144230769229</v>
      </c>
      <c r="Q192" s="471">
        <v>7448.0144230769229</v>
      </c>
      <c r="R192" s="471">
        <v>7448.0144230769229</v>
      </c>
      <c r="S192" s="471"/>
      <c r="T192" s="145"/>
      <c r="U192" s="471">
        <v>7281.7072300216423</v>
      </c>
      <c r="V192" s="471">
        <v>7281.7072300216423</v>
      </c>
      <c r="W192" s="471">
        <v>7281.7072300216423</v>
      </c>
      <c r="X192" s="471">
        <v>7281.7072300216423</v>
      </c>
      <c r="Y192" s="471">
        <v>0</v>
      </c>
      <c r="AA192" s="155">
        <f t="shared" si="66"/>
        <v>-166.30719305528055</v>
      </c>
      <c r="AB192" s="155">
        <f t="shared" si="66"/>
        <v>-166.30719305528055</v>
      </c>
      <c r="AC192" s="155">
        <f t="shared" si="66"/>
        <v>-166.30719305528055</v>
      </c>
      <c r="AD192" s="155">
        <f t="shared" si="66"/>
        <v>-166.30719305528055</v>
      </c>
      <c r="AE192" s="155">
        <f t="shared" si="66"/>
        <v>0</v>
      </c>
      <c r="AG192" s="156">
        <f t="shared" si="67"/>
        <v>-2.2329064312764279E-2</v>
      </c>
      <c r="AH192" s="156">
        <f t="shared" si="67"/>
        <v>-2.2329064312764279E-2</v>
      </c>
      <c r="AI192" s="156">
        <f t="shared" si="67"/>
        <v>-2.2329064312764279E-2</v>
      </c>
      <c r="AJ192" s="156">
        <f t="shared" si="67"/>
        <v>-2.2329064312764279E-2</v>
      </c>
      <c r="AK192" s="156">
        <f t="shared" si="67"/>
        <v>0</v>
      </c>
    </row>
    <row r="193" spans="1:37" s="146" customFormat="1" ht="15" customHeight="1" x14ac:dyDescent="0.3">
      <c r="A193" s="258"/>
      <c r="B193" s="593" t="s">
        <v>3976</v>
      </c>
      <c r="C193" s="594" t="s">
        <v>3840</v>
      </c>
      <c r="D193" s="595">
        <v>24</v>
      </c>
      <c r="E193" s="595">
        <v>1719375</v>
      </c>
      <c r="F193" s="595">
        <f t="shared" si="70"/>
        <v>41265000</v>
      </c>
      <c r="G193" s="595">
        <f t="shared" si="68"/>
        <v>2600</v>
      </c>
      <c r="H193" s="595">
        <f t="shared" si="69"/>
        <v>15871.153846153846</v>
      </c>
      <c r="I193" s="493">
        <v>13291.548076923076</v>
      </c>
      <c r="J193" s="466"/>
      <c r="K193" s="465">
        <f t="shared" si="63"/>
        <v>14196.376754401037</v>
      </c>
      <c r="L193" s="467">
        <f t="shared" si="64"/>
        <v>904.82867747796081</v>
      </c>
      <c r="M193" s="468">
        <f t="shared" si="65"/>
        <v>6.8075492203119189E-2</v>
      </c>
      <c r="N193" s="469"/>
      <c r="O193" s="471">
        <v>3322.8870192307691</v>
      </c>
      <c r="P193" s="471">
        <v>3322.8870192307691</v>
      </c>
      <c r="Q193" s="471">
        <v>3322.8870192307691</v>
      </c>
      <c r="R193" s="471">
        <v>3322.8870192307691</v>
      </c>
      <c r="S193" s="471"/>
      <c r="T193" s="145"/>
      <c r="U193" s="471">
        <v>3549.0941886002593</v>
      </c>
      <c r="V193" s="471">
        <v>3549.0941886002593</v>
      </c>
      <c r="W193" s="471">
        <v>3549.0941886002593</v>
      </c>
      <c r="X193" s="471">
        <v>3549.0941886002593</v>
      </c>
      <c r="Y193" s="471">
        <v>0</v>
      </c>
      <c r="AA193" s="155">
        <f t="shared" si="66"/>
        <v>226.2071693694902</v>
      </c>
      <c r="AB193" s="155">
        <f t="shared" si="66"/>
        <v>226.2071693694902</v>
      </c>
      <c r="AC193" s="155">
        <f t="shared" si="66"/>
        <v>226.2071693694902</v>
      </c>
      <c r="AD193" s="155">
        <f t="shared" si="66"/>
        <v>226.2071693694902</v>
      </c>
      <c r="AE193" s="155">
        <f t="shared" si="66"/>
        <v>0</v>
      </c>
      <c r="AG193" s="156">
        <f t="shared" si="67"/>
        <v>6.8075492203119189E-2</v>
      </c>
      <c r="AH193" s="156">
        <f t="shared" si="67"/>
        <v>6.8075492203119189E-2</v>
      </c>
      <c r="AI193" s="156">
        <f t="shared" si="67"/>
        <v>6.8075492203119189E-2</v>
      </c>
      <c r="AJ193" s="156">
        <f t="shared" si="67"/>
        <v>6.8075492203119189E-2</v>
      </c>
      <c r="AK193" s="156">
        <f t="shared" si="67"/>
        <v>0</v>
      </c>
    </row>
    <row r="194" spans="1:37" s="146" customFormat="1" ht="15" customHeight="1" x14ac:dyDescent="0.3">
      <c r="A194" s="258"/>
      <c r="B194" s="593" t="s">
        <v>3977</v>
      </c>
      <c r="C194" s="594" t="s">
        <v>3840</v>
      </c>
      <c r="D194" s="595">
        <v>24</v>
      </c>
      <c r="E194" s="595">
        <v>1228125</v>
      </c>
      <c r="F194" s="595">
        <f t="shared" si="70"/>
        <v>29475000</v>
      </c>
      <c r="G194" s="595">
        <f t="shared" si="68"/>
        <v>2600</v>
      </c>
      <c r="H194" s="595">
        <f t="shared" si="69"/>
        <v>11336.538461538461</v>
      </c>
      <c r="I194" s="493">
        <v>9165.0576923076915</v>
      </c>
      <c r="J194" s="466"/>
      <c r="K194" s="465">
        <f t="shared" si="63"/>
        <v>6595.2699780206804</v>
      </c>
      <c r="L194" s="467">
        <f t="shared" si="64"/>
        <v>-2569.7877142870111</v>
      </c>
      <c r="M194" s="468">
        <f t="shared" si="65"/>
        <v>-0.28038969317605661</v>
      </c>
      <c r="N194" s="469"/>
      <c r="O194" s="471">
        <v>2291.2644230769229</v>
      </c>
      <c r="P194" s="471">
        <v>2291.2644230769229</v>
      </c>
      <c r="Q194" s="471">
        <v>2291.2644230769229</v>
      </c>
      <c r="R194" s="471">
        <v>2291.2644230769229</v>
      </c>
      <c r="S194" s="471"/>
      <c r="T194" s="145"/>
      <c r="U194" s="471">
        <v>1648.8174945051701</v>
      </c>
      <c r="V194" s="471">
        <v>1648.8174945051701</v>
      </c>
      <c r="W194" s="471">
        <v>1648.8174945051701</v>
      </c>
      <c r="X194" s="471">
        <v>1648.8174945051701</v>
      </c>
      <c r="Y194" s="471">
        <v>0</v>
      </c>
      <c r="Z194" s="471"/>
      <c r="AA194" s="155">
        <f t="shared" si="66"/>
        <v>-642.44692857175278</v>
      </c>
      <c r="AB194" s="155">
        <f t="shared" si="66"/>
        <v>-642.44692857175278</v>
      </c>
      <c r="AC194" s="155">
        <f t="shared" si="66"/>
        <v>-642.44692857175278</v>
      </c>
      <c r="AD194" s="155">
        <f t="shared" si="66"/>
        <v>-642.44692857175278</v>
      </c>
      <c r="AE194" s="155">
        <f t="shared" si="66"/>
        <v>0</v>
      </c>
      <c r="AG194" s="156">
        <f t="shared" si="67"/>
        <v>-0.28038969317605661</v>
      </c>
      <c r="AH194" s="156">
        <f t="shared" si="67"/>
        <v>-0.28038969317605661</v>
      </c>
      <c r="AI194" s="156">
        <f t="shared" si="67"/>
        <v>-0.28038969317605661</v>
      </c>
      <c r="AJ194" s="156">
        <f t="shared" si="67"/>
        <v>-0.28038969317605661</v>
      </c>
      <c r="AK194" s="156">
        <f t="shared" si="67"/>
        <v>0</v>
      </c>
    </row>
    <row r="195" spans="1:37" s="575" customFormat="1" ht="15" customHeight="1" x14ac:dyDescent="0.3">
      <c r="A195" s="185"/>
      <c r="B195" s="489" t="s">
        <v>3978</v>
      </c>
      <c r="C195" s="484" t="s">
        <v>3840</v>
      </c>
      <c r="D195" s="472">
        <v>24</v>
      </c>
      <c r="E195" s="472">
        <v>1719375</v>
      </c>
      <c r="F195" s="472">
        <f>D195*E195</f>
        <v>41265000</v>
      </c>
      <c r="G195" s="472">
        <f t="shared" si="68"/>
        <v>2600</v>
      </c>
      <c r="H195" s="472">
        <f>IF($G$5=0,0,F195/G195)</f>
        <v>15871.153846153846</v>
      </c>
      <c r="I195" s="493">
        <v>13983.721153846154</v>
      </c>
      <c r="J195" s="572"/>
      <c r="K195" s="465">
        <f t="shared" si="63"/>
        <v>10942.590995054556</v>
      </c>
      <c r="L195" s="467">
        <f t="shared" si="64"/>
        <v>-3041.1301587915987</v>
      </c>
      <c r="M195" s="499">
        <f t="shared" si="65"/>
        <v>-0.21747645890058032</v>
      </c>
      <c r="N195" s="253"/>
      <c r="O195" s="788">
        <v>3495.9302884615386</v>
      </c>
      <c r="P195" s="789">
        <v>3495.9302884615386</v>
      </c>
      <c r="Q195" s="788">
        <v>3495.9302884615386</v>
      </c>
      <c r="R195" s="790">
        <v>3495.9302884615386</v>
      </c>
      <c r="S195" s="788"/>
      <c r="T195" s="574"/>
      <c r="U195" s="472">
        <v>2735.6477487636389</v>
      </c>
      <c r="V195" s="472">
        <v>2735.6477487636389</v>
      </c>
      <c r="W195" s="472">
        <v>2735.6477487636389</v>
      </c>
      <c r="X195" s="472">
        <v>2735.6477487636389</v>
      </c>
      <c r="Y195" s="472">
        <v>0</v>
      </c>
      <c r="AA195" s="155">
        <f t="shared" si="66"/>
        <v>-760.28253969789967</v>
      </c>
      <c r="AB195" s="155">
        <f t="shared" si="66"/>
        <v>-760.28253969789967</v>
      </c>
      <c r="AC195" s="155">
        <f t="shared" si="66"/>
        <v>-760.28253969789967</v>
      </c>
      <c r="AD195" s="155">
        <f t="shared" si="66"/>
        <v>-760.28253969789967</v>
      </c>
      <c r="AE195" s="155">
        <f t="shared" si="66"/>
        <v>0</v>
      </c>
      <c r="AF195" s="159"/>
      <c r="AG195" s="156">
        <f t="shared" si="67"/>
        <v>-0.21747645890058032</v>
      </c>
      <c r="AH195" s="156">
        <f t="shared" si="67"/>
        <v>-0.21747645890058032</v>
      </c>
      <c r="AI195" s="156">
        <f t="shared" si="67"/>
        <v>-0.21747645890058032</v>
      </c>
      <c r="AJ195" s="156">
        <f t="shared" si="67"/>
        <v>-0.21747645890058032</v>
      </c>
      <c r="AK195" s="156">
        <f t="shared" si="67"/>
        <v>0</v>
      </c>
    </row>
    <row r="196" spans="1:37" s="575" customFormat="1" ht="15" customHeight="1" x14ac:dyDescent="0.3">
      <c r="A196" s="185"/>
      <c r="B196" s="489" t="s">
        <v>205</v>
      </c>
      <c r="C196" s="484" t="s">
        <v>209</v>
      </c>
      <c r="D196" s="472">
        <v>1</v>
      </c>
      <c r="E196" s="472"/>
      <c r="F196" s="472"/>
      <c r="G196" s="472">
        <f t="shared" si="68"/>
        <v>2600</v>
      </c>
      <c r="H196" s="571"/>
      <c r="I196" s="493">
        <v>17592.934615384616</v>
      </c>
      <c r="J196" s="572"/>
      <c r="K196" s="465">
        <f t="shared" si="63"/>
        <v>20785.10677536748</v>
      </c>
      <c r="L196" s="467">
        <f t="shared" si="64"/>
        <v>3192.1721599828634</v>
      </c>
      <c r="M196" s="499">
        <f t="shared" si="65"/>
        <v>0.18144625838553291</v>
      </c>
      <c r="N196" s="253"/>
      <c r="O196" s="788">
        <v>4398.2336538461541</v>
      </c>
      <c r="P196" s="780">
        <v>4398.2336538461541</v>
      </c>
      <c r="Q196" s="779">
        <v>4398.2336538461541</v>
      </c>
      <c r="R196" s="542">
        <v>4398.2336538461541</v>
      </c>
      <c r="S196" s="779"/>
      <c r="T196" s="574"/>
      <c r="U196" s="472">
        <v>5196.2766938418699</v>
      </c>
      <c r="V196" s="472">
        <v>5196.2766938418699</v>
      </c>
      <c r="W196" s="472">
        <v>5196.2766938418699</v>
      </c>
      <c r="X196" s="472">
        <v>5196.2766938418699</v>
      </c>
      <c r="Y196" s="472">
        <v>0</v>
      </c>
      <c r="AA196" s="155">
        <f t="shared" si="66"/>
        <v>798.04303999571584</v>
      </c>
      <c r="AB196" s="155">
        <f t="shared" si="66"/>
        <v>798.04303999571584</v>
      </c>
      <c r="AC196" s="155">
        <f t="shared" si="66"/>
        <v>798.04303999571584</v>
      </c>
      <c r="AD196" s="155">
        <f t="shared" si="66"/>
        <v>798.04303999571584</v>
      </c>
      <c r="AE196" s="155">
        <f t="shared" si="66"/>
        <v>0</v>
      </c>
      <c r="AF196" s="159"/>
      <c r="AG196" s="156">
        <f t="shared" si="67"/>
        <v>0.18144625838553291</v>
      </c>
      <c r="AH196" s="156">
        <f t="shared" si="67"/>
        <v>0.18144625838553291</v>
      </c>
      <c r="AI196" s="156">
        <f t="shared" si="67"/>
        <v>0.18144625838553291</v>
      </c>
      <c r="AJ196" s="156">
        <f t="shared" si="67"/>
        <v>0.18144625838553291</v>
      </c>
      <c r="AK196" s="156">
        <f t="shared" si="67"/>
        <v>0</v>
      </c>
    </row>
    <row r="197" spans="1:37" s="575" customFormat="1" ht="15" customHeight="1" x14ac:dyDescent="0.3">
      <c r="A197" s="596"/>
      <c r="B197" s="593" t="s">
        <v>3979</v>
      </c>
      <c r="C197" s="594" t="s">
        <v>3980</v>
      </c>
      <c r="D197" s="595">
        <v>11</v>
      </c>
      <c r="E197" s="595">
        <v>3500000</v>
      </c>
      <c r="F197" s="595">
        <f>E197*D197</f>
        <v>38500000</v>
      </c>
      <c r="G197" s="595">
        <f t="shared" si="68"/>
        <v>2600</v>
      </c>
      <c r="H197" s="571"/>
      <c r="I197" s="493">
        <v>14807.692307692309</v>
      </c>
      <c r="J197" s="572"/>
      <c r="K197" s="465">
        <f t="shared" si="63"/>
        <v>15595.030087299039</v>
      </c>
      <c r="L197" s="467">
        <f t="shared" si="64"/>
        <v>787.33777960673069</v>
      </c>
      <c r="M197" s="499">
        <f t="shared" si="65"/>
        <v>5.3170863038376613E-2</v>
      </c>
      <c r="N197" s="223"/>
      <c r="O197" s="779"/>
      <c r="P197" s="780"/>
      <c r="Q197" s="779"/>
      <c r="R197" s="779"/>
      <c r="S197" s="779">
        <v>14807.692307692309</v>
      </c>
      <c r="T197" s="159"/>
      <c r="U197" s="472">
        <v>0</v>
      </c>
      <c r="V197" s="472">
        <v>0</v>
      </c>
      <c r="W197" s="472">
        <v>0</v>
      </c>
      <c r="X197" s="472">
        <v>0</v>
      </c>
      <c r="Y197" s="472">
        <v>15595.030087299039</v>
      </c>
      <c r="AA197" s="155">
        <f t="shared" si="66"/>
        <v>0</v>
      </c>
      <c r="AB197" s="155">
        <f t="shared" si="66"/>
        <v>0</v>
      </c>
      <c r="AC197" s="155">
        <f t="shared" si="66"/>
        <v>0</v>
      </c>
      <c r="AD197" s="155">
        <f t="shared" si="66"/>
        <v>0</v>
      </c>
      <c r="AE197" s="155">
        <f t="shared" si="66"/>
        <v>787.33777960673069</v>
      </c>
      <c r="AF197" s="145"/>
      <c r="AG197" s="156">
        <f t="shared" si="67"/>
        <v>0</v>
      </c>
      <c r="AH197" s="156">
        <f t="shared" si="67"/>
        <v>0</v>
      </c>
      <c r="AI197" s="156">
        <f t="shared" si="67"/>
        <v>0</v>
      </c>
      <c r="AJ197" s="156">
        <f t="shared" si="67"/>
        <v>0</v>
      </c>
      <c r="AK197" s="156">
        <f t="shared" si="67"/>
        <v>5.3170863038376613E-2</v>
      </c>
    </row>
    <row r="198" spans="1:37" s="575" customFormat="1" ht="15" customHeight="1" x14ac:dyDescent="0.3">
      <c r="A198" s="596"/>
      <c r="B198" s="593" t="s">
        <v>3981</v>
      </c>
      <c r="C198" s="594" t="s">
        <v>3980</v>
      </c>
      <c r="D198" s="595">
        <v>11</v>
      </c>
      <c r="E198" s="595">
        <v>671000</v>
      </c>
      <c r="F198" s="595">
        <f>E198*D198</f>
        <v>7381000</v>
      </c>
      <c r="G198" s="595">
        <f t="shared" si="68"/>
        <v>2600</v>
      </c>
      <c r="H198" s="571"/>
      <c r="I198" s="493">
        <v>2838.8461538461538</v>
      </c>
      <c r="J198" s="572"/>
      <c r="K198" s="465">
        <f t="shared" si="63"/>
        <v>8950.8695550668708</v>
      </c>
      <c r="L198" s="467">
        <f t="shared" si="64"/>
        <v>6112.0234012207166</v>
      </c>
      <c r="M198" s="156">
        <f t="shared" si="65"/>
        <v>2.1529956432968249</v>
      </c>
      <c r="N198" s="223"/>
      <c r="O198" s="779"/>
      <c r="P198" s="780"/>
      <c r="Q198" s="779"/>
      <c r="R198" s="779"/>
      <c r="S198" s="779">
        <v>2838.8461538461538</v>
      </c>
      <c r="T198" s="159"/>
      <c r="U198" s="472">
        <v>0</v>
      </c>
      <c r="V198" s="472">
        <v>0</v>
      </c>
      <c r="W198" s="472">
        <v>0</v>
      </c>
      <c r="X198" s="472">
        <v>0</v>
      </c>
      <c r="Y198" s="472">
        <v>8950.8695550668708</v>
      </c>
      <c r="AA198" s="155">
        <f t="shared" si="66"/>
        <v>0</v>
      </c>
      <c r="AB198" s="155">
        <f t="shared" si="66"/>
        <v>0</v>
      </c>
      <c r="AC198" s="155">
        <f t="shared" si="66"/>
        <v>0</v>
      </c>
      <c r="AD198" s="155">
        <f t="shared" si="66"/>
        <v>0</v>
      </c>
      <c r="AE198" s="155">
        <f t="shared" si="66"/>
        <v>6112.0234012207166</v>
      </c>
      <c r="AF198" s="145"/>
      <c r="AG198" s="156">
        <f t="shared" si="67"/>
        <v>0</v>
      </c>
      <c r="AH198" s="156">
        <f t="shared" si="67"/>
        <v>0</v>
      </c>
      <c r="AI198" s="156">
        <f t="shared" si="67"/>
        <v>0</v>
      </c>
      <c r="AJ198" s="156">
        <f t="shared" si="67"/>
        <v>0</v>
      </c>
      <c r="AK198" s="156">
        <f t="shared" si="67"/>
        <v>2.1529956432968249</v>
      </c>
    </row>
    <row r="199" spans="1:37" s="159" customFormat="1" ht="15" customHeight="1" x14ac:dyDescent="0.3">
      <c r="A199" s="215"/>
      <c r="B199" s="593" t="s">
        <v>3982</v>
      </c>
      <c r="C199" s="594" t="s">
        <v>3840</v>
      </c>
      <c r="D199" s="595">
        <v>22</v>
      </c>
      <c r="E199" s="595">
        <v>1300000</v>
      </c>
      <c r="F199" s="595">
        <f t="shared" ref="F199:F223" si="71">D199*E199</f>
        <v>28600000</v>
      </c>
      <c r="G199" s="595">
        <f t="shared" si="56"/>
        <v>2600</v>
      </c>
      <c r="H199" s="472"/>
      <c r="I199" s="493">
        <v>11000</v>
      </c>
      <c r="J199" s="570"/>
      <c r="K199" s="465">
        <f t="shared" si="63"/>
        <v>11690.18220580327</v>
      </c>
      <c r="L199" s="467">
        <f t="shared" si="64"/>
        <v>690.18220580327034</v>
      </c>
      <c r="M199" s="468">
        <f t="shared" si="65"/>
        <v>6.2743836891206398E-2</v>
      </c>
      <c r="N199" s="223"/>
      <c r="O199" s="779"/>
      <c r="P199" s="780"/>
      <c r="Q199" s="779"/>
      <c r="R199" s="542"/>
      <c r="S199" s="779">
        <v>11000</v>
      </c>
      <c r="T199" s="487"/>
      <c r="U199" s="472">
        <v>0</v>
      </c>
      <c r="V199" s="472">
        <v>0</v>
      </c>
      <c r="W199" s="472">
        <v>0</v>
      </c>
      <c r="X199" s="472">
        <v>0</v>
      </c>
      <c r="Y199" s="472">
        <v>11690.18220580327</v>
      </c>
      <c r="AA199" s="155">
        <f t="shared" si="66"/>
        <v>0</v>
      </c>
      <c r="AB199" s="155">
        <f t="shared" si="66"/>
        <v>0</v>
      </c>
      <c r="AC199" s="155">
        <f t="shared" si="66"/>
        <v>0</v>
      </c>
      <c r="AD199" s="155">
        <f t="shared" si="66"/>
        <v>0</v>
      </c>
      <c r="AE199" s="155">
        <f t="shared" si="66"/>
        <v>690.18220580327034</v>
      </c>
      <c r="AF199" s="145"/>
      <c r="AG199" s="156">
        <f t="shared" si="67"/>
        <v>0</v>
      </c>
      <c r="AH199" s="156">
        <f t="shared" si="67"/>
        <v>0</v>
      </c>
      <c r="AI199" s="156">
        <f t="shared" si="67"/>
        <v>0</v>
      </c>
      <c r="AJ199" s="156">
        <f t="shared" si="67"/>
        <v>0</v>
      </c>
      <c r="AK199" s="156">
        <f t="shared" si="67"/>
        <v>6.2743836891206398E-2</v>
      </c>
    </row>
    <row r="200" spans="1:37" s="159" customFormat="1" ht="15" customHeight="1" x14ac:dyDescent="0.3">
      <c r="A200" s="215"/>
      <c r="B200" s="593" t="s">
        <v>3983</v>
      </c>
      <c r="C200" s="594" t="s">
        <v>3840</v>
      </c>
      <c r="D200" s="595">
        <v>11</v>
      </c>
      <c r="E200" s="595">
        <v>1800000</v>
      </c>
      <c r="F200" s="595">
        <f t="shared" si="71"/>
        <v>19800000</v>
      </c>
      <c r="G200" s="595">
        <f t="shared" si="56"/>
        <v>2600</v>
      </c>
      <c r="H200" s="472"/>
      <c r="I200" s="493">
        <v>7615.3846153846152</v>
      </c>
      <c r="J200" s="570"/>
      <c r="K200" s="465">
        <f t="shared" si="63"/>
        <v>8020.3015666119345</v>
      </c>
      <c r="L200" s="467">
        <f t="shared" si="64"/>
        <v>404.91695122731926</v>
      </c>
      <c r="M200" s="468">
        <f t="shared" si="65"/>
        <v>5.3170912787425764E-2</v>
      </c>
      <c r="N200" s="223"/>
      <c r="O200" s="779"/>
      <c r="P200" s="780"/>
      <c r="Q200" s="779"/>
      <c r="R200" s="542"/>
      <c r="S200" s="779">
        <v>7615.3846153846152</v>
      </c>
      <c r="T200" s="487"/>
      <c r="U200" s="472">
        <v>0</v>
      </c>
      <c r="V200" s="472">
        <v>0</v>
      </c>
      <c r="W200" s="472">
        <v>0</v>
      </c>
      <c r="X200" s="472">
        <v>0</v>
      </c>
      <c r="Y200" s="472">
        <v>8020.3015666119345</v>
      </c>
      <c r="AA200" s="155">
        <f t="shared" si="66"/>
        <v>0</v>
      </c>
      <c r="AB200" s="155">
        <f t="shared" si="66"/>
        <v>0</v>
      </c>
      <c r="AC200" s="155">
        <f t="shared" si="66"/>
        <v>0</v>
      </c>
      <c r="AD200" s="155">
        <f t="shared" si="66"/>
        <v>0</v>
      </c>
      <c r="AE200" s="155">
        <f t="shared" si="66"/>
        <v>404.91695122731926</v>
      </c>
      <c r="AF200" s="145"/>
      <c r="AG200" s="156">
        <f t="shared" si="67"/>
        <v>0</v>
      </c>
      <c r="AH200" s="156">
        <f t="shared" si="67"/>
        <v>0</v>
      </c>
      <c r="AI200" s="156">
        <f t="shared" si="67"/>
        <v>0</v>
      </c>
      <c r="AJ200" s="156">
        <f t="shared" si="67"/>
        <v>0</v>
      </c>
      <c r="AK200" s="156">
        <f t="shared" si="67"/>
        <v>5.3170912787425764E-2</v>
      </c>
    </row>
    <row r="201" spans="1:37" s="159" customFormat="1" ht="15" customHeight="1" x14ac:dyDescent="0.3">
      <c r="A201" s="215"/>
      <c r="B201" s="593" t="s">
        <v>3984</v>
      </c>
      <c r="C201" s="594" t="s">
        <v>3840</v>
      </c>
      <c r="D201" s="595">
        <v>11</v>
      </c>
      <c r="E201" s="595">
        <v>1800000</v>
      </c>
      <c r="F201" s="595">
        <f t="shared" si="71"/>
        <v>19800000</v>
      </c>
      <c r="G201" s="595">
        <f t="shared" si="56"/>
        <v>2600</v>
      </c>
      <c r="H201" s="472"/>
      <c r="I201" s="493">
        <v>7615.3846153846152</v>
      </c>
      <c r="J201" s="570"/>
      <c r="K201" s="465">
        <f t="shared" si="63"/>
        <v>8020.3017080070595</v>
      </c>
      <c r="L201" s="467">
        <f t="shared" si="64"/>
        <v>404.91709262244422</v>
      </c>
      <c r="M201" s="468">
        <f t="shared" si="65"/>
        <v>5.3170931354462374E-2</v>
      </c>
      <c r="N201" s="223"/>
      <c r="O201" s="779"/>
      <c r="P201" s="780"/>
      <c r="Q201" s="779"/>
      <c r="R201" s="542"/>
      <c r="S201" s="779">
        <v>7615.3846153846152</v>
      </c>
      <c r="T201" s="487"/>
      <c r="U201" s="472">
        <v>0</v>
      </c>
      <c r="V201" s="472">
        <v>0</v>
      </c>
      <c r="W201" s="472">
        <v>0</v>
      </c>
      <c r="X201" s="472">
        <v>0</v>
      </c>
      <c r="Y201" s="472">
        <v>8020.3017080070595</v>
      </c>
      <c r="AA201" s="155">
        <f t="shared" si="66"/>
        <v>0</v>
      </c>
      <c r="AB201" s="155">
        <f t="shared" si="66"/>
        <v>0</v>
      </c>
      <c r="AC201" s="155">
        <f t="shared" si="66"/>
        <v>0</v>
      </c>
      <c r="AD201" s="155">
        <f t="shared" si="66"/>
        <v>0</v>
      </c>
      <c r="AE201" s="155">
        <f t="shared" si="66"/>
        <v>404.91709262244422</v>
      </c>
      <c r="AF201" s="145"/>
      <c r="AG201" s="156">
        <f t="shared" si="67"/>
        <v>0</v>
      </c>
      <c r="AH201" s="156">
        <f t="shared" si="67"/>
        <v>0</v>
      </c>
      <c r="AI201" s="156">
        <f t="shared" si="67"/>
        <v>0</v>
      </c>
      <c r="AJ201" s="156">
        <f t="shared" si="67"/>
        <v>0</v>
      </c>
      <c r="AK201" s="156">
        <f t="shared" si="67"/>
        <v>5.3170931354462374E-2</v>
      </c>
    </row>
    <row r="202" spans="1:37" s="159" customFormat="1" ht="15" customHeight="1" x14ac:dyDescent="0.3">
      <c r="A202" s="215"/>
      <c r="B202" s="593" t="s">
        <v>3985</v>
      </c>
      <c r="C202" s="594" t="s">
        <v>3840</v>
      </c>
      <c r="D202" s="595">
        <v>6</v>
      </c>
      <c r="E202" s="595">
        <v>2400000</v>
      </c>
      <c r="F202" s="595">
        <f t="shared" si="71"/>
        <v>14400000</v>
      </c>
      <c r="G202" s="595">
        <f t="shared" si="56"/>
        <v>2600</v>
      </c>
      <c r="H202" s="472"/>
      <c r="I202" s="493">
        <v>5538.4615384615381</v>
      </c>
      <c r="J202" s="570"/>
      <c r="K202" s="465">
        <f t="shared" si="63"/>
        <v>4715.9598445526281</v>
      </c>
      <c r="L202" s="467">
        <f t="shared" si="64"/>
        <v>-822.50169390891006</v>
      </c>
      <c r="M202" s="468">
        <f t="shared" si="65"/>
        <v>-0.14850725028910877</v>
      </c>
      <c r="N202" s="223"/>
      <c r="O202" s="779"/>
      <c r="P202" s="780"/>
      <c r="Q202" s="779"/>
      <c r="R202" s="542"/>
      <c r="S202" s="779">
        <v>5538.4615384615381</v>
      </c>
      <c r="T202" s="487"/>
      <c r="U202" s="472">
        <v>0</v>
      </c>
      <c r="V202" s="472">
        <v>0</v>
      </c>
      <c r="W202" s="472">
        <v>0</v>
      </c>
      <c r="X202" s="472">
        <v>0</v>
      </c>
      <c r="Y202" s="472">
        <v>4715.9598445526281</v>
      </c>
      <c r="AA202" s="155">
        <f t="shared" si="66"/>
        <v>0</v>
      </c>
      <c r="AB202" s="155">
        <f t="shared" si="66"/>
        <v>0</v>
      </c>
      <c r="AC202" s="155">
        <f t="shared" si="66"/>
        <v>0</v>
      </c>
      <c r="AD202" s="155">
        <f t="shared" si="66"/>
        <v>0</v>
      </c>
      <c r="AE202" s="155">
        <f t="shared" si="66"/>
        <v>-822.50169390891006</v>
      </c>
      <c r="AF202" s="145"/>
      <c r="AG202" s="156">
        <f t="shared" si="67"/>
        <v>0</v>
      </c>
      <c r="AH202" s="156">
        <f t="shared" si="67"/>
        <v>0</v>
      </c>
      <c r="AI202" s="156">
        <f t="shared" si="67"/>
        <v>0</v>
      </c>
      <c r="AJ202" s="156">
        <f t="shared" si="67"/>
        <v>0</v>
      </c>
      <c r="AK202" s="156">
        <f t="shared" si="67"/>
        <v>-0.14850725028910877</v>
      </c>
    </row>
    <row r="203" spans="1:37" s="159" customFormat="1" ht="15" customHeight="1" x14ac:dyDescent="0.3">
      <c r="A203" s="215"/>
      <c r="B203" s="593" t="s">
        <v>3986</v>
      </c>
      <c r="C203" s="594" t="s">
        <v>3840</v>
      </c>
      <c r="D203" s="595">
        <v>12</v>
      </c>
      <c r="E203" s="595">
        <v>1800000</v>
      </c>
      <c r="F203" s="595">
        <f t="shared" si="71"/>
        <v>21600000</v>
      </c>
      <c r="G203" s="595">
        <f t="shared" si="56"/>
        <v>2600</v>
      </c>
      <c r="H203" s="472"/>
      <c r="I203" s="493">
        <v>0</v>
      </c>
      <c r="J203" s="570"/>
      <c r="K203" s="465">
        <f t="shared" si="63"/>
        <v>0</v>
      </c>
      <c r="L203" s="467">
        <f t="shared" si="64"/>
        <v>0</v>
      </c>
      <c r="M203" s="468">
        <f t="shared" si="65"/>
        <v>0</v>
      </c>
      <c r="N203" s="223"/>
      <c r="O203" s="779"/>
      <c r="P203" s="780"/>
      <c r="Q203" s="779"/>
      <c r="R203" s="542"/>
      <c r="S203" s="779">
        <v>0</v>
      </c>
      <c r="T203" s="487"/>
      <c r="U203" s="472"/>
      <c r="V203" s="472"/>
      <c r="W203" s="472"/>
      <c r="X203" s="472"/>
      <c r="Y203" s="472"/>
      <c r="AA203" s="155">
        <f t="shared" si="66"/>
        <v>0</v>
      </c>
      <c r="AB203" s="155">
        <f t="shared" si="66"/>
        <v>0</v>
      </c>
      <c r="AC203" s="155">
        <f t="shared" si="66"/>
        <v>0</v>
      </c>
      <c r="AD203" s="155">
        <f t="shared" si="66"/>
        <v>0</v>
      </c>
      <c r="AE203" s="155">
        <f t="shared" si="66"/>
        <v>0</v>
      </c>
      <c r="AF203" s="145"/>
      <c r="AG203" s="156">
        <f t="shared" si="67"/>
        <v>0</v>
      </c>
      <c r="AH203" s="156">
        <f t="shared" si="67"/>
        <v>0</v>
      </c>
      <c r="AI203" s="156">
        <f t="shared" si="67"/>
        <v>0</v>
      </c>
      <c r="AJ203" s="156">
        <f t="shared" si="67"/>
        <v>0</v>
      </c>
      <c r="AK203" s="156">
        <f t="shared" si="67"/>
        <v>0</v>
      </c>
    </row>
    <row r="204" spans="1:37" s="159" customFormat="1" ht="15" customHeight="1" x14ac:dyDescent="0.3">
      <c r="A204" s="215"/>
      <c r="B204" s="593" t="s">
        <v>3987</v>
      </c>
      <c r="C204" s="594" t="s">
        <v>3840</v>
      </c>
      <c r="D204" s="595">
        <v>11</v>
      </c>
      <c r="E204" s="595">
        <v>961000</v>
      </c>
      <c r="F204" s="595">
        <f t="shared" si="71"/>
        <v>10571000</v>
      </c>
      <c r="G204" s="595">
        <f t="shared" si="56"/>
        <v>2600</v>
      </c>
      <c r="H204" s="472"/>
      <c r="I204" s="493">
        <v>4065.7692307692309</v>
      </c>
      <c r="J204" s="570"/>
      <c r="K204" s="465">
        <f t="shared" si="63"/>
        <v>4281.9499249900491</v>
      </c>
      <c r="L204" s="467">
        <f t="shared" si="64"/>
        <v>216.18069422081817</v>
      </c>
      <c r="M204" s="468">
        <f t="shared" si="65"/>
        <v>5.3170920913265272E-2</v>
      </c>
      <c r="N204" s="223"/>
      <c r="O204" s="779"/>
      <c r="P204" s="780"/>
      <c r="Q204" s="779"/>
      <c r="R204" s="542"/>
      <c r="S204" s="779">
        <v>4065.7692307692309</v>
      </c>
      <c r="T204" s="487"/>
      <c r="U204" s="472">
        <v>0</v>
      </c>
      <c r="V204" s="472">
        <v>0</v>
      </c>
      <c r="W204" s="472">
        <v>0</v>
      </c>
      <c r="X204" s="472">
        <v>0</v>
      </c>
      <c r="Y204" s="472">
        <v>4281.9499249900491</v>
      </c>
      <c r="AA204" s="155">
        <f t="shared" si="66"/>
        <v>0</v>
      </c>
      <c r="AB204" s="155">
        <f t="shared" si="66"/>
        <v>0</v>
      </c>
      <c r="AC204" s="155">
        <f t="shared" si="66"/>
        <v>0</v>
      </c>
      <c r="AD204" s="155">
        <f t="shared" si="66"/>
        <v>0</v>
      </c>
      <c r="AE204" s="155">
        <f t="shared" si="66"/>
        <v>216.18069422081817</v>
      </c>
      <c r="AF204" s="145"/>
      <c r="AG204" s="156">
        <f t="shared" si="67"/>
        <v>0</v>
      </c>
      <c r="AH204" s="156">
        <f t="shared" si="67"/>
        <v>0</v>
      </c>
      <c r="AI204" s="156">
        <f t="shared" si="67"/>
        <v>0</v>
      </c>
      <c r="AJ204" s="156">
        <f t="shared" si="67"/>
        <v>0</v>
      </c>
      <c r="AK204" s="156">
        <f t="shared" si="67"/>
        <v>5.3170920913265272E-2</v>
      </c>
    </row>
    <row r="205" spans="1:37" s="159" customFormat="1" ht="15" customHeight="1" x14ac:dyDescent="0.3">
      <c r="A205" s="215"/>
      <c r="B205" s="593" t="s">
        <v>3988</v>
      </c>
      <c r="C205" s="594" t="s">
        <v>3840</v>
      </c>
      <c r="D205" s="595">
        <v>12</v>
      </c>
      <c r="E205" s="595">
        <v>961000</v>
      </c>
      <c r="F205" s="595">
        <f t="shared" si="71"/>
        <v>11532000</v>
      </c>
      <c r="G205" s="595">
        <f t="shared" si="56"/>
        <v>2600</v>
      </c>
      <c r="H205" s="472"/>
      <c r="I205" s="493">
        <v>0</v>
      </c>
      <c r="J205" s="570"/>
      <c r="K205" s="465">
        <f t="shared" si="63"/>
        <v>0</v>
      </c>
      <c r="L205" s="467">
        <f t="shared" si="64"/>
        <v>0</v>
      </c>
      <c r="M205" s="468">
        <f t="shared" si="65"/>
        <v>0</v>
      </c>
      <c r="N205" s="223"/>
      <c r="O205" s="779"/>
      <c r="P205" s="780"/>
      <c r="Q205" s="779"/>
      <c r="R205" s="542"/>
      <c r="S205" s="779">
        <v>0</v>
      </c>
      <c r="T205" s="487"/>
      <c r="U205" s="472"/>
      <c r="V205" s="472"/>
      <c r="W205" s="472"/>
      <c r="X205" s="472"/>
      <c r="Y205" s="472"/>
      <c r="AA205" s="155">
        <f t="shared" si="66"/>
        <v>0</v>
      </c>
      <c r="AB205" s="155">
        <f t="shared" si="66"/>
        <v>0</v>
      </c>
      <c r="AC205" s="155">
        <f t="shared" si="66"/>
        <v>0</v>
      </c>
      <c r="AD205" s="155">
        <f t="shared" si="66"/>
        <v>0</v>
      </c>
      <c r="AE205" s="155">
        <f t="shared" si="66"/>
        <v>0</v>
      </c>
      <c r="AF205" s="145"/>
      <c r="AG205" s="156">
        <f t="shared" si="67"/>
        <v>0</v>
      </c>
      <c r="AH205" s="156">
        <f t="shared" si="67"/>
        <v>0</v>
      </c>
      <c r="AI205" s="156">
        <f t="shared" si="67"/>
        <v>0</v>
      </c>
      <c r="AJ205" s="156">
        <f t="shared" si="67"/>
        <v>0</v>
      </c>
      <c r="AK205" s="156">
        <f t="shared" si="67"/>
        <v>0</v>
      </c>
    </row>
    <row r="206" spans="1:37" s="159" customFormat="1" ht="15" customHeight="1" x14ac:dyDescent="0.3">
      <c r="A206" s="215"/>
      <c r="B206" s="593" t="s">
        <v>3989</v>
      </c>
      <c r="C206" s="594" t="s">
        <v>3840</v>
      </c>
      <c r="D206" s="595">
        <v>11</v>
      </c>
      <c r="E206" s="595">
        <v>395000</v>
      </c>
      <c r="F206" s="595">
        <f t="shared" si="71"/>
        <v>4345000</v>
      </c>
      <c r="G206" s="595">
        <f t="shared" si="56"/>
        <v>2600</v>
      </c>
      <c r="H206" s="472"/>
      <c r="I206" s="493">
        <v>1671.1538461538462</v>
      </c>
      <c r="J206" s="570"/>
      <c r="K206" s="465">
        <f t="shared" si="63"/>
        <v>1686.5165094529298</v>
      </c>
      <c r="L206" s="467">
        <f t="shared" si="64"/>
        <v>15.362663299083579</v>
      </c>
      <c r="M206" s="468">
        <f t="shared" si="65"/>
        <v>9.192848004054616E-3</v>
      </c>
      <c r="N206" s="223"/>
      <c r="O206" s="779"/>
      <c r="P206" s="780"/>
      <c r="Q206" s="779"/>
      <c r="R206" s="542"/>
      <c r="S206" s="779">
        <v>1671.1538461538462</v>
      </c>
      <c r="T206" s="487"/>
      <c r="U206" s="472">
        <v>0</v>
      </c>
      <c r="V206" s="472">
        <v>0</v>
      </c>
      <c r="W206" s="472">
        <v>0</v>
      </c>
      <c r="X206" s="472">
        <v>0</v>
      </c>
      <c r="Y206" s="472">
        <v>1686.5165094529298</v>
      </c>
      <c r="AA206" s="155">
        <f t="shared" si="66"/>
        <v>0</v>
      </c>
      <c r="AB206" s="155">
        <f t="shared" si="66"/>
        <v>0</v>
      </c>
      <c r="AC206" s="155">
        <f t="shared" si="66"/>
        <v>0</v>
      </c>
      <c r="AD206" s="155">
        <f t="shared" si="66"/>
        <v>0</v>
      </c>
      <c r="AE206" s="155">
        <f t="shared" si="66"/>
        <v>15.362663299083579</v>
      </c>
      <c r="AF206" s="145"/>
      <c r="AG206" s="156">
        <f t="shared" si="67"/>
        <v>0</v>
      </c>
      <c r="AH206" s="156">
        <f t="shared" si="67"/>
        <v>0</v>
      </c>
      <c r="AI206" s="156">
        <f t="shared" si="67"/>
        <v>0</v>
      </c>
      <c r="AJ206" s="156">
        <f t="shared" si="67"/>
        <v>0</v>
      </c>
      <c r="AK206" s="156">
        <f t="shared" si="67"/>
        <v>9.192848004054616E-3</v>
      </c>
    </row>
    <row r="207" spans="1:37" s="159" customFormat="1" ht="15" customHeight="1" x14ac:dyDescent="0.3">
      <c r="A207" s="215"/>
      <c r="B207" s="593" t="s">
        <v>3990</v>
      </c>
      <c r="C207" s="594" t="s">
        <v>3840</v>
      </c>
      <c r="D207" s="595">
        <v>22</v>
      </c>
      <c r="E207" s="595">
        <v>1300000</v>
      </c>
      <c r="F207" s="595">
        <f t="shared" si="71"/>
        <v>28600000</v>
      </c>
      <c r="G207" s="595">
        <f t="shared" si="56"/>
        <v>2600</v>
      </c>
      <c r="H207" s="472"/>
      <c r="I207" s="493">
        <v>11000</v>
      </c>
      <c r="J207" s="570"/>
      <c r="K207" s="465">
        <f t="shared" si="63"/>
        <v>11584.880056185373</v>
      </c>
      <c r="L207" s="467">
        <f t="shared" si="64"/>
        <v>584.88005618537318</v>
      </c>
      <c r="M207" s="468">
        <f t="shared" si="65"/>
        <v>5.3170914198670288E-2</v>
      </c>
      <c r="N207" s="223"/>
      <c r="O207" s="779"/>
      <c r="P207" s="780"/>
      <c r="Q207" s="779"/>
      <c r="R207" s="542"/>
      <c r="S207" s="779">
        <v>11000</v>
      </c>
      <c r="T207" s="487"/>
      <c r="U207" s="472">
        <v>0</v>
      </c>
      <c r="V207" s="472">
        <v>0</v>
      </c>
      <c r="W207" s="472">
        <v>0</v>
      </c>
      <c r="X207" s="472">
        <v>0</v>
      </c>
      <c r="Y207" s="472">
        <v>11584.880056185373</v>
      </c>
      <c r="AA207" s="155">
        <f t="shared" si="66"/>
        <v>0</v>
      </c>
      <c r="AB207" s="155">
        <f t="shared" si="66"/>
        <v>0</v>
      </c>
      <c r="AC207" s="155">
        <f t="shared" si="66"/>
        <v>0</v>
      </c>
      <c r="AD207" s="155">
        <f t="shared" si="66"/>
        <v>0</v>
      </c>
      <c r="AE207" s="155">
        <f t="shared" si="66"/>
        <v>584.88005618537318</v>
      </c>
      <c r="AF207" s="145"/>
      <c r="AG207" s="156">
        <f t="shared" si="67"/>
        <v>0</v>
      </c>
      <c r="AH207" s="156">
        <f t="shared" si="67"/>
        <v>0</v>
      </c>
      <c r="AI207" s="156">
        <f t="shared" si="67"/>
        <v>0</v>
      </c>
      <c r="AJ207" s="156">
        <f t="shared" si="67"/>
        <v>0</v>
      </c>
      <c r="AK207" s="156">
        <f t="shared" si="67"/>
        <v>5.3170914198670288E-2</v>
      </c>
    </row>
    <row r="208" spans="1:37" s="159" customFormat="1" ht="15" customHeight="1" x14ac:dyDescent="0.3">
      <c r="A208" s="215"/>
      <c r="B208" s="593" t="s">
        <v>3991</v>
      </c>
      <c r="C208" s="594" t="s">
        <v>3840</v>
      </c>
      <c r="D208" s="595">
        <v>48</v>
      </c>
      <c r="E208" s="595">
        <v>625000</v>
      </c>
      <c r="F208" s="595">
        <f t="shared" si="71"/>
        <v>30000000</v>
      </c>
      <c r="G208" s="595">
        <f t="shared" si="56"/>
        <v>2600</v>
      </c>
      <c r="H208" s="472"/>
      <c r="I208" s="493">
        <v>9969.2307692307695</v>
      </c>
      <c r="J208" s="570"/>
      <c r="K208" s="465">
        <f t="shared" si="63"/>
        <v>8241.9158112636651</v>
      </c>
      <c r="L208" s="467">
        <f t="shared" si="64"/>
        <v>-1727.3149579671044</v>
      </c>
      <c r="M208" s="468">
        <f t="shared" si="65"/>
        <v>-0.17326461769731757</v>
      </c>
      <c r="N208" s="223"/>
      <c r="O208" s="779"/>
      <c r="P208" s="780"/>
      <c r="Q208" s="779"/>
      <c r="R208" s="542"/>
      <c r="S208" s="779">
        <v>9969.2307692307695</v>
      </c>
      <c r="T208" s="487"/>
      <c r="U208" s="472">
        <v>0</v>
      </c>
      <c r="V208" s="472">
        <v>0</v>
      </c>
      <c r="W208" s="472">
        <v>0</v>
      </c>
      <c r="X208" s="472">
        <v>0</v>
      </c>
      <c r="Y208" s="472">
        <v>8241.9158112636651</v>
      </c>
      <c r="AA208" s="155">
        <f t="shared" si="66"/>
        <v>0</v>
      </c>
      <c r="AB208" s="155">
        <f t="shared" si="66"/>
        <v>0</v>
      </c>
      <c r="AC208" s="155">
        <f t="shared" si="66"/>
        <v>0</v>
      </c>
      <c r="AD208" s="155">
        <f t="shared" si="66"/>
        <v>0</v>
      </c>
      <c r="AE208" s="155">
        <f t="shared" si="66"/>
        <v>-1727.3149579671044</v>
      </c>
      <c r="AF208" s="145"/>
      <c r="AG208" s="156">
        <f t="shared" si="67"/>
        <v>0</v>
      </c>
      <c r="AH208" s="156">
        <f t="shared" si="67"/>
        <v>0</v>
      </c>
      <c r="AI208" s="156">
        <f t="shared" si="67"/>
        <v>0</v>
      </c>
      <c r="AJ208" s="156">
        <f t="shared" si="67"/>
        <v>0</v>
      </c>
      <c r="AK208" s="156">
        <f t="shared" si="67"/>
        <v>-0.17326461769731757</v>
      </c>
    </row>
    <row r="209" spans="1:37" s="159" customFormat="1" ht="15" customHeight="1" x14ac:dyDescent="0.3">
      <c r="A209" s="215"/>
      <c r="B209" s="593" t="s">
        <v>3992</v>
      </c>
      <c r="C209" s="594" t="s">
        <v>3840</v>
      </c>
      <c r="D209" s="595">
        <v>33</v>
      </c>
      <c r="E209" s="595">
        <v>540000</v>
      </c>
      <c r="F209" s="595">
        <f t="shared" si="71"/>
        <v>17820000</v>
      </c>
      <c r="G209" s="595">
        <f t="shared" si="56"/>
        <v>2600</v>
      </c>
      <c r="H209" s="472"/>
      <c r="I209" s="493">
        <v>8100</v>
      </c>
      <c r="J209" s="570"/>
      <c r="K209" s="465">
        <f t="shared" si="63"/>
        <v>8179.324930085606</v>
      </c>
      <c r="L209" s="467">
        <f t="shared" si="64"/>
        <v>79.324930085605956</v>
      </c>
      <c r="M209" s="468">
        <f t="shared" si="65"/>
        <v>9.7932012451365374E-3</v>
      </c>
      <c r="N209" s="223"/>
      <c r="O209" s="779"/>
      <c r="P209" s="780"/>
      <c r="Q209" s="779"/>
      <c r="R209" s="542"/>
      <c r="S209" s="779">
        <v>8100</v>
      </c>
      <c r="T209" s="487"/>
      <c r="U209" s="472">
        <v>0</v>
      </c>
      <c r="V209" s="472">
        <v>0</v>
      </c>
      <c r="W209" s="472">
        <v>0</v>
      </c>
      <c r="X209" s="472">
        <v>0</v>
      </c>
      <c r="Y209" s="472">
        <v>8179.324930085606</v>
      </c>
      <c r="AA209" s="155">
        <f t="shared" si="66"/>
        <v>0</v>
      </c>
      <c r="AB209" s="155">
        <f t="shared" si="66"/>
        <v>0</v>
      </c>
      <c r="AC209" s="155">
        <f t="shared" si="66"/>
        <v>0</v>
      </c>
      <c r="AD209" s="155">
        <f t="shared" si="66"/>
        <v>0</v>
      </c>
      <c r="AE209" s="155">
        <f t="shared" si="66"/>
        <v>79.324930085605956</v>
      </c>
      <c r="AF209" s="145"/>
      <c r="AG209" s="156">
        <f t="shared" si="67"/>
        <v>0</v>
      </c>
      <c r="AH209" s="156">
        <f t="shared" si="67"/>
        <v>0</v>
      </c>
      <c r="AI209" s="156">
        <f t="shared" si="67"/>
        <v>0</v>
      </c>
      <c r="AJ209" s="156">
        <f t="shared" si="67"/>
        <v>0</v>
      </c>
      <c r="AK209" s="156">
        <f t="shared" si="67"/>
        <v>9.7932012451365374E-3</v>
      </c>
    </row>
    <row r="210" spans="1:37" s="159" customFormat="1" ht="15" customHeight="1" x14ac:dyDescent="0.3">
      <c r="A210" s="215"/>
      <c r="B210" s="593" t="s">
        <v>3993</v>
      </c>
      <c r="C210" s="594" t="s">
        <v>3840</v>
      </c>
      <c r="D210" s="595">
        <v>12</v>
      </c>
      <c r="E210" s="595">
        <v>540000</v>
      </c>
      <c r="F210" s="595">
        <f t="shared" si="71"/>
        <v>6480000</v>
      </c>
      <c r="G210" s="595">
        <f t="shared" si="56"/>
        <v>2600</v>
      </c>
      <c r="H210" s="472"/>
      <c r="I210" s="493">
        <v>0</v>
      </c>
      <c r="J210" s="570"/>
      <c r="K210" s="465">
        <f t="shared" si="63"/>
        <v>0</v>
      </c>
      <c r="L210" s="467">
        <f t="shared" si="64"/>
        <v>0</v>
      </c>
      <c r="M210" s="468">
        <f t="shared" si="65"/>
        <v>0</v>
      </c>
      <c r="N210" s="223"/>
      <c r="O210" s="779"/>
      <c r="P210" s="780"/>
      <c r="Q210" s="779"/>
      <c r="R210" s="542"/>
      <c r="S210" s="779">
        <v>0</v>
      </c>
      <c r="T210" s="487"/>
      <c r="U210" s="472"/>
      <c r="V210" s="472"/>
      <c r="W210" s="472"/>
      <c r="X210" s="472"/>
      <c r="Y210" s="472"/>
      <c r="AA210" s="155">
        <f t="shared" si="66"/>
        <v>0</v>
      </c>
      <c r="AB210" s="155">
        <f t="shared" si="66"/>
        <v>0</v>
      </c>
      <c r="AC210" s="155">
        <f t="shared" si="66"/>
        <v>0</v>
      </c>
      <c r="AD210" s="155">
        <f t="shared" si="66"/>
        <v>0</v>
      </c>
      <c r="AE210" s="155">
        <f t="shared" si="66"/>
        <v>0</v>
      </c>
      <c r="AF210" s="145"/>
      <c r="AG210" s="156">
        <f t="shared" si="67"/>
        <v>0</v>
      </c>
      <c r="AH210" s="156">
        <f t="shared" si="67"/>
        <v>0</v>
      </c>
      <c r="AI210" s="156">
        <f t="shared" si="67"/>
        <v>0</v>
      </c>
      <c r="AJ210" s="156">
        <f t="shared" si="67"/>
        <v>0</v>
      </c>
      <c r="AK210" s="156">
        <f t="shared" si="67"/>
        <v>0</v>
      </c>
    </row>
    <row r="211" spans="1:37" s="159" customFormat="1" ht="15" customHeight="1" x14ac:dyDescent="0.3">
      <c r="A211" s="215"/>
      <c r="B211" s="593" t="s">
        <v>3994</v>
      </c>
      <c r="C211" s="594" t="s">
        <v>3840</v>
      </c>
      <c r="D211" s="595">
        <v>12</v>
      </c>
      <c r="E211" s="595">
        <v>961000</v>
      </c>
      <c r="F211" s="595">
        <f t="shared" si="71"/>
        <v>11532000</v>
      </c>
      <c r="G211" s="595">
        <f t="shared" si="56"/>
        <v>2600</v>
      </c>
      <c r="H211" s="472"/>
      <c r="I211" s="493">
        <v>0</v>
      </c>
      <c r="J211" s="570"/>
      <c r="K211" s="465">
        <f t="shared" si="63"/>
        <v>0</v>
      </c>
      <c r="L211" s="467">
        <f t="shared" si="64"/>
        <v>0</v>
      </c>
      <c r="M211" s="468">
        <f t="shared" si="65"/>
        <v>0</v>
      </c>
      <c r="N211" s="223"/>
      <c r="O211" s="779"/>
      <c r="P211" s="780"/>
      <c r="Q211" s="779"/>
      <c r="R211" s="542"/>
      <c r="S211" s="779">
        <v>0</v>
      </c>
      <c r="T211" s="487"/>
      <c r="U211" s="472"/>
      <c r="V211" s="472"/>
      <c r="W211" s="472"/>
      <c r="X211" s="472"/>
      <c r="Y211" s="472"/>
      <c r="AA211" s="155">
        <f t="shared" si="66"/>
        <v>0</v>
      </c>
      <c r="AB211" s="155">
        <f t="shared" si="66"/>
        <v>0</v>
      </c>
      <c r="AC211" s="155">
        <f t="shared" si="66"/>
        <v>0</v>
      </c>
      <c r="AD211" s="155">
        <f t="shared" si="66"/>
        <v>0</v>
      </c>
      <c r="AE211" s="155">
        <f t="shared" si="66"/>
        <v>0</v>
      </c>
      <c r="AF211" s="145"/>
      <c r="AG211" s="156">
        <f t="shared" si="67"/>
        <v>0</v>
      </c>
      <c r="AH211" s="156">
        <f t="shared" si="67"/>
        <v>0</v>
      </c>
      <c r="AI211" s="156">
        <f t="shared" si="67"/>
        <v>0</v>
      </c>
      <c r="AJ211" s="156">
        <f t="shared" si="67"/>
        <v>0</v>
      </c>
      <c r="AK211" s="156">
        <f t="shared" si="67"/>
        <v>0</v>
      </c>
    </row>
    <row r="212" spans="1:37" s="159" customFormat="1" ht="15" customHeight="1" x14ac:dyDescent="0.3">
      <c r="A212" s="215"/>
      <c r="B212" s="593" t="s">
        <v>3995</v>
      </c>
      <c r="C212" s="594" t="s">
        <v>3840</v>
      </c>
      <c r="D212" s="595">
        <v>48</v>
      </c>
      <c r="E212" s="595">
        <v>625000</v>
      </c>
      <c r="F212" s="595">
        <f t="shared" si="71"/>
        <v>30000000</v>
      </c>
      <c r="G212" s="595">
        <f t="shared" si="56"/>
        <v>2600</v>
      </c>
      <c r="H212" s="472"/>
      <c r="I212" s="493">
        <v>11538.461538461539</v>
      </c>
      <c r="J212" s="570"/>
      <c r="K212" s="465">
        <f t="shared" si="63"/>
        <v>4190.887917833652</v>
      </c>
      <c r="L212" s="467">
        <f t="shared" si="64"/>
        <v>-7347.5736206278871</v>
      </c>
      <c r="M212" s="468">
        <f t="shared" si="65"/>
        <v>-0.63678971378775018</v>
      </c>
      <c r="N212" s="223"/>
      <c r="O212" s="779"/>
      <c r="P212" s="780"/>
      <c r="Q212" s="779"/>
      <c r="R212" s="542"/>
      <c r="S212" s="779">
        <v>11538.461538461539</v>
      </c>
      <c r="T212" s="487"/>
      <c r="U212" s="472">
        <v>0</v>
      </c>
      <c r="V212" s="472">
        <v>0</v>
      </c>
      <c r="W212" s="472">
        <v>0</v>
      </c>
      <c r="X212" s="472">
        <v>0</v>
      </c>
      <c r="Y212" s="472">
        <v>4190.887917833652</v>
      </c>
      <c r="AA212" s="155">
        <f t="shared" si="66"/>
        <v>0</v>
      </c>
      <c r="AB212" s="155">
        <f t="shared" si="66"/>
        <v>0</v>
      </c>
      <c r="AC212" s="155">
        <f t="shared" si="66"/>
        <v>0</v>
      </c>
      <c r="AD212" s="155">
        <f t="shared" si="66"/>
        <v>0</v>
      </c>
      <c r="AE212" s="155">
        <f t="shared" si="66"/>
        <v>-7347.5736206278871</v>
      </c>
      <c r="AF212" s="145"/>
      <c r="AG212" s="156">
        <f t="shared" si="67"/>
        <v>0</v>
      </c>
      <c r="AH212" s="156">
        <f t="shared" si="67"/>
        <v>0</v>
      </c>
      <c r="AI212" s="156">
        <f t="shared" si="67"/>
        <v>0</v>
      </c>
      <c r="AJ212" s="156">
        <f t="shared" si="67"/>
        <v>0</v>
      </c>
      <c r="AK212" s="156">
        <f t="shared" si="67"/>
        <v>-0.63678971378775018</v>
      </c>
    </row>
    <row r="213" spans="1:37" s="159" customFormat="1" ht="15" customHeight="1" x14ac:dyDescent="0.3">
      <c r="A213" s="215"/>
      <c r="B213" s="593" t="s">
        <v>3996</v>
      </c>
      <c r="C213" s="594" t="s">
        <v>3840</v>
      </c>
      <c r="D213" s="595">
        <v>48</v>
      </c>
      <c r="E213" s="595">
        <v>961000</v>
      </c>
      <c r="F213" s="595">
        <f t="shared" si="71"/>
        <v>46128000</v>
      </c>
      <c r="G213" s="595">
        <f t="shared" si="56"/>
        <v>2600</v>
      </c>
      <c r="H213" s="472"/>
      <c r="I213" s="493">
        <v>0</v>
      </c>
      <c r="J213" s="570"/>
      <c r="K213" s="465">
        <f t="shared" si="63"/>
        <v>0</v>
      </c>
      <c r="L213" s="467">
        <f t="shared" si="64"/>
        <v>0</v>
      </c>
      <c r="M213" s="468">
        <f t="shared" si="65"/>
        <v>0</v>
      </c>
      <c r="N213" s="223"/>
      <c r="O213" s="779"/>
      <c r="P213" s="780"/>
      <c r="Q213" s="779"/>
      <c r="R213" s="542"/>
      <c r="S213" s="779">
        <v>0</v>
      </c>
      <c r="T213" s="487"/>
      <c r="U213" s="472"/>
      <c r="V213" s="472"/>
      <c r="W213" s="472"/>
      <c r="X213" s="472"/>
      <c r="Y213" s="472"/>
      <c r="AA213" s="155">
        <f t="shared" si="66"/>
        <v>0</v>
      </c>
      <c r="AB213" s="155">
        <f t="shared" si="66"/>
        <v>0</v>
      </c>
      <c r="AC213" s="155">
        <f t="shared" si="66"/>
        <v>0</v>
      </c>
      <c r="AD213" s="155">
        <f t="shared" si="66"/>
        <v>0</v>
      </c>
      <c r="AE213" s="155">
        <f t="shared" si="66"/>
        <v>0</v>
      </c>
      <c r="AF213" s="145"/>
      <c r="AG213" s="156">
        <f t="shared" si="67"/>
        <v>0</v>
      </c>
      <c r="AH213" s="156">
        <f t="shared" si="67"/>
        <v>0</v>
      </c>
      <c r="AI213" s="156">
        <f t="shared" si="67"/>
        <v>0</v>
      </c>
      <c r="AJ213" s="156">
        <f t="shared" si="67"/>
        <v>0</v>
      </c>
      <c r="AK213" s="156">
        <f t="shared" si="67"/>
        <v>0</v>
      </c>
    </row>
    <row r="214" spans="1:37" s="159" customFormat="1" ht="14.4" customHeight="1" x14ac:dyDescent="0.3">
      <c r="A214" s="215"/>
      <c r="B214" s="593" t="s">
        <v>3997</v>
      </c>
      <c r="C214" s="594" t="s">
        <v>3840</v>
      </c>
      <c r="D214" s="595">
        <v>48</v>
      </c>
      <c r="E214" s="595">
        <v>540000</v>
      </c>
      <c r="F214" s="595">
        <f t="shared" si="71"/>
        <v>25920000</v>
      </c>
      <c r="G214" s="595">
        <f t="shared" si="56"/>
        <v>2600</v>
      </c>
      <c r="H214" s="472"/>
      <c r="I214" s="493">
        <v>0</v>
      </c>
      <c r="J214" s="570"/>
      <c r="K214" s="465">
        <f t="shared" si="63"/>
        <v>0</v>
      </c>
      <c r="L214" s="467">
        <f t="shared" si="64"/>
        <v>0</v>
      </c>
      <c r="M214" s="468">
        <f t="shared" si="65"/>
        <v>0</v>
      </c>
      <c r="N214" s="223"/>
      <c r="O214" s="779"/>
      <c r="P214" s="780"/>
      <c r="Q214" s="779"/>
      <c r="R214" s="542"/>
      <c r="S214" s="779">
        <v>0</v>
      </c>
      <c r="T214" s="487"/>
      <c r="U214" s="472"/>
      <c r="V214" s="472"/>
      <c r="W214" s="472"/>
      <c r="X214" s="472"/>
      <c r="Y214" s="472"/>
      <c r="AA214" s="155">
        <f t="shared" si="66"/>
        <v>0</v>
      </c>
      <c r="AB214" s="155">
        <f t="shared" si="66"/>
        <v>0</v>
      </c>
      <c r="AC214" s="155">
        <f t="shared" si="66"/>
        <v>0</v>
      </c>
      <c r="AD214" s="155">
        <f t="shared" si="66"/>
        <v>0</v>
      </c>
      <c r="AE214" s="155">
        <f t="shared" si="66"/>
        <v>0</v>
      </c>
      <c r="AF214" s="145"/>
      <c r="AG214" s="156">
        <f t="shared" si="67"/>
        <v>0</v>
      </c>
      <c r="AH214" s="156">
        <f t="shared" si="67"/>
        <v>0</v>
      </c>
      <c r="AI214" s="156">
        <f t="shared" si="67"/>
        <v>0</v>
      </c>
      <c r="AJ214" s="156">
        <f t="shared" si="67"/>
        <v>0</v>
      </c>
      <c r="AK214" s="156">
        <f t="shared" si="67"/>
        <v>0</v>
      </c>
    </row>
    <row r="215" spans="1:37" s="159" customFormat="1" ht="15" customHeight="1" x14ac:dyDescent="0.3">
      <c r="A215" s="215"/>
      <c r="B215" s="593" t="s">
        <v>3998</v>
      </c>
      <c r="C215" s="594" t="s">
        <v>3840</v>
      </c>
      <c r="D215" s="595">
        <v>22</v>
      </c>
      <c r="E215" s="595">
        <v>1300000</v>
      </c>
      <c r="F215" s="595">
        <f t="shared" si="71"/>
        <v>28600000</v>
      </c>
      <c r="G215" s="595">
        <f t="shared" si="56"/>
        <v>2600</v>
      </c>
      <c r="H215" s="472"/>
      <c r="I215" s="493">
        <v>11538.461538461539</v>
      </c>
      <c r="J215" s="570"/>
      <c r="K215" s="465">
        <f t="shared" si="63"/>
        <v>11101.159880590341</v>
      </c>
      <c r="L215" s="467">
        <f t="shared" si="64"/>
        <v>-437.30165787119768</v>
      </c>
      <c r="M215" s="597">
        <f t="shared" si="65"/>
        <v>-3.7899477015503794E-2</v>
      </c>
      <c r="N215" s="223"/>
      <c r="O215" s="779"/>
      <c r="P215" s="780"/>
      <c r="Q215" s="779"/>
      <c r="R215" s="542"/>
      <c r="S215" s="779">
        <v>11538.461538461539</v>
      </c>
      <c r="T215" s="487"/>
      <c r="U215" s="472">
        <v>0</v>
      </c>
      <c r="V215" s="472">
        <v>0</v>
      </c>
      <c r="W215" s="472">
        <v>0</v>
      </c>
      <c r="X215" s="472">
        <v>0</v>
      </c>
      <c r="Y215" s="472">
        <v>11101.159880590341</v>
      </c>
      <c r="AA215" s="155">
        <f t="shared" si="66"/>
        <v>0</v>
      </c>
      <c r="AB215" s="155">
        <f t="shared" si="66"/>
        <v>0</v>
      </c>
      <c r="AC215" s="155">
        <f t="shared" si="66"/>
        <v>0</v>
      </c>
      <c r="AD215" s="155">
        <f t="shared" si="66"/>
        <v>0</v>
      </c>
      <c r="AE215" s="155">
        <f t="shared" si="66"/>
        <v>-437.30165787119768</v>
      </c>
      <c r="AF215" s="145"/>
      <c r="AG215" s="156">
        <f t="shared" si="67"/>
        <v>0</v>
      </c>
      <c r="AH215" s="156">
        <f t="shared" si="67"/>
        <v>0</v>
      </c>
      <c r="AI215" s="156">
        <f t="shared" si="67"/>
        <v>0</v>
      </c>
      <c r="AJ215" s="156">
        <f t="shared" si="67"/>
        <v>0</v>
      </c>
      <c r="AK215" s="156">
        <f t="shared" si="67"/>
        <v>-3.7899477015503794E-2</v>
      </c>
    </row>
    <row r="216" spans="1:37" s="159" customFormat="1" ht="15" customHeight="1" x14ac:dyDescent="0.3">
      <c r="A216" s="215"/>
      <c r="B216" s="593" t="s">
        <v>3999</v>
      </c>
      <c r="C216" s="594" t="s">
        <v>3840</v>
      </c>
      <c r="D216" s="595">
        <v>48</v>
      </c>
      <c r="E216" s="595">
        <v>540000</v>
      </c>
      <c r="F216" s="595">
        <f t="shared" si="71"/>
        <v>25920000</v>
      </c>
      <c r="G216" s="595">
        <f t="shared" si="56"/>
        <v>2600</v>
      </c>
      <c r="H216" s="472"/>
      <c r="I216" s="493">
        <v>0</v>
      </c>
      <c r="J216" s="570"/>
      <c r="K216" s="465">
        <f t="shared" si="63"/>
        <v>0</v>
      </c>
      <c r="L216" s="467">
        <f t="shared" si="64"/>
        <v>0</v>
      </c>
      <c r="M216" s="468">
        <f t="shared" si="65"/>
        <v>0</v>
      </c>
      <c r="N216" s="223"/>
      <c r="O216" s="779"/>
      <c r="P216" s="780"/>
      <c r="Q216" s="779"/>
      <c r="R216" s="542"/>
      <c r="S216" s="779">
        <v>0</v>
      </c>
      <c r="T216" s="487"/>
      <c r="U216" s="472"/>
      <c r="V216" s="472"/>
      <c r="W216" s="472"/>
      <c r="X216" s="472"/>
      <c r="Y216" s="472"/>
      <c r="AA216" s="155">
        <f t="shared" si="66"/>
        <v>0</v>
      </c>
      <c r="AB216" s="155">
        <f t="shared" si="66"/>
        <v>0</v>
      </c>
      <c r="AC216" s="155">
        <f t="shared" si="66"/>
        <v>0</v>
      </c>
      <c r="AD216" s="155">
        <f t="shared" si="66"/>
        <v>0</v>
      </c>
      <c r="AE216" s="155">
        <f t="shared" si="66"/>
        <v>0</v>
      </c>
      <c r="AF216" s="145"/>
      <c r="AG216" s="156">
        <f t="shared" si="67"/>
        <v>0</v>
      </c>
      <c r="AH216" s="156">
        <f t="shared" si="67"/>
        <v>0</v>
      </c>
      <c r="AI216" s="156">
        <f t="shared" si="67"/>
        <v>0</v>
      </c>
      <c r="AJ216" s="156">
        <f t="shared" si="67"/>
        <v>0</v>
      </c>
      <c r="AK216" s="156">
        <f t="shared" si="67"/>
        <v>0</v>
      </c>
    </row>
    <row r="217" spans="1:37" s="159" customFormat="1" ht="15" customHeight="1" x14ac:dyDescent="0.3">
      <c r="A217" s="215"/>
      <c r="B217" s="593" t="s">
        <v>4000</v>
      </c>
      <c r="C217" s="594" t="s">
        <v>3840</v>
      </c>
      <c r="D217" s="595">
        <v>48</v>
      </c>
      <c r="E217" s="595">
        <v>330000</v>
      </c>
      <c r="F217" s="595">
        <f t="shared" si="71"/>
        <v>15840000</v>
      </c>
      <c r="G217" s="595">
        <f t="shared" si="56"/>
        <v>2600</v>
      </c>
      <c r="H217" s="472"/>
      <c r="I217" s="493">
        <v>3027.6923076923076</v>
      </c>
      <c r="J217" s="570"/>
      <c r="K217" s="465">
        <f t="shared" si="63"/>
        <v>3190.0563977095649</v>
      </c>
      <c r="L217" s="467">
        <f t="shared" si="64"/>
        <v>162.36409001725724</v>
      </c>
      <c r="M217" s="468">
        <f t="shared" si="65"/>
        <v>5.3626350869520938E-2</v>
      </c>
      <c r="N217" s="223"/>
      <c r="O217" s="779"/>
      <c r="P217" s="780"/>
      <c r="Q217" s="779"/>
      <c r="R217" s="542"/>
      <c r="S217" s="779">
        <v>3027.6923076923076</v>
      </c>
      <c r="T217" s="487"/>
      <c r="U217" s="472">
        <v>0</v>
      </c>
      <c r="V217" s="472">
        <v>0</v>
      </c>
      <c r="W217" s="472">
        <v>0</v>
      </c>
      <c r="X217" s="472">
        <v>0</v>
      </c>
      <c r="Y217" s="472">
        <v>3190.0563977095649</v>
      </c>
      <c r="AA217" s="155">
        <f t="shared" si="66"/>
        <v>0</v>
      </c>
      <c r="AB217" s="155">
        <f t="shared" si="66"/>
        <v>0</v>
      </c>
      <c r="AC217" s="155">
        <f t="shared" si="66"/>
        <v>0</v>
      </c>
      <c r="AD217" s="155">
        <f t="shared" si="66"/>
        <v>0</v>
      </c>
      <c r="AE217" s="155">
        <f t="shared" si="66"/>
        <v>162.36409001725724</v>
      </c>
      <c r="AF217" s="145"/>
      <c r="AG217" s="156">
        <f t="shared" si="67"/>
        <v>0</v>
      </c>
      <c r="AH217" s="156">
        <f t="shared" si="67"/>
        <v>0</v>
      </c>
      <c r="AI217" s="156">
        <f t="shared" si="67"/>
        <v>0</v>
      </c>
      <c r="AJ217" s="156">
        <f t="shared" si="67"/>
        <v>0</v>
      </c>
      <c r="AK217" s="156">
        <f t="shared" si="67"/>
        <v>5.3626350869520938E-2</v>
      </c>
    </row>
    <row r="218" spans="1:37" s="159" customFormat="1" ht="15" customHeight="1" x14ac:dyDescent="0.3">
      <c r="A218" s="215"/>
      <c r="B218" s="593" t="s">
        <v>4001</v>
      </c>
      <c r="C218" s="594" t="s">
        <v>3840</v>
      </c>
      <c r="D218" s="595">
        <v>187</v>
      </c>
      <c r="E218" s="595">
        <v>961000</v>
      </c>
      <c r="F218" s="595">
        <f t="shared" si="71"/>
        <v>179707000</v>
      </c>
      <c r="G218" s="595">
        <f t="shared" ref="G218:G223" si="72">$G$5</f>
        <v>2600</v>
      </c>
      <c r="H218" s="472"/>
      <c r="I218" s="493">
        <v>69118.076923076922</v>
      </c>
      <c r="J218" s="570"/>
      <c r="K218" s="465">
        <f t="shared" si="63"/>
        <v>69039.194388344869</v>
      </c>
      <c r="L218" s="467">
        <f t="shared" si="64"/>
        <v>-78.882534732052591</v>
      </c>
      <c r="M218" s="468">
        <f t="shared" si="65"/>
        <v>-1.1412721279824198E-3</v>
      </c>
      <c r="N218" s="223"/>
      <c r="O218" s="779"/>
      <c r="P218" s="780"/>
      <c r="Q218" s="779"/>
      <c r="R218" s="542"/>
      <c r="S218" s="779">
        <v>69118.076923076922</v>
      </c>
      <c r="T218" s="487"/>
      <c r="U218" s="472">
        <v>0</v>
      </c>
      <c r="V218" s="472">
        <v>0</v>
      </c>
      <c r="W218" s="472">
        <v>0</v>
      </c>
      <c r="X218" s="472">
        <v>0</v>
      </c>
      <c r="Y218" s="472">
        <v>69039.194388344869</v>
      </c>
      <c r="AA218" s="155">
        <f t="shared" si="66"/>
        <v>0</v>
      </c>
      <c r="AB218" s="155">
        <f t="shared" si="66"/>
        <v>0</v>
      </c>
      <c r="AC218" s="155">
        <f t="shared" si="66"/>
        <v>0</v>
      </c>
      <c r="AD218" s="155">
        <f t="shared" si="66"/>
        <v>0</v>
      </c>
      <c r="AE218" s="155">
        <f t="shared" si="66"/>
        <v>-78.882534732052591</v>
      </c>
      <c r="AF218" s="145"/>
      <c r="AG218" s="156">
        <f t="shared" si="67"/>
        <v>0</v>
      </c>
      <c r="AH218" s="156">
        <f t="shared" si="67"/>
        <v>0</v>
      </c>
      <c r="AI218" s="156">
        <f t="shared" si="67"/>
        <v>0</v>
      </c>
      <c r="AJ218" s="156">
        <f t="shared" si="67"/>
        <v>0</v>
      </c>
      <c r="AK218" s="156">
        <f t="shared" si="67"/>
        <v>-1.1412721279824198E-3</v>
      </c>
    </row>
    <row r="219" spans="1:37" s="159" customFormat="1" ht="15" customHeight="1" x14ac:dyDescent="0.3">
      <c r="A219" s="215"/>
      <c r="B219" s="593" t="s">
        <v>4002</v>
      </c>
      <c r="C219" s="594" t="s">
        <v>3840</v>
      </c>
      <c r="D219" s="595">
        <v>88</v>
      </c>
      <c r="E219" s="595">
        <v>671000</v>
      </c>
      <c r="F219" s="595">
        <f t="shared" si="71"/>
        <v>59048000</v>
      </c>
      <c r="G219" s="595">
        <f t="shared" si="72"/>
        <v>2600</v>
      </c>
      <c r="H219" s="472"/>
      <c r="I219" s="493">
        <v>35098.461538461539</v>
      </c>
      <c r="J219" s="570"/>
      <c r="K219" s="465">
        <f t="shared" si="63"/>
        <v>32240.367914178831</v>
      </c>
      <c r="L219" s="467">
        <f t="shared" si="64"/>
        <v>-2858.0936242827083</v>
      </c>
      <c r="M219" s="468">
        <f t="shared" si="65"/>
        <v>-8.143073795843607E-2</v>
      </c>
      <c r="N219" s="223"/>
      <c r="O219" s="779"/>
      <c r="P219" s="780"/>
      <c r="Q219" s="779"/>
      <c r="R219" s="542"/>
      <c r="S219" s="779">
        <v>35098.461538461539</v>
      </c>
      <c r="T219" s="487"/>
      <c r="U219" s="472">
        <v>0</v>
      </c>
      <c r="V219" s="472">
        <v>0</v>
      </c>
      <c r="W219" s="472">
        <v>0</v>
      </c>
      <c r="X219" s="472">
        <v>0</v>
      </c>
      <c r="Y219" s="472">
        <v>32240.367914178831</v>
      </c>
      <c r="AA219" s="155">
        <f t="shared" si="66"/>
        <v>0</v>
      </c>
      <c r="AB219" s="155">
        <f t="shared" si="66"/>
        <v>0</v>
      </c>
      <c r="AC219" s="155">
        <f t="shared" si="66"/>
        <v>0</v>
      </c>
      <c r="AD219" s="155">
        <f t="shared" si="66"/>
        <v>0</v>
      </c>
      <c r="AE219" s="155">
        <f t="shared" si="66"/>
        <v>-2858.0936242827083</v>
      </c>
      <c r="AF219" s="145"/>
      <c r="AG219" s="156">
        <f t="shared" si="67"/>
        <v>0</v>
      </c>
      <c r="AH219" s="156">
        <f t="shared" si="67"/>
        <v>0</v>
      </c>
      <c r="AI219" s="156">
        <f t="shared" si="67"/>
        <v>0</v>
      </c>
      <c r="AJ219" s="156">
        <f t="shared" si="67"/>
        <v>0</v>
      </c>
      <c r="AK219" s="156">
        <f t="shared" si="67"/>
        <v>-8.143073795843607E-2</v>
      </c>
    </row>
    <row r="220" spans="1:37" s="159" customFormat="1" ht="15" customHeight="1" x14ac:dyDescent="0.3">
      <c r="A220" s="496"/>
      <c r="B220" s="489" t="s">
        <v>4003</v>
      </c>
      <c r="C220" s="594" t="s">
        <v>3840</v>
      </c>
      <c r="D220" s="595">
        <v>11</v>
      </c>
      <c r="E220" s="595">
        <v>1300000</v>
      </c>
      <c r="F220" s="595">
        <f t="shared" si="71"/>
        <v>14300000</v>
      </c>
      <c r="G220" s="595">
        <f t="shared" si="72"/>
        <v>2600</v>
      </c>
      <c r="H220" s="472"/>
      <c r="I220" s="493">
        <v>8500</v>
      </c>
      <c r="J220" s="570"/>
      <c r="K220" s="465">
        <f t="shared" si="63"/>
        <v>5679.5719749957552</v>
      </c>
      <c r="L220" s="467">
        <f t="shared" si="64"/>
        <v>-2820.4280250042448</v>
      </c>
      <c r="M220" s="468">
        <f t="shared" si="65"/>
        <v>-0.33181506176520525</v>
      </c>
      <c r="N220" s="223"/>
      <c r="O220" s="779"/>
      <c r="P220" s="780"/>
      <c r="Q220" s="779"/>
      <c r="R220" s="542"/>
      <c r="S220" s="779">
        <v>8500</v>
      </c>
      <c r="T220" s="487"/>
      <c r="U220" s="472">
        <v>0</v>
      </c>
      <c r="V220" s="472">
        <v>0</v>
      </c>
      <c r="W220" s="472">
        <v>0</v>
      </c>
      <c r="X220" s="472">
        <v>0</v>
      </c>
      <c r="Y220" s="472">
        <v>5679.5719749957552</v>
      </c>
      <c r="AA220" s="155">
        <f t="shared" si="66"/>
        <v>0</v>
      </c>
      <c r="AB220" s="155">
        <f t="shared" si="66"/>
        <v>0</v>
      </c>
      <c r="AC220" s="155">
        <f t="shared" si="66"/>
        <v>0</v>
      </c>
      <c r="AD220" s="155">
        <f t="shared" si="66"/>
        <v>0</v>
      </c>
      <c r="AE220" s="155">
        <f t="shared" si="66"/>
        <v>-2820.4280250042448</v>
      </c>
      <c r="AF220" s="145"/>
      <c r="AG220" s="156">
        <f t="shared" si="67"/>
        <v>0</v>
      </c>
      <c r="AH220" s="156">
        <f t="shared" si="67"/>
        <v>0</v>
      </c>
      <c r="AI220" s="156">
        <f t="shared" si="67"/>
        <v>0</v>
      </c>
      <c r="AJ220" s="156">
        <f t="shared" si="67"/>
        <v>0</v>
      </c>
      <c r="AK220" s="156">
        <f t="shared" si="67"/>
        <v>-0.33181506176520525</v>
      </c>
    </row>
    <row r="221" spans="1:37" s="159" customFormat="1" ht="16.95" customHeight="1" x14ac:dyDescent="0.3">
      <c r="A221" s="496"/>
      <c r="B221" s="489" t="s">
        <v>4004</v>
      </c>
      <c r="C221" s="594" t="s">
        <v>3840</v>
      </c>
      <c r="D221" s="595">
        <v>44</v>
      </c>
      <c r="E221" s="595">
        <v>961000</v>
      </c>
      <c r="F221" s="595">
        <f t="shared" si="71"/>
        <v>42284000</v>
      </c>
      <c r="G221" s="595">
        <f t="shared" si="72"/>
        <v>2600</v>
      </c>
      <c r="H221" s="472"/>
      <c r="I221" s="493">
        <v>16263.0769230769</v>
      </c>
      <c r="J221" s="570"/>
      <c r="K221" s="465">
        <f t="shared" si="63"/>
        <v>15253.384023446773</v>
      </c>
      <c r="L221" s="467">
        <f t="shared" si="64"/>
        <v>-1009.6928996301267</v>
      </c>
      <c r="M221" s="468">
        <f t="shared" si="65"/>
        <v>-6.2084985787492504E-2</v>
      </c>
      <c r="N221" s="223"/>
      <c r="O221" s="779"/>
      <c r="P221" s="780"/>
      <c r="Q221" s="779"/>
      <c r="R221" s="542"/>
      <c r="S221" s="779">
        <v>16263.0769230769</v>
      </c>
      <c r="T221" s="487"/>
      <c r="U221" s="472">
        <v>0</v>
      </c>
      <c r="V221" s="472">
        <v>0</v>
      </c>
      <c r="W221" s="472">
        <v>0</v>
      </c>
      <c r="X221" s="472">
        <v>0</v>
      </c>
      <c r="Y221" s="472">
        <v>15253.384023446773</v>
      </c>
      <c r="AA221" s="155">
        <f t="shared" si="66"/>
        <v>0</v>
      </c>
      <c r="AB221" s="155">
        <f t="shared" si="66"/>
        <v>0</v>
      </c>
      <c r="AC221" s="155">
        <f t="shared" si="66"/>
        <v>0</v>
      </c>
      <c r="AD221" s="155">
        <f t="shared" si="66"/>
        <v>0</v>
      </c>
      <c r="AE221" s="155">
        <f t="shared" si="66"/>
        <v>-1009.6928996301267</v>
      </c>
      <c r="AF221" s="145"/>
      <c r="AG221" s="156">
        <f t="shared" si="67"/>
        <v>0</v>
      </c>
      <c r="AH221" s="156">
        <f t="shared" si="67"/>
        <v>0</v>
      </c>
      <c r="AI221" s="156">
        <f t="shared" si="67"/>
        <v>0</v>
      </c>
      <c r="AJ221" s="156">
        <f t="shared" si="67"/>
        <v>0</v>
      </c>
      <c r="AK221" s="156">
        <f t="shared" si="67"/>
        <v>-6.2084985787492504E-2</v>
      </c>
    </row>
    <row r="222" spans="1:37" s="159" customFormat="1" ht="15" customHeight="1" x14ac:dyDescent="0.3">
      <c r="A222" s="215"/>
      <c r="B222" s="485" t="s">
        <v>4005</v>
      </c>
      <c r="C222" s="594" t="s">
        <v>3840</v>
      </c>
      <c r="D222" s="595">
        <f>6*4</f>
        <v>24</v>
      </c>
      <c r="E222" s="595">
        <v>625000</v>
      </c>
      <c r="F222" s="595">
        <f t="shared" si="71"/>
        <v>15000000</v>
      </c>
      <c r="G222" s="595">
        <f t="shared" si="72"/>
        <v>2600</v>
      </c>
      <c r="H222" s="472"/>
      <c r="I222" s="493">
        <v>5769.2307692307695</v>
      </c>
      <c r="J222" s="570"/>
      <c r="K222" s="465">
        <f t="shared" si="63"/>
        <v>4170.9550355890678</v>
      </c>
      <c r="L222" s="467">
        <f t="shared" si="64"/>
        <v>-1598.2757336417017</v>
      </c>
      <c r="M222" s="597">
        <f t="shared" si="65"/>
        <v>-0.27703446049789493</v>
      </c>
      <c r="N222" s="223"/>
      <c r="O222" s="779"/>
      <c r="P222" s="780"/>
      <c r="Q222" s="779"/>
      <c r="R222" s="542"/>
      <c r="S222" s="779">
        <v>5769.2307692307695</v>
      </c>
      <c r="T222" s="487"/>
      <c r="U222" s="472">
        <v>0</v>
      </c>
      <c r="V222" s="472">
        <v>0</v>
      </c>
      <c r="W222" s="472">
        <v>0</v>
      </c>
      <c r="X222" s="472">
        <v>0</v>
      </c>
      <c r="Y222" s="472">
        <v>4170.9550355890678</v>
      </c>
      <c r="AA222" s="155">
        <f t="shared" si="66"/>
        <v>0</v>
      </c>
      <c r="AB222" s="155">
        <f t="shared" si="66"/>
        <v>0</v>
      </c>
      <c r="AC222" s="155">
        <f t="shared" si="66"/>
        <v>0</v>
      </c>
      <c r="AD222" s="155">
        <f t="shared" si="66"/>
        <v>0</v>
      </c>
      <c r="AE222" s="155">
        <f t="shared" si="66"/>
        <v>-1598.2757336417017</v>
      </c>
      <c r="AF222" s="145"/>
      <c r="AG222" s="156">
        <f t="shared" si="67"/>
        <v>0</v>
      </c>
      <c r="AH222" s="156">
        <f t="shared" si="67"/>
        <v>0</v>
      </c>
      <c r="AI222" s="156">
        <f t="shared" si="67"/>
        <v>0</v>
      </c>
      <c r="AJ222" s="156">
        <f t="shared" si="67"/>
        <v>0</v>
      </c>
      <c r="AK222" s="156">
        <f t="shared" si="67"/>
        <v>-0.27703446049789493</v>
      </c>
    </row>
    <row r="223" spans="1:37" s="159" customFormat="1" ht="15" customHeight="1" x14ac:dyDescent="0.3">
      <c r="A223" s="496"/>
      <c r="B223" s="489" t="s">
        <v>4006</v>
      </c>
      <c r="C223" s="594" t="s">
        <v>3840</v>
      </c>
      <c r="D223" s="595">
        <v>6</v>
      </c>
      <c r="E223" s="595">
        <v>1800000</v>
      </c>
      <c r="F223" s="595">
        <f t="shared" si="71"/>
        <v>10800000</v>
      </c>
      <c r="G223" s="595">
        <f t="shared" si="72"/>
        <v>2600</v>
      </c>
      <c r="H223" s="472"/>
      <c r="I223" s="493">
        <v>4153.8461538461543</v>
      </c>
      <c r="J223" s="570"/>
      <c r="K223" s="465">
        <f t="shared" si="63"/>
        <v>4004.1168519437842</v>
      </c>
      <c r="L223" s="467">
        <f t="shared" si="64"/>
        <v>-149.72930190237003</v>
      </c>
      <c r="M223" s="468">
        <f t="shared" si="65"/>
        <v>-3.6045943050570559E-2</v>
      </c>
      <c r="N223" s="223"/>
      <c r="O223" s="779"/>
      <c r="P223" s="780"/>
      <c r="Q223" s="779"/>
      <c r="R223" s="542"/>
      <c r="S223" s="779">
        <v>4153.8461538461543</v>
      </c>
      <c r="T223" s="487"/>
      <c r="U223" s="472">
        <v>0</v>
      </c>
      <c r="V223" s="472">
        <v>0</v>
      </c>
      <c r="W223" s="472">
        <v>0</v>
      </c>
      <c r="X223" s="472">
        <v>0</v>
      </c>
      <c r="Y223" s="472">
        <v>4004.1168519437842</v>
      </c>
      <c r="AA223" s="155"/>
      <c r="AB223" s="598"/>
      <c r="AC223" s="155"/>
      <c r="AD223" s="155"/>
      <c r="AE223" s="155">
        <f>Y223-S223</f>
        <v>-149.72930190237003</v>
      </c>
      <c r="AF223" s="145"/>
      <c r="AG223" s="156">
        <f t="shared" si="67"/>
        <v>0</v>
      </c>
      <c r="AH223" s="156">
        <f t="shared" si="67"/>
        <v>0</v>
      </c>
      <c r="AI223" s="156">
        <f t="shared" si="67"/>
        <v>0</v>
      </c>
      <c r="AJ223" s="156">
        <f t="shared" si="67"/>
        <v>0</v>
      </c>
      <c r="AK223" s="156">
        <f t="shared" si="67"/>
        <v>-3.6045943050570559E-2</v>
      </c>
    </row>
    <row r="224" spans="1:37" s="146" customFormat="1" ht="15" customHeight="1" x14ac:dyDescent="0.3">
      <c r="A224" s="599"/>
      <c r="B224" s="600" t="s">
        <v>18</v>
      </c>
      <c r="C224" s="600"/>
      <c r="D224" s="600"/>
      <c r="E224" s="600"/>
      <c r="F224" s="600"/>
      <c r="G224" s="600"/>
      <c r="H224" s="600"/>
      <c r="I224" s="601"/>
      <c r="J224" s="602"/>
      <c r="K224" s="601"/>
      <c r="L224" s="603"/>
      <c r="M224" s="592"/>
      <c r="N224" s="604"/>
      <c r="O224" s="600"/>
      <c r="P224" s="605"/>
      <c r="Q224" s="600"/>
      <c r="R224" s="600"/>
      <c r="S224" s="600"/>
      <c r="T224" s="145"/>
      <c r="U224" s="600"/>
      <c r="V224" s="600"/>
      <c r="W224" s="600"/>
      <c r="X224" s="600"/>
      <c r="Y224" s="600"/>
      <c r="AA224" s="600"/>
      <c r="AB224" s="605"/>
      <c r="AC224" s="600"/>
      <c r="AD224" s="600"/>
      <c r="AE224" s="600"/>
      <c r="AG224" s="511"/>
      <c r="AH224" s="511"/>
      <c r="AI224" s="511"/>
      <c r="AJ224" s="511"/>
      <c r="AK224" s="511"/>
    </row>
    <row r="225" spans="1:37" s="146" customFormat="1" ht="15" customHeight="1" x14ac:dyDescent="0.3">
      <c r="A225" s="599"/>
      <c r="B225" s="546" t="s">
        <v>4007</v>
      </c>
      <c r="C225" s="539" t="s">
        <v>209</v>
      </c>
      <c r="D225" s="547">
        <v>24</v>
      </c>
      <c r="E225" s="547">
        <v>5416.666666666667</v>
      </c>
      <c r="F225" s="548"/>
      <c r="G225" s="548"/>
      <c r="H225" s="548">
        <f>D225*E225</f>
        <v>130000</v>
      </c>
      <c r="I225" s="493">
        <v>130000</v>
      </c>
      <c r="J225" s="466"/>
      <c r="K225" s="465">
        <f t="shared" si="63"/>
        <v>77562.109999999971</v>
      </c>
      <c r="L225" s="467">
        <f>K225-I225</f>
        <v>-52437.890000000029</v>
      </c>
      <c r="M225" s="468">
        <f>IFERROR(L225/I225,0)</f>
        <v>-0.40336838461538482</v>
      </c>
      <c r="N225" s="545"/>
      <c r="O225" s="517">
        <v>26000</v>
      </c>
      <c r="P225" s="517">
        <v>26000</v>
      </c>
      <c r="Q225" s="517">
        <v>26000</v>
      </c>
      <c r="R225" s="517">
        <v>26000</v>
      </c>
      <c r="S225" s="517">
        <v>26000</v>
      </c>
      <c r="T225" s="145"/>
      <c r="U225" s="465">
        <v>15512.421999999993</v>
      </c>
      <c r="V225" s="465">
        <v>15512.421999999993</v>
      </c>
      <c r="W225" s="465">
        <v>15512.421999999993</v>
      </c>
      <c r="X225" s="465">
        <v>15512.421999999993</v>
      </c>
      <c r="Y225" s="465">
        <v>15512.421999999993</v>
      </c>
      <c r="AA225" s="155">
        <f>U225-O225</f>
        <v>-10487.578000000007</v>
      </c>
      <c r="AB225" s="155">
        <f>V225-P225</f>
        <v>-10487.578000000007</v>
      </c>
      <c r="AC225" s="155">
        <f>W225-Q225</f>
        <v>-10487.578000000007</v>
      </c>
      <c r="AD225" s="155">
        <f>X225-R225</f>
        <v>-10487.578000000007</v>
      </c>
      <c r="AE225" s="155">
        <f>Y225-S225</f>
        <v>-10487.578000000007</v>
      </c>
      <c r="AG225" s="156">
        <f>IFERROR(AA225/O225,0)</f>
        <v>-0.40336838461538488</v>
      </c>
      <c r="AH225" s="156">
        <f>IFERROR(AB225/P225,0)</f>
        <v>-0.40336838461538488</v>
      </c>
      <c r="AI225" s="156">
        <f>IFERROR(AC225/Q225,0)</f>
        <v>-0.40336838461538488</v>
      </c>
      <c r="AJ225" s="156">
        <f>IFERROR(AD225/R225,0)</f>
        <v>-0.40336838461538488</v>
      </c>
      <c r="AK225" s="156">
        <f>IFERROR(AE225/S225,0)</f>
        <v>-0.40336838461538488</v>
      </c>
    </row>
    <row r="226" spans="1:37" s="146" customFormat="1" ht="15" customHeight="1" x14ac:dyDescent="0.3">
      <c r="A226" s="599"/>
      <c r="B226" s="600" t="s">
        <v>210</v>
      </c>
      <c r="C226" s="600"/>
      <c r="D226" s="600"/>
      <c r="E226" s="600"/>
      <c r="F226" s="600"/>
      <c r="G226" s="600"/>
      <c r="H226" s="600"/>
      <c r="I226" s="601"/>
      <c r="J226" s="602"/>
      <c r="K226" s="601"/>
      <c r="L226" s="603"/>
      <c r="M226" s="592"/>
      <c r="N226" s="604"/>
      <c r="O226" s="600"/>
      <c r="P226" s="605"/>
      <c r="Q226" s="600"/>
      <c r="R226" s="600"/>
      <c r="S226" s="600"/>
      <c r="T226" s="145"/>
      <c r="U226" s="600"/>
      <c r="V226" s="600"/>
      <c r="W226" s="600"/>
      <c r="X226" s="600"/>
      <c r="Y226" s="600"/>
      <c r="AA226" s="600"/>
      <c r="AB226" s="605"/>
      <c r="AC226" s="600"/>
      <c r="AD226" s="600"/>
      <c r="AE226" s="600"/>
      <c r="AG226" s="511"/>
      <c r="AH226" s="511"/>
      <c r="AI226" s="511"/>
      <c r="AJ226" s="511"/>
      <c r="AK226" s="511"/>
    </row>
    <row r="227" spans="1:37" s="225" customFormat="1" ht="15" customHeight="1" x14ac:dyDescent="0.3">
      <c r="A227" s="599"/>
      <c r="B227" s="606" t="s">
        <v>214</v>
      </c>
      <c r="C227" s="464" t="s">
        <v>3840</v>
      </c>
      <c r="D227" s="607">
        <v>24</v>
      </c>
      <c r="E227" s="608">
        <v>870.85</v>
      </c>
      <c r="F227" s="609"/>
      <c r="G227" s="609"/>
      <c r="H227" s="609">
        <f>D227*E227</f>
        <v>20900.400000000001</v>
      </c>
      <c r="I227" s="493">
        <v>20900.400000000001</v>
      </c>
      <c r="J227" s="466"/>
      <c r="K227" s="465">
        <f t="shared" si="63"/>
        <v>20096.54</v>
      </c>
      <c r="L227" s="467">
        <f t="shared" ref="L227:L236" si="73">K227-I227</f>
        <v>-803.86000000000058</v>
      </c>
      <c r="M227" s="468">
        <f t="shared" ref="M227:M238" si="74">IFERROR(L227/I227,0)</f>
        <v>-3.8461464852347346E-2</v>
      </c>
      <c r="N227" s="545"/>
      <c r="O227" s="470">
        <v>4180.08</v>
      </c>
      <c r="P227" s="470">
        <v>4180.08</v>
      </c>
      <c r="Q227" s="470">
        <v>4180.08</v>
      </c>
      <c r="R227" s="470">
        <v>4180.08</v>
      </c>
      <c r="S227" s="470">
        <v>4180.08</v>
      </c>
      <c r="T227" s="159"/>
      <c r="U227" s="470">
        <v>4019.308</v>
      </c>
      <c r="V227" s="470">
        <v>4019.308</v>
      </c>
      <c r="W227" s="470">
        <v>4019.308</v>
      </c>
      <c r="X227" s="470">
        <v>4019.308</v>
      </c>
      <c r="Y227" s="470">
        <v>4019.308</v>
      </c>
      <c r="AA227" s="155">
        <f t="shared" ref="AA227:AE238" si="75">U227-O227</f>
        <v>-160.77199999999993</v>
      </c>
      <c r="AB227" s="155">
        <f t="shared" si="75"/>
        <v>-160.77199999999993</v>
      </c>
      <c r="AC227" s="155">
        <f t="shared" si="75"/>
        <v>-160.77199999999993</v>
      </c>
      <c r="AD227" s="155">
        <f t="shared" si="75"/>
        <v>-160.77199999999993</v>
      </c>
      <c r="AE227" s="155">
        <f t="shared" si="75"/>
        <v>-160.77199999999993</v>
      </c>
      <c r="AG227" s="156">
        <f t="shared" ref="AG227:AK238" si="76">IFERROR(AA227/O227,0)</f>
        <v>-3.8461464852347312E-2</v>
      </c>
      <c r="AH227" s="156">
        <f t="shared" si="76"/>
        <v>-3.8461464852347312E-2</v>
      </c>
      <c r="AI227" s="156">
        <f t="shared" si="76"/>
        <v>-3.8461464852347312E-2</v>
      </c>
      <c r="AJ227" s="156">
        <f t="shared" si="76"/>
        <v>-3.8461464852347312E-2</v>
      </c>
      <c r="AK227" s="156">
        <f t="shared" si="76"/>
        <v>-3.8461464852347312E-2</v>
      </c>
    </row>
    <row r="228" spans="1:37" s="225" customFormat="1" ht="15" customHeight="1" x14ac:dyDescent="0.3">
      <c r="A228" s="599"/>
      <c r="B228" s="606" t="s">
        <v>216</v>
      </c>
      <c r="C228" s="594" t="s">
        <v>3840</v>
      </c>
      <c r="D228" s="607">
        <v>24</v>
      </c>
      <c r="E228" s="608">
        <v>771.77</v>
      </c>
      <c r="F228" s="609"/>
      <c r="G228" s="609"/>
      <c r="H228" s="609">
        <f>D228*E228</f>
        <v>18522.48</v>
      </c>
      <c r="I228" s="493">
        <v>18522.48</v>
      </c>
      <c r="J228" s="466"/>
      <c r="K228" s="465">
        <f t="shared" si="63"/>
        <v>17810.079999999998</v>
      </c>
      <c r="L228" s="467">
        <f t="shared" si="73"/>
        <v>-712.40000000000146</v>
      </c>
      <c r="M228" s="468">
        <f t="shared" si="74"/>
        <v>-3.8461372343228419E-2</v>
      </c>
      <c r="N228" s="469"/>
      <c r="O228" s="470">
        <v>3704.4960000000001</v>
      </c>
      <c r="P228" s="470">
        <v>3704.4960000000001</v>
      </c>
      <c r="Q228" s="470">
        <v>3704.4960000000001</v>
      </c>
      <c r="R228" s="470">
        <v>3704.4960000000001</v>
      </c>
      <c r="S228" s="470">
        <v>3704.4960000000001</v>
      </c>
      <c r="T228" s="159"/>
      <c r="U228" s="470">
        <v>3562.0159999999996</v>
      </c>
      <c r="V228" s="470">
        <v>3562.0159999999996</v>
      </c>
      <c r="W228" s="470">
        <v>3562.0159999999996</v>
      </c>
      <c r="X228" s="470">
        <v>3562.0159999999996</v>
      </c>
      <c r="Y228" s="470">
        <v>3562.0159999999996</v>
      </c>
      <c r="AA228" s="155">
        <f t="shared" si="75"/>
        <v>-142.48000000000047</v>
      </c>
      <c r="AB228" s="155">
        <f t="shared" si="75"/>
        <v>-142.48000000000047</v>
      </c>
      <c r="AC228" s="155">
        <f t="shared" si="75"/>
        <v>-142.48000000000047</v>
      </c>
      <c r="AD228" s="155">
        <f t="shared" si="75"/>
        <v>-142.48000000000047</v>
      </c>
      <c r="AE228" s="155">
        <f t="shared" si="75"/>
        <v>-142.48000000000047</v>
      </c>
      <c r="AG228" s="156">
        <f t="shared" si="76"/>
        <v>-3.846137234322846E-2</v>
      </c>
      <c r="AH228" s="156">
        <f t="shared" si="76"/>
        <v>-3.846137234322846E-2</v>
      </c>
      <c r="AI228" s="156">
        <f t="shared" si="76"/>
        <v>-3.846137234322846E-2</v>
      </c>
      <c r="AJ228" s="156">
        <f t="shared" si="76"/>
        <v>-3.846137234322846E-2</v>
      </c>
      <c r="AK228" s="156">
        <f t="shared" si="76"/>
        <v>-3.846137234322846E-2</v>
      </c>
    </row>
    <row r="229" spans="1:37" s="225" customFormat="1" ht="15" customHeight="1" x14ac:dyDescent="0.3">
      <c r="A229" s="599"/>
      <c r="B229" s="606" t="s">
        <v>217</v>
      </c>
      <c r="C229" s="594" t="s">
        <v>3840</v>
      </c>
      <c r="D229" s="607">
        <v>24</v>
      </c>
      <c r="E229" s="608">
        <v>931.5</v>
      </c>
      <c r="F229" s="609"/>
      <c r="G229" s="609"/>
      <c r="H229" s="609">
        <f t="shared" ref="H229:H236" si="77">D229*E229</f>
        <v>22356</v>
      </c>
      <c r="I229" s="493">
        <v>22356</v>
      </c>
      <c r="J229" s="466"/>
      <c r="K229" s="465">
        <f t="shared" si="63"/>
        <v>20636.310000000005</v>
      </c>
      <c r="L229" s="467">
        <f t="shared" si="73"/>
        <v>-1719.6899999999951</v>
      </c>
      <c r="M229" s="468">
        <f t="shared" si="74"/>
        <v>-7.6922973698335798E-2</v>
      </c>
      <c r="N229" s="469"/>
      <c r="O229" s="470">
        <v>4471.2</v>
      </c>
      <c r="P229" s="470">
        <v>4471.2</v>
      </c>
      <c r="Q229" s="470">
        <v>4471.2</v>
      </c>
      <c r="R229" s="470">
        <v>4471.2</v>
      </c>
      <c r="S229" s="470">
        <v>4471.2</v>
      </c>
      <c r="T229" s="159"/>
      <c r="U229" s="470">
        <v>4127.2620000000006</v>
      </c>
      <c r="V229" s="470">
        <v>4127.2620000000006</v>
      </c>
      <c r="W229" s="470">
        <v>4127.2620000000006</v>
      </c>
      <c r="X229" s="470">
        <v>4127.2620000000006</v>
      </c>
      <c r="Y229" s="470">
        <v>4127.2620000000006</v>
      </c>
      <c r="AA229" s="155">
        <f t="shared" si="75"/>
        <v>-343.93799999999919</v>
      </c>
      <c r="AB229" s="155">
        <f t="shared" si="75"/>
        <v>-343.93799999999919</v>
      </c>
      <c r="AC229" s="155">
        <f t="shared" si="75"/>
        <v>-343.93799999999919</v>
      </c>
      <c r="AD229" s="155">
        <f t="shared" si="75"/>
        <v>-343.93799999999919</v>
      </c>
      <c r="AE229" s="155">
        <f t="shared" si="75"/>
        <v>-343.93799999999919</v>
      </c>
      <c r="AG229" s="156">
        <f t="shared" si="76"/>
        <v>-7.6922973698335839E-2</v>
      </c>
      <c r="AH229" s="156">
        <f t="shared" si="76"/>
        <v>-7.6922973698335839E-2</v>
      </c>
      <c r="AI229" s="156">
        <f t="shared" si="76"/>
        <v>-7.6922973698335839E-2</v>
      </c>
      <c r="AJ229" s="156">
        <f t="shared" si="76"/>
        <v>-7.6922973698335839E-2</v>
      </c>
      <c r="AK229" s="156">
        <f t="shared" si="76"/>
        <v>-7.6922973698335839E-2</v>
      </c>
    </row>
    <row r="230" spans="1:37" s="225" customFormat="1" ht="15" customHeight="1" x14ac:dyDescent="0.3">
      <c r="A230" s="599"/>
      <c r="B230" s="606" t="s">
        <v>218</v>
      </c>
      <c r="C230" s="594" t="s">
        <v>3840</v>
      </c>
      <c r="D230" s="607">
        <v>24</v>
      </c>
      <c r="E230" s="608">
        <v>432.98</v>
      </c>
      <c r="F230" s="609"/>
      <c r="G230" s="609"/>
      <c r="H230" s="609">
        <f t="shared" si="77"/>
        <v>10391.52</v>
      </c>
      <c r="I230" s="493">
        <v>10391.52</v>
      </c>
      <c r="J230" s="466"/>
      <c r="K230" s="465">
        <f t="shared" si="63"/>
        <v>12721.43</v>
      </c>
      <c r="L230" s="467">
        <f t="shared" si="73"/>
        <v>2329.91</v>
      </c>
      <c r="M230" s="468">
        <f t="shared" si="74"/>
        <v>0.22421262721911711</v>
      </c>
      <c r="N230" s="469"/>
      <c r="O230" s="470">
        <v>2078.3040000000001</v>
      </c>
      <c r="P230" s="470">
        <v>2078.3040000000001</v>
      </c>
      <c r="Q230" s="470">
        <v>2078.3040000000001</v>
      </c>
      <c r="R230" s="470">
        <v>2078.3040000000001</v>
      </c>
      <c r="S230" s="470">
        <v>2078.3040000000001</v>
      </c>
      <c r="T230" s="159"/>
      <c r="U230" s="470">
        <v>2544.2860000000001</v>
      </c>
      <c r="V230" s="470">
        <v>2544.2860000000001</v>
      </c>
      <c r="W230" s="470">
        <v>2544.2860000000001</v>
      </c>
      <c r="X230" s="470">
        <v>2544.2860000000001</v>
      </c>
      <c r="Y230" s="470">
        <v>2544.2860000000001</v>
      </c>
      <c r="AA230" s="155">
        <f t="shared" si="75"/>
        <v>465.98199999999997</v>
      </c>
      <c r="AB230" s="155">
        <f t="shared" si="75"/>
        <v>465.98199999999997</v>
      </c>
      <c r="AC230" s="155">
        <f t="shared" si="75"/>
        <v>465.98199999999997</v>
      </c>
      <c r="AD230" s="155">
        <f t="shared" si="75"/>
        <v>465.98199999999997</v>
      </c>
      <c r="AE230" s="155">
        <f t="shared" si="75"/>
        <v>465.98199999999997</v>
      </c>
      <c r="AG230" s="156">
        <f t="shared" si="76"/>
        <v>0.22421262721911711</v>
      </c>
      <c r="AH230" s="156">
        <f t="shared" si="76"/>
        <v>0.22421262721911711</v>
      </c>
      <c r="AI230" s="156">
        <f t="shared" si="76"/>
        <v>0.22421262721911711</v>
      </c>
      <c r="AJ230" s="156">
        <f t="shared" si="76"/>
        <v>0.22421262721911711</v>
      </c>
      <c r="AK230" s="156">
        <f t="shared" si="76"/>
        <v>0.22421262721911711</v>
      </c>
    </row>
    <row r="231" spans="1:37" s="225" customFormat="1" ht="15" customHeight="1" x14ac:dyDescent="0.3">
      <c r="A231" s="599"/>
      <c r="B231" s="606" t="s">
        <v>219</v>
      </c>
      <c r="C231" s="594" t="s">
        <v>3840</v>
      </c>
      <c r="D231" s="607">
        <v>24</v>
      </c>
      <c r="E231" s="608">
        <v>532.72</v>
      </c>
      <c r="F231" s="609"/>
      <c r="G231" s="609"/>
      <c r="H231" s="609">
        <f t="shared" si="77"/>
        <v>12785.28</v>
      </c>
      <c r="I231" s="493">
        <v>12785.28</v>
      </c>
      <c r="J231" s="466"/>
      <c r="K231" s="465">
        <f t="shared" si="63"/>
        <v>13738.39</v>
      </c>
      <c r="L231" s="467">
        <f t="shared" si="73"/>
        <v>953.10999999999876</v>
      </c>
      <c r="M231" s="468">
        <f t="shared" si="74"/>
        <v>7.45474483155628E-2</v>
      </c>
      <c r="N231" s="469"/>
      <c r="O231" s="470">
        <v>2557.056</v>
      </c>
      <c r="P231" s="470">
        <v>2557.056</v>
      </c>
      <c r="Q231" s="470">
        <v>2557.056</v>
      </c>
      <c r="R231" s="470">
        <v>2557.056</v>
      </c>
      <c r="S231" s="470">
        <v>2557.056</v>
      </c>
      <c r="T231" s="159"/>
      <c r="U231" s="470">
        <v>2747.6779999999999</v>
      </c>
      <c r="V231" s="470">
        <v>2747.6779999999999</v>
      </c>
      <c r="W231" s="470">
        <v>2747.6779999999999</v>
      </c>
      <c r="X231" s="470">
        <v>2747.6779999999999</v>
      </c>
      <c r="Y231" s="470">
        <v>2747.6779999999999</v>
      </c>
      <c r="AA231" s="155">
        <f t="shared" si="75"/>
        <v>190.62199999999984</v>
      </c>
      <c r="AB231" s="155">
        <f t="shared" si="75"/>
        <v>190.62199999999984</v>
      </c>
      <c r="AC231" s="155">
        <f t="shared" si="75"/>
        <v>190.62199999999984</v>
      </c>
      <c r="AD231" s="155">
        <f t="shared" si="75"/>
        <v>190.62199999999984</v>
      </c>
      <c r="AE231" s="155">
        <f t="shared" si="75"/>
        <v>190.62199999999984</v>
      </c>
      <c r="AG231" s="156">
        <f t="shared" si="76"/>
        <v>7.4547448315562828E-2</v>
      </c>
      <c r="AH231" s="156">
        <f t="shared" si="76"/>
        <v>7.4547448315562828E-2</v>
      </c>
      <c r="AI231" s="156">
        <f t="shared" si="76"/>
        <v>7.4547448315562828E-2</v>
      </c>
      <c r="AJ231" s="156">
        <f t="shared" si="76"/>
        <v>7.4547448315562828E-2</v>
      </c>
      <c r="AK231" s="156">
        <f t="shared" si="76"/>
        <v>7.4547448315562828E-2</v>
      </c>
    </row>
    <row r="232" spans="1:37" s="225" customFormat="1" ht="15" customHeight="1" x14ac:dyDescent="0.3">
      <c r="A232" s="599"/>
      <c r="B232" s="606" t="s">
        <v>220</v>
      </c>
      <c r="C232" s="594" t="s">
        <v>3840</v>
      </c>
      <c r="D232" s="607">
        <v>24</v>
      </c>
      <c r="E232" s="608">
        <v>146.65</v>
      </c>
      <c r="F232" s="609"/>
      <c r="G232" s="609"/>
      <c r="H232" s="609">
        <f t="shared" si="77"/>
        <v>3519.6000000000004</v>
      </c>
      <c r="I232" s="493">
        <v>3519.6000000000004</v>
      </c>
      <c r="J232" s="466"/>
      <c r="K232" s="465">
        <f t="shared" si="63"/>
        <v>3519.6</v>
      </c>
      <c r="L232" s="467">
        <f t="shared" si="73"/>
        <v>0</v>
      </c>
      <c r="M232" s="468">
        <f t="shared" si="74"/>
        <v>0</v>
      </c>
      <c r="N232" s="469"/>
      <c r="O232" s="470">
        <v>703.92000000000007</v>
      </c>
      <c r="P232" s="470">
        <v>703.92000000000007</v>
      </c>
      <c r="Q232" s="470">
        <v>703.92000000000007</v>
      </c>
      <c r="R232" s="470">
        <v>703.92000000000007</v>
      </c>
      <c r="S232" s="470">
        <v>703.92000000000007</v>
      </c>
      <c r="T232" s="159"/>
      <c r="U232" s="470">
        <v>703.92</v>
      </c>
      <c r="V232" s="470">
        <v>703.92</v>
      </c>
      <c r="W232" s="470">
        <v>703.92</v>
      </c>
      <c r="X232" s="470">
        <v>703.92</v>
      </c>
      <c r="Y232" s="470">
        <v>703.92</v>
      </c>
      <c r="AA232" s="155">
        <f t="shared" si="75"/>
        <v>0</v>
      </c>
      <c r="AB232" s="155">
        <f t="shared" si="75"/>
        <v>0</v>
      </c>
      <c r="AC232" s="155">
        <f t="shared" si="75"/>
        <v>0</v>
      </c>
      <c r="AD232" s="155">
        <f t="shared" si="75"/>
        <v>0</v>
      </c>
      <c r="AE232" s="155">
        <f t="shared" si="75"/>
        <v>0</v>
      </c>
      <c r="AG232" s="156">
        <f t="shared" si="76"/>
        <v>0</v>
      </c>
      <c r="AH232" s="156">
        <f t="shared" si="76"/>
        <v>0</v>
      </c>
      <c r="AI232" s="156">
        <f t="shared" si="76"/>
        <v>0</v>
      </c>
      <c r="AJ232" s="156">
        <f t="shared" si="76"/>
        <v>0</v>
      </c>
      <c r="AK232" s="156">
        <f t="shared" si="76"/>
        <v>0</v>
      </c>
    </row>
    <row r="233" spans="1:37" s="225" customFormat="1" ht="15" customHeight="1" x14ac:dyDescent="0.3">
      <c r="A233" s="599"/>
      <c r="B233" s="606" t="s">
        <v>221</v>
      </c>
      <c r="C233" s="594" t="s">
        <v>3840</v>
      </c>
      <c r="D233" s="607">
        <v>24</v>
      </c>
      <c r="E233" s="608">
        <v>193.28</v>
      </c>
      <c r="F233" s="609"/>
      <c r="G233" s="609"/>
      <c r="H233" s="609">
        <f t="shared" si="77"/>
        <v>4638.72</v>
      </c>
      <c r="I233" s="493">
        <v>4638.72</v>
      </c>
      <c r="J233" s="466"/>
      <c r="K233" s="465">
        <f t="shared" si="63"/>
        <v>966.4</v>
      </c>
      <c r="L233" s="467">
        <f t="shared" si="73"/>
        <v>-3672.32</v>
      </c>
      <c r="M233" s="468">
        <f t="shared" si="74"/>
        <v>-0.79166666666666663</v>
      </c>
      <c r="N233" s="469"/>
      <c r="O233" s="470">
        <v>927.74400000000003</v>
      </c>
      <c r="P233" s="470">
        <v>927.74400000000003</v>
      </c>
      <c r="Q233" s="470">
        <v>927.74400000000003</v>
      </c>
      <c r="R233" s="470">
        <v>927.74400000000003</v>
      </c>
      <c r="S233" s="470">
        <v>927.74400000000003</v>
      </c>
      <c r="T233" s="159"/>
      <c r="U233" s="470">
        <v>193.28</v>
      </c>
      <c r="V233" s="470">
        <v>193.28</v>
      </c>
      <c r="W233" s="470">
        <v>193.28</v>
      </c>
      <c r="X233" s="470">
        <v>193.28</v>
      </c>
      <c r="Y233" s="470">
        <v>193.28</v>
      </c>
      <c r="AA233" s="155">
        <f t="shared" si="75"/>
        <v>-734.46400000000006</v>
      </c>
      <c r="AB233" s="155">
        <f t="shared" si="75"/>
        <v>-734.46400000000006</v>
      </c>
      <c r="AC233" s="155">
        <f t="shared" si="75"/>
        <v>-734.46400000000006</v>
      </c>
      <c r="AD233" s="155">
        <f t="shared" si="75"/>
        <v>-734.46400000000006</v>
      </c>
      <c r="AE233" s="155">
        <f t="shared" si="75"/>
        <v>-734.46400000000006</v>
      </c>
      <c r="AG233" s="156">
        <f t="shared" si="76"/>
        <v>-0.79166666666666674</v>
      </c>
      <c r="AH233" s="156">
        <f t="shared" si="76"/>
        <v>-0.79166666666666674</v>
      </c>
      <c r="AI233" s="156">
        <f t="shared" si="76"/>
        <v>-0.79166666666666674</v>
      </c>
      <c r="AJ233" s="156">
        <f t="shared" si="76"/>
        <v>-0.79166666666666674</v>
      </c>
      <c r="AK233" s="156">
        <f t="shared" si="76"/>
        <v>-0.79166666666666674</v>
      </c>
    </row>
    <row r="234" spans="1:37" s="225" customFormat="1" ht="15" customHeight="1" x14ac:dyDescent="0.3">
      <c r="A234" s="599"/>
      <c r="B234" s="606" t="s">
        <v>222</v>
      </c>
      <c r="C234" s="594" t="s">
        <v>3840</v>
      </c>
      <c r="D234" s="607">
        <v>24</v>
      </c>
      <c r="E234" s="608">
        <v>358.01</v>
      </c>
      <c r="F234" s="609"/>
      <c r="G234" s="609"/>
      <c r="H234" s="609">
        <f t="shared" si="77"/>
        <v>8592.24</v>
      </c>
      <c r="I234" s="493">
        <v>8592.24</v>
      </c>
      <c r="J234" s="466"/>
      <c r="K234" s="465">
        <f t="shared" si="63"/>
        <v>8330.6200000000008</v>
      </c>
      <c r="L234" s="467">
        <f t="shared" si="73"/>
        <v>-261.61999999999898</v>
      </c>
      <c r="M234" s="468">
        <f t="shared" si="74"/>
        <v>-3.0448404606947546E-2</v>
      </c>
      <c r="N234" s="469"/>
      <c r="O234" s="470">
        <v>1718.4479999999999</v>
      </c>
      <c r="P234" s="470">
        <v>1718.4479999999999</v>
      </c>
      <c r="Q234" s="470">
        <v>1718.4479999999999</v>
      </c>
      <c r="R234" s="470">
        <v>1718.4479999999999</v>
      </c>
      <c r="S234" s="470">
        <v>1718.4479999999999</v>
      </c>
      <c r="T234" s="159"/>
      <c r="U234" s="470">
        <v>1666.124</v>
      </c>
      <c r="V234" s="470">
        <v>1666.124</v>
      </c>
      <c r="W234" s="470">
        <v>1666.124</v>
      </c>
      <c r="X234" s="470">
        <v>1666.124</v>
      </c>
      <c r="Y234" s="470">
        <v>1666.124</v>
      </c>
      <c r="AA234" s="155">
        <f t="shared" si="75"/>
        <v>-52.323999999999842</v>
      </c>
      <c r="AB234" s="155">
        <f t="shared" si="75"/>
        <v>-52.323999999999842</v>
      </c>
      <c r="AC234" s="155">
        <f t="shared" si="75"/>
        <v>-52.323999999999842</v>
      </c>
      <c r="AD234" s="155">
        <f t="shared" si="75"/>
        <v>-52.323999999999842</v>
      </c>
      <c r="AE234" s="155">
        <f t="shared" si="75"/>
        <v>-52.323999999999842</v>
      </c>
      <c r="AG234" s="156">
        <f t="shared" si="76"/>
        <v>-3.0448404606947574E-2</v>
      </c>
      <c r="AH234" s="156">
        <f t="shared" si="76"/>
        <v>-3.0448404606947574E-2</v>
      </c>
      <c r="AI234" s="156">
        <f t="shared" si="76"/>
        <v>-3.0448404606947574E-2</v>
      </c>
      <c r="AJ234" s="156">
        <f t="shared" si="76"/>
        <v>-3.0448404606947574E-2</v>
      </c>
      <c r="AK234" s="156">
        <f t="shared" si="76"/>
        <v>-3.0448404606947574E-2</v>
      </c>
    </row>
    <row r="235" spans="1:37" s="225" customFormat="1" ht="15" customHeight="1" x14ac:dyDescent="0.3">
      <c r="A235" s="599"/>
      <c r="B235" s="606" t="s">
        <v>223</v>
      </c>
      <c r="C235" s="594" t="s">
        <v>3840</v>
      </c>
      <c r="D235" s="607">
        <v>24</v>
      </c>
      <c r="E235" s="608">
        <v>414.62</v>
      </c>
      <c r="F235" s="609"/>
      <c r="G235" s="609"/>
      <c r="H235" s="609">
        <f t="shared" si="77"/>
        <v>9950.880000000001</v>
      </c>
      <c r="I235" s="493">
        <v>9950.880000000001</v>
      </c>
      <c r="J235" s="466"/>
      <c r="K235" s="465">
        <f t="shared" si="63"/>
        <v>9950.8799999999992</v>
      </c>
      <c r="L235" s="467">
        <f t="shared" si="73"/>
        <v>0</v>
      </c>
      <c r="M235" s="468">
        <f t="shared" si="74"/>
        <v>0</v>
      </c>
      <c r="N235" s="469"/>
      <c r="O235" s="470">
        <v>1990.1760000000002</v>
      </c>
      <c r="P235" s="470">
        <v>1990.1760000000002</v>
      </c>
      <c r="Q235" s="470">
        <v>1990.1760000000002</v>
      </c>
      <c r="R235" s="470">
        <v>1990.1760000000002</v>
      </c>
      <c r="S235" s="470">
        <v>1990.1760000000002</v>
      </c>
      <c r="T235" s="159"/>
      <c r="U235" s="470">
        <v>1990.1759999999997</v>
      </c>
      <c r="V235" s="470">
        <v>1990.1759999999997</v>
      </c>
      <c r="W235" s="470">
        <v>1990.1759999999997</v>
      </c>
      <c r="X235" s="470">
        <v>1990.1759999999997</v>
      </c>
      <c r="Y235" s="470">
        <v>1990.1759999999997</v>
      </c>
      <c r="AA235" s="155">
        <f t="shared" si="75"/>
        <v>0</v>
      </c>
      <c r="AB235" s="155">
        <f t="shared" si="75"/>
        <v>0</v>
      </c>
      <c r="AC235" s="155">
        <f t="shared" si="75"/>
        <v>0</v>
      </c>
      <c r="AD235" s="155">
        <f t="shared" si="75"/>
        <v>0</v>
      </c>
      <c r="AE235" s="155">
        <f t="shared" si="75"/>
        <v>0</v>
      </c>
      <c r="AG235" s="156">
        <f t="shared" si="76"/>
        <v>0</v>
      </c>
      <c r="AH235" s="156">
        <f t="shared" si="76"/>
        <v>0</v>
      </c>
      <c r="AI235" s="156">
        <f t="shared" si="76"/>
        <v>0</v>
      </c>
      <c r="AJ235" s="156">
        <f t="shared" si="76"/>
        <v>0</v>
      </c>
      <c r="AK235" s="156">
        <f t="shared" si="76"/>
        <v>0</v>
      </c>
    </row>
    <row r="236" spans="1:37" s="225" customFormat="1" ht="15" customHeight="1" x14ac:dyDescent="0.3">
      <c r="A236" s="599"/>
      <c r="B236" s="606" t="s">
        <v>224</v>
      </c>
      <c r="C236" s="594" t="s">
        <v>3840</v>
      </c>
      <c r="D236" s="607">
        <v>24</v>
      </c>
      <c r="E236" s="608">
        <v>199.63</v>
      </c>
      <c r="F236" s="609"/>
      <c r="G236" s="609"/>
      <c r="H236" s="609">
        <f t="shared" si="77"/>
        <v>4791.12</v>
      </c>
      <c r="I236" s="493">
        <v>4791.12</v>
      </c>
      <c r="J236" s="466"/>
      <c r="K236" s="465">
        <f t="shared" si="63"/>
        <v>4645.24</v>
      </c>
      <c r="L236" s="467">
        <f t="shared" si="73"/>
        <v>-145.88000000000011</v>
      </c>
      <c r="M236" s="468">
        <f t="shared" si="74"/>
        <v>-3.044799545826448E-2</v>
      </c>
      <c r="N236" s="469"/>
      <c r="O236" s="470">
        <v>958.22399999999993</v>
      </c>
      <c r="P236" s="470">
        <v>958.22399999999993</v>
      </c>
      <c r="Q236" s="470">
        <v>958.22399999999993</v>
      </c>
      <c r="R236" s="470">
        <v>958.22399999999993</v>
      </c>
      <c r="S236" s="470">
        <v>958.22399999999993</v>
      </c>
      <c r="T236" s="159"/>
      <c r="U236" s="470">
        <v>929.048</v>
      </c>
      <c r="V236" s="470">
        <v>929.048</v>
      </c>
      <c r="W236" s="470">
        <v>929.048</v>
      </c>
      <c r="X236" s="470">
        <v>929.048</v>
      </c>
      <c r="Y236" s="470">
        <v>929.048</v>
      </c>
      <c r="AA236" s="155">
        <f t="shared" si="75"/>
        <v>-29.175999999999931</v>
      </c>
      <c r="AB236" s="155">
        <f t="shared" si="75"/>
        <v>-29.175999999999931</v>
      </c>
      <c r="AC236" s="155">
        <f t="shared" si="75"/>
        <v>-29.175999999999931</v>
      </c>
      <c r="AD236" s="155">
        <f t="shared" si="75"/>
        <v>-29.175999999999931</v>
      </c>
      <c r="AE236" s="155">
        <f t="shared" si="75"/>
        <v>-29.175999999999931</v>
      </c>
      <c r="AG236" s="156">
        <f t="shared" si="76"/>
        <v>-3.0447995458264387E-2</v>
      </c>
      <c r="AH236" s="156">
        <f t="shared" si="76"/>
        <v>-3.0447995458264387E-2</v>
      </c>
      <c r="AI236" s="156">
        <f t="shared" si="76"/>
        <v>-3.0447995458264387E-2</v>
      </c>
      <c r="AJ236" s="156">
        <f t="shared" si="76"/>
        <v>-3.0447995458264387E-2</v>
      </c>
      <c r="AK236" s="156">
        <f t="shared" si="76"/>
        <v>-3.0447995458264387E-2</v>
      </c>
    </row>
    <row r="237" spans="1:37" s="255" customFormat="1" ht="15" customHeight="1" x14ac:dyDescent="0.3">
      <c r="A237" s="599"/>
      <c r="B237" s="610" t="s">
        <v>20</v>
      </c>
      <c r="C237" s="587"/>
      <c r="D237" s="503"/>
      <c r="E237" s="503"/>
      <c r="F237" s="475">
        <f>SUM(F187:F236)</f>
        <v>1424911760</v>
      </c>
      <c r="G237" s="475"/>
      <c r="H237" s="475">
        <f>SUM(H187:H236)</f>
        <v>500449.68615384615</v>
      </c>
      <c r="I237" s="475">
        <f>SUM(I187:I236)</f>
        <v>729808.93326923088</v>
      </c>
      <c r="J237" s="572"/>
      <c r="K237" s="475">
        <f>SUM(K187:K236)</f>
        <v>666602.1134507847</v>
      </c>
      <c r="L237" s="588">
        <f>K237-I237</f>
        <v>-63206.81981844618</v>
      </c>
      <c r="M237" s="252">
        <f t="shared" si="74"/>
        <v>-8.6607352879755461E-2</v>
      </c>
      <c r="N237" s="253"/>
      <c r="O237" s="475">
        <f>SUM(O187:O236)</f>
        <v>107822.51362500002</v>
      </c>
      <c r="P237" s="475">
        <f>SUM(P187:P236)</f>
        <v>107822.51362500002</v>
      </c>
      <c r="Q237" s="475">
        <f>SUM(Q187:Q236)</f>
        <v>107822.51362500002</v>
      </c>
      <c r="R237" s="475">
        <f>SUM(R187:R236)</f>
        <v>107822.51362500002</v>
      </c>
      <c r="S237" s="475">
        <f>SUM(S187:S236)</f>
        <v>298518.87876923068</v>
      </c>
      <c r="T237" s="254"/>
      <c r="U237" s="475">
        <f>SUM(U187:U236)</f>
        <v>97192.416716708394</v>
      </c>
      <c r="V237" s="475">
        <f>SUM(V187:V236)</f>
        <v>97192.416716708394</v>
      </c>
      <c r="W237" s="475">
        <f>SUM(W187:W236)</f>
        <v>97192.416716708394</v>
      </c>
      <c r="X237" s="475">
        <f>SUM(X187:X236)</f>
        <v>97192.416716708394</v>
      </c>
      <c r="Y237" s="475">
        <f>SUM(Y187:Y236)</f>
        <v>277832.44658395107</v>
      </c>
      <c r="AA237" s="168">
        <f t="shared" si="75"/>
        <v>-10630.096908291627</v>
      </c>
      <c r="AB237" s="168">
        <f t="shared" si="75"/>
        <v>-10630.096908291627</v>
      </c>
      <c r="AC237" s="168">
        <f t="shared" si="75"/>
        <v>-10630.096908291627</v>
      </c>
      <c r="AD237" s="168">
        <f t="shared" si="75"/>
        <v>-10630.096908291627</v>
      </c>
      <c r="AE237" s="168">
        <f t="shared" si="75"/>
        <v>-20686.432185279613</v>
      </c>
      <c r="AG237" s="169">
        <f t="shared" si="76"/>
        <v>-9.8588843377019023E-2</v>
      </c>
      <c r="AH237" s="169">
        <f t="shared" si="76"/>
        <v>-9.8588843377019023E-2</v>
      </c>
      <c r="AI237" s="169">
        <f t="shared" si="76"/>
        <v>-9.8588843377019023E-2</v>
      </c>
      <c r="AJ237" s="169">
        <f t="shared" si="76"/>
        <v>-9.8588843377019023E-2</v>
      </c>
      <c r="AK237" s="169">
        <f t="shared" si="76"/>
        <v>-6.9296897638662286E-2</v>
      </c>
    </row>
    <row r="238" spans="1:37" s="312" customFormat="1" ht="15" customHeight="1" x14ac:dyDescent="0.3">
      <c r="A238" s="599"/>
      <c r="B238" s="611" t="s">
        <v>21</v>
      </c>
      <c r="C238" s="612"/>
      <c r="D238" s="613"/>
      <c r="E238" s="613"/>
      <c r="F238" s="614">
        <f>F237+F184+F44</f>
        <v>3922175848</v>
      </c>
      <c r="G238" s="615"/>
      <c r="H238" s="616">
        <f>H237+H184+H44</f>
        <v>1308483.6623076922</v>
      </c>
      <c r="I238" s="616">
        <f>I237+I184+I44</f>
        <v>1798484.0698576926</v>
      </c>
      <c r="J238" s="617"/>
      <c r="K238" s="616">
        <f>K237+K184+K44</f>
        <v>1726224.6063044926</v>
      </c>
      <c r="L238" s="618">
        <f>K238-I238</f>
        <v>-72259.46355320001</v>
      </c>
      <c r="M238" s="308">
        <f t="shared" si="74"/>
        <v>-4.0177983649817721E-2</v>
      </c>
      <c r="N238" s="309"/>
      <c r="O238" s="614">
        <f>O237+O184+O44</f>
        <v>192434.45055096154</v>
      </c>
      <c r="P238" s="614">
        <f>P237+P184+P44</f>
        <v>324465.17486634618</v>
      </c>
      <c r="Q238" s="614">
        <f>Q237+Q184+Q44</f>
        <v>217265.58168173078</v>
      </c>
      <c r="R238" s="614">
        <f>R237+R184+R44</f>
        <v>212126.81937403852</v>
      </c>
      <c r="S238" s="614">
        <f>S237+S184+S44</f>
        <v>852192.04338461533</v>
      </c>
      <c r="T238" s="311"/>
      <c r="U238" s="614">
        <f>U237+U184+U44</f>
        <v>196570.28354976838</v>
      </c>
      <c r="V238" s="614">
        <f>V237+V184+V44</f>
        <v>319589.06316237076</v>
      </c>
      <c r="W238" s="614">
        <f>W237+W184+W44</f>
        <v>218462.18620410122</v>
      </c>
      <c r="X238" s="614">
        <f>X237+X184+X44</f>
        <v>204390.10431532224</v>
      </c>
      <c r="Y238" s="614">
        <f>Y237+Y184+Y44</f>
        <v>787212.96907292958</v>
      </c>
      <c r="AA238" s="313">
        <f t="shared" si="75"/>
        <v>4135.8329988068435</v>
      </c>
      <c r="AB238" s="313">
        <f t="shared" si="75"/>
        <v>-4876.1117039754172</v>
      </c>
      <c r="AC238" s="313">
        <f t="shared" si="75"/>
        <v>1196.6045223704423</v>
      </c>
      <c r="AD238" s="313">
        <f t="shared" si="75"/>
        <v>-7736.715058716276</v>
      </c>
      <c r="AE238" s="313">
        <f t="shared" si="75"/>
        <v>-64979.074311685748</v>
      </c>
      <c r="AG238" s="308">
        <f t="shared" si="76"/>
        <v>2.1492165186459529E-2</v>
      </c>
      <c r="AH238" s="308">
        <f t="shared" si="76"/>
        <v>-1.5028151190598459E-2</v>
      </c>
      <c r="AI238" s="308">
        <f t="shared" si="76"/>
        <v>5.5075659619356144E-3</v>
      </c>
      <c r="AJ238" s="308">
        <f t="shared" si="76"/>
        <v>-3.6472121165755558E-2</v>
      </c>
      <c r="AK238" s="308">
        <f t="shared" si="76"/>
        <v>-7.6249332314358501E-2</v>
      </c>
    </row>
    <row r="239" spans="1:37" x14ac:dyDescent="0.3">
      <c r="I239" s="321"/>
      <c r="K239" s="321"/>
      <c r="U239" s="625"/>
      <c r="V239" s="625"/>
      <c r="W239" s="625"/>
      <c r="X239" s="625"/>
      <c r="Y239" s="625"/>
    </row>
    <row r="240" spans="1:37" x14ac:dyDescent="0.3">
      <c r="F240" s="626"/>
    </row>
    <row r="241" spans="6:6" x14ac:dyDescent="0.3">
      <c r="F241" s="627"/>
    </row>
  </sheetData>
  <mergeCells count="28">
    <mergeCell ref="B185:F185"/>
    <mergeCell ref="M5:M6"/>
    <mergeCell ref="B7:F7"/>
    <mergeCell ref="G7:H7"/>
    <mergeCell ref="B45:F45"/>
    <mergeCell ref="B46:F46"/>
    <mergeCell ref="B80:F80"/>
    <mergeCell ref="B81:H81"/>
    <mergeCell ref="B89:H89"/>
    <mergeCell ref="B109:H109"/>
    <mergeCell ref="B129:H129"/>
    <mergeCell ref="B139:I139"/>
    <mergeCell ref="AA2:AE2"/>
    <mergeCell ref="AG2:AK2"/>
    <mergeCell ref="A5:A6"/>
    <mergeCell ref="B5:B6"/>
    <mergeCell ref="F5:F6"/>
    <mergeCell ref="G5:G6"/>
    <mergeCell ref="H5:H6"/>
    <mergeCell ref="I5:I6"/>
    <mergeCell ref="K5:K6"/>
    <mergeCell ref="L5:L6"/>
    <mergeCell ref="U2:Y2"/>
    <mergeCell ref="C1:D1"/>
    <mergeCell ref="F1:G1"/>
    <mergeCell ref="C2:D2"/>
    <mergeCell ref="F2:G2"/>
    <mergeCell ref="O2:S2"/>
  </mergeCells>
  <conditionalFormatting sqref="L139">
    <cfRule type="cellIs" dxfId="1" priority="2" operator="greaterThan">
      <formula>0</formula>
    </cfRule>
  </conditionalFormatting>
  <conditionalFormatting sqref="L139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2D9F7-ABE9-44EA-85FF-B38B9BED29C0}">
  <dimension ref="A1:N5580"/>
  <sheetViews>
    <sheetView workbookViewId="0">
      <selection activeCell="J2958" sqref="J2958"/>
    </sheetView>
  </sheetViews>
  <sheetFormatPr defaultRowHeight="15" outlineLevelRow="2" x14ac:dyDescent="0.35"/>
  <cols>
    <col min="1" max="1" width="73.6640625" customWidth="1"/>
    <col min="2" max="2" width="17.6640625" customWidth="1"/>
    <col min="3" max="3" width="21" customWidth="1"/>
    <col min="4" max="4" width="83.88671875" customWidth="1"/>
    <col min="5" max="5" width="67.109375" customWidth="1"/>
    <col min="6" max="6" width="25.88671875" customWidth="1"/>
    <col min="7" max="7" width="11" customWidth="1"/>
    <col min="8" max="8" width="16.88671875" customWidth="1"/>
    <col min="10" max="14" width="10.33203125" bestFit="1" customWidth="1"/>
  </cols>
  <sheetData>
    <row r="1" spans="1:14" ht="15.6" thickBot="1" x14ac:dyDescent="0.4">
      <c r="A1" s="323" t="s">
        <v>4008</v>
      </c>
      <c r="B1" s="325" t="s">
        <v>226</v>
      </c>
      <c r="C1" s="323" t="s">
        <v>227</v>
      </c>
      <c r="D1" s="323" t="s">
        <v>228</v>
      </c>
      <c r="E1" s="323" t="s">
        <v>229</v>
      </c>
      <c r="F1" s="323" t="s">
        <v>230</v>
      </c>
      <c r="G1" s="323" t="s">
        <v>231</v>
      </c>
      <c r="H1" s="323" t="s">
        <v>232</v>
      </c>
      <c r="I1" s="323"/>
      <c r="J1" s="323" t="s">
        <v>25</v>
      </c>
      <c r="K1" s="323" t="s">
        <v>26</v>
      </c>
      <c r="L1" s="323" t="s">
        <v>27</v>
      </c>
      <c r="M1" s="323" t="s">
        <v>28</v>
      </c>
      <c r="N1" s="323" t="s">
        <v>29</v>
      </c>
    </row>
    <row r="2" spans="1:14" hidden="1" outlineLevel="2" x14ac:dyDescent="0.35">
      <c r="A2" s="388" t="s">
        <v>3889</v>
      </c>
      <c r="B2" s="389">
        <v>43964</v>
      </c>
      <c r="C2" s="390" t="s">
        <v>4009</v>
      </c>
      <c r="D2" s="391" t="s">
        <v>4010</v>
      </c>
      <c r="E2" s="391" t="s">
        <v>4011</v>
      </c>
      <c r="F2" s="392">
        <v>2000950</v>
      </c>
      <c r="G2" s="393" t="s">
        <v>3800</v>
      </c>
      <c r="H2" s="394">
        <v>768.27791042453339</v>
      </c>
      <c r="I2" s="394"/>
      <c r="J2" s="392"/>
      <c r="K2" s="392">
        <v>768.27791042453339</v>
      </c>
      <c r="L2" s="392"/>
      <c r="M2" s="392"/>
      <c r="N2" s="392"/>
    </row>
    <row r="3" spans="1:14" hidden="1" outlineLevel="2" x14ac:dyDescent="0.35">
      <c r="A3" s="388" t="s">
        <v>3889</v>
      </c>
      <c r="B3" s="389">
        <v>43964</v>
      </c>
      <c r="C3" s="390" t="s">
        <v>4012</v>
      </c>
      <c r="D3" s="391" t="s">
        <v>4013</v>
      </c>
      <c r="E3" s="391" t="s">
        <v>4014</v>
      </c>
      <c r="F3" s="392">
        <v>3887530</v>
      </c>
      <c r="G3" s="393" t="s">
        <v>3800</v>
      </c>
      <c r="H3" s="394">
        <v>1492.6427072703898</v>
      </c>
      <c r="I3" s="394"/>
      <c r="J3" s="392"/>
      <c r="K3" s="392">
        <v>1492.6427072703898</v>
      </c>
      <c r="L3" s="392"/>
      <c r="M3" s="392"/>
      <c r="N3" s="392"/>
    </row>
    <row r="4" spans="1:14" hidden="1" outlineLevel="2" x14ac:dyDescent="0.35">
      <c r="A4" s="388" t="s">
        <v>3889</v>
      </c>
      <c r="B4" s="389">
        <v>43964</v>
      </c>
      <c r="C4" s="390" t="s">
        <v>4015</v>
      </c>
      <c r="D4" s="391" t="s">
        <v>4016</v>
      </c>
      <c r="E4" s="391" t="s">
        <v>4017</v>
      </c>
      <c r="F4" s="392">
        <v>1962700</v>
      </c>
      <c r="G4" s="393" t="s">
        <v>3800</v>
      </c>
      <c r="H4" s="394">
        <v>753.59157139870149</v>
      </c>
      <c r="I4" s="394"/>
      <c r="J4" s="392"/>
      <c r="K4" s="392">
        <v>753.59157139870149</v>
      </c>
      <c r="L4" s="392"/>
      <c r="M4" s="392"/>
      <c r="N4" s="392"/>
    </row>
    <row r="5" spans="1:14" hidden="1" outlineLevel="2" x14ac:dyDescent="0.35">
      <c r="A5" s="388" t="s">
        <v>3889</v>
      </c>
      <c r="B5" s="389">
        <v>43964</v>
      </c>
      <c r="C5" s="390" t="s">
        <v>4018</v>
      </c>
      <c r="D5" s="391" t="s">
        <v>4019</v>
      </c>
      <c r="E5" s="391" t="s">
        <v>4020</v>
      </c>
      <c r="F5" s="392">
        <v>3771450</v>
      </c>
      <c r="G5" s="393" t="s">
        <v>3800</v>
      </c>
      <c r="H5" s="394">
        <v>1448.0730279470283</v>
      </c>
      <c r="I5" s="394"/>
      <c r="J5" s="392"/>
      <c r="K5" s="392">
        <v>1448.0730279470283</v>
      </c>
      <c r="L5" s="392"/>
      <c r="M5" s="392"/>
      <c r="N5" s="392"/>
    </row>
    <row r="6" spans="1:14" hidden="1" outlineLevel="2" x14ac:dyDescent="0.35">
      <c r="A6" s="388" t="s">
        <v>3889</v>
      </c>
      <c r="B6" s="389">
        <v>43964</v>
      </c>
      <c r="C6" s="390" t="s">
        <v>4021</v>
      </c>
      <c r="D6" s="391" t="s">
        <v>4022</v>
      </c>
      <c r="E6" s="391" t="s">
        <v>4023</v>
      </c>
      <c r="F6" s="392">
        <v>3260120</v>
      </c>
      <c r="G6" s="393" t="s">
        <v>3800</v>
      </c>
      <c r="H6" s="394">
        <v>1251.7445120234038</v>
      </c>
      <c r="I6" s="394"/>
      <c r="J6" s="392"/>
      <c r="K6" s="392">
        <v>1251.7445120234038</v>
      </c>
      <c r="L6" s="392"/>
      <c r="M6" s="392"/>
      <c r="N6" s="392"/>
    </row>
    <row r="7" spans="1:14" hidden="1" outlineLevel="2" x14ac:dyDescent="0.35">
      <c r="A7" s="388" t="s">
        <v>3889</v>
      </c>
      <c r="B7" s="389">
        <v>43964</v>
      </c>
      <c r="C7" s="390" t="s">
        <v>4024</v>
      </c>
      <c r="D7" s="391" t="s">
        <v>4025</v>
      </c>
      <c r="E7" s="391" t="s">
        <v>4026</v>
      </c>
      <c r="F7" s="392">
        <v>3259400</v>
      </c>
      <c r="G7" s="393" t="s">
        <v>3800</v>
      </c>
      <c r="H7" s="394">
        <v>1251.4680632887998</v>
      </c>
      <c r="I7" s="394"/>
      <c r="J7" s="392"/>
      <c r="K7" s="392">
        <v>1251.4680632887998</v>
      </c>
      <c r="L7" s="392"/>
      <c r="M7" s="392"/>
      <c r="N7" s="392"/>
    </row>
    <row r="8" spans="1:14" outlineLevel="1" collapsed="1" x14ac:dyDescent="0.35">
      <c r="A8" s="395" t="s">
        <v>4027</v>
      </c>
      <c r="B8" s="389"/>
      <c r="C8" s="390"/>
      <c r="D8" s="391"/>
      <c r="E8" s="391"/>
      <c r="F8" s="392"/>
      <c r="G8" s="393"/>
      <c r="H8" s="394">
        <f t="shared" ref="H8:N8" si="0">SUBTOTAL(9,H2:H7)</f>
        <v>6965.797792352856</v>
      </c>
      <c r="I8" s="394"/>
      <c r="J8" s="392">
        <f t="shared" si="0"/>
        <v>0</v>
      </c>
      <c r="K8" s="392">
        <f t="shared" si="0"/>
        <v>6965.797792352856</v>
      </c>
      <c r="L8" s="392">
        <f t="shared" si="0"/>
        <v>0</v>
      </c>
      <c r="M8" s="392">
        <f t="shared" si="0"/>
        <v>0</v>
      </c>
      <c r="N8" s="392">
        <f t="shared" si="0"/>
        <v>0</v>
      </c>
    </row>
    <row r="9" spans="1:14" hidden="1" outlineLevel="2" x14ac:dyDescent="0.35">
      <c r="A9" s="388" t="s">
        <v>4028</v>
      </c>
      <c r="B9" s="389">
        <v>44222</v>
      </c>
      <c r="C9" s="390" t="s">
        <v>4029</v>
      </c>
      <c r="D9" s="391" t="s">
        <v>4030</v>
      </c>
      <c r="E9" s="391" t="s">
        <v>4031</v>
      </c>
      <c r="F9" s="392">
        <v>522000</v>
      </c>
      <c r="G9" s="393" t="s">
        <v>3800</v>
      </c>
      <c r="H9" s="394">
        <v>194.23225074286159</v>
      </c>
      <c r="I9" s="394"/>
      <c r="J9" s="392">
        <v>48.558062685715399</v>
      </c>
      <c r="K9" s="392">
        <v>48.558062685715399</v>
      </c>
      <c r="L9" s="392">
        <v>48.558062685715399</v>
      </c>
      <c r="M9" s="392">
        <v>48.558062685715399</v>
      </c>
      <c r="N9" s="392"/>
    </row>
    <row r="10" spans="1:14" hidden="1" outlineLevel="2" x14ac:dyDescent="0.35">
      <c r="A10" s="388" t="s">
        <v>4028</v>
      </c>
      <c r="B10" s="389">
        <v>44222</v>
      </c>
      <c r="C10" s="390" t="s">
        <v>4029</v>
      </c>
      <c r="D10" s="391" t="s">
        <v>4032</v>
      </c>
      <c r="E10" s="391" t="s">
        <v>4031</v>
      </c>
      <c r="F10" s="392">
        <v>78300</v>
      </c>
      <c r="G10" s="393" t="s">
        <v>3800</v>
      </c>
      <c r="H10" s="394">
        <v>29.134837611429237</v>
      </c>
      <c r="I10" s="394"/>
      <c r="J10" s="392">
        <v>7.2837094028573093</v>
      </c>
      <c r="K10" s="392">
        <v>7.2837094028573093</v>
      </c>
      <c r="L10" s="392">
        <v>7.2837094028573093</v>
      </c>
      <c r="M10" s="392">
        <v>7.2837094028573093</v>
      </c>
      <c r="N10" s="392"/>
    </row>
    <row r="11" spans="1:14" hidden="1" outlineLevel="2" x14ac:dyDescent="0.35">
      <c r="A11" s="388" t="s">
        <v>4028</v>
      </c>
      <c r="B11" s="389">
        <v>44222</v>
      </c>
      <c r="C11" s="390" t="s">
        <v>4033</v>
      </c>
      <c r="D11" s="391" t="s">
        <v>4034</v>
      </c>
      <c r="E11" s="391" t="s">
        <v>4035</v>
      </c>
      <c r="F11" s="392">
        <v>65250</v>
      </c>
      <c r="G11" s="393" t="s">
        <v>3800</v>
      </c>
      <c r="H11" s="394">
        <v>24.279031342857699</v>
      </c>
      <c r="I11" s="394"/>
      <c r="J11" s="392">
        <v>6.0697578357144248</v>
      </c>
      <c r="K11" s="392">
        <v>6.0697578357144248</v>
      </c>
      <c r="L11" s="392">
        <v>6.0697578357144248</v>
      </c>
      <c r="M11" s="392">
        <v>6.0697578357144248</v>
      </c>
      <c r="N11" s="392"/>
    </row>
    <row r="12" spans="1:14" hidden="1" outlineLevel="2" x14ac:dyDescent="0.35">
      <c r="A12" s="388" t="s">
        <v>4028</v>
      </c>
      <c r="B12" s="389">
        <v>44222</v>
      </c>
      <c r="C12" s="390" t="s">
        <v>4029</v>
      </c>
      <c r="D12" s="391" t="s">
        <v>4036</v>
      </c>
      <c r="E12" s="391" t="s">
        <v>4031</v>
      </c>
      <c r="F12" s="392">
        <v>26100</v>
      </c>
      <c r="G12" s="393" t="s">
        <v>3800</v>
      </c>
      <c r="H12" s="394">
        <v>9.711612537143079</v>
      </c>
      <c r="I12" s="394"/>
      <c r="J12" s="392">
        <v>2.4279031342857698</v>
      </c>
      <c r="K12" s="392">
        <v>2.4279031342857698</v>
      </c>
      <c r="L12" s="392">
        <v>2.4279031342857698</v>
      </c>
      <c r="M12" s="392">
        <v>2.4279031342857698</v>
      </c>
      <c r="N12" s="392"/>
    </row>
    <row r="13" spans="1:14" hidden="1" outlineLevel="2" x14ac:dyDescent="0.35">
      <c r="A13" s="388" t="s">
        <v>4028</v>
      </c>
      <c r="B13" s="389">
        <v>44222</v>
      </c>
      <c r="C13" s="390" t="s">
        <v>4037</v>
      </c>
      <c r="D13" s="391" t="s">
        <v>4038</v>
      </c>
      <c r="E13" s="391" t="s">
        <v>4039</v>
      </c>
      <c r="F13" s="392">
        <v>26100</v>
      </c>
      <c r="G13" s="393" t="s">
        <v>3800</v>
      </c>
      <c r="H13" s="394">
        <v>9.711612537143079</v>
      </c>
      <c r="I13" s="394"/>
      <c r="J13" s="392">
        <v>2.4279031342857698</v>
      </c>
      <c r="K13" s="392">
        <v>2.4279031342857698</v>
      </c>
      <c r="L13" s="392">
        <v>2.4279031342857698</v>
      </c>
      <c r="M13" s="392">
        <v>2.4279031342857698</v>
      </c>
      <c r="N13" s="392"/>
    </row>
    <row r="14" spans="1:14" hidden="1" outlineLevel="2" x14ac:dyDescent="0.35">
      <c r="A14" s="388" t="s">
        <v>4028</v>
      </c>
      <c r="B14" s="389">
        <v>44222</v>
      </c>
      <c r="C14" s="390" t="s">
        <v>4040</v>
      </c>
      <c r="D14" s="391" t="s">
        <v>4041</v>
      </c>
      <c r="E14" s="391" t="s">
        <v>4042</v>
      </c>
      <c r="F14" s="392">
        <v>6525</v>
      </c>
      <c r="G14" s="393" t="s">
        <v>3800</v>
      </c>
      <c r="H14" s="394">
        <v>2.4279031342857698</v>
      </c>
      <c r="I14" s="394"/>
      <c r="J14" s="392">
        <v>0.60697578357144244</v>
      </c>
      <c r="K14" s="392">
        <v>0.60697578357144244</v>
      </c>
      <c r="L14" s="392">
        <v>0.60697578357144244</v>
      </c>
      <c r="M14" s="392">
        <v>0.60697578357144244</v>
      </c>
      <c r="N14" s="392"/>
    </row>
    <row r="15" spans="1:14" hidden="1" outlineLevel="2" x14ac:dyDescent="0.35">
      <c r="A15" s="388" t="s">
        <v>4028</v>
      </c>
      <c r="B15" s="389">
        <v>44259</v>
      </c>
      <c r="C15" s="390" t="s">
        <v>4043</v>
      </c>
      <c r="D15" s="391" t="s">
        <v>4044</v>
      </c>
      <c r="E15" s="391" t="s">
        <v>4031</v>
      </c>
      <c r="F15" s="392">
        <v>522000</v>
      </c>
      <c r="G15" s="393" t="s">
        <v>3800</v>
      </c>
      <c r="H15" s="394">
        <v>194.23225074286159</v>
      </c>
      <c r="I15" s="394"/>
      <c r="J15" s="392">
        <v>48.558062685715399</v>
      </c>
      <c r="K15" s="392">
        <v>48.558062685715399</v>
      </c>
      <c r="L15" s="392">
        <v>48.558062685715399</v>
      </c>
      <c r="M15" s="392">
        <v>48.558062685715399</v>
      </c>
      <c r="N15" s="392"/>
    </row>
    <row r="16" spans="1:14" hidden="1" outlineLevel="2" x14ac:dyDescent="0.35">
      <c r="A16" s="388" t="s">
        <v>4028</v>
      </c>
      <c r="B16" s="389">
        <v>44259</v>
      </c>
      <c r="C16" s="390" t="s">
        <v>4043</v>
      </c>
      <c r="D16" s="391" t="s">
        <v>4045</v>
      </c>
      <c r="E16" s="391" t="s">
        <v>4031</v>
      </c>
      <c r="F16" s="392">
        <v>78300</v>
      </c>
      <c r="G16" s="393" t="s">
        <v>3800</v>
      </c>
      <c r="H16" s="394">
        <v>29.134837611429237</v>
      </c>
      <c r="I16" s="394"/>
      <c r="J16" s="392">
        <v>7.2837094028573093</v>
      </c>
      <c r="K16" s="392">
        <v>7.2837094028573093</v>
      </c>
      <c r="L16" s="392">
        <v>7.2837094028573093</v>
      </c>
      <c r="M16" s="392">
        <v>7.2837094028573093</v>
      </c>
      <c r="N16" s="392"/>
    </row>
    <row r="17" spans="1:14" hidden="1" outlineLevel="2" x14ac:dyDescent="0.35">
      <c r="A17" s="388" t="s">
        <v>4028</v>
      </c>
      <c r="B17" s="389">
        <v>44259</v>
      </c>
      <c r="C17" s="390" t="s">
        <v>4043</v>
      </c>
      <c r="D17" s="391" t="s">
        <v>4046</v>
      </c>
      <c r="E17" s="391" t="s">
        <v>4035</v>
      </c>
      <c r="F17" s="392">
        <v>65250</v>
      </c>
      <c r="G17" s="393" t="s">
        <v>3800</v>
      </c>
      <c r="H17" s="394">
        <v>24.279031342857699</v>
      </c>
      <c r="I17" s="394"/>
      <c r="J17" s="392">
        <v>6.0697578357144248</v>
      </c>
      <c r="K17" s="392">
        <v>6.0697578357144248</v>
      </c>
      <c r="L17" s="392">
        <v>6.0697578357144248</v>
      </c>
      <c r="M17" s="392">
        <v>6.0697578357144248</v>
      </c>
      <c r="N17" s="392"/>
    </row>
    <row r="18" spans="1:14" hidden="1" outlineLevel="2" x14ac:dyDescent="0.35">
      <c r="A18" s="388" t="s">
        <v>4028</v>
      </c>
      <c r="B18" s="389">
        <v>44259</v>
      </c>
      <c r="C18" s="390" t="s">
        <v>4043</v>
      </c>
      <c r="D18" s="391" t="s">
        <v>4047</v>
      </c>
      <c r="E18" s="391" t="s">
        <v>4031</v>
      </c>
      <c r="F18" s="392">
        <v>26100</v>
      </c>
      <c r="G18" s="393" t="s">
        <v>3800</v>
      </c>
      <c r="H18" s="394">
        <v>9.711612537143079</v>
      </c>
      <c r="I18" s="394"/>
      <c r="J18" s="392">
        <v>2.4279031342857698</v>
      </c>
      <c r="K18" s="392">
        <v>2.4279031342857698</v>
      </c>
      <c r="L18" s="392">
        <v>2.4279031342857698</v>
      </c>
      <c r="M18" s="392">
        <v>2.4279031342857698</v>
      </c>
      <c r="N18" s="392"/>
    </row>
    <row r="19" spans="1:14" hidden="1" outlineLevel="2" x14ac:dyDescent="0.35">
      <c r="A19" s="388" t="s">
        <v>4028</v>
      </c>
      <c r="B19" s="389">
        <v>44259</v>
      </c>
      <c r="C19" s="390" t="s">
        <v>4048</v>
      </c>
      <c r="D19" s="391" t="s">
        <v>4049</v>
      </c>
      <c r="E19" s="391" t="s">
        <v>4039</v>
      </c>
      <c r="F19" s="392">
        <v>26100</v>
      </c>
      <c r="G19" s="393" t="s">
        <v>3800</v>
      </c>
      <c r="H19" s="394">
        <v>9.711612537143079</v>
      </c>
      <c r="I19" s="394"/>
      <c r="J19" s="392">
        <v>2.4279031342857698</v>
      </c>
      <c r="K19" s="392">
        <v>2.4279031342857698</v>
      </c>
      <c r="L19" s="392">
        <v>2.4279031342857698</v>
      </c>
      <c r="M19" s="392">
        <v>2.4279031342857698</v>
      </c>
      <c r="N19" s="392"/>
    </row>
    <row r="20" spans="1:14" hidden="1" outlineLevel="2" x14ac:dyDescent="0.35">
      <c r="A20" s="388" t="s">
        <v>4028</v>
      </c>
      <c r="B20" s="389">
        <v>44259</v>
      </c>
      <c r="C20" s="390" t="s">
        <v>4050</v>
      </c>
      <c r="D20" s="391" t="s">
        <v>4051</v>
      </c>
      <c r="E20" s="391" t="s">
        <v>4042</v>
      </c>
      <c r="F20" s="392">
        <v>6525</v>
      </c>
      <c r="G20" s="393" t="s">
        <v>3800</v>
      </c>
      <c r="H20" s="394">
        <v>2.4279031342857698</v>
      </c>
      <c r="I20" s="394"/>
      <c r="J20" s="392">
        <v>0.60697578357144244</v>
      </c>
      <c r="K20" s="392">
        <v>0.60697578357144244</v>
      </c>
      <c r="L20" s="392">
        <v>0.60697578357144244</v>
      </c>
      <c r="M20" s="392">
        <v>0.60697578357144244</v>
      </c>
      <c r="N20" s="392"/>
    </row>
    <row r="21" spans="1:14" hidden="1" outlineLevel="2" x14ac:dyDescent="0.35">
      <c r="A21" s="388" t="s">
        <v>4028</v>
      </c>
      <c r="B21" s="389">
        <v>44284</v>
      </c>
      <c r="C21" s="390" t="s">
        <v>4052</v>
      </c>
      <c r="D21" s="391" t="s">
        <v>4053</v>
      </c>
      <c r="E21" s="391" t="s">
        <v>4031</v>
      </c>
      <c r="F21" s="392">
        <v>522000</v>
      </c>
      <c r="G21" s="393" t="s">
        <v>3800</v>
      </c>
      <c r="H21" s="394">
        <v>194.23225074286159</v>
      </c>
      <c r="I21" s="394"/>
      <c r="J21" s="392">
        <v>48.558062685715399</v>
      </c>
      <c r="K21" s="392">
        <v>48.558062685715399</v>
      </c>
      <c r="L21" s="392">
        <v>48.558062685715399</v>
      </c>
      <c r="M21" s="392">
        <v>48.558062685715399</v>
      </c>
      <c r="N21" s="392"/>
    </row>
    <row r="22" spans="1:14" hidden="1" outlineLevel="2" x14ac:dyDescent="0.35">
      <c r="A22" s="388" t="s">
        <v>4028</v>
      </c>
      <c r="B22" s="389">
        <v>44284</v>
      </c>
      <c r="C22" s="390" t="s">
        <v>4052</v>
      </c>
      <c r="D22" s="391" t="s">
        <v>4054</v>
      </c>
      <c r="E22" s="391" t="s">
        <v>4031</v>
      </c>
      <c r="F22" s="392">
        <v>78300</v>
      </c>
      <c r="G22" s="393" t="s">
        <v>3800</v>
      </c>
      <c r="H22" s="394">
        <v>29.134837611429237</v>
      </c>
      <c r="I22" s="394"/>
      <c r="J22" s="392">
        <v>7.2837094028573093</v>
      </c>
      <c r="K22" s="392">
        <v>7.2837094028573093</v>
      </c>
      <c r="L22" s="392">
        <v>7.2837094028573093</v>
      </c>
      <c r="M22" s="392">
        <v>7.2837094028573093</v>
      </c>
      <c r="N22" s="392"/>
    </row>
    <row r="23" spans="1:14" hidden="1" outlineLevel="2" x14ac:dyDescent="0.35">
      <c r="A23" s="388" t="s">
        <v>4028</v>
      </c>
      <c r="B23" s="389">
        <v>44284</v>
      </c>
      <c r="C23" s="390" t="s">
        <v>4055</v>
      </c>
      <c r="D23" s="391" t="s">
        <v>4056</v>
      </c>
      <c r="E23" s="391" t="s">
        <v>4035</v>
      </c>
      <c r="F23" s="392">
        <v>65250</v>
      </c>
      <c r="G23" s="393" t="s">
        <v>3800</v>
      </c>
      <c r="H23" s="394">
        <v>24.279031342857699</v>
      </c>
      <c r="I23" s="394"/>
      <c r="J23" s="392">
        <v>6.0697578357144248</v>
      </c>
      <c r="K23" s="392">
        <v>6.0697578357144248</v>
      </c>
      <c r="L23" s="392">
        <v>6.0697578357144248</v>
      </c>
      <c r="M23" s="392">
        <v>6.0697578357144248</v>
      </c>
      <c r="N23" s="392"/>
    </row>
    <row r="24" spans="1:14" hidden="1" outlineLevel="2" collapsed="1" x14ac:dyDescent="0.35">
      <c r="A24" s="388" t="s">
        <v>4028</v>
      </c>
      <c r="B24" s="389">
        <v>44284</v>
      </c>
      <c r="C24" s="390" t="s">
        <v>4052</v>
      </c>
      <c r="D24" s="391" t="s">
        <v>4057</v>
      </c>
      <c r="E24" s="391" t="s">
        <v>4031</v>
      </c>
      <c r="F24" s="392">
        <v>26100</v>
      </c>
      <c r="G24" s="393" t="s">
        <v>3800</v>
      </c>
      <c r="H24" s="394">
        <v>9.711612537143079</v>
      </c>
      <c r="I24" s="394"/>
      <c r="J24" s="392">
        <v>2.4279031342857698</v>
      </c>
      <c r="K24" s="392">
        <v>2.4279031342857698</v>
      </c>
      <c r="L24" s="392">
        <v>2.4279031342857698</v>
      </c>
      <c r="M24" s="392">
        <v>2.4279031342857698</v>
      </c>
      <c r="N24" s="392"/>
    </row>
    <row r="25" spans="1:14" hidden="1" outlineLevel="2" x14ac:dyDescent="0.35">
      <c r="A25" s="388" t="s">
        <v>4028</v>
      </c>
      <c r="B25" s="389">
        <v>44284</v>
      </c>
      <c r="C25" s="390" t="s">
        <v>4058</v>
      </c>
      <c r="D25" s="391" t="s">
        <v>4059</v>
      </c>
      <c r="E25" s="391" t="s">
        <v>4039</v>
      </c>
      <c r="F25" s="392">
        <v>26100</v>
      </c>
      <c r="G25" s="393" t="s">
        <v>3800</v>
      </c>
      <c r="H25" s="394">
        <v>9.711612537143079</v>
      </c>
      <c r="I25" s="394"/>
      <c r="J25" s="392">
        <v>2.4279031342857698</v>
      </c>
      <c r="K25" s="392">
        <v>2.4279031342857698</v>
      </c>
      <c r="L25" s="392">
        <v>2.4279031342857698</v>
      </c>
      <c r="M25" s="392">
        <v>2.4279031342857698</v>
      </c>
      <c r="N25" s="392"/>
    </row>
    <row r="26" spans="1:14" hidden="1" outlineLevel="2" collapsed="1" x14ac:dyDescent="0.35">
      <c r="A26" s="388" t="s">
        <v>4028</v>
      </c>
      <c r="B26" s="389">
        <v>44284</v>
      </c>
      <c r="C26" s="390" t="s">
        <v>4060</v>
      </c>
      <c r="D26" s="391" t="s">
        <v>4061</v>
      </c>
      <c r="E26" s="391" t="s">
        <v>4042</v>
      </c>
      <c r="F26" s="392">
        <v>6525</v>
      </c>
      <c r="G26" s="393" t="s">
        <v>3800</v>
      </c>
      <c r="H26" s="394">
        <v>2.4279031342857698</v>
      </c>
      <c r="I26" s="394"/>
      <c r="J26" s="392">
        <v>0.60697578357144244</v>
      </c>
      <c r="K26" s="392">
        <v>0.60697578357144244</v>
      </c>
      <c r="L26" s="392">
        <v>0.60697578357144244</v>
      </c>
      <c r="M26" s="392">
        <v>0.60697578357144244</v>
      </c>
      <c r="N26" s="392"/>
    </row>
    <row r="27" spans="1:14" hidden="1" outlineLevel="2" x14ac:dyDescent="0.35">
      <c r="A27" s="388" t="s">
        <v>4028</v>
      </c>
      <c r="B27" s="389">
        <v>44315</v>
      </c>
      <c r="C27" s="390" t="s">
        <v>4062</v>
      </c>
      <c r="D27" s="391" t="s">
        <v>4063</v>
      </c>
      <c r="E27" s="391" t="s">
        <v>4031</v>
      </c>
      <c r="F27" s="392">
        <v>522000</v>
      </c>
      <c r="G27" s="393" t="s">
        <v>3800</v>
      </c>
      <c r="H27" s="394">
        <v>194.23225074286159</v>
      </c>
      <c r="I27" s="394"/>
      <c r="J27" s="392">
        <v>48.558062685715399</v>
      </c>
      <c r="K27" s="392">
        <v>48.558062685715399</v>
      </c>
      <c r="L27" s="392">
        <v>48.558062685715399</v>
      </c>
      <c r="M27" s="392">
        <v>48.558062685715399</v>
      </c>
      <c r="N27" s="392"/>
    </row>
    <row r="28" spans="1:14" hidden="1" outlineLevel="2" x14ac:dyDescent="0.35">
      <c r="A28" s="388" t="s">
        <v>4028</v>
      </c>
      <c r="B28" s="389">
        <v>44315</v>
      </c>
      <c r="C28" s="390" t="s">
        <v>4062</v>
      </c>
      <c r="D28" s="391" t="s">
        <v>4064</v>
      </c>
      <c r="E28" s="391" t="s">
        <v>4031</v>
      </c>
      <c r="F28" s="392">
        <v>78300</v>
      </c>
      <c r="G28" s="393" t="s">
        <v>3800</v>
      </c>
      <c r="H28" s="394">
        <v>29.134837611429237</v>
      </c>
      <c r="I28" s="394"/>
      <c r="J28" s="392">
        <v>7.2837094028573093</v>
      </c>
      <c r="K28" s="392">
        <v>7.2837094028573093</v>
      </c>
      <c r="L28" s="392">
        <v>7.2837094028573093</v>
      </c>
      <c r="M28" s="392">
        <v>7.2837094028573093</v>
      </c>
      <c r="N28" s="392"/>
    </row>
    <row r="29" spans="1:14" hidden="1" outlineLevel="2" collapsed="1" x14ac:dyDescent="0.35">
      <c r="A29" s="388" t="s">
        <v>4028</v>
      </c>
      <c r="B29" s="389">
        <v>44315</v>
      </c>
      <c r="C29" s="390" t="s">
        <v>4065</v>
      </c>
      <c r="D29" s="391" t="s">
        <v>4066</v>
      </c>
      <c r="E29" s="391" t="s">
        <v>4035</v>
      </c>
      <c r="F29" s="392">
        <v>65250</v>
      </c>
      <c r="G29" s="393" t="s">
        <v>3800</v>
      </c>
      <c r="H29" s="394">
        <v>24.279031342857699</v>
      </c>
      <c r="I29" s="394"/>
      <c r="J29" s="392">
        <v>6.0697578357144248</v>
      </c>
      <c r="K29" s="392">
        <v>6.0697578357144248</v>
      </c>
      <c r="L29" s="392">
        <v>6.0697578357144248</v>
      </c>
      <c r="M29" s="392">
        <v>6.0697578357144248</v>
      </c>
      <c r="N29" s="392"/>
    </row>
    <row r="30" spans="1:14" hidden="1" outlineLevel="2" x14ac:dyDescent="0.35">
      <c r="A30" s="388" t="s">
        <v>4028</v>
      </c>
      <c r="B30" s="389">
        <v>44315</v>
      </c>
      <c r="C30" s="390" t="s">
        <v>4062</v>
      </c>
      <c r="D30" s="391" t="s">
        <v>4067</v>
      </c>
      <c r="E30" s="391" t="s">
        <v>4031</v>
      </c>
      <c r="F30" s="392">
        <v>26100</v>
      </c>
      <c r="G30" s="393" t="s">
        <v>3800</v>
      </c>
      <c r="H30" s="394">
        <v>9.711612537143079</v>
      </c>
      <c r="I30" s="394"/>
      <c r="J30" s="392">
        <v>2.4279031342857698</v>
      </c>
      <c r="K30" s="392">
        <v>2.4279031342857698</v>
      </c>
      <c r="L30" s="392">
        <v>2.4279031342857698</v>
      </c>
      <c r="M30" s="392">
        <v>2.4279031342857698</v>
      </c>
      <c r="N30" s="392"/>
    </row>
    <row r="31" spans="1:14" hidden="1" outlineLevel="2" x14ac:dyDescent="0.35">
      <c r="A31" s="388" t="s">
        <v>4028</v>
      </c>
      <c r="B31" s="389">
        <v>44315</v>
      </c>
      <c r="C31" s="390" t="s">
        <v>4068</v>
      </c>
      <c r="D31" s="391" t="s">
        <v>4069</v>
      </c>
      <c r="E31" s="391" t="s">
        <v>4039</v>
      </c>
      <c r="F31" s="392">
        <v>26100</v>
      </c>
      <c r="G31" s="393" t="s">
        <v>3800</v>
      </c>
      <c r="H31" s="394">
        <v>9.711612537143079</v>
      </c>
      <c r="I31" s="394"/>
      <c r="J31" s="392">
        <v>2.4279031342857698</v>
      </c>
      <c r="K31" s="392">
        <v>2.4279031342857698</v>
      </c>
      <c r="L31" s="392">
        <v>2.4279031342857698</v>
      </c>
      <c r="M31" s="392">
        <v>2.4279031342857698</v>
      </c>
      <c r="N31" s="392"/>
    </row>
    <row r="32" spans="1:14" hidden="1" outlineLevel="2" collapsed="1" x14ac:dyDescent="0.35">
      <c r="A32" s="388" t="s">
        <v>4028</v>
      </c>
      <c r="B32" s="389">
        <v>44315</v>
      </c>
      <c r="C32" s="390" t="s">
        <v>4070</v>
      </c>
      <c r="D32" s="391" t="s">
        <v>4071</v>
      </c>
      <c r="E32" s="391" t="s">
        <v>4042</v>
      </c>
      <c r="F32" s="392">
        <v>6525</v>
      </c>
      <c r="G32" s="393" t="s">
        <v>3800</v>
      </c>
      <c r="H32" s="394">
        <v>2.4279031342857698</v>
      </c>
      <c r="I32" s="394"/>
      <c r="J32" s="392">
        <v>0.60697578357144244</v>
      </c>
      <c r="K32" s="392">
        <v>0.60697578357144244</v>
      </c>
      <c r="L32" s="392">
        <v>0.60697578357144244</v>
      </c>
      <c r="M32" s="392">
        <v>0.60697578357144244</v>
      </c>
      <c r="N32" s="392"/>
    </row>
    <row r="33" spans="1:14" hidden="1" outlineLevel="2" x14ac:dyDescent="0.35">
      <c r="A33" s="388" t="s">
        <v>4028</v>
      </c>
      <c r="B33" s="389">
        <v>44342</v>
      </c>
      <c r="C33" s="390" t="s">
        <v>4072</v>
      </c>
      <c r="D33" s="391" t="s">
        <v>4073</v>
      </c>
      <c r="E33" s="391" t="s">
        <v>4031</v>
      </c>
      <c r="F33" s="392">
        <v>522000</v>
      </c>
      <c r="G33" s="393" t="s">
        <v>3800</v>
      </c>
      <c r="H33" s="394">
        <v>194.23225074286159</v>
      </c>
      <c r="I33" s="394"/>
      <c r="J33" s="392">
        <v>48.558062685715399</v>
      </c>
      <c r="K33" s="392">
        <v>48.558062685715399</v>
      </c>
      <c r="L33" s="392">
        <v>48.558062685715399</v>
      </c>
      <c r="M33" s="392">
        <v>48.558062685715399</v>
      </c>
      <c r="N33" s="392"/>
    </row>
    <row r="34" spans="1:14" hidden="1" outlineLevel="2" x14ac:dyDescent="0.35">
      <c r="A34" s="388" t="s">
        <v>4028</v>
      </c>
      <c r="B34" s="389">
        <v>44342</v>
      </c>
      <c r="C34" s="390" t="s">
        <v>4072</v>
      </c>
      <c r="D34" s="391" t="s">
        <v>4074</v>
      </c>
      <c r="E34" s="391" t="s">
        <v>4031</v>
      </c>
      <c r="F34" s="392">
        <v>78300</v>
      </c>
      <c r="G34" s="393" t="s">
        <v>3800</v>
      </c>
      <c r="H34" s="394">
        <v>29.134837611429237</v>
      </c>
      <c r="I34" s="394"/>
      <c r="J34" s="392">
        <v>7.2837094028573093</v>
      </c>
      <c r="K34" s="392">
        <v>7.2837094028573093</v>
      </c>
      <c r="L34" s="392">
        <v>7.2837094028573093</v>
      </c>
      <c r="M34" s="392">
        <v>7.2837094028573093</v>
      </c>
      <c r="N34" s="392"/>
    </row>
    <row r="35" spans="1:14" hidden="1" outlineLevel="2" x14ac:dyDescent="0.35">
      <c r="A35" s="388" t="s">
        <v>4028</v>
      </c>
      <c r="B35" s="389">
        <v>44342</v>
      </c>
      <c r="C35" s="390" t="s">
        <v>4075</v>
      </c>
      <c r="D35" s="391" t="s">
        <v>4076</v>
      </c>
      <c r="E35" s="391" t="s">
        <v>4035</v>
      </c>
      <c r="F35" s="392">
        <v>65250</v>
      </c>
      <c r="G35" s="393" t="s">
        <v>3800</v>
      </c>
      <c r="H35" s="394">
        <v>24.279031342857699</v>
      </c>
      <c r="I35" s="394"/>
      <c r="J35" s="392">
        <v>6.0697578357144248</v>
      </c>
      <c r="K35" s="392">
        <v>6.0697578357144248</v>
      </c>
      <c r="L35" s="392">
        <v>6.0697578357144248</v>
      </c>
      <c r="M35" s="392">
        <v>6.0697578357144248</v>
      </c>
      <c r="N35" s="392"/>
    </row>
    <row r="36" spans="1:14" hidden="1" outlineLevel="2" x14ac:dyDescent="0.35">
      <c r="A36" s="388" t="s">
        <v>4028</v>
      </c>
      <c r="B36" s="389">
        <v>44342</v>
      </c>
      <c r="C36" s="390" t="s">
        <v>4072</v>
      </c>
      <c r="D36" s="391" t="s">
        <v>4077</v>
      </c>
      <c r="E36" s="391" t="s">
        <v>4031</v>
      </c>
      <c r="F36" s="392">
        <v>26100</v>
      </c>
      <c r="G36" s="393" t="s">
        <v>3800</v>
      </c>
      <c r="H36" s="394">
        <v>9.711612537143079</v>
      </c>
      <c r="I36" s="394"/>
      <c r="J36" s="392">
        <v>2.4279031342857698</v>
      </c>
      <c r="K36" s="392">
        <v>2.4279031342857698</v>
      </c>
      <c r="L36" s="392">
        <v>2.4279031342857698</v>
      </c>
      <c r="M36" s="392">
        <v>2.4279031342857698</v>
      </c>
      <c r="N36" s="392"/>
    </row>
    <row r="37" spans="1:14" hidden="1" outlineLevel="2" x14ac:dyDescent="0.35">
      <c r="A37" s="388" t="s">
        <v>4028</v>
      </c>
      <c r="B37" s="389">
        <v>44342</v>
      </c>
      <c r="C37" s="390" t="s">
        <v>4078</v>
      </c>
      <c r="D37" s="391" t="s">
        <v>4079</v>
      </c>
      <c r="E37" s="391" t="s">
        <v>4039</v>
      </c>
      <c r="F37" s="392">
        <v>26100</v>
      </c>
      <c r="G37" s="393" t="s">
        <v>3800</v>
      </c>
      <c r="H37" s="394">
        <v>9.711612537143079</v>
      </c>
      <c r="I37" s="394"/>
      <c r="J37" s="392">
        <v>2.4279031342857698</v>
      </c>
      <c r="K37" s="392">
        <v>2.4279031342857698</v>
      </c>
      <c r="L37" s="392">
        <v>2.4279031342857698</v>
      </c>
      <c r="M37" s="392">
        <v>2.4279031342857698</v>
      </c>
      <c r="N37" s="392"/>
    </row>
    <row r="38" spans="1:14" hidden="1" outlineLevel="2" x14ac:dyDescent="0.35">
      <c r="A38" s="388" t="s">
        <v>4028</v>
      </c>
      <c r="B38" s="389">
        <v>44342</v>
      </c>
      <c r="C38" s="390" t="s">
        <v>4080</v>
      </c>
      <c r="D38" s="391" t="s">
        <v>4081</v>
      </c>
      <c r="E38" s="391" t="s">
        <v>4042</v>
      </c>
      <c r="F38" s="392">
        <v>6525</v>
      </c>
      <c r="G38" s="393" t="s">
        <v>3800</v>
      </c>
      <c r="H38" s="394">
        <v>2.4279031342857698</v>
      </c>
      <c r="I38" s="394"/>
      <c r="J38" s="392">
        <v>0.60697578357144244</v>
      </c>
      <c r="K38" s="392">
        <v>0.60697578357144244</v>
      </c>
      <c r="L38" s="392">
        <v>0.60697578357144244</v>
      </c>
      <c r="M38" s="392">
        <v>0.60697578357144244</v>
      </c>
      <c r="N38" s="392"/>
    </row>
    <row r="39" spans="1:14" hidden="1" outlineLevel="2" x14ac:dyDescent="0.35">
      <c r="A39" s="388" t="s">
        <v>4028</v>
      </c>
      <c r="B39" s="389">
        <v>44376</v>
      </c>
      <c r="C39" s="390" t="s">
        <v>4082</v>
      </c>
      <c r="D39" s="391" t="s">
        <v>4083</v>
      </c>
      <c r="E39" s="391" t="s">
        <v>4031</v>
      </c>
      <c r="F39" s="392">
        <v>522000</v>
      </c>
      <c r="G39" s="393" t="s">
        <v>3800</v>
      </c>
      <c r="H39" s="394">
        <v>194.23225074286159</v>
      </c>
      <c r="I39" s="394"/>
      <c r="J39" s="392">
        <v>48.558062685715399</v>
      </c>
      <c r="K39" s="392">
        <v>48.558062685715399</v>
      </c>
      <c r="L39" s="392">
        <v>48.558062685715399</v>
      </c>
      <c r="M39" s="392">
        <v>48.558062685715399</v>
      </c>
      <c r="N39" s="392"/>
    </row>
    <row r="40" spans="1:14" hidden="1" outlineLevel="2" x14ac:dyDescent="0.35">
      <c r="A40" s="388" t="s">
        <v>4028</v>
      </c>
      <c r="B40" s="389">
        <v>44376</v>
      </c>
      <c r="C40" s="390" t="s">
        <v>4082</v>
      </c>
      <c r="D40" s="391" t="s">
        <v>4084</v>
      </c>
      <c r="E40" s="391" t="s">
        <v>4031</v>
      </c>
      <c r="F40" s="392">
        <v>78300</v>
      </c>
      <c r="G40" s="393" t="s">
        <v>3800</v>
      </c>
      <c r="H40" s="394">
        <v>29.134837611429237</v>
      </c>
      <c r="I40" s="394"/>
      <c r="J40" s="392">
        <v>7.2837094028573093</v>
      </c>
      <c r="K40" s="392">
        <v>7.2837094028573093</v>
      </c>
      <c r="L40" s="392">
        <v>7.2837094028573093</v>
      </c>
      <c r="M40" s="392">
        <v>7.2837094028573093</v>
      </c>
      <c r="N40" s="392"/>
    </row>
    <row r="41" spans="1:14" hidden="1" outlineLevel="2" x14ac:dyDescent="0.35">
      <c r="A41" s="388" t="s">
        <v>4028</v>
      </c>
      <c r="B41" s="389">
        <v>44376</v>
      </c>
      <c r="C41" s="390" t="s">
        <v>4085</v>
      </c>
      <c r="D41" s="391" t="s">
        <v>4086</v>
      </c>
      <c r="E41" s="391" t="s">
        <v>4035</v>
      </c>
      <c r="F41" s="392">
        <v>65250</v>
      </c>
      <c r="G41" s="393" t="s">
        <v>3800</v>
      </c>
      <c r="H41" s="394">
        <v>24.279031342857699</v>
      </c>
      <c r="I41" s="394"/>
      <c r="J41" s="392">
        <v>6.0697578357144248</v>
      </c>
      <c r="K41" s="392">
        <v>6.0697578357144248</v>
      </c>
      <c r="L41" s="392">
        <v>6.0697578357144248</v>
      </c>
      <c r="M41" s="392">
        <v>6.0697578357144248</v>
      </c>
      <c r="N41" s="392"/>
    </row>
    <row r="42" spans="1:14" hidden="1" outlineLevel="2" x14ac:dyDescent="0.35">
      <c r="A42" s="388" t="s">
        <v>4028</v>
      </c>
      <c r="B42" s="389">
        <v>44376</v>
      </c>
      <c r="C42" s="390" t="s">
        <v>4082</v>
      </c>
      <c r="D42" s="391" t="s">
        <v>4087</v>
      </c>
      <c r="E42" s="391" t="s">
        <v>4031</v>
      </c>
      <c r="F42" s="392">
        <v>26100</v>
      </c>
      <c r="G42" s="393" t="s">
        <v>3800</v>
      </c>
      <c r="H42" s="394">
        <v>9.711612537143079</v>
      </c>
      <c r="I42" s="394"/>
      <c r="J42" s="392">
        <v>2.4279031342857698</v>
      </c>
      <c r="K42" s="392">
        <v>2.4279031342857698</v>
      </c>
      <c r="L42" s="392">
        <v>2.4279031342857698</v>
      </c>
      <c r="M42" s="392">
        <v>2.4279031342857698</v>
      </c>
      <c r="N42" s="392"/>
    </row>
    <row r="43" spans="1:14" hidden="1" outlineLevel="2" x14ac:dyDescent="0.35">
      <c r="A43" s="388" t="s">
        <v>4028</v>
      </c>
      <c r="B43" s="389">
        <v>44376</v>
      </c>
      <c r="C43" s="390" t="s">
        <v>4088</v>
      </c>
      <c r="D43" s="391" t="s">
        <v>4089</v>
      </c>
      <c r="E43" s="391" t="s">
        <v>4039</v>
      </c>
      <c r="F43" s="392">
        <v>26100</v>
      </c>
      <c r="G43" s="393" t="s">
        <v>3800</v>
      </c>
      <c r="H43" s="394">
        <v>9.711612537143079</v>
      </c>
      <c r="I43" s="394"/>
      <c r="J43" s="392">
        <v>2.4279031342857698</v>
      </c>
      <c r="K43" s="392">
        <v>2.4279031342857698</v>
      </c>
      <c r="L43" s="392">
        <v>2.4279031342857698</v>
      </c>
      <c r="M43" s="392">
        <v>2.4279031342857698</v>
      </c>
      <c r="N43" s="392"/>
    </row>
    <row r="44" spans="1:14" hidden="1" outlineLevel="2" x14ac:dyDescent="0.35">
      <c r="A44" s="388" t="s">
        <v>4028</v>
      </c>
      <c r="B44" s="389">
        <v>44376</v>
      </c>
      <c r="C44" s="390" t="s">
        <v>4090</v>
      </c>
      <c r="D44" s="391" t="s">
        <v>4091</v>
      </c>
      <c r="E44" s="391" t="s">
        <v>4042</v>
      </c>
      <c r="F44" s="392">
        <v>6525</v>
      </c>
      <c r="G44" s="393" t="s">
        <v>3800</v>
      </c>
      <c r="H44" s="394">
        <v>2.4279031342857698</v>
      </c>
      <c r="I44" s="394"/>
      <c r="J44" s="392">
        <v>0.60697578357144244</v>
      </c>
      <c r="K44" s="392">
        <v>0.60697578357144244</v>
      </c>
      <c r="L44" s="392">
        <v>0.60697578357144244</v>
      </c>
      <c r="M44" s="392">
        <v>0.60697578357144244</v>
      </c>
      <c r="N44" s="392"/>
    </row>
    <row r="45" spans="1:14" hidden="1" outlineLevel="2" x14ac:dyDescent="0.35">
      <c r="A45" s="388" t="s">
        <v>4028</v>
      </c>
      <c r="B45" s="389">
        <v>44407</v>
      </c>
      <c r="C45" s="390" t="s">
        <v>4092</v>
      </c>
      <c r="D45" s="391" t="s">
        <v>4093</v>
      </c>
      <c r="E45" s="391" t="s">
        <v>4031</v>
      </c>
      <c r="F45" s="392">
        <v>522000</v>
      </c>
      <c r="G45" s="393" t="s">
        <v>3800</v>
      </c>
      <c r="H45" s="394">
        <v>194.23225074286159</v>
      </c>
      <c r="I45" s="394"/>
      <c r="J45" s="392">
        <v>48.558062685715399</v>
      </c>
      <c r="K45" s="392">
        <v>48.558062685715399</v>
      </c>
      <c r="L45" s="392">
        <v>48.558062685715399</v>
      </c>
      <c r="M45" s="392">
        <v>48.558062685715399</v>
      </c>
      <c r="N45" s="392"/>
    </row>
    <row r="46" spans="1:14" hidden="1" outlineLevel="2" x14ac:dyDescent="0.35">
      <c r="A46" s="388" t="s">
        <v>4028</v>
      </c>
      <c r="B46" s="389">
        <v>44407</v>
      </c>
      <c r="C46" s="390" t="s">
        <v>4092</v>
      </c>
      <c r="D46" s="391" t="s">
        <v>4094</v>
      </c>
      <c r="E46" s="391" t="s">
        <v>4031</v>
      </c>
      <c r="F46" s="392">
        <v>78300</v>
      </c>
      <c r="G46" s="393" t="s">
        <v>3800</v>
      </c>
      <c r="H46" s="394">
        <v>29.134837611429237</v>
      </c>
      <c r="I46" s="394"/>
      <c r="J46" s="392">
        <v>7.2837094028573093</v>
      </c>
      <c r="K46" s="392">
        <v>7.2837094028573093</v>
      </c>
      <c r="L46" s="392">
        <v>7.2837094028573093</v>
      </c>
      <c r="M46" s="392">
        <v>7.2837094028573093</v>
      </c>
      <c r="N46" s="392"/>
    </row>
    <row r="47" spans="1:14" hidden="1" outlineLevel="2" x14ac:dyDescent="0.35">
      <c r="A47" s="388" t="s">
        <v>4028</v>
      </c>
      <c r="B47" s="389">
        <v>44407</v>
      </c>
      <c r="C47" s="390" t="s">
        <v>4095</v>
      </c>
      <c r="D47" s="391" t="s">
        <v>4096</v>
      </c>
      <c r="E47" s="391" t="s">
        <v>4035</v>
      </c>
      <c r="F47" s="392">
        <v>65250</v>
      </c>
      <c r="G47" s="393" t="s">
        <v>3800</v>
      </c>
      <c r="H47" s="394">
        <v>24.279031342857699</v>
      </c>
      <c r="I47" s="394"/>
      <c r="J47" s="392">
        <v>6.0697578357144248</v>
      </c>
      <c r="K47" s="392">
        <v>6.0697578357144248</v>
      </c>
      <c r="L47" s="392">
        <v>6.0697578357144248</v>
      </c>
      <c r="M47" s="392">
        <v>6.0697578357144248</v>
      </c>
      <c r="N47" s="392"/>
    </row>
    <row r="48" spans="1:14" hidden="1" outlineLevel="2" x14ac:dyDescent="0.35">
      <c r="A48" s="388" t="s">
        <v>4028</v>
      </c>
      <c r="B48" s="389">
        <v>44407</v>
      </c>
      <c r="C48" s="390" t="s">
        <v>4062</v>
      </c>
      <c r="D48" s="391" t="s">
        <v>4097</v>
      </c>
      <c r="E48" s="391" t="s">
        <v>4031</v>
      </c>
      <c r="F48" s="392">
        <v>26100</v>
      </c>
      <c r="G48" s="393" t="s">
        <v>3800</v>
      </c>
      <c r="H48" s="394">
        <v>9.711612537143079</v>
      </c>
      <c r="I48" s="394"/>
      <c r="J48" s="392">
        <v>2.4279031342857698</v>
      </c>
      <c r="K48" s="392">
        <v>2.4279031342857698</v>
      </c>
      <c r="L48" s="392">
        <v>2.4279031342857698</v>
      </c>
      <c r="M48" s="392">
        <v>2.4279031342857698</v>
      </c>
      <c r="N48" s="392"/>
    </row>
    <row r="49" spans="1:14" hidden="1" outlineLevel="2" x14ac:dyDescent="0.35">
      <c r="A49" s="388" t="s">
        <v>4028</v>
      </c>
      <c r="B49" s="389">
        <v>44407</v>
      </c>
      <c r="C49" s="390" t="s">
        <v>4092</v>
      </c>
      <c r="D49" s="391" t="s">
        <v>4098</v>
      </c>
      <c r="E49" s="391" t="s">
        <v>4039</v>
      </c>
      <c r="F49" s="392">
        <v>26100</v>
      </c>
      <c r="G49" s="393" t="s">
        <v>3800</v>
      </c>
      <c r="H49" s="394">
        <v>9.711612537143079</v>
      </c>
      <c r="I49" s="394"/>
      <c r="J49" s="392">
        <v>2.4279031342857698</v>
      </c>
      <c r="K49" s="392">
        <v>2.4279031342857698</v>
      </c>
      <c r="L49" s="392">
        <v>2.4279031342857698</v>
      </c>
      <c r="M49" s="392">
        <v>2.4279031342857698</v>
      </c>
      <c r="N49" s="392"/>
    </row>
    <row r="50" spans="1:14" hidden="1" outlineLevel="2" x14ac:dyDescent="0.35">
      <c r="A50" s="388" t="s">
        <v>4028</v>
      </c>
      <c r="B50" s="389">
        <v>44407</v>
      </c>
      <c r="C50" s="390" t="s">
        <v>4099</v>
      </c>
      <c r="D50" s="391" t="s">
        <v>4100</v>
      </c>
      <c r="E50" s="391" t="s">
        <v>4042</v>
      </c>
      <c r="F50" s="392">
        <v>3915</v>
      </c>
      <c r="G50" s="393" t="s">
        <v>3800</v>
      </c>
      <c r="H50" s="394">
        <v>1.4567418805714618</v>
      </c>
      <c r="I50" s="394"/>
      <c r="J50" s="392">
        <v>0.36418547014286545</v>
      </c>
      <c r="K50" s="392">
        <v>0.36418547014286545</v>
      </c>
      <c r="L50" s="392">
        <v>0.36418547014286545</v>
      </c>
      <c r="M50" s="392">
        <v>0.36418547014286545</v>
      </c>
      <c r="N50" s="392"/>
    </row>
    <row r="51" spans="1:14" outlineLevel="1" collapsed="1" x14ac:dyDescent="0.35">
      <c r="A51" s="395" t="s">
        <v>4101</v>
      </c>
      <c r="B51" s="389"/>
      <c r="C51" s="390"/>
      <c r="D51" s="391"/>
      <c r="E51" s="391"/>
      <c r="F51" s="392"/>
      <c r="G51" s="393"/>
      <c r="H51" s="394">
        <f t="shared" ref="H51:N51" si="1">SUBTOTAL(9,H9:H50)</f>
        <v>1885.5095740863292</v>
      </c>
      <c r="I51" s="394"/>
      <c r="J51" s="392">
        <f t="shared" si="1"/>
        <v>471.37739352158229</v>
      </c>
      <c r="K51" s="392">
        <f t="shared" si="1"/>
        <v>471.37739352158229</v>
      </c>
      <c r="L51" s="392">
        <f t="shared" si="1"/>
        <v>471.37739352158229</v>
      </c>
      <c r="M51" s="392">
        <f t="shared" si="1"/>
        <v>471.37739352158229</v>
      </c>
      <c r="N51" s="392">
        <f t="shared" si="1"/>
        <v>0</v>
      </c>
    </row>
    <row r="52" spans="1:14" hidden="1" outlineLevel="2" x14ac:dyDescent="0.35">
      <c r="A52" s="388" t="s">
        <v>3895</v>
      </c>
      <c r="B52" s="389">
        <v>44427</v>
      </c>
      <c r="C52" s="390" t="s">
        <v>4102</v>
      </c>
      <c r="D52" s="391" t="s">
        <v>4103</v>
      </c>
      <c r="E52" s="391" t="s">
        <v>4104</v>
      </c>
      <c r="F52" s="392">
        <v>300000</v>
      </c>
      <c r="G52" s="393" t="s">
        <v>3800</v>
      </c>
      <c r="H52" s="394">
        <v>111.62773031198941</v>
      </c>
      <c r="I52" s="394"/>
      <c r="J52" s="392"/>
      <c r="K52" s="392">
        <v>111.62773031198941</v>
      </c>
      <c r="L52" s="392"/>
      <c r="M52" s="392"/>
      <c r="N52" s="392"/>
    </row>
    <row r="53" spans="1:14" ht="30" hidden="1" outlineLevel="2" x14ac:dyDescent="0.35">
      <c r="A53" s="388" t="s">
        <v>3895</v>
      </c>
      <c r="B53" s="389">
        <v>44427</v>
      </c>
      <c r="C53" s="390" t="s">
        <v>4105</v>
      </c>
      <c r="D53" s="391" t="s">
        <v>4106</v>
      </c>
      <c r="E53" s="391" t="s">
        <v>4107</v>
      </c>
      <c r="F53" s="392">
        <v>100000</v>
      </c>
      <c r="G53" s="393" t="s">
        <v>3800</v>
      </c>
      <c r="H53" s="394">
        <v>37.209243437329803</v>
      </c>
      <c r="I53" s="394"/>
      <c r="J53" s="392"/>
      <c r="K53" s="392">
        <v>37.209243437329803</v>
      </c>
      <c r="L53" s="392"/>
      <c r="M53" s="392"/>
      <c r="N53" s="392"/>
    </row>
    <row r="54" spans="1:14" hidden="1" outlineLevel="2" x14ac:dyDescent="0.35">
      <c r="A54" s="388" t="s">
        <v>3895</v>
      </c>
      <c r="B54" s="389">
        <v>44438</v>
      </c>
      <c r="C54" s="390" t="s">
        <v>4108</v>
      </c>
      <c r="D54" s="391" t="s">
        <v>4109</v>
      </c>
      <c r="E54" s="391" t="s">
        <v>4110</v>
      </c>
      <c r="F54" s="392">
        <v>300000</v>
      </c>
      <c r="G54" s="393" t="s">
        <v>3800</v>
      </c>
      <c r="H54" s="394">
        <v>111.62773031198941</v>
      </c>
      <c r="I54" s="394"/>
      <c r="J54" s="392"/>
      <c r="K54" s="392">
        <v>111.62773031198941</v>
      </c>
      <c r="L54" s="392"/>
      <c r="M54" s="392"/>
      <c r="N54" s="392"/>
    </row>
    <row r="55" spans="1:14" hidden="1" outlineLevel="2" x14ac:dyDescent="0.35">
      <c r="A55" s="388" t="s">
        <v>3895</v>
      </c>
      <c r="B55" s="389">
        <v>44438</v>
      </c>
      <c r="C55" s="390" t="s">
        <v>4111</v>
      </c>
      <c r="D55" s="391" t="s">
        <v>4112</v>
      </c>
      <c r="E55" s="391" t="s">
        <v>4113</v>
      </c>
      <c r="F55" s="392">
        <v>675000</v>
      </c>
      <c r="G55" s="393" t="s">
        <v>3800</v>
      </c>
      <c r="H55" s="394">
        <v>251.16239320197619</v>
      </c>
      <c r="I55" s="394"/>
      <c r="J55" s="392"/>
      <c r="K55" s="392">
        <v>251.16239320197619</v>
      </c>
      <c r="L55" s="392"/>
      <c r="M55" s="392"/>
      <c r="N55" s="392"/>
    </row>
    <row r="56" spans="1:14" hidden="1" outlineLevel="2" x14ac:dyDescent="0.35">
      <c r="A56" s="388" t="s">
        <v>3895</v>
      </c>
      <c r="B56" s="389">
        <v>44438</v>
      </c>
      <c r="C56" s="390" t="s">
        <v>4114</v>
      </c>
      <c r="D56" s="391" t="s">
        <v>4115</v>
      </c>
      <c r="E56" s="391" t="s">
        <v>4116</v>
      </c>
      <c r="F56" s="392">
        <v>160000</v>
      </c>
      <c r="G56" s="393" t="s">
        <v>3800</v>
      </c>
      <c r="H56" s="394">
        <v>59.534789499727687</v>
      </c>
      <c r="I56" s="394"/>
      <c r="J56" s="392"/>
      <c r="K56" s="392">
        <v>59.534789499727687</v>
      </c>
      <c r="L56" s="392"/>
      <c r="M56" s="392"/>
      <c r="N56" s="392"/>
    </row>
    <row r="57" spans="1:14" ht="30" hidden="1" outlineLevel="2" x14ac:dyDescent="0.35">
      <c r="A57" s="388" t="s">
        <v>3895</v>
      </c>
      <c r="B57" s="389">
        <v>44438</v>
      </c>
      <c r="C57" s="390" t="s">
        <v>4117</v>
      </c>
      <c r="D57" s="391" t="s">
        <v>4118</v>
      </c>
      <c r="E57" s="391" t="s">
        <v>4119</v>
      </c>
      <c r="F57" s="392">
        <v>30000</v>
      </c>
      <c r="G57" s="393" t="s">
        <v>3800</v>
      </c>
      <c r="H57" s="394">
        <v>11.162773031198942</v>
      </c>
      <c r="I57" s="394"/>
      <c r="J57" s="392"/>
      <c r="K57" s="392">
        <v>11.162773031198942</v>
      </c>
      <c r="L57" s="392"/>
      <c r="M57" s="392"/>
      <c r="N57" s="392"/>
    </row>
    <row r="58" spans="1:14" ht="30" hidden="1" outlineLevel="2" x14ac:dyDescent="0.35">
      <c r="A58" s="388" t="s">
        <v>3895</v>
      </c>
      <c r="B58" s="389">
        <v>44438</v>
      </c>
      <c r="C58" s="390" t="s">
        <v>4120</v>
      </c>
      <c r="D58" s="391" t="s">
        <v>4106</v>
      </c>
      <c r="E58" s="391" t="s">
        <v>4107</v>
      </c>
      <c r="F58" s="392">
        <v>100000</v>
      </c>
      <c r="G58" s="393" t="s">
        <v>3800</v>
      </c>
      <c r="H58" s="394">
        <v>37.209243437329803</v>
      </c>
      <c r="I58" s="394"/>
      <c r="J58" s="392"/>
      <c r="K58" s="392">
        <v>37.209243437329803</v>
      </c>
      <c r="L58" s="392"/>
      <c r="M58" s="392"/>
      <c r="N58" s="392"/>
    </row>
    <row r="59" spans="1:14" hidden="1" outlineLevel="2" x14ac:dyDescent="0.35">
      <c r="A59" s="388" t="s">
        <v>3895</v>
      </c>
      <c r="B59" s="389">
        <v>44452</v>
      </c>
      <c r="C59" s="390" t="s">
        <v>4121</v>
      </c>
      <c r="D59" s="391" t="s">
        <v>4122</v>
      </c>
      <c r="E59" s="391" t="s">
        <v>4123</v>
      </c>
      <c r="F59" s="392">
        <v>3410000</v>
      </c>
      <c r="G59" s="393" t="s">
        <v>3800</v>
      </c>
      <c r="H59" s="394">
        <v>1268.8352012129465</v>
      </c>
      <c r="I59" s="394"/>
      <c r="J59" s="392"/>
      <c r="K59" s="392">
        <v>1268.8352012129465</v>
      </c>
      <c r="L59" s="392"/>
      <c r="M59" s="392"/>
      <c r="N59" s="392"/>
    </row>
    <row r="60" spans="1:14" hidden="1" outlineLevel="2" x14ac:dyDescent="0.35">
      <c r="A60" s="388" t="s">
        <v>3895</v>
      </c>
      <c r="B60" s="389">
        <v>44438</v>
      </c>
      <c r="C60" s="390" t="s">
        <v>4124</v>
      </c>
      <c r="D60" s="391" t="s">
        <v>4125</v>
      </c>
      <c r="E60" s="391" t="s">
        <v>4110</v>
      </c>
      <c r="F60" s="392">
        <v>1850000</v>
      </c>
      <c r="G60" s="393" t="s">
        <v>3800</v>
      </c>
      <c r="H60" s="394">
        <v>688.37100359060139</v>
      </c>
      <c r="I60" s="394"/>
      <c r="J60" s="392"/>
      <c r="K60" s="392">
        <v>688.37100359060139</v>
      </c>
      <c r="L60" s="392"/>
      <c r="M60" s="392"/>
      <c r="N60" s="392"/>
    </row>
    <row r="61" spans="1:14" hidden="1" outlineLevel="2" x14ac:dyDescent="0.35">
      <c r="A61" s="388" t="s">
        <v>3895</v>
      </c>
      <c r="B61" s="389">
        <v>44467</v>
      </c>
      <c r="C61" s="390" t="s">
        <v>4126</v>
      </c>
      <c r="D61" s="391" t="s">
        <v>4127</v>
      </c>
      <c r="E61" s="391" t="s">
        <v>4128</v>
      </c>
      <c r="F61" s="392">
        <v>460000</v>
      </c>
      <c r="G61" s="393" t="s">
        <v>3800</v>
      </c>
      <c r="H61" s="394">
        <v>171.16251981171709</v>
      </c>
      <c r="I61" s="394"/>
      <c r="J61" s="392"/>
      <c r="K61" s="392">
        <v>171.16251981171709</v>
      </c>
      <c r="L61" s="392"/>
      <c r="M61" s="392"/>
      <c r="N61" s="392"/>
    </row>
    <row r="62" spans="1:14" hidden="1" outlineLevel="2" x14ac:dyDescent="0.35">
      <c r="A62" s="388" t="s">
        <v>3895</v>
      </c>
      <c r="B62" s="389">
        <v>44467</v>
      </c>
      <c r="C62" s="390" t="s">
        <v>4129</v>
      </c>
      <c r="D62" s="391" t="s">
        <v>4130</v>
      </c>
      <c r="E62" s="391" t="s">
        <v>4131</v>
      </c>
      <c r="F62" s="392">
        <v>4800000</v>
      </c>
      <c r="G62" s="393" t="s">
        <v>3800</v>
      </c>
      <c r="H62" s="394">
        <v>1786.0436849918306</v>
      </c>
      <c r="I62" s="394"/>
      <c r="J62" s="392"/>
      <c r="K62" s="392">
        <v>1786.0436849918306</v>
      </c>
      <c r="L62" s="392"/>
      <c r="M62" s="392"/>
      <c r="N62" s="392"/>
    </row>
    <row r="63" spans="1:14" ht="30" hidden="1" outlineLevel="2" x14ac:dyDescent="0.35">
      <c r="A63" s="388" t="s">
        <v>3895</v>
      </c>
      <c r="B63" s="389">
        <v>44481</v>
      </c>
      <c r="C63" s="390" t="s">
        <v>4132</v>
      </c>
      <c r="D63" s="391" t="s">
        <v>4133</v>
      </c>
      <c r="E63" s="391" t="s">
        <v>4134</v>
      </c>
      <c r="F63" s="392">
        <v>2926400</v>
      </c>
      <c r="G63" s="393" t="s">
        <v>3800</v>
      </c>
      <c r="H63" s="394">
        <v>1088.8912999500194</v>
      </c>
      <c r="I63" s="394"/>
      <c r="J63" s="392"/>
      <c r="K63" s="392">
        <v>1088.8912999500194</v>
      </c>
      <c r="L63" s="392"/>
      <c r="M63" s="392"/>
      <c r="N63" s="392"/>
    </row>
    <row r="64" spans="1:14" ht="30" hidden="1" outlineLevel="2" x14ac:dyDescent="0.35">
      <c r="A64" s="388" t="s">
        <v>3895</v>
      </c>
      <c r="B64" s="389">
        <v>44481</v>
      </c>
      <c r="C64" s="390" t="s">
        <v>4135</v>
      </c>
      <c r="D64" s="391" t="s">
        <v>4136</v>
      </c>
      <c r="E64" s="391" t="s">
        <v>4137</v>
      </c>
      <c r="F64" s="392">
        <v>317184</v>
      </c>
      <c r="G64" s="393" t="s">
        <v>3800</v>
      </c>
      <c r="H64" s="394">
        <v>118.02176670426017</v>
      </c>
      <c r="I64" s="394"/>
      <c r="J64" s="392"/>
      <c r="K64" s="392">
        <v>118.02176670426017</v>
      </c>
      <c r="L64" s="392"/>
      <c r="M64" s="392"/>
      <c r="N64" s="392"/>
    </row>
    <row r="65" spans="1:14" hidden="1" outlineLevel="2" x14ac:dyDescent="0.35">
      <c r="A65" s="388" t="s">
        <v>3895</v>
      </c>
      <c r="B65" s="389">
        <v>44530</v>
      </c>
      <c r="C65" s="390" t="s">
        <v>4138</v>
      </c>
      <c r="D65" s="391" t="s">
        <v>4139</v>
      </c>
      <c r="E65" s="391" t="s">
        <v>4140</v>
      </c>
      <c r="F65" s="392">
        <v>5022080</v>
      </c>
      <c r="G65" s="393" t="s">
        <v>3800</v>
      </c>
      <c r="H65" s="394">
        <v>1868.6779728174527</v>
      </c>
      <c r="I65" s="394"/>
      <c r="J65" s="392"/>
      <c r="K65" s="392">
        <v>1868.6779728174527</v>
      </c>
      <c r="L65" s="392"/>
      <c r="M65" s="392"/>
      <c r="N65" s="392"/>
    </row>
    <row r="66" spans="1:14" hidden="1" outlineLevel="2" x14ac:dyDescent="0.35">
      <c r="A66" s="388" t="s">
        <v>3895</v>
      </c>
      <c r="B66" s="389">
        <v>44553</v>
      </c>
      <c r="C66" s="390" t="s">
        <v>4141</v>
      </c>
      <c r="D66" s="391" t="s">
        <v>4142</v>
      </c>
      <c r="E66" s="391" t="s">
        <v>4143</v>
      </c>
      <c r="F66" s="392">
        <v>390000</v>
      </c>
      <c r="G66" s="393" t="s">
        <v>3800</v>
      </c>
      <c r="H66" s="394">
        <v>145.11604940558624</v>
      </c>
      <c r="I66" s="394"/>
      <c r="J66" s="392"/>
      <c r="K66" s="392">
        <v>145.11604940558624</v>
      </c>
      <c r="L66" s="392"/>
      <c r="M66" s="392"/>
      <c r="N66" s="392"/>
    </row>
    <row r="67" spans="1:14" outlineLevel="1" collapsed="1" x14ac:dyDescent="0.35">
      <c r="A67" s="395" t="s">
        <v>4144</v>
      </c>
      <c r="B67" s="389"/>
      <c r="C67" s="390"/>
      <c r="D67" s="391"/>
      <c r="E67" s="391"/>
      <c r="F67" s="392"/>
      <c r="G67" s="393"/>
      <c r="H67" s="394">
        <f t="shared" ref="H67:N67" si="2">SUBTOTAL(9,H52:H66)</f>
        <v>7754.6534017159556</v>
      </c>
      <c r="I67" s="394"/>
      <c r="J67" s="392">
        <f t="shared" si="2"/>
        <v>0</v>
      </c>
      <c r="K67" s="392">
        <f t="shared" si="2"/>
        <v>7754.6534017159556</v>
      </c>
      <c r="L67" s="392">
        <f t="shared" si="2"/>
        <v>0</v>
      </c>
      <c r="M67" s="392">
        <f t="shared" si="2"/>
        <v>0</v>
      </c>
      <c r="N67" s="392">
        <f t="shared" si="2"/>
        <v>0</v>
      </c>
    </row>
    <row r="68" spans="1:14" hidden="1" outlineLevel="2" x14ac:dyDescent="0.35">
      <c r="A68" s="388" t="s">
        <v>3893</v>
      </c>
      <c r="B68" s="389">
        <v>43963</v>
      </c>
      <c r="C68" s="390" t="s">
        <v>4145</v>
      </c>
      <c r="D68" s="391" t="s">
        <v>4146</v>
      </c>
      <c r="E68" s="391" t="s">
        <v>4147</v>
      </c>
      <c r="F68" s="392">
        <v>10000000</v>
      </c>
      <c r="G68" s="393" t="s">
        <v>3800</v>
      </c>
      <c r="H68" s="394">
        <v>3839.5657583874331</v>
      </c>
      <c r="I68" s="394"/>
      <c r="J68" s="392"/>
      <c r="K68" s="392">
        <v>3839.5657583874331</v>
      </c>
      <c r="L68" s="392"/>
      <c r="M68" s="392"/>
      <c r="N68" s="392"/>
    </row>
    <row r="69" spans="1:14" outlineLevel="1" collapsed="1" x14ac:dyDescent="0.35">
      <c r="A69" s="395" t="s">
        <v>4148</v>
      </c>
      <c r="B69" s="389"/>
      <c r="C69" s="390"/>
      <c r="D69" s="391"/>
      <c r="E69" s="391"/>
      <c r="F69" s="392"/>
      <c r="G69" s="393"/>
      <c r="H69" s="394">
        <f t="shared" ref="H69:N69" si="3">SUBTOTAL(9,H68:H68)</f>
        <v>3839.5657583874331</v>
      </c>
      <c r="I69" s="394"/>
      <c r="J69" s="392">
        <f t="shared" si="3"/>
        <v>0</v>
      </c>
      <c r="K69" s="392">
        <f t="shared" si="3"/>
        <v>3839.5657583874331</v>
      </c>
      <c r="L69" s="392">
        <f t="shared" si="3"/>
        <v>0</v>
      </c>
      <c r="M69" s="392">
        <f t="shared" si="3"/>
        <v>0</v>
      </c>
      <c r="N69" s="392">
        <f t="shared" si="3"/>
        <v>0</v>
      </c>
    </row>
    <row r="70" spans="1:14" hidden="1" outlineLevel="2" x14ac:dyDescent="0.35">
      <c r="A70" s="388" t="s">
        <v>3894</v>
      </c>
      <c r="B70" s="389">
        <v>43964</v>
      </c>
      <c r="C70" s="390" t="s">
        <v>4149</v>
      </c>
      <c r="D70" s="391" t="s">
        <v>4150</v>
      </c>
      <c r="E70" s="391" t="s">
        <v>4151</v>
      </c>
      <c r="F70" s="392">
        <v>21948000</v>
      </c>
      <c r="G70" s="393" t="s">
        <v>3800</v>
      </c>
      <c r="H70" s="394">
        <v>8427.0789265087369</v>
      </c>
      <c r="I70" s="394"/>
      <c r="J70" s="392"/>
      <c r="K70" s="392">
        <v>8427.0789265087369</v>
      </c>
      <c r="L70" s="392"/>
      <c r="M70" s="392"/>
      <c r="N70" s="392"/>
    </row>
    <row r="71" spans="1:14" hidden="1" outlineLevel="2" x14ac:dyDescent="0.35">
      <c r="A71" s="388" t="s">
        <v>3894</v>
      </c>
      <c r="B71" s="389">
        <v>44027</v>
      </c>
      <c r="C71" s="390" t="s">
        <v>4152</v>
      </c>
      <c r="D71" s="391" t="s">
        <v>4153</v>
      </c>
      <c r="E71" s="391" t="s">
        <v>4154</v>
      </c>
      <c r="F71" s="392">
        <v>10211600</v>
      </c>
      <c r="G71" s="393" t="s">
        <v>3800</v>
      </c>
      <c r="H71" s="394">
        <v>3920.8109698349108</v>
      </c>
      <c r="I71" s="394"/>
      <c r="J71" s="392"/>
      <c r="K71" s="392">
        <v>3920.8109698349108</v>
      </c>
      <c r="L71" s="392"/>
      <c r="M71" s="392"/>
      <c r="N71" s="392"/>
    </row>
    <row r="72" spans="1:14" outlineLevel="1" collapsed="1" x14ac:dyDescent="0.35">
      <c r="A72" s="395" t="s">
        <v>4155</v>
      </c>
      <c r="B72" s="389"/>
      <c r="C72" s="390"/>
      <c r="D72" s="391"/>
      <c r="E72" s="391"/>
      <c r="F72" s="392"/>
      <c r="G72" s="393"/>
      <c r="H72" s="394">
        <f t="shared" ref="H72:N72" si="4">SUBTOTAL(9,H70:H71)</f>
        <v>12347.889896343648</v>
      </c>
      <c r="I72" s="394"/>
      <c r="J72" s="392">
        <f t="shared" si="4"/>
        <v>0</v>
      </c>
      <c r="K72" s="392">
        <f t="shared" si="4"/>
        <v>12347.889896343648</v>
      </c>
      <c r="L72" s="392">
        <f t="shared" si="4"/>
        <v>0</v>
      </c>
      <c r="M72" s="392">
        <f t="shared" si="4"/>
        <v>0</v>
      </c>
      <c r="N72" s="392">
        <f t="shared" si="4"/>
        <v>0</v>
      </c>
    </row>
    <row r="73" spans="1:14" hidden="1" outlineLevel="2" x14ac:dyDescent="0.35">
      <c r="A73" s="388" t="s">
        <v>3891</v>
      </c>
      <c r="B73" s="389">
        <v>43963</v>
      </c>
      <c r="C73" s="390" t="s">
        <v>4156</v>
      </c>
      <c r="D73" s="391" t="s">
        <v>4157</v>
      </c>
      <c r="E73" s="391" t="s">
        <v>4158</v>
      </c>
      <c r="F73" s="392">
        <v>16314650</v>
      </c>
      <c r="G73" s="393" t="s">
        <v>3800</v>
      </c>
      <c r="H73" s="394">
        <v>6264.1171500075534</v>
      </c>
      <c r="I73" s="394"/>
      <c r="J73" s="392"/>
      <c r="K73" s="392">
        <v>6264.1171500075534</v>
      </c>
      <c r="L73" s="392"/>
      <c r="M73" s="392"/>
      <c r="N73" s="392"/>
    </row>
    <row r="74" spans="1:14" hidden="1" outlineLevel="2" x14ac:dyDescent="0.35">
      <c r="A74" s="388" t="s">
        <v>3891</v>
      </c>
      <c r="B74" s="389">
        <v>43963</v>
      </c>
      <c r="C74" s="390" t="s">
        <v>4159</v>
      </c>
      <c r="D74" s="391" t="s">
        <v>4160</v>
      </c>
      <c r="E74" s="391" t="s">
        <v>4161</v>
      </c>
      <c r="F74" s="392">
        <v>94263750</v>
      </c>
      <c r="G74" s="393" t="s">
        <v>3800</v>
      </c>
      <c r="H74" s="394">
        <v>36193.186675719335</v>
      </c>
      <c r="I74" s="394"/>
      <c r="J74" s="392"/>
      <c r="K74" s="392">
        <v>36193.186675719335</v>
      </c>
      <c r="L74" s="392"/>
      <c r="M74" s="392"/>
      <c r="N74" s="392"/>
    </row>
    <row r="75" spans="1:14" outlineLevel="1" collapsed="1" x14ac:dyDescent="0.35">
      <c r="A75" s="395" t="s">
        <v>4162</v>
      </c>
      <c r="B75" s="389"/>
      <c r="C75" s="390"/>
      <c r="D75" s="391"/>
      <c r="E75" s="391"/>
      <c r="F75" s="392"/>
      <c r="G75" s="393"/>
      <c r="H75" s="394">
        <f t="shared" ref="H75:N75" si="5">SUBTOTAL(9,H73:H74)</f>
        <v>42457.303825726885</v>
      </c>
      <c r="I75" s="394"/>
      <c r="J75" s="392">
        <f t="shared" si="5"/>
        <v>0</v>
      </c>
      <c r="K75" s="392">
        <f t="shared" si="5"/>
        <v>42457.303825726885</v>
      </c>
      <c r="L75" s="392">
        <f t="shared" si="5"/>
        <v>0</v>
      </c>
      <c r="M75" s="392">
        <f t="shared" si="5"/>
        <v>0</v>
      </c>
      <c r="N75" s="392">
        <f t="shared" si="5"/>
        <v>0</v>
      </c>
    </row>
    <row r="76" spans="1:14" hidden="1" outlineLevel="2" x14ac:dyDescent="0.35">
      <c r="A76" s="388" t="s">
        <v>3892</v>
      </c>
      <c r="B76" s="389">
        <v>43973</v>
      </c>
      <c r="C76" s="390" t="s">
        <v>4163</v>
      </c>
      <c r="D76" s="391" t="s">
        <v>4164</v>
      </c>
      <c r="E76" s="391" t="s">
        <v>4165</v>
      </c>
      <c r="F76" s="392">
        <v>2728400</v>
      </c>
      <c r="G76" s="393" t="s">
        <v>3800</v>
      </c>
      <c r="H76" s="394">
        <v>1047.5871215184272</v>
      </c>
      <c r="I76" s="394"/>
      <c r="J76" s="392"/>
      <c r="K76" s="392">
        <v>1047.5871215184272</v>
      </c>
      <c r="L76" s="392"/>
      <c r="M76" s="392"/>
      <c r="N76" s="392"/>
    </row>
    <row r="77" spans="1:14" hidden="1" outlineLevel="2" collapsed="1" x14ac:dyDescent="0.35">
      <c r="A77" s="388" t="s">
        <v>3892</v>
      </c>
      <c r="B77" s="389" t="s">
        <v>4166</v>
      </c>
      <c r="C77" s="390" t="s">
        <v>4167</v>
      </c>
      <c r="D77" s="391" t="s">
        <v>4168</v>
      </c>
      <c r="E77" s="391" t="s">
        <v>4169</v>
      </c>
      <c r="F77" s="392">
        <v>2011050</v>
      </c>
      <c r="G77" s="393" t="s">
        <v>3800</v>
      </c>
      <c r="H77" s="394">
        <v>772.15587184050469</v>
      </c>
      <c r="I77" s="394"/>
      <c r="J77" s="392"/>
      <c r="K77" s="392">
        <v>772.15587184050469</v>
      </c>
      <c r="L77" s="392"/>
      <c r="M77" s="392"/>
      <c r="N77" s="392"/>
    </row>
    <row r="78" spans="1:14" hidden="1" outlineLevel="2" x14ac:dyDescent="0.35">
      <c r="A78" s="388" t="s">
        <v>3892</v>
      </c>
      <c r="B78" s="389">
        <v>43973</v>
      </c>
      <c r="C78" s="390" t="s">
        <v>4170</v>
      </c>
      <c r="D78" s="391" t="s">
        <v>4171</v>
      </c>
      <c r="E78" s="391" t="s">
        <v>4172</v>
      </c>
      <c r="F78" s="392">
        <v>861750</v>
      </c>
      <c r="G78" s="393" t="s">
        <v>3800</v>
      </c>
      <c r="H78" s="394">
        <v>330.87457922903701</v>
      </c>
      <c r="I78" s="394"/>
      <c r="J78" s="392"/>
      <c r="K78" s="392">
        <v>330.87457922903701</v>
      </c>
      <c r="L78" s="392"/>
      <c r="M78" s="392"/>
      <c r="N78" s="392"/>
    </row>
    <row r="79" spans="1:14" hidden="1" outlineLevel="2" x14ac:dyDescent="0.35">
      <c r="A79" s="388" t="s">
        <v>3892</v>
      </c>
      <c r="B79" s="389">
        <v>43973</v>
      </c>
      <c r="C79" s="390" t="s">
        <v>4173</v>
      </c>
      <c r="D79" s="391" t="s">
        <v>4174</v>
      </c>
      <c r="E79" s="391" t="s">
        <v>4175</v>
      </c>
      <c r="F79" s="392">
        <v>2010200</v>
      </c>
      <c r="G79" s="393" t="s">
        <v>3800</v>
      </c>
      <c r="H79" s="394">
        <v>771.82950875104177</v>
      </c>
      <c r="I79" s="394"/>
      <c r="J79" s="392"/>
      <c r="K79" s="392">
        <v>771.82950875104177</v>
      </c>
      <c r="L79" s="392"/>
      <c r="M79" s="392"/>
      <c r="N79" s="392"/>
    </row>
    <row r="80" spans="1:14" hidden="1" outlineLevel="2" x14ac:dyDescent="0.35">
      <c r="A80" s="388" t="s">
        <v>3892</v>
      </c>
      <c r="B80" s="389">
        <v>43979</v>
      </c>
      <c r="C80" s="390" t="s">
        <v>4176</v>
      </c>
      <c r="D80" s="391" t="s">
        <v>4177</v>
      </c>
      <c r="E80" s="391" t="s">
        <v>4154</v>
      </c>
      <c r="F80" s="392">
        <v>1723600</v>
      </c>
      <c r="G80" s="393" t="s">
        <v>3800</v>
      </c>
      <c r="H80" s="394">
        <v>661.78755411565794</v>
      </c>
      <c r="I80" s="394"/>
      <c r="J80" s="392"/>
      <c r="K80" s="392">
        <v>661.78755411565794</v>
      </c>
      <c r="L80" s="392"/>
      <c r="M80" s="392"/>
      <c r="N80" s="392"/>
    </row>
    <row r="81" spans="1:14" hidden="1" outlineLevel="2" x14ac:dyDescent="0.35">
      <c r="A81" s="388" t="s">
        <v>3892</v>
      </c>
      <c r="B81" s="389">
        <v>43979</v>
      </c>
      <c r="C81" s="390" t="s">
        <v>4178</v>
      </c>
      <c r="D81" s="391" t="s">
        <v>4179</v>
      </c>
      <c r="E81" s="391" t="s">
        <v>4180</v>
      </c>
      <c r="F81" s="392">
        <v>2010850</v>
      </c>
      <c r="G81" s="393" t="s">
        <v>3800</v>
      </c>
      <c r="H81" s="394">
        <v>772.07908052533696</v>
      </c>
      <c r="I81" s="394"/>
      <c r="J81" s="392"/>
      <c r="K81" s="392">
        <v>772.07908052533696</v>
      </c>
      <c r="L81" s="392"/>
      <c r="M81" s="392"/>
      <c r="N81" s="392"/>
    </row>
    <row r="82" spans="1:14" hidden="1" outlineLevel="2" collapsed="1" x14ac:dyDescent="0.35">
      <c r="A82" s="388" t="s">
        <v>3892</v>
      </c>
      <c r="B82" s="389">
        <v>43980</v>
      </c>
      <c r="C82" s="390" t="s">
        <v>4181</v>
      </c>
      <c r="D82" s="391" t="s">
        <v>4182</v>
      </c>
      <c r="E82" s="391" t="s">
        <v>4183</v>
      </c>
      <c r="F82" s="392">
        <v>1000000</v>
      </c>
      <c r="G82" s="393" t="s">
        <v>3800</v>
      </c>
      <c r="H82" s="394">
        <v>383.95657583874328</v>
      </c>
      <c r="I82" s="394"/>
      <c r="J82" s="392"/>
      <c r="K82" s="392">
        <v>383.95657583874328</v>
      </c>
      <c r="L82" s="392"/>
      <c r="M82" s="392"/>
      <c r="N82" s="392"/>
    </row>
    <row r="83" spans="1:14" hidden="1" outlineLevel="2" x14ac:dyDescent="0.35">
      <c r="A83" s="388" t="s">
        <v>3892</v>
      </c>
      <c r="B83" s="389">
        <v>43987</v>
      </c>
      <c r="C83" s="390" t="s">
        <v>4184</v>
      </c>
      <c r="D83" s="391" t="s">
        <v>4185</v>
      </c>
      <c r="E83" s="391" t="s">
        <v>4186</v>
      </c>
      <c r="F83" s="392">
        <v>3065050</v>
      </c>
      <c r="G83" s="393" t="s">
        <v>3800</v>
      </c>
      <c r="H83" s="394">
        <v>1176.8461027745402</v>
      </c>
      <c r="I83" s="394"/>
      <c r="J83" s="392"/>
      <c r="K83" s="392">
        <v>1176.8461027745402</v>
      </c>
      <c r="L83" s="392"/>
      <c r="M83" s="392"/>
      <c r="N83" s="392"/>
    </row>
    <row r="84" spans="1:14" hidden="1" outlineLevel="2" x14ac:dyDescent="0.35">
      <c r="A84" s="388" t="s">
        <v>3892</v>
      </c>
      <c r="B84" s="389">
        <v>43987</v>
      </c>
      <c r="C84" s="390" t="s">
        <v>4187</v>
      </c>
      <c r="D84" s="391" t="s">
        <v>4185</v>
      </c>
      <c r="E84" s="391" t="s">
        <v>4188</v>
      </c>
      <c r="F84" s="392">
        <v>3108400</v>
      </c>
      <c r="G84" s="393" t="s">
        <v>3800</v>
      </c>
      <c r="H84" s="394">
        <v>1193.4906203371497</v>
      </c>
      <c r="I84" s="394"/>
      <c r="J84" s="392"/>
      <c r="K84" s="392">
        <v>1193.4906203371497</v>
      </c>
      <c r="L84" s="392"/>
      <c r="M84" s="392"/>
      <c r="N84" s="392"/>
    </row>
    <row r="85" spans="1:14" hidden="1" outlineLevel="2" x14ac:dyDescent="0.35">
      <c r="A85" s="388" t="s">
        <v>3892</v>
      </c>
      <c r="B85" s="389">
        <v>43987</v>
      </c>
      <c r="C85" s="390" t="s">
        <v>4189</v>
      </c>
      <c r="D85" s="391" t="s">
        <v>4190</v>
      </c>
      <c r="E85" s="391" t="s">
        <v>4188</v>
      </c>
      <c r="F85" s="392">
        <v>3733600</v>
      </c>
      <c r="G85" s="393" t="s">
        <v>3800</v>
      </c>
      <c r="H85" s="394">
        <v>1433.540271551532</v>
      </c>
      <c r="I85" s="394"/>
      <c r="J85" s="392"/>
      <c r="K85" s="392">
        <v>1433.540271551532</v>
      </c>
      <c r="L85" s="392"/>
      <c r="M85" s="392"/>
      <c r="N85" s="392"/>
    </row>
    <row r="86" spans="1:14" hidden="1" outlineLevel="2" x14ac:dyDescent="0.35">
      <c r="A86" s="388" t="s">
        <v>3892</v>
      </c>
      <c r="B86" s="389">
        <v>43987</v>
      </c>
      <c r="C86" s="390" t="s">
        <v>4191</v>
      </c>
      <c r="D86" s="391" t="s">
        <v>4185</v>
      </c>
      <c r="E86" s="391" t="s">
        <v>4172</v>
      </c>
      <c r="F86" s="392">
        <v>1963550</v>
      </c>
      <c r="G86" s="393" t="s">
        <v>3800</v>
      </c>
      <c r="H86" s="394">
        <v>753.91793448816441</v>
      </c>
      <c r="I86" s="394"/>
      <c r="J86" s="392"/>
      <c r="K86" s="392">
        <v>753.91793448816441</v>
      </c>
      <c r="L86" s="392"/>
      <c r="M86" s="392"/>
      <c r="N86" s="392"/>
    </row>
    <row r="87" spans="1:14" hidden="1" outlineLevel="2" x14ac:dyDescent="0.35">
      <c r="A87" s="388" t="s">
        <v>3892</v>
      </c>
      <c r="B87" s="389">
        <v>43987</v>
      </c>
      <c r="C87" s="390" t="s">
        <v>4192</v>
      </c>
      <c r="D87" s="391" t="s">
        <v>4185</v>
      </c>
      <c r="E87" s="391" t="s">
        <v>4193</v>
      </c>
      <c r="F87" s="392">
        <v>287300</v>
      </c>
      <c r="G87" s="393" t="s">
        <v>3800</v>
      </c>
      <c r="H87" s="394">
        <v>110.31072423847095</v>
      </c>
      <c r="I87" s="394"/>
      <c r="J87" s="392"/>
      <c r="K87" s="392">
        <v>110.31072423847095</v>
      </c>
      <c r="L87" s="392"/>
      <c r="M87" s="392"/>
      <c r="N87" s="392"/>
    </row>
    <row r="88" spans="1:14" hidden="1" outlineLevel="2" x14ac:dyDescent="0.35">
      <c r="A88" s="388" t="s">
        <v>3892</v>
      </c>
      <c r="B88" s="389">
        <v>44012</v>
      </c>
      <c r="C88" s="390" t="s">
        <v>4194</v>
      </c>
      <c r="D88" s="391" t="s">
        <v>4195</v>
      </c>
      <c r="E88" s="391" t="s">
        <v>4196</v>
      </c>
      <c r="F88" s="392">
        <v>700000</v>
      </c>
      <c r="G88" s="393" t="s">
        <v>3800</v>
      </c>
      <c r="H88" s="394">
        <v>268.76960308712029</v>
      </c>
      <c r="I88" s="394"/>
      <c r="J88" s="392"/>
      <c r="K88" s="392">
        <v>268.76960308712029</v>
      </c>
      <c r="L88" s="392"/>
      <c r="M88" s="392"/>
      <c r="N88" s="392"/>
    </row>
    <row r="89" spans="1:14" hidden="1" outlineLevel="2" x14ac:dyDescent="0.35">
      <c r="A89" s="388" t="s">
        <v>3892</v>
      </c>
      <c r="B89" s="389">
        <v>44012</v>
      </c>
      <c r="C89" s="390" t="s">
        <v>4194</v>
      </c>
      <c r="D89" s="391" t="s">
        <v>4197</v>
      </c>
      <c r="E89" s="391" t="s">
        <v>4198</v>
      </c>
      <c r="F89" s="392">
        <v>300000</v>
      </c>
      <c r="G89" s="393" t="s">
        <v>3800</v>
      </c>
      <c r="H89" s="394">
        <v>115.18697275162299</v>
      </c>
      <c r="I89" s="394"/>
      <c r="J89" s="392"/>
      <c r="K89" s="392">
        <v>115.18697275162299</v>
      </c>
      <c r="L89" s="392"/>
      <c r="M89" s="392"/>
      <c r="N89" s="392"/>
    </row>
    <row r="90" spans="1:14" hidden="1" outlineLevel="2" x14ac:dyDescent="0.35">
      <c r="A90" s="388" t="s">
        <v>3892</v>
      </c>
      <c r="B90" s="389">
        <v>44012</v>
      </c>
      <c r="C90" s="390" t="s">
        <v>4199</v>
      </c>
      <c r="D90" s="391" t="s">
        <v>4200</v>
      </c>
      <c r="E90" s="391" t="s">
        <v>4201</v>
      </c>
      <c r="F90" s="392">
        <v>600000</v>
      </c>
      <c r="G90" s="393" t="s">
        <v>3800</v>
      </c>
      <c r="H90" s="394">
        <v>230.37394550324598</v>
      </c>
      <c r="I90" s="394"/>
      <c r="J90" s="392"/>
      <c r="K90" s="392">
        <v>230.37394550324598</v>
      </c>
      <c r="L90" s="392"/>
      <c r="M90" s="392"/>
      <c r="N90" s="392"/>
    </row>
    <row r="91" spans="1:14" hidden="1" outlineLevel="2" x14ac:dyDescent="0.35">
      <c r="A91" s="388" t="s">
        <v>3892</v>
      </c>
      <c r="B91" s="389">
        <v>44012</v>
      </c>
      <c r="C91" s="390" t="s">
        <v>4199</v>
      </c>
      <c r="D91" s="391" t="s">
        <v>4202</v>
      </c>
      <c r="E91" s="391" t="s">
        <v>4203</v>
      </c>
      <c r="F91" s="392">
        <v>251850</v>
      </c>
      <c r="G91" s="393" t="s">
        <v>3800</v>
      </c>
      <c r="H91" s="394">
        <v>96.699463624987501</v>
      </c>
      <c r="I91" s="394"/>
      <c r="J91" s="392"/>
      <c r="K91" s="392">
        <v>96.699463624987501</v>
      </c>
      <c r="L91" s="392"/>
      <c r="M91" s="392"/>
      <c r="N91" s="392"/>
    </row>
    <row r="92" spans="1:14" hidden="1" outlineLevel="2" x14ac:dyDescent="0.35">
      <c r="A92" s="388" t="s">
        <v>3892</v>
      </c>
      <c r="B92" s="389">
        <v>44012</v>
      </c>
      <c r="C92" s="390" t="s">
        <v>4199</v>
      </c>
      <c r="D92" s="391" t="s">
        <v>4204</v>
      </c>
      <c r="E92" s="391" t="s">
        <v>4203</v>
      </c>
      <c r="F92" s="392">
        <v>257678</v>
      </c>
      <c r="G92" s="393" t="s">
        <v>3800</v>
      </c>
      <c r="H92" s="394">
        <v>98.937162548975692</v>
      </c>
      <c r="I92" s="394"/>
      <c r="J92" s="392"/>
      <c r="K92" s="392">
        <v>98.937162548975692</v>
      </c>
      <c r="L92" s="392"/>
      <c r="M92" s="392"/>
      <c r="N92" s="392"/>
    </row>
    <row r="93" spans="1:14" hidden="1" outlineLevel="2" x14ac:dyDescent="0.35">
      <c r="A93" s="388" t="s">
        <v>3892</v>
      </c>
      <c r="B93" s="389">
        <v>44012</v>
      </c>
      <c r="C93" s="390" t="s">
        <v>4199</v>
      </c>
      <c r="D93" s="391" t="s">
        <v>4205</v>
      </c>
      <c r="E93" s="391" t="s">
        <v>4206</v>
      </c>
      <c r="F93" s="392">
        <v>140000</v>
      </c>
      <c r="G93" s="393" t="s">
        <v>3800</v>
      </c>
      <c r="H93" s="394">
        <v>53.753920617424058</v>
      </c>
      <c r="I93" s="394"/>
      <c r="J93" s="392"/>
      <c r="K93" s="392">
        <v>53.753920617424058</v>
      </c>
      <c r="L93" s="392"/>
      <c r="M93" s="392"/>
      <c r="N93" s="392"/>
    </row>
    <row r="94" spans="1:14" hidden="1" outlineLevel="2" x14ac:dyDescent="0.35">
      <c r="A94" s="388" t="s">
        <v>3892</v>
      </c>
      <c r="B94" s="389">
        <v>44012</v>
      </c>
      <c r="C94" s="390" t="s">
        <v>4199</v>
      </c>
      <c r="D94" s="391" t="s">
        <v>4205</v>
      </c>
      <c r="E94" s="391" t="s">
        <v>4207</v>
      </c>
      <c r="F94" s="392">
        <v>150500</v>
      </c>
      <c r="G94" s="393" t="s">
        <v>3800</v>
      </c>
      <c r="H94" s="394">
        <v>57.785464663730863</v>
      </c>
      <c r="I94" s="394"/>
      <c r="J94" s="392"/>
      <c r="K94" s="392">
        <v>57.785464663730863</v>
      </c>
      <c r="L94" s="392"/>
      <c r="M94" s="392"/>
      <c r="N94" s="392"/>
    </row>
    <row r="95" spans="1:14" hidden="1" outlineLevel="2" x14ac:dyDescent="0.35">
      <c r="A95" s="388" t="s">
        <v>3892</v>
      </c>
      <c r="B95" s="389">
        <v>44012</v>
      </c>
      <c r="C95" s="390" t="s">
        <v>4208</v>
      </c>
      <c r="D95" s="391" t="s">
        <v>4209</v>
      </c>
      <c r="E95" s="391" t="s">
        <v>4203</v>
      </c>
      <c r="F95" s="392">
        <v>671400</v>
      </c>
      <c r="G95" s="393" t="s">
        <v>3800</v>
      </c>
      <c r="H95" s="394">
        <v>257.78844501813222</v>
      </c>
      <c r="I95" s="394"/>
      <c r="J95" s="392"/>
      <c r="K95" s="392">
        <v>257.78844501813222</v>
      </c>
      <c r="L95" s="392"/>
      <c r="M95" s="392"/>
      <c r="N95" s="392"/>
    </row>
    <row r="96" spans="1:14" hidden="1" outlineLevel="2" collapsed="1" x14ac:dyDescent="0.35">
      <c r="A96" s="388" t="s">
        <v>3892</v>
      </c>
      <c r="B96" s="389">
        <v>44012</v>
      </c>
      <c r="C96" s="390" t="s">
        <v>4208</v>
      </c>
      <c r="D96" s="391" t="s">
        <v>4210</v>
      </c>
      <c r="E96" s="391" t="s">
        <v>4203</v>
      </c>
      <c r="F96" s="392">
        <v>330400</v>
      </c>
      <c r="G96" s="393" t="s">
        <v>3800</v>
      </c>
      <c r="H96" s="394">
        <v>126.85925265712078</v>
      </c>
      <c r="I96" s="394"/>
      <c r="J96" s="392"/>
      <c r="K96" s="392">
        <v>126.85925265712078</v>
      </c>
      <c r="L96" s="392"/>
      <c r="M96" s="392"/>
      <c r="N96" s="392"/>
    </row>
    <row r="97" spans="1:14" hidden="1" outlineLevel="2" x14ac:dyDescent="0.35">
      <c r="A97" s="388" t="s">
        <v>3892</v>
      </c>
      <c r="B97" s="389">
        <v>44012</v>
      </c>
      <c r="C97" s="390" t="s">
        <v>4208</v>
      </c>
      <c r="D97" s="391" t="s">
        <v>4211</v>
      </c>
      <c r="E97" s="391" t="s">
        <v>4212</v>
      </c>
      <c r="F97" s="392">
        <v>150000</v>
      </c>
      <c r="G97" s="393" t="s">
        <v>3800</v>
      </c>
      <c r="H97" s="394">
        <v>57.593486375811494</v>
      </c>
      <c r="I97" s="394"/>
      <c r="J97" s="392"/>
      <c r="K97" s="392">
        <v>57.593486375811494</v>
      </c>
      <c r="L97" s="392"/>
      <c r="M97" s="392"/>
      <c r="N97" s="392"/>
    </row>
    <row r="98" spans="1:14" hidden="1" outlineLevel="2" x14ac:dyDescent="0.35">
      <c r="A98" s="388" t="s">
        <v>3892</v>
      </c>
      <c r="B98" s="389">
        <v>44012</v>
      </c>
      <c r="C98" s="390" t="s">
        <v>4213</v>
      </c>
      <c r="D98" s="391" t="s">
        <v>4214</v>
      </c>
      <c r="E98" s="391" t="s">
        <v>4215</v>
      </c>
      <c r="F98" s="392">
        <v>780000</v>
      </c>
      <c r="G98" s="393" t="s">
        <v>3800</v>
      </c>
      <c r="H98" s="394">
        <v>299.48612915421978</v>
      </c>
      <c r="I98" s="394"/>
      <c r="J98" s="392"/>
      <c r="K98" s="392">
        <v>299.48612915421978</v>
      </c>
      <c r="L98" s="392"/>
      <c r="M98" s="392"/>
      <c r="N98" s="392"/>
    </row>
    <row r="99" spans="1:14" hidden="1" outlineLevel="2" x14ac:dyDescent="0.35">
      <c r="A99" s="388" t="s">
        <v>3892</v>
      </c>
      <c r="B99" s="389">
        <v>44012</v>
      </c>
      <c r="C99" s="390" t="s">
        <v>4213</v>
      </c>
      <c r="D99" s="391" t="s">
        <v>4216</v>
      </c>
      <c r="E99" s="391" t="s">
        <v>4203</v>
      </c>
      <c r="F99" s="392">
        <v>518800</v>
      </c>
      <c r="G99" s="393" t="s">
        <v>3800</v>
      </c>
      <c r="H99" s="394">
        <v>199.19667154514002</v>
      </c>
      <c r="I99" s="394"/>
      <c r="J99" s="392"/>
      <c r="K99" s="392">
        <v>199.19667154514002</v>
      </c>
      <c r="L99" s="392"/>
      <c r="M99" s="392"/>
      <c r="N99" s="392"/>
    </row>
    <row r="100" spans="1:14" hidden="1" outlineLevel="2" x14ac:dyDescent="0.35">
      <c r="A100" s="388" t="s">
        <v>3892</v>
      </c>
      <c r="B100" s="389">
        <v>44012</v>
      </c>
      <c r="C100" s="390" t="s">
        <v>4217</v>
      </c>
      <c r="D100" s="391" t="s">
        <v>4218</v>
      </c>
      <c r="E100" s="391" t="s">
        <v>4219</v>
      </c>
      <c r="F100" s="392">
        <v>750000</v>
      </c>
      <c r="G100" s="393" t="s">
        <v>3800</v>
      </c>
      <c r="H100" s="394">
        <v>287.96743187905747</v>
      </c>
      <c r="I100" s="394"/>
      <c r="J100" s="392"/>
      <c r="K100" s="392">
        <v>287.96743187905747</v>
      </c>
      <c r="L100" s="392"/>
      <c r="M100" s="392"/>
      <c r="N100" s="392"/>
    </row>
    <row r="101" spans="1:14" hidden="1" outlineLevel="2" x14ac:dyDescent="0.35">
      <c r="A101" s="388" t="s">
        <v>3892</v>
      </c>
      <c r="B101" s="389">
        <v>44012</v>
      </c>
      <c r="C101" s="390" t="s">
        <v>4217</v>
      </c>
      <c r="D101" s="391" t="s">
        <v>4220</v>
      </c>
      <c r="E101" s="391" t="s">
        <v>4221</v>
      </c>
      <c r="F101" s="392">
        <v>300000</v>
      </c>
      <c r="G101" s="393" t="s">
        <v>3800</v>
      </c>
      <c r="H101" s="394">
        <v>115.18697275162299</v>
      </c>
      <c r="I101" s="394"/>
      <c r="J101" s="392"/>
      <c r="K101" s="392">
        <v>115.18697275162299</v>
      </c>
      <c r="L101" s="392"/>
      <c r="M101" s="392"/>
      <c r="N101" s="392"/>
    </row>
    <row r="102" spans="1:14" hidden="1" outlineLevel="2" x14ac:dyDescent="0.35">
      <c r="A102" s="388" t="s">
        <v>3892</v>
      </c>
      <c r="B102" s="389">
        <v>44012</v>
      </c>
      <c r="C102" s="390" t="s">
        <v>4217</v>
      </c>
      <c r="D102" s="391" t="s">
        <v>4222</v>
      </c>
      <c r="E102" s="391" t="s">
        <v>4223</v>
      </c>
      <c r="F102" s="392">
        <v>150000</v>
      </c>
      <c r="G102" s="393" t="s">
        <v>3800</v>
      </c>
      <c r="H102" s="394">
        <v>57.593486375811494</v>
      </c>
      <c r="I102" s="394"/>
      <c r="J102" s="392"/>
      <c r="K102" s="392">
        <v>57.593486375811494</v>
      </c>
      <c r="L102" s="392"/>
      <c r="M102" s="392"/>
      <c r="N102" s="392"/>
    </row>
    <row r="103" spans="1:14" hidden="1" outlineLevel="2" x14ac:dyDescent="0.35">
      <c r="A103" s="388" t="s">
        <v>3892</v>
      </c>
      <c r="B103" s="389">
        <v>44012</v>
      </c>
      <c r="C103" s="390" t="s">
        <v>4217</v>
      </c>
      <c r="D103" s="391" t="s">
        <v>4224</v>
      </c>
      <c r="E103" s="391" t="s">
        <v>4203</v>
      </c>
      <c r="F103" s="392">
        <v>251600</v>
      </c>
      <c r="G103" s="393" t="s">
        <v>3800</v>
      </c>
      <c r="H103" s="394">
        <v>96.603474481027817</v>
      </c>
      <c r="I103" s="394"/>
      <c r="J103" s="392"/>
      <c r="K103" s="392">
        <v>96.603474481027817</v>
      </c>
      <c r="L103" s="392"/>
      <c r="M103" s="392"/>
      <c r="N103" s="392"/>
    </row>
    <row r="104" spans="1:14" hidden="1" outlineLevel="2" x14ac:dyDescent="0.35">
      <c r="A104" s="388" t="s">
        <v>3892</v>
      </c>
      <c r="B104" s="389">
        <v>44012</v>
      </c>
      <c r="C104" s="390" t="s">
        <v>4225</v>
      </c>
      <c r="D104" s="391" t="s">
        <v>4226</v>
      </c>
      <c r="E104" s="391" t="s">
        <v>4203</v>
      </c>
      <c r="F104" s="392">
        <v>650000</v>
      </c>
      <c r="G104" s="393" t="s">
        <v>3800</v>
      </c>
      <c r="H104" s="394">
        <v>249.57177429518313</v>
      </c>
      <c r="I104" s="394"/>
      <c r="J104" s="392"/>
      <c r="K104" s="392">
        <v>249.57177429518313</v>
      </c>
      <c r="L104" s="392"/>
      <c r="M104" s="392"/>
      <c r="N104" s="392"/>
    </row>
    <row r="105" spans="1:14" hidden="1" outlineLevel="2" x14ac:dyDescent="0.35">
      <c r="A105" s="388" t="s">
        <v>3892</v>
      </c>
      <c r="B105" s="389">
        <v>44012</v>
      </c>
      <c r="C105" s="390" t="s">
        <v>4225</v>
      </c>
      <c r="D105" s="391" t="s">
        <v>4227</v>
      </c>
      <c r="E105" s="391" t="s">
        <v>4228</v>
      </c>
      <c r="F105" s="392">
        <v>350000</v>
      </c>
      <c r="G105" s="393" t="s">
        <v>3800</v>
      </c>
      <c r="H105" s="394">
        <v>134.38480154356014</v>
      </c>
      <c r="I105" s="394"/>
      <c r="J105" s="392"/>
      <c r="K105" s="392">
        <v>134.38480154356014</v>
      </c>
      <c r="L105" s="392"/>
      <c r="M105" s="392"/>
      <c r="N105" s="392"/>
    </row>
    <row r="106" spans="1:14" hidden="1" outlineLevel="2" x14ac:dyDescent="0.35">
      <c r="A106" s="388" t="s">
        <v>3892</v>
      </c>
      <c r="B106" s="389">
        <v>44012</v>
      </c>
      <c r="C106" s="390" t="s">
        <v>4225</v>
      </c>
      <c r="D106" s="391" t="s">
        <v>4229</v>
      </c>
      <c r="E106" s="391" t="s">
        <v>4230</v>
      </c>
      <c r="F106" s="392">
        <v>151600</v>
      </c>
      <c r="G106" s="393" t="s">
        <v>3800</v>
      </c>
      <c r="H106" s="394">
        <v>58.207816897153485</v>
      </c>
      <c r="I106" s="394"/>
      <c r="J106" s="392"/>
      <c r="K106" s="392">
        <v>58.207816897153485</v>
      </c>
      <c r="L106" s="392"/>
      <c r="M106" s="392"/>
      <c r="N106" s="392"/>
    </row>
    <row r="107" spans="1:14" hidden="1" outlineLevel="2" x14ac:dyDescent="0.35">
      <c r="A107" s="388" t="s">
        <v>3892</v>
      </c>
      <c r="B107" s="389">
        <v>44012</v>
      </c>
      <c r="C107" s="390" t="s">
        <v>4225</v>
      </c>
      <c r="D107" s="391" t="s">
        <v>4227</v>
      </c>
      <c r="E107" s="391" t="s">
        <v>4231</v>
      </c>
      <c r="F107" s="392">
        <v>200000</v>
      </c>
      <c r="G107" s="393" t="s">
        <v>3800</v>
      </c>
      <c r="H107" s="394">
        <v>76.791315167748664</v>
      </c>
      <c r="I107" s="394"/>
      <c r="J107" s="392"/>
      <c r="K107" s="392">
        <v>76.791315167748664</v>
      </c>
      <c r="L107" s="392"/>
      <c r="M107" s="392"/>
      <c r="N107" s="392"/>
    </row>
    <row r="108" spans="1:14" hidden="1" outlineLevel="2" x14ac:dyDescent="0.35">
      <c r="A108" s="388" t="s">
        <v>3892</v>
      </c>
      <c r="B108" s="389">
        <v>44012</v>
      </c>
      <c r="C108" s="390" t="s">
        <v>4225</v>
      </c>
      <c r="D108" s="391" t="s">
        <v>4232</v>
      </c>
      <c r="E108" s="391" t="s">
        <v>4233</v>
      </c>
      <c r="F108" s="392">
        <v>96371</v>
      </c>
      <c r="G108" s="393" t="s">
        <v>3800</v>
      </c>
      <c r="H108" s="394">
        <v>37.002279170155532</v>
      </c>
      <c r="I108" s="394"/>
      <c r="J108" s="392"/>
      <c r="K108" s="392">
        <v>37.002279170155532</v>
      </c>
      <c r="L108" s="392"/>
      <c r="M108" s="392"/>
      <c r="N108" s="392"/>
    </row>
    <row r="109" spans="1:14" hidden="1" outlineLevel="2" x14ac:dyDescent="0.35">
      <c r="A109" s="388" t="s">
        <v>3892</v>
      </c>
      <c r="B109" s="389">
        <v>44012</v>
      </c>
      <c r="C109" s="390" t="s">
        <v>4234</v>
      </c>
      <c r="D109" s="391" t="s">
        <v>4235</v>
      </c>
      <c r="E109" s="391" t="s">
        <v>4236</v>
      </c>
      <c r="F109" s="392">
        <v>660000</v>
      </c>
      <c r="G109" s="393" t="s">
        <v>3800</v>
      </c>
      <c r="H109" s="394">
        <v>253.41134005357057</v>
      </c>
      <c r="I109" s="394"/>
      <c r="J109" s="392"/>
      <c r="K109" s="392">
        <v>253.41134005357057</v>
      </c>
      <c r="L109" s="392"/>
      <c r="M109" s="392"/>
      <c r="N109" s="392"/>
    </row>
    <row r="110" spans="1:14" hidden="1" outlineLevel="2" x14ac:dyDescent="0.35">
      <c r="A110" s="388" t="s">
        <v>3892</v>
      </c>
      <c r="B110" s="389">
        <v>44012</v>
      </c>
      <c r="C110" s="390" t="s">
        <v>4234</v>
      </c>
      <c r="D110" s="391" t="s">
        <v>4237</v>
      </c>
      <c r="E110" s="391" t="s">
        <v>4238</v>
      </c>
      <c r="F110" s="392">
        <v>20000</v>
      </c>
      <c r="G110" s="393" t="s">
        <v>3800</v>
      </c>
      <c r="H110" s="394">
        <v>7.6791315167748655</v>
      </c>
      <c r="I110" s="394"/>
      <c r="J110" s="392"/>
      <c r="K110" s="392">
        <v>7.6791315167748655</v>
      </c>
      <c r="L110" s="392"/>
      <c r="M110" s="392"/>
      <c r="N110" s="392"/>
    </row>
    <row r="111" spans="1:14" hidden="1" outlineLevel="2" x14ac:dyDescent="0.35">
      <c r="A111" s="388" t="s">
        <v>3892</v>
      </c>
      <c r="B111" s="389">
        <v>44012</v>
      </c>
      <c r="C111" s="390" t="s">
        <v>4234</v>
      </c>
      <c r="D111" s="391" t="s">
        <v>4239</v>
      </c>
      <c r="E111" s="391" t="s">
        <v>4238</v>
      </c>
      <c r="F111" s="392">
        <v>125000</v>
      </c>
      <c r="G111" s="393" t="s">
        <v>3800</v>
      </c>
      <c r="H111" s="394">
        <v>47.99457197984291</v>
      </c>
      <c r="I111" s="394"/>
      <c r="J111" s="392"/>
      <c r="K111" s="392">
        <v>47.99457197984291</v>
      </c>
      <c r="L111" s="392"/>
      <c r="M111" s="392"/>
      <c r="N111" s="392"/>
    </row>
    <row r="112" spans="1:14" hidden="1" outlineLevel="2" x14ac:dyDescent="0.35">
      <c r="A112" s="388" t="s">
        <v>3892</v>
      </c>
      <c r="B112" s="389">
        <v>44012</v>
      </c>
      <c r="C112" s="390" t="s">
        <v>4234</v>
      </c>
      <c r="D112" s="391" t="s">
        <v>4240</v>
      </c>
      <c r="E112" s="391" t="s">
        <v>4203</v>
      </c>
      <c r="F112" s="392">
        <v>195000</v>
      </c>
      <c r="G112" s="393" t="s">
        <v>3800</v>
      </c>
      <c r="H112" s="394">
        <v>74.871532288554945</v>
      </c>
      <c r="I112" s="394"/>
      <c r="J112" s="392"/>
      <c r="K112" s="392">
        <v>74.871532288554945</v>
      </c>
      <c r="L112" s="392"/>
      <c r="M112" s="392"/>
      <c r="N112" s="392"/>
    </row>
    <row r="113" spans="1:14" hidden="1" outlineLevel="2" x14ac:dyDescent="0.35">
      <c r="A113" s="388" t="s">
        <v>3892</v>
      </c>
      <c r="B113" s="389">
        <v>44012</v>
      </c>
      <c r="C113" s="390" t="s">
        <v>4234</v>
      </c>
      <c r="D113" s="391" t="s">
        <v>4241</v>
      </c>
      <c r="E113" s="391" t="s">
        <v>4238</v>
      </c>
      <c r="F113" s="392">
        <v>144000</v>
      </c>
      <c r="G113" s="393" t="s">
        <v>3800</v>
      </c>
      <c r="H113" s="394">
        <v>55.289746920779031</v>
      </c>
      <c r="I113" s="394"/>
      <c r="J113" s="392"/>
      <c r="K113" s="392">
        <v>55.289746920779031</v>
      </c>
      <c r="L113" s="392"/>
      <c r="M113" s="392"/>
      <c r="N113" s="392"/>
    </row>
    <row r="114" spans="1:14" hidden="1" outlineLevel="2" x14ac:dyDescent="0.35">
      <c r="A114" s="388" t="s">
        <v>3892</v>
      </c>
      <c r="B114" s="389">
        <v>44018</v>
      </c>
      <c r="C114" s="390" t="s">
        <v>4242</v>
      </c>
      <c r="D114" s="391" t="s">
        <v>4243</v>
      </c>
      <c r="E114" s="391" t="s">
        <v>4180</v>
      </c>
      <c r="F114" s="392">
        <v>2290850</v>
      </c>
      <c r="G114" s="393" t="s">
        <v>3800</v>
      </c>
      <c r="H114" s="394">
        <v>879.58692176018508</v>
      </c>
      <c r="I114" s="394"/>
      <c r="J114" s="392"/>
      <c r="K114" s="392">
        <v>879.58692176018508</v>
      </c>
      <c r="L114" s="392"/>
      <c r="M114" s="392"/>
      <c r="N114" s="392"/>
    </row>
    <row r="115" spans="1:14" hidden="1" outlineLevel="2" x14ac:dyDescent="0.35">
      <c r="A115" s="388" t="s">
        <v>3892</v>
      </c>
      <c r="B115" s="389">
        <v>44018</v>
      </c>
      <c r="C115" s="390" t="s">
        <v>4184</v>
      </c>
      <c r="D115" s="391" t="s">
        <v>4243</v>
      </c>
      <c r="E115" s="391" t="s">
        <v>4244</v>
      </c>
      <c r="F115" s="392">
        <v>2290200</v>
      </c>
      <c r="G115" s="393" t="s">
        <v>3800</v>
      </c>
      <c r="H115" s="394">
        <v>879.33734998588989</v>
      </c>
      <c r="I115" s="394"/>
      <c r="J115" s="392"/>
      <c r="K115" s="392">
        <v>879.33734998588989</v>
      </c>
      <c r="L115" s="392"/>
      <c r="M115" s="392"/>
      <c r="N115" s="392"/>
    </row>
    <row r="116" spans="1:14" hidden="1" outlineLevel="2" x14ac:dyDescent="0.35">
      <c r="A116" s="388" t="s">
        <v>3892</v>
      </c>
      <c r="B116" s="389">
        <v>44018</v>
      </c>
      <c r="C116" s="390" t="s">
        <v>4187</v>
      </c>
      <c r="D116" s="391" t="s">
        <v>4243</v>
      </c>
      <c r="E116" s="391" t="s">
        <v>4245</v>
      </c>
      <c r="F116" s="392">
        <v>2291000</v>
      </c>
      <c r="G116" s="393" t="s">
        <v>3800</v>
      </c>
      <c r="H116" s="394">
        <v>879.6445152465609</v>
      </c>
      <c r="I116" s="394"/>
      <c r="J116" s="392"/>
      <c r="K116" s="392">
        <v>879.6445152465609</v>
      </c>
      <c r="L116" s="392"/>
      <c r="M116" s="392"/>
      <c r="N116" s="392"/>
    </row>
    <row r="117" spans="1:14" hidden="1" outlineLevel="2" x14ac:dyDescent="0.35">
      <c r="A117" s="388" t="s">
        <v>3892</v>
      </c>
      <c r="B117" s="389">
        <v>44018</v>
      </c>
      <c r="C117" s="390" t="s">
        <v>4189</v>
      </c>
      <c r="D117" s="391" t="s">
        <v>4243</v>
      </c>
      <c r="E117" s="391" t="s">
        <v>4154</v>
      </c>
      <c r="F117" s="392">
        <v>2291050</v>
      </c>
      <c r="G117" s="393" t="s">
        <v>3800</v>
      </c>
      <c r="H117" s="394">
        <v>879.6637130753528</v>
      </c>
      <c r="I117" s="394"/>
      <c r="J117" s="392"/>
      <c r="K117" s="392">
        <v>879.6637130753528</v>
      </c>
      <c r="L117" s="392"/>
      <c r="M117" s="392"/>
      <c r="N117" s="392"/>
    </row>
    <row r="118" spans="1:14" hidden="1" outlineLevel="2" x14ac:dyDescent="0.35">
      <c r="A118" s="388" t="s">
        <v>3892</v>
      </c>
      <c r="B118" s="389">
        <v>44018</v>
      </c>
      <c r="C118" s="390" t="s">
        <v>4246</v>
      </c>
      <c r="D118" s="391" t="s">
        <v>4247</v>
      </c>
      <c r="E118" s="391" t="s">
        <v>4248</v>
      </c>
      <c r="F118" s="392">
        <v>115211250</v>
      </c>
      <c r="G118" s="393" t="s">
        <v>3800</v>
      </c>
      <c r="H118" s="394">
        <v>44236.117048101412</v>
      </c>
      <c r="I118" s="394"/>
      <c r="J118" s="392"/>
      <c r="K118" s="392">
        <v>44236.117048101412</v>
      </c>
      <c r="L118" s="392"/>
      <c r="M118" s="392"/>
      <c r="N118" s="392"/>
    </row>
    <row r="119" spans="1:14" hidden="1" outlineLevel="2" x14ac:dyDescent="0.35">
      <c r="A119" s="388" t="s">
        <v>3892</v>
      </c>
      <c r="B119" s="389">
        <v>44022</v>
      </c>
      <c r="C119" s="390" t="s">
        <v>4249</v>
      </c>
      <c r="D119" s="391" t="s">
        <v>4250</v>
      </c>
      <c r="E119" s="391" t="s">
        <v>4251</v>
      </c>
      <c r="F119" s="392">
        <v>6063750</v>
      </c>
      <c r="G119" s="393" t="s">
        <v>3800</v>
      </c>
      <c r="H119" s="394">
        <v>2328.2166867421797</v>
      </c>
      <c r="I119" s="394"/>
      <c r="J119" s="392"/>
      <c r="K119" s="392">
        <v>2328.2166867421797</v>
      </c>
      <c r="L119" s="392"/>
      <c r="M119" s="392"/>
      <c r="N119" s="392"/>
    </row>
    <row r="120" spans="1:14" outlineLevel="1" collapsed="1" x14ac:dyDescent="0.35">
      <c r="A120" s="395" t="s">
        <v>4252</v>
      </c>
      <c r="B120" s="389"/>
      <c r="C120" s="390"/>
      <c r="D120" s="391"/>
      <c r="E120" s="391"/>
      <c r="F120" s="392"/>
      <c r="G120" s="393"/>
      <c r="H120" s="394">
        <f t="shared" ref="H120:N120" si="6">SUBTOTAL(9,H76:H119)</f>
        <v>62905.928372988557</v>
      </c>
      <c r="I120" s="394"/>
      <c r="J120" s="392">
        <f t="shared" si="6"/>
        <v>0</v>
      </c>
      <c r="K120" s="392">
        <f t="shared" si="6"/>
        <v>62905.928372988557</v>
      </c>
      <c r="L120" s="392">
        <f t="shared" si="6"/>
        <v>0</v>
      </c>
      <c r="M120" s="392">
        <f t="shared" si="6"/>
        <v>0</v>
      </c>
      <c r="N120" s="392">
        <f t="shared" si="6"/>
        <v>0</v>
      </c>
    </row>
    <row r="121" spans="1:14" hidden="1" outlineLevel="2" x14ac:dyDescent="0.35">
      <c r="A121" s="388" t="s">
        <v>3890</v>
      </c>
      <c r="B121" s="389">
        <v>43963</v>
      </c>
      <c r="C121" s="390" t="s">
        <v>4253</v>
      </c>
      <c r="D121" s="391" t="s">
        <v>4254</v>
      </c>
      <c r="E121" s="391" t="s">
        <v>4255</v>
      </c>
      <c r="F121" s="392">
        <v>4961250</v>
      </c>
      <c r="G121" s="393" t="s">
        <v>3800</v>
      </c>
      <c r="H121" s="394">
        <v>1904.9045618799651</v>
      </c>
      <c r="I121" s="394"/>
      <c r="J121" s="392"/>
      <c r="K121" s="392">
        <v>1904.9045618799651</v>
      </c>
      <c r="L121" s="392"/>
      <c r="M121" s="392"/>
      <c r="N121" s="392"/>
    </row>
    <row r="122" spans="1:14" hidden="1" outlineLevel="2" x14ac:dyDescent="0.35">
      <c r="A122" s="388" t="s">
        <v>3890</v>
      </c>
      <c r="B122" s="389">
        <v>43964</v>
      </c>
      <c r="C122" s="390" t="s">
        <v>4256</v>
      </c>
      <c r="D122" s="391" t="s">
        <v>4257</v>
      </c>
      <c r="E122" s="391" t="s">
        <v>4258</v>
      </c>
      <c r="F122" s="392">
        <v>750000</v>
      </c>
      <c r="G122" s="393" t="s">
        <v>3800</v>
      </c>
      <c r="H122" s="394">
        <v>287.96743187905747</v>
      </c>
      <c r="I122" s="394"/>
      <c r="J122" s="392"/>
      <c r="K122" s="392">
        <v>287.96743187905747</v>
      </c>
      <c r="L122" s="392"/>
      <c r="M122" s="392"/>
      <c r="N122" s="392"/>
    </row>
    <row r="123" spans="1:14" hidden="1" outlineLevel="2" x14ac:dyDescent="0.35">
      <c r="A123" s="388" t="s">
        <v>3890</v>
      </c>
      <c r="B123" s="389">
        <v>43964</v>
      </c>
      <c r="C123" s="390" t="s">
        <v>4259</v>
      </c>
      <c r="D123" s="391" t="s">
        <v>4260</v>
      </c>
      <c r="E123" s="391" t="s">
        <v>4261</v>
      </c>
      <c r="F123" s="392">
        <v>309800</v>
      </c>
      <c r="G123" s="393" t="s">
        <v>3800</v>
      </c>
      <c r="H123" s="394">
        <v>118.94974719484267</v>
      </c>
      <c r="I123" s="394"/>
      <c r="J123" s="392"/>
      <c r="K123" s="392">
        <v>118.94974719484267</v>
      </c>
      <c r="L123" s="392"/>
      <c r="M123" s="392"/>
      <c r="N123" s="392"/>
    </row>
    <row r="124" spans="1:14" hidden="1" outlineLevel="2" x14ac:dyDescent="0.35">
      <c r="A124" s="388" t="s">
        <v>3890</v>
      </c>
      <c r="B124" s="389">
        <v>43966</v>
      </c>
      <c r="C124" s="390" t="s">
        <v>4262</v>
      </c>
      <c r="D124" s="391" t="s">
        <v>4263</v>
      </c>
      <c r="E124" s="391" t="s">
        <v>4264</v>
      </c>
      <c r="F124" s="392">
        <v>14000000</v>
      </c>
      <c r="G124" s="393" t="s">
        <v>3800</v>
      </c>
      <c r="H124" s="394">
        <v>5375.3920617424064</v>
      </c>
      <c r="I124" s="394"/>
      <c r="J124" s="392"/>
      <c r="K124" s="392">
        <v>5375.3920617424064</v>
      </c>
      <c r="L124" s="392"/>
      <c r="M124" s="392"/>
      <c r="N124" s="392"/>
    </row>
    <row r="125" spans="1:14" outlineLevel="1" collapsed="1" x14ac:dyDescent="0.35">
      <c r="A125" s="395" t="s">
        <v>4265</v>
      </c>
      <c r="B125" s="389"/>
      <c r="C125" s="390"/>
      <c r="D125" s="391"/>
      <c r="E125" s="391"/>
      <c r="F125" s="392"/>
      <c r="G125" s="393"/>
      <c r="H125" s="394">
        <f t="shared" ref="H125:N125" si="7">SUBTOTAL(9,H121:H124)</f>
        <v>7687.2138026962712</v>
      </c>
      <c r="I125" s="394"/>
      <c r="J125" s="392">
        <f t="shared" si="7"/>
        <v>0</v>
      </c>
      <c r="K125" s="392">
        <f t="shared" si="7"/>
        <v>7687.2138026962712</v>
      </c>
      <c r="L125" s="392">
        <f t="shared" si="7"/>
        <v>0</v>
      </c>
      <c r="M125" s="392">
        <f t="shared" si="7"/>
        <v>0</v>
      </c>
      <c r="N125" s="392">
        <f t="shared" si="7"/>
        <v>0</v>
      </c>
    </row>
    <row r="126" spans="1:14" hidden="1" outlineLevel="2" x14ac:dyDescent="0.35">
      <c r="A126" s="388" t="s">
        <v>3975</v>
      </c>
      <c r="B126" s="389">
        <v>43950</v>
      </c>
      <c r="C126" s="390" t="s">
        <v>4266</v>
      </c>
      <c r="D126" s="391" t="s">
        <v>4267</v>
      </c>
      <c r="E126" s="391" t="s">
        <v>4268</v>
      </c>
      <c r="F126" s="392">
        <v>2900000</v>
      </c>
      <c r="G126" s="393" t="s">
        <v>3800</v>
      </c>
      <c r="H126" s="394">
        <v>1113.4740699323556</v>
      </c>
      <c r="I126" s="394"/>
      <c r="J126" s="392">
        <v>278.36851748308891</v>
      </c>
      <c r="K126" s="392">
        <v>278.36851748308891</v>
      </c>
      <c r="L126" s="392">
        <v>278.36851748308891</v>
      </c>
      <c r="M126" s="392">
        <v>278.36851748308891</v>
      </c>
      <c r="N126" s="392"/>
    </row>
    <row r="127" spans="1:14" hidden="1" outlineLevel="2" x14ac:dyDescent="0.35">
      <c r="A127" s="388" t="s">
        <v>3975</v>
      </c>
      <c r="B127" s="389">
        <v>43950</v>
      </c>
      <c r="C127" s="390" t="s">
        <v>4266</v>
      </c>
      <c r="D127" s="391" t="s">
        <v>4269</v>
      </c>
      <c r="E127" s="391" t="s">
        <v>4268</v>
      </c>
      <c r="F127" s="392">
        <v>435000</v>
      </c>
      <c r="G127" s="393" t="s">
        <v>3800</v>
      </c>
      <c r="H127" s="394">
        <v>167.02111048985333</v>
      </c>
      <c r="I127" s="394"/>
      <c r="J127" s="392">
        <v>41.755277622463332</v>
      </c>
      <c r="K127" s="392">
        <v>41.755277622463332</v>
      </c>
      <c r="L127" s="392">
        <v>41.755277622463332</v>
      </c>
      <c r="M127" s="392">
        <v>41.755277622463332</v>
      </c>
      <c r="N127" s="392"/>
    </row>
    <row r="128" spans="1:14" hidden="1" outlineLevel="2" x14ac:dyDescent="0.35">
      <c r="A128" s="388" t="s">
        <v>3975</v>
      </c>
      <c r="B128" s="389">
        <v>43950</v>
      </c>
      <c r="C128" s="390" t="s">
        <v>4270</v>
      </c>
      <c r="D128" s="391" t="s">
        <v>4271</v>
      </c>
      <c r="E128" s="391" t="s">
        <v>4272</v>
      </c>
      <c r="F128" s="392">
        <v>362500</v>
      </c>
      <c r="G128" s="393" t="s">
        <v>3800</v>
      </c>
      <c r="H128" s="394">
        <v>139.18425874154445</v>
      </c>
      <c r="I128" s="394"/>
      <c r="J128" s="392">
        <v>34.796064685386114</v>
      </c>
      <c r="K128" s="392">
        <v>34.796064685386114</v>
      </c>
      <c r="L128" s="392">
        <v>34.796064685386114</v>
      </c>
      <c r="M128" s="392">
        <v>34.796064685386114</v>
      </c>
      <c r="N128" s="392"/>
    </row>
    <row r="129" spans="1:14" hidden="1" outlineLevel="2" x14ac:dyDescent="0.35">
      <c r="A129" s="388" t="s">
        <v>3975</v>
      </c>
      <c r="B129" s="389">
        <v>43950</v>
      </c>
      <c r="C129" s="390" t="s">
        <v>4266</v>
      </c>
      <c r="D129" s="391" t="s">
        <v>4273</v>
      </c>
      <c r="E129" s="391" t="s">
        <v>4268</v>
      </c>
      <c r="F129" s="392">
        <v>145000</v>
      </c>
      <c r="G129" s="393" t="s">
        <v>3800</v>
      </c>
      <c r="H129" s="394">
        <v>55.673703496617776</v>
      </c>
      <c r="I129" s="394"/>
      <c r="J129" s="392">
        <v>13.918425874154444</v>
      </c>
      <c r="K129" s="392">
        <v>13.918425874154444</v>
      </c>
      <c r="L129" s="392">
        <v>13.918425874154444</v>
      </c>
      <c r="M129" s="392">
        <v>13.918425874154444</v>
      </c>
      <c r="N129" s="392"/>
    </row>
    <row r="130" spans="1:14" hidden="1" outlineLevel="2" x14ac:dyDescent="0.35">
      <c r="A130" s="388" t="s">
        <v>3975</v>
      </c>
      <c r="B130" s="389">
        <v>43950</v>
      </c>
      <c r="C130" s="390" t="s">
        <v>4274</v>
      </c>
      <c r="D130" s="391" t="s">
        <v>4275</v>
      </c>
      <c r="E130" s="391" t="s">
        <v>4276</v>
      </c>
      <c r="F130" s="392">
        <v>145000</v>
      </c>
      <c r="G130" s="393" t="s">
        <v>3800</v>
      </c>
      <c r="H130" s="394">
        <v>55.673703496617776</v>
      </c>
      <c r="I130" s="394"/>
      <c r="J130" s="392">
        <v>13.918425874154444</v>
      </c>
      <c r="K130" s="392">
        <v>13.918425874154444</v>
      </c>
      <c r="L130" s="392">
        <v>13.918425874154444</v>
      </c>
      <c r="M130" s="392">
        <v>13.918425874154444</v>
      </c>
      <c r="N130" s="392"/>
    </row>
    <row r="131" spans="1:14" hidden="1" outlineLevel="2" x14ac:dyDescent="0.35">
      <c r="A131" s="388" t="s">
        <v>3975</v>
      </c>
      <c r="B131" s="389">
        <v>43950</v>
      </c>
      <c r="C131" s="390" t="s">
        <v>4277</v>
      </c>
      <c r="D131" s="391" t="s">
        <v>4278</v>
      </c>
      <c r="E131" s="391" t="s">
        <v>4042</v>
      </c>
      <c r="F131" s="392">
        <v>36250</v>
      </c>
      <c r="G131" s="393" t="s">
        <v>3800</v>
      </c>
      <c r="H131" s="394">
        <v>13.918425874154444</v>
      </c>
      <c r="I131" s="394"/>
      <c r="J131" s="392">
        <v>3.479606468538611</v>
      </c>
      <c r="K131" s="392">
        <v>3.479606468538611</v>
      </c>
      <c r="L131" s="392">
        <v>3.479606468538611</v>
      </c>
      <c r="M131" s="392">
        <v>3.479606468538611</v>
      </c>
      <c r="N131" s="392"/>
    </row>
    <row r="132" spans="1:14" hidden="1" outlineLevel="2" x14ac:dyDescent="0.35">
      <c r="A132" s="388" t="s">
        <v>3975</v>
      </c>
      <c r="B132" s="389">
        <v>43959</v>
      </c>
      <c r="C132" s="390" t="s">
        <v>4253</v>
      </c>
      <c r="D132" s="391" t="s">
        <v>4279</v>
      </c>
      <c r="E132" s="391" t="s">
        <v>4268</v>
      </c>
      <c r="F132" s="392">
        <v>2900000</v>
      </c>
      <c r="G132" s="393" t="s">
        <v>3800</v>
      </c>
      <c r="H132" s="394">
        <v>1113.4740699323556</v>
      </c>
      <c r="I132" s="394"/>
      <c r="J132" s="392">
        <v>278.36851748308891</v>
      </c>
      <c r="K132" s="392">
        <v>278.36851748308891</v>
      </c>
      <c r="L132" s="392">
        <v>278.36851748308891</v>
      </c>
      <c r="M132" s="392">
        <v>278.36851748308891</v>
      </c>
      <c r="N132" s="392"/>
    </row>
    <row r="133" spans="1:14" hidden="1" outlineLevel="2" x14ac:dyDescent="0.35">
      <c r="A133" s="388" t="s">
        <v>3975</v>
      </c>
      <c r="B133" s="389">
        <v>43959</v>
      </c>
      <c r="C133" s="390" t="s">
        <v>4253</v>
      </c>
      <c r="D133" s="391" t="s">
        <v>4280</v>
      </c>
      <c r="E133" s="391" t="s">
        <v>4268</v>
      </c>
      <c r="F133" s="392">
        <v>435000</v>
      </c>
      <c r="G133" s="393" t="s">
        <v>3800</v>
      </c>
      <c r="H133" s="394">
        <v>167.02111048985333</v>
      </c>
      <c r="I133" s="394"/>
      <c r="J133" s="392">
        <v>41.755277622463332</v>
      </c>
      <c r="K133" s="392">
        <v>41.755277622463332</v>
      </c>
      <c r="L133" s="392">
        <v>41.755277622463332</v>
      </c>
      <c r="M133" s="392">
        <v>41.755277622463332</v>
      </c>
      <c r="N133" s="392"/>
    </row>
    <row r="134" spans="1:14" hidden="1" outlineLevel="2" x14ac:dyDescent="0.35">
      <c r="A134" s="388" t="s">
        <v>3975</v>
      </c>
      <c r="B134" s="389">
        <v>43963</v>
      </c>
      <c r="C134" s="390" t="s">
        <v>4281</v>
      </c>
      <c r="D134" s="391" t="s">
        <v>4282</v>
      </c>
      <c r="E134" s="391" t="s">
        <v>4272</v>
      </c>
      <c r="F134" s="392">
        <v>362500</v>
      </c>
      <c r="G134" s="393" t="s">
        <v>3800</v>
      </c>
      <c r="H134" s="394">
        <v>139.18425874154445</v>
      </c>
      <c r="I134" s="394"/>
      <c r="J134" s="392">
        <v>34.796064685386114</v>
      </c>
      <c r="K134" s="392">
        <v>34.796064685386114</v>
      </c>
      <c r="L134" s="392">
        <v>34.796064685386114</v>
      </c>
      <c r="M134" s="392">
        <v>34.796064685386114</v>
      </c>
      <c r="N134" s="392"/>
    </row>
    <row r="135" spans="1:14" hidden="1" outlineLevel="2" x14ac:dyDescent="0.35">
      <c r="A135" s="388" t="s">
        <v>3975</v>
      </c>
      <c r="B135" s="389">
        <v>43959</v>
      </c>
      <c r="C135" s="390" t="s">
        <v>4253</v>
      </c>
      <c r="D135" s="391" t="s">
        <v>4283</v>
      </c>
      <c r="E135" s="391" t="s">
        <v>4268</v>
      </c>
      <c r="F135" s="392">
        <v>145000</v>
      </c>
      <c r="G135" s="393" t="s">
        <v>3800</v>
      </c>
      <c r="H135" s="394">
        <v>55.673703496617776</v>
      </c>
      <c r="I135" s="394"/>
      <c r="J135" s="392">
        <v>13.918425874154444</v>
      </c>
      <c r="K135" s="392">
        <v>13.918425874154444</v>
      </c>
      <c r="L135" s="392">
        <v>13.918425874154444</v>
      </c>
      <c r="M135" s="392">
        <v>13.918425874154444</v>
      </c>
      <c r="N135" s="392"/>
    </row>
    <row r="136" spans="1:14" hidden="1" outlineLevel="2" x14ac:dyDescent="0.35">
      <c r="A136" s="388" t="s">
        <v>3975</v>
      </c>
      <c r="B136" s="389">
        <v>43964</v>
      </c>
      <c r="C136" s="390" t="s">
        <v>4284</v>
      </c>
      <c r="D136" s="391" t="s">
        <v>4285</v>
      </c>
      <c r="E136" s="391" t="s">
        <v>4276</v>
      </c>
      <c r="F136" s="392">
        <v>145000</v>
      </c>
      <c r="G136" s="393" t="s">
        <v>3800</v>
      </c>
      <c r="H136" s="394">
        <v>55.673703496617776</v>
      </c>
      <c r="I136" s="394"/>
      <c r="J136" s="392">
        <v>13.918425874154444</v>
      </c>
      <c r="K136" s="392">
        <v>13.918425874154444</v>
      </c>
      <c r="L136" s="392">
        <v>13.918425874154444</v>
      </c>
      <c r="M136" s="392">
        <v>13.918425874154444</v>
      </c>
      <c r="N136" s="392"/>
    </row>
    <row r="137" spans="1:14" hidden="1" outlineLevel="2" x14ac:dyDescent="0.35">
      <c r="A137" s="388" t="s">
        <v>3975</v>
      </c>
      <c r="B137" s="389">
        <v>43959</v>
      </c>
      <c r="C137" s="390" t="s">
        <v>4286</v>
      </c>
      <c r="D137" s="391" t="s">
        <v>4287</v>
      </c>
      <c r="E137" s="391" t="s">
        <v>4042</v>
      </c>
      <c r="F137" s="392">
        <v>36250</v>
      </c>
      <c r="G137" s="393" t="s">
        <v>3800</v>
      </c>
      <c r="H137" s="394">
        <v>13.918425874154444</v>
      </c>
      <c r="I137" s="394"/>
      <c r="J137" s="392">
        <v>3.479606468538611</v>
      </c>
      <c r="K137" s="392">
        <v>3.479606468538611</v>
      </c>
      <c r="L137" s="392">
        <v>3.479606468538611</v>
      </c>
      <c r="M137" s="392">
        <v>3.479606468538611</v>
      </c>
      <c r="N137" s="392"/>
    </row>
    <row r="138" spans="1:14" hidden="1" outlineLevel="2" x14ac:dyDescent="0.35">
      <c r="A138" s="388" t="s">
        <v>3975</v>
      </c>
      <c r="B138" s="389">
        <v>43980</v>
      </c>
      <c r="C138" s="390" t="s">
        <v>4288</v>
      </c>
      <c r="D138" s="391" t="s">
        <v>4289</v>
      </c>
      <c r="E138" s="391" t="s">
        <v>4268</v>
      </c>
      <c r="F138" s="392">
        <v>2900000</v>
      </c>
      <c r="G138" s="393" t="s">
        <v>3800</v>
      </c>
      <c r="H138" s="394">
        <v>1113.4740699323556</v>
      </c>
      <c r="I138" s="394"/>
      <c r="J138" s="392">
        <v>278.36851748308891</v>
      </c>
      <c r="K138" s="392">
        <v>278.36851748308891</v>
      </c>
      <c r="L138" s="392">
        <v>278.36851748308891</v>
      </c>
      <c r="M138" s="392">
        <v>278.36851748308891</v>
      </c>
      <c r="N138" s="392"/>
    </row>
    <row r="139" spans="1:14" hidden="1" outlineLevel="2" x14ac:dyDescent="0.35">
      <c r="A139" s="388" t="s">
        <v>3975</v>
      </c>
      <c r="B139" s="389">
        <v>43980</v>
      </c>
      <c r="C139" s="390" t="s">
        <v>4290</v>
      </c>
      <c r="D139" s="391" t="s">
        <v>4291</v>
      </c>
      <c r="E139" s="391" t="s">
        <v>4268</v>
      </c>
      <c r="F139" s="392">
        <v>435000</v>
      </c>
      <c r="G139" s="393" t="s">
        <v>3800</v>
      </c>
      <c r="H139" s="394">
        <v>167.02111048985333</v>
      </c>
      <c r="I139" s="394"/>
      <c r="J139" s="392">
        <v>41.755277622463332</v>
      </c>
      <c r="K139" s="392">
        <v>41.755277622463332</v>
      </c>
      <c r="L139" s="392">
        <v>41.755277622463332</v>
      </c>
      <c r="M139" s="392">
        <v>41.755277622463332</v>
      </c>
      <c r="N139" s="392"/>
    </row>
    <row r="140" spans="1:14" hidden="1" outlineLevel="2" x14ac:dyDescent="0.35">
      <c r="A140" s="388" t="s">
        <v>3975</v>
      </c>
      <c r="B140" s="389">
        <v>43980</v>
      </c>
      <c r="C140" s="390" t="s">
        <v>4281</v>
      </c>
      <c r="D140" s="391" t="s">
        <v>4282</v>
      </c>
      <c r="E140" s="391" t="s">
        <v>4272</v>
      </c>
      <c r="F140" s="392">
        <v>362500</v>
      </c>
      <c r="G140" s="393" t="s">
        <v>3800</v>
      </c>
      <c r="H140" s="394">
        <v>139.18425874154445</v>
      </c>
      <c r="I140" s="394"/>
      <c r="J140" s="392">
        <v>34.796064685386114</v>
      </c>
      <c r="K140" s="392">
        <v>34.796064685386114</v>
      </c>
      <c r="L140" s="392">
        <v>34.796064685386114</v>
      </c>
      <c r="M140" s="392">
        <v>34.796064685386114</v>
      </c>
      <c r="N140" s="392"/>
    </row>
    <row r="141" spans="1:14" hidden="1" outlineLevel="2" x14ac:dyDescent="0.35">
      <c r="A141" s="388" t="s">
        <v>3975</v>
      </c>
      <c r="B141" s="389">
        <v>43980</v>
      </c>
      <c r="C141" s="390" t="s">
        <v>4288</v>
      </c>
      <c r="D141" s="391" t="s">
        <v>4292</v>
      </c>
      <c r="E141" s="391" t="s">
        <v>4268</v>
      </c>
      <c r="F141" s="392">
        <v>145000</v>
      </c>
      <c r="G141" s="393" t="s">
        <v>3800</v>
      </c>
      <c r="H141" s="394">
        <v>55.673703496617776</v>
      </c>
      <c r="I141" s="394"/>
      <c r="J141" s="392">
        <v>13.918425874154444</v>
      </c>
      <c r="K141" s="392">
        <v>13.918425874154444</v>
      </c>
      <c r="L141" s="392">
        <v>13.918425874154444</v>
      </c>
      <c r="M141" s="392">
        <v>13.918425874154444</v>
      </c>
      <c r="N141" s="392"/>
    </row>
    <row r="142" spans="1:14" hidden="1" outlineLevel="2" x14ac:dyDescent="0.35">
      <c r="A142" s="388" t="s">
        <v>3975</v>
      </c>
      <c r="B142" s="389">
        <v>43980</v>
      </c>
      <c r="C142" s="390" t="s">
        <v>4184</v>
      </c>
      <c r="D142" s="391" t="s">
        <v>4293</v>
      </c>
      <c r="E142" s="391" t="s">
        <v>4276</v>
      </c>
      <c r="F142" s="392">
        <v>145000</v>
      </c>
      <c r="G142" s="393" t="s">
        <v>3800</v>
      </c>
      <c r="H142" s="394">
        <v>55.673703496617776</v>
      </c>
      <c r="I142" s="394"/>
      <c r="J142" s="392">
        <v>13.918425874154444</v>
      </c>
      <c r="K142" s="392">
        <v>13.918425874154444</v>
      </c>
      <c r="L142" s="392">
        <v>13.918425874154444</v>
      </c>
      <c r="M142" s="392">
        <v>13.918425874154444</v>
      </c>
      <c r="N142" s="392"/>
    </row>
    <row r="143" spans="1:14" hidden="1" outlineLevel="2" x14ac:dyDescent="0.35">
      <c r="A143" s="388" t="s">
        <v>3975</v>
      </c>
      <c r="B143" s="389">
        <v>43980</v>
      </c>
      <c r="C143" s="390" t="s">
        <v>4294</v>
      </c>
      <c r="D143" s="391" t="s">
        <v>4295</v>
      </c>
      <c r="E143" s="391" t="s">
        <v>4042</v>
      </c>
      <c r="F143" s="392">
        <v>36250</v>
      </c>
      <c r="G143" s="393" t="s">
        <v>3800</v>
      </c>
      <c r="H143" s="394">
        <v>13.918425874154444</v>
      </c>
      <c r="I143" s="394"/>
      <c r="J143" s="392">
        <v>3.479606468538611</v>
      </c>
      <c r="K143" s="392">
        <v>3.479606468538611</v>
      </c>
      <c r="L143" s="392">
        <v>3.479606468538611</v>
      </c>
      <c r="M143" s="392">
        <v>3.479606468538611</v>
      </c>
      <c r="N143" s="392"/>
    </row>
    <row r="144" spans="1:14" hidden="1" outlineLevel="2" x14ac:dyDescent="0.35">
      <c r="A144" s="388" t="s">
        <v>3975</v>
      </c>
      <c r="B144" s="389">
        <v>44018</v>
      </c>
      <c r="C144" s="390" t="s">
        <v>4192</v>
      </c>
      <c r="D144" s="391" t="s">
        <v>4296</v>
      </c>
      <c r="E144" s="391" t="s">
        <v>4268</v>
      </c>
      <c r="F144" s="392">
        <v>2900000</v>
      </c>
      <c r="G144" s="393" t="s">
        <v>3800</v>
      </c>
      <c r="H144" s="394">
        <v>1113.4740699323556</v>
      </c>
      <c r="I144" s="394"/>
      <c r="J144" s="392">
        <v>278.36851748308891</v>
      </c>
      <c r="K144" s="392">
        <v>278.36851748308891</v>
      </c>
      <c r="L144" s="392">
        <v>278.36851748308891</v>
      </c>
      <c r="M144" s="392">
        <v>278.36851748308891</v>
      </c>
      <c r="N144" s="392"/>
    </row>
    <row r="145" spans="1:14" hidden="1" outlineLevel="2" x14ac:dyDescent="0.35">
      <c r="A145" s="388" t="s">
        <v>3975</v>
      </c>
      <c r="B145" s="389">
        <v>44018</v>
      </c>
      <c r="C145" s="390" t="s">
        <v>4192</v>
      </c>
      <c r="D145" s="391" t="s">
        <v>4297</v>
      </c>
      <c r="E145" s="391" t="s">
        <v>4268</v>
      </c>
      <c r="F145" s="392">
        <v>435000</v>
      </c>
      <c r="G145" s="393" t="s">
        <v>3800</v>
      </c>
      <c r="H145" s="394">
        <v>167.02111048985333</v>
      </c>
      <c r="I145" s="394"/>
      <c r="J145" s="392">
        <v>41.755277622463332</v>
      </c>
      <c r="K145" s="392">
        <v>41.755277622463332</v>
      </c>
      <c r="L145" s="392">
        <v>41.755277622463332</v>
      </c>
      <c r="M145" s="392">
        <v>41.755277622463332</v>
      </c>
      <c r="N145" s="392"/>
    </row>
    <row r="146" spans="1:14" hidden="1" outlineLevel="2" x14ac:dyDescent="0.35">
      <c r="A146" s="388" t="s">
        <v>3975</v>
      </c>
      <c r="B146" s="389">
        <v>44022</v>
      </c>
      <c r="C146" s="390" t="s">
        <v>4298</v>
      </c>
      <c r="D146" s="391" t="s">
        <v>4299</v>
      </c>
      <c r="E146" s="391" t="s">
        <v>4272</v>
      </c>
      <c r="F146" s="392">
        <v>362500</v>
      </c>
      <c r="G146" s="393" t="s">
        <v>3800</v>
      </c>
      <c r="H146" s="394">
        <v>139.18425874154445</v>
      </c>
      <c r="I146" s="394"/>
      <c r="J146" s="392">
        <v>34.796064685386114</v>
      </c>
      <c r="K146" s="392">
        <v>34.796064685386114</v>
      </c>
      <c r="L146" s="392">
        <v>34.796064685386114</v>
      </c>
      <c r="M146" s="392">
        <v>34.796064685386114</v>
      </c>
      <c r="N146" s="392"/>
    </row>
    <row r="147" spans="1:14" hidden="1" outlineLevel="2" x14ac:dyDescent="0.35">
      <c r="A147" s="388" t="s">
        <v>3975</v>
      </c>
      <c r="B147" s="389">
        <v>44018</v>
      </c>
      <c r="C147" s="390" t="s">
        <v>4192</v>
      </c>
      <c r="D147" s="391" t="s">
        <v>4300</v>
      </c>
      <c r="E147" s="391" t="s">
        <v>4268</v>
      </c>
      <c r="F147" s="392">
        <v>145000</v>
      </c>
      <c r="G147" s="393" t="s">
        <v>3800</v>
      </c>
      <c r="H147" s="394">
        <v>55.673703496617776</v>
      </c>
      <c r="I147" s="394"/>
      <c r="J147" s="392">
        <v>13.918425874154444</v>
      </c>
      <c r="K147" s="392">
        <v>13.918425874154444</v>
      </c>
      <c r="L147" s="392">
        <v>13.918425874154444</v>
      </c>
      <c r="M147" s="392">
        <v>13.918425874154444</v>
      </c>
      <c r="N147" s="392"/>
    </row>
    <row r="148" spans="1:14" hidden="1" outlineLevel="2" x14ac:dyDescent="0.35">
      <c r="A148" s="388" t="s">
        <v>3975</v>
      </c>
      <c r="B148" s="389">
        <v>44022</v>
      </c>
      <c r="C148" s="390" t="s">
        <v>4301</v>
      </c>
      <c r="D148" s="391" t="s">
        <v>4302</v>
      </c>
      <c r="E148" s="391" t="s">
        <v>4276</v>
      </c>
      <c r="F148" s="392">
        <v>145000</v>
      </c>
      <c r="G148" s="393" t="s">
        <v>3800</v>
      </c>
      <c r="H148" s="394">
        <v>55.673703496617776</v>
      </c>
      <c r="I148" s="394"/>
      <c r="J148" s="392">
        <v>13.918425874154444</v>
      </c>
      <c r="K148" s="392">
        <v>13.918425874154444</v>
      </c>
      <c r="L148" s="392">
        <v>13.918425874154444</v>
      </c>
      <c r="M148" s="392">
        <v>13.918425874154444</v>
      </c>
      <c r="N148" s="392"/>
    </row>
    <row r="149" spans="1:14" hidden="1" outlineLevel="2" x14ac:dyDescent="0.35">
      <c r="A149" s="388" t="s">
        <v>3975</v>
      </c>
      <c r="B149" s="389">
        <v>44022</v>
      </c>
      <c r="C149" s="390" t="s">
        <v>4303</v>
      </c>
      <c r="D149" s="391" t="s">
        <v>4304</v>
      </c>
      <c r="E149" s="391" t="s">
        <v>4042</v>
      </c>
      <c r="F149" s="392">
        <v>36250</v>
      </c>
      <c r="G149" s="393" t="s">
        <v>3800</v>
      </c>
      <c r="H149" s="394">
        <v>13.918425874154444</v>
      </c>
      <c r="I149" s="394"/>
      <c r="J149" s="392">
        <v>3.479606468538611</v>
      </c>
      <c r="K149" s="392">
        <v>3.479606468538611</v>
      </c>
      <c r="L149" s="392">
        <v>3.479606468538611</v>
      </c>
      <c r="M149" s="392">
        <v>3.479606468538611</v>
      </c>
      <c r="N149" s="392"/>
    </row>
    <row r="150" spans="1:14" hidden="1" outlineLevel="2" x14ac:dyDescent="0.35">
      <c r="A150" s="388" t="s">
        <v>3975</v>
      </c>
      <c r="B150" s="389">
        <v>44047</v>
      </c>
      <c r="C150" s="390" t="s">
        <v>4305</v>
      </c>
      <c r="D150" s="391" t="s">
        <v>4306</v>
      </c>
      <c r="E150" s="391" t="s">
        <v>4268</v>
      </c>
      <c r="F150" s="392">
        <v>2900000</v>
      </c>
      <c r="G150" s="393" t="s">
        <v>3800</v>
      </c>
      <c r="H150" s="394">
        <v>1113.4740699323556</v>
      </c>
      <c r="I150" s="394"/>
      <c r="J150" s="392">
        <v>278.36851748308891</v>
      </c>
      <c r="K150" s="392">
        <v>278.36851748308891</v>
      </c>
      <c r="L150" s="392">
        <v>278.36851748308891</v>
      </c>
      <c r="M150" s="392">
        <v>278.36851748308891</v>
      </c>
      <c r="N150" s="392"/>
    </row>
    <row r="151" spans="1:14" hidden="1" outlineLevel="2" collapsed="1" x14ac:dyDescent="0.35">
      <c r="A151" s="388" t="s">
        <v>3975</v>
      </c>
      <c r="B151" s="389">
        <v>44047</v>
      </c>
      <c r="C151" s="390" t="s">
        <v>4305</v>
      </c>
      <c r="D151" s="391" t="s">
        <v>4307</v>
      </c>
      <c r="E151" s="391" t="s">
        <v>4268</v>
      </c>
      <c r="F151" s="392">
        <v>435000</v>
      </c>
      <c r="G151" s="393" t="s">
        <v>3800</v>
      </c>
      <c r="H151" s="394">
        <v>167.02111048985333</v>
      </c>
      <c r="I151" s="394"/>
      <c r="J151" s="392">
        <v>41.755277622463332</v>
      </c>
      <c r="K151" s="392">
        <v>41.755277622463332</v>
      </c>
      <c r="L151" s="392">
        <v>41.755277622463332</v>
      </c>
      <c r="M151" s="392">
        <v>41.755277622463332</v>
      </c>
      <c r="N151" s="392"/>
    </row>
    <row r="152" spans="1:14" hidden="1" outlineLevel="2" x14ac:dyDescent="0.35">
      <c r="A152" s="388" t="s">
        <v>3975</v>
      </c>
      <c r="B152" s="389">
        <v>44047</v>
      </c>
      <c r="C152" s="390" t="s">
        <v>4308</v>
      </c>
      <c r="D152" s="391" t="s">
        <v>4309</v>
      </c>
      <c r="E152" s="391" t="s">
        <v>4272</v>
      </c>
      <c r="F152" s="392">
        <v>362500</v>
      </c>
      <c r="G152" s="393" t="s">
        <v>3800</v>
      </c>
      <c r="H152" s="394">
        <v>139.18425874154445</v>
      </c>
      <c r="I152" s="394"/>
      <c r="J152" s="392">
        <v>34.796064685386114</v>
      </c>
      <c r="K152" s="392">
        <v>34.796064685386114</v>
      </c>
      <c r="L152" s="392">
        <v>34.796064685386114</v>
      </c>
      <c r="M152" s="392">
        <v>34.796064685386114</v>
      </c>
      <c r="N152" s="392"/>
    </row>
    <row r="153" spans="1:14" hidden="1" outlineLevel="2" x14ac:dyDescent="0.35">
      <c r="A153" s="388" t="s">
        <v>3975</v>
      </c>
      <c r="B153" s="389">
        <v>44047</v>
      </c>
      <c r="C153" s="390" t="s">
        <v>4305</v>
      </c>
      <c r="D153" s="391" t="s">
        <v>4310</v>
      </c>
      <c r="E153" s="391" t="s">
        <v>4268</v>
      </c>
      <c r="F153" s="392">
        <v>145000</v>
      </c>
      <c r="G153" s="393" t="s">
        <v>3800</v>
      </c>
      <c r="H153" s="394">
        <v>55.673703496617776</v>
      </c>
      <c r="I153" s="394"/>
      <c r="J153" s="392">
        <v>13.918425874154444</v>
      </c>
      <c r="K153" s="392">
        <v>13.918425874154444</v>
      </c>
      <c r="L153" s="392">
        <v>13.918425874154444</v>
      </c>
      <c r="M153" s="392">
        <v>13.918425874154444</v>
      </c>
      <c r="N153" s="392"/>
    </row>
    <row r="154" spans="1:14" hidden="1" outlineLevel="2" x14ac:dyDescent="0.35">
      <c r="A154" s="388" t="s">
        <v>3975</v>
      </c>
      <c r="B154" s="389">
        <v>44047</v>
      </c>
      <c r="C154" s="390" t="s">
        <v>4311</v>
      </c>
      <c r="D154" s="391" t="s">
        <v>4312</v>
      </c>
      <c r="E154" s="391" t="s">
        <v>4276</v>
      </c>
      <c r="F154" s="392">
        <v>145000</v>
      </c>
      <c r="G154" s="393" t="s">
        <v>3800</v>
      </c>
      <c r="H154" s="394">
        <v>55.673703496617776</v>
      </c>
      <c r="I154" s="394"/>
      <c r="J154" s="392">
        <v>13.918425874154444</v>
      </c>
      <c r="K154" s="392">
        <v>13.918425874154444</v>
      </c>
      <c r="L154" s="392">
        <v>13.918425874154444</v>
      </c>
      <c r="M154" s="392">
        <v>13.918425874154444</v>
      </c>
      <c r="N154" s="392"/>
    </row>
    <row r="155" spans="1:14" hidden="1" outlineLevel="2" x14ac:dyDescent="0.35">
      <c r="A155" s="388" t="s">
        <v>3975</v>
      </c>
      <c r="B155" s="389">
        <v>44047</v>
      </c>
      <c r="C155" s="390" t="s">
        <v>4313</v>
      </c>
      <c r="D155" s="391" t="s">
        <v>4314</v>
      </c>
      <c r="E155" s="391" t="s">
        <v>4042</v>
      </c>
      <c r="F155" s="392">
        <v>36250</v>
      </c>
      <c r="G155" s="393" t="s">
        <v>3800</v>
      </c>
      <c r="H155" s="394">
        <v>13.918425874154444</v>
      </c>
      <c r="I155" s="394"/>
      <c r="J155" s="392">
        <v>3.479606468538611</v>
      </c>
      <c r="K155" s="392">
        <v>3.479606468538611</v>
      </c>
      <c r="L155" s="392">
        <v>3.479606468538611</v>
      </c>
      <c r="M155" s="392">
        <v>3.479606468538611</v>
      </c>
      <c r="N155" s="392"/>
    </row>
    <row r="156" spans="1:14" hidden="1" outlineLevel="2" x14ac:dyDescent="0.35">
      <c r="A156" s="388" t="s">
        <v>3975</v>
      </c>
      <c r="B156" s="389">
        <v>44070</v>
      </c>
      <c r="C156" s="390" t="s">
        <v>4315</v>
      </c>
      <c r="D156" s="391" t="s">
        <v>4316</v>
      </c>
      <c r="E156" s="391" t="s">
        <v>4268</v>
      </c>
      <c r="F156" s="392">
        <v>2900000</v>
      </c>
      <c r="G156" s="393" t="s">
        <v>3800</v>
      </c>
      <c r="H156" s="394">
        <v>1113.4740699323556</v>
      </c>
      <c r="I156" s="394"/>
      <c r="J156" s="392">
        <v>278.36851748308891</v>
      </c>
      <c r="K156" s="392">
        <v>278.36851748308891</v>
      </c>
      <c r="L156" s="392">
        <v>278.36851748308891</v>
      </c>
      <c r="M156" s="392">
        <v>278.36851748308891</v>
      </c>
      <c r="N156" s="392"/>
    </row>
    <row r="157" spans="1:14" hidden="1" outlineLevel="2" x14ac:dyDescent="0.35">
      <c r="A157" s="388" t="s">
        <v>3975</v>
      </c>
      <c r="B157" s="389">
        <v>44070</v>
      </c>
      <c r="C157" s="390" t="s">
        <v>4315</v>
      </c>
      <c r="D157" s="391" t="s">
        <v>4317</v>
      </c>
      <c r="E157" s="391" t="s">
        <v>4268</v>
      </c>
      <c r="F157" s="392">
        <v>435000</v>
      </c>
      <c r="G157" s="393" t="s">
        <v>3800</v>
      </c>
      <c r="H157" s="394">
        <v>167.02111048985333</v>
      </c>
      <c r="I157" s="394"/>
      <c r="J157" s="392">
        <v>41.755277622463332</v>
      </c>
      <c r="K157" s="392">
        <v>41.755277622463332</v>
      </c>
      <c r="L157" s="392">
        <v>41.755277622463332</v>
      </c>
      <c r="M157" s="392">
        <v>41.755277622463332</v>
      </c>
      <c r="N157" s="392"/>
    </row>
    <row r="158" spans="1:14" hidden="1" outlineLevel="2" x14ac:dyDescent="0.35">
      <c r="A158" s="388" t="s">
        <v>3975</v>
      </c>
      <c r="B158" s="389">
        <v>44070</v>
      </c>
      <c r="C158" s="390" t="s">
        <v>4318</v>
      </c>
      <c r="D158" s="391" t="s">
        <v>4319</v>
      </c>
      <c r="E158" s="391" t="s">
        <v>4272</v>
      </c>
      <c r="F158" s="392">
        <v>362500</v>
      </c>
      <c r="G158" s="393" t="s">
        <v>3800</v>
      </c>
      <c r="H158" s="394">
        <v>139.18425874154445</v>
      </c>
      <c r="I158" s="394"/>
      <c r="J158" s="392">
        <v>34.796064685386114</v>
      </c>
      <c r="K158" s="392">
        <v>34.796064685386114</v>
      </c>
      <c r="L158" s="392">
        <v>34.796064685386114</v>
      </c>
      <c r="M158" s="392">
        <v>34.796064685386114</v>
      </c>
      <c r="N158" s="392"/>
    </row>
    <row r="159" spans="1:14" hidden="1" outlineLevel="2" x14ac:dyDescent="0.35">
      <c r="A159" s="388" t="s">
        <v>3975</v>
      </c>
      <c r="B159" s="389">
        <v>44070</v>
      </c>
      <c r="C159" s="390" t="s">
        <v>4315</v>
      </c>
      <c r="D159" s="391" t="s">
        <v>4320</v>
      </c>
      <c r="E159" s="391" t="s">
        <v>4268</v>
      </c>
      <c r="F159" s="392">
        <v>145000</v>
      </c>
      <c r="G159" s="393" t="s">
        <v>3800</v>
      </c>
      <c r="H159" s="394">
        <v>55.673703496617776</v>
      </c>
      <c r="I159" s="394"/>
      <c r="J159" s="392">
        <v>13.918425874154444</v>
      </c>
      <c r="K159" s="392">
        <v>13.918425874154444</v>
      </c>
      <c r="L159" s="392">
        <v>13.918425874154444</v>
      </c>
      <c r="M159" s="392">
        <v>13.918425874154444</v>
      </c>
      <c r="N159" s="392"/>
    </row>
    <row r="160" spans="1:14" hidden="1" outlineLevel="2" x14ac:dyDescent="0.35">
      <c r="A160" s="388" t="s">
        <v>3975</v>
      </c>
      <c r="B160" s="389">
        <v>44070</v>
      </c>
      <c r="C160" s="390" t="s">
        <v>4321</v>
      </c>
      <c r="D160" s="391" t="s">
        <v>4322</v>
      </c>
      <c r="E160" s="391" t="s">
        <v>4276</v>
      </c>
      <c r="F160" s="392">
        <v>145000</v>
      </c>
      <c r="G160" s="393" t="s">
        <v>3800</v>
      </c>
      <c r="H160" s="394">
        <v>55.673703496617776</v>
      </c>
      <c r="I160" s="394"/>
      <c r="J160" s="392">
        <v>13.918425874154444</v>
      </c>
      <c r="K160" s="392">
        <v>13.918425874154444</v>
      </c>
      <c r="L160" s="392">
        <v>13.918425874154444</v>
      </c>
      <c r="M160" s="392">
        <v>13.918425874154444</v>
      </c>
      <c r="N160" s="392"/>
    </row>
    <row r="161" spans="1:14" hidden="1" outlineLevel="2" x14ac:dyDescent="0.35">
      <c r="A161" s="388" t="s">
        <v>3975</v>
      </c>
      <c r="B161" s="389">
        <v>44070</v>
      </c>
      <c r="C161" s="390" t="s">
        <v>4323</v>
      </c>
      <c r="D161" s="391" t="s">
        <v>4324</v>
      </c>
      <c r="E161" s="391" t="s">
        <v>4042</v>
      </c>
      <c r="F161" s="392">
        <v>36250</v>
      </c>
      <c r="G161" s="393" t="s">
        <v>3800</v>
      </c>
      <c r="H161" s="394">
        <v>13.918425874154444</v>
      </c>
      <c r="I161" s="394"/>
      <c r="J161" s="392">
        <v>3.479606468538611</v>
      </c>
      <c r="K161" s="392">
        <v>3.479606468538611</v>
      </c>
      <c r="L161" s="392">
        <v>3.479606468538611</v>
      </c>
      <c r="M161" s="392">
        <v>3.479606468538611</v>
      </c>
      <c r="N161" s="392"/>
    </row>
    <row r="162" spans="1:14" hidden="1" outlineLevel="2" x14ac:dyDescent="0.35">
      <c r="A162" s="388" t="s">
        <v>3975</v>
      </c>
      <c r="B162" s="389">
        <v>44104</v>
      </c>
      <c r="C162" s="390" t="s">
        <v>4325</v>
      </c>
      <c r="D162" s="391" t="s">
        <v>4326</v>
      </c>
      <c r="E162" s="391" t="s">
        <v>4268</v>
      </c>
      <c r="F162" s="392">
        <v>2900000</v>
      </c>
      <c r="G162" s="393" t="s">
        <v>3800</v>
      </c>
      <c r="H162" s="394">
        <v>1113.4740699323556</v>
      </c>
      <c r="I162" s="394"/>
      <c r="J162" s="392">
        <v>278.36851748308891</v>
      </c>
      <c r="K162" s="392">
        <v>278.36851748308891</v>
      </c>
      <c r="L162" s="392">
        <v>278.36851748308891</v>
      </c>
      <c r="M162" s="392">
        <v>278.36851748308891</v>
      </c>
      <c r="N162" s="392"/>
    </row>
    <row r="163" spans="1:14" hidden="1" outlineLevel="2" x14ac:dyDescent="0.35">
      <c r="A163" s="388" t="s">
        <v>3975</v>
      </c>
      <c r="B163" s="389">
        <v>44104</v>
      </c>
      <c r="C163" s="390" t="s">
        <v>4325</v>
      </c>
      <c r="D163" s="391" t="s">
        <v>4327</v>
      </c>
      <c r="E163" s="391" t="s">
        <v>4268</v>
      </c>
      <c r="F163" s="392">
        <v>435000</v>
      </c>
      <c r="G163" s="393" t="s">
        <v>3800</v>
      </c>
      <c r="H163" s="394">
        <v>167.02111048985333</v>
      </c>
      <c r="I163" s="394"/>
      <c r="J163" s="392">
        <v>41.755277622463332</v>
      </c>
      <c r="K163" s="392">
        <v>41.755277622463332</v>
      </c>
      <c r="L163" s="392">
        <v>41.755277622463332</v>
      </c>
      <c r="M163" s="392">
        <v>41.755277622463332</v>
      </c>
      <c r="N163" s="392"/>
    </row>
    <row r="164" spans="1:14" hidden="1" outlineLevel="2" x14ac:dyDescent="0.35">
      <c r="A164" s="388" t="s">
        <v>3975</v>
      </c>
      <c r="B164" s="389">
        <v>44104</v>
      </c>
      <c r="C164" s="390" t="s">
        <v>4328</v>
      </c>
      <c r="D164" s="391" t="s">
        <v>4329</v>
      </c>
      <c r="E164" s="391" t="s">
        <v>4272</v>
      </c>
      <c r="F164" s="392">
        <v>362500</v>
      </c>
      <c r="G164" s="393" t="s">
        <v>3800</v>
      </c>
      <c r="H164" s="394">
        <v>139.18425874154445</v>
      </c>
      <c r="I164" s="394"/>
      <c r="J164" s="392">
        <v>34.796064685386114</v>
      </c>
      <c r="K164" s="392">
        <v>34.796064685386114</v>
      </c>
      <c r="L164" s="392">
        <v>34.796064685386114</v>
      </c>
      <c r="M164" s="392">
        <v>34.796064685386114</v>
      </c>
      <c r="N164" s="392"/>
    </row>
    <row r="165" spans="1:14" hidden="1" outlineLevel="2" x14ac:dyDescent="0.35">
      <c r="A165" s="388" t="s">
        <v>3975</v>
      </c>
      <c r="B165" s="389">
        <v>44104</v>
      </c>
      <c r="C165" s="390" t="s">
        <v>4325</v>
      </c>
      <c r="D165" s="391" t="s">
        <v>4330</v>
      </c>
      <c r="E165" s="391" t="s">
        <v>4268</v>
      </c>
      <c r="F165" s="392">
        <v>145000</v>
      </c>
      <c r="G165" s="393" t="s">
        <v>3800</v>
      </c>
      <c r="H165" s="394">
        <v>55.673703496617776</v>
      </c>
      <c r="I165" s="394"/>
      <c r="J165" s="392">
        <v>13.918425874154444</v>
      </c>
      <c r="K165" s="392">
        <v>13.918425874154444</v>
      </c>
      <c r="L165" s="392">
        <v>13.918425874154444</v>
      </c>
      <c r="M165" s="392">
        <v>13.918425874154444</v>
      </c>
      <c r="N165" s="392"/>
    </row>
    <row r="166" spans="1:14" hidden="1" outlineLevel="2" x14ac:dyDescent="0.35">
      <c r="A166" s="388" t="s">
        <v>3975</v>
      </c>
      <c r="B166" s="389">
        <v>44104</v>
      </c>
      <c r="C166" s="390" t="s">
        <v>4331</v>
      </c>
      <c r="D166" s="391" t="s">
        <v>4332</v>
      </c>
      <c r="E166" s="391" t="s">
        <v>4276</v>
      </c>
      <c r="F166" s="392">
        <v>145000</v>
      </c>
      <c r="G166" s="393" t="s">
        <v>3800</v>
      </c>
      <c r="H166" s="394">
        <v>55.673703496617776</v>
      </c>
      <c r="I166" s="394"/>
      <c r="J166" s="392">
        <v>13.918425874154444</v>
      </c>
      <c r="K166" s="392">
        <v>13.918425874154444</v>
      </c>
      <c r="L166" s="392">
        <v>13.918425874154444</v>
      </c>
      <c r="M166" s="392">
        <v>13.918425874154444</v>
      </c>
      <c r="N166" s="392"/>
    </row>
    <row r="167" spans="1:14" hidden="1" outlineLevel="2" x14ac:dyDescent="0.35">
      <c r="A167" s="388" t="s">
        <v>3975</v>
      </c>
      <c r="B167" s="389">
        <v>44104</v>
      </c>
      <c r="C167" s="390" t="s">
        <v>4333</v>
      </c>
      <c r="D167" s="391" t="s">
        <v>4334</v>
      </c>
      <c r="E167" s="391" t="s">
        <v>4042</v>
      </c>
      <c r="F167" s="392">
        <v>36250</v>
      </c>
      <c r="G167" s="393" t="s">
        <v>3800</v>
      </c>
      <c r="H167" s="394">
        <v>13.918425874154444</v>
      </c>
      <c r="I167" s="394"/>
      <c r="J167" s="392">
        <v>3.479606468538611</v>
      </c>
      <c r="K167" s="392">
        <v>3.479606468538611</v>
      </c>
      <c r="L167" s="392">
        <v>3.479606468538611</v>
      </c>
      <c r="M167" s="392">
        <v>3.479606468538611</v>
      </c>
      <c r="N167" s="392"/>
    </row>
    <row r="168" spans="1:14" hidden="1" outlineLevel="2" x14ac:dyDescent="0.35">
      <c r="A168" s="388" t="s">
        <v>3975</v>
      </c>
      <c r="B168" s="389">
        <v>44131</v>
      </c>
      <c r="C168" s="390" t="s">
        <v>4335</v>
      </c>
      <c r="D168" s="391" t="s">
        <v>4336</v>
      </c>
      <c r="E168" s="391" t="s">
        <v>4268</v>
      </c>
      <c r="F168" s="392">
        <v>2900000</v>
      </c>
      <c r="G168" s="393" t="s">
        <v>3800</v>
      </c>
      <c r="H168" s="394">
        <v>1113.4740699323556</v>
      </c>
      <c r="I168" s="394"/>
      <c r="J168" s="392">
        <v>278.36851748308891</v>
      </c>
      <c r="K168" s="392">
        <v>278.36851748308891</v>
      </c>
      <c r="L168" s="392">
        <v>278.36851748308891</v>
      </c>
      <c r="M168" s="392">
        <v>278.36851748308891</v>
      </c>
      <c r="N168" s="392"/>
    </row>
    <row r="169" spans="1:14" hidden="1" outlineLevel="2" x14ac:dyDescent="0.35">
      <c r="A169" s="388" t="s">
        <v>3975</v>
      </c>
      <c r="B169" s="389">
        <v>44131</v>
      </c>
      <c r="C169" s="390" t="s">
        <v>4335</v>
      </c>
      <c r="D169" s="391" t="s">
        <v>4337</v>
      </c>
      <c r="E169" s="391" t="s">
        <v>4268</v>
      </c>
      <c r="F169" s="392">
        <v>435000</v>
      </c>
      <c r="G169" s="393" t="s">
        <v>3800</v>
      </c>
      <c r="H169" s="394">
        <v>167.02111048985333</v>
      </c>
      <c r="I169" s="394"/>
      <c r="J169" s="392">
        <v>41.755277622463332</v>
      </c>
      <c r="K169" s="392">
        <v>41.755277622463332</v>
      </c>
      <c r="L169" s="392">
        <v>41.755277622463332</v>
      </c>
      <c r="M169" s="392">
        <v>41.755277622463332</v>
      </c>
      <c r="N169" s="392"/>
    </row>
    <row r="170" spans="1:14" hidden="1" outlineLevel="2" x14ac:dyDescent="0.35">
      <c r="A170" s="388" t="s">
        <v>3975</v>
      </c>
      <c r="B170" s="389">
        <v>44131</v>
      </c>
      <c r="C170" s="390" t="s">
        <v>4338</v>
      </c>
      <c r="D170" s="391" t="s">
        <v>4339</v>
      </c>
      <c r="E170" s="391" t="s">
        <v>4272</v>
      </c>
      <c r="F170" s="392">
        <v>362500</v>
      </c>
      <c r="G170" s="393" t="s">
        <v>3800</v>
      </c>
      <c r="H170" s="394">
        <v>139.18425874154445</v>
      </c>
      <c r="I170" s="394"/>
      <c r="J170" s="392">
        <v>34.796064685386114</v>
      </c>
      <c r="K170" s="392">
        <v>34.796064685386114</v>
      </c>
      <c r="L170" s="392">
        <v>34.796064685386114</v>
      </c>
      <c r="M170" s="392">
        <v>34.796064685386114</v>
      </c>
      <c r="N170" s="392"/>
    </row>
    <row r="171" spans="1:14" hidden="1" outlineLevel="2" x14ac:dyDescent="0.35">
      <c r="A171" s="388" t="s">
        <v>3975</v>
      </c>
      <c r="B171" s="389">
        <v>44131</v>
      </c>
      <c r="C171" s="390" t="s">
        <v>4325</v>
      </c>
      <c r="D171" s="391" t="s">
        <v>4340</v>
      </c>
      <c r="E171" s="391" t="s">
        <v>4268</v>
      </c>
      <c r="F171" s="392">
        <v>145000</v>
      </c>
      <c r="G171" s="393" t="s">
        <v>3800</v>
      </c>
      <c r="H171" s="394">
        <v>55.673703496617776</v>
      </c>
      <c r="I171" s="394"/>
      <c r="J171" s="392">
        <v>13.918425874154444</v>
      </c>
      <c r="K171" s="392">
        <v>13.918425874154444</v>
      </c>
      <c r="L171" s="392">
        <v>13.918425874154444</v>
      </c>
      <c r="M171" s="392">
        <v>13.918425874154444</v>
      </c>
      <c r="N171" s="392"/>
    </row>
    <row r="172" spans="1:14" hidden="1" outlineLevel="2" x14ac:dyDescent="0.35">
      <c r="A172" s="388" t="s">
        <v>3975</v>
      </c>
      <c r="B172" s="389">
        <v>44131</v>
      </c>
      <c r="C172" s="390" t="s">
        <v>4341</v>
      </c>
      <c r="D172" s="391" t="s">
        <v>4342</v>
      </c>
      <c r="E172" s="391" t="s">
        <v>4276</v>
      </c>
      <c r="F172" s="392">
        <v>145000</v>
      </c>
      <c r="G172" s="393" t="s">
        <v>3800</v>
      </c>
      <c r="H172" s="394">
        <v>55.673703496617776</v>
      </c>
      <c r="I172" s="394"/>
      <c r="J172" s="392">
        <v>13.918425874154444</v>
      </c>
      <c r="K172" s="392">
        <v>13.918425874154444</v>
      </c>
      <c r="L172" s="392">
        <v>13.918425874154444</v>
      </c>
      <c r="M172" s="392">
        <v>13.918425874154444</v>
      </c>
      <c r="N172" s="392"/>
    </row>
    <row r="173" spans="1:14" hidden="1" outlineLevel="2" x14ac:dyDescent="0.35">
      <c r="A173" s="388" t="s">
        <v>3975</v>
      </c>
      <c r="B173" s="389">
        <v>44131</v>
      </c>
      <c r="C173" s="390" t="s">
        <v>4343</v>
      </c>
      <c r="D173" s="391" t="s">
        <v>4344</v>
      </c>
      <c r="E173" s="391" t="s">
        <v>4042</v>
      </c>
      <c r="F173" s="392">
        <v>36250</v>
      </c>
      <c r="G173" s="393" t="s">
        <v>3800</v>
      </c>
      <c r="H173" s="394">
        <v>13.918425874154444</v>
      </c>
      <c r="I173" s="394"/>
      <c r="J173" s="392">
        <v>3.479606468538611</v>
      </c>
      <c r="K173" s="392">
        <v>3.479606468538611</v>
      </c>
      <c r="L173" s="392">
        <v>3.479606468538611</v>
      </c>
      <c r="M173" s="392">
        <v>3.479606468538611</v>
      </c>
      <c r="N173" s="392"/>
    </row>
    <row r="174" spans="1:14" hidden="1" outlineLevel="2" x14ac:dyDescent="0.35">
      <c r="A174" s="388" t="s">
        <v>3975</v>
      </c>
      <c r="B174" s="389">
        <v>44165</v>
      </c>
      <c r="C174" s="390" t="s">
        <v>4345</v>
      </c>
      <c r="D174" s="391" t="s">
        <v>4346</v>
      </c>
      <c r="E174" s="391" t="s">
        <v>4268</v>
      </c>
      <c r="F174" s="392">
        <v>2900000</v>
      </c>
      <c r="G174" s="393" t="s">
        <v>3800</v>
      </c>
      <c r="H174" s="394">
        <v>1113.4740699323556</v>
      </c>
      <c r="I174" s="394"/>
      <c r="J174" s="392">
        <v>278.36851748308891</v>
      </c>
      <c r="K174" s="392">
        <v>278.36851748308891</v>
      </c>
      <c r="L174" s="392">
        <v>278.36851748308891</v>
      </c>
      <c r="M174" s="392">
        <v>278.36851748308891</v>
      </c>
      <c r="N174" s="392"/>
    </row>
    <row r="175" spans="1:14" hidden="1" outlineLevel="2" x14ac:dyDescent="0.35">
      <c r="A175" s="388" t="s">
        <v>3975</v>
      </c>
      <c r="B175" s="389">
        <v>44165</v>
      </c>
      <c r="C175" s="390" t="s">
        <v>4345</v>
      </c>
      <c r="D175" s="391" t="s">
        <v>4347</v>
      </c>
      <c r="E175" s="391" t="s">
        <v>4268</v>
      </c>
      <c r="F175" s="392">
        <v>435000</v>
      </c>
      <c r="G175" s="393" t="s">
        <v>3800</v>
      </c>
      <c r="H175" s="394">
        <v>167.02111048985333</v>
      </c>
      <c r="I175" s="394"/>
      <c r="J175" s="392">
        <v>41.755277622463332</v>
      </c>
      <c r="K175" s="392">
        <v>41.755277622463332</v>
      </c>
      <c r="L175" s="392">
        <v>41.755277622463332</v>
      </c>
      <c r="M175" s="392">
        <v>41.755277622463332</v>
      </c>
      <c r="N175" s="392"/>
    </row>
    <row r="176" spans="1:14" hidden="1" outlineLevel="2" x14ac:dyDescent="0.35">
      <c r="A176" s="388" t="s">
        <v>3975</v>
      </c>
      <c r="B176" s="389">
        <v>44165</v>
      </c>
      <c r="C176" s="390" t="s">
        <v>4348</v>
      </c>
      <c r="D176" s="391" t="s">
        <v>4349</v>
      </c>
      <c r="E176" s="391" t="s">
        <v>4272</v>
      </c>
      <c r="F176" s="392">
        <v>362500</v>
      </c>
      <c r="G176" s="393" t="s">
        <v>3800</v>
      </c>
      <c r="H176" s="394">
        <v>139.18425874154445</v>
      </c>
      <c r="I176" s="394"/>
      <c r="J176" s="392">
        <v>34.796064685386114</v>
      </c>
      <c r="K176" s="392">
        <v>34.796064685386114</v>
      </c>
      <c r="L176" s="392">
        <v>34.796064685386114</v>
      </c>
      <c r="M176" s="392">
        <v>34.796064685386114</v>
      </c>
      <c r="N176" s="392"/>
    </row>
    <row r="177" spans="1:14" hidden="1" outlineLevel="2" x14ac:dyDescent="0.35">
      <c r="A177" s="388" t="s">
        <v>3975</v>
      </c>
      <c r="B177" s="389">
        <v>44165</v>
      </c>
      <c r="C177" s="390" t="s">
        <v>4345</v>
      </c>
      <c r="D177" s="391" t="s">
        <v>4350</v>
      </c>
      <c r="E177" s="391" t="s">
        <v>4268</v>
      </c>
      <c r="F177" s="392">
        <v>145000</v>
      </c>
      <c r="G177" s="393" t="s">
        <v>3800</v>
      </c>
      <c r="H177" s="394">
        <v>55.673703496617776</v>
      </c>
      <c r="I177" s="394"/>
      <c r="J177" s="392">
        <v>13.918425874154444</v>
      </c>
      <c r="K177" s="392">
        <v>13.918425874154444</v>
      </c>
      <c r="L177" s="392">
        <v>13.918425874154444</v>
      </c>
      <c r="M177" s="392">
        <v>13.918425874154444</v>
      </c>
      <c r="N177" s="392"/>
    </row>
    <row r="178" spans="1:14" hidden="1" outlineLevel="2" x14ac:dyDescent="0.35">
      <c r="A178" s="388" t="s">
        <v>3975</v>
      </c>
      <c r="B178" s="389">
        <v>44165</v>
      </c>
      <c r="C178" s="390" t="s">
        <v>4351</v>
      </c>
      <c r="D178" s="391" t="s">
        <v>4352</v>
      </c>
      <c r="E178" s="391" t="s">
        <v>4276</v>
      </c>
      <c r="F178" s="392">
        <v>145000</v>
      </c>
      <c r="G178" s="393" t="s">
        <v>3800</v>
      </c>
      <c r="H178" s="394">
        <v>55.673703496617776</v>
      </c>
      <c r="I178" s="394"/>
      <c r="J178" s="392">
        <v>13.918425874154444</v>
      </c>
      <c r="K178" s="392">
        <v>13.918425874154444</v>
      </c>
      <c r="L178" s="392">
        <v>13.918425874154444</v>
      </c>
      <c r="M178" s="392">
        <v>13.918425874154444</v>
      </c>
      <c r="N178" s="392"/>
    </row>
    <row r="179" spans="1:14" hidden="1" outlineLevel="2" x14ac:dyDescent="0.35">
      <c r="A179" s="388" t="s">
        <v>3975</v>
      </c>
      <c r="B179" s="389">
        <v>44165</v>
      </c>
      <c r="C179" s="390" t="s">
        <v>4353</v>
      </c>
      <c r="D179" s="391" t="s">
        <v>4354</v>
      </c>
      <c r="E179" s="391" t="s">
        <v>4042</v>
      </c>
      <c r="F179" s="392">
        <v>36250</v>
      </c>
      <c r="G179" s="393" t="s">
        <v>3800</v>
      </c>
      <c r="H179" s="394">
        <v>13.918425874154444</v>
      </c>
      <c r="I179" s="394"/>
      <c r="J179" s="392">
        <v>3.479606468538611</v>
      </c>
      <c r="K179" s="392">
        <v>3.479606468538611</v>
      </c>
      <c r="L179" s="392">
        <v>3.479606468538611</v>
      </c>
      <c r="M179" s="392">
        <v>3.479606468538611</v>
      </c>
      <c r="N179" s="392"/>
    </row>
    <row r="180" spans="1:14" hidden="1" outlineLevel="2" x14ac:dyDescent="0.35">
      <c r="A180" s="388" t="s">
        <v>3975</v>
      </c>
      <c r="B180" s="389">
        <v>44187</v>
      </c>
      <c r="C180" s="390" t="s">
        <v>4355</v>
      </c>
      <c r="D180" s="391" t="s">
        <v>4356</v>
      </c>
      <c r="E180" s="391" t="s">
        <v>4268</v>
      </c>
      <c r="F180" s="392">
        <v>2900000</v>
      </c>
      <c r="G180" s="393" t="s">
        <v>3800</v>
      </c>
      <c r="H180" s="394">
        <v>1113.4740699323556</v>
      </c>
      <c r="I180" s="394"/>
      <c r="J180" s="392">
        <v>278.36851748308891</v>
      </c>
      <c r="K180" s="392">
        <v>278.36851748308891</v>
      </c>
      <c r="L180" s="392">
        <v>278.36851748308891</v>
      </c>
      <c r="M180" s="392">
        <v>278.36851748308891</v>
      </c>
      <c r="N180" s="392"/>
    </row>
    <row r="181" spans="1:14" hidden="1" outlineLevel="2" x14ac:dyDescent="0.35">
      <c r="A181" s="388" t="s">
        <v>3975</v>
      </c>
      <c r="B181" s="389">
        <v>44187</v>
      </c>
      <c r="C181" s="390" t="s">
        <v>4355</v>
      </c>
      <c r="D181" s="391" t="s">
        <v>4357</v>
      </c>
      <c r="E181" s="391" t="s">
        <v>4268</v>
      </c>
      <c r="F181" s="392">
        <v>435000</v>
      </c>
      <c r="G181" s="393" t="s">
        <v>3800</v>
      </c>
      <c r="H181" s="394">
        <v>167.02111048985333</v>
      </c>
      <c r="I181" s="394"/>
      <c r="J181" s="392">
        <v>41.755277622463332</v>
      </c>
      <c r="K181" s="392">
        <v>41.755277622463332</v>
      </c>
      <c r="L181" s="392">
        <v>41.755277622463332</v>
      </c>
      <c r="M181" s="392">
        <v>41.755277622463332</v>
      </c>
      <c r="N181" s="392"/>
    </row>
    <row r="182" spans="1:14" hidden="1" outlineLevel="2" x14ac:dyDescent="0.35">
      <c r="A182" s="388" t="s">
        <v>3975</v>
      </c>
      <c r="B182" s="389">
        <v>44187</v>
      </c>
      <c r="C182" s="390" t="s">
        <v>4358</v>
      </c>
      <c r="D182" s="391" t="s">
        <v>4359</v>
      </c>
      <c r="E182" s="391" t="s">
        <v>4272</v>
      </c>
      <c r="F182" s="392">
        <v>362500</v>
      </c>
      <c r="G182" s="393" t="s">
        <v>3800</v>
      </c>
      <c r="H182" s="394">
        <v>139.18425874154445</v>
      </c>
      <c r="I182" s="394"/>
      <c r="J182" s="392">
        <v>34.796064685386114</v>
      </c>
      <c r="K182" s="392">
        <v>34.796064685386114</v>
      </c>
      <c r="L182" s="392">
        <v>34.796064685386114</v>
      </c>
      <c r="M182" s="392">
        <v>34.796064685386114</v>
      </c>
      <c r="N182" s="392"/>
    </row>
    <row r="183" spans="1:14" hidden="1" outlineLevel="2" x14ac:dyDescent="0.35">
      <c r="A183" s="388" t="s">
        <v>3975</v>
      </c>
      <c r="B183" s="389">
        <v>44187</v>
      </c>
      <c r="C183" s="390" t="s">
        <v>4355</v>
      </c>
      <c r="D183" s="391" t="s">
        <v>4360</v>
      </c>
      <c r="E183" s="391" t="s">
        <v>4268</v>
      </c>
      <c r="F183" s="392">
        <v>145000</v>
      </c>
      <c r="G183" s="393" t="s">
        <v>3800</v>
      </c>
      <c r="H183" s="394">
        <v>55.673703496617776</v>
      </c>
      <c r="I183" s="394"/>
      <c r="J183" s="392">
        <v>13.918425874154444</v>
      </c>
      <c r="K183" s="392">
        <v>13.918425874154444</v>
      </c>
      <c r="L183" s="392">
        <v>13.918425874154444</v>
      </c>
      <c r="M183" s="392">
        <v>13.918425874154444</v>
      </c>
      <c r="N183" s="392"/>
    </row>
    <row r="184" spans="1:14" hidden="1" outlineLevel="2" x14ac:dyDescent="0.35">
      <c r="A184" s="388" t="s">
        <v>3975</v>
      </c>
      <c r="B184" s="389">
        <v>44187</v>
      </c>
      <c r="C184" s="390" t="s">
        <v>4361</v>
      </c>
      <c r="D184" s="391" t="s">
        <v>4362</v>
      </c>
      <c r="E184" s="391" t="s">
        <v>4276</v>
      </c>
      <c r="F184" s="392">
        <v>145000</v>
      </c>
      <c r="G184" s="393" t="s">
        <v>3800</v>
      </c>
      <c r="H184" s="394">
        <v>55.673703496617776</v>
      </c>
      <c r="I184" s="394"/>
      <c r="J184" s="392">
        <v>13.918425874154444</v>
      </c>
      <c r="K184" s="392">
        <v>13.918425874154444</v>
      </c>
      <c r="L184" s="392">
        <v>13.918425874154444</v>
      </c>
      <c r="M184" s="392">
        <v>13.918425874154444</v>
      </c>
      <c r="N184" s="392"/>
    </row>
    <row r="185" spans="1:14" hidden="1" outlineLevel="2" x14ac:dyDescent="0.35">
      <c r="A185" s="388" t="s">
        <v>3975</v>
      </c>
      <c r="B185" s="389">
        <v>44187</v>
      </c>
      <c r="C185" s="390" t="s">
        <v>4363</v>
      </c>
      <c r="D185" s="391" t="s">
        <v>4364</v>
      </c>
      <c r="E185" s="391" t="s">
        <v>4042</v>
      </c>
      <c r="F185" s="392">
        <v>36250</v>
      </c>
      <c r="G185" s="393" t="s">
        <v>3800</v>
      </c>
      <c r="H185" s="394">
        <v>13.918425874154444</v>
      </c>
      <c r="I185" s="394"/>
      <c r="J185" s="392">
        <v>3.479606468538611</v>
      </c>
      <c r="K185" s="392">
        <v>3.479606468538611</v>
      </c>
      <c r="L185" s="392">
        <v>3.479606468538611</v>
      </c>
      <c r="M185" s="392">
        <v>3.479606468538611</v>
      </c>
      <c r="N185" s="392"/>
    </row>
    <row r="186" spans="1:14" hidden="1" outlineLevel="2" x14ac:dyDescent="0.35">
      <c r="A186" s="388" t="s">
        <v>3975</v>
      </c>
      <c r="B186" s="389">
        <v>44222</v>
      </c>
      <c r="C186" s="390" t="s">
        <v>4029</v>
      </c>
      <c r="D186" s="391" t="s">
        <v>4030</v>
      </c>
      <c r="E186" s="391" t="s">
        <v>4268</v>
      </c>
      <c r="F186" s="392">
        <v>2900000</v>
      </c>
      <c r="G186" s="393" t="s">
        <v>3800</v>
      </c>
      <c r="H186" s="394">
        <v>1079.0680596825644</v>
      </c>
      <c r="I186" s="394"/>
      <c r="J186" s="392">
        <v>269.76701492064109</v>
      </c>
      <c r="K186" s="392">
        <v>269.76701492064109</v>
      </c>
      <c r="L186" s="392">
        <v>269.76701492064109</v>
      </c>
      <c r="M186" s="392">
        <v>269.76701492064109</v>
      </c>
      <c r="N186" s="392"/>
    </row>
    <row r="187" spans="1:14" hidden="1" outlineLevel="2" x14ac:dyDescent="0.35">
      <c r="A187" s="388" t="s">
        <v>3975</v>
      </c>
      <c r="B187" s="389">
        <v>44222</v>
      </c>
      <c r="C187" s="390" t="s">
        <v>4029</v>
      </c>
      <c r="D187" s="391" t="s">
        <v>4032</v>
      </c>
      <c r="E187" s="391" t="s">
        <v>4268</v>
      </c>
      <c r="F187" s="392">
        <v>435000</v>
      </c>
      <c r="G187" s="393" t="s">
        <v>3800</v>
      </c>
      <c r="H187" s="394">
        <v>161.86020895238465</v>
      </c>
      <c r="I187" s="394"/>
      <c r="J187" s="392">
        <v>40.465052238096163</v>
      </c>
      <c r="K187" s="392">
        <v>40.465052238096163</v>
      </c>
      <c r="L187" s="392">
        <v>40.465052238096163</v>
      </c>
      <c r="M187" s="392">
        <v>40.465052238096163</v>
      </c>
      <c r="N187" s="392"/>
    </row>
    <row r="188" spans="1:14" hidden="1" outlineLevel="2" collapsed="1" x14ac:dyDescent="0.35">
      <c r="A188" s="388" t="s">
        <v>3975</v>
      </c>
      <c r="B188" s="389">
        <v>44222</v>
      </c>
      <c r="C188" s="390" t="s">
        <v>4033</v>
      </c>
      <c r="D188" s="391" t="s">
        <v>4034</v>
      </c>
      <c r="E188" s="391" t="s">
        <v>4272</v>
      </c>
      <c r="F188" s="392">
        <v>362500</v>
      </c>
      <c r="G188" s="393" t="s">
        <v>3800</v>
      </c>
      <c r="H188" s="394">
        <v>134.88350746032054</v>
      </c>
      <c r="I188" s="394"/>
      <c r="J188" s="392">
        <v>33.720876865080136</v>
      </c>
      <c r="K188" s="392">
        <v>33.720876865080136</v>
      </c>
      <c r="L188" s="392">
        <v>33.720876865080136</v>
      </c>
      <c r="M188" s="392">
        <v>33.720876865080136</v>
      </c>
      <c r="N188" s="392"/>
    </row>
    <row r="189" spans="1:14" hidden="1" outlineLevel="2" x14ac:dyDescent="0.35">
      <c r="A189" s="388" t="s">
        <v>3975</v>
      </c>
      <c r="B189" s="389">
        <v>44222</v>
      </c>
      <c r="C189" s="390" t="s">
        <v>4029</v>
      </c>
      <c r="D189" s="391" t="s">
        <v>4036</v>
      </c>
      <c r="E189" s="391" t="s">
        <v>4268</v>
      </c>
      <c r="F189" s="392">
        <v>145000</v>
      </c>
      <c r="G189" s="393" t="s">
        <v>3800</v>
      </c>
      <c r="H189" s="394">
        <v>53.953402984128218</v>
      </c>
      <c r="I189" s="394"/>
      <c r="J189" s="392">
        <v>13.488350746032054</v>
      </c>
      <c r="K189" s="392">
        <v>13.488350746032054</v>
      </c>
      <c r="L189" s="392">
        <v>13.488350746032054</v>
      </c>
      <c r="M189" s="392">
        <v>13.488350746032054</v>
      </c>
      <c r="N189" s="392"/>
    </row>
    <row r="190" spans="1:14" hidden="1" outlineLevel="2" x14ac:dyDescent="0.35">
      <c r="A190" s="388" t="s">
        <v>3975</v>
      </c>
      <c r="B190" s="389">
        <v>44222</v>
      </c>
      <c r="C190" s="390" t="s">
        <v>4037</v>
      </c>
      <c r="D190" s="391" t="s">
        <v>4038</v>
      </c>
      <c r="E190" s="391" t="s">
        <v>4039</v>
      </c>
      <c r="F190" s="392">
        <v>145000</v>
      </c>
      <c r="G190" s="393" t="s">
        <v>3800</v>
      </c>
      <c r="H190" s="394">
        <v>53.953402984128218</v>
      </c>
      <c r="I190" s="394"/>
      <c r="J190" s="392">
        <v>13.488350746032054</v>
      </c>
      <c r="K190" s="392">
        <v>13.488350746032054</v>
      </c>
      <c r="L190" s="392">
        <v>13.488350746032054</v>
      </c>
      <c r="M190" s="392">
        <v>13.488350746032054</v>
      </c>
      <c r="N190" s="392"/>
    </row>
    <row r="191" spans="1:14" hidden="1" outlineLevel="2" x14ac:dyDescent="0.35">
      <c r="A191" s="388" t="s">
        <v>3975</v>
      </c>
      <c r="B191" s="389">
        <v>44222</v>
      </c>
      <c r="C191" s="390" t="s">
        <v>4040</v>
      </c>
      <c r="D191" s="391" t="s">
        <v>4041</v>
      </c>
      <c r="E191" s="391" t="s">
        <v>4042</v>
      </c>
      <c r="F191" s="392">
        <v>36250</v>
      </c>
      <c r="G191" s="393" t="s">
        <v>3800</v>
      </c>
      <c r="H191" s="394">
        <v>13.488350746032054</v>
      </c>
      <c r="I191" s="394"/>
      <c r="J191" s="392">
        <v>3.3720876865080136</v>
      </c>
      <c r="K191" s="392">
        <v>3.3720876865080136</v>
      </c>
      <c r="L191" s="392">
        <v>3.3720876865080136</v>
      </c>
      <c r="M191" s="392">
        <v>3.3720876865080136</v>
      </c>
      <c r="N191" s="392"/>
    </row>
    <row r="192" spans="1:14" hidden="1" outlineLevel="2" x14ac:dyDescent="0.35">
      <c r="A192" s="388" t="s">
        <v>3975</v>
      </c>
      <c r="B192" s="389">
        <v>44259</v>
      </c>
      <c r="C192" s="390" t="s">
        <v>4043</v>
      </c>
      <c r="D192" s="391" t="s">
        <v>4044</v>
      </c>
      <c r="E192" s="391" t="s">
        <v>4268</v>
      </c>
      <c r="F192" s="392">
        <v>2900000</v>
      </c>
      <c r="G192" s="393" t="s">
        <v>3800</v>
      </c>
      <c r="H192" s="394">
        <v>1079.0680596825644</v>
      </c>
      <c r="I192" s="394"/>
      <c r="J192" s="392">
        <v>269.76701492064109</v>
      </c>
      <c r="K192" s="392">
        <v>269.76701492064109</v>
      </c>
      <c r="L192" s="392">
        <v>269.76701492064109</v>
      </c>
      <c r="M192" s="392">
        <v>269.76701492064109</v>
      </c>
      <c r="N192" s="392"/>
    </row>
    <row r="193" spans="1:14" hidden="1" outlineLevel="2" x14ac:dyDescent="0.35">
      <c r="A193" s="388" t="s">
        <v>3975</v>
      </c>
      <c r="B193" s="389">
        <v>44259</v>
      </c>
      <c r="C193" s="390" t="s">
        <v>4043</v>
      </c>
      <c r="D193" s="391" t="s">
        <v>4045</v>
      </c>
      <c r="E193" s="391" t="s">
        <v>4268</v>
      </c>
      <c r="F193" s="392">
        <v>435000</v>
      </c>
      <c r="G193" s="393" t="s">
        <v>3800</v>
      </c>
      <c r="H193" s="394">
        <v>161.86020895238465</v>
      </c>
      <c r="I193" s="394"/>
      <c r="J193" s="392">
        <v>40.465052238096163</v>
      </c>
      <c r="K193" s="392">
        <v>40.465052238096163</v>
      </c>
      <c r="L193" s="392">
        <v>40.465052238096163</v>
      </c>
      <c r="M193" s="392">
        <v>40.465052238096163</v>
      </c>
      <c r="N193" s="392"/>
    </row>
    <row r="194" spans="1:14" hidden="1" outlineLevel="2" x14ac:dyDescent="0.35">
      <c r="A194" s="388" t="s">
        <v>3975</v>
      </c>
      <c r="B194" s="389">
        <v>44259</v>
      </c>
      <c r="C194" s="390" t="s">
        <v>4043</v>
      </c>
      <c r="D194" s="391" t="s">
        <v>4046</v>
      </c>
      <c r="E194" s="391" t="s">
        <v>4272</v>
      </c>
      <c r="F194" s="392">
        <v>362500</v>
      </c>
      <c r="G194" s="393" t="s">
        <v>3800</v>
      </c>
      <c r="H194" s="394">
        <v>134.88350746032054</v>
      </c>
      <c r="I194" s="394"/>
      <c r="J194" s="392">
        <v>33.720876865080136</v>
      </c>
      <c r="K194" s="392">
        <v>33.720876865080136</v>
      </c>
      <c r="L194" s="392">
        <v>33.720876865080136</v>
      </c>
      <c r="M194" s="392">
        <v>33.720876865080136</v>
      </c>
      <c r="N194" s="392"/>
    </row>
    <row r="195" spans="1:14" hidden="1" outlineLevel="2" x14ac:dyDescent="0.35">
      <c r="A195" s="388" t="s">
        <v>3975</v>
      </c>
      <c r="B195" s="389">
        <v>44259</v>
      </c>
      <c r="C195" s="390" t="s">
        <v>4043</v>
      </c>
      <c r="D195" s="391" t="s">
        <v>4047</v>
      </c>
      <c r="E195" s="391" t="s">
        <v>4268</v>
      </c>
      <c r="F195" s="392">
        <v>145000</v>
      </c>
      <c r="G195" s="393" t="s">
        <v>3800</v>
      </c>
      <c r="H195" s="394">
        <v>53.953402984128218</v>
      </c>
      <c r="I195" s="394"/>
      <c r="J195" s="392">
        <v>13.488350746032054</v>
      </c>
      <c r="K195" s="392">
        <v>13.488350746032054</v>
      </c>
      <c r="L195" s="392">
        <v>13.488350746032054</v>
      </c>
      <c r="M195" s="392">
        <v>13.488350746032054</v>
      </c>
      <c r="N195" s="392"/>
    </row>
    <row r="196" spans="1:14" hidden="1" outlineLevel="2" x14ac:dyDescent="0.35">
      <c r="A196" s="388" t="s">
        <v>3975</v>
      </c>
      <c r="B196" s="389">
        <v>44259</v>
      </c>
      <c r="C196" s="390" t="s">
        <v>4048</v>
      </c>
      <c r="D196" s="391" t="s">
        <v>4049</v>
      </c>
      <c r="E196" s="391" t="s">
        <v>4039</v>
      </c>
      <c r="F196" s="392">
        <v>145000</v>
      </c>
      <c r="G196" s="393" t="s">
        <v>3800</v>
      </c>
      <c r="H196" s="394">
        <v>53.953402984128218</v>
      </c>
      <c r="I196" s="394"/>
      <c r="J196" s="392">
        <v>13.488350746032054</v>
      </c>
      <c r="K196" s="392">
        <v>13.488350746032054</v>
      </c>
      <c r="L196" s="392">
        <v>13.488350746032054</v>
      </c>
      <c r="M196" s="392">
        <v>13.488350746032054</v>
      </c>
      <c r="N196" s="392"/>
    </row>
    <row r="197" spans="1:14" hidden="1" outlineLevel="2" x14ac:dyDescent="0.35">
      <c r="A197" s="388" t="s">
        <v>3975</v>
      </c>
      <c r="B197" s="389">
        <v>44259</v>
      </c>
      <c r="C197" s="390" t="s">
        <v>4050</v>
      </c>
      <c r="D197" s="391" t="s">
        <v>4051</v>
      </c>
      <c r="E197" s="391" t="s">
        <v>4042</v>
      </c>
      <c r="F197" s="392">
        <v>36250</v>
      </c>
      <c r="G197" s="393" t="s">
        <v>3800</v>
      </c>
      <c r="H197" s="394">
        <v>13.488350746032054</v>
      </c>
      <c r="I197" s="394"/>
      <c r="J197" s="392">
        <v>3.3720876865080136</v>
      </c>
      <c r="K197" s="392">
        <v>3.3720876865080136</v>
      </c>
      <c r="L197" s="392">
        <v>3.3720876865080136</v>
      </c>
      <c r="M197" s="392">
        <v>3.3720876865080136</v>
      </c>
      <c r="N197" s="392"/>
    </row>
    <row r="198" spans="1:14" hidden="1" outlineLevel="2" x14ac:dyDescent="0.35">
      <c r="A198" s="388" t="s">
        <v>3975</v>
      </c>
      <c r="B198" s="389">
        <v>44284</v>
      </c>
      <c r="C198" s="390" t="s">
        <v>4052</v>
      </c>
      <c r="D198" s="391" t="s">
        <v>4053</v>
      </c>
      <c r="E198" s="391" t="s">
        <v>4268</v>
      </c>
      <c r="F198" s="392">
        <v>2900000</v>
      </c>
      <c r="G198" s="393" t="s">
        <v>3800</v>
      </c>
      <c r="H198" s="394">
        <v>1079.0680596825644</v>
      </c>
      <c r="I198" s="394"/>
      <c r="J198" s="392">
        <v>269.76701492064109</v>
      </c>
      <c r="K198" s="392">
        <v>269.76701492064109</v>
      </c>
      <c r="L198" s="392">
        <v>269.76701492064109</v>
      </c>
      <c r="M198" s="392">
        <v>269.76701492064109</v>
      </c>
      <c r="N198" s="392"/>
    </row>
    <row r="199" spans="1:14" hidden="1" outlineLevel="2" x14ac:dyDescent="0.35">
      <c r="A199" s="388" t="s">
        <v>3975</v>
      </c>
      <c r="B199" s="389">
        <v>44284</v>
      </c>
      <c r="C199" s="390" t="s">
        <v>4052</v>
      </c>
      <c r="D199" s="391" t="s">
        <v>4054</v>
      </c>
      <c r="E199" s="391" t="s">
        <v>4268</v>
      </c>
      <c r="F199" s="392">
        <v>435000</v>
      </c>
      <c r="G199" s="393" t="s">
        <v>3800</v>
      </c>
      <c r="H199" s="394">
        <v>161.86020895238465</v>
      </c>
      <c r="I199" s="394"/>
      <c r="J199" s="392">
        <v>40.465052238096163</v>
      </c>
      <c r="K199" s="392">
        <v>40.465052238096163</v>
      </c>
      <c r="L199" s="392">
        <v>40.465052238096163</v>
      </c>
      <c r="M199" s="392">
        <v>40.465052238096163</v>
      </c>
      <c r="N199" s="392"/>
    </row>
    <row r="200" spans="1:14" hidden="1" outlineLevel="2" x14ac:dyDescent="0.35">
      <c r="A200" s="388" t="s">
        <v>3975</v>
      </c>
      <c r="B200" s="389">
        <v>44284</v>
      </c>
      <c r="C200" s="390" t="s">
        <v>4055</v>
      </c>
      <c r="D200" s="391" t="s">
        <v>4056</v>
      </c>
      <c r="E200" s="391" t="s">
        <v>4272</v>
      </c>
      <c r="F200" s="392">
        <v>362500</v>
      </c>
      <c r="G200" s="393" t="s">
        <v>3800</v>
      </c>
      <c r="H200" s="394">
        <v>134.88350746032054</v>
      </c>
      <c r="I200" s="394"/>
      <c r="J200" s="392">
        <v>33.720876865080136</v>
      </c>
      <c r="K200" s="392">
        <v>33.720876865080136</v>
      </c>
      <c r="L200" s="392">
        <v>33.720876865080136</v>
      </c>
      <c r="M200" s="392">
        <v>33.720876865080136</v>
      </c>
      <c r="N200" s="392"/>
    </row>
    <row r="201" spans="1:14" hidden="1" outlineLevel="2" x14ac:dyDescent="0.35">
      <c r="A201" s="388" t="s">
        <v>3975</v>
      </c>
      <c r="B201" s="389">
        <v>44284</v>
      </c>
      <c r="C201" s="390" t="s">
        <v>4052</v>
      </c>
      <c r="D201" s="391" t="s">
        <v>4057</v>
      </c>
      <c r="E201" s="391" t="s">
        <v>4268</v>
      </c>
      <c r="F201" s="392">
        <v>145000</v>
      </c>
      <c r="G201" s="393" t="s">
        <v>3800</v>
      </c>
      <c r="H201" s="394">
        <v>53.953402984128218</v>
      </c>
      <c r="I201" s="394"/>
      <c r="J201" s="392">
        <v>13.488350746032054</v>
      </c>
      <c r="K201" s="392">
        <v>13.488350746032054</v>
      </c>
      <c r="L201" s="392">
        <v>13.488350746032054</v>
      </c>
      <c r="M201" s="392">
        <v>13.488350746032054</v>
      </c>
      <c r="N201" s="392"/>
    </row>
    <row r="202" spans="1:14" hidden="1" outlineLevel="2" x14ac:dyDescent="0.35">
      <c r="A202" s="388" t="s">
        <v>3975</v>
      </c>
      <c r="B202" s="389">
        <v>44284</v>
      </c>
      <c r="C202" s="390" t="s">
        <v>4058</v>
      </c>
      <c r="D202" s="391" t="s">
        <v>4059</v>
      </c>
      <c r="E202" s="391" t="s">
        <v>4039</v>
      </c>
      <c r="F202" s="392">
        <v>145000</v>
      </c>
      <c r="G202" s="393" t="s">
        <v>3800</v>
      </c>
      <c r="H202" s="394">
        <v>53.953402984128218</v>
      </c>
      <c r="I202" s="394"/>
      <c r="J202" s="392">
        <v>13.488350746032054</v>
      </c>
      <c r="K202" s="392">
        <v>13.488350746032054</v>
      </c>
      <c r="L202" s="392">
        <v>13.488350746032054</v>
      </c>
      <c r="M202" s="392">
        <v>13.488350746032054</v>
      </c>
      <c r="N202" s="392"/>
    </row>
    <row r="203" spans="1:14" hidden="1" outlineLevel="2" x14ac:dyDescent="0.35">
      <c r="A203" s="388" t="s">
        <v>3975</v>
      </c>
      <c r="B203" s="389">
        <v>44284</v>
      </c>
      <c r="C203" s="390" t="s">
        <v>4060</v>
      </c>
      <c r="D203" s="391" t="s">
        <v>4061</v>
      </c>
      <c r="E203" s="391" t="s">
        <v>4042</v>
      </c>
      <c r="F203" s="392">
        <v>36250</v>
      </c>
      <c r="G203" s="393" t="s">
        <v>3800</v>
      </c>
      <c r="H203" s="394">
        <v>13.488350746032054</v>
      </c>
      <c r="I203" s="394"/>
      <c r="J203" s="392">
        <v>3.3720876865080136</v>
      </c>
      <c r="K203" s="392">
        <v>3.3720876865080136</v>
      </c>
      <c r="L203" s="392">
        <v>3.3720876865080136</v>
      </c>
      <c r="M203" s="392">
        <v>3.3720876865080136</v>
      </c>
      <c r="N203" s="392"/>
    </row>
    <row r="204" spans="1:14" hidden="1" outlineLevel="2" x14ac:dyDescent="0.35">
      <c r="A204" s="388" t="s">
        <v>3975</v>
      </c>
      <c r="B204" s="389">
        <v>44315</v>
      </c>
      <c r="C204" s="390" t="s">
        <v>4062</v>
      </c>
      <c r="D204" s="391" t="s">
        <v>4063</v>
      </c>
      <c r="E204" s="391" t="s">
        <v>4268</v>
      </c>
      <c r="F204" s="392">
        <v>2900000</v>
      </c>
      <c r="G204" s="393" t="s">
        <v>3800</v>
      </c>
      <c r="H204" s="394">
        <v>1079.0680596825644</v>
      </c>
      <c r="I204" s="394"/>
      <c r="J204" s="392">
        <v>269.76701492064109</v>
      </c>
      <c r="K204" s="392">
        <v>269.76701492064109</v>
      </c>
      <c r="L204" s="392">
        <v>269.76701492064109</v>
      </c>
      <c r="M204" s="392">
        <v>269.76701492064109</v>
      </c>
      <c r="N204" s="392"/>
    </row>
    <row r="205" spans="1:14" hidden="1" outlineLevel="2" x14ac:dyDescent="0.35">
      <c r="A205" s="388" t="s">
        <v>3975</v>
      </c>
      <c r="B205" s="389">
        <v>44315</v>
      </c>
      <c r="C205" s="390" t="s">
        <v>4062</v>
      </c>
      <c r="D205" s="391" t="s">
        <v>4064</v>
      </c>
      <c r="E205" s="391" t="s">
        <v>4268</v>
      </c>
      <c r="F205" s="392">
        <v>435000</v>
      </c>
      <c r="G205" s="393" t="s">
        <v>3800</v>
      </c>
      <c r="H205" s="394">
        <v>161.86020895238465</v>
      </c>
      <c r="I205" s="394"/>
      <c r="J205" s="392">
        <v>40.465052238096163</v>
      </c>
      <c r="K205" s="392">
        <v>40.465052238096163</v>
      </c>
      <c r="L205" s="392">
        <v>40.465052238096163</v>
      </c>
      <c r="M205" s="392">
        <v>40.465052238096163</v>
      </c>
      <c r="N205" s="392"/>
    </row>
    <row r="206" spans="1:14" hidden="1" outlineLevel="2" x14ac:dyDescent="0.35">
      <c r="A206" s="388" t="s">
        <v>3975</v>
      </c>
      <c r="B206" s="389">
        <v>44315</v>
      </c>
      <c r="C206" s="390" t="s">
        <v>4065</v>
      </c>
      <c r="D206" s="391" t="s">
        <v>4066</v>
      </c>
      <c r="E206" s="391" t="s">
        <v>4272</v>
      </c>
      <c r="F206" s="392">
        <v>362500</v>
      </c>
      <c r="G206" s="393" t="s">
        <v>3800</v>
      </c>
      <c r="H206" s="394">
        <v>134.88350746032054</v>
      </c>
      <c r="I206" s="394"/>
      <c r="J206" s="392">
        <v>33.720876865080136</v>
      </c>
      <c r="K206" s="392">
        <v>33.720876865080136</v>
      </c>
      <c r="L206" s="392">
        <v>33.720876865080136</v>
      </c>
      <c r="M206" s="392">
        <v>33.720876865080136</v>
      </c>
      <c r="N206" s="392"/>
    </row>
    <row r="207" spans="1:14" hidden="1" outlineLevel="2" x14ac:dyDescent="0.35">
      <c r="A207" s="388" t="s">
        <v>3975</v>
      </c>
      <c r="B207" s="389">
        <v>44315</v>
      </c>
      <c r="C207" s="390" t="s">
        <v>4062</v>
      </c>
      <c r="D207" s="391" t="s">
        <v>4067</v>
      </c>
      <c r="E207" s="391" t="s">
        <v>4268</v>
      </c>
      <c r="F207" s="392">
        <v>145000</v>
      </c>
      <c r="G207" s="393" t="s">
        <v>3800</v>
      </c>
      <c r="H207" s="394">
        <v>53.953402984128218</v>
      </c>
      <c r="I207" s="394"/>
      <c r="J207" s="392">
        <v>13.488350746032054</v>
      </c>
      <c r="K207" s="392">
        <v>13.488350746032054</v>
      </c>
      <c r="L207" s="392">
        <v>13.488350746032054</v>
      </c>
      <c r="M207" s="392">
        <v>13.488350746032054</v>
      </c>
      <c r="N207" s="392"/>
    </row>
    <row r="208" spans="1:14" hidden="1" outlineLevel="2" x14ac:dyDescent="0.35">
      <c r="A208" s="388" t="s">
        <v>3975</v>
      </c>
      <c r="B208" s="389">
        <v>44315</v>
      </c>
      <c r="C208" s="390" t="s">
        <v>4068</v>
      </c>
      <c r="D208" s="391" t="s">
        <v>4069</v>
      </c>
      <c r="E208" s="391" t="s">
        <v>4039</v>
      </c>
      <c r="F208" s="392">
        <v>145000</v>
      </c>
      <c r="G208" s="393" t="s">
        <v>3800</v>
      </c>
      <c r="H208" s="394">
        <v>53.953402984128218</v>
      </c>
      <c r="I208" s="394"/>
      <c r="J208" s="392">
        <v>13.488350746032054</v>
      </c>
      <c r="K208" s="392">
        <v>13.488350746032054</v>
      </c>
      <c r="L208" s="392">
        <v>13.488350746032054</v>
      </c>
      <c r="M208" s="392">
        <v>13.488350746032054</v>
      </c>
      <c r="N208" s="392"/>
    </row>
    <row r="209" spans="1:14" hidden="1" outlineLevel="2" x14ac:dyDescent="0.35">
      <c r="A209" s="388" t="s">
        <v>3975</v>
      </c>
      <c r="B209" s="389">
        <v>44315</v>
      </c>
      <c r="C209" s="390" t="s">
        <v>4070</v>
      </c>
      <c r="D209" s="391" t="s">
        <v>4071</v>
      </c>
      <c r="E209" s="391" t="s">
        <v>4042</v>
      </c>
      <c r="F209" s="392">
        <v>36250</v>
      </c>
      <c r="G209" s="393" t="s">
        <v>3800</v>
      </c>
      <c r="H209" s="394">
        <v>13.488350746032054</v>
      </c>
      <c r="I209" s="394"/>
      <c r="J209" s="392">
        <v>3.3720876865080136</v>
      </c>
      <c r="K209" s="392">
        <v>3.3720876865080136</v>
      </c>
      <c r="L209" s="392">
        <v>3.3720876865080136</v>
      </c>
      <c r="M209" s="392">
        <v>3.3720876865080136</v>
      </c>
      <c r="N209" s="392"/>
    </row>
    <row r="210" spans="1:14" hidden="1" outlineLevel="2" x14ac:dyDescent="0.35">
      <c r="A210" s="388" t="s">
        <v>3975</v>
      </c>
      <c r="B210" s="389">
        <v>44342</v>
      </c>
      <c r="C210" s="390" t="s">
        <v>4072</v>
      </c>
      <c r="D210" s="391" t="s">
        <v>4073</v>
      </c>
      <c r="E210" s="391" t="s">
        <v>4268</v>
      </c>
      <c r="F210" s="392">
        <v>2900000</v>
      </c>
      <c r="G210" s="393" t="s">
        <v>3800</v>
      </c>
      <c r="H210" s="394">
        <v>1079.0680596825644</v>
      </c>
      <c r="I210" s="394"/>
      <c r="J210" s="392">
        <v>269.76701492064109</v>
      </c>
      <c r="K210" s="392">
        <v>269.76701492064109</v>
      </c>
      <c r="L210" s="392">
        <v>269.76701492064109</v>
      </c>
      <c r="M210" s="392">
        <v>269.76701492064109</v>
      </c>
      <c r="N210" s="392"/>
    </row>
    <row r="211" spans="1:14" hidden="1" outlineLevel="2" x14ac:dyDescent="0.35">
      <c r="A211" s="388" t="s">
        <v>3975</v>
      </c>
      <c r="B211" s="389">
        <v>44342</v>
      </c>
      <c r="C211" s="390" t="s">
        <v>4072</v>
      </c>
      <c r="D211" s="391" t="s">
        <v>4074</v>
      </c>
      <c r="E211" s="391" t="s">
        <v>4268</v>
      </c>
      <c r="F211" s="392">
        <v>435000</v>
      </c>
      <c r="G211" s="393" t="s">
        <v>3800</v>
      </c>
      <c r="H211" s="394">
        <v>161.86020895238465</v>
      </c>
      <c r="I211" s="394"/>
      <c r="J211" s="392">
        <v>40.465052238096163</v>
      </c>
      <c r="K211" s="392">
        <v>40.465052238096163</v>
      </c>
      <c r="L211" s="392">
        <v>40.465052238096163</v>
      </c>
      <c r="M211" s="392">
        <v>40.465052238096163</v>
      </c>
      <c r="N211" s="392"/>
    </row>
    <row r="212" spans="1:14" hidden="1" outlineLevel="2" x14ac:dyDescent="0.35">
      <c r="A212" s="388" t="s">
        <v>3975</v>
      </c>
      <c r="B212" s="389">
        <v>44342</v>
      </c>
      <c r="C212" s="390" t="s">
        <v>4075</v>
      </c>
      <c r="D212" s="391" t="s">
        <v>4076</v>
      </c>
      <c r="E212" s="391" t="s">
        <v>4272</v>
      </c>
      <c r="F212" s="392">
        <v>362500</v>
      </c>
      <c r="G212" s="393" t="s">
        <v>3800</v>
      </c>
      <c r="H212" s="394">
        <v>134.88350746032054</v>
      </c>
      <c r="I212" s="394"/>
      <c r="J212" s="392">
        <v>33.720876865080136</v>
      </c>
      <c r="K212" s="392">
        <v>33.720876865080136</v>
      </c>
      <c r="L212" s="392">
        <v>33.720876865080136</v>
      </c>
      <c r="M212" s="392">
        <v>33.720876865080136</v>
      </c>
      <c r="N212" s="392"/>
    </row>
    <row r="213" spans="1:14" hidden="1" outlineLevel="2" x14ac:dyDescent="0.35">
      <c r="A213" s="388" t="s">
        <v>3975</v>
      </c>
      <c r="B213" s="389">
        <v>44342</v>
      </c>
      <c r="C213" s="390" t="s">
        <v>4072</v>
      </c>
      <c r="D213" s="391" t="s">
        <v>4077</v>
      </c>
      <c r="E213" s="391" t="s">
        <v>4268</v>
      </c>
      <c r="F213" s="392">
        <v>145000</v>
      </c>
      <c r="G213" s="393" t="s">
        <v>3800</v>
      </c>
      <c r="H213" s="394">
        <v>53.953402984128218</v>
      </c>
      <c r="I213" s="394"/>
      <c r="J213" s="392">
        <v>13.488350746032054</v>
      </c>
      <c r="K213" s="392">
        <v>13.488350746032054</v>
      </c>
      <c r="L213" s="392">
        <v>13.488350746032054</v>
      </c>
      <c r="M213" s="392">
        <v>13.488350746032054</v>
      </c>
      <c r="N213" s="392"/>
    </row>
    <row r="214" spans="1:14" hidden="1" outlineLevel="2" x14ac:dyDescent="0.35">
      <c r="A214" s="388" t="s">
        <v>3975</v>
      </c>
      <c r="B214" s="389">
        <v>44342</v>
      </c>
      <c r="C214" s="390" t="s">
        <v>4078</v>
      </c>
      <c r="D214" s="391" t="s">
        <v>4079</v>
      </c>
      <c r="E214" s="391" t="s">
        <v>4039</v>
      </c>
      <c r="F214" s="392">
        <v>145000</v>
      </c>
      <c r="G214" s="393" t="s">
        <v>3800</v>
      </c>
      <c r="H214" s="394">
        <v>53.953402984128218</v>
      </c>
      <c r="I214" s="394"/>
      <c r="J214" s="392">
        <v>13.488350746032054</v>
      </c>
      <c r="K214" s="392">
        <v>13.488350746032054</v>
      </c>
      <c r="L214" s="392">
        <v>13.488350746032054</v>
      </c>
      <c r="M214" s="392">
        <v>13.488350746032054</v>
      </c>
      <c r="N214" s="392"/>
    </row>
    <row r="215" spans="1:14" hidden="1" outlineLevel="2" x14ac:dyDescent="0.35">
      <c r="A215" s="388" t="s">
        <v>3975</v>
      </c>
      <c r="B215" s="389">
        <v>44342</v>
      </c>
      <c r="C215" s="390" t="s">
        <v>4080</v>
      </c>
      <c r="D215" s="391" t="s">
        <v>4081</v>
      </c>
      <c r="E215" s="391" t="s">
        <v>4042</v>
      </c>
      <c r="F215" s="392">
        <v>36250</v>
      </c>
      <c r="G215" s="393" t="s">
        <v>3800</v>
      </c>
      <c r="H215" s="394">
        <v>13.488350746032054</v>
      </c>
      <c r="I215" s="394"/>
      <c r="J215" s="392">
        <v>3.3720876865080136</v>
      </c>
      <c r="K215" s="392">
        <v>3.3720876865080136</v>
      </c>
      <c r="L215" s="392">
        <v>3.3720876865080136</v>
      </c>
      <c r="M215" s="392">
        <v>3.3720876865080136</v>
      </c>
      <c r="N215" s="392"/>
    </row>
    <row r="216" spans="1:14" hidden="1" outlineLevel="2" x14ac:dyDescent="0.35">
      <c r="A216" s="388" t="s">
        <v>3975</v>
      </c>
      <c r="B216" s="389">
        <v>44376</v>
      </c>
      <c r="C216" s="390" t="s">
        <v>4082</v>
      </c>
      <c r="D216" s="391" t="s">
        <v>4083</v>
      </c>
      <c r="E216" s="391" t="s">
        <v>4268</v>
      </c>
      <c r="F216" s="392">
        <v>2900000</v>
      </c>
      <c r="G216" s="393" t="s">
        <v>3800</v>
      </c>
      <c r="H216" s="394">
        <v>1079.0680596825644</v>
      </c>
      <c r="I216" s="394"/>
      <c r="J216" s="392">
        <v>269.76701492064109</v>
      </c>
      <c r="K216" s="392">
        <v>269.76701492064109</v>
      </c>
      <c r="L216" s="392">
        <v>269.76701492064109</v>
      </c>
      <c r="M216" s="392">
        <v>269.76701492064109</v>
      </c>
      <c r="N216" s="392"/>
    </row>
    <row r="217" spans="1:14" hidden="1" outlineLevel="2" x14ac:dyDescent="0.35">
      <c r="A217" s="388" t="s">
        <v>3975</v>
      </c>
      <c r="B217" s="389">
        <v>44376</v>
      </c>
      <c r="C217" s="390" t="s">
        <v>4082</v>
      </c>
      <c r="D217" s="391" t="s">
        <v>4084</v>
      </c>
      <c r="E217" s="391" t="s">
        <v>4268</v>
      </c>
      <c r="F217" s="392">
        <v>435000</v>
      </c>
      <c r="G217" s="393" t="s">
        <v>3800</v>
      </c>
      <c r="H217" s="394">
        <v>161.86020895238465</v>
      </c>
      <c r="I217" s="394"/>
      <c r="J217" s="392">
        <v>40.465052238096163</v>
      </c>
      <c r="K217" s="392">
        <v>40.465052238096163</v>
      </c>
      <c r="L217" s="392">
        <v>40.465052238096163</v>
      </c>
      <c r="M217" s="392">
        <v>40.465052238096163</v>
      </c>
      <c r="N217" s="392"/>
    </row>
    <row r="218" spans="1:14" hidden="1" outlineLevel="2" x14ac:dyDescent="0.35">
      <c r="A218" s="388" t="s">
        <v>3975</v>
      </c>
      <c r="B218" s="389">
        <v>44376</v>
      </c>
      <c r="C218" s="390" t="s">
        <v>4085</v>
      </c>
      <c r="D218" s="391" t="s">
        <v>4086</v>
      </c>
      <c r="E218" s="391" t="s">
        <v>4272</v>
      </c>
      <c r="F218" s="392">
        <v>362500</v>
      </c>
      <c r="G218" s="393" t="s">
        <v>3800</v>
      </c>
      <c r="H218" s="394">
        <v>134.88350746032054</v>
      </c>
      <c r="I218" s="394"/>
      <c r="J218" s="392">
        <v>33.720876865080136</v>
      </c>
      <c r="K218" s="392">
        <v>33.720876865080136</v>
      </c>
      <c r="L218" s="392">
        <v>33.720876865080136</v>
      </c>
      <c r="M218" s="392">
        <v>33.720876865080136</v>
      </c>
      <c r="N218" s="392"/>
    </row>
    <row r="219" spans="1:14" hidden="1" outlineLevel="2" x14ac:dyDescent="0.35">
      <c r="A219" s="388" t="s">
        <v>3975</v>
      </c>
      <c r="B219" s="389">
        <v>44376</v>
      </c>
      <c r="C219" s="390" t="s">
        <v>4082</v>
      </c>
      <c r="D219" s="391" t="s">
        <v>4087</v>
      </c>
      <c r="E219" s="391" t="s">
        <v>4268</v>
      </c>
      <c r="F219" s="392">
        <v>145000</v>
      </c>
      <c r="G219" s="393" t="s">
        <v>3800</v>
      </c>
      <c r="H219" s="394">
        <v>53.953402984128218</v>
      </c>
      <c r="I219" s="394"/>
      <c r="J219" s="392">
        <v>13.488350746032054</v>
      </c>
      <c r="K219" s="392">
        <v>13.488350746032054</v>
      </c>
      <c r="L219" s="392">
        <v>13.488350746032054</v>
      </c>
      <c r="M219" s="392">
        <v>13.488350746032054</v>
      </c>
      <c r="N219" s="392"/>
    </row>
    <row r="220" spans="1:14" hidden="1" outlineLevel="2" x14ac:dyDescent="0.35">
      <c r="A220" s="388" t="s">
        <v>3975</v>
      </c>
      <c r="B220" s="389">
        <v>44376</v>
      </c>
      <c r="C220" s="390" t="s">
        <v>4088</v>
      </c>
      <c r="D220" s="391" t="s">
        <v>4089</v>
      </c>
      <c r="E220" s="391" t="s">
        <v>4039</v>
      </c>
      <c r="F220" s="392">
        <v>145000</v>
      </c>
      <c r="G220" s="393" t="s">
        <v>3800</v>
      </c>
      <c r="H220" s="394">
        <v>53.953402984128218</v>
      </c>
      <c r="I220" s="394"/>
      <c r="J220" s="392">
        <v>13.488350746032054</v>
      </c>
      <c r="K220" s="392">
        <v>13.488350746032054</v>
      </c>
      <c r="L220" s="392">
        <v>13.488350746032054</v>
      </c>
      <c r="M220" s="392">
        <v>13.488350746032054</v>
      </c>
      <c r="N220" s="392"/>
    </row>
    <row r="221" spans="1:14" hidden="1" outlineLevel="2" x14ac:dyDescent="0.35">
      <c r="A221" s="388" t="s">
        <v>3975</v>
      </c>
      <c r="B221" s="389">
        <v>44376</v>
      </c>
      <c r="C221" s="390" t="s">
        <v>4090</v>
      </c>
      <c r="D221" s="391" t="s">
        <v>4091</v>
      </c>
      <c r="E221" s="391" t="s">
        <v>4042</v>
      </c>
      <c r="F221" s="392">
        <v>36250</v>
      </c>
      <c r="G221" s="393" t="s">
        <v>3800</v>
      </c>
      <c r="H221" s="394">
        <v>13.488350746032054</v>
      </c>
      <c r="I221" s="394"/>
      <c r="J221" s="392">
        <v>3.3720876865080136</v>
      </c>
      <c r="K221" s="392">
        <v>3.3720876865080136</v>
      </c>
      <c r="L221" s="392">
        <v>3.3720876865080136</v>
      </c>
      <c r="M221" s="392">
        <v>3.3720876865080136</v>
      </c>
      <c r="N221" s="392"/>
    </row>
    <row r="222" spans="1:14" hidden="1" outlineLevel="2" x14ac:dyDescent="0.35">
      <c r="A222" s="388" t="s">
        <v>3975</v>
      </c>
      <c r="B222" s="389">
        <v>44407</v>
      </c>
      <c r="C222" s="390" t="s">
        <v>4092</v>
      </c>
      <c r="D222" s="391" t="s">
        <v>4093</v>
      </c>
      <c r="E222" s="391" t="s">
        <v>4268</v>
      </c>
      <c r="F222" s="392">
        <v>2900000</v>
      </c>
      <c r="G222" s="393" t="s">
        <v>3800</v>
      </c>
      <c r="H222" s="394">
        <v>1079.0680596825644</v>
      </c>
      <c r="I222" s="394"/>
      <c r="J222" s="392">
        <v>269.76701492064109</v>
      </c>
      <c r="K222" s="392">
        <v>269.76701492064109</v>
      </c>
      <c r="L222" s="392">
        <v>269.76701492064109</v>
      </c>
      <c r="M222" s="392">
        <v>269.76701492064109</v>
      </c>
      <c r="N222" s="392"/>
    </row>
    <row r="223" spans="1:14" hidden="1" outlineLevel="2" x14ac:dyDescent="0.35">
      <c r="A223" s="388" t="s">
        <v>3975</v>
      </c>
      <c r="B223" s="389">
        <v>44407</v>
      </c>
      <c r="C223" s="390" t="s">
        <v>4092</v>
      </c>
      <c r="D223" s="391" t="s">
        <v>4094</v>
      </c>
      <c r="E223" s="391" t="s">
        <v>4268</v>
      </c>
      <c r="F223" s="392">
        <v>435000</v>
      </c>
      <c r="G223" s="393" t="s">
        <v>3800</v>
      </c>
      <c r="H223" s="394">
        <v>161.86020895238465</v>
      </c>
      <c r="I223" s="394"/>
      <c r="J223" s="392">
        <v>40.465052238096163</v>
      </c>
      <c r="K223" s="392">
        <v>40.465052238096163</v>
      </c>
      <c r="L223" s="392">
        <v>40.465052238096163</v>
      </c>
      <c r="M223" s="392">
        <v>40.465052238096163</v>
      </c>
      <c r="N223" s="392"/>
    </row>
    <row r="224" spans="1:14" hidden="1" outlineLevel="2" x14ac:dyDescent="0.35">
      <c r="A224" s="388" t="s">
        <v>3975</v>
      </c>
      <c r="B224" s="389">
        <v>44407</v>
      </c>
      <c r="C224" s="390" t="s">
        <v>4095</v>
      </c>
      <c r="D224" s="391" t="s">
        <v>4096</v>
      </c>
      <c r="E224" s="391" t="s">
        <v>4272</v>
      </c>
      <c r="F224" s="392">
        <v>362500</v>
      </c>
      <c r="G224" s="393" t="s">
        <v>3800</v>
      </c>
      <c r="H224" s="394">
        <v>134.88350746032054</v>
      </c>
      <c r="I224" s="394"/>
      <c r="J224" s="392">
        <v>33.720876865080136</v>
      </c>
      <c r="K224" s="392">
        <v>33.720876865080136</v>
      </c>
      <c r="L224" s="392">
        <v>33.720876865080136</v>
      </c>
      <c r="M224" s="392">
        <v>33.720876865080136</v>
      </c>
      <c r="N224" s="392"/>
    </row>
    <row r="225" spans="1:14" hidden="1" outlineLevel="2" x14ac:dyDescent="0.35">
      <c r="A225" s="388" t="s">
        <v>3975</v>
      </c>
      <c r="B225" s="389">
        <v>44407</v>
      </c>
      <c r="C225" s="390" t="s">
        <v>4062</v>
      </c>
      <c r="D225" s="391" t="s">
        <v>4097</v>
      </c>
      <c r="E225" s="391" t="s">
        <v>4268</v>
      </c>
      <c r="F225" s="392">
        <v>145000</v>
      </c>
      <c r="G225" s="393" t="s">
        <v>3800</v>
      </c>
      <c r="H225" s="394">
        <v>53.953402984128218</v>
      </c>
      <c r="I225" s="394"/>
      <c r="J225" s="392">
        <v>13.488350746032054</v>
      </c>
      <c r="K225" s="392">
        <v>13.488350746032054</v>
      </c>
      <c r="L225" s="392">
        <v>13.488350746032054</v>
      </c>
      <c r="M225" s="392">
        <v>13.488350746032054</v>
      </c>
      <c r="N225" s="392"/>
    </row>
    <row r="226" spans="1:14" hidden="1" outlineLevel="2" x14ac:dyDescent="0.35">
      <c r="A226" s="388" t="s">
        <v>3975</v>
      </c>
      <c r="B226" s="389">
        <v>44407</v>
      </c>
      <c r="C226" s="390" t="s">
        <v>4092</v>
      </c>
      <c r="D226" s="391" t="s">
        <v>4098</v>
      </c>
      <c r="E226" s="391" t="s">
        <v>4039</v>
      </c>
      <c r="F226" s="392">
        <v>145000</v>
      </c>
      <c r="G226" s="393" t="s">
        <v>3800</v>
      </c>
      <c r="H226" s="394">
        <v>53.953402984128218</v>
      </c>
      <c r="I226" s="394"/>
      <c r="J226" s="392">
        <v>13.488350746032054</v>
      </c>
      <c r="K226" s="392">
        <v>13.488350746032054</v>
      </c>
      <c r="L226" s="392">
        <v>13.488350746032054</v>
      </c>
      <c r="M226" s="392">
        <v>13.488350746032054</v>
      </c>
      <c r="N226" s="392"/>
    </row>
    <row r="227" spans="1:14" hidden="1" outlineLevel="2" x14ac:dyDescent="0.35">
      <c r="A227" s="388" t="s">
        <v>3975</v>
      </c>
      <c r="B227" s="389">
        <v>44407</v>
      </c>
      <c r="C227" s="390" t="s">
        <v>4099</v>
      </c>
      <c r="D227" s="391" t="s">
        <v>4100</v>
      </c>
      <c r="E227" s="391" t="s">
        <v>4042</v>
      </c>
      <c r="F227" s="392">
        <v>21750</v>
      </c>
      <c r="G227" s="393" t="s">
        <v>3800</v>
      </c>
      <c r="H227" s="394">
        <v>8.0930104476192319</v>
      </c>
      <c r="I227" s="394"/>
      <c r="J227" s="392">
        <v>2.023252611904808</v>
      </c>
      <c r="K227" s="392">
        <v>2.023252611904808</v>
      </c>
      <c r="L227" s="392">
        <v>2.023252611904808</v>
      </c>
      <c r="M227" s="392">
        <v>2.023252611904808</v>
      </c>
      <c r="N227" s="392"/>
    </row>
    <row r="228" spans="1:14" outlineLevel="1" collapsed="1" x14ac:dyDescent="0.35">
      <c r="A228" s="395" t="s">
        <v>4365</v>
      </c>
      <c r="B228" s="389"/>
      <c r="C228" s="390"/>
      <c r="D228" s="391"/>
      <c r="E228" s="391"/>
      <c r="F228" s="392"/>
      <c r="G228" s="393"/>
      <c r="H228" s="394">
        <f t="shared" ref="H228:N228" si="8">SUBTOTAL(9,H126:H227)</f>
        <v>25924.505909679916</v>
      </c>
      <c r="I228" s="394"/>
      <c r="J228" s="392">
        <f t="shared" si="8"/>
        <v>6481.126477419979</v>
      </c>
      <c r="K228" s="392">
        <f t="shared" si="8"/>
        <v>6481.126477419979</v>
      </c>
      <c r="L228" s="392">
        <f t="shared" si="8"/>
        <v>6481.126477419979</v>
      </c>
      <c r="M228" s="392">
        <f t="shared" si="8"/>
        <v>6481.126477419979</v>
      </c>
      <c r="N228" s="392">
        <f t="shared" si="8"/>
        <v>0</v>
      </c>
    </row>
    <row r="229" spans="1:14" hidden="1" outlineLevel="2" x14ac:dyDescent="0.35">
      <c r="A229" s="388" t="s">
        <v>4366</v>
      </c>
      <c r="B229" s="389">
        <v>43833</v>
      </c>
      <c r="C229" s="390" t="s">
        <v>4367</v>
      </c>
      <c r="D229" s="391" t="s">
        <v>4368</v>
      </c>
      <c r="E229" s="391" t="s">
        <v>4369</v>
      </c>
      <c r="F229" s="392">
        <v>2500000</v>
      </c>
      <c r="G229" s="393" t="s">
        <v>3800</v>
      </c>
      <c r="H229" s="394">
        <v>959.89143959685828</v>
      </c>
      <c r="I229" s="394"/>
      <c r="J229" s="392">
        <v>239.97285989921457</v>
      </c>
      <c r="K229" s="392">
        <v>239.97285989921457</v>
      </c>
      <c r="L229" s="392">
        <v>239.97285989921457</v>
      </c>
      <c r="M229" s="392">
        <v>239.97285989921457</v>
      </c>
      <c r="N229" s="392"/>
    </row>
    <row r="230" spans="1:14" hidden="1" outlineLevel="2" x14ac:dyDescent="0.35">
      <c r="A230" s="388" t="s">
        <v>4366</v>
      </c>
      <c r="B230" s="389">
        <v>43833</v>
      </c>
      <c r="C230" s="390" t="s">
        <v>4367</v>
      </c>
      <c r="D230" s="391" t="s">
        <v>4370</v>
      </c>
      <c r="E230" s="391" t="s">
        <v>4369</v>
      </c>
      <c r="F230" s="392">
        <v>375000</v>
      </c>
      <c r="G230" s="393" t="s">
        <v>3800</v>
      </c>
      <c r="H230" s="394">
        <v>143.98371593952874</v>
      </c>
      <c r="I230" s="394"/>
      <c r="J230" s="392">
        <v>35.995928984882184</v>
      </c>
      <c r="K230" s="392">
        <v>35.995928984882184</v>
      </c>
      <c r="L230" s="392">
        <v>35.995928984882184</v>
      </c>
      <c r="M230" s="392">
        <v>35.995928984882184</v>
      </c>
      <c r="N230" s="392"/>
    </row>
    <row r="231" spans="1:14" hidden="1" outlineLevel="2" x14ac:dyDescent="0.35">
      <c r="A231" s="388" t="s">
        <v>4366</v>
      </c>
      <c r="B231" s="389">
        <v>43833</v>
      </c>
      <c r="C231" s="390" t="s">
        <v>4371</v>
      </c>
      <c r="D231" s="391" t="s">
        <v>4372</v>
      </c>
      <c r="E231" s="391" t="s">
        <v>4272</v>
      </c>
      <c r="F231" s="392">
        <v>312500</v>
      </c>
      <c r="G231" s="393" t="s">
        <v>3800</v>
      </c>
      <c r="H231" s="394">
        <v>119.98642994960728</v>
      </c>
      <c r="I231" s="394"/>
      <c r="J231" s="392">
        <v>29.996607487401821</v>
      </c>
      <c r="K231" s="392">
        <v>29.996607487401821</v>
      </c>
      <c r="L231" s="392">
        <v>29.996607487401821</v>
      </c>
      <c r="M231" s="392">
        <v>29.996607487401821</v>
      </c>
      <c r="N231" s="392"/>
    </row>
    <row r="232" spans="1:14" hidden="1" outlineLevel="2" x14ac:dyDescent="0.35">
      <c r="A232" s="388" t="s">
        <v>4366</v>
      </c>
      <c r="B232" s="389">
        <v>43833</v>
      </c>
      <c r="C232" s="390" t="s">
        <v>4367</v>
      </c>
      <c r="D232" s="391" t="s">
        <v>4373</v>
      </c>
      <c r="E232" s="391" t="s">
        <v>4369</v>
      </c>
      <c r="F232" s="392">
        <v>125000</v>
      </c>
      <c r="G232" s="393" t="s">
        <v>3800</v>
      </c>
      <c r="H232" s="394">
        <v>47.99457197984291</v>
      </c>
      <c r="I232" s="394"/>
      <c r="J232" s="392">
        <v>11.998642994960727</v>
      </c>
      <c r="K232" s="392">
        <v>11.998642994960727</v>
      </c>
      <c r="L232" s="392">
        <v>11.998642994960727</v>
      </c>
      <c r="M232" s="392">
        <v>11.998642994960727</v>
      </c>
      <c r="N232" s="392"/>
    </row>
    <row r="233" spans="1:14" hidden="1" outlineLevel="2" x14ac:dyDescent="0.35">
      <c r="A233" s="388" t="s">
        <v>4366</v>
      </c>
      <c r="B233" s="389">
        <v>43833</v>
      </c>
      <c r="C233" s="390" t="s">
        <v>4374</v>
      </c>
      <c r="D233" s="391" t="s">
        <v>4375</v>
      </c>
      <c r="E233" s="391" t="s">
        <v>4376</v>
      </c>
      <c r="F233" s="392">
        <v>125000</v>
      </c>
      <c r="G233" s="393" t="s">
        <v>3800</v>
      </c>
      <c r="H233" s="394">
        <v>47.99457197984291</v>
      </c>
      <c r="I233" s="394"/>
      <c r="J233" s="392">
        <v>11.998642994960727</v>
      </c>
      <c r="K233" s="392">
        <v>11.998642994960727</v>
      </c>
      <c r="L233" s="392">
        <v>11.998642994960727</v>
      </c>
      <c r="M233" s="392">
        <v>11.998642994960727</v>
      </c>
      <c r="N233" s="392"/>
    </row>
    <row r="234" spans="1:14" hidden="1" outlineLevel="2" x14ac:dyDescent="0.35">
      <c r="A234" s="388" t="s">
        <v>4366</v>
      </c>
      <c r="B234" s="389">
        <v>43833</v>
      </c>
      <c r="C234" s="390" t="s">
        <v>4377</v>
      </c>
      <c r="D234" s="391" t="s">
        <v>4378</v>
      </c>
      <c r="E234" s="391" t="s">
        <v>4042</v>
      </c>
      <c r="F234" s="392">
        <v>31250</v>
      </c>
      <c r="G234" s="393" t="s">
        <v>3800</v>
      </c>
      <c r="H234" s="394">
        <v>11.998642994960727</v>
      </c>
      <c r="I234" s="394"/>
      <c r="J234" s="392">
        <v>2.9996607487401818</v>
      </c>
      <c r="K234" s="392">
        <v>2.9996607487401818</v>
      </c>
      <c r="L234" s="392">
        <v>2.9996607487401818</v>
      </c>
      <c r="M234" s="392">
        <v>2.9996607487401818</v>
      </c>
      <c r="N234" s="392"/>
    </row>
    <row r="235" spans="1:14" hidden="1" outlineLevel="2" x14ac:dyDescent="0.35">
      <c r="A235" s="388" t="s">
        <v>4366</v>
      </c>
      <c r="B235" s="389">
        <v>43890</v>
      </c>
      <c r="C235" s="390" t="s">
        <v>4379</v>
      </c>
      <c r="D235" s="391" t="s">
        <v>4380</v>
      </c>
      <c r="E235" s="391" t="s">
        <v>4369</v>
      </c>
      <c r="F235" s="392">
        <v>2500000</v>
      </c>
      <c r="G235" s="393" t="s">
        <v>3800</v>
      </c>
      <c r="H235" s="394">
        <v>959.89143959685828</v>
      </c>
      <c r="I235" s="394"/>
      <c r="J235" s="392">
        <v>239.97285989921457</v>
      </c>
      <c r="K235" s="392">
        <v>239.97285989921457</v>
      </c>
      <c r="L235" s="392">
        <v>239.97285989921457</v>
      </c>
      <c r="M235" s="392">
        <v>239.97285989921457</v>
      </c>
      <c r="N235" s="392"/>
    </row>
    <row r="236" spans="1:14" hidden="1" outlineLevel="2" x14ac:dyDescent="0.35">
      <c r="A236" s="388" t="s">
        <v>4366</v>
      </c>
      <c r="B236" s="389">
        <v>43890</v>
      </c>
      <c r="C236" s="390" t="s">
        <v>4379</v>
      </c>
      <c r="D236" s="391" t="s">
        <v>4381</v>
      </c>
      <c r="E236" s="391" t="s">
        <v>4369</v>
      </c>
      <c r="F236" s="392">
        <v>375000</v>
      </c>
      <c r="G236" s="393" t="s">
        <v>3800</v>
      </c>
      <c r="H236" s="394">
        <v>143.98371593952874</v>
      </c>
      <c r="I236" s="394"/>
      <c r="J236" s="392">
        <v>35.995928984882184</v>
      </c>
      <c r="K236" s="392">
        <v>35.995928984882184</v>
      </c>
      <c r="L236" s="392">
        <v>35.995928984882184</v>
      </c>
      <c r="M236" s="392">
        <v>35.995928984882184</v>
      </c>
      <c r="N236" s="392"/>
    </row>
    <row r="237" spans="1:14" hidden="1" outlineLevel="2" x14ac:dyDescent="0.35">
      <c r="A237" s="388" t="s">
        <v>4366</v>
      </c>
      <c r="B237" s="389">
        <v>43890</v>
      </c>
      <c r="C237" s="390" t="s">
        <v>4382</v>
      </c>
      <c r="D237" s="391" t="s">
        <v>4383</v>
      </c>
      <c r="E237" s="391" t="s">
        <v>4272</v>
      </c>
      <c r="F237" s="392">
        <v>312500</v>
      </c>
      <c r="G237" s="393" t="s">
        <v>3800</v>
      </c>
      <c r="H237" s="394">
        <v>119.98642994960728</v>
      </c>
      <c r="I237" s="394"/>
      <c r="J237" s="392">
        <v>29.996607487401821</v>
      </c>
      <c r="K237" s="392">
        <v>29.996607487401821</v>
      </c>
      <c r="L237" s="392">
        <v>29.996607487401821</v>
      </c>
      <c r="M237" s="392">
        <v>29.996607487401821</v>
      </c>
      <c r="N237" s="392"/>
    </row>
    <row r="238" spans="1:14" hidden="1" outlineLevel="2" x14ac:dyDescent="0.35">
      <c r="A238" s="388" t="s">
        <v>4366</v>
      </c>
      <c r="B238" s="389">
        <v>43890</v>
      </c>
      <c r="C238" s="390" t="s">
        <v>4379</v>
      </c>
      <c r="D238" s="391" t="s">
        <v>4384</v>
      </c>
      <c r="E238" s="391" t="s">
        <v>4369</v>
      </c>
      <c r="F238" s="392">
        <v>125000</v>
      </c>
      <c r="G238" s="393" t="s">
        <v>3800</v>
      </c>
      <c r="H238" s="394">
        <v>47.99457197984291</v>
      </c>
      <c r="I238" s="394"/>
      <c r="J238" s="392">
        <v>11.998642994960727</v>
      </c>
      <c r="K238" s="392">
        <v>11.998642994960727</v>
      </c>
      <c r="L238" s="392">
        <v>11.998642994960727</v>
      </c>
      <c r="M238" s="392">
        <v>11.998642994960727</v>
      </c>
      <c r="N238" s="392"/>
    </row>
    <row r="239" spans="1:14" hidden="1" outlineLevel="2" x14ac:dyDescent="0.35">
      <c r="A239" s="388" t="s">
        <v>4366</v>
      </c>
      <c r="B239" s="389">
        <v>43890</v>
      </c>
      <c r="C239" s="390" t="s">
        <v>4385</v>
      </c>
      <c r="D239" s="391" t="s">
        <v>4386</v>
      </c>
      <c r="E239" s="391" t="s">
        <v>4376</v>
      </c>
      <c r="F239" s="392">
        <v>125000</v>
      </c>
      <c r="G239" s="393" t="s">
        <v>3800</v>
      </c>
      <c r="H239" s="394">
        <v>47.99457197984291</v>
      </c>
      <c r="I239" s="394"/>
      <c r="J239" s="392">
        <v>11.998642994960727</v>
      </c>
      <c r="K239" s="392">
        <v>11.998642994960727</v>
      </c>
      <c r="L239" s="392">
        <v>11.998642994960727</v>
      </c>
      <c r="M239" s="392">
        <v>11.998642994960727</v>
      </c>
      <c r="N239" s="392"/>
    </row>
    <row r="240" spans="1:14" hidden="1" outlineLevel="2" x14ac:dyDescent="0.35">
      <c r="A240" s="388" t="s">
        <v>4366</v>
      </c>
      <c r="B240" s="389">
        <v>43890</v>
      </c>
      <c r="C240" s="390" t="s">
        <v>4387</v>
      </c>
      <c r="D240" s="391" t="s">
        <v>4388</v>
      </c>
      <c r="E240" s="391" t="s">
        <v>4042</v>
      </c>
      <c r="F240" s="392">
        <v>31250</v>
      </c>
      <c r="G240" s="393" t="s">
        <v>3800</v>
      </c>
      <c r="H240" s="394">
        <v>11.998642994960727</v>
      </c>
      <c r="I240" s="394"/>
      <c r="J240" s="392">
        <v>2.9996607487401818</v>
      </c>
      <c r="K240" s="392">
        <v>2.9996607487401818</v>
      </c>
      <c r="L240" s="392">
        <v>2.9996607487401818</v>
      </c>
      <c r="M240" s="392">
        <v>2.9996607487401818</v>
      </c>
      <c r="N240" s="392"/>
    </row>
    <row r="241" spans="1:14" hidden="1" outlineLevel="2" x14ac:dyDescent="0.35">
      <c r="A241" s="388" t="s">
        <v>4366</v>
      </c>
      <c r="B241" s="389">
        <v>43950</v>
      </c>
      <c r="C241" s="390" t="s">
        <v>4266</v>
      </c>
      <c r="D241" s="391" t="s">
        <v>4267</v>
      </c>
      <c r="E241" s="391" t="s">
        <v>4369</v>
      </c>
      <c r="F241" s="392">
        <v>2500000</v>
      </c>
      <c r="G241" s="393" t="s">
        <v>3800</v>
      </c>
      <c r="H241" s="394">
        <v>959.89143959685828</v>
      </c>
      <c r="I241" s="394"/>
      <c r="J241" s="392">
        <v>239.97285989921457</v>
      </c>
      <c r="K241" s="392">
        <v>239.97285989921457</v>
      </c>
      <c r="L241" s="392">
        <v>239.97285989921457</v>
      </c>
      <c r="M241" s="392">
        <v>239.97285989921457</v>
      </c>
      <c r="N241" s="392"/>
    </row>
    <row r="242" spans="1:14" hidden="1" outlineLevel="2" x14ac:dyDescent="0.35">
      <c r="A242" s="388" t="s">
        <v>4366</v>
      </c>
      <c r="B242" s="389">
        <v>43950</v>
      </c>
      <c r="C242" s="390" t="s">
        <v>4266</v>
      </c>
      <c r="D242" s="391" t="s">
        <v>4269</v>
      </c>
      <c r="E242" s="391" t="s">
        <v>4369</v>
      </c>
      <c r="F242" s="392">
        <v>375000</v>
      </c>
      <c r="G242" s="393" t="s">
        <v>3800</v>
      </c>
      <c r="H242" s="394">
        <v>143.98371593952874</v>
      </c>
      <c r="I242" s="394"/>
      <c r="J242" s="392">
        <v>35.995928984882184</v>
      </c>
      <c r="K242" s="392">
        <v>35.995928984882184</v>
      </c>
      <c r="L242" s="392">
        <v>35.995928984882184</v>
      </c>
      <c r="M242" s="392">
        <v>35.995928984882184</v>
      </c>
      <c r="N242" s="392"/>
    </row>
    <row r="243" spans="1:14" hidden="1" outlineLevel="2" x14ac:dyDescent="0.35">
      <c r="A243" s="388" t="s">
        <v>4366</v>
      </c>
      <c r="B243" s="389">
        <v>43950</v>
      </c>
      <c r="C243" s="390" t="s">
        <v>4270</v>
      </c>
      <c r="D243" s="391" t="s">
        <v>4271</v>
      </c>
      <c r="E243" s="391" t="s">
        <v>4272</v>
      </c>
      <c r="F243" s="392">
        <v>312500</v>
      </c>
      <c r="G243" s="393" t="s">
        <v>3800</v>
      </c>
      <c r="H243" s="394">
        <v>119.98642994960728</v>
      </c>
      <c r="I243" s="394"/>
      <c r="J243" s="392">
        <v>29.996607487401821</v>
      </c>
      <c r="K243" s="392">
        <v>29.996607487401821</v>
      </c>
      <c r="L243" s="392">
        <v>29.996607487401821</v>
      </c>
      <c r="M243" s="392">
        <v>29.996607487401821</v>
      </c>
      <c r="N243" s="392"/>
    </row>
    <row r="244" spans="1:14" hidden="1" outlineLevel="2" x14ac:dyDescent="0.35">
      <c r="A244" s="388" t="s">
        <v>4366</v>
      </c>
      <c r="B244" s="389">
        <v>43950</v>
      </c>
      <c r="C244" s="390" t="s">
        <v>4266</v>
      </c>
      <c r="D244" s="391" t="s">
        <v>4273</v>
      </c>
      <c r="E244" s="391" t="s">
        <v>4369</v>
      </c>
      <c r="F244" s="392">
        <v>125000</v>
      </c>
      <c r="G244" s="393" t="s">
        <v>3800</v>
      </c>
      <c r="H244" s="394">
        <v>47.99457197984291</v>
      </c>
      <c r="I244" s="394"/>
      <c r="J244" s="392">
        <v>11.998642994960727</v>
      </c>
      <c r="K244" s="392">
        <v>11.998642994960727</v>
      </c>
      <c r="L244" s="392">
        <v>11.998642994960727</v>
      </c>
      <c r="M244" s="392">
        <v>11.998642994960727</v>
      </c>
      <c r="N244" s="392"/>
    </row>
    <row r="245" spans="1:14" hidden="1" outlineLevel="2" x14ac:dyDescent="0.35">
      <c r="A245" s="388" t="s">
        <v>4366</v>
      </c>
      <c r="B245" s="389">
        <v>43950</v>
      </c>
      <c r="C245" s="390" t="s">
        <v>4274</v>
      </c>
      <c r="D245" s="391" t="s">
        <v>4275</v>
      </c>
      <c r="E245" s="391" t="s">
        <v>4376</v>
      </c>
      <c r="F245" s="392">
        <v>125000</v>
      </c>
      <c r="G245" s="393" t="s">
        <v>3800</v>
      </c>
      <c r="H245" s="394">
        <v>47.99457197984291</v>
      </c>
      <c r="I245" s="394"/>
      <c r="J245" s="392">
        <v>11.998642994960727</v>
      </c>
      <c r="K245" s="392">
        <v>11.998642994960727</v>
      </c>
      <c r="L245" s="392">
        <v>11.998642994960727</v>
      </c>
      <c r="M245" s="392">
        <v>11.998642994960727</v>
      </c>
      <c r="N245" s="392"/>
    </row>
    <row r="246" spans="1:14" hidden="1" outlineLevel="2" x14ac:dyDescent="0.35">
      <c r="A246" s="388" t="s">
        <v>4366</v>
      </c>
      <c r="B246" s="389">
        <v>43950</v>
      </c>
      <c r="C246" s="390" t="s">
        <v>4277</v>
      </c>
      <c r="D246" s="391" t="s">
        <v>4278</v>
      </c>
      <c r="E246" s="391" t="s">
        <v>4042</v>
      </c>
      <c r="F246" s="392">
        <v>31250</v>
      </c>
      <c r="G246" s="393" t="s">
        <v>3800</v>
      </c>
      <c r="H246" s="394">
        <v>11.998642994960727</v>
      </c>
      <c r="I246" s="394"/>
      <c r="J246" s="392">
        <v>2.9996607487401818</v>
      </c>
      <c r="K246" s="392">
        <v>2.9996607487401818</v>
      </c>
      <c r="L246" s="392">
        <v>2.9996607487401818</v>
      </c>
      <c r="M246" s="392">
        <v>2.9996607487401818</v>
      </c>
      <c r="N246" s="392"/>
    </row>
    <row r="247" spans="1:14" hidden="1" outlineLevel="2" x14ac:dyDescent="0.35">
      <c r="A247" s="388" t="s">
        <v>4366</v>
      </c>
      <c r="B247" s="389">
        <v>43959</v>
      </c>
      <c r="C247" s="390" t="s">
        <v>4253</v>
      </c>
      <c r="D247" s="391" t="s">
        <v>4279</v>
      </c>
      <c r="E247" s="391" t="s">
        <v>4369</v>
      </c>
      <c r="F247" s="392">
        <v>2500000</v>
      </c>
      <c r="G247" s="393" t="s">
        <v>3800</v>
      </c>
      <c r="H247" s="394">
        <v>959.89143959685828</v>
      </c>
      <c r="I247" s="394"/>
      <c r="J247" s="392">
        <v>239.97285989921457</v>
      </c>
      <c r="K247" s="392">
        <v>239.97285989921457</v>
      </c>
      <c r="L247" s="392">
        <v>239.97285989921457</v>
      </c>
      <c r="M247" s="392">
        <v>239.97285989921457</v>
      </c>
      <c r="N247" s="392"/>
    </row>
    <row r="248" spans="1:14" hidden="1" outlineLevel="2" x14ac:dyDescent="0.35">
      <c r="A248" s="388" t="s">
        <v>4366</v>
      </c>
      <c r="B248" s="389">
        <v>43959</v>
      </c>
      <c r="C248" s="390" t="s">
        <v>4253</v>
      </c>
      <c r="D248" s="391" t="s">
        <v>4280</v>
      </c>
      <c r="E248" s="391" t="s">
        <v>4369</v>
      </c>
      <c r="F248" s="392">
        <v>375000</v>
      </c>
      <c r="G248" s="393" t="s">
        <v>3800</v>
      </c>
      <c r="H248" s="394">
        <v>143.98371593952874</v>
      </c>
      <c r="I248" s="394"/>
      <c r="J248" s="392">
        <v>35.995928984882184</v>
      </c>
      <c r="K248" s="392">
        <v>35.995928984882184</v>
      </c>
      <c r="L248" s="392">
        <v>35.995928984882184</v>
      </c>
      <c r="M248" s="392">
        <v>35.995928984882184</v>
      </c>
      <c r="N248" s="392"/>
    </row>
    <row r="249" spans="1:14" hidden="1" outlineLevel="2" collapsed="1" x14ac:dyDescent="0.35">
      <c r="A249" s="388" t="s">
        <v>4366</v>
      </c>
      <c r="B249" s="389">
        <v>43963</v>
      </c>
      <c r="C249" s="390" t="s">
        <v>4281</v>
      </c>
      <c r="D249" s="391" t="s">
        <v>4282</v>
      </c>
      <c r="E249" s="391" t="s">
        <v>4272</v>
      </c>
      <c r="F249" s="392">
        <v>312500</v>
      </c>
      <c r="G249" s="393" t="s">
        <v>3800</v>
      </c>
      <c r="H249" s="394">
        <v>119.98642994960728</v>
      </c>
      <c r="I249" s="394"/>
      <c r="J249" s="392">
        <v>29.996607487401821</v>
      </c>
      <c r="K249" s="392">
        <v>29.996607487401821</v>
      </c>
      <c r="L249" s="392">
        <v>29.996607487401821</v>
      </c>
      <c r="M249" s="392">
        <v>29.996607487401821</v>
      </c>
      <c r="N249" s="392"/>
    </row>
    <row r="250" spans="1:14" hidden="1" outlineLevel="2" x14ac:dyDescent="0.35">
      <c r="A250" s="388" t="s">
        <v>4366</v>
      </c>
      <c r="B250" s="389">
        <v>43959</v>
      </c>
      <c r="C250" s="390" t="s">
        <v>4253</v>
      </c>
      <c r="D250" s="391" t="s">
        <v>4283</v>
      </c>
      <c r="E250" s="391" t="s">
        <v>4369</v>
      </c>
      <c r="F250" s="392">
        <v>125000</v>
      </c>
      <c r="G250" s="393" t="s">
        <v>3800</v>
      </c>
      <c r="H250" s="394">
        <v>47.99457197984291</v>
      </c>
      <c r="I250" s="394"/>
      <c r="J250" s="392">
        <v>11.998642994960727</v>
      </c>
      <c r="K250" s="392">
        <v>11.998642994960727</v>
      </c>
      <c r="L250" s="392">
        <v>11.998642994960727</v>
      </c>
      <c r="M250" s="392">
        <v>11.998642994960727</v>
      </c>
      <c r="N250" s="392"/>
    </row>
    <row r="251" spans="1:14" hidden="1" outlineLevel="2" x14ac:dyDescent="0.35">
      <c r="A251" s="388" t="s">
        <v>4366</v>
      </c>
      <c r="B251" s="389">
        <v>43964</v>
      </c>
      <c r="C251" s="390" t="s">
        <v>4284</v>
      </c>
      <c r="D251" s="391" t="s">
        <v>4389</v>
      </c>
      <c r="E251" s="391" t="s">
        <v>4376</v>
      </c>
      <c r="F251" s="392">
        <v>125000</v>
      </c>
      <c r="G251" s="393" t="s">
        <v>3800</v>
      </c>
      <c r="H251" s="394">
        <v>47.99457197984291</v>
      </c>
      <c r="I251" s="394"/>
      <c r="J251" s="392">
        <v>11.998642994960727</v>
      </c>
      <c r="K251" s="392">
        <v>11.998642994960727</v>
      </c>
      <c r="L251" s="392">
        <v>11.998642994960727</v>
      </c>
      <c r="M251" s="392">
        <v>11.998642994960727</v>
      </c>
      <c r="N251" s="392"/>
    </row>
    <row r="252" spans="1:14" hidden="1" outlineLevel="2" x14ac:dyDescent="0.35">
      <c r="A252" s="388" t="s">
        <v>4366</v>
      </c>
      <c r="B252" s="389">
        <v>43959</v>
      </c>
      <c r="C252" s="390" t="s">
        <v>4286</v>
      </c>
      <c r="D252" s="391" t="s">
        <v>4287</v>
      </c>
      <c r="E252" s="391" t="s">
        <v>4042</v>
      </c>
      <c r="F252" s="392">
        <v>31250</v>
      </c>
      <c r="G252" s="393" t="s">
        <v>3800</v>
      </c>
      <c r="H252" s="394">
        <v>11.998642994960727</v>
      </c>
      <c r="I252" s="394"/>
      <c r="J252" s="392">
        <v>2.9996607487401818</v>
      </c>
      <c r="K252" s="392">
        <v>2.9996607487401818</v>
      </c>
      <c r="L252" s="392">
        <v>2.9996607487401818</v>
      </c>
      <c r="M252" s="392">
        <v>2.9996607487401818</v>
      </c>
      <c r="N252" s="392"/>
    </row>
    <row r="253" spans="1:14" hidden="1" outlineLevel="2" x14ac:dyDescent="0.35">
      <c r="A253" s="388" t="s">
        <v>4366</v>
      </c>
      <c r="B253" s="389">
        <v>43980</v>
      </c>
      <c r="C253" s="390" t="s">
        <v>4288</v>
      </c>
      <c r="D253" s="391" t="s">
        <v>4289</v>
      </c>
      <c r="E253" s="391" t="s">
        <v>4369</v>
      </c>
      <c r="F253" s="392">
        <v>2500000</v>
      </c>
      <c r="G253" s="393" t="s">
        <v>3800</v>
      </c>
      <c r="H253" s="394">
        <v>959.89143959685828</v>
      </c>
      <c r="I253" s="394"/>
      <c r="J253" s="392">
        <v>239.97285989921457</v>
      </c>
      <c r="K253" s="392">
        <v>239.97285989921457</v>
      </c>
      <c r="L253" s="392">
        <v>239.97285989921457</v>
      </c>
      <c r="M253" s="392">
        <v>239.97285989921457</v>
      </c>
      <c r="N253" s="392"/>
    </row>
    <row r="254" spans="1:14" hidden="1" outlineLevel="2" x14ac:dyDescent="0.35">
      <c r="A254" s="388" t="s">
        <v>4366</v>
      </c>
      <c r="B254" s="389">
        <v>43980</v>
      </c>
      <c r="C254" s="390" t="s">
        <v>4290</v>
      </c>
      <c r="D254" s="391" t="s">
        <v>4291</v>
      </c>
      <c r="E254" s="391" t="s">
        <v>4369</v>
      </c>
      <c r="F254" s="392">
        <v>375000</v>
      </c>
      <c r="G254" s="393" t="s">
        <v>3800</v>
      </c>
      <c r="H254" s="394">
        <v>143.98371593952874</v>
      </c>
      <c r="I254" s="394"/>
      <c r="J254" s="392">
        <v>35.995928984882184</v>
      </c>
      <c r="K254" s="392">
        <v>35.995928984882184</v>
      </c>
      <c r="L254" s="392">
        <v>35.995928984882184</v>
      </c>
      <c r="M254" s="392">
        <v>35.995928984882184</v>
      </c>
      <c r="N254" s="392"/>
    </row>
    <row r="255" spans="1:14" hidden="1" outlineLevel="2" x14ac:dyDescent="0.35">
      <c r="A255" s="388" t="s">
        <v>4366</v>
      </c>
      <c r="B255" s="389">
        <v>43980</v>
      </c>
      <c r="C255" s="390" t="s">
        <v>4281</v>
      </c>
      <c r="D255" s="391" t="s">
        <v>4390</v>
      </c>
      <c r="E255" s="391" t="s">
        <v>4272</v>
      </c>
      <c r="F255" s="392">
        <v>312500</v>
      </c>
      <c r="G255" s="393" t="s">
        <v>3800</v>
      </c>
      <c r="H255" s="394">
        <v>119.98642994960728</v>
      </c>
      <c r="I255" s="394"/>
      <c r="J255" s="392">
        <v>29.996607487401821</v>
      </c>
      <c r="K255" s="392">
        <v>29.996607487401821</v>
      </c>
      <c r="L255" s="392">
        <v>29.996607487401821</v>
      </c>
      <c r="M255" s="392">
        <v>29.996607487401821</v>
      </c>
      <c r="N255" s="392"/>
    </row>
    <row r="256" spans="1:14" hidden="1" outlineLevel="2" x14ac:dyDescent="0.35">
      <c r="A256" s="388" t="s">
        <v>4366</v>
      </c>
      <c r="B256" s="389">
        <v>43980</v>
      </c>
      <c r="C256" s="390" t="s">
        <v>4288</v>
      </c>
      <c r="D256" s="391" t="s">
        <v>4292</v>
      </c>
      <c r="E256" s="391" t="s">
        <v>4369</v>
      </c>
      <c r="F256" s="392">
        <v>125000</v>
      </c>
      <c r="G256" s="393" t="s">
        <v>3800</v>
      </c>
      <c r="H256" s="394">
        <v>47.99457197984291</v>
      </c>
      <c r="I256" s="394"/>
      <c r="J256" s="392">
        <v>11.998642994960727</v>
      </c>
      <c r="K256" s="392">
        <v>11.998642994960727</v>
      </c>
      <c r="L256" s="392">
        <v>11.998642994960727</v>
      </c>
      <c r="M256" s="392">
        <v>11.998642994960727</v>
      </c>
      <c r="N256" s="392"/>
    </row>
    <row r="257" spans="1:14" hidden="1" outlineLevel="2" x14ac:dyDescent="0.35">
      <c r="A257" s="388" t="s">
        <v>4366</v>
      </c>
      <c r="B257" s="389">
        <v>43980</v>
      </c>
      <c r="C257" s="390" t="s">
        <v>4184</v>
      </c>
      <c r="D257" s="391" t="s">
        <v>4391</v>
      </c>
      <c r="E257" s="391" t="s">
        <v>4376</v>
      </c>
      <c r="F257" s="392">
        <v>125000</v>
      </c>
      <c r="G257" s="393" t="s">
        <v>3800</v>
      </c>
      <c r="H257" s="394">
        <v>47.99457197984291</v>
      </c>
      <c r="I257" s="394"/>
      <c r="J257" s="392">
        <v>11.998642994960727</v>
      </c>
      <c r="K257" s="392">
        <v>11.998642994960727</v>
      </c>
      <c r="L257" s="392">
        <v>11.998642994960727</v>
      </c>
      <c r="M257" s="392">
        <v>11.998642994960727</v>
      </c>
      <c r="N257" s="392"/>
    </row>
    <row r="258" spans="1:14" hidden="1" outlineLevel="2" x14ac:dyDescent="0.35">
      <c r="A258" s="388" t="s">
        <v>4366</v>
      </c>
      <c r="B258" s="389">
        <v>43980</v>
      </c>
      <c r="C258" s="390" t="s">
        <v>4294</v>
      </c>
      <c r="D258" s="391" t="s">
        <v>4295</v>
      </c>
      <c r="E258" s="391" t="s">
        <v>4042</v>
      </c>
      <c r="F258" s="392">
        <v>31250</v>
      </c>
      <c r="G258" s="393" t="s">
        <v>3800</v>
      </c>
      <c r="H258" s="394">
        <v>11.998642994960727</v>
      </c>
      <c r="I258" s="394"/>
      <c r="J258" s="392">
        <v>2.9996607487401818</v>
      </c>
      <c r="K258" s="392">
        <v>2.9996607487401818</v>
      </c>
      <c r="L258" s="392">
        <v>2.9996607487401818</v>
      </c>
      <c r="M258" s="392">
        <v>2.9996607487401818</v>
      </c>
      <c r="N258" s="392"/>
    </row>
    <row r="259" spans="1:14" hidden="1" outlineLevel="2" x14ac:dyDescent="0.35">
      <c r="A259" s="388" t="s">
        <v>4366</v>
      </c>
      <c r="B259" s="389">
        <v>44018</v>
      </c>
      <c r="C259" s="390" t="s">
        <v>4192</v>
      </c>
      <c r="D259" s="391" t="s">
        <v>4296</v>
      </c>
      <c r="E259" s="391" t="s">
        <v>4369</v>
      </c>
      <c r="F259" s="392">
        <v>2500000</v>
      </c>
      <c r="G259" s="393" t="s">
        <v>3800</v>
      </c>
      <c r="H259" s="394">
        <v>959.89143959685828</v>
      </c>
      <c r="I259" s="394"/>
      <c r="J259" s="392">
        <v>239.97285989921457</v>
      </c>
      <c r="K259" s="392">
        <v>239.97285989921457</v>
      </c>
      <c r="L259" s="392">
        <v>239.97285989921457</v>
      </c>
      <c r="M259" s="392">
        <v>239.97285989921457</v>
      </c>
      <c r="N259" s="392"/>
    </row>
    <row r="260" spans="1:14" hidden="1" outlineLevel="2" x14ac:dyDescent="0.35">
      <c r="A260" s="388" t="s">
        <v>4366</v>
      </c>
      <c r="B260" s="389">
        <v>44018</v>
      </c>
      <c r="C260" s="390" t="s">
        <v>4192</v>
      </c>
      <c r="D260" s="391" t="s">
        <v>4297</v>
      </c>
      <c r="E260" s="391" t="s">
        <v>4369</v>
      </c>
      <c r="F260" s="392">
        <v>375000</v>
      </c>
      <c r="G260" s="393" t="s">
        <v>3800</v>
      </c>
      <c r="H260" s="394">
        <v>143.98371593952874</v>
      </c>
      <c r="I260" s="394"/>
      <c r="J260" s="392">
        <v>35.995928984882184</v>
      </c>
      <c r="K260" s="392">
        <v>35.995928984882184</v>
      </c>
      <c r="L260" s="392">
        <v>35.995928984882184</v>
      </c>
      <c r="M260" s="392">
        <v>35.995928984882184</v>
      </c>
      <c r="N260" s="392"/>
    </row>
    <row r="261" spans="1:14" hidden="1" outlineLevel="2" x14ac:dyDescent="0.35">
      <c r="A261" s="388" t="s">
        <v>4366</v>
      </c>
      <c r="B261" s="389">
        <v>44022</v>
      </c>
      <c r="C261" s="390" t="s">
        <v>4298</v>
      </c>
      <c r="D261" s="391" t="s">
        <v>4299</v>
      </c>
      <c r="E261" s="391" t="s">
        <v>4272</v>
      </c>
      <c r="F261" s="392">
        <v>312500</v>
      </c>
      <c r="G261" s="393" t="s">
        <v>3800</v>
      </c>
      <c r="H261" s="394">
        <v>119.98642994960728</v>
      </c>
      <c r="I261" s="394"/>
      <c r="J261" s="392">
        <v>29.996607487401821</v>
      </c>
      <c r="K261" s="392">
        <v>29.996607487401821</v>
      </c>
      <c r="L261" s="392">
        <v>29.996607487401821</v>
      </c>
      <c r="M261" s="392">
        <v>29.996607487401821</v>
      </c>
      <c r="N261" s="392"/>
    </row>
    <row r="262" spans="1:14" hidden="1" outlineLevel="2" x14ac:dyDescent="0.35">
      <c r="A262" s="388" t="s">
        <v>4366</v>
      </c>
      <c r="B262" s="389">
        <v>44018</v>
      </c>
      <c r="C262" s="390" t="s">
        <v>4192</v>
      </c>
      <c r="D262" s="391" t="s">
        <v>4300</v>
      </c>
      <c r="E262" s="391" t="s">
        <v>4369</v>
      </c>
      <c r="F262" s="392">
        <v>125000</v>
      </c>
      <c r="G262" s="393" t="s">
        <v>3800</v>
      </c>
      <c r="H262" s="394">
        <v>47.99457197984291</v>
      </c>
      <c r="I262" s="394"/>
      <c r="J262" s="392">
        <v>11.998642994960727</v>
      </c>
      <c r="K262" s="392">
        <v>11.998642994960727</v>
      </c>
      <c r="L262" s="392">
        <v>11.998642994960727</v>
      </c>
      <c r="M262" s="392">
        <v>11.998642994960727</v>
      </c>
      <c r="N262" s="392"/>
    </row>
    <row r="263" spans="1:14" hidden="1" outlineLevel="2" x14ac:dyDescent="0.35">
      <c r="A263" s="388" t="s">
        <v>4366</v>
      </c>
      <c r="B263" s="389">
        <v>44022</v>
      </c>
      <c r="C263" s="390" t="s">
        <v>4301</v>
      </c>
      <c r="D263" s="391" t="s">
        <v>4302</v>
      </c>
      <c r="E263" s="391" t="s">
        <v>4376</v>
      </c>
      <c r="F263" s="392">
        <v>125000</v>
      </c>
      <c r="G263" s="393" t="s">
        <v>3800</v>
      </c>
      <c r="H263" s="394">
        <v>47.99457197984291</v>
      </c>
      <c r="I263" s="394"/>
      <c r="J263" s="392">
        <v>11.998642994960727</v>
      </c>
      <c r="K263" s="392">
        <v>11.998642994960727</v>
      </c>
      <c r="L263" s="392">
        <v>11.998642994960727</v>
      </c>
      <c r="M263" s="392">
        <v>11.998642994960727</v>
      </c>
      <c r="N263" s="392"/>
    </row>
    <row r="264" spans="1:14" hidden="1" outlineLevel="2" x14ac:dyDescent="0.35">
      <c r="A264" s="388" t="s">
        <v>4366</v>
      </c>
      <c r="B264" s="389">
        <v>44022</v>
      </c>
      <c r="C264" s="390" t="s">
        <v>4303</v>
      </c>
      <c r="D264" s="391" t="s">
        <v>4304</v>
      </c>
      <c r="E264" s="391" t="s">
        <v>4042</v>
      </c>
      <c r="F264" s="392">
        <v>31250</v>
      </c>
      <c r="G264" s="393" t="s">
        <v>3800</v>
      </c>
      <c r="H264" s="394">
        <v>11.998642994960727</v>
      </c>
      <c r="I264" s="394"/>
      <c r="J264" s="392">
        <v>2.9996607487401818</v>
      </c>
      <c r="K264" s="392">
        <v>2.9996607487401818</v>
      </c>
      <c r="L264" s="392">
        <v>2.9996607487401818</v>
      </c>
      <c r="M264" s="392">
        <v>2.9996607487401818</v>
      </c>
      <c r="N264" s="392"/>
    </row>
    <row r="265" spans="1:14" hidden="1" outlineLevel="2" x14ac:dyDescent="0.35">
      <c r="A265" s="388" t="s">
        <v>4366</v>
      </c>
      <c r="B265" s="389">
        <v>44047</v>
      </c>
      <c r="C265" s="390" t="s">
        <v>4305</v>
      </c>
      <c r="D265" s="391" t="s">
        <v>4306</v>
      </c>
      <c r="E265" s="391" t="s">
        <v>4369</v>
      </c>
      <c r="F265" s="392">
        <v>2500000</v>
      </c>
      <c r="G265" s="393" t="s">
        <v>3800</v>
      </c>
      <c r="H265" s="394">
        <v>959.89143959685828</v>
      </c>
      <c r="I265" s="394"/>
      <c r="J265" s="392">
        <v>239.97285989921457</v>
      </c>
      <c r="K265" s="392">
        <v>239.97285989921457</v>
      </c>
      <c r="L265" s="392">
        <v>239.97285989921457</v>
      </c>
      <c r="M265" s="392">
        <v>239.97285989921457</v>
      </c>
      <c r="N265" s="392"/>
    </row>
    <row r="266" spans="1:14" hidden="1" outlineLevel="2" x14ac:dyDescent="0.35">
      <c r="A266" s="388" t="s">
        <v>4366</v>
      </c>
      <c r="B266" s="389">
        <v>44047</v>
      </c>
      <c r="C266" s="390" t="s">
        <v>4305</v>
      </c>
      <c r="D266" s="391" t="s">
        <v>4307</v>
      </c>
      <c r="E266" s="391" t="s">
        <v>4369</v>
      </c>
      <c r="F266" s="392">
        <v>375000</v>
      </c>
      <c r="G266" s="393" t="s">
        <v>3800</v>
      </c>
      <c r="H266" s="394">
        <v>143.98371593952874</v>
      </c>
      <c r="I266" s="394"/>
      <c r="J266" s="392">
        <v>35.995928984882184</v>
      </c>
      <c r="K266" s="392">
        <v>35.995928984882184</v>
      </c>
      <c r="L266" s="392">
        <v>35.995928984882184</v>
      </c>
      <c r="M266" s="392">
        <v>35.995928984882184</v>
      </c>
      <c r="N266" s="392"/>
    </row>
    <row r="267" spans="1:14" hidden="1" outlineLevel="2" x14ac:dyDescent="0.35">
      <c r="A267" s="388" t="s">
        <v>4366</v>
      </c>
      <c r="B267" s="389">
        <v>44047</v>
      </c>
      <c r="C267" s="390" t="s">
        <v>4308</v>
      </c>
      <c r="D267" s="391" t="s">
        <v>4309</v>
      </c>
      <c r="E267" s="391" t="s">
        <v>4272</v>
      </c>
      <c r="F267" s="392">
        <v>312500</v>
      </c>
      <c r="G267" s="393" t="s">
        <v>3800</v>
      </c>
      <c r="H267" s="394">
        <v>119.98642994960728</v>
      </c>
      <c r="I267" s="394"/>
      <c r="J267" s="392">
        <v>29.996607487401821</v>
      </c>
      <c r="K267" s="392">
        <v>29.996607487401821</v>
      </c>
      <c r="L267" s="392">
        <v>29.996607487401821</v>
      </c>
      <c r="M267" s="392">
        <v>29.996607487401821</v>
      </c>
      <c r="N267" s="392"/>
    </row>
    <row r="268" spans="1:14" hidden="1" outlineLevel="2" x14ac:dyDescent="0.35">
      <c r="A268" s="388" t="s">
        <v>4366</v>
      </c>
      <c r="B268" s="389">
        <v>44047</v>
      </c>
      <c r="C268" s="390" t="s">
        <v>4305</v>
      </c>
      <c r="D268" s="391" t="s">
        <v>4310</v>
      </c>
      <c r="E268" s="391" t="s">
        <v>4369</v>
      </c>
      <c r="F268" s="392">
        <v>125000</v>
      </c>
      <c r="G268" s="393" t="s">
        <v>3800</v>
      </c>
      <c r="H268" s="394">
        <v>47.99457197984291</v>
      </c>
      <c r="I268" s="394"/>
      <c r="J268" s="392">
        <v>11.998642994960727</v>
      </c>
      <c r="K268" s="392">
        <v>11.998642994960727</v>
      </c>
      <c r="L268" s="392">
        <v>11.998642994960727</v>
      </c>
      <c r="M268" s="392">
        <v>11.998642994960727</v>
      </c>
      <c r="N268" s="392"/>
    </row>
    <row r="269" spans="1:14" hidden="1" outlineLevel="2" x14ac:dyDescent="0.35">
      <c r="A269" s="388" t="s">
        <v>4366</v>
      </c>
      <c r="B269" s="389">
        <v>44047</v>
      </c>
      <c r="C269" s="390" t="s">
        <v>4311</v>
      </c>
      <c r="D269" s="391" t="s">
        <v>4312</v>
      </c>
      <c r="E269" s="391" t="s">
        <v>4376</v>
      </c>
      <c r="F269" s="392">
        <v>125000</v>
      </c>
      <c r="G269" s="393" t="s">
        <v>3800</v>
      </c>
      <c r="H269" s="394">
        <v>47.99457197984291</v>
      </c>
      <c r="I269" s="394"/>
      <c r="J269" s="392">
        <v>11.998642994960727</v>
      </c>
      <c r="K269" s="392">
        <v>11.998642994960727</v>
      </c>
      <c r="L269" s="392">
        <v>11.998642994960727</v>
      </c>
      <c r="M269" s="392">
        <v>11.998642994960727</v>
      </c>
      <c r="N269" s="392"/>
    </row>
    <row r="270" spans="1:14" hidden="1" outlineLevel="2" x14ac:dyDescent="0.35">
      <c r="A270" s="388" t="s">
        <v>4366</v>
      </c>
      <c r="B270" s="389">
        <v>44047</v>
      </c>
      <c r="C270" s="390" t="s">
        <v>4313</v>
      </c>
      <c r="D270" s="391" t="s">
        <v>4314</v>
      </c>
      <c r="E270" s="391" t="s">
        <v>4042</v>
      </c>
      <c r="F270" s="392">
        <v>31250</v>
      </c>
      <c r="G270" s="393" t="s">
        <v>3800</v>
      </c>
      <c r="H270" s="394">
        <v>11.998642994960727</v>
      </c>
      <c r="I270" s="394"/>
      <c r="J270" s="392">
        <v>2.9996607487401818</v>
      </c>
      <c r="K270" s="392">
        <v>2.9996607487401818</v>
      </c>
      <c r="L270" s="392">
        <v>2.9996607487401818</v>
      </c>
      <c r="M270" s="392">
        <v>2.9996607487401818</v>
      </c>
      <c r="N270" s="392"/>
    </row>
    <row r="271" spans="1:14" hidden="1" outlineLevel="2" x14ac:dyDescent="0.35">
      <c r="A271" s="388" t="s">
        <v>4366</v>
      </c>
      <c r="B271" s="389">
        <v>44070</v>
      </c>
      <c r="C271" s="390" t="s">
        <v>4315</v>
      </c>
      <c r="D271" s="391" t="s">
        <v>4316</v>
      </c>
      <c r="E271" s="391" t="s">
        <v>4369</v>
      </c>
      <c r="F271" s="392">
        <v>2500000</v>
      </c>
      <c r="G271" s="393" t="s">
        <v>3800</v>
      </c>
      <c r="H271" s="394">
        <v>959.89143959685828</v>
      </c>
      <c r="I271" s="394"/>
      <c r="J271" s="392">
        <v>239.97285989921457</v>
      </c>
      <c r="K271" s="392">
        <v>239.97285989921457</v>
      </c>
      <c r="L271" s="392">
        <v>239.97285989921457</v>
      </c>
      <c r="M271" s="392">
        <v>239.97285989921457</v>
      </c>
      <c r="N271" s="392"/>
    </row>
    <row r="272" spans="1:14" hidden="1" outlineLevel="2" x14ac:dyDescent="0.35">
      <c r="A272" s="388" t="s">
        <v>4366</v>
      </c>
      <c r="B272" s="389">
        <v>44070</v>
      </c>
      <c r="C272" s="390" t="s">
        <v>4315</v>
      </c>
      <c r="D272" s="391" t="s">
        <v>4317</v>
      </c>
      <c r="E272" s="391" t="s">
        <v>4369</v>
      </c>
      <c r="F272" s="392">
        <v>375000</v>
      </c>
      <c r="G272" s="393" t="s">
        <v>3800</v>
      </c>
      <c r="H272" s="394">
        <v>143.98371593952874</v>
      </c>
      <c r="I272" s="394"/>
      <c r="J272" s="392">
        <v>35.995928984882184</v>
      </c>
      <c r="K272" s="392">
        <v>35.995928984882184</v>
      </c>
      <c r="L272" s="392">
        <v>35.995928984882184</v>
      </c>
      <c r="M272" s="392">
        <v>35.995928984882184</v>
      </c>
      <c r="N272" s="392"/>
    </row>
    <row r="273" spans="1:14" hidden="1" outlineLevel="2" x14ac:dyDescent="0.35">
      <c r="A273" s="388" t="s">
        <v>4366</v>
      </c>
      <c r="B273" s="389">
        <v>44070</v>
      </c>
      <c r="C273" s="390" t="s">
        <v>4318</v>
      </c>
      <c r="D273" s="391" t="s">
        <v>4319</v>
      </c>
      <c r="E273" s="391" t="s">
        <v>4272</v>
      </c>
      <c r="F273" s="392">
        <v>312500</v>
      </c>
      <c r="G273" s="393" t="s">
        <v>3800</v>
      </c>
      <c r="H273" s="394">
        <v>119.98642994960728</v>
      </c>
      <c r="I273" s="394"/>
      <c r="J273" s="392">
        <v>29.996607487401821</v>
      </c>
      <c r="K273" s="392">
        <v>29.996607487401821</v>
      </c>
      <c r="L273" s="392">
        <v>29.996607487401821</v>
      </c>
      <c r="M273" s="392">
        <v>29.996607487401821</v>
      </c>
      <c r="N273" s="392"/>
    </row>
    <row r="274" spans="1:14" hidden="1" outlineLevel="2" x14ac:dyDescent="0.35">
      <c r="A274" s="388" t="s">
        <v>4366</v>
      </c>
      <c r="B274" s="389">
        <v>44070</v>
      </c>
      <c r="C274" s="390" t="s">
        <v>4315</v>
      </c>
      <c r="D274" s="391" t="s">
        <v>4320</v>
      </c>
      <c r="E274" s="391" t="s">
        <v>4369</v>
      </c>
      <c r="F274" s="392">
        <v>125000</v>
      </c>
      <c r="G274" s="393" t="s">
        <v>3800</v>
      </c>
      <c r="H274" s="394">
        <v>47.99457197984291</v>
      </c>
      <c r="I274" s="394"/>
      <c r="J274" s="392">
        <v>11.998642994960727</v>
      </c>
      <c r="K274" s="392">
        <v>11.998642994960727</v>
      </c>
      <c r="L274" s="392">
        <v>11.998642994960727</v>
      </c>
      <c r="M274" s="392">
        <v>11.998642994960727</v>
      </c>
      <c r="N274" s="392"/>
    </row>
    <row r="275" spans="1:14" hidden="1" outlineLevel="2" x14ac:dyDescent="0.35">
      <c r="A275" s="388" t="s">
        <v>4366</v>
      </c>
      <c r="B275" s="389">
        <v>44070</v>
      </c>
      <c r="C275" s="390" t="s">
        <v>4321</v>
      </c>
      <c r="D275" s="391" t="s">
        <v>4322</v>
      </c>
      <c r="E275" s="391" t="s">
        <v>4376</v>
      </c>
      <c r="F275" s="392">
        <v>125000</v>
      </c>
      <c r="G275" s="393" t="s">
        <v>3800</v>
      </c>
      <c r="H275" s="394">
        <v>47.99457197984291</v>
      </c>
      <c r="I275" s="394"/>
      <c r="J275" s="392">
        <v>11.998642994960727</v>
      </c>
      <c r="K275" s="392">
        <v>11.998642994960727</v>
      </c>
      <c r="L275" s="392">
        <v>11.998642994960727</v>
      </c>
      <c r="M275" s="392">
        <v>11.998642994960727</v>
      </c>
      <c r="N275" s="392"/>
    </row>
    <row r="276" spans="1:14" hidden="1" outlineLevel="2" x14ac:dyDescent="0.35">
      <c r="A276" s="388" t="s">
        <v>4366</v>
      </c>
      <c r="B276" s="389">
        <v>44070</v>
      </c>
      <c r="C276" s="390" t="s">
        <v>4323</v>
      </c>
      <c r="D276" s="391" t="s">
        <v>4324</v>
      </c>
      <c r="E276" s="391" t="s">
        <v>4042</v>
      </c>
      <c r="F276" s="392">
        <v>31250</v>
      </c>
      <c r="G276" s="393" t="s">
        <v>3800</v>
      </c>
      <c r="H276" s="394">
        <v>11.998642994960727</v>
      </c>
      <c r="I276" s="394"/>
      <c r="J276" s="392">
        <v>2.9996607487401818</v>
      </c>
      <c r="K276" s="392">
        <v>2.9996607487401818</v>
      </c>
      <c r="L276" s="392">
        <v>2.9996607487401818</v>
      </c>
      <c r="M276" s="392">
        <v>2.9996607487401818</v>
      </c>
      <c r="N276" s="392"/>
    </row>
    <row r="277" spans="1:14" hidden="1" outlineLevel="2" x14ac:dyDescent="0.35">
      <c r="A277" s="388" t="s">
        <v>4366</v>
      </c>
      <c r="B277" s="389">
        <v>44104</v>
      </c>
      <c r="C277" s="390" t="s">
        <v>4325</v>
      </c>
      <c r="D277" s="391" t="s">
        <v>4326</v>
      </c>
      <c r="E277" s="391" t="s">
        <v>4369</v>
      </c>
      <c r="F277" s="392">
        <v>2500000</v>
      </c>
      <c r="G277" s="393" t="s">
        <v>3800</v>
      </c>
      <c r="H277" s="394">
        <v>959.89143959685828</v>
      </c>
      <c r="I277" s="394"/>
      <c r="J277" s="392">
        <v>239.97285989921457</v>
      </c>
      <c r="K277" s="392">
        <v>239.97285989921457</v>
      </c>
      <c r="L277" s="392">
        <v>239.97285989921457</v>
      </c>
      <c r="M277" s="392">
        <v>239.97285989921457</v>
      </c>
      <c r="N277" s="392"/>
    </row>
    <row r="278" spans="1:14" hidden="1" outlineLevel="2" x14ac:dyDescent="0.35">
      <c r="A278" s="388" t="s">
        <v>4366</v>
      </c>
      <c r="B278" s="389">
        <v>44104</v>
      </c>
      <c r="C278" s="390" t="s">
        <v>4325</v>
      </c>
      <c r="D278" s="391" t="s">
        <v>4327</v>
      </c>
      <c r="E278" s="391" t="s">
        <v>4369</v>
      </c>
      <c r="F278" s="392">
        <v>375000</v>
      </c>
      <c r="G278" s="393" t="s">
        <v>3800</v>
      </c>
      <c r="H278" s="394">
        <v>143.98371593952874</v>
      </c>
      <c r="I278" s="394"/>
      <c r="J278" s="392">
        <v>35.995928984882184</v>
      </c>
      <c r="K278" s="392">
        <v>35.995928984882184</v>
      </c>
      <c r="L278" s="392">
        <v>35.995928984882184</v>
      </c>
      <c r="M278" s="392">
        <v>35.995928984882184</v>
      </c>
      <c r="N278" s="392"/>
    </row>
    <row r="279" spans="1:14" hidden="1" outlineLevel="2" x14ac:dyDescent="0.35">
      <c r="A279" s="388" t="s">
        <v>4366</v>
      </c>
      <c r="B279" s="389">
        <v>44104</v>
      </c>
      <c r="C279" s="390" t="s">
        <v>4328</v>
      </c>
      <c r="D279" s="391" t="s">
        <v>4329</v>
      </c>
      <c r="E279" s="391" t="s">
        <v>4272</v>
      </c>
      <c r="F279" s="392">
        <v>312500</v>
      </c>
      <c r="G279" s="393" t="s">
        <v>3800</v>
      </c>
      <c r="H279" s="394">
        <v>119.98642994960728</v>
      </c>
      <c r="I279" s="394"/>
      <c r="J279" s="392">
        <v>29.996607487401821</v>
      </c>
      <c r="K279" s="392">
        <v>29.996607487401821</v>
      </c>
      <c r="L279" s="392">
        <v>29.996607487401821</v>
      </c>
      <c r="M279" s="392">
        <v>29.996607487401821</v>
      </c>
      <c r="N279" s="392"/>
    </row>
    <row r="280" spans="1:14" hidden="1" outlineLevel="2" x14ac:dyDescent="0.35">
      <c r="A280" s="388" t="s">
        <v>4366</v>
      </c>
      <c r="B280" s="389">
        <v>44104</v>
      </c>
      <c r="C280" s="390" t="s">
        <v>4325</v>
      </c>
      <c r="D280" s="391" t="s">
        <v>4330</v>
      </c>
      <c r="E280" s="391" t="s">
        <v>4369</v>
      </c>
      <c r="F280" s="392">
        <v>125000</v>
      </c>
      <c r="G280" s="393" t="s">
        <v>3800</v>
      </c>
      <c r="H280" s="394">
        <v>47.99457197984291</v>
      </c>
      <c r="I280" s="394"/>
      <c r="J280" s="392">
        <v>11.998642994960727</v>
      </c>
      <c r="K280" s="392">
        <v>11.998642994960727</v>
      </c>
      <c r="L280" s="392">
        <v>11.998642994960727</v>
      </c>
      <c r="M280" s="392">
        <v>11.998642994960727</v>
      </c>
      <c r="N280" s="392"/>
    </row>
    <row r="281" spans="1:14" hidden="1" outlineLevel="2" x14ac:dyDescent="0.35">
      <c r="A281" s="388" t="s">
        <v>4366</v>
      </c>
      <c r="B281" s="389">
        <v>44104</v>
      </c>
      <c r="C281" s="390" t="s">
        <v>4331</v>
      </c>
      <c r="D281" s="391" t="s">
        <v>4332</v>
      </c>
      <c r="E281" s="391" t="s">
        <v>4376</v>
      </c>
      <c r="F281" s="392">
        <v>125000</v>
      </c>
      <c r="G281" s="393" t="s">
        <v>3800</v>
      </c>
      <c r="H281" s="394">
        <v>47.99457197984291</v>
      </c>
      <c r="I281" s="394"/>
      <c r="J281" s="392">
        <v>11.998642994960727</v>
      </c>
      <c r="K281" s="392">
        <v>11.998642994960727</v>
      </c>
      <c r="L281" s="392">
        <v>11.998642994960727</v>
      </c>
      <c r="M281" s="392">
        <v>11.998642994960727</v>
      </c>
      <c r="N281" s="392"/>
    </row>
    <row r="282" spans="1:14" hidden="1" outlineLevel="2" x14ac:dyDescent="0.35">
      <c r="A282" s="388" t="s">
        <v>4366</v>
      </c>
      <c r="B282" s="389">
        <v>44104</v>
      </c>
      <c r="C282" s="390" t="s">
        <v>4333</v>
      </c>
      <c r="D282" s="391" t="s">
        <v>4334</v>
      </c>
      <c r="E282" s="391" t="s">
        <v>4042</v>
      </c>
      <c r="F282" s="392">
        <v>31250</v>
      </c>
      <c r="G282" s="393" t="s">
        <v>3800</v>
      </c>
      <c r="H282" s="394">
        <v>11.998642994960727</v>
      </c>
      <c r="I282" s="394"/>
      <c r="J282" s="392">
        <v>2.9996607487401818</v>
      </c>
      <c r="K282" s="392">
        <v>2.9996607487401818</v>
      </c>
      <c r="L282" s="392">
        <v>2.9996607487401818</v>
      </c>
      <c r="M282" s="392">
        <v>2.9996607487401818</v>
      </c>
      <c r="N282" s="392"/>
    </row>
    <row r="283" spans="1:14" hidden="1" outlineLevel="2" x14ac:dyDescent="0.35">
      <c r="A283" s="388" t="s">
        <v>4366</v>
      </c>
      <c r="B283" s="389">
        <v>44131</v>
      </c>
      <c r="C283" s="390" t="s">
        <v>4335</v>
      </c>
      <c r="D283" s="391" t="s">
        <v>4336</v>
      </c>
      <c r="E283" s="391" t="s">
        <v>4369</v>
      </c>
      <c r="F283" s="392">
        <v>2500000</v>
      </c>
      <c r="G283" s="393" t="s">
        <v>3800</v>
      </c>
      <c r="H283" s="394">
        <v>959.89143959685828</v>
      </c>
      <c r="I283" s="394"/>
      <c r="J283" s="392">
        <v>239.97285989921457</v>
      </c>
      <c r="K283" s="392">
        <v>239.97285989921457</v>
      </c>
      <c r="L283" s="392">
        <v>239.97285989921457</v>
      </c>
      <c r="M283" s="392">
        <v>239.97285989921457</v>
      </c>
      <c r="N283" s="392"/>
    </row>
    <row r="284" spans="1:14" hidden="1" outlineLevel="2" x14ac:dyDescent="0.35">
      <c r="A284" s="388" t="s">
        <v>4366</v>
      </c>
      <c r="B284" s="389">
        <v>44131</v>
      </c>
      <c r="C284" s="390" t="s">
        <v>4335</v>
      </c>
      <c r="D284" s="391" t="s">
        <v>4337</v>
      </c>
      <c r="E284" s="391" t="s">
        <v>4369</v>
      </c>
      <c r="F284" s="392">
        <v>375000</v>
      </c>
      <c r="G284" s="393" t="s">
        <v>3800</v>
      </c>
      <c r="H284" s="394">
        <v>143.98371593952874</v>
      </c>
      <c r="I284" s="394"/>
      <c r="J284" s="392">
        <v>35.995928984882184</v>
      </c>
      <c r="K284" s="392">
        <v>35.995928984882184</v>
      </c>
      <c r="L284" s="392">
        <v>35.995928984882184</v>
      </c>
      <c r="M284" s="392">
        <v>35.995928984882184</v>
      </c>
      <c r="N284" s="392"/>
    </row>
    <row r="285" spans="1:14" hidden="1" outlineLevel="2" x14ac:dyDescent="0.35">
      <c r="A285" s="388" t="s">
        <v>4366</v>
      </c>
      <c r="B285" s="389">
        <v>44131</v>
      </c>
      <c r="C285" s="390" t="s">
        <v>4338</v>
      </c>
      <c r="D285" s="391" t="s">
        <v>4339</v>
      </c>
      <c r="E285" s="391" t="s">
        <v>4272</v>
      </c>
      <c r="F285" s="392">
        <v>312500</v>
      </c>
      <c r="G285" s="393" t="s">
        <v>3800</v>
      </c>
      <c r="H285" s="394">
        <v>119.98642994960728</v>
      </c>
      <c r="I285" s="394"/>
      <c r="J285" s="392">
        <v>29.996607487401821</v>
      </c>
      <c r="K285" s="392">
        <v>29.996607487401821</v>
      </c>
      <c r="L285" s="392">
        <v>29.996607487401821</v>
      </c>
      <c r="M285" s="392">
        <v>29.996607487401821</v>
      </c>
      <c r="N285" s="392"/>
    </row>
    <row r="286" spans="1:14" hidden="1" outlineLevel="2" x14ac:dyDescent="0.35">
      <c r="A286" s="388" t="s">
        <v>4366</v>
      </c>
      <c r="B286" s="389">
        <v>44131</v>
      </c>
      <c r="C286" s="390" t="s">
        <v>4325</v>
      </c>
      <c r="D286" s="391" t="s">
        <v>4340</v>
      </c>
      <c r="E286" s="391" t="s">
        <v>4369</v>
      </c>
      <c r="F286" s="392">
        <v>125000</v>
      </c>
      <c r="G286" s="393" t="s">
        <v>3800</v>
      </c>
      <c r="H286" s="394">
        <v>47.99457197984291</v>
      </c>
      <c r="I286" s="394"/>
      <c r="J286" s="392">
        <v>11.998642994960727</v>
      </c>
      <c r="K286" s="392">
        <v>11.998642994960727</v>
      </c>
      <c r="L286" s="392">
        <v>11.998642994960727</v>
      </c>
      <c r="M286" s="392">
        <v>11.998642994960727</v>
      </c>
      <c r="N286" s="392"/>
    </row>
    <row r="287" spans="1:14" hidden="1" outlineLevel="2" x14ac:dyDescent="0.35">
      <c r="A287" s="388" t="s">
        <v>4366</v>
      </c>
      <c r="B287" s="389">
        <v>44131</v>
      </c>
      <c r="C287" s="390" t="s">
        <v>4341</v>
      </c>
      <c r="D287" s="391" t="s">
        <v>4342</v>
      </c>
      <c r="E287" s="391" t="s">
        <v>4376</v>
      </c>
      <c r="F287" s="392">
        <v>125000</v>
      </c>
      <c r="G287" s="393" t="s">
        <v>3800</v>
      </c>
      <c r="H287" s="394">
        <v>47.99457197984291</v>
      </c>
      <c r="I287" s="394"/>
      <c r="J287" s="392">
        <v>11.998642994960727</v>
      </c>
      <c r="K287" s="392">
        <v>11.998642994960727</v>
      </c>
      <c r="L287" s="392">
        <v>11.998642994960727</v>
      </c>
      <c r="M287" s="392">
        <v>11.998642994960727</v>
      </c>
      <c r="N287" s="392"/>
    </row>
    <row r="288" spans="1:14" hidden="1" outlineLevel="2" x14ac:dyDescent="0.35">
      <c r="A288" s="388" t="s">
        <v>4366</v>
      </c>
      <c r="B288" s="389">
        <v>44131</v>
      </c>
      <c r="C288" s="390" t="s">
        <v>4343</v>
      </c>
      <c r="D288" s="391" t="s">
        <v>4344</v>
      </c>
      <c r="E288" s="391" t="s">
        <v>4042</v>
      </c>
      <c r="F288" s="392">
        <v>31250</v>
      </c>
      <c r="G288" s="393" t="s">
        <v>3800</v>
      </c>
      <c r="H288" s="394">
        <v>11.998642994960727</v>
      </c>
      <c r="I288" s="394"/>
      <c r="J288" s="392">
        <v>2.9996607487401818</v>
      </c>
      <c r="K288" s="392">
        <v>2.9996607487401818</v>
      </c>
      <c r="L288" s="392">
        <v>2.9996607487401818</v>
      </c>
      <c r="M288" s="392">
        <v>2.9996607487401818</v>
      </c>
      <c r="N288" s="392"/>
    </row>
    <row r="289" spans="1:14" hidden="1" outlineLevel="2" x14ac:dyDescent="0.35">
      <c r="A289" s="388" t="s">
        <v>4366</v>
      </c>
      <c r="B289" s="389">
        <v>44165</v>
      </c>
      <c r="C289" s="390" t="s">
        <v>4345</v>
      </c>
      <c r="D289" s="391" t="s">
        <v>4346</v>
      </c>
      <c r="E289" s="391" t="s">
        <v>4369</v>
      </c>
      <c r="F289" s="392">
        <v>2500000</v>
      </c>
      <c r="G289" s="393" t="s">
        <v>3800</v>
      </c>
      <c r="H289" s="394">
        <v>959.89143959685828</v>
      </c>
      <c r="I289" s="394"/>
      <c r="J289" s="392">
        <v>239.97285989921457</v>
      </c>
      <c r="K289" s="392">
        <v>239.97285989921457</v>
      </c>
      <c r="L289" s="392">
        <v>239.97285989921457</v>
      </c>
      <c r="M289" s="392">
        <v>239.97285989921457</v>
      </c>
      <c r="N289" s="392"/>
    </row>
    <row r="290" spans="1:14" hidden="1" outlineLevel="2" x14ac:dyDescent="0.35">
      <c r="A290" s="388" t="s">
        <v>4366</v>
      </c>
      <c r="B290" s="389">
        <v>44165</v>
      </c>
      <c r="C290" s="390" t="s">
        <v>4345</v>
      </c>
      <c r="D290" s="391" t="s">
        <v>4347</v>
      </c>
      <c r="E290" s="391" t="s">
        <v>4369</v>
      </c>
      <c r="F290" s="392">
        <v>375000</v>
      </c>
      <c r="G290" s="393" t="s">
        <v>3800</v>
      </c>
      <c r="H290" s="394">
        <v>143.98371593952874</v>
      </c>
      <c r="I290" s="394"/>
      <c r="J290" s="392">
        <v>35.995928984882184</v>
      </c>
      <c r="K290" s="392">
        <v>35.995928984882184</v>
      </c>
      <c r="L290" s="392">
        <v>35.995928984882184</v>
      </c>
      <c r="M290" s="392">
        <v>35.995928984882184</v>
      </c>
      <c r="N290" s="392"/>
    </row>
    <row r="291" spans="1:14" hidden="1" outlineLevel="2" x14ac:dyDescent="0.35">
      <c r="A291" s="388" t="s">
        <v>4366</v>
      </c>
      <c r="B291" s="389">
        <v>44165</v>
      </c>
      <c r="C291" s="390" t="s">
        <v>4348</v>
      </c>
      <c r="D291" s="391" t="s">
        <v>4349</v>
      </c>
      <c r="E291" s="391" t="s">
        <v>4272</v>
      </c>
      <c r="F291" s="392">
        <v>312500</v>
      </c>
      <c r="G291" s="393" t="s">
        <v>3800</v>
      </c>
      <c r="H291" s="394">
        <v>119.98642994960728</v>
      </c>
      <c r="I291" s="394"/>
      <c r="J291" s="392">
        <v>29.996607487401821</v>
      </c>
      <c r="K291" s="392">
        <v>29.996607487401821</v>
      </c>
      <c r="L291" s="392">
        <v>29.996607487401821</v>
      </c>
      <c r="M291" s="392">
        <v>29.996607487401821</v>
      </c>
      <c r="N291" s="392"/>
    </row>
    <row r="292" spans="1:14" hidden="1" outlineLevel="2" x14ac:dyDescent="0.35">
      <c r="A292" s="388" t="s">
        <v>4366</v>
      </c>
      <c r="B292" s="389">
        <v>44165</v>
      </c>
      <c r="C292" s="390" t="s">
        <v>4345</v>
      </c>
      <c r="D292" s="391" t="s">
        <v>4350</v>
      </c>
      <c r="E292" s="391" t="s">
        <v>4369</v>
      </c>
      <c r="F292" s="392">
        <v>125000</v>
      </c>
      <c r="G292" s="393" t="s">
        <v>3800</v>
      </c>
      <c r="H292" s="394">
        <v>47.99457197984291</v>
      </c>
      <c r="I292" s="394"/>
      <c r="J292" s="392">
        <v>11.998642994960727</v>
      </c>
      <c r="K292" s="392">
        <v>11.998642994960727</v>
      </c>
      <c r="L292" s="392">
        <v>11.998642994960727</v>
      </c>
      <c r="M292" s="392">
        <v>11.998642994960727</v>
      </c>
      <c r="N292" s="392"/>
    </row>
    <row r="293" spans="1:14" hidden="1" outlineLevel="2" x14ac:dyDescent="0.35">
      <c r="A293" s="388" t="s">
        <v>4366</v>
      </c>
      <c r="B293" s="389">
        <v>44165</v>
      </c>
      <c r="C293" s="390" t="s">
        <v>4351</v>
      </c>
      <c r="D293" s="391" t="s">
        <v>4352</v>
      </c>
      <c r="E293" s="391" t="s">
        <v>4376</v>
      </c>
      <c r="F293" s="392">
        <v>125000</v>
      </c>
      <c r="G293" s="393" t="s">
        <v>3800</v>
      </c>
      <c r="H293" s="394">
        <v>47.99457197984291</v>
      </c>
      <c r="I293" s="394"/>
      <c r="J293" s="392">
        <v>11.998642994960727</v>
      </c>
      <c r="K293" s="392">
        <v>11.998642994960727</v>
      </c>
      <c r="L293" s="392">
        <v>11.998642994960727</v>
      </c>
      <c r="M293" s="392">
        <v>11.998642994960727</v>
      </c>
      <c r="N293" s="392"/>
    </row>
    <row r="294" spans="1:14" hidden="1" outlineLevel="2" x14ac:dyDescent="0.35">
      <c r="A294" s="388" t="s">
        <v>4366</v>
      </c>
      <c r="B294" s="389">
        <v>44165</v>
      </c>
      <c r="C294" s="390" t="s">
        <v>4353</v>
      </c>
      <c r="D294" s="391" t="s">
        <v>4354</v>
      </c>
      <c r="E294" s="391" t="s">
        <v>4042</v>
      </c>
      <c r="F294" s="392">
        <v>31250</v>
      </c>
      <c r="G294" s="393" t="s">
        <v>3800</v>
      </c>
      <c r="H294" s="394">
        <v>11.998642994960727</v>
      </c>
      <c r="I294" s="394"/>
      <c r="J294" s="392">
        <v>2.9996607487401818</v>
      </c>
      <c r="K294" s="392">
        <v>2.9996607487401818</v>
      </c>
      <c r="L294" s="392">
        <v>2.9996607487401818</v>
      </c>
      <c r="M294" s="392">
        <v>2.9996607487401818</v>
      </c>
      <c r="N294" s="392"/>
    </row>
    <row r="295" spans="1:14" hidden="1" outlineLevel="2" x14ac:dyDescent="0.35">
      <c r="A295" s="388" t="s">
        <v>4366</v>
      </c>
      <c r="B295" s="389">
        <v>44187</v>
      </c>
      <c r="C295" s="390" t="s">
        <v>4355</v>
      </c>
      <c r="D295" s="391" t="s">
        <v>4356</v>
      </c>
      <c r="E295" s="391" t="s">
        <v>4369</v>
      </c>
      <c r="F295" s="392">
        <v>2500000</v>
      </c>
      <c r="G295" s="393" t="s">
        <v>3800</v>
      </c>
      <c r="H295" s="394">
        <v>959.89143959685828</v>
      </c>
      <c r="I295" s="394"/>
      <c r="J295" s="392">
        <v>239.97285989921457</v>
      </c>
      <c r="K295" s="392">
        <v>239.97285989921457</v>
      </c>
      <c r="L295" s="392">
        <v>239.97285989921457</v>
      </c>
      <c r="M295" s="392">
        <v>239.97285989921457</v>
      </c>
      <c r="N295" s="392"/>
    </row>
    <row r="296" spans="1:14" hidden="1" outlineLevel="2" x14ac:dyDescent="0.35">
      <c r="A296" s="388" t="s">
        <v>4366</v>
      </c>
      <c r="B296" s="389">
        <v>44187</v>
      </c>
      <c r="C296" s="390" t="s">
        <v>4355</v>
      </c>
      <c r="D296" s="391" t="s">
        <v>4357</v>
      </c>
      <c r="E296" s="391" t="s">
        <v>4369</v>
      </c>
      <c r="F296" s="392">
        <v>375000</v>
      </c>
      <c r="G296" s="393" t="s">
        <v>3800</v>
      </c>
      <c r="H296" s="394">
        <v>143.98371593952874</v>
      </c>
      <c r="I296" s="394"/>
      <c r="J296" s="392">
        <v>35.995928984882184</v>
      </c>
      <c r="K296" s="392">
        <v>35.995928984882184</v>
      </c>
      <c r="L296" s="392">
        <v>35.995928984882184</v>
      </c>
      <c r="M296" s="392">
        <v>35.995928984882184</v>
      </c>
      <c r="N296" s="392"/>
    </row>
    <row r="297" spans="1:14" hidden="1" outlineLevel="2" x14ac:dyDescent="0.35">
      <c r="A297" s="388" t="s">
        <v>4366</v>
      </c>
      <c r="B297" s="389">
        <v>44187</v>
      </c>
      <c r="C297" s="390" t="s">
        <v>4358</v>
      </c>
      <c r="D297" s="391" t="s">
        <v>4359</v>
      </c>
      <c r="E297" s="391" t="s">
        <v>4272</v>
      </c>
      <c r="F297" s="392">
        <v>312500</v>
      </c>
      <c r="G297" s="393" t="s">
        <v>3800</v>
      </c>
      <c r="H297" s="394">
        <v>119.98642994960728</v>
      </c>
      <c r="I297" s="394"/>
      <c r="J297" s="392">
        <v>29.996607487401821</v>
      </c>
      <c r="K297" s="392">
        <v>29.996607487401821</v>
      </c>
      <c r="L297" s="392">
        <v>29.996607487401821</v>
      </c>
      <c r="M297" s="392">
        <v>29.996607487401821</v>
      </c>
      <c r="N297" s="392"/>
    </row>
    <row r="298" spans="1:14" hidden="1" outlineLevel="2" x14ac:dyDescent="0.35">
      <c r="A298" s="388" t="s">
        <v>4366</v>
      </c>
      <c r="B298" s="389">
        <v>44187</v>
      </c>
      <c r="C298" s="390" t="s">
        <v>4355</v>
      </c>
      <c r="D298" s="391" t="s">
        <v>4360</v>
      </c>
      <c r="E298" s="391" t="s">
        <v>4369</v>
      </c>
      <c r="F298" s="392">
        <v>125000</v>
      </c>
      <c r="G298" s="393" t="s">
        <v>3800</v>
      </c>
      <c r="H298" s="394">
        <v>47.99457197984291</v>
      </c>
      <c r="I298" s="394"/>
      <c r="J298" s="392">
        <v>11.998642994960727</v>
      </c>
      <c r="K298" s="392">
        <v>11.998642994960727</v>
      </c>
      <c r="L298" s="392">
        <v>11.998642994960727</v>
      </c>
      <c r="M298" s="392">
        <v>11.998642994960727</v>
      </c>
      <c r="N298" s="392"/>
    </row>
    <row r="299" spans="1:14" hidden="1" outlineLevel="2" x14ac:dyDescent="0.35">
      <c r="A299" s="388" t="s">
        <v>4366</v>
      </c>
      <c r="B299" s="389">
        <v>44187</v>
      </c>
      <c r="C299" s="390" t="s">
        <v>4361</v>
      </c>
      <c r="D299" s="391" t="s">
        <v>4362</v>
      </c>
      <c r="E299" s="391" t="s">
        <v>4376</v>
      </c>
      <c r="F299" s="392">
        <v>125000</v>
      </c>
      <c r="G299" s="393" t="s">
        <v>3800</v>
      </c>
      <c r="H299" s="394">
        <v>47.99457197984291</v>
      </c>
      <c r="I299" s="394"/>
      <c r="J299" s="392">
        <v>11.998642994960727</v>
      </c>
      <c r="K299" s="392">
        <v>11.998642994960727</v>
      </c>
      <c r="L299" s="392">
        <v>11.998642994960727</v>
      </c>
      <c r="M299" s="392">
        <v>11.998642994960727</v>
      </c>
      <c r="N299" s="392"/>
    </row>
    <row r="300" spans="1:14" hidden="1" outlineLevel="2" x14ac:dyDescent="0.35">
      <c r="A300" s="388" t="s">
        <v>4366</v>
      </c>
      <c r="B300" s="389">
        <v>44187</v>
      </c>
      <c r="C300" s="390" t="s">
        <v>4363</v>
      </c>
      <c r="D300" s="391" t="s">
        <v>4364</v>
      </c>
      <c r="E300" s="391" t="s">
        <v>4042</v>
      </c>
      <c r="F300" s="392">
        <v>31250</v>
      </c>
      <c r="G300" s="393" t="s">
        <v>3800</v>
      </c>
      <c r="H300" s="394">
        <v>11.998642994960727</v>
      </c>
      <c r="I300" s="394"/>
      <c r="J300" s="392">
        <v>2.9996607487401818</v>
      </c>
      <c r="K300" s="392">
        <v>2.9996607487401818</v>
      </c>
      <c r="L300" s="392">
        <v>2.9996607487401818</v>
      </c>
      <c r="M300" s="392">
        <v>2.9996607487401818</v>
      </c>
      <c r="N300" s="392"/>
    </row>
    <row r="301" spans="1:14" hidden="1" outlineLevel="2" x14ac:dyDescent="0.35">
      <c r="A301" s="388" t="s">
        <v>4366</v>
      </c>
      <c r="B301" s="389">
        <v>44222</v>
      </c>
      <c r="C301" s="390" t="s">
        <v>4029</v>
      </c>
      <c r="D301" s="391" t="s">
        <v>4030</v>
      </c>
      <c r="E301" s="391" t="s">
        <v>4369</v>
      </c>
      <c r="F301" s="392">
        <v>2500000</v>
      </c>
      <c r="G301" s="393" t="s">
        <v>3800</v>
      </c>
      <c r="H301" s="394">
        <v>930.23108593324514</v>
      </c>
      <c r="I301" s="394"/>
      <c r="J301" s="392">
        <v>232.55777148331129</v>
      </c>
      <c r="K301" s="392">
        <v>232.55777148331129</v>
      </c>
      <c r="L301" s="392">
        <v>232.55777148331129</v>
      </c>
      <c r="M301" s="392">
        <v>232.55777148331129</v>
      </c>
      <c r="N301" s="392"/>
    </row>
    <row r="302" spans="1:14" hidden="1" outlineLevel="2" x14ac:dyDescent="0.35">
      <c r="A302" s="388" t="s">
        <v>4366</v>
      </c>
      <c r="B302" s="389">
        <v>44222</v>
      </c>
      <c r="C302" s="390" t="s">
        <v>4029</v>
      </c>
      <c r="D302" s="391" t="s">
        <v>4032</v>
      </c>
      <c r="E302" s="391" t="s">
        <v>4369</v>
      </c>
      <c r="F302" s="392">
        <v>375000</v>
      </c>
      <c r="G302" s="393" t="s">
        <v>3800</v>
      </c>
      <c r="H302" s="394">
        <v>139.53466288998678</v>
      </c>
      <c r="I302" s="394"/>
      <c r="J302" s="392">
        <v>34.883665722496694</v>
      </c>
      <c r="K302" s="392">
        <v>34.883665722496694</v>
      </c>
      <c r="L302" s="392">
        <v>34.883665722496694</v>
      </c>
      <c r="M302" s="392">
        <v>34.883665722496694</v>
      </c>
      <c r="N302" s="392"/>
    </row>
    <row r="303" spans="1:14" hidden="1" outlineLevel="2" x14ac:dyDescent="0.35">
      <c r="A303" s="388" t="s">
        <v>4366</v>
      </c>
      <c r="B303" s="389">
        <v>44222</v>
      </c>
      <c r="C303" s="390" t="s">
        <v>4033</v>
      </c>
      <c r="D303" s="391" t="s">
        <v>4034</v>
      </c>
      <c r="E303" s="391" t="s">
        <v>4272</v>
      </c>
      <c r="F303" s="392">
        <v>312500</v>
      </c>
      <c r="G303" s="393" t="s">
        <v>3800</v>
      </c>
      <c r="H303" s="394">
        <v>116.27888574165564</v>
      </c>
      <c r="I303" s="394"/>
      <c r="J303" s="392">
        <v>29.069721435413911</v>
      </c>
      <c r="K303" s="392">
        <v>29.069721435413911</v>
      </c>
      <c r="L303" s="392">
        <v>29.069721435413911</v>
      </c>
      <c r="M303" s="392">
        <v>29.069721435413911</v>
      </c>
      <c r="N303" s="392"/>
    </row>
    <row r="304" spans="1:14" hidden="1" outlineLevel="2" x14ac:dyDescent="0.35">
      <c r="A304" s="388" t="s">
        <v>4366</v>
      </c>
      <c r="B304" s="389">
        <v>44222</v>
      </c>
      <c r="C304" s="390" t="s">
        <v>4029</v>
      </c>
      <c r="D304" s="391" t="s">
        <v>4036</v>
      </c>
      <c r="E304" s="391" t="s">
        <v>4369</v>
      </c>
      <c r="F304" s="392">
        <v>125000</v>
      </c>
      <c r="G304" s="393" t="s">
        <v>3800</v>
      </c>
      <c r="H304" s="394">
        <v>46.511554296662254</v>
      </c>
      <c r="I304" s="394"/>
      <c r="J304" s="392">
        <v>11.627888574165564</v>
      </c>
      <c r="K304" s="392">
        <v>11.627888574165564</v>
      </c>
      <c r="L304" s="392">
        <v>11.627888574165564</v>
      </c>
      <c r="M304" s="392">
        <v>11.627888574165564</v>
      </c>
      <c r="N304" s="392"/>
    </row>
    <row r="305" spans="1:14" hidden="1" outlineLevel="2" x14ac:dyDescent="0.35">
      <c r="A305" s="388" t="s">
        <v>4366</v>
      </c>
      <c r="B305" s="389">
        <v>44222</v>
      </c>
      <c r="C305" s="390" t="s">
        <v>4037</v>
      </c>
      <c r="D305" s="391" t="s">
        <v>4038</v>
      </c>
      <c r="E305" s="391" t="s">
        <v>4376</v>
      </c>
      <c r="F305" s="392">
        <v>125000</v>
      </c>
      <c r="G305" s="393" t="s">
        <v>3800</v>
      </c>
      <c r="H305" s="394">
        <v>46.511554296662254</v>
      </c>
      <c r="I305" s="394"/>
      <c r="J305" s="392">
        <v>11.627888574165564</v>
      </c>
      <c r="K305" s="392">
        <v>11.627888574165564</v>
      </c>
      <c r="L305" s="392">
        <v>11.627888574165564</v>
      </c>
      <c r="M305" s="392">
        <v>11.627888574165564</v>
      </c>
      <c r="N305" s="392"/>
    </row>
    <row r="306" spans="1:14" hidden="1" outlineLevel="2" x14ac:dyDescent="0.35">
      <c r="A306" s="388" t="s">
        <v>4366</v>
      </c>
      <c r="B306" s="389">
        <v>44222</v>
      </c>
      <c r="C306" s="390" t="s">
        <v>4040</v>
      </c>
      <c r="D306" s="391" t="s">
        <v>4041</v>
      </c>
      <c r="E306" s="391" t="s">
        <v>4042</v>
      </c>
      <c r="F306" s="392">
        <v>31250</v>
      </c>
      <c r="G306" s="393" t="s">
        <v>3800</v>
      </c>
      <c r="H306" s="394">
        <v>11.627888574165564</v>
      </c>
      <c r="I306" s="394"/>
      <c r="J306" s="392">
        <v>2.9069721435413909</v>
      </c>
      <c r="K306" s="392">
        <v>2.9069721435413909</v>
      </c>
      <c r="L306" s="392">
        <v>2.9069721435413909</v>
      </c>
      <c r="M306" s="392">
        <v>2.9069721435413909</v>
      </c>
      <c r="N306" s="392"/>
    </row>
    <row r="307" spans="1:14" hidden="1" outlineLevel="2" x14ac:dyDescent="0.35">
      <c r="A307" s="388" t="s">
        <v>4366</v>
      </c>
      <c r="B307" s="389">
        <v>44259</v>
      </c>
      <c r="C307" s="390" t="s">
        <v>4043</v>
      </c>
      <c r="D307" s="391" t="s">
        <v>4044</v>
      </c>
      <c r="E307" s="391" t="s">
        <v>4369</v>
      </c>
      <c r="F307" s="392">
        <v>2500000</v>
      </c>
      <c r="G307" s="393" t="s">
        <v>3800</v>
      </c>
      <c r="H307" s="394">
        <v>930.23108593324514</v>
      </c>
      <c r="I307" s="394"/>
      <c r="J307" s="392">
        <v>232.55777148331129</v>
      </c>
      <c r="K307" s="392">
        <v>232.55777148331129</v>
      </c>
      <c r="L307" s="392">
        <v>232.55777148331129</v>
      </c>
      <c r="M307" s="392">
        <v>232.55777148331129</v>
      </c>
      <c r="N307" s="392"/>
    </row>
    <row r="308" spans="1:14" hidden="1" outlineLevel="2" x14ac:dyDescent="0.35">
      <c r="A308" s="388" t="s">
        <v>4366</v>
      </c>
      <c r="B308" s="389">
        <v>44259</v>
      </c>
      <c r="C308" s="390" t="s">
        <v>4043</v>
      </c>
      <c r="D308" s="391" t="s">
        <v>4045</v>
      </c>
      <c r="E308" s="391" t="s">
        <v>4369</v>
      </c>
      <c r="F308" s="392">
        <v>375000</v>
      </c>
      <c r="G308" s="393" t="s">
        <v>3800</v>
      </c>
      <c r="H308" s="394">
        <v>139.53466288998678</v>
      </c>
      <c r="I308" s="394"/>
      <c r="J308" s="392">
        <v>34.883665722496694</v>
      </c>
      <c r="K308" s="392">
        <v>34.883665722496694</v>
      </c>
      <c r="L308" s="392">
        <v>34.883665722496694</v>
      </c>
      <c r="M308" s="392">
        <v>34.883665722496694</v>
      </c>
      <c r="N308" s="392"/>
    </row>
    <row r="309" spans="1:14" hidden="1" outlineLevel="2" x14ac:dyDescent="0.35">
      <c r="A309" s="388" t="s">
        <v>4366</v>
      </c>
      <c r="B309" s="389">
        <v>44259</v>
      </c>
      <c r="C309" s="390" t="s">
        <v>4043</v>
      </c>
      <c r="D309" s="391" t="s">
        <v>4046</v>
      </c>
      <c r="E309" s="391" t="s">
        <v>4272</v>
      </c>
      <c r="F309" s="392">
        <v>312500</v>
      </c>
      <c r="G309" s="393" t="s">
        <v>3800</v>
      </c>
      <c r="H309" s="394">
        <v>116.27888574165564</v>
      </c>
      <c r="I309" s="394"/>
      <c r="J309" s="392">
        <v>29.069721435413911</v>
      </c>
      <c r="K309" s="392">
        <v>29.069721435413911</v>
      </c>
      <c r="L309" s="392">
        <v>29.069721435413911</v>
      </c>
      <c r="M309" s="392">
        <v>29.069721435413911</v>
      </c>
      <c r="N309" s="392"/>
    </row>
    <row r="310" spans="1:14" hidden="1" outlineLevel="2" x14ac:dyDescent="0.35">
      <c r="A310" s="388" t="s">
        <v>4366</v>
      </c>
      <c r="B310" s="389">
        <v>44259</v>
      </c>
      <c r="C310" s="390" t="s">
        <v>4043</v>
      </c>
      <c r="D310" s="391" t="s">
        <v>4047</v>
      </c>
      <c r="E310" s="391" t="s">
        <v>4369</v>
      </c>
      <c r="F310" s="392">
        <v>125000</v>
      </c>
      <c r="G310" s="393" t="s">
        <v>3800</v>
      </c>
      <c r="H310" s="394">
        <v>46.511554296662254</v>
      </c>
      <c r="I310" s="394"/>
      <c r="J310" s="392">
        <v>11.627888574165564</v>
      </c>
      <c r="K310" s="392">
        <v>11.627888574165564</v>
      </c>
      <c r="L310" s="392">
        <v>11.627888574165564</v>
      </c>
      <c r="M310" s="392">
        <v>11.627888574165564</v>
      </c>
      <c r="N310" s="392"/>
    </row>
    <row r="311" spans="1:14" hidden="1" outlineLevel="2" x14ac:dyDescent="0.35">
      <c r="A311" s="388" t="s">
        <v>4366</v>
      </c>
      <c r="B311" s="389">
        <v>44259</v>
      </c>
      <c r="C311" s="390" t="s">
        <v>4048</v>
      </c>
      <c r="D311" s="391" t="s">
        <v>4049</v>
      </c>
      <c r="E311" s="391" t="s">
        <v>4376</v>
      </c>
      <c r="F311" s="392">
        <v>125000</v>
      </c>
      <c r="G311" s="393" t="s">
        <v>3800</v>
      </c>
      <c r="H311" s="394">
        <v>46.511554296662254</v>
      </c>
      <c r="I311" s="394"/>
      <c r="J311" s="392">
        <v>11.627888574165564</v>
      </c>
      <c r="K311" s="392">
        <v>11.627888574165564</v>
      </c>
      <c r="L311" s="392">
        <v>11.627888574165564</v>
      </c>
      <c r="M311" s="392">
        <v>11.627888574165564</v>
      </c>
      <c r="N311" s="392"/>
    </row>
    <row r="312" spans="1:14" hidden="1" outlineLevel="2" x14ac:dyDescent="0.35">
      <c r="A312" s="388" t="s">
        <v>4366</v>
      </c>
      <c r="B312" s="389">
        <v>44259</v>
      </c>
      <c r="C312" s="390" t="s">
        <v>4050</v>
      </c>
      <c r="D312" s="391" t="s">
        <v>4051</v>
      </c>
      <c r="E312" s="391" t="s">
        <v>4042</v>
      </c>
      <c r="F312" s="392">
        <v>31250</v>
      </c>
      <c r="G312" s="393" t="s">
        <v>3800</v>
      </c>
      <c r="H312" s="394">
        <v>11.627888574165564</v>
      </c>
      <c r="I312" s="394"/>
      <c r="J312" s="392">
        <v>2.9069721435413909</v>
      </c>
      <c r="K312" s="392">
        <v>2.9069721435413909</v>
      </c>
      <c r="L312" s="392">
        <v>2.9069721435413909</v>
      </c>
      <c r="M312" s="392">
        <v>2.9069721435413909</v>
      </c>
      <c r="N312" s="392"/>
    </row>
    <row r="313" spans="1:14" hidden="1" outlineLevel="2" x14ac:dyDescent="0.35">
      <c r="A313" s="388" t="s">
        <v>4366</v>
      </c>
      <c r="B313" s="389">
        <v>44284</v>
      </c>
      <c r="C313" s="390" t="s">
        <v>4052</v>
      </c>
      <c r="D313" s="391" t="s">
        <v>4053</v>
      </c>
      <c r="E313" s="391" t="s">
        <v>4369</v>
      </c>
      <c r="F313" s="392">
        <v>2500000</v>
      </c>
      <c r="G313" s="393" t="s">
        <v>3800</v>
      </c>
      <c r="H313" s="394">
        <v>930.23108593324514</v>
      </c>
      <c r="I313" s="394"/>
      <c r="J313" s="392">
        <v>232.55777148331129</v>
      </c>
      <c r="K313" s="392">
        <v>232.55777148331129</v>
      </c>
      <c r="L313" s="392">
        <v>232.55777148331129</v>
      </c>
      <c r="M313" s="392">
        <v>232.55777148331129</v>
      </c>
      <c r="N313" s="392"/>
    </row>
    <row r="314" spans="1:14" hidden="1" outlineLevel="2" x14ac:dyDescent="0.35">
      <c r="A314" s="388" t="s">
        <v>4366</v>
      </c>
      <c r="B314" s="389">
        <v>44284</v>
      </c>
      <c r="C314" s="390" t="s">
        <v>4052</v>
      </c>
      <c r="D314" s="391" t="s">
        <v>4054</v>
      </c>
      <c r="E314" s="391" t="s">
        <v>4369</v>
      </c>
      <c r="F314" s="392">
        <v>375000</v>
      </c>
      <c r="G314" s="393" t="s">
        <v>3800</v>
      </c>
      <c r="H314" s="394">
        <v>139.53466288998678</v>
      </c>
      <c r="I314" s="394"/>
      <c r="J314" s="392">
        <v>34.883665722496694</v>
      </c>
      <c r="K314" s="392">
        <v>34.883665722496694</v>
      </c>
      <c r="L314" s="392">
        <v>34.883665722496694</v>
      </c>
      <c r="M314" s="392">
        <v>34.883665722496694</v>
      </c>
      <c r="N314" s="392"/>
    </row>
    <row r="315" spans="1:14" hidden="1" outlineLevel="2" x14ac:dyDescent="0.35">
      <c r="A315" s="388" t="s">
        <v>4366</v>
      </c>
      <c r="B315" s="389">
        <v>44284</v>
      </c>
      <c r="C315" s="390" t="s">
        <v>4055</v>
      </c>
      <c r="D315" s="391" t="s">
        <v>4056</v>
      </c>
      <c r="E315" s="391" t="s">
        <v>4272</v>
      </c>
      <c r="F315" s="392">
        <v>312500</v>
      </c>
      <c r="G315" s="393" t="s">
        <v>3800</v>
      </c>
      <c r="H315" s="394">
        <v>116.27888574165564</v>
      </c>
      <c r="I315" s="394"/>
      <c r="J315" s="392">
        <v>29.069721435413911</v>
      </c>
      <c r="K315" s="392">
        <v>29.069721435413911</v>
      </c>
      <c r="L315" s="392">
        <v>29.069721435413911</v>
      </c>
      <c r="M315" s="392">
        <v>29.069721435413911</v>
      </c>
      <c r="N315" s="392"/>
    </row>
    <row r="316" spans="1:14" hidden="1" outlineLevel="2" x14ac:dyDescent="0.35">
      <c r="A316" s="388" t="s">
        <v>4366</v>
      </c>
      <c r="B316" s="389">
        <v>44284</v>
      </c>
      <c r="C316" s="390" t="s">
        <v>4052</v>
      </c>
      <c r="D316" s="391" t="s">
        <v>4057</v>
      </c>
      <c r="E316" s="391" t="s">
        <v>4369</v>
      </c>
      <c r="F316" s="392">
        <v>125000</v>
      </c>
      <c r="G316" s="393" t="s">
        <v>3800</v>
      </c>
      <c r="H316" s="394">
        <v>46.511554296662254</v>
      </c>
      <c r="I316" s="394"/>
      <c r="J316" s="392">
        <v>11.627888574165564</v>
      </c>
      <c r="K316" s="392">
        <v>11.627888574165564</v>
      </c>
      <c r="L316" s="392">
        <v>11.627888574165564</v>
      </c>
      <c r="M316" s="392">
        <v>11.627888574165564</v>
      </c>
      <c r="N316" s="392"/>
    </row>
    <row r="317" spans="1:14" hidden="1" outlineLevel="2" x14ac:dyDescent="0.35">
      <c r="A317" s="388" t="s">
        <v>4366</v>
      </c>
      <c r="B317" s="389">
        <v>44284</v>
      </c>
      <c r="C317" s="390" t="s">
        <v>4058</v>
      </c>
      <c r="D317" s="391" t="s">
        <v>4059</v>
      </c>
      <c r="E317" s="391" t="s">
        <v>4376</v>
      </c>
      <c r="F317" s="392">
        <v>125000</v>
      </c>
      <c r="G317" s="393" t="s">
        <v>3800</v>
      </c>
      <c r="H317" s="394">
        <v>46.511554296662254</v>
      </c>
      <c r="I317" s="394"/>
      <c r="J317" s="392">
        <v>11.627888574165564</v>
      </c>
      <c r="K317" s="392">
        <v>11.627888574165564</v>
      </c>
      <c r="L317" s="392">
        <v>11.627888574165564</v>
      </c>
      <c r="M317" s="392">
        <v>11.627888574165564</v>
      </c>
      <c r="N317" s="392"/>
    </row>
    <row r="318" spans="1:14" hidden="1" outlineLevel="2" x14ac:dyDescent="0.35">
      <c r="A318" s="388" t="s">
        <v>4366</v>
      </c>
      <c r="B318" s="389">
        <v>44284</v>
      </c>
      <c r="C318" s="390" t="s">
        <v>4060</v>
      </c>
      <c r="D318" s="391" t="s">
        <v>4061</v>
      </c>
      <c r="E318" s="391" t="s">
        <v>4042</v>
      </c>
      <c r="F318" s="392">
        <v>31250</v>
      </c>
      <c r="G318" s="393" t="s">
        <v>3800</v>
      </c>
      <c r="H318" s="394">
        <v>11.627888574165564</v>
      </c>
      <c r="I318" s="394"/>
      <c r="J318" s="392">
        <v>2.9069721435413909</v>
      </c>
      <c r="K318" s="392">
        <v>2.9069721435413909</v>
      </c>
      <c r="L318" s="392">
        <v>2.9069721435413909</v>
      </c>
      <c r="M318" s="392">
        <v>2.9069721435413909</v>
      </c>
      <c r="N318" s="392"/>
    </row>
    <row r="319" spans="1:14" hidden="1" outlineLevel="2" x14ac:dyDescent="0.35">
      <c r="A319" s="388" t="s">
        <v>4366</v>
      </c>
      <c r="B319" s="389">
        <v>44315</v>
      </c>
      <c r="C319" s="390" t="s">
        <v>4062</v>
      </c>
      <c r="D319" s="391" t="s">
        <v>4063</v>
      </c>
      <c r="E319" s="391" t="s">
        <v>4369</v>
      </c>
      <c r="F319" s="392">
        <v>2500000</v>
      </c>
      <c r="G319" s="393" t="s">
        <v>3800</v>
      </c>
      <c r="H319" s="394">
        <v>930.23108593324514</v>
      </c>
      <c r="I319" s="394"/>
      <c r="J319" s="392">
        <v>232.55777148331129</v>
      </c>
      <c r="K319" s="392">
        <v>232.55777148331129</v>
      </c>
      <c r="L319" s="392">
        <v>232.55777148331129</v>
      </c>
      <c r="M319" s="392">
        <v>232.55777148331129</v>
      </c>
      <c r="N319" s="392"/>
    </row>
    <row r="320" spans="1:14" hidden="1" outlineLevel="2" x14ac:dyDescent="0.35">
      <c r="A320" s="388" t="s">
        <v>4366</v>
      </c>
      <c r="B320" s="389">
        <v>44315</v>
      </c>
      <c r="C320" s="390" t="s">
        <v>4062</v>
      </c>
      <c r="D320" s="391" t="s">
        <v>4064</v>
      </c>
      <c r="E320" s="391" t="s">
        <v>4369</v>
      </c>
      <c r="F320" s="392">
        <v>375000</v>
      </c>
      <c r="G320" s="393" t="s">
        <v>3800</v>
      </c>
      <c r="H320" s="394">
        <v>139.53466288998678</v>
      </c>
      <c r="I320" s="394"/>
      <c r="J320" s="392">
        <v>34.883665722496694</v>
      </c>
      <c r="K320" s="392">
        <v>34.883665722496694</v>
      </c>
      <c r="L320" s="392">
        <v>34.883665722496694</v>
      </c>
      <c r="M320" s="392">
        <v>34.883665722496694</v>
      </c>
      <c r="N320" s="392"/>
    </row>
    <row r="321" spans="1:14" hidden="1" outlineLevel="2" x14ac:dyDescent="0.35">
      <c r="A321" s="388" t="s">
        <v>4366</v>
      </c>
      <c r="B321" s="389">
        <v>44315</v>
      </c>
      <c r="C321" s="390" t="s">
        <v>4065</v>
      </c>
      <c r="D321" s="391" t="s">
        <v>4066</v>
      </c>
      <c r="E321" s="391" t="s">
        <v>4272</v>
      </c>
      <c r="F321" s="392">
        <v>312500</v>
      </c>
      <c r="G321" s="393" t="s">
        <v>3800</v>
      </c>
      <c r="H321" s="394">
        <v>116.27888574165564</v>
      </c>
      <c r="I321" s="394"/>
      <c r="J321" s="392">
        <v>29.069721435413911</v>
      </c>
      <c r="K321" s="392">
        <v>29.069721435413911</v>
      </c>
      <c r="L321" s="392">
        <v>29.069721435413911</v>
      </c>
      <c r="M321" s="392">
        <v>29.069721435413911</v>
      </c>
      <c r="N321" s="392"/>
    </row>
    <row r="322" spans="1:14" hidden="1" outlineLevel="2" x14ac:dyDescent="0.35">
      <c r="A322" s="388" t="s">
        <v>4366</v>
      </c>
      <c r="B322" s="389">
        <v>44315</v>
      </c>
      <c r="C322" s="390" t="s">
        <v>4062</v>
      </c>
      <c r="D322" s="391" t="s">
        <v>4067</v>
      </c>
      <c r="E322" s="391" t="s">
        <v>4369</v>
      </c>
      <c r="F322" s="392">
        <v>125000</v>
      </c>
      <c r="G322" s="393" t="s">
        <v>3800</v>
      </c>
      <c r="H322" s="394">
        <v>46.511554296662254</v>
      </c>
      <c r="I322" s="394"/>
      <c r="J322" s="392">
        <v>11.627888574165564</v>
      </c>
      <c r="K322" s="392">
        <v>11.627888574165564</v>
      </c>
      <c r="L322" s="392">
        <v>11.627888574165564</v>
      </c>
      <c r="M322" s="392">
        <v>11.627888574165564</v>
      </c>
      <c r="N322" s="392"/>
    </row>
    <row r="323" spans="1:14" hidden="1" outlineLevel="2" x14ac:dyDescent="0.35">
      <c r="A323" s="388" t="s">
        <v>4366</v>
      </c>
      <c r="B323" s="389">
        <v>44315</v>
      </c>
      <c r="C323" s="390" t="s">
        <v>4068</v>
      </c>
      <c r="D323" s="391" t="s">
        <v>4069</v>
      </c>
      <c r="E323" s="391" t="s">
        <v>4376</v>
      </c>
      <c r="F323" s="392">
        <v>125000</v>
      </c>
      <c r="G323" s="393" t="s">
        <v>3800</v>
      </c>
      <c r="H323" s="394">
        <v>46.511554296662254</v>
      </c>
      <c r="I323" s="394"/>
      <c r="J323" s="392">
        <v>11.627888574165564</v>
      </c>
      <c r="K323" s="392">
        <v>11.627888574165564</v>
      </c>
      <c r="L323" s="392">
        <v>11.627888574165564</v>
      </c>
      <c r="M323" s="392">
        <v>11.627888574165564</v>
      </c>
      <c r="N323" s="392"/>
    </row>
    <row r="324" spans="1:14" hidden="1" outlineLevel="2" x14ac:dyDescent="0.35">
      <c r="A324" s="388" t="s">
        <v>4366</v>
      </c>
      <c r="B324" s="389">
        <v>44315</v>
      </c>
      <c r="C324" s="390" t="s">
        <v>4070</v>
      </c>
      <c r="D324" s="391" t="s">
        <v>4071</v>
      </c>
      <c r="E324" s="391" t="s">
        <v>4042</v>
      </c>
      <c r="F324" s="392">
        <v>31250</v>
      </c>
      <c r="G324" s="393" t="s">
        <v>3800</v>
      </c>
      <c r="H324" s="394">
        <v>11.627888574165564</v>
      </c>
      <c r="I324" s="394"/>
      <c r="J324" s="392">
        <v>2.9069721435413909</v>
      </c>
      <c r="K324" s="392">
        <v>2.9069721435413909</v>
      </c>
      <c r="L324" s="392">
        <v>2.9069721435413909</v>
      </c>
      <c r="M324" s="392">
        <v>2.9069721435413909</v>
      </c>
      <c r="N324" s="392"/>
    </row>
    <row r="325" spans="1:14" hidden="1" outlineLevel="2" x14ac:dyDescent="0.35">
      <c r="A325" s="388" t="s">
        <v>4366</v>
      </c>
      <c r="B325" s="389">
        <v>44342</v>
      </c>
      <c r="C325" s="390" t="s">
        <v>4072</v>
      </c>
      <c r="D325" s="391" t="s">
        <v>4073</v>
      </c>
      <c r="E325" s="391" t="s">
        <v>4369</v>
      </c>
      <c r="F325" s="392">
        <v>2500000</v>
      </c>
      <c r="G325" s="393" t="s">
        <v>3800</v>
      </c>
      <c r="H325" s="394">
        <v>930.23108593324514</v>
      </c>
      <c r="I325" s="394"/>
      <c r="J325" s="392">
        <v>232.55777148331129</v>
      </c>
      <c r="K325" s="392">
        <v>232.55777148331129</v>
      </c>
      <c r="L325" s="392">
        <v>232.55777148331129</v>
      </c>
      <c r="M325" s="392">
        <v>232.55777148331129</v>
      </c>
      <c r="N325" s="392"/>
    </row>
    <row r="326" spans="1:14" hidden="1" outlineLevel="2" x14ac:dyDescent="0.35">
      <c r="A326" s="388" t="s">
        <v>4366</v>
      </c>
      <c r="B326" s="389">
        <v>44342</v>
      </c>
      <c r="C326" s="390" t="s">
        <v>4072</v>
      </c>
      <c r="D326" s="391" t="s">
        <v>4074</v>
      </c>
      <c r="E326" s="391" t="s">
        <v>4369</v>
      </c>
      <c r="F326" s="392">
        <v>375000</v>
      </c>
      <c r="G326" s="393" t="s">
        <v>3800</v>
      </c>
      <c r="H326" s="394">
        <v>139.53466288998678</v>
      </c>
      <c r="I326" s="394"/>
      <c r="J326" s="392">
        <v>34.883665722496694</v>
      </c>
      <c r="K326" s="392">
        <v>34.883665722496694</v>
      </c>
      <c r="L326" s="392">
        <v>34.883665722496694</v>
      </c>
      <c r="M326" s="392">
        <v>34.883665722496694</v>
      </c>
      <c r="N326" s="392"/>
    </row>
    <row r="327" spans="1:14" hidden="1" outlineLevel="2" x14ac:dyDescent="0.35">
      <c r="A327" s="388" t="s">
        <v>4366</v>
      </c>
      <c r="B327" s="389">
        <v>44342</v>
      </c>
      <c r="C327" s="390" t="s">
        <v>4075</v>
      </c>
      <c r="D327" s="391" t="s">
        <v>4076</v>
      </c>
      <c r="E327" s="391" t="s">
        <v>4272</v>
      </c>
      <c r="F327" s="392">
        <v>312500</v>
      </c>
      <c r="G327" s="393" t="s">
        <v>3800</v>
      </c>
      <c r="H327" s="394">
        <v>116.27888574165564</v>
      </c>
      <c r="I327" s="394"/>
      <c r="J327" s="392">
        <v>29.069721435413911</v>
      </c>
      <c r="K327" s="392">
        <v>29.069721435413911</v>
      </c>
      <c r="L327" s="392">
        <v>29.069721435413911</v>
      </c>
      <c r="M327" s="392">
        <v>29.069721435413911</v>
      </c>
      <c r="N327" s="392"/>
    </row>
    <row r="328" spans="1:14" hidden="1" outlineLevel="2" x14ac:dyDescent="0.35">
      <c r="A328" s="388" t="s">
        <v>4366</v>
      </c>
      <c r="B328" s="389">
        <v>44342</v>
      </c>
      <c r="C328" s="390" t="s">
        <v>4072</v>
      </c>
      <c r="D328" s="391" t="s">
        <v>4077</v>
      </c>
      <c r="E328" s="391" t="s">
        <v>4369</v>
      </c>
      <c r="F328" s="392">
        <v>125000</v>
      </c>
      <c r="G328" s="393" t="s">
        <v>3800</v>
      </c>
      <c r="H328" s="394">
        <v>46.511554296662254</v>
      </c>
      <c r="I328" s="394"/>
      <c r="J328" s="392">
        <v>11.627888574165564</v>
      </c>
      <c r="K328" s="392">
        <v>11.627888574165564</v>
      </c>
      <c r="L328" s="392">
        <v>11.627888574165564</v>
      </c>
      <c r="M328" s="392">
        <v>11.627888574165564</v>
      </c>
      <c r="N328" s="392"/>
    </row>
    <row r="329" spans="1:14" hidden="1" outlineLevel="2" x14ac:dyDescent="0.35">
      <c r="A329" s="388" t="s">
        <v>4366</v>
      </c>
      <c r="B329" s="389">
        <v>44342</v>
      </c>
      <c r="C329" s="390" t="s">
        <v>4078</v>
      </c>
      <c r="D329" s="391" t="s">
        <v>4079</v>
      </c>
      <c r="E329" s="391" t="s">
        <v>4376</v>
      </c>
      <c r="F329" s="392">
        <v>125000</v>
      </c>
      <c r="G329" s="393" t="s">
        <v>3800</v>
      </c>
      <c r="H329" s="394">
        <v>46.511554296662254</v>
      </c>
      <c r="I329" s="394"/>
      <c r="J329" s="392">
        <v>11.627888574165564</v>
      </c>
      <c r="K329" s="392">
        <v>11.627888574165564</v>
      </c>
      <c r="L329" s="392">
        <v>11.627888574165564</v>
      </c>
      <c r="M329" s="392">
        <v>11.627888574165564</v>
      </c>
      <c r="N329" s="392"/>
    </row>
    <row r="330" spans="1:14" hidden="1" outlineLevel="2" x14ac:dyDescent="0.35">
      <c r="A330" s="388" t="s">
        <v>4366</v>
      </c>
      <c r="B330" s="389">
        <v>44342</v>
      </c>
      <c r="C330" s="390" t="s">
        <v>4080</v>
      </c>
      <c r="D330" s="391" t="s">
        <v>4081</v>
      </c>
      <c r="E330" s="391" t="s">
        <v>4042</v>
      </c>
      <c r="F330" s="392">
        <v>31250</v>
      </c>
      <c r="G330" s="393" t="s">
        <v>3800</v>
      </c>
      <c r="H330" s="394">
        <v>11.627888574165564</v>
      </c>
      <c r="I330" s="394"/>
      <c r="J330" s="392">
        <v>2.9069721435413909</v>
      </c>
      <c r="K330" s="392">
        <v>2.9069721435413909</v>
      </c>
      <c r="L330" s="392">
        <v>2.9069721435413909</v>
      </c>
      <c r="M330" s="392">
        <v>2.9069721435413909</v>
      </c>
      <c r="N330" s="392"/>
    </row>
    <row r="331" spans="1:14" hidden="1" outlineLevel="2" x14ac:dyDescent="0.35">
      <c r="A331" s="388" t="s">
        <v>4366</v>
      </c>
      <c r="B331" s="389">
        <v>44376</v>
      </c>
      <c r="C331" s="390" t="s">
        <v>4082</v>
      </c>
      <c r="D331" s="391" t="s">
        <v>4083</v>
      </c>
      <c r="E331" s="391" t="s">
        <v>4369</v>
      </c>
      <c r="F331" s="392">
        <v>2500000</v>
      </c>
      <c r="G331" s="393" t="s">
        <v>3800</v>
      </c>
      <c r="H331" s="394">
        <v>930.23108593324514</v>
      </c>
      <c r="I331" s="394"/>
      <c r="J331" s="392">
        <v>232.55777148331129</v>
      </c>
      <c r="K331" s="392">
        <v>232.55777148331129</v>
      </c>
      <c r="L331" s="392">
        <v>232.55777148331129</v>
      </c>
      <c r="M331" s="392">
        <v>232.55777148331129</v>
      </c>
      <c r="N331" s="392"/>
    </row>
    <row r="332" spans="1:14" hidden="1" outlineLevel="2" x14ac:dyDescent="0.35">
      <c r="A332" s="388" t="s">
        <v>4366</v>
      </c>
      <c r="B332" s="389">
        <v>44376</v>
      </c>
      <c r="C332" s="390" t="s">
        <v>4082</v>
      </c>
      <c r="D332" s="391" t="s">
        <v>4084</v>
      </c>
      <c r="E332" s="391" t="s">
        <v>4369</v>
      </c>
      <c r="F332" s="392">
        <v>375000</v>
      </c>
      <c r="G332" s="393" t="s">
        <v>3800</v>
      </c>
      <c r="H332" s="394">
        <v>139.53466288998678</v>
      </c>
      <c r="I332" s="394"/>
      <c r="J332" s="392">
        <v>34.883665722496694</v>
      </c>
      <c r="K332" s="392">
        <v>34.883665722496694</v>
      </c>
      <c r="L332" s="392">
        <v>34.883665722496694</v>
      </c>
      <c r="M332" s="392">
        <v>34.883665722496694</v>
      </c>
      <c r="N332" s="392"/>
    </row>
    <row r="333" spans="1:14" hidden="1" outlineLevel="2" x14ac:dyDescent="0.35">
      <c r="A333" s="388" t="s">
        <v>4366</v>
      </c>
      <c r="B333" s="389">
        <v>44376</v>
      </c>
      <c r="C333" s="390" t="s">
        <v>4085</v>
      </c>
      <c r="D333" s="391" t="s">
        <v>4086</v>
      </c>
      <c r="E333" s="391" t="s">
        <v>4272</v>
      </c>
      <c r="F333" s="392">
        <v>312500</v>
      </c>
      <c r="G333" s="393" t="s">
        <v>3800</v>
      </c>
      <c r="H333" s="394">
        <v>116.27888574165564</v>
      </c>
      <c r="I333" s="394"/>
      <c r="J333" s="392">
        <v>29.069721435413911</v>
      </c>
      <c r="K333" s="392">
        <v>29.069721435413911</v>
      </c>
      <c r="L333" s="392">
        <v>29.069721435413911</v>
      </c>
      <c r="M333" s="392">
        <v>29.069721435413911</v>
      </c>
      <c r="N333" s="392"/>
    </row>
    <row r="334" spans="1:14" hidden="1" outlineLevel="2" x14ac:dyDescent="0.35">
      <c r="A334" s="388" t="s">
        <v>4366</v>
      </c>
      <c r="B334" s="389">
        <v>44376</v>
      </c>
      <c r="C334" s="390" t="s">
        <v>4082</v>
      </c>
      <c r="D334" s="391" t="s">
        <v>4087</v>
      </c>
      <c r="E334" s="391" t="s">
        <v>4369</v>
      </c>
      <c r="F334" s="392">
        <v>125000</v>
      </c>
      <c r="G334" s="393" t="s">
        <v>3800</v>
      </c>
      <c r="H334" s="394">
        <v>46.511554296662254</v>
      </c>
      <c r="I334" s="394"/>
      <c r="J334" s="392">
        <v>11.627888574165564</v>
      </c>
      <c r="K334" s="392">
        <v>11.627888574165564</v>
      </c>
      <c r="L334" s="392">
        <v>11.627888574165564</v>
      </c>
      <c r="M334" s="392">
        <v>11.627888574165564</v>
      </c>
      <c r="N334" s="392"/>
    </row>
    <row r="335" spans="1:14" hidden="1" outlineLevel="2" x14ac:dyDescent="0.35">
      <c r="A335" s="388" t="s">
        <v>4366</v>
      </c>
      <c r="B335" s="389">
        <v>44376</v>
      </c>
      <c r="C335" s="390" t="s">
        <v>4088</v>
      </c>
      <c r="D335" s="391" t="s">
        <v>4089</v>
      </c>
      <c r="E335" s="391" t="s">
        <v>4376</v>
      </c>
      <c r="F335" s="392">
        <v>125000</v>
      </c>
      <c r="G335" s="393" t="s">
        <v>3800</v>
      </c>
      <c r="H335" s="394">
        <v>46.511554296662254</v>
      </c>
      <c r="I335" s="394"/>
      <c r="J335" s="392">
        <v>11.627888574165564</v>
      </c>
      <c r="K335" s="392">
        <v>11.627888574165564</v>
      </c>
      <c r="L335" s="392">
        <v>11.627888574165564</v>
      </c>
      <c r="M335" s="392">
        <v>11.627888574165564</v>
      </c>
      <c r="N335" s="392"/>
    </row>
    <row r="336" spans="1:14" hidden="1" outlineLevel="2" x14ac:dyDescent="0.35">
      <c r="A336" s="388" t="s">
        <v>4366</v>
      </c>
      <c r="B336" s="389">
        <v>44376</v>
      </c>
      <c r="C336" s="390" t="s">
        <v>4090</v>
      </c>
      <c r="D336" s="391" t="s">
        <v>4091</v>
      </c>
      <c r="E336" s="391" t="s">
        <v>4042</v>
      </c>
      <c r="F336" s="392">
        <v>31250</v>
      </c>
      <c r="G336" s="393" t="s">
        <v>3800</v>
      </c>
      <c r="H336" s="394">
        <v>11.627888574165564</v>
      </c>
      <c r="I336" s="394"/>
      <c r="J336" s="392">
        <v>2.9069721435413909</v>
      </c>
      <c r="K336" s="392">
        <v>2.9069721435413909</v>
      </c>
      <c r="L336" s="392">
        <v>2.9069721435413909</v>
      </c>
      <c r="M336" s="392">
        <v>2.9069721435413909</v>
      </c>
      <c r="N336" s="392"/>
    </row>
    <row r="337" spans="1:14" hidden="1" outlineLevel="2" x14ac:dyDescent="0.35">
      <c r="A337" s="388" t="s">
        <v>4366</v>
      </c>
      <c r="B337" s="389">
        <v>44407</v>
      </c>
      <c r="C337" s="390" t="s">
        <v>4092</v>
      </c>
      <c r="D337" s="391" t="s">
        <v>4093</v>
      </c>
      <c r="E337" s="391" t="s">
        <v>4369</v>
      </c>
      <c r="F337" s="392">
        <v>2500000</v>
      </c>
      <c r="G337" s="393" t="s">
        <v>3800</v>
      </c>
      <c r="H337" s="394">
        <v>930.23108593324514</v>
      </c>
      <c r="I337" s="394"/>
      <c r="J337" s="392">
        <v>232.55777148331129</v>
      </c>
      <c r="K337" s="392">
        <v>232.55777148331129</v>
      </c>
      <c r="L337" s="392">
        <v>232.55777148331129</v>
      </c>
      <c r="M337" s="392">
        <v>232.55777148331129</v>
      </c>
      <c r="N337" s="392"/>
    </row>
    <row r="338" spans="1:14" hidden="1" outlineLevel="2" x14ac:dyDescent="0.35">
      <c r="A338" s="388" t="s">
        <v>4366</v>
      </c>
      <c r="B338" s="389">
        <v>44407</v>
      </c>
      <c r="C338" s="390" t="s">
        <v>4092</v>
      </c>
      <c r="D338" s="391" t="s">
        <v>4094</v>
      </c>
      <c r="E338" s="391" t="s">
        <v>4369</v>
      </c>
      <c r="F338" s="392">
        <v>375000</v>
      </c>
      <c r="G338" s="393" t="s">
        <v>3800</v>
      </c>
      <c r="H338" s="394">
        <v>139.53466288998678</v>
      </c>
      <c r="I338" s="394"/>
      <c r="J338" s="392">
        <v>34.883665722496694</v>
      </c>
      <c r="K338" s="392">
        <v>34.883665722496694</v>
      </c>
      <c r="L338" s="392">
        <v>34.883665722496694</v>
      </c>
      <c r="M338" s="392">
        <v>34.883665722496694</v>
      </c>
      <c r="N338" s="392"/>
    </row>
    <row r="339" spans="1:14" hidden="1" outlineLevel="2" x14ac:dyDescent="0.35">
      <c r="A339" s="388" t="s">
        <v>4366</v>
      </c>
      <c r="B339" s="389">
        <v>44407</v>
      </c>
      <c r="C339" s="390" t="s">
        <v>4095</v>
      </c>
      <c r="D339" s="391" t="s">
        <v>4096</v>
      </c>
      <c r="E339" s="391" t="s">
        <v>4272</v>
      </c>
      <c r="F339" s="392">
        <v>312500</v>
      </c>
      <c r="G339" s="393" t="s">
        <v>3800</v>
      </c>
      <c r="H339" s="394">
        <v>116.27888574165564</v>
      </c>
      <c r="I339" s="394"/>
      <c r="J339" s="392">
        <v>29.069721435413911</v>
      </c>
      <c r="K339" s="392">
        <v>29.069721435413911</v>
      </c>
      <c r="L339" s="392">
        <v>29.069721435413911</v>
      </c>
      <c r="M339" s="392">
        <v>29.069721435413911</v>
      </c>
      <c r="N339" s="392"/>
    </row>
    <row r="340" spans="1:14" hidden="1" outlineLevel="2" x14ac:dyDescent="0.35">
      <c r="A340" s="388" t="s">
        <v>4366</v>
      </c>
      <c r="B340" s="389">
        <v>44407</v>
      </c>
      <c r="C340" s="390" t="s">
        <v>4062</v>
      </c>
      <c r="D340" s="391" t="s">
        <v>4097</v>
      </c>
      <c r="E340" s="391" t="s">
        <v>4369</v>
      </c>
      <c r="F340" s="392">
        <v>125000</v>
      </c>
      <c r="G340" s="393" t="s">
        <v>3800</v>
      </c>
      <c r="H340" s="394">
        <v>46.511554296662254</v>
      </c>
      <c r="I340" s="394"/>
      <c r="J340" s="392">
        <v>11.627888574165564</v>
      </c>
      <c r="K340" s="392">
        <v>11.627888574165564</v>
      </c>
      <c r="L340" s="392">
        <v>11.627888574165564</v>
      </c>
      <c r="M340" s="392">
        <v>11.627888574165564</v>
      </c>
      <c r="N340" s="392"/>
    </row>
    <row r="341" spans="1:14" hidden="1" outlineLevel="2" x14ac:dyDescent="0.35">
      <c r="A341" s="388" t="s">
        <v>4366</v>
      </c>
      <c r="B341" s="389">
        <v>44407</v>
      </c>
      <c r="C341" s="390" t="s">
        <v>4092</v>
      </c>
      <c r="D341" s="391" t="s">
        <v>4098</v>
      </c>
      <c r="E341" s="391" t="s">
        <v>4376</v>
      </c>
      <c r="F341" s="392">
        <v>125000</v>
      </c>
      <c r="G341" s="393" t="s">
        <v>3800</v>
      </c>
      <c r="H341" s="394">
        <v>46.511554296662254</v>
      </c>
      <c r="I341" s="394"/>
      <c r="J341" s="392">
        <v>11.627888574165564</v>
      </c>
      <c r="K341" s="392">
        <v>11.627888574165564</v>
      </c>
      <c r="L341" s="392">
        <v>11.627888574165564</v>
      </c>
      <c r="M341" s="392">
        <v>11.627888574165564</v>
      </c>
      <c r="N341" s="392"/>
    </row>
    <row r="342" spans="1:14" hidden="1" outlineLevel="2" x14ac:dyDescent="0.35">
      <c r="A342" s="388" t="s">
        <v>4366</v>
      </c>
      <c r="B342" s="389">
        <v>44407</v>
      </c>
      <c r="C342" s="390" t="s">
        <v>4099</v>
      </c>
      <c r="D342" s="391" t="s">
        <v>4100</v>
      </c>
      <c r="E342" s="391" t="s">
        <v>4042</v>
      </c>
      <c r="F342" s="392">
        <v>18750</v>
      </c>
      <c r="G342" s="393" t="s">
        <v>3800</v>
      </c>
      <c r="H342" s="394">
        <v>6.9767331444993381</v>
      </c>
      <c r="I342" s="394"/>
      <c r="J342" s="392">
        <v>1.7441832861248345</v>
      </c>
      <c r="K342" s="392">
        <v>1.7441832861248345</v>
      </c>
      <c r="L342" s="392">
        <v>1.7441832861248345</v>
      </c>
      <c r="M342" s="392">
        <v>1.7441832861248345</v>
      </c>
      <c r="N342" s="392"/>
    </row>
    <row r="343" spans="1:14" outlineLevel="1" collapsed="1" x14ac:dyDescent="0.35">
      <c r="A343" s="395" t="s">
        <v>4392</v>
      </c>
      <c r="B343" s="389"/>
      <c r="C343" s="390"/>
      <c r="D343" s="391"/>
      <c r="E343" s="391"/>
      <c r="F343" s="392"/>
      <c r="G343" s="393"/>
      <c r="H343" s="394">
        <f t="shared" ref="H343:N343" si="9">SUBTOTAL(9,H229:H342)</f>
        <v>25012.410735984697</v>
      </c>
      <c r="I343" s="394"/>
      <c r="J343" s="392">
        <f t="shared" si="9"/>
        <v>6253.1026839961742</v>
      </c>
      <c r="K343" s="392">
        <f t="shared" si="9"/>
        <v>6253.1026839961742</v>
      </c>
      <c r="L343" s="392">
        <f t="shared" si="9"/>
        <v>6253.1026839961742</v>
      </c>
      <c r="M343" s="392">
        <f t="shared" si="9"/>
        <v>6253.1026839961742</v>
      </c>
      <c r="N343" s="392">
        <f t="shared" si="9"/>
        <v>0</v>
      </c>
    </row>
    <row r="344" spans="1:14" hidden="1" outlineLevel="2" x14ac:dyDescent="0.35">
      <c r="A344" s="388" t="s">
        <v>4393</v>
      </c>
      <c r="B344" s="389">
        <v>44286</v>
      </c>
      <c r="C344" s="390" t="s">
        <v>4394</v>
      </c>
      <c r="D344" s="391" t="s">
        <v>96</v>
      </c>
      <c r="E344" s="391" t="s">
        <v>4395</v>
      </c>
      <c r="F344" s="392">
        <v>162880</v>
      </c>
      <c r="G344" s="393" t="s">
        <v>3800</v>
      </c>
      <c r="H344" s="394">
        <v>60.606415710722786</v>
      </c>
      <c r="I344" s="394"/>
      <c r="J344" s="392"/>
      <c r="K344" s="392"/>
      <c r="L344" s="392"/>
      <c r="M344" s="392"/>
      <c r="N344" s="392">
        <f t="shared" ref="N344:N354" si="10">H344</f>
        <v>60.606415710722786</v>
      </c>
    </row>
    <row r="345" spans="1:14" hidden="1" outlineLevel="2" x14ac:dyDescent="0.35">
      <c r="A345" s="388" t="s">
        <v>4393</v>
      </c>
      <c r="B345" s="389">
        <v>44316</v>
      </c>
      <c r="C345" s="390" t="s">
        <v>4396</v>
      </c>
      <c r="D345" s="391" t="s">
        <v>96</v>
      </c>
      <c r="E345" s="391" t="s">
        <v>4395</v>
      </c>
      <c r="F345" s="392">
        <v>66368</v>
      </c>
      <c r="G345" s="393" t="s">
        <v>3800</v>
      </c>
      <c r="H345" s="394">
        <v>24.695030684487044</v>
      </c>
      <c r="I345" s="394"/>
      <c r="J345" s="392"/>
      <c r="K345" s="392"/>
      <c r="L345" s="392"/>
      <c r="M345" s="392"/>
      <c r="N345" s="392">
        <f t="shared" si="10"/>
        <v>24.695030684487044</v>
      </c>
    </row>
    <row r="346" spans="1:14" hidden="1" outlineLevel="2" x14ac:dyDescent="0.35">
      <c r="A346" s="388" t="s">
        <v>4393</v>
      </c>
      <c r="B346" s="389">
        <v>44347</v>
      </c>
      <c r="C346" s="390" t="s">
        <v>4397</v>
      </c>
      <c r="D346" s="391" t="s">
        <v>96</v>
      </c>
      <c r="E346" s="391" t="s">
        <v>4395</v>
      </c>
      <c r="F346" s="392">
        <v>64448</v>
      </c>
      <c r="G346" s="393" t="s">
        <v>3800</v>
      </c>
      <c r="H346" s="394">
        <v>23.980613210490311</v>
      </c>
      <c r="I346" s="394"/>
      <c r="J346" s="392"/>
      <c r="K346" s="392"/>
      <c r="L346" s="392"/>
      <c r="M346" s="392"/>
      <c r="N346" s="392">
        <f t="shared" si="10"/>
        <v>23.980613210490311</v>
      </c>
    </row>
    <row r="347" spans="1:14" hidden="1" outlineLevel="2" x14ac:dyDescent="0.35">
      <c r="A347" s="388" t="s">
        <v>4393</v>
      </c>
      <c r="B347" s="389">
        <v>44377</v>
      </c>
      <c r="C347" s="390" t="s">
        <v>4398</v>
      </c>
      <c r="D347" s="391" t="s">
        <v>96</v>
      </c>
      <c r="E347" s="391" t="s">
        <v>4395</v>
      </c>
      <c r="F347" s="392">
        <v>84992</v>
      </c>
      <c r="G347" s="393" t="s">
        <v>3800</v>
      </c>
      <c r="H347" s="394">
        <v>31.62488018225535</v>
      </c>
      <c r="I347" s="394"/>
      <c r="J347" s="392"/>
      <c r="K347" s="392"/>
      <c r="L347" s="392"/>
      <c r="M347" s="392"/>
      <c r="N347" s="392">
        <f t="shared" si="10"/>
        <v>31.62488018225535</v>
      </c>
    </row>
    <row r="348" spans="1:14" hidden="1" outlineLevel="2" x14ac:dyDescent="0.35">
      <c r="A348" s="388" t="s">
        <v>4393</v>
      </c>
      <c r="B348" s="389">
        <v>44408</v>
      </c>
      <c r="C348" s="390" t="s">
        <v>4399</v>
      </c>
      <c r="D348" s="391" t="s">
        <v>4400</v>
      </c>
      <c r="E348" s="391" t="s">
        <v>4395</v>
      </c>
      <c r="F348" s="392">
        <v>67456</v>
      </c>
      <c r="G348" s="393" t="s">
        <v>3800</v>
      </c>
      <c r="H348" s="394">
        <v>25.099867253085193</v>
      </c>
      <c r="I348" s="394"/>
      <c r="J348" s="392"/>
      <c r="K348" s="392"/>
      <c r="L348" s="392"/>
      <c r="M348" s="392"/>
      <c r="N348" s="392">
        <f t="shared" si="10"/>
        <v>25.099867253085193</v>
      </c>
    </row>
    <row r="349" spans="1:14" hidden="1" outlineLevel="2" x14ac:dyDescent="0.35">
      <c r="A349" s="388" t="s">
        <v>4393</v>
      </c>
      <c r="B349" s="389">
        <v>44435</v>
      </c>
      <c r="C349" s="390" t="s">
        <v>4401</v>
      </c>
      <c r="D349" s="391" t="s">
        <v>4402</v>
      </c>
      <c r="E349" s="391" t="s">
        <v>4395</v>
      </c>
      <c r="F349" s="392">
        <v>16768</v>
      </c>
      <c r="G349" s="393" t="s">
        <v>3800</v>
      </c>
      <c r="H349" s="394">
        <v>6.2392459395714619</v>
      </c>
      <c r="I349" s="394"/>
      <c r="J349" s="392"/>
      <c r="K349" s="392"/>
      <c r="L349" s="392"/>
      <c r="M349" s="392"/>
      <c r="N349" s="392">
        <f t="shared" si="10"/>
        <v>6.2392459395714619</v>
      </c>
    </row>
    <row r="350" spans="1:14" hidden="1" outlineLevel="2" x14ac:dyDescent="0.35">
      <c r="A350" s="388" t="s">
        <v>4393</v>
      </c>
      <c r="B350" s="389">
        <v>44469</v>
      </c>
      <c r="C350" s="390" t="s">
        <v>4403</v>
      </c>
      <c r="D350" s="391" t="s">
        <v>4404</v>
      </c>
      <c r="E350" s="391" t="s">
        <v>4395</v>
      </c>
      <c r="F350" s="392">
        <v>166016</v>
      </c>
      <c r="G350" s="393" t="s">
        <v>3800</v>
      </c>
      <c r="H350" s="394">
        <v>61.773297584917451</v>
      </c>
      <c r="I350" s="394"/>
      <c r="J350" s="392"/>
      <c r="K350" s="392"/>
      <c r="L350" s="392"/>
      <c r="M350" s="392"/>
      <c r="N350" s="392">
        <f t="shared" si="10"/>
        <v>61.773297584917451</v>
      </c>
    </row>
    <row r="351" spans="1:14" hidden="1" outlineLevel="2" x14ac:dyDescent="0.35">
      <c r="A351" s="388" t="s">
        <v>4393</v>
      </c>
      <c r="B351" s="389">
        <v>44500</v>
      </c>
      <c r="C351" s="390" t="s">
        <v>4405</v>
      </c>
      <c r="D351" s="391" t="s">
        <v>4406</v>
      </c>
      <c r="E351" s="391" t="s">
        <v>4395</v>
      </c>
      <c r="F351" s="392">
        <v>42688</v>
      </c>
      <c r="G351" s="393" t="s">
        <v>3800</v>
      </c>
      <c r="H351" s="394">
        <v>15.883881838527348</v>
      </c>
      <c r="I351" s="394"/>
      <c r="J351" s="392"/>
      <c r="K351" s="392"/>
      <c r="L351" s="392"/>
      <c r="M351" s="392"/>
      <c r="N351" s="392">
        <f t="shared" si="10"/>
        <v>15.883881838527348</v>
      </c>
    </row>
    <row r="352" spans="1:14" hidden="1" outlineLevel="2" x14ac:dyDescent="0.35">
      <c r="A352" s="388" t="s">
        <v>4393</v>
      </c>
      <c r="B352" s="389">
        <v>44530</v>
      </c>
      <c r="C352" s="390" t="s">
        <v>4407</v>
      </c>
      <c r="D352" s="391" t="s">
        <v>4408</v>
      </c>
      <c r="E352" s="391" t="s">
        <v>4395</v>
      </c>
      <c r="F352" s="392">
        <v>202880</v>
      </c>
      <c r="G352" s="393" t="s">
        <v>3800</v>
      </c>
      <c r="H352" s="394">
        <v>75.490113085654713</v>
      </c>
      <c r="I352" s="394"/>
      <c r="J352" s="392"/>
      <c r="K352" s="392"/>
      <c r="L352" s="392"/>
      <c r="M352" s="392"/>
      <c r="N352" s="392">
        <f t="shared" si="10"/>
        <v>75.490113085654713</v>
      </c>
    </row>
    <row r="353" spans="1:14" hidden="1" outlineLevel="2" x14ac:dyDescent="0.35">
      <c r="A353" s="388" t="s">
        <v>4393</v>
      </c>
      <c r="B353" s="389">
        <v>44561</v>
      </c>
      <c r="C353" s="390" t="s">
        <v>4409</v>
      </c>
      <c r="D353" s="391" t="s">
        <v>4410</v>
      </c>
      <c r="E353" s="391" t="s">
        <v>4411</v>
      </c>
      <c r="F353" s="392">
        <v>51570</v>
      </c>
      <c r="G353" s="393" t="s">
        <v>3800</v>
      </c>
      <c r="H353" s="394">
        <v>19.188806840630981</v>
      </c>
      <c r="I353" s="394"/>
      <c r="J353" s="392"/>
      <c r="K353" s="392"/>
      <c r="L353" s="392"/>
      <c r="M353" s="392"/>
      <c r="N353" s="392">
        <f t="shared" si="10"/>
        <v>19.188806840630981</v>
      </c>
    </row>
    <row r="354" spans="1:14" hidden="1" outlineLevel="2" x14ac:dyDescent="0.35">
      <c r="A354" s="388" t="s">
        <v>4393</v>
      </c>
      <c r="B354" s="389">
        <v>44561</v>
      </c>
      <c r="C354" s="390" t="s">
        <v>4412</v>
      </c>
      <c r="D354" s="391" t="s">
        <v>4413</v>
      </c>
      <c r="E354" s="391" t="s">
        <v>4411</v>
      </c>
      <c r="F354" s="392">
        <v>127552</v>
      </c>
      <c r="G354" s="393" t="s">
        <v>3800</v>
      </c>
      <c r="H354" s="394">
        <v>47.461134189182914</v>
      </c>
      <c r="I354" s="394"/>
      <c r="J354" s="392"/>
      <c r="K354" s="392"/>
      <c r="L354" s="392"/>
      <c r="M354" s="392"/>
      <c r="N354" s="392">
        <f t="shared" si="10"/>
        <v>47.461134189182914</v>
      </c>
    </row>
    <row r="355" spans="1:14" hidden="1" outlineLevel="2" x14ac:dyDescent="0.35">
      <c r="A355" s="388" t="s">
        <v>4393</v>
      </c>
      <c r="B355" s="389">
        <v>44592</v>
      </c>
      <c r="C355" s="390" t="s">
        <v>4414</v>
      </c>
      <c r="D355" s="391" t="s">
        <v>4415</v>
      </c>
      <c r="E355" s="391" t="s">
        <v>4411</v>
      </c>
      <c r="F355" s="392">
        <v>29420</v>
      </c>
      <c r="G355" s="393" t="s">
        <v>3800</v>
      </c>
      <c r="H355" s="394">
        <v>10.946959419262429</v>
      </c>
      <c r="I355" s="394"/>
      <c r="J355" s="392"/>
      <c r="K355" s="392"/>
      <c r="L355" s="392"/>
      <c r="M355" s="392"/>
      <c r="N355" s="392">
        <v>10.946959419262429</v>
      </c>
    </row>
    <row r="356" spans="1:14" hidden="1" outlineLevel="2" x14ac:dyDescent="0.35">
      <c r="A356" s="388" t="s">
        <v>4393</v>
      </c>
      <c r="B356" s="389">
        <v>44592</v>
      </c>
      <c r="C356" s="390" t="s">
        <v>4416</v>
      </c>
      <c r="D356" s="391" t="s">
        <v>4417</v>
      </c>
      <c r="E356" s="391" t="s">
        <v>4411</v>
      </c>
      <c r="F356" s="392">
        <v>171776</v>
      </c>
      <c r="G356" s="393" t="s">
        <v>3800</v>
      </c>
      <c r="H356" s="394">
        <v>63.916550006907649</v>
      </c>
      <c r="I356" s="394"/>
      <c r="J356" s="392"/>
      <c r="K356" s="392"/>
      <c r="L356" s="392"/>
      <c r="M356" s="392"/>
      <c r="N356" s="392">
        <v>63.916550006907649</v>
      </c>
    </row>
    <row r="357" spans="1:14" outlineLevel="1" collapsed="1" x14ac:dyDescent="0.35">
      <c r="A357" s="395" t="s">
        <v>4418</v>
      </c>
      <c r="B357" s="389"/>
      <c r="C357" s="390"/>
      <c r="D357" s="391"/>
      <c r="E357" s="391"/>
      <c r="F357" s="392"/>
      <c r="G357" s="393"/>
      <c r="H357" s="394">
        <f t="shared" ref="H357:N357" si="11">SUBTOTAL(9,H344:H356)</f>
        <v>466.90679594569571</v>
      </c>
      <c r="I357" s="394"/>
      <c r="J357" s="392">
        <f t="shared" si="11"/>
        <v>0</v>
      </c>
      <c r="K357" s="392">
        <f t="shared" si="11"/>
        <v>0</v>
      </c>
      <c r="L357" s="392">
        <f t="shared" si="11"/>
        <v>0</v>
      </c>
      <c r="M357" s="392">
        <f t="shared" si="11"/>
        <v>0</v>
      </c>
      <c r="N357" s="392">
        <f t="shared" si="11"/>
        <v>466.90679594569571</v>
      </c>
    </row>
    <row r="358" spans="1:14" hidden="1" outlineLevel="2" x14ac:dyDescent="0.35">
      <c r="A358" s="388" t="s">
        <v>4419</v>
      </c>
      <c r="B358" s="389">
        <v>44286</v>
      </c>
      <c r="C358" s="390" t="s">
        <v>4420</v>
      </c>
      <c r="D358" s="391" t="s">
        <v>4421</v>
      </c>
      <c r="E358" s="391" t="s">
        <v>4422</v>
      </c>
      <c r="F358" s="392">
        <v>300000</v>
      </c>
      <c r="G358" s="393" t="s">
        <v>3800</v>
      </c>
      <c r="H358" s="394">
        <v>111.62773031198941</v>
      </c>
      <c r="I358" s="394"/>
      <c r="J358" s="392"/>
      <c r="K358" s="392"/>
      <c r="L358" s="392"/>
      <c r="M358" s="392"/>
      <c r="N358" s="392">
        <f t="shared" ref="N358:N399" si="12">H358</f>
        <v>111.62773031198941</v>
      </c>
    </row>
    <row r="359" spans="1:14" hidden="1" outlineLevel="2" x14ac:dyDescent="0.35">
      <c r="A359" s="388" t="s">
        <v>4419</v>
      </c>
      <c r="B359" s="389">
        <v>44286</v>
      </c>
      <c r="C359" s="390" t="s">
        <v>4423</v>
      </c>
      <c r="D359" s="391" t="s">
        <v>4424</v>
      </c>
      <c r="E359" s="391" t="s">
        <v>2812</v>
      </c>
      <c r="F359" s="392">
        <v>772350</v>
      </c>
      <c r="G359" s="393" t="s">
        <v>3800</v>
      </c>
      <c r="H359" s="394">
        <v>287.38559168821678</v>
      </c>
      <c r="I359" s="394"/>
      <c r="J359" s="392"/>
      <c r="K359" s="392"/>
      <c r="L359" s="392"/>
      <c r="M359" s="392"/>
      <c r="N359" s="392">
        <f t="shared" si="12"/>
        <v>287.38559168821678</v>
      </c>
    </row>
    <row r="360" spans="1:14" hidden="1" outlineLevel="2" x14ac:dyDescent="0.35">
      <c r="A360" s="388" t="s">
        <v>4419</v>
      </c>
      <c r="B360" s="389">
        <v>44286</v>
      </c>
      <c r="C360" s="390" t="s">
        <v>4425</v>
      </c>
      <c r="D360" s="391" t="s">
        <v>4426</v>
      </c>
      <c r="E360" s="391" t="s">
        <v>4427</v>
      </c>
      <c r="F360" s="392">
        <v>900000</v>
      </c>
      <c r="G360" s="393" t="s">
        <v>3800</v>
      </c>
      <c r="H360" s="394">
        <v>334.88319093596823</v>
      </c>
      <c r="I360" s="394"/>
      <c r="J360" s="392"/>
      <c r="K360" s="392"/>
      <c r="L360" s="392"/>
      <c r="M360" s="392"/>
      <c r="N360" s="392">
        <f t="shared" si="12"/>
        <v>334.88319093596823</v>
      </c>
    </row>
    <row r="361" spans="1:14" hidden="1" outlineLevel="2" x14ac:dyDescent="0.35">
      <c r="A361" s="388" t="s">
        <v>4419</v>
      </c>
      <c r="B361" s="389">
        <v>44286</v>
      </c>
      <c r="C361" s="390" t="s">
        <v>4425</v>
      </c>
      <c r="D361" s="391" t="s">
        <v>4428</v>
      </c>
      <c r="E361" s="391" t="s">
        <v>2812</v>
      </c>
      <c r="F361" s="392">
        <v>463600</v>
      </c>
      <c r="G361" s="393" t="s">
        <v>3800</v>
      </c>
      <c r="H361" s="394">
        <v>172.50205257546097</v>
      </c>
      <c r="I361" s="394"/>
      <c r="J361" s="392"/>
      <c r="K361" s="392"/>
      <c r="L361" s="392"/>
      <c r="M361" s="392"/>
      <c r="N361" s="392">
        <f t="shared" si="12"/>
        <v>172.50205257546097</v>
      </c>
    </row>
    <row r="362" spans="1:14" hidden="1" outlineLevel="2" x14ac:dyDescent="0.35">
      <c r="A362" s="388" t="s">
        <v>4419</v>
      </c>
      <c r="B362" s="389">
        <v>44286</v>
      </c>
      <c r="C362" s="390" t="s">
        <v>4429</v>
      </c>
      <c r="D362" s="391" t="s">
        <v>4426</v>
      </c>
      <c r="E362" s="391" t="s">
        <v>4430</v>
      </c>
      <c r="F362" s="392">
        <v>900000</v>
      </c>
      <c r="G362" s="393" t="s">
        <v>3800</v>
      </c>
      <c r="H362" s="394">
        <v>334.88319093596823</v>
      </c>
      <c r="I362" s="394"/>
      <c r="J362" s="392"/>
      <c r="K362" s="392"/>
      <c r="L362" s="392"/>
      <c r="M362" s="392"/>
      <c r="N362" s="392">
        <f t="shared" si="12"/>
        <v>334.88319093596823</v>
      </c>
    </row>
    <row r="363" spans="1:14" hidden="1" outlineLevel="2" x14ac:dyDescent="0.35">
      <c r="A363" s="388" t="s">
        <v>4419</v>
      </c>
      <c r="B363" s="389">
        <v>44286</v>
      </c>
      <c r="C363" s="390" t="s">
        <v>4429</v>
      </c>
      <c r="D363" s="391" t="s">
        <v>4431</v>
      </c>
      <c r="E363" s="391" t="s">
        <v>2812</v>
      </c>
      <c r="F363" s="392">
        <v>492200</v>
      </c>
      <c r="G363" s="393" t="s">
        <v>3800</v>
      </c>
      <c r="H363" s="394">
        <v>183.14389619853731</v>
      </c>
      <c r="I363" s="394"/>
      <c r="J363" s="392"/>
      <c r="K363" s="392"/>
      <c r="L363" s="392"/>
      <c r="M363" s="392"/>
      <c r="N363" s="392">
        <f t="shared" si="12"/>
        <v>183.14389619853731</v>
      </c>
    </row>
    <row r="364" spans="1:14" hidden="1" outlineLevel="2" x14ac:dyDescent="0.35">
      <c r="A364" s="388" t="s">
        <v>4419</v>
      </c>
      <c r="B364" s="389">
        <v>44286</v>
      </c>
      <c r="C364" s="390" t="s">
        <v>4432</v>
      </c>
      <c r="D364" s="391" t="s">
        <v>4426</v>
      </c>
      <c r="E364" s="391" t="s">
        <v>4433</v>
      </c>
      <c r="F364" s="392">
        <v>900000</v>
      </c>
      <c r="G364" s="393" t="s">
        <v>3800</v>
      </c>
      <c r="H364" s="394">
        <v>334.88319093596823</v>
      </c>
      <c r="I364" s="394"/>
      <c r="J364" s="392"/>
      <c r="K364" s="392"/>
      <c r="L364" s="392"/>
      <c r="M364" s="392"/>
      <c r="N364" s="392">
        <f t="shared" si="12"/>
        <v>334.88319093596823</v>
      </c>
    </row>
    <row r="365" spans="1:14" hidden="1" outlineLevel="2" x14ac:dyDescent="0.35">
      <c r="A365" s="388" t="s">
        <v>4419</v>
      </c>
      <c r="B365" s="389">
        <v>44286</v>
      </c>
      <c r="C365" s="390" t="s">
        <v>4432</v>
      </c>
      <c r="D365" s="391" t="s">
        <v>4431</v>
      </c>
      <c r="E365" s="391" t="s">
        <v>2812</v>
      </c>
      <c r="F365" s="392">
        <v>492200</v>
      </c>
      <c r="G365" s="393" t="s">
        <v>3800</v>
      </c>
      <c r="H365" s="394">
        <v>183.14389619853731</v>
      </c>
      <c r="I365" s="394"/>
      <c r="J365" s="392"/>
      <c r="K365" s="392"/>
      <c r="L365" s="392"/>
      <c r="M365" s="392"/>
      <c r="N365" s="392">
        <f t="shared" si="12"/>
        <v>183.14389619853731</v>
      </c>
    </row>
    <row r="366" spans="1:14" hidden="1" outlineLevel="2" x14ac:dyDescent="0.35">
      <c r="A366" s="388" t="s">
        <v>4419</v>
      </c>
      <c r="B366" s="389">
        <v>44286</v>
      </c>
      <c r="C366" s="390" t="s">
        <v>4434</v>
      </c>
      <c r="D366" s="391" t="s">
        <v>4426</v>
      </c>
      <c r="E366" s="391" t="s">
        <v>4435</v>
      </c>
      <c r="F366" s="392">
        <v>900000</v>
      </c>
      <c r="G366" s="393" t="s">
        <v>3800</v>
      </c>
      <c r="H366" s="394">
        <v>334.88319093596823</v>
      </c>
      <c r="I366" s="394"/>
      <c r="J366" s="392"/>
      <c r="K366" s="392"/>
      <c r="L366" s="392"/>
      <c r="M366" s="392"/>
      <c r="N366" s="392">
        <f t="shared" si="12"/>
        <v>334.88319093596823</v>
      </c>
    </row>
    <row r="367" spans="1:14" hidden="1" outlineLevel="2" x14ac:dyDescent="0.35">
      <c r="A367" s="388" t="s">
        <v>4419</v>
      </c>
      <c r="B367" s="389">
        <v>44286</v>
      </c>
      <c r="C367" s="390" t="s">
        <v>4434</v>
      </c>
      <c r="D367" s="391" t="s">
        <v>4431</v>
      </c>
      <c r="E367" s="391" t="s">
        <v>2812</v>
      </c>
      <c r="F367" s="392">
        <v>537900</v>
      </c>
      <c r="G367" s="393" t="s">
        <v>3800</v>
      </c>
      <c r="H367" s="394">
        <v>200.14852044939701</v>
      </c>
      <c r="I367" s="394"/>
      <c r="J367" s="392"/>
      <c r="K367" s="392"/>
      <c r="L367" s="392"/>
      <c r="M367" s="392"/>
      <c r="N367" s="392">
        <f t="shared" si="12"/>
        <v>200.14852044939701</v>
      </c>
    </row>
    <row r="368" spans="1:14" hidden="1" outlineLevel="2" x14ac:dyDescent="0.35">
      <c r="A368" s="388" t="s">
        <v>4419</v>
      </c>
      <c r="B368" s="389">
        <v>44286</v>
      </c>
      <c r="C368" s="390" t="s">
        <v>4436</v>
      </c>
      <c r="D368" s="391" t="s">
        <v>4437</v>
      </c>
      <c r="E368" s="391" t="s">
        <v>4430</v>
      </c>
      <c r="F368" s="392">
        <v>900000</v>
      </c>
      <c r="G368" s="393" t="s">
        <v>3800</v>
      </c>
      <c r="H368" s="394">
        <v>334.88319093596823</v>
      </c>
      <c r="I368" s="394"/>
      <c r="J368" s="392"/>
      <c r="K368" s="392"/>
      <c r="L368" s="392"/>
      <c r="M368" s="392"/>
      <c r="N368" s="392">
        <f t="shared" si="12"/>
        <v>334.88319093596823</v>
      </c>
    </row>
    <row r="369" spans="1:14" hidden="1" outlineLevel="2" x14ac:dyDescent="0.35">
      <c r="A369" s="388" t="s">
        <v>4419</v>
      </c>
      <c r="B369" s="389">
        <v>44286</v>
      </c>
      <c r="C369" s="390" t="s">
        <v>4436</v>
      </c>
      <c r="D369" s="391" t="s">
        <v>4431</v>
      </c>
      <c r="E369" s="391" t="s">
        <v>2812</v>
      </c>
      <c r="F369" s="392">
        <v>472400</v>
      </c>
      <c r="G369" s="393" t="s">
        <v>3800</v>
      </c>
      <c r="H369" s="394">
        <v>175.77646599794599</v>
      </c>
      <c r="I369" s="394"/>
      <c r="J369" s="392"/>
      <c r="K369" s="392"/>
      <c r="L369" s="392"/>
      <c r="M369" s="392"/>
      <c r="N369" s="392">
        <f t="shared" si="12"/>
        <v>175.77646599794599</v>
      </c>
    </row>
    <row r="370" spans="1:14" hidden="1" outlineLevel="2" x14ac:dyDescent="0.35">
      <c r="A370" s="388" t="s">
        <v>4419</v>
      </c>
      <c r="B370" s="389">
        <v>44286</v>
      </c>
      <c r="C370" s="390" t="s">
        <v>4438</v>
      </c>
      <c r="D370" s="391" t="s">
        <v>4437</v>
      </c>
      <c r="E370" s="391" t="s">
        <v>4433</v>
      </c>
      <c r="F370" s="392">
        <v>900000</v>
      </c>
      <c r="G370" s="393" t="s">
        <v>3800</v>
      </c>
      <c r="H370" s="394">
        <v>334.88319093596823</v>
      </c>
      <c r="I370" s="394"/>
      <c r="J370" s="392"/>
      <c r="K370" s="392"/>
      <c r="L370" s="392"/>
      <c r="M370" s="392"/>
      <c r="N370" s="392">
        <f t="shared" si="12"/>
        <v>334.88319093596823</v>
      </c>
    </row>
    <row r="371" spans="1:14" hidden="1" outlineLevel="2" x14ac:dyDescent="0.35">
      <c r="A371" s="388" t="s">
        <v>4419</v>
      </c>
      <c r="B371" s="389">
        <v>44286</v>
      </c>
      <c r="C371" s="390" t="s">
        <v>4438</v>
      </c>
      <c r="D371" s="391" t="s">
        <v>4431</v>
      </c>
      <c r="E371" s="391" t="s">
        <v>2812</v>
      </c>
      <c r="F371" s="392">
        <v>472400</v>
      </c>
      <c r="G371" s="393" t="s">
        <v>3800</v>
      </c>
      <c r="H371" s="394">
        <v>175.77646599794599</v>
      </c>
      <c r="I371" s="394"/>
      <c r="J371" s="392"/>
      <c r="K371" s="392"/>
      <c r="L371" s="392"/>
      <c r="M371" s="392"/>
      <c r="N371" s="392">
        <f t="shared" si="12"/>
        <v>175.77646599794599</v>
      </c>
    </row>
    <row r="372" spans="1:14" hidden="1" outlineLevel="2" x14ac:dyDescent="0.35">
      <c r="A372" s="388" t="s">
        <v>4419</v>
      </c>
      <c r="B372" s="389">
        <v>44286</v>
      </c>
      <c r="C372" s="390" t="s">
        <v>4439</v>
      </c>
      <c r="D372" s="391" t="s">
        <v>4437</v>
      </c>
      <c r="E372" s="391" t="s">
        <v>4440</v>
      </c>
      <c r="F372" s="392">
        <v>900000</v>
      </c>
      <c r="G372" s="393" t="s">
        <v>3800</v>
      </c>
      <c r="H372" s="394">
        <v>334.88319093596823</v>
      </c>
      <c r="I372" s="394"/>
      <c r="J372" s="392"/>
      <c r="K372" s="392"/>
      <c r="L372" s="392"/>
      <c r="M372" s="392"/>
      <c r="N372" s="392">
        <f t="shared" si="12"/>
        <v>334.88319093596823</v>
      </c>
    </row>
    <row r="373" spans="1:14" hidden="1" outlineLevel="2" x14ac:dyDescent="0.35">
      <c r="A373" s="388" t="s">
        <v>4419</v>
      </c>
      <c r="B373" s="389">
        <v>44286</v>
      </c>
      <c r="C373" s="390" t="s">
        <v>4439</v>
      </c>
      <c r="D373" s="391" t="s">
        <v>4431</v>
      </c>
      <c r="E373" s="391" t="s">
        <v>2812</v>
      </c>
      <c r="F373" s="392">
        <v>472400</v>
      </c>
      <c r="G373" s="393" t="s">
        <v>3800</v>
      </c>
      <c r="H373" s="394">
        <v>175.77646599794599</v>
      </c>
      <c r="I373" s="394"/>
      <c r="J373" s="392"/>
      <c r="K373" s="392"/>
      <c r="L373" s="392"/>
      <c r="M373" s="392"/>
      <c r="N373" s="392">
        <f t="shared" si="12"/>
        <v>175.77646599794599</v>
      </c>
    </row>
    <row r="374" spans="1:14" hidden="1" outlineLevel="2" x14ac:dyDescent="0.35">
      <c r="A374" s="388" t="s">
        <v>4419</v>
      </c>
      <c r="B374" s="389">
        <v>44286</v>
      </c>
      <c r="C374" s="390" t="s">
        <v>4441</v>
      </c>
      <c r="D374" s="391" t="s">
        <v>4426</v>
      </c>
      <c r="E374" s="391" t="s">
        <v>4440</v>
      </c>
      <c r="F374" s="392">
        <v>900000</v>
      </c>
      <c r="G374" s="393" t="s">
        <v>3800</v>
      </c>
      <c r="H374" s="394">
        <v>334.88319093596823</v>
      </c>
      <c r="I374" s="394"/>
      <c r="J374" s="392"/>
      <c r="K374" s="392"/>
      <c r="L374" s="392"/>
      <c r="M374" s="392"/>
      <c r="N374" s="392">
        <f t="shared" si="12"/>
        <v>334.88319093596823</v>
      </c>
    </row>
    <row r="375" spans="1:14" hidden="1" outlineLevel="2" x14ac:dyDescent="0.35">
      <c r="A375" s="388" t="s">
        <v>4419</v>
      </c>
      <c r="B375" s="389">
        <v>44286</v>
      </c>
      <c r="C375" s="390" t="s">
        <v>4441</v>
      </c>
      <c r="D375" s="391" t="s">
        <v>4431</v>
      </c>
      <c r="E375" s="391" t="s">
        <v>2812</v>
      </c>
      <c r="F375" s="392">
        <v>492200</v>
      </c>
      <c r="G375" s="393" t="s">
        <v>3800</v>
      </c>
      <c r="H375" s="394">
        <v>183.14389619853731</v>
      </c>
      <c r="I375" s="394"/>
      <c r="J375" s="392"/>
      <c r="K375" s="392"/>
      <c r="L375" s="392"/>
      <c r="M375" s="392"/>
      <c r="N375" s="392">
        <f t="shared" si="12"/>
        <v>183.14389619853731</v>
      </c>
    </row>
    <row r="376" spans="1:14" hidden="1" outlineLevel="2" x14ac:dyDescent="0.35">
      <c r="A376" s="388" t="s">
        <v>4419</v>
      </c>
      <c r="B376" s="389">
        <v>44286</v>
      </c>
      <c r="C376" s="390" t="s">
        <v>4442</v>
      </c>
      <c r="D376" s="391" t="s">
        <v>4437</v>
      </c>
      <c r="E376" s="391" t="s">
        <v>4443</v>
      </c>
      <c r="F376" s="392">
        <v>900000</v>
      </c>
      <c r="G376" s="393" t="s">
        <v>3800</v>
      </c>
      <c r="H376" s="394">
        <v>334.88319093596823</v>
      </c>
      <c r="I376" s="394"/>
      <c r="J376" s="392"/>
      <c r="K376" s="392"/>
      <c r="L376" s="392"/>
      <c r="M376" s="392"/>
      <c r="N376" s="392">
        <f t="shared" si="12"/>
        <v>334.88319093596823</v>
      </c>
    </row>
    <row r="377" spans="1:14" hidden="1" outlineLevel="2" x14ac:dyDescent="0.35">
      <c r="A377" s="388" t="s">
        <v>4419</v>
      </c>
      <c r="B377" s="389">
        <v>44286</v>
      </c>
      <c r="C377" s="390" t="s">
        <v>4444</v>
      </c>
      <c r="D377" s="391" t="s">
        <v>4445</v>
      </c>
      <c r="E377" s="391" t="s">
        <v>4446</v>
      </c>
      <c r="F377" s="392">
        <v>650000</v>
      </c>
      <c r="G377" s="393" t="s">
        <v>3800</v>
      </c>
      <c r="H377" s="394">
        <v>241.86008234264372</v>
      </c>
      <c r="I377" s="394"/>
      <c r="J377" s="392"/>
      <c r="K377" s="392"/>
      <c r="L377" s="392"/>
      <c r="M377" s="392"/>
      <c r="N377" s="392">
        <f t="shared" si="12"/>
        <v>241.86008234264372</v>
      </c>
    </row>
    <row r="378" spans="1:14" hidden="1" outlineLevel="2" x14ac:dyDescent="0.35">
      <c r="A378" s="388" t="s">
        <v>4419</v>
      </c>
      <c r="B378" s="389">
        <v>44294</v>
      </c>
      <c r="C378" s="390" t="s">
        <v>4447</v>
      </c>
      <c r="D378" s="391" t="s">
        <v>4448</v>
      </c>
      <c r="E378" s="391" t="s">
        <v>4449</v>
      </c>
      <c r="F378" s="392">
        <v>450000</v>
      </c>
      <c r="G378" s="393" t="s">
        <v>3800</v>
      </c>
      <c r="H378" s="394">
        <v>167.44159546798411</v>
      </c>
      <c r="I378" s="394"/>
      <c r="J378" s="392"/>
      <c r="K378" s="392"/>
      <c r="L378" s="392"/>
      <c r="M378" s="392"/>
      <c r="N378" s="392">
        <f t="shared" si="12"/>
        <v>167.44159546798411</v>
      </c>
    </row>
    <row r="379" spans="1:14" ht="30" hidden="1" outlineLevel="2" x14ac:dyDescent="0.35">
      <c r="A379" s="388" t="s">
        <v>4419</v>
      </c>
      <c r="B379" s="389">
        <v>44294</v>
      </c>
      <c r="C379" s="390" t="s">
        <v>4450</v>
      </c>
      <c r="D379" s="391" t="s">
        <v>4451</v>
      </c>
      <c r="E379" s="391" t="s">
        <v>4452</v>
      </c>
      <c r="F379" s="392">
        <v>220000</v>
      </c>
      <c r="G379" s="393" t="s">
        <v>3800</v>
      </c>
      <c r="H379" s="394">
        <v>81.86033556212557</v>
      </c>
      <c r="I379" s="394"/>
      <c r="J379" s="392"/>
      <c r="K379" s="392"/>
      <c r="L379" s="392"/>
      <c r="M379" s="392"/>
      <c r="N379" s="392">
        <f t="shared" si="12"/>
        <v>81.86033556212557</v>
      </c>
    </row>
    <row r="380" spans="1:14" hidden="1" outlineLevel="2" x14ac:dyDescent="0.35">
      <c r="A380" s="388" t="s">
        <v>4419</v>
      </c>
      <c r="B380" s="389">
        <v>44294</v>
      </c>
      <c r="C380" s="390" t="s">
        <v>4453</v>
      </c>
      <c r="D380" s="391" t="s">
        <v>4454</v>
      </c>
      <c r="E380" s="391" t="s">
        <v>4455</v>
      </c>
      <c r="F380" s="392">
        <v>150000</v>
      </c>
      <c r="G380" s="393" t="s">
        <v>3800</v>
      </c>
      <c r="H380" s="394">
        <v>55.813865155994705</v>
      </c>
      <c r="I380" s="394"/>
      <c r="J380" s="392"/>
      <c r="K380" s="392"/>
      <c r="L380" s="392"/>
      <c r="M380" s="392"/>
      <c r="N380" s="392">
        <f t="shared" si="12"/>
        <v>55.813865155994705</v>
      </c>
    </row>
    <row r="381" spans="1:14" hidden="1" outlineLevel="2" x14ac:dyDescent="0.35">
      <c r="A381" s="388" t="s">
        <v>4419</v>
      </c>
      <c r="B381" s="389">
        <v>44305</v>
      </c>
      <c r="C381" s="390" t="s">
        <v>4456</v>
      </c>
      <c r="D381" s="391" t="s">
        <v>4457</v>
      </c>
      <c r="E381" s="391" t="s">
        <v>4427</v>
      </c>
      <c r="F381" s="392">
        <v>1050000</v>
      </c>
      <c r="G381" s="393" t="s">
        <v>3800</v>
      </c>
      <c r="H381" s="394">
        <v>390.69705609196296</v>
      </c>
      <c r="I381" s="394"/>
      <c r="J381" s="392"/>
      <c r="K381" s="392"/>
      <c r="L381" s="392"/>
      <c r="M381" s="392"/>
      <c r="N381" s="392">
        <f t="shared" si="12"/>
        <v>390.69705609196296</v>
      </c>
    </row>
    <row r="382" spans="1:14" hidden="1" outlineLevel="2" x14ac:dyDescent="0.35">
      <c r="A382" s="388" t="s">
        <v>4419</v>
      </c>
      <c r="B382" s="389">
        <v>44305</v>
      </c>
      <c r="C382" s="390" t="s">
        <v>4458</v>
      </c>
      <c r="D382" s="391" t="s">
        <v>4457</v>
      </c>
      <c r="E382" s="391" t="s">
        <v>4440</v>
      </c>
      <c r="F382" s="392">
        <v>1050000</v>
      </c>
      <c r="G382" s="393" t="s">
        <v>3800</v>
      </c>
      <c r="H382" s="394">
        <v>390.69705609196296</v>
      </c>
      <c r="I382" s="394"/>
      <c r="J382" s="392"/>
      <c r="K382" s="392"/>
      <c r="L382" s="392"/>
      <c r="M382" s="392"/>
      <c r="N382" s="392">
        <f t="shared" si="12"/>
        <v>390.69705609196296</v>
      </c>
    </row>
    <row r="383" spans="1:14" hidden="1" outlineLevel="2" x14ac:dyDescent="0.35">
      <c r="A383" s="388" t="s">
        <v>4419</v>
      </c>
      <c r="B383" s="389">
        <v>44305</v>
      </c>
      <c r="C383" s="390" t="s">
        <v>4459</v>
      </c>
      <c r="D383" s="391" t="s">
        <v>4460</v>
      </c>
      <c r="E383" s="391" t="s">
        <v>2812</v>
      </c>
      <c r="F383" s="392">
        <v>949600</v>
      </c>
      <c r="G383" s="393" t="s">
        <v>3800</v>
      </c>
      <c r="H383" s="394">
        <v>353.33897568088383</v>
      </c>
      <c r="I383" s="394"/>
      <c r="J383" s="392"/>
      <c r="K383" s="392"/>
      <c r="L383" s="392"/>
      <c r="M383" s="392"/>
      <c r="N383" s="392">
        <f t="shared" si="12"/>
        <v>353.33897568088383</v>
      </c>
    </row>
    <row r="384" spans="1:14" hidden="1" outlineLevel="2" x14ac:dyDescent="0.35">
      <c r="A384" s="388" t="s">
        <v>4419</v>
      </c>
      <c r="B384" s="389">
        <v>44316</v>
      </c>
      <c r="C384" s="390" t="s">
        <v>4461</v>
      </c>
      <c r="D384" s="391" t="s">
        <v>4462</v>
      </c>
      <c r="E384" s="391" t="s">
        <v>4449</v>
      </c>
      <c r="F384" s="392">
        <v>150000</v>
      </c>
      <c r="G384" s="393" t="s">
        <v>3800</v>
      </c>
      <c r="H384" s="394">
        <v>55.813865155994705</v>
      </c>
      <c r="I384" s="394"/>
      <c r="J384" s="392"/>
      <c r="K384" s="392"/>
      <c r="L384" s="392"/>
      <c r="M384" s="392"/>
      <c r="N384" s="392">
        <f t="shared" si="12"/>
        <v>55.813865155994705</v>
      </c>
    </row>
    <row r="385" spans="1:14" hidden="1" outlineLevel="2" x14ac:dyDescent="0.35">
      <c r="A385" s="388" t="s">
        <v>4419</v>
      </c>
      <c r="B385" s="389">
        <v>44316</v>
      </c>
      <c r="C385" s="390" t="s">
        <v>4461</v>
      </c>
      <c r="D385" s="391" t="s">
        <v>4463</v>
      </c>
      <c r="E385" s="391" t="s">
        <v>4464</v>
      </c>
      <c r="F385" s="392">
        <v>18000</v>
      </c>
      <c r="G385" s="393" t="s">
        <v>3800</v>
      </c>
      <c r="H385" s="394">
        <v>6.6976638187193647</v>
      </c>
      <c r="I385" s="394"/>
      <c r="J385" s="392"/>
      <c r="K385" s="392"/>
      <c r="L385" s="392"/>
      <c r="M385" s="392"/>
      <c r="N385" s="392">
        <f t="shared" si="12"/>
        <v>6.6976638187193647</v>
      </c>
    </row>
    <row r="386" spans="1:14" hidden="1" outlineLevel="2" x14ac:dyDescent="0.35">
      <c r="A386" s="388" t="s">
        <v>4419</v>
      </c>
      <c r="B386" s="389">
        <v>44326</v>
      </c>
      <c r="C386" s="390" t="s">
        <v>4465</v>
      </c>
      <c r="D386" s="391" t="s">
        <v>4466</v>
      </c>
      <c r="E386" s="391" t="s">
        <v>4467</v>
      </c>
      <c r="F386" s="392">
        <v>110000</v>
      </c>
      <c r="G386" s="393" t="s">
        <v>3800</v>
      </c>
      <c r="H386" s="394">
        <v>40.930167781062785</v>
      </c>
      <c r="I386" s="394"/>
      <c r="J386" s="392"/>
      <c r="K386" s="392"/>
      <c r="L386" s="392"/>
      <c r="M386" s="392"/>
      <c r="N386" s="392">
        <f t="shared" si="12"/>
        <v>40.930167781062785</v>
      </c>
    </row>
    <row r="387" spans="1:14" hidden="1" outlineLevel="2" x14ac:dyDescent="0.35">
      <c r="A387" s="388" t="s">
        <v>4419</v>
      </c>
      <c r="B387" s="389">
        <v>44326</v>
      </c>
      <c r="C387" s="390" t="s">
        <v>4468</v>
      </c>
      <c r="D387" s="391" t="s">
        <v>4469</v>
      </c>
      <c r="E387" s="391" t="s">
        <v>4470</v>
      </c>
      <c r="F387" s="392">
        <v>110000</v>
      </c>
      <c r="G387" s="393" t="s">
        <v>3800</v>
      </c>
      <c r="H387" s="394">
        <v>40.930167781062785</v>
      </c>
      <c r="I387" s="394"/>
      <c r="J387" s="392"/>
      <c r="K387" s="392"/>
      <c r="L387" s="392"/>
      <c r="M387" s="392"/>
      <c r="N387" s="392">
        <f t="shared" si="12"/>
        <v>40.930167781062785</v>
      </c>
    </row>
    <row r="388" spans="1:14" hidden="1" outlineLevel="2" x14ac:dyDescent="0.35">
      <c r="A388" s="388" t="s">
        <v>4419</v>
      </c>
      <c r="B388" s="389">
        <v>44326</v>
      </c>
      <c r="C388" s="390" t="s">
        <v>4468</v>
      </c>
      <c r="D388" s="391" t="s">
        <v>4471</v>
      </c>
      <c r="E388" s="391" t="s">
        <v>4470</v>
      </c>
      <c r="F388" s="392">
        <v>110000</v>
      </c>
      <c r="G388" s="393" t="s">
        <v>3800</v>
      </c>
      <c r="H388" s="394">
        <v>40.930167781062785</v>
      </c>
      <c r="I388" s="394"/>
      <c r="J388" s="392"/>
      <c r="K388" s="392"/>
      <c r="L388" s="392"/>
      <c r="M388" s="392"/>
      <c r="N388" s="392">
        <f t="shared" si="12"/>
        <v>40.930167781062785</v>
      </c>
    </row>
    <row r="389" spans="1:14" hidden="1" outlineLevel="2" x14ac:dyDescent="0.35">
      <c r="A389" s="388" t="s">
        <v>4419</v>
      </c>
      <c r="B389" s="389">
        <v>44326</v>
      </c>
      <c r="C389" s="390" t="s">
        <v>4472</v>
      </c>
      <c r="D389" s="391" t="s">
        <v>4473</v>
      </c>
      <c r="E389" s="391" t="s">
        <v>4474</v>
      </c>
      <c r="F389" s="392">
        <v>110000</v>
      </c>
      <c r="G389" s="393" t="s">
        <v>3800</v>
      </c>
      <c r="H389" s="394">
        <v>40.930167781062785</v>
      </c>
      <c r="I389" s="394"/>
      <c r="J389" s="392"/>
      <c r="K389" s="392"/>
      <c r="L389" s="392"/>
      <c r="M389" s="392"/>
      <c r="N389" s="392">
        <f t="shared" si="12"/>
        <v>40.930167781062785</v>
      </c>
    </row>
    <row r="390" spans="1:14" hidden="1" outlineLevel="2" x14ac:dyDescent="0.35">
      <c r="A390" s="388" t="s">
        <v>4419</v>
      </c>
      <c r="B390" s="389">
        <v>44363</v>
      </c>
      <c r="C390" s="390" t="s">
        <v>4475</v>
      </c>
      <c r="D390" s="391" t="s">
        <v>4476</v>
      </c>
      <c r="E390" s="391" t="s">
        <v>4455</v>
      </c>
      <c r="F390" s="392">
        <v>600000</v>
      </c>
      <c r="G390" s="393" t="s">
        <v>3800</v>
      </c>
      <c r="H390" s="394">
        <v>223.25546062397882</v>
      </c>
      <c r="I390" s="394"/>
      <c r="J390" s="392"/>
      <c r="K390" s="392"/>
      <c r="L390" s="392"/>
      <c r="M390" s="392"/>
      <c r="N390" s="392">
        <f t="shared" si="12"/>
        <v>223.25546062397882</v>
      </c>
    </row>
    <row r="391" spans="1:14" hidden="1" outlineLevel="2" x14ac:dyDescent="0.35">
      <c r="A391" s="388" t="s">
        <v>4419</v>
      </c>
      <c r="B391" s="389">
        <v>44364</v>
      </c>
      <c r="C391" s="390" t="s">
        <v>4477</v>
      </c>
      <c r="D391" s="391" t="s">
        <v>4473</v>
      </c>
      <c r="E391" s="391" t="s">
        <v>4474</v>
      </c>
      <c r="F391" s="392">
        <v>220000</v>
      </c>
      <c r="G391" s="393" t="s">
        <v>3800</v>
      </c>
      <c r="H391" s="394">
        <v>81.86033556212557</v>
      </c>
      <c r="I391" s="394"/>
      <c r="J391" s="392"/>
      <c r="K391" s="392"/>
      <c r="L391" s="392"/>
      <c r="M391" s="392"/>
      <c r="N391" s="392">
        <f t="shared" si="12"/>
        <v>81.86033556212557</v>
      </c>
    </row>
    <row r="392" spans="1:14" hidden="1" outlineLevel="2" x14ac:dyDescent="0.35">
      <c r="A392" s="388" t="s">
        <v>4419</v>
      </c>
      <c r="B392" s="389">
        <v>44364</v>
      </c>
      <c r="C392" s="390" t="s">
        <v>4478</v>
      </c>
      <c r="D392" s="391" t="s">
        <v>4479</v>
      </c>
      <c r="E392" s="391" t="s">
        <v>4455</v>
      </c>
      <c r="F392" s="392">
        <v>220000</v>
      </c>
      <c r="G392" s="393" t="s">
        <v>3800</v>
      </c>
      <c r="H392" s="394">
        <v>81.86033556212557</v>
      </c>
      <c r="I392" s="394"/>
      <c r="J392" s="392"/>
      <c r="K392" s="392"/>
      <c r="L392" s="392"/>
      <c r="M392" s="392"/>
      <c r="N392" s="392">
        <f t="shared" si="12"/>
        <v>81.86033556212557</v>
      </c>
    </row>
    <row r="393" spans="1:14" hidden="1" outlineLevel="2" x14ac:dyDescent="0.35">
      <c r="A393" s="388" t="s">
        <v>4419</v>
      </c>
      <c r="B393" s="389">
        <v>44364</v>
      </c>
      <c r="C393" s="390" t="s">
        <v>4480</v>
      </c>
      <c r="D393" s="391" t="s">
        <v>4481</v>
      </c>
      <c r="E393" s="391" t="s">
        <v>4482</v>
      </c>
      <c r="F393" s="392">
        <v>220000</v>
      </c>
      <c r="G393" s="393" t="s">
        <v>3800</v>
      </c>
      <c r="H393" s="394">
        <v>81.86033556212557</v>
      </c>
      <c r="I393" s="394"/>
      <c r="J393" s="392"/>
      <c r="K393" s="392"/>
      <c r="L393" s="392"/>
      <c r="M393" s="392"/>
      <c r="N393" s="392">
        <f t="shared" si="12"/>
        <v>81.86033556212557</v>
      </c>
    </row>
    <row r="394" spans="1:14" hidden="1" outlineLevel="2" x14ac:dyDescent="0.35">
      <c r="A394" s="388" t="s">
        <v>4419</v>
      </c>
      <c r="B394" s="389">
        <v>44487</v>
      </c>
      <c r="C394" s="390" t="s">
        <v>4483</v>
      </c>
      <c r="D394" s="391" t="s">
        <v>4484</v>
      </c>
      <c r="E394" s="391" t="s">
        <v>4430</v>
      </c>
      <c r="F394" s="392">
        <v>150000</v>
      </c>
      <c r="G394" s="393" t="s">
        <v>3800</v>
      </c>
      <c r="H394" s="394">
        <v>55.813865155994705</v>
      </c>
      <c r="I394" s="394"/>
      <c r="J394" s="392"/>
      <c r="K394" s="392"/>
      <c r="L394" s="392"/>
      <c r="M394" s="392"/>
      <c r="N394" s="392">
        <f t="shared" si="12"/>
        <v>55.813865155994705</v>
      </c>
    </row>
    <row r="395" spans="1:14" hidden="1" outlineLevel="2" x14ac:dyDescent="0.35">
      <c r="A395" s="388" t="s">
        <v>4419</v>
      </c>
      <c r="B395" s="389">
        <v>44495</v>
      </c>
      <c r="C395" s="390" t="s">
        <v>4485</v>
      </c>
      <c r="D395" s="391" t="s">
        <v>4486</v>
      </c>
      <c r="E395" s="391" t="s">
        <v>4487</v>
      </c>
      <c r="F395" s="392">
        <v>590480</v>
      </c>
      <c r="G395" s="393" t="s">
        <v>3800</v>
      </c>
      <c r="H395" s="394">
        <v>219.71314064874502</v>
      </c>
      <c r="I395" s="394"/>
      <c r="J395" s="392"/>
      <c r="K395" s="392"/>
      <c r="L395" s="392"/>
      <c r="M395" s="392"/>
      <c r="N395" s="392">
        <f t="shared" si="12"/>
        <v>219.71314064874502</v>
      </c>
    </row>
    <row r="396" spans="1:14" hidden="1" outlineLevel="2" x14ac:dyDescent="0.35">
      <c r="A396" s="388" t="s">
        <v>4419</v>
      </c>
      <c r="B396" s="389">
        <v>44537</v>
      </c>
      <c r="C396" s="390" t="s">
        <v>4488</v>
      </c>
      <c r="D396" s="391" t="s">
        <v>4489</v>
      </c>
      <c r="E396" s="391" t="s">
        <v>4427</v>
      </c>
      <c r="F396" s="392">
        <v>1050000</v>
      </c>
      <c r="G396" s="393" t="s">
        <v>3800</v>
      </c>
      <c r="H396" s="394">
        <v>390.69705609196296</v>
      </c>
      <c r="I396" s="394"/>
      <c r="J396" s="392"/>
      <c r="K396" s="392"/>
      <c r="L396" s="392"/>
      <c r="M396" s="392"/>
      <c r="N396" s="392">
        <f t="shared" si="12"/>
        <v>390.69705609196296</v>
      </c>
    </row>
    <row r="397" spans="1:14" hidden="1" outlineLevel="2" x14ac:dyDescent="0.35">
      <c r="A397" s="388" t="s">
        <v>4419</v>
      </c>
      <c r="B397" s="389">
        <v>44551</v>
      </c>
      <c r="C397" s="390" t="s">
        <v>4490</v>
      </c>
      <c r="D397" s="391" t="s">
        <v>4491</v>
      </c>
      <c r="E397" s="391" t="s">
        <v>4492</v>
      </c>
      <c r="F397" s="392">
        <v>300000</v>
      </c>
      <c r="G397" s="393" t="s">
        <v>3800</v>
      </c>
      <c r="H397" s="394">
        <v>111.62773031198941</v>
      </c>
      <c r="I397" s="394"/>
      <c r="J397" s="392"/>
      <c r="K397" s="392"/>
      <c r="L397" s="392"/>
      <c r="M397" s="392"/>
      <c r="N397" s="392">
        <f t="shared" si="12"/>
        <v>111.62773031198941</v>
      </c>
    </row>
    <row r="398" spans="1:14" hidden="1" outlineLevel="2" x14ac:dyDescent="0.35">
      <c r="A398" s="388" t="s">
        <v>4419</v>
      </c>
      <c r="B398" s="389">
        <v>44551</v>
      </c>
      <c r="C398" s="390" t="s">
        <v>4493</v>
      </c>
      <c r="D398" s="391" t="s">
        <v>4494</v>
      </c>
      <c r="E398" s="391" t="s">
        <v>4495</v>
      </c>
      <c r="F398" s="392">
        <v>150000</v>
      </c>
      <c r="G398" s="393" t="s">
        <v>3800</v>
      </c>
      <c r="H398" s="394">
        <v>55.813865155994705</v>
      </c>
      <c r="I398" s="394"/>
      <c r="J398" s="392"/>
      <c r="K398" s="392"/>
      <c r="L398" s="392"/>
      <c r="M398" s="392"/>
      <c r="N398" s="392">
        <f t="shared" si="12"/>
        <v>55.813865155994705</v>
      </c>
    </row>
    <row r="399" spans="1:14" hidden="1" outlineLevel="2" x14ac:dyDescent="0.35">
      <c r="A399" s="388" t="s">
        <v>4419</v>
      </c>
      <c r="B399" s="389">
        <v>44553</v>
      </c>
      <c r="C399" s="390" t="s">
        <v>4496</v>
      </c>
      <c r="D399" s="391" t="s">
        <v>4497</v>
      </c>
      <c r="E399" s="391" t="s">
        <v>4487</v>
      </c>
      <c r="F399" s="392">
        <v>694600</v>
      </c>
      <c r="G399" s="393" t="s">
        <v>3800</v>
      </c>
      <c r="H399" s="394">
        <v>258.45540491569284</v>
      </c>
      <c r="I399" s="394"/>
      <c r="J399" s="392"/>
      <c r="K399" s="392"/>
      <c r="L399" s="392"/>
      <c r="M399" s="392"/>
      <c r="N399" s="392">
        <f t="shared" si="12"/>
        <v>258.45540491569284</v>
      </c>
    </row>
    <row r="400" spans="1:14" hidden="1" outlineLevel="2" x14ac:dyDescent="0.35">
      <c r="A400" s="388" t="s">
        <v>4419</v>
      </c>
      <c r="B400" s="389">
        <v>44565</v>
      </c>
      <c r="C400" s="390" t="s">
        <v>4498</v>
      </c>
      <c r="D400" s="391" t="s">
        <v>4499</v>
      </c>
      <c r="E400" s="391" t="s">
        <v>4500</v>
      </c>
      <c r="F400" s="392">
        <v>645400</v>
      </c>
      <c r="G400" s="393" t="s">
        <v>3800</v>
      </c>
      <c r="H400" s="394">
        <v>240.14845714452656</v>
      </c>
      <c r="I400" s="394"/>
      <c r="J400" s="392"/>
      <c r="K400" s="392"/>
      <c r="L400" s="392"/>
      <c r="M400" s="392"/>
      <c r="N400" s="392">
        <v>240.14845714452656</v>
      </c>
    </row>
    <row r="401" spans="1:14" hidden="1" outlineLevel="2" x14ac:dyDescent="0.35">
      <c r="A401" s="388" t="s">
        <v>4419</v>
      </c>
      <c r="B401" s="389">
        <v>44565</v>
      </c>
      <c r="C401" s="390" t="s">
        <v>4501</v>
      </c>
      <c r="D401" s="391" t="s">
        <v>4502</v>
      </c>
      <c r="E401" s="391" t="s">
        <v>4500</v>
      </c>
      <c r="F401" s="392">
        <v>741600</v>
      </c>
      <c r="G401" s="393" t="s">
        <v>3800</v>
      </c>
      <c r="H401" s="394">
        <v>275.94374933123783</v>
      </c>
      <c r="I401" s="394"/>
      <c r="J401" s="392"/>
      <c r="K401" s="392"/>
      <c r="L401" s="392"/>
      <c r="M401" s="392"/>
      <c r="N401" s="392">
        <v>275.94374933123783</v>
      </c>
    </row>
    <row r="402" spans="1:14" hidden="1" outlineLevel="2" x14ac:dyDescent="0.35">
      <c r="A402" s="388" t="s">
        <v>4419</v>
      </c>
      <c r="B402" s="389">
        <v>44567</v>
      </c>
      <c r="C402" s="390" t="s">
        <v>4503</v>
      </c>
      <c r="D402" s="391" t="s">
        <v>4504</v>
      </c>
      <c r="E402" s="391" t="s">
        <v>4505</v>
      </c>
      <c r="F402" s="392">
        <v>450000</v>
      </c>
      <c r="G402" s="393" t="s">
        <v>3800</v>
      </c>
      <c r="H402" s="394">
        <v>167.44159546798411</v>
      </c>
      <c r="I402" s="394"/>
      <c r="J402" s="392"/>
      <c r="K402" s="392"/>
      <c r="L402" s="392"/>
      <c r="M402" s="392"/>
      <c r="N402" s="392">
        <v>167.44159546798411</v>
      </c>
    </row>
    <row r="403" spans="1:14" hidden="1" outlineLevel="2" x14ac:dyDescent="0.35">
      <c r="A403" s="388" t="s">
        <v>4419</v>
      </c>
      <c r="B403" s="389">
        <v>44567</v>
      </c>
      <c r="C403" s="390" t="s">
        <v>4506</v>
      </c>
      <c r="D403" s="391" t="s">
        <v>4504</v>
      </c>
      <c r="E403" s="391" t="s">
        <v>4258</v>
      </c>
      <c r="F403" s="392">
        <v>450000</v>
      </c>
      <c r="G403" s="393" t="s">
        <v>3800</v>
      </c>
      <c r="H403" s="394">
        <v>167.44159546798411</v>
      </c>
      <c r="I403" s="394"/>
      <c r="J403" s="392"/>
      <c r="K403" s="392"/>
      <c r="L403" s="392"/>
      <c r="M403" s="392"/>
      <c r="N403" s="392">
        <v>167.44159546798411</v>
      </c>
    </row>
    <row r="404" spans="1:14" hidden="1" outlineLevel="2" x14ac:dyDescent="0.35">
      <c r="A404" s="388" t="s">
        <v>4419</v>
      </c>
      <c r="B404" s="389">
        <v>44567</v>
      </c>
      <c r="C404" s="390" t="s">
        <v>4507</v>
      </c>
      <c r="D404" s="391" t="s">
        <v>4508</v>
      </c>
      <c r="E404" s="391" t="s">
        <v>4509</v>
      </c>
      <c r="F404" s="392">
        <v>889900</v>
      </c>
      <c r="G404" s="393" t="s">
        <v>3800</v>
      </c>
      <c r="H404" s="394">
        <v>331.12505734879795</v>
      </c>
      <c r="I404" s="394"/>
      <c r="J404" s="392"/>
      <c r="K404" s="392"/>
      <c r="L404" s="392"/>
      <c r="M404" s="392"/>
      <c r="N404" s="392">
        <v>331.12505734879795</v>
      </c>
    </row>
    <row r="405" spans="1:14" hidden="1" outlineLevel="2" x14ac:dyDescent="0.35">
      <c r="A405" s="388" t="s">
        <v>4419</v>
      </c>
      <c r="B405" s="389">
        <v>44567</v>
      </c>
      <c r="C405" s="390" t="s">
        <v>4510</v>
      </c>
      <c r="D405" s="391" t="s">
        <v>4504</v>
      </c>
      <c r="E405" s="391" t="s">
        <v>4509</v>
      </c>
      <c r="F405" s="392">
        <v>450000</v>
      </c>
      <c r="G405" s="393" t="s">
        <v>3800</v>
      </c>
      <c r="H405" s="394">
        <v>167.44159546798411</v>
      </c>
      <c r="I405" s="394"/>
      <c r="J405" s="392"/>
      <c r="K405" s="392"/>
      <c r="L405" s="392"/>
      <c r="M405" s="392"/>
      <c r="N405" s="392">
        <v>167.44159546798411</v>
      </c>
    </row>
    <row r="406" spans="1:14" hidden="1" outlineLevel="2" x14ac:dyDescent="0.35">
      <c r="A406" s="388" t="s">
        <v>4419</v>
      </c>
      <c r="B406" s="389">
        <v>44571</v>
      </c>
      <c r="C406" s="390" t="s">
        <v>4511</v>
      </c>
      <c r="D406" s="391" t="s">
        <v>4512</v>
      </c>
      <c r="E406" s="391" t="s">
        <v>4513</v>
      </c>
      <c r="F406" s="392">
        <v>150000</v>
      </c>
      <c r="G406" s="393" t="s">
        <v>3800</v>
      </c>
      <c r="H406" s="394">
        <v>55.813865155994705</v>
      </c>
      <c r="I406" s="394"/>
      <c r="J406" s="392"/>
      <c r="K406" s="392"/>
      <c r="L406" s="392"/>
      <c r="M406" s="392"/>
      <c r="N406" s="392">
        <v>55.813865155994705</v>
      </c>
    </row>
    <row r="407" spans="1:14" hidden="1" outlineLevel="2" x14ac:dyDescent="0.35">
      <c r="A407" s="388" t="s">
        <v>4419</v>
      </c>
      <c r="B407" s="389">
        <v>44571</v>
      </c>
      <c r="C407" s="390" t="s">
        <v>4511</v>
      </c>
      <c r="D407" s="391" t="s">
        <v>4512</v>
      </c>
      <c r="E407" s="391" t="s">
        <v>4513</v>
      </c>
      <c r="F407" s="392">
        <v>150000</v>
      </c>
      <c r="G407" s="393" t="s">
        <v>3800</v>
      </c>
      <c r="H407" s="394">
        <v>55.813865155994705</v>
      </c>
      <c r="I407" s="394"/>
      <c r="J407" s="392"/>
      <c r="K407" s="392"/>
      <c r="L407" s="392"/>
      <c r="M407" s="392"/>
      <c r="N407" s="392">
        <v>55.813865155994705</v>
      </c>
    </row>
    <row r="408" spans="1:14" ht="30" hidden="1" outlineLevel="2" x14ac:dyDescent="0.35">
      <c r="A408" s="388" t="s">
        <v>4419</v>
      </c>
      <c r="B408" s="389">
        <v>44571</v>
      </c>
      <c r="C408" s="390" t="s">
        <v>4511</v>
      </c>
      <c r="D408" s="391" t="s">
        <v>4514</v>
      </c>
      <c r="E408" s="391" t="s">
        <v>4513</v>
      </c>
      <c r="F408" s="392">
        <v>14000</v>
      </c>
      <c r="G408" s="393" t="s">
        <v>3800</v>
      </c>
      <c r="H408" s="394">
        <v>5.2092940812261723</v>
      </c>
      <c r="I408" s="394"/>
      <c r="J408" s="392"/>
      <c r="K408" s="392"/>
      <c r="L408" s="392"/>
      <c r="M408" s="392"/>
      <c r="N408" s="392">
        <v>5.2092940812261723</v>
      </c>
    </row>
    <row r="409" spans="1:14" hidden="1" outlineLevel="2" x14ac:dyDescent="0.35">
      <c r="A409" s="388" t="s">
        <v>4419</v>
      </c>
      <c r="B409" s="389">
        <v>44571</v>
      </c>
      <c r="C409" s="390" t="s">
        <v>4515</v>
      </c>
      <c r="D409" s="391" t="s">
        <v>4516</v>
      </c>
      <c r="E409" s="391" t="s">
        <v>4517</v>
      </c>
      <c r="F409" s="392">
        <v>150000</v>
      </c>
      <c r="G409" s="393" t="s">
        <v>3800</v>
      </c>
      <c r="H409" s="394">
        <v>55.813865155994705</v>
      </c>
      <c r="I409" s="394"/>
      <c r="J409" s="392"/>
      <c r="K409" s="392"/>
      <c r="L409" s="392"/>
      <c r="M409" s="392"/>
      <c r="N409" s="392">
        <v>55.813865155994705</v>
      </c>
    </row>
    <row r="410" spans="1:14" hidden="1" outlineLevel="2" x14ac:dyDescent="0.35">
      <c r="A410" s="388" t="s">
        <v>4419</v>
      </c>
      <c r="B410" s="389">
        <v>44571</v>
      </c>
      <c r="C410" s="390" t="s">
        <v>4518</v>
      </c>
      <c r="D410" s="391" t="s">
        <v>4519</v>
      </c>
      <c r="E410" s="391" t="s">
        <v>4520</v>
      </c>
      <c r="F410" s="392">
        <v>455300</v>
      </c>
      <c r="G410" s="393" t="s">
        <v>3800</v>
      </c>
      <c r="H410" s="394">
        <v>169.4136853701626</v>
      </c>
      <c r="I410" s="394"/>
      <c r="J410" s="392"/>
      <c r="K410" s="392"/>
      <c r="L410" s="392"/>
      <c r="M410" s="392"/>
      <c r="N410" s="392">
        <v>169.4136853701626</v>
      </c>
    </row>
    <row r="411" spans="1:14" hidden="1" outlineLevel="2" x14ac:dyDescent="0.35">
      <c r="A411" s="388" t="s">
        <v>4419</v>
      </c>
      <c r="B411" s="389">
        <v>44592</v>
      </c>
      <c r="C411" s="390" t="s">
        <v>4521</v>
      </c>
      <c r="D411" s="391" t="s">
        <v>4522</v>
      </c>
      <c r="E411" s="391" t="s">
        <v>4523</v>
      </c>
      <c r="F411" s="392">
        <v>788670</v>
      </c>
      <c r="G411" s="393" t="s">
        <v>3800</v>
      </c>
      <c r="H411" s="394">
        <v>293.458140217189</v>
      </c>
      <c r="I411" s="394"/>
      <c r="J411" s="392"/>
      <c r="K411" s="392"/>
      <c r="L411" s="392"/>
      <c r="M411" s="392"/>
      <c r="N411" s="392">
        <v>293.458140217189</v>
      </c>
    </row>
    <row r="412" spans="1:14" outlineLevel="1" collapsed="1" x14ac:dyDescent="0.35">
      <c r="A412" s="395" t="s">
        <v>4524</v>
      </c>
      <c r="B412" s="389"/>
      <c r="C412" s="390"/>
      <c r="D412" s="391"/>
      <c r="E412" s="391"/>
      <c r="F412" s="392"/>
      <c r="G412" s="393"/>
      <c r="H412" s="394">
        <f t="shared" ref="H412:N412" si="13">SUBTOTAL(9,H358:H411)</f>
        <v>10316.337161486565</v>
      </c>
      <c r="I412" s="394"/>
      <c r="J412" s="392">
        <f t="shared" si="13"/>
        <v>0</v>
      </c>
      <c r="K412" s="392">
        <f t="shared" si="13"/>
        <v>0</v>
      </c>
      <c r="L412" s="392">
        <f t="shared" si="13"/>
        <v>0</v>
      </c>
      <c r="M412" s="392">
        <f t="shared" si="13"/>
        <v>0</v>
      </c>
      <c r="N412" s="392">
        <f t="shared" si="13"/>
        <v>10316.337161486565</v>
      </c>
    </row>
    <row r="413" spans="1:14" hidden="1" outlineLevel="2" x14ac:dyDescent="0.35">
      <c r="A413" s="388" t="s">
        <v>4525</v>
      </c>
      <c r="B413" s="389">
        <v>44266</v>
      </c>
      <c r="C413" s="390" t="s">
        <v>4526</v>
      </c>
      <c r="D413" s="391" t="s">
        <v>4527</v>
      </c>
      <c r="E413" s="391" t="s">
        <v>4528</v>
      </c>
      <c r="F413" s="392">
        <v>1621622</v>
      </c>
      <c r="G413" s="393" t="s">
        <v>3800</v>
      </c>
      <c r="H413" s="394">
        <v>603.39327761329628</v>
      </c>
      <c r="I413" s="394"/>
      <c r="J413" s="392"/>
      <c r="K413" s="392"/>
      <c r="L413" s="392"/>
      <c r="M413" s="392"/>
      <c r="N413" s="392">
        <f t="shared" ref="N413:N445" si="14">H413</f>
        <v>603.39327761329628</v>
      </c>
    </row>
    <row r="414" spans="1:14" hidden="1" outlineLevel="2" x14ac:dyDescent="0.35">
      <c r="A414" s="388" t="s">
        <v>4525</v>
      </c>
      <c r="B414" s="389">
        <v>44266</v>
      </c>
      <c r="C414" s="390" t="s">
        <v>4529</v>
      </c>
      <c r="D414" s="391" t="s">
        <v>4530</v>
      </c>
      <c r="E414" s="391" t="s">
        <v>4272</v>
      </c>
      <c r="F414" s="392">
        <v>162162.16200000001</v>
      </c>
      <c r="G414" s="393" t="s">
        <v>3800</v>
      </c>
      <c r="H414" s="394">
        <v>60.339313621817134</v>
      </c>
      <c r="I414" s="394"/>
      <c r="J414" s="392"/>
      <c r="K414" s="392"/>
      <c r="L414" s="392"/>
      <c r="M414" s="392"/>
      <c r="N414" s="392">
        <f t="shared" si="14"/>
        <v>60.339313621817134</v>
      </c>
    </row>
    <row r="415" spans="1:14" hidden="1" outlineLevel="2" x14ac:dyDescent="0.35">
      <c r="A415" s="388" t="s">
        <v>4525</v>
      </c>
      <c r="B415" s="389">
        <v>44266</v>
      </c>
      <c r="C415" s="390" t="s">
        <v>4531</v>
      </c>
      <c r="D415" s="391" t="s">
        <v>4051</v>
      </c>
      <c r="E415" s="391" t="s">
        <v>4042</v>
      </c>
      <c r="F415" s="392">
        <v>16216.216200000001</v>
      </c>
      <c r="G415" s="393" t="s">
        <v>3800</v>
      </c>
      <c r="H415" s="394">
        <v>6.033931362181713</v>
      </c>
      <c r="I415" s="394"/>
      <c r="J415" s="392"/>
      <c r="K415" s="392"/>
      <c r="L415" s="392"/>
      <c r="M415" s="392"/>
      <c r="N415" s="392">
        <f t="shared" si="14"/>
        <v>6.033931362181713</v>
      </c>
    </row>
    <row r="416" spans="1:14" hidden="1" outlineLevel="2" x14ac:dyDescent="0.35">
      <c r="A416" s="388" t="s">
        <v>4525</v>
      </c>
      <c r="B416" s="389">
        <v>44284</v>
      </c>
      <c r="C416" s="390" t="s">
        <v>4532</v>
      </c>
      <c r="D416" s="391" t="s">
        <v>4533</v>
      </c>
      <c r="E416" s="391" t="s">
        <v>4528</v>
      </c>
      <c r="F416" s="392">
        <v>1621621.62</v>
      </c>
      <c r="G416" s="393" t="s">
        <v>3800</v>
      </c>
      <c r="H416" s="394">
        <v>603.39313621817132</v>
      </c>
      <c r="I416" s="394"/>
      <c r="J416" s="392"/>
      <c r="K416" s="392"/>
      <c r="L416" s="392"/>
      <c r="M416" s="392"/>
      <c r="N416" s="392">
        <f t="shared" si="14"/>
        <v>603.39313621817132</v>
      </c>
    </row>
    <row r="417" spans="1:14" hidden="1" outlineLevel="2" x14ac:dyDescent="0.35">
      <c r="A417" s="388" t="s">
        <v>4525</v>
      </c>
      <c r="B417" s="389">
        <v>44284</v>
      </c>
      <c r="C417" s="390" t="s">
        <v>4534</v>
      </c>
      <c r="D417" s="391" t="s">
        <v>4535</v>
      </c>
      <c r="E417" s="391" t="s">
        <v>4272</v>
      </c>
      <c r="F417" s="392">
        <v>162162.16200000001</v>
      </c>
      <c r="G417" s="393" t="s">
        <v>3800</v>
      </c>
      <c r="H417" s="394">
        <v>60.339313621817134</v>
      </c>
      <c r="I417" s="394"/>
      <c r="J417" s="392"/>
      <c r="K417" s="392"/>
      <c r="L417" s="392"/>
      <c r="M417" s="392"/>
      <c r="N417" s="392">
        <f t="shared" si="14"/>
        <v>60.339313621817134</v>
      </c>
    </row>
    <row r="418" spans="1:14" hidden="1" outlineLevel="2" x14ac:dyDescent="0.35">
      <c r="A418" s="388" t="s">
        <v>4525</v>
      </c>
      <c r="B418" s="389">
        <v>44284</v>
      </c>
      <c r="C418" s="390" t="s">
        <v>4536</v>
      </c>
      <c r="D418" s="391" t="s">
        <v>4061</v>
      </c>
      <c r="E418" s="391" t="s">
        <v>4042</v>
      </c>
      <c r="F418" s="392">
        <v>16216.216200000001</v>
      </c>
      <c r="G418" s="393" t="s">
        <v>3800</v>
      </c>
      <c r="H418" s="394">
        <v>6.033931362181713</v>
      </c>
      <c r="I418" s="394"/>
      <c r="J418" s="392"/>
      <c r="K418" s="392"/>
      <c r="L418" s="392"/>
      <c r="M418" s="392"/>
      <c r="N418" s="392">
        <f t="shared" si="14"/>
        <v>6.033931362181713</v>
      </c>
    </row>
    <row r="419" spans="1:14" hidden="1" outlineLevel="2" x14ac:dyDescent="0.35">
      <c r="A419" s="388" t="s">
        <v>4525</v>
      </c>
      <c r="B419" s="389">
        <v>44316</v>
      </c>
      <c r="C419" s="390" t="s">
        <v>4537</v>
      </c>
      <c r="D419" s="391" t="s">
        <v>4538</v>
      </c>
      <c r="E419" s="391" t="s">
        <v>4528</v>
      </c>
      <c r="F419" s="392">
        <v>1621621.62</v>
      </c>
      <c r="G419" s="393" t="s">
        <v>3800</v>
      </c>
      <c r="H419" s="394">
        <v>603.39313621817132</v>
      </c>
      <c r="I419" s="394"/>
      <c r="J419" s="392"/>
      <c r="K419" s="392"/>
      <c r="L419" s="392"/>
      <c r="M419" s="392"/>
      <c r="N419" s="392">
        <f t="shared" si="14"/>
        <v>603.39313621817132</v>
      </c>
    </row>
    <row r="420" spans="1:14" hidden="1" outlineLevel="2" x14ac:dyDescent="0.35">
      <c r="A420" s="388" t="s">
        <v>4525</v>
      </c>
      <c r="B420" s="389">
        <v>44316</v>
      </c>
      <c r="C420" s="390" t="s">
        <v>4539</v>
      </c>
      <c r="D420" s="391" t="s">
        <v>4540</v>
      </c>
      <c r="E420" s="391" t="s">
        <v>4272</v>
      </c>
      <c r="F420" s="392">
        <v>162162.16200000001</v>
      </c>
      <c r="G420" s="393" t="s">
        <v>3800</v>
      </c>
      <c r="H420" s="394">
        <v>60.339313621817134</v>
      </c>
      <c r="I420" s="394"/>
      <c r="J420" s="392"/>
      <c r="K420" s="392"/>
      <c r="L420" s="392"/>
      <c r="M420" s="392"/>
      <c r="N420" s="392">
        <f t="shared" si="14"/>
        <v>60.339313621817134</v>
      </c>
    </row>
    <row r="421" spans="1:14" hidden="1" outlineLevel="2" x14ac:dyDescent="0.35">
      <c r="A421" s="388" t="s">
        <v>4525</v>
      </c>
      <c r="B421" s="389">
        <v>44316</v>
      </c>
      <c r="C421" s="390" t="s">
        <v>4541</v>
      </c>
      <c r="D421" s="391" t="s">
        <v>4542</v>
      </c>
      <c r="E421" s="391" t="s">
        <v>4042</v>
      </c>
      <c r="F421" s="392">
        <v>16216.216200000001</v>
      </c>
      <c r="G421" s="393" t="s">
        <v>3800</v>
      </c>
      <c r="H421" s="394">
        <v>6.033931362181713</v>
      </c>
      <c r="I421" s="394"/>
      <c r="J421" s="392"/>
      <c r="K421" s="392"/>
      <c r="L421" s="392"/>
      <c r="M421" s="392"/>
      <c r="N421" s="392">
        <f t="shared" si="14"/>
        <v>6.033931362181713</v>
      </c>
    </row>
    <row r="422" spans="1:14" hidden="1" outlineLevel="2" x14ac:dyDescent="0.35">
      <c r="A422" s="388" t="s">
        <v>4525</v>
      </c>
      <c r="B422" s="389">
        <v>44343</v>
      </c>
      <c r="C422" s="390" t="s">
        <v>4543</v>
      </c>
      <c r="D422" s="391" t="s">
        <v>4544</v>
      </c>
      <c r="E422" s="391" t="s">
        <v>4528</v>
      </c>
      <c r="F422" s="392">
        <v>1621621.62</v>
      </c>
      <c r="G422" s="393" t="s">
        <v>3800</v>
      </c>
      <c r="H422" s="394">
        <v>603.39313621817132</v>
      </c>
      <c r="I422" s="394"/>
      <c r="J422" s="392"/>
      <c r="K422" s="392"/>
      <c r="L422" s="392"/>
      <c r="M422" s="392"/>
      <c r="N422" s="392">
        <f t="shared" si="14"/>
        <v>603.39313621817132</v>
      </c>
    </row>
    <row r="423" spans="1:14" hidden="1" outlineLevel="2" x14ac:dyDescent="0.35">
      <c r="A423" s="388" t="s">
        <v>4525</v>
      </c>
      <c r="B423" s="389">
        <v>44343</v>
      </c>
      <c r="C423" s="390" t="s">
        <v>4545</v>
      </c>
      <c r="D423" s="391" t="s">
        <v>4546</v>
      </c>
      <c r="E423" s="391" t="s">
        <v>4272</v>
      </c>
      <c r="F423" s="392">
        <v>162162.16200000001</v>
      </c>
      <c r="G423" s="393" t="s">
        <v>3800</v>
      </c>
      <c r="H423" s="394">
        <v>60.339313621817134</v>
      </c>
      <c r="I423" s="394"/>
      <c r="J423" s="392"/>
      <c r="K423" s="392"/>
      <c r="L423" s="392"/>
      <c r="M423" s="392"/>
      <c r="N423" s="392">
        <f t="shared" si="14"/>
        <v>60.339313621817134</v>
      </c>
    </row>
    <row r="424" spans="1:14" hidden="1" outlineLevel="2" x14ac:dyDescent="0.35">
      <c r="A424" s="388" t="s">
        <v>4525</v>
      </c>
      <c r="B424" s="389">
        <v>44343</v>
      </c>
      <c r="C424" s="390" t="s">
        <v>4547</v>
      </c>
      <c r="D424" s="391" t="s">
        <v>4548</v>
      </c>
      <c r="E424" s="391" t="s">
        <v>4042</v>
      </c>
      <c r="F424" s="392">
        <v>16216.216200000001</v>
      </c>
      <c r="G424" s="393" t="s">
        <v>3800</v>
      </c>
      <c r="H424" s="394">
        <v>6.033931362181713</v>
      </c>
      <c r="I424" s="394"/>
      <c r="J424" s="392"/>
      <c r="K424" s="392"/>
      <c r="L424" s="392"/>
      <c r="M424" s="392"/>
      <c r="N424" s="392">
        <f t="shared" si="14"/>
        <v>6.033931362181713</v>
      </c>
    </row>
    <row r="425" spans="1:14" hidden="1" outlineLevel="2" x14ac:dyDescent="0.35">
      <c r="A425" s="388" t="s">
        <v>4525</v>
      </c>
      <c r="B425" s="389">
        <v>44376</v>
      </c>
      <c r="C425" s="390" t="s">
        <v>4549</v>
      </c>
      <c r="D425" s="391" t="s">
        <v>4550</v>
      </c>
      <c r="E425" s="391" t="s">
        <v>4528</v>
      </c>
      <c r="F425" s="392">
        <v>1621621.62</v>
      </c>
      <c r="G425" s="393" t="s">
        <v>3800</v>
      </c>
      <c r="H425" s="394">
        <v>603.39313621817132</v>
      </c>
      <c r="I425" s="394"/>
      <c r="J425" s="392"/>
      <c r="K425" s="392"/>
      <c r="L425" s="392"/>
      <c r="M425" s="392"/>
      <c r="N425" s="392">
        <f t="shared" si="14"/>
        <v>603.39313621817132</v>
      </c>
    </row>
    <row r="426" spans="1:14" hidden="1" outlineLevel="2" x14ac:dyDescent="0.35">
      <c r="A426" s="388" t="s">
        <v>4525</v>
      </c>
      <c r="B426" s="389">
        <v>44376</v>
      </c>
      <c r="C426" s="390" t="s">
        <v>4551</v>
      </c>
      <c r="D426" s="391" t="s">
        <v>4552</v>
      </c>
      <c r="E426" s="391" t="s">
        <v>4272</v>
      </c>
      <c r="F426" s="392">
        <v>162162.16200000001</v>
      </c>
      <c r="G426" s="393" t="s">
        <v>3800</v>
      </c>
      <c r="H426" s="394">
        <v>60.339313621817134</v>
      </c>
      <c r="I426" s="394"/>
      <c r="J426" s="392"/>
      <c r="K426" s="392"/>
      <c r="L426" s="392"/>
      <c r="M426" s="392"/>
      <c r="N426" s="392">
        <f t="shared" si="14"/>
        <v>60.339313621817134</v>
      </c>
    </row>
    <row r="427" spans="1:14" hidden="1" outlineLevel="2" x14ac:dyDescent="0.35">
      <c r="A427" s="388" t="s">
        <v>4525</v>
      </c>
      <c r="B427" s="389">
        <v>44376</v>
      </c>
      <c r="C427" s="390" t="s">
        <v>4553</v>
      </c>
      <c r="D427" s="391" t="s">
        <v>4554</v>
      </c>
      <c r="E427" s="391" t="s">
        <v>4042</v>
      </c>
      <c r="F427" s="392">
        <v>16216.216200000001</v>
      </c>
      <c r="G427" s="393" t="s">
        <v>3800</v>
      </c>
      <c r="H427" s="394">
        <v>6.033931362181713</v>
      </c>
      <c r="I427" s="394"/>
      <c r="J427" s="392"/>
      <c r="K427" s="392"/>
      <c r="L427" s="392"/>
      <c r="M427" s="392"/>
      <c r="N427" s="392">
        <f t="shared" si="14"/>
        <v>6.033931362181713</v>
      </c>
    </row>
    <row r="428" spans="1:14" hidden="1" outlineLevel="2" x14ac:dyDescent="0.35">
      <c r="A428" s="388" t="s">
        <v>4525</v>
      </c>
      <c r="B428" s="389">
        <v>44407</v>
      </c>
      <c r="C428" s="390" t="s">
        <v>4555</v>
      </c>
      <c r="D428" s="391" t="s">
        <v>4556</v>
      </c>
      <c r="E428" s="391" t="s">
        <v>4528</v>
      </c>
      <c r="F428" s="392">
        <v>1621621.62</v>
      </c>
      <c r="G428" s="393" t="s">
        <v>3800</v>
      </c>
      <c r="H428" s="394">
        <v>603.39313621817132</v>
      </c>
      <c r="I428" s="394"/>
      <c r="J428" s="392"/>
      <c r="K428" s="392"/>
      <c r="L428" s="392"/>
      <c r="M428" s="392"/>
      <c r="N428" s="392">
        <f t="shared" si="14"/>
        <v>603.39313621817132</v>
      </c>
    </row>
    <row r="429" spans="1:14" hidden="1" outlineLevel="2" x14ac:dyDescent="0.35">
      <c r="A429" s="388" t="s">
        <v>4525</v>
      </c>
      <c r="B429" s="389">
        <v>44407</v>
      </c>
      <c r="C429" s="390" t="s">
        <v>4557</v>
      </c>
      <c r="D429" s="391" t="s">
        <v>4558</v>
      </c>
      <c r="E429" s="391" t="s">
        <v>4272</v>
      </c>
      <c r="F429" s="392">
        <v>162162.16200000001</v>
      </c>
      <c r="G429" s="393" t="s">
        <v>3800</v>
      </c>
      <c r="H429" s="394">
        <v>60.339313621817134</v>
      </c>
      <c r="I429" s="394"/>
      <c r="J429" s="392"/>
      <c r="K429" s="392"/>
      <c r="L429" s="392"/>
      <c r="M429" s="392"/>
      <c r="N429" s="392">
        <f t="shared" si="14"/>
        <v>60.339313621817134</v>
      </c>
    </row>
    <row r="430" spans="1:14" hidden="1" outlineLevel="2" x14ac:dyDescent="0.35">
      <c r="A430" s="388" t="s">
        <v>4525</v>
      </c>
      <c r="B430" s="389">
        <v>44407</v>
      </c>
      <c r="C430" s="390" t="s">
        <v>4559</v>
      </c>
      <c r="D430" s="391" t="s">
        <v>4560</v>
      </c>
      <c r="E430" s="391" t="s">
        <v>4042</v>
      </c>
      <c r="F430" s="392">
        <v>9729.7297200000012</v>
      </c>
      <c r="G430" s="393" t="s">
        <v>3800</v>
      </c>
      <c r="H430" s="394">
        <v>3.620358817309028</v>
      </c>
      <c r="I430" s="394"/>
      <c r="J430" s="392"/>
      <c r="K430" s="392"/>
      <c r="L430" s="392"/>
      <c r="M430" s="392"/>
      <c r="N430" s="392">
        <f t="shared" si="14"/>
        <v>3.620358817309028</v>
      </c>
    </row>
    <row r="431" spans="1:14" hidden="1" outlineLevel="2" x14ac:dyDescent="0.35">
      <c r="A431" s="388" t="s">
        <v>4525</v>
      </c>
      <c r="B431" s="389">
        <v>44438</v>
      </c>
      <c r="C431" s="390" t="s">
        <v>4561</v>
      </c>
      <c r="D431" s="391" t="s">
        <v>4562</v>
      </c>
      <c r="E431" s="391" t="s">
        <v>4563</v>
      </c>
      <c r="F431" s="392">
        <v>1621621.62</v>
      </c>
      <c r="G431" s="393" t="s">
        <v>3800</v>
      </c>
      <c r="H431" s="394">
        <v>603.39313621817132</v>
      </c>
      <c r="I431" s="394"/>
      <c r="J431" s="392"/>
      <c r="K431" s="392"/>
      <c r="L431" s="392"/>
      <c r="M431" s="392"/>
      <c r="N431" s="392">
        <f t="shared" si="14"/>
        <v>603.39313621817132</v>
      </c>
    </row>
    <row r="432" spans="1:14" hidden="1" outlineLevel="2" x14ac:dyDescent="0.35">
      <c r="A432" s="388" t="s">
        <v>4525</v>
      </c>
      <c r="B432" s="389">
        <v>44438</v>
      </c>
      <c r="C432" s="390" t="s">
        <v>4564</v>
      </c>
      <c r="D432" s="391" t="s">
        <v>4565</v>
      </c>
      <c r="E432" s="391" t="s">
        <v>4272</v>
      </c>
      <c r="F432" s="392">
        <v>162162.16200000001</v>
      </c>
      <c r="G432" s="393" t="s">
        <v>3800</v>
      </c>
      <c r="H432" s="394">
        <v>60.339313621817134</v>
      </c>
      <c r="I432" s="394"/>
      <c r="J432" s="392"/>
      <c r="K432" s="392"/>
      <c r="L432" s="392"/>
      <c r="M432" s="392"/>
      <c r="N432" s="392">
        <f t="shared" si="14"/>
        <v>60.339313621817134</v>
      </c>
    </row>
    <row r="433" spans="1:14" hidden="1" outlineLevel="2" x14ac:dyDescent="0.35">
      <c r="A433" s="388" t="s">
        <v>4525</v>
      </c>
      <c r="B433" s="389">
        <v>44438</v>
      </c>
      <c r="C433" s="390" t="s">
        <v>4566</v>
      </c>
      <c r="D433" s="391" t="s">
        <v>4567</v>
      </c>
      <c r="E433" s="391" t="s">
        <v>4042</v>
      </c>
      <c r="F433" s="392">
        <v>9729.7297200000012</v>
      </c>
      <c r="G433" s="393" t="s">
        <v>3800</v>
      </c>
      <c r="H433" s="394">
        <v>3.620358817309028</v>
      </c>
      <c r="I433" s="394"/>
      <c r="J433" s="392"/>
      <c r="K433" s="392"/>
      <c r="L433" s="392"/>
      <c r="M433" s="392"/>
      <c r="N433" s="392">
        <f t="shared" si="14"/>
        <v>3.620358817309028</v>
      </c>
    </row>
    <row r="434" spans="1:14" hidden="1" outlineLevel="2" x14ac:dyDescent="0.35">
      <c r="A434" s="388" t="s">
        <v>4525</v>
      </c>
      <c r="B434" s="389">
        <v>44467</v>
      </c>
      <c r="C434" s="390" t="s">
        <v>4568</v>
      </c>
      <c r="D434" s="391" t="s">
        <v>4569</v>
      </c>
      <c r="E434" s="391" t="s">
        <v>4563</v>
      </c>
      <c r="F434" s="392">
        <v>1621621.62</v>
      </c>
      <c r="G434" s="393" t="s">
        <v>3800</v>
      </c>
      <c r="H434" s="394">
        <v>603.39313621817132</v>
      </c>
      <c r="I434" s="394"/>
      <c r="J434" s="392"/>
      <c r="K434" s="392"/>
      <c r="L434" s="392"/>
      <c r="M434" s="392"/>
      <c r="N434" s="392">
        <f t="shared" si="14"/>
        <v>603.39313621817132</v>
      </c>
    </row>
    <row r="435" spans="1:14" hidden="1" outlineLevel="2" x14ac:dyDescent="0.35">
      <c r="A435" s="388" t="s">
        <v>4525</v>
      </c>
      <c r="B435" s="389">
        <v>44467</v>
      </c>
      <c r="C435" s="390" t="s">
        <v>4570</v>
      </c>
      <c r="D435" s="391" t="s">
        <v>4571</v>
      </c>
      <c r="E435" s="391" t="s">
        <v>4272</v>
      </c>
      <c r="F435" s="392">
        <v>162162.16200000001</v>
      </c>
      <c r="G435" s="393" t="s">
        <v>3800</v>
      </c>
      <c r="H435" s="394">
        <v>60.339313621817134</v>
      </c>
      <c r="I435" s="394"/>
      <c r="J435" s="392"/>
      <c r="K435" s="392"/>
      <c r="L435" s="392"/>
      <c r="M435" s="392"/>
      <c r="N435" s="392">
        <f t="shared" si="14"/>
        <v>60.339313621817134</v>
      </c>
    </row>
    <row r="436" spans="1:14" hidden="1" outlineLevel="2" x14ac:dyDescent="0.35">
      <c r="A436" s="388" t="s">
        <v>4525</v>
      </c>
      <c r="B436" s="389">
        <v>44467</v>
      </c>
      <c r="C436" s="390" t="s">
        <v>4572</v>
      </c>
      <c r="D436" s="391" t="s">
        <v>4573</v>
      </c>
      <c r="E436" s="391" t="s">
        <v>4042</v>
      </c>
      <c r="F436" s="392">
        <v>9729.7297200000012</v>
      </c>
      <c r="G436" s="393" t="s">
        <v>3800</v>
      </c>
      <c r="H436" s="394">
        <v>3.620358817309028</v>
      </c>
      <c r="I436" s="394"/>
      <c r="J436" s="392"/>
      <c r="K436" s="392"/>
      <c r="L436" s="392"/>
      <c r="M436" s="392"/>
      <c r="N436" s="392">
        <f t="shared" si="14"/>
        <v>3.620358817309028</v>
      </c>
    </row>
    <row r="437" spans="1:14" hidden="1" outlineLevel="2" x14ac:dyDescent="0.35">
      <c r="A437" s="388" t="s">
        <v>4525</v>
      </c>
      <c r="B437" s="389">
        <v>44497</v>
      </c>
      <c r="C437" s="390" t="s">
        <v>4574</v>
      </c>
      <c r="D437" s="391" t="s">
        <v>4575</v>
      </c>
      <c r="E437" s="391" t="s">
        <v>4528</v>
      </c>
      <c r="F437" s="392">
        <v>1621621.62</v>
      </c>
      <c r="G437" s="393" t="s">
        <v>3800</v>
      </c>
      <c r="H437" s="394">
        <v>603.39313621817132</v>
      </c>
      <c r="I437" s="394"/>
      <c r="J437" s="392"/>
      <c r="K437" s="392"/>
      <c r="L437" s="392"/>
      <c r="M437" s="392"/>
      <c r="N437" s="392">
        <f t="shared" si="14"/>
        <v>603.39313621817132</v>
      </c>
    </row>
    <row r="438" spans="1:14" hidden="1" outlineLevel="2" x14ac:dyDescent="0.35">
      <c r="A438" s="388" t="s">
        <v>4525</v>
      </c>
      <c r="B438" s="389">
        <v>44497</v>
      </c>
      <c r="C438" s="390" t="s">
        <v>4576</v>
      </c>
      <c r="D438" s="391" t="s">
        <v>4577</v>
      </c>
      <c r="E438" s="391" t="s">
        <v>4272</v>
      </c>
      <c r="F438" s="392">
        <v>162162.16200000001</v>
      </c>
      <c r="G438" s="393" t="s">
        <v>3800</v>
      </c>
      <c r="H438" s="394">
        <v>60.339313621817134</v>
      </c>
      <c r="I438" s="394"/>
      <c r="J438" s="392"/>
      <c r="K438" s="392"/>
      <c r="L438" s="392"/>
      <c r="M438" s="392"/>
      <c r="N438" s="392">
        <f t="shared" si="14"/>
        <v>60.339313621817134</v>
      </c>
    </row>
    <row r="439" spans="1:14" hidden="1" outlineLevel="2" x14ac:dyDescent="0.35">
      <c r="A439" s="388" t="s">
        <v>4525</v>
      </c>
      <c r="B439" s="389">
        <v>44497</v>
      </c>
      <c r="C439" s="390" t="s">
        <v>4578</v>
      </c>
      <c r="D439" s="391" t="s">
        <v>4579</v>
      </c>
      <c r="E439" s="391" t="s">
        <v>4042</v>
      </c>
      <c r="F439" s="392">
        <v>9729.7297200000012</v>
      </c>
      <c r="G439" s="393" t="s">
        <v>3800</v>
      </c>
      <c r="H439" s="394">
        <v>3.620358817309028</v>
      </c>
      <c r="I439" s="394"/>
      <c r="J439" s="392"/>
      <c r="K439" s="392"/>
      <c r="L439" s="392"/>
      <c r="M439" s="392"/>
      <c r="N439" s="392">
        <f t="shared" si="14"/>
        <v>3.620358817309028</v>
      </c>
    </row>
    <row r="440" spans="1:14" hidden="1" outlineLevel="2" x14ac:dyDescent="0.35">
      <c r="A440" s="388" t="s">
        <v>4525</v>
      </c>
      <c r="B440" s="389">
        <v>44525</v>
      </c>
      <c r="C440" s="390" t="s">
        <v>4580</v>
      </c>
      <c r="D440" s="391" t="s">
        <v>4581</v>
      </c>
      <c r="E440" s="391" t="s">
        <v>4528</v>
      </c>
      <c r="F440" s="392">
        <v>1621621.62</v>
      </c>
      <c r="G440" s="393" t="s">
        <v>3800</v>
      </c>
      <c r="H440" s="394">
        <v>603.39313621817132</v>
      </c>
      <c r="I440" s="394"/>
      <c r="J440" s="392"/>
      <c r="K440" s="392"/>
      <c r="L440" s="392"/>
      <c r="M440" s="392"/>
      <c r="N440" s="392">
        <f t="shared" si="14"/>
        <v>603.39313621817132</v>
      </c>
    </row>
    <row r="441" spans="1:14" hidden="1" outlineLevel="2" x14ac:dyDescent="0.35">
      <c r="A441" s="388" t="s">
        <v>4525</v>
      </c>
      <c r="B441" s="389">
        <v>44525</v>
      </c>
      <c r="C441" s="390" t="s">
        <v>4582</v>
      </c>
      <c r="D441" s="391" t="s">
        <v>4583</v>
      </c>
      <c r="E441" s="391" t="s">
        <v>4272</v>
      </c>
      <c r="F441" s="392">
        <v>162162.16200000001</v>
      </c>
      <c r="G441" s="393" t="s">
        <v>3800</v>
      </c>
      <c r="H441" s="394">
        <v>60.339313621817134</v>
      </c>
      <c r="I441" s="394"/>
      <c r="J441" s="392"/>
      <c r="K441" s="392"/>
      <c r="L441" s="392"/>
      <c r="M441" s="392"/>
      <c r="N441" s="392">
        <f t="shared" si="14"/>
        <v>60.339313621817134</v>
      </c>
    </row>
    <row r="442" spans="1:14" hidden="1" outlineLevel="2" x14ac:dyDescent="0.35">
      <c r="A442" s="388" t="s">
        <v>4525</v>
      </c>
      <c r="B442" s="389">
        <v>44525</v>
      </c>
      <c r="C442" s="390" t="s">
        <v>4584</v>
      </c>
      <c r="D442" s="391" t="s">
        <v>4585</v>
      </c>
      <c r="E442" s="391" t="s">
        <v>4042</v>
      </c>
      <c r="F442" s="392">
        <v>9729.7297200000012</v>
      </c>
      <c r="G442" s="393" t="s">
        <v>3800</v>
      </c>
      <c r="H442" s="394">
        <v>3.620358817309028</v>
      </c>
      <c r="I442" s="394"/>
      <c r="J442" s="392"/>
      <c r="K442" s="392"/>
      <c r="L442" s="392"/>
      <c r="M442" s="392"/>
      <c r="N442" s="392">
        <f t="shared" si="14"/>
        <v>3.620358817309028</v>
      </c>
    </row>
    <row r="443" spans="1:14" hidden="1" outlineLevel="2" x14ac:dyDescent="0.35">
      <c r="A443" s="388" t="s">
        <v>4525</v>
      </c>
      <c r="B443" s="389">
        <v>44547</v>
      </c>
      <c r="C443" s="390" t="s">
        <v>4586</v>
      </c>
      <c r="D443" s="391" t="s">
        <v>4587</v>
      </c>
      <c r="E443" s="391" t="s">
        <v>4528</v>
      </c>
      <c r="F443" s="392">
        <v>1621621.62</v>
      </c>
      <c r="G443" s="393" t="s">
        <v>3800</v>
      </c>
      <c r="H443" s="394">
        <v>603.39313621817132</v>
      </c>
      <c r="I443" s="394"/>
      <c r="J443" s="392"/>
      <c r="K443" s="392"/>
      <c r="L443" s="392"/>
      <c r="M443" s="392"/>
      <c r="N443" s="392">
        <f t="shared" si="14"/>
        <v>603.39313621817132</v>
      </c>
    </row>
    <row r="444" spans="1:14" hidden="1" outlineLevel="2" x14ac:dyDescent="0.35">
      <c r="A444" s="388" t="s">
        <v>4525</v>
      </c>
      <c r="B444" s="389">
        <v>44547</v>
      </c>
      <c r="C444" s="390" t="s">
        <v>4588</v>
      </c>
      <c r="D444" s="391" t="s">
        <v>4589</v>
      </c>
      <c r="E444" s="391" t="s">
        <v>4272</v>
      </c>
      <c r="F444" s="392">
        <v>162162.16200000001</v>
      </c>
      <c r="G444" s="393" t="s">
        <v>3800</v>
      </c>
      <c r="H444" s="394">
        <v>60.339313621817134</v>
      </c>
      <c r="I444" s="394"/>
      <c r="J444" s="392"/>
      <c r="K444" s="392"/>
      <c r="L444" s="392"/>
      <c r="M444" s="392"/>
      <c r="N444" s="392">
        <f t="shared" si="14"/>
        <v>60.339313621817134</v>
      </c>
    </row>
    <row r="445" spans="1:14" hidden="1" outlineLevel="2" x14ac:dyDescent="0.35">
      <c r="A445" s="388" t="s">
        <v>4525</v>
      </c>
      <c r="B445" s="389">
        <v>44547</v>
      </c>
      <c r="C445" s="390" t="s">
        <v>4590</v>
      </c>
      <c r="D445" s="391" t="s">
        <v>4591</v>
      </c>
      <c r="E445" s="391" t="s">
        <v>4042</v>
      </c>
      <c r="F445" s="392">
        <v>9729.7297200000012</v>
      </c>
      <c r="G445" s="393" t="s">
        <v>3800</v>
      </c>
      <c r="H445" s="394">
        <v>3.620358817309028</v>
      </c>
      <c r="I445" s="394"/>
      <c r="J445" s="392"/>
      <c r="K445" s="392"/>
      <c r="L445" s="392"/>
      <c r="M445" s="392"/>
      <c r="N445" s="392">
        <f t="shared" si="14"/>
        <v>3.620358817309028</v>
      </c>
    </row>
    <row r="446" spans="1:14" hidden="1" outlineLevel="2" x14ac:dyDescent="0.35">
      <c r="A446" s="388" t="s">
        <v>4525</v>
      </c>
      <c r="B446" s="389">
        <v>44587</v>
      </c>
      <c r="C446" s="390" t="s">
        <v>4592</v>
      </c>
      <c r="D446" s="391" t="s">
        <v>4593</v>
      </c>
      <c r="E446" s="391" t="s">
        <v>4528</v>
      </c>
      <c r="F446" s="392">
        <v>1621621.62</v>
      </c>
      <c r="G446" s="393" t="s">
        <v>3800</v>
      </c>
      <c r="H446" s="394">
        <v>603.39313621817132</v>
      </c>
      <c r="I446" s="394"/>
      <c r="J446" s="392"/>
      <c r="K446" s="392"/>
      <c r="L446" s="392"/>
      <c r="M446" s="392"/>
      <c r="N446" s="392">
        <v>603.39313621817132</v>
      </c>
    </row>
    <row r="447" spans="1:14" hidden="1" outlineLevel="2" x14ac:dyDescent="0.35">
      <c r="A447" s="388" t="s">
        <v>4525</v>
      </c>
      <c r="B447" s="389">
        <v>44587</v>
      </c>
      <c r="C447" s="390" t="s">
        <v>4594</v>
      </c>
      <c r="D447" s="391" t="s">
        <v>4595</v>
      </c>
      <c r="E447" s="391" t="s">
        <v>4272</v>
      </c>
      <c r="F447" s="392">
        <v>162162.16200000001</v>
      </c>
      <c r="G447" s="393" t="s">
        <v>3800</v>
      </c>
      <c r="H447" s="394">
        <v>60.339313621817134</v>
      </c>
      <c r="I447" s="394"/>
      <c r="J447" s="392"/>
      <c r="K447" s="392"/>
      <c r="L447" s="392"/>
      <c r="M447" s="392"/>
      <c r="N447" s="392">
        <v>60.339313621817134</v>
      </c>
    </row>
    <row r="448" spans="1:14" hidden="1" outlineLevel="2" x14ac:dyDescent="0.35">
      <c r="A448" s="388" t="s">
        <v>4525</v>
      </c>
      <c r="B448" s="389">
        <v>44587</v>
      </c>
      <c r="C448" s="390" t="s">
        <v>4596</v>
      </c>
      <c r="D448" s="391" t="s">
        <v>4597</v>
      </c>
      <c r="E448" s="391" t="s">
        <v>4042</v>
      </c>
      <c r="F448" s="392">
        <v>9729.7297200000012</v>
      </c>
      <c r="G448" s="393" t="s">
        <v>3800</v>
      </c>
      <c r="H448" s="394">
        <v>3.620358817309028</v>
      </c>
      <c r="I448" s="394"/>
      <c r="J448" s="392"/>
      <c r="K448" s="392"/>
      <c r="L448" s="392"/>
      <c r="M448" s="392"/>
      <c r="N448" s="392">
        <v>3.620358817309028</v>
      </c>
    </row>
    <row r="449" spans="1:14" outlineLevel="1" collapsed="1" x14ac:dyDescent="0.35">
      <c r="A449" s="395" t="s">
        <v>4598</v>
      </c>
      <c r="B449" s="389"/>
      <c r="C449" s="390"/>
      <c r="D449" s="391"/>
      <c r="E449" s="391"/>
      <c r="F449" s="392"/>
      <c r="G449" s="393"/>
      <c r="H449" s="394">
        <f t="shared" ref="H449:N449" si="15">SUBTOTAL(9,H413:H448)</f>
        <v>8020.3017080070595</v>
      </c>
      <c r="I449" s="394"/>
      <c r="J449" s="392">
        <f t="shared" si="15"/>
        <v>0</v>
      </c>
      <c r="K449" s="392">
        <f t="shared" si="15"/>
        <v>0</v>
      </c>
      <c r="L449" s="392">
        <f t="shared" si="15"/>
        <v>0</v>
      </c>
      <c r="M449" s="392">
        <f t="shared" si="15"/>
        <v>0</v>
      </c>
      <c r="N449" s="392">
        <f t="shared" si="15"/>
        <v>8020.3017080070595</v>
      </c>
    </row>
    <row r="450" spans="1:14" hidden="1" outlineLevel="2" x14ac:dyDescent="0.35">
      <c r="A450" s="388" t="s">
        <v>4599</v>
      </c>
      <c r="B450" s="389">
        <v>44438</v>
      </c>
      <c r="C450" s="390" t="s">
        <v>4561</v>
      </c>
      <c r="D450" s="391" t="s">
        <v>4562</v>
      </c>
      <c r="E450" s="391" t="s">
        <v>4600</v>
      </c>
      <c r="F450" s="392">
        <v>187687.69</v>
      </c>
      <c r="G450" s="393" t="s">
        <v>3800</v>
      </c>
      <c r="H450" s="394">
        <v>69.837169474000916</v>
      </c>
      <c r="I450" s="394"/>
      <c r="J450" s="392"/>
      <c r="K450" s="392"/>
      <c r="L450" s="392"/>
      <c r="M450" s="392"/>
      <c r="N450" s="392">
        <f t="shared" ref="N450:N497" si="16">H450</f>
        <v>69.837169474000916</v>
      </c>
    </row>
    <row r="451" spans="1:14" hidden="1" outlineLevel="2" x14ac:dyDescent="0.35">
      <c r="A451" s="388" t="s">
        <v>4599</v>
      </c>
      <c r="B451" s="389">
        <v>44438</v>
      </c>
      <c r="C451" s="390" t="s">
        <v>4564</v>
      </c>
      <c r="D451" s="391" t="s">
        <v>4565</v>
      </c>
      <c r="E451" s="391" t="s">
        <v>4272</v>
      </c>
      <c r="F451" s="392">
        <v>18768.769</v>
      </c>
      <c r="G451" s="393" t="s">
        <v>3800</v>
      </c>
      <c r="H451" s="394">
        <v>6.9837169474000911</v>
      </c>
      <c r="I451" s="394"/>
      <c r="J451" s="392"/>
      <c r="K451" s="392"/>
      <c r="L451" s="392"/>
      <c r="M451" s="392"/>
      <c r="N451" s="392">
        <f t="shared" si="16"/>
        <v>6.9837169474000911</v>
      </c>
    </row>
    <row r="452" spans="1:14" hidden="1" outlineLevel="2" x14ac:dyDescent="0.35">
      <c r="A452" s="388" t="s">
        <v>4599</v>
      </c>
      <c r="B452" s="389">
        <v>44438</v>
      </c>
      <c r="C452" s="390" t="s">
        <v>4566</v>
      </c>
      <c r="D452" s="391" t="s">
        <v>4567</v>
      </c>
      <c r="E452" s="391" t="s">
        <v>4042</v>
      </c>
      <c r="F452" s="392">
        <v>1126.1261400000001</v>
      </c>
      <c r="G452" s="393" t="s">
        <v>3800</v>
      </c>
      <c r="H452" s="394">
        <v>0.4190230168440055</v>
      </c>
      <c r="I452" s="394"/>
      <c r="J452" s="392"/>
      <c r="K452" s="392"/>
      <c r="L452" s="392"/>
      <c r="M452" s="392"/>
      <c r="N452" s="392">
        <f t="shared" si="16"/>
        <v>0.4190230168440055</v>
      </c>
    </row>
    <row r="453" spans="1:14" hidden="1" outlineLevel="2" x14ac:dyDescent="0.35">
      <c r="A453" s="388" t="s">
        <v>4599</v>
      </c>
      <c r="B453" s="389">
        <v>44438</v>
      </c>
      <c r="C453" s="390" t="s">
        <v>4561</v>
      </c>
      <c r="D453" s="391" t="s">
        <v>4562</v>
      </c>
      <c r="E453" s="391" t="s">
        <v>4601</v>
      </c>
      <c r="F453" s="392">
        <v>187687.69</v>
      </c>
      <c r="G453" s="393" t="s">
        <v>3800</v>
      </c>
      <c r="H453" s="394">
        <v>69.837169474000916</v>
      </c>
      <c r="I453" s="394"/>
      <c r="J453" s="392"/>
      <c r="K453" s="392"/>
      <c r="L453" s="392"/>
      <c r="M453" s="392"/>
      <c r="N453" s="392">
        <f t="shared" si="16"/>
        <v>69.837169474000916</v>
      </c>
    </row>
    <row r="454" spans="1:14" hidden="1" outlineLevel="2" x14ac:dyDescent="0.35">
      <c r="A454" s="388" t="s">
        <v>4599</v>
      </c>
      <c r="B454" s="389">
        <v>44438</v>
      </c>
      <c r="C454" s="390" t="s">
        <v>4564</v>
      </c>
      <c r="D454" s="391" t="s">
        <v>4565</v>
      </c>
      <c r="E454" s="391" t="s">
        <v>4272</v>
      </c>
      <c r="F454" s="392">
        <v>18768.769</v>
      </c>
      <c r="G454" s="393" t="s">
        <v>3800</v>
      </c>
      <c r="H454" s="394">
        <v>6.9837169474000911</v>
      </c>
      <c r="I454" s="394"/>
      <c r="J454" s="392"/>
      <c r="K454" s="392"/>
      <c r="L454" s="392"/>
      <c r="M454" s="392"/>
      <c r="N454" s="392">
        <f t="shared" si="16"/>
        <v>6.9837169474000911</v>
      </c>
    </row>
    <row r="455" spans="1:14" hidden="1" outlineLevel="2" x14ac:dyDescent="0.35">
      <c r="A455" s="388" t="s">
        <v>4599</v>
      </c>
      <c r="B455" s="389">
        <v>44438</v>
      </c>
      <c r="C455" s="390" t="s">
        <v>4566</v>
      </c>
      <c r="D455" s="391" t="s">
        <v>4567</v>
      </c>
      <c r="E455" s="391" t="s">
        <v>4042</v>
      </c>
      <c r="F455" s="392">
        <v>1126.1261400000001</v>
      </c>
      <c r="G455" s="393" t="s">
        <v>3800</v>
      </c>
      <c r="H455" s="394">
        <v>0.4190230168440055</v>
      </c>
      <c r="I455" s="394"/>
      <c r="J455" s="392"/>
      <c r="K455" s="392"/>
      <c r="L455" s="392"/>
      <c r="M455" s="392"/>
      <c r="N455" s="392">
        <f t="shared" si="16"/>
        <v>0.4190230168440055</v>
      </c>
    </row>
    <row r="456" spans="1:14" hidden="1" outlineLevel="2" x14ac:dyDescent="0.35">
      <c r="A456" s="388" t="s">
        <v>4599</v>
      </c>
      <c r="B456" s="389">
        <v>44467</v>
      </c>
      <c r="C456" s="390" t="s">
        <v>4568</v>
      </c>
      <c r="D456" s="391" t="s">
        <v>4569</v>
      </c>
      <c r="E456" s="391" t="s">
        <v>4600</v>
      </c>
      <c r="F456" s="392">
        <v>563063.06000000006</v>
      </c>
      <c r="G456" s="393" t="s">
        <v>3800</v>
      </c>
      <c r="H456" s="394">
        <v>209.51150470107839</v>
      </c>
      <c r="I456" s="394"/>
      <c r="J456" s="392"/>
      <c r="K456" s="392"/>
      <c r="L456" s="392"/>
      <c r="M456" s="392"/>
      <c r="N456" s="392">
        <f t="shared" si="16"/>
        <v>209.51150470107839</v>
      </c>
    </row>
    <row r="457" spans="1:14" hidden="1" outlineLevel="2" x14ac:dyDescent="0.35">
      <c r="A457" s="388" t="s">
        <v>4599</v>
      </c>
      <c r="B457" s="389">
        <v>44467</v>
      </c>
      <c r="C457" s="390" t="s">
        <v>4570</v>
      </c>
      <c r="D457" s="391" t="s">
        <v>4602</v>
      </c>
      <c r="E457" s="391" t="s">
        <v>4272</v>
      </c>
      <c r="F457" s="392">
        <v>56306.306000000011</v>
      </c>
      <c r="G457" s="393" t="s">
        <v>3800</v>
      </c>
      <c r="H457" s="394">
        <v>20.951150470107841</v>
      </c>
      <c r="I457" s="394"/>
      <c r="J457" s="392"/>
      <c r="K457" s="392"/>
      <c r="L457" s="392"/>
      <c r="M457" s="392"/>
      <c r="N457" s="392">
        <f t="shared" si="16"/>
        <v>20.951150470107841</v>
      </c>
    </row>
    <row r="458" spans="1:14" hidden="1" outlineLevel="2" x14ac:dyDescent="0.35">
      <c r="A458" s="388" t="s">
        <v>4599</v>
      </c>
      <c r="B458" s="389">
        <v>44467</v>
      </c>
      <c r="C458" s="390" t="s">
        <v>4572</v>
      </c>
      <c r="D458" s="391" t="s">
        <v>4603</v>
      </c>
      <c r="E458" s="391" t="s">
        <v>4042</v>
      </c>
      <c r="F458" s="392">
        <v>3378.3783600000006</v>
      </c>
      <c r="G458" s="393" t="s">
        <v>3800</v>
      </c>
      <c r="H458" s="394">
        <v>1.2570690282064705</v>
      </c>
      <c r="I458" s="394"/>
      <c r="J458" s="392"/>
      <c r="K458" s="392"/>
      <c r="L458" s="392"/>
      <c r="M458" s="392"/>
      <c r="N458" s="392">
        <f t="shared" si="16"/>
        <v>1.2570690282064705</v>
      </c>
    </row>
    <row r="459" spans="1:14" hidden="1" outlineLevel="2" x14ac:dyDescent="0.35">
      <c r="A459" s="388" t="s">
        <v>4599</v>
      </c>
      <c r="B459" s="389">
        <v>44467</v>
      </c>
      <c r="C459" s="390" t="s">
        <v>4568</v>
      </c>
      <c r="D459" s="391" t="s">
        <v>4569</v>
      </c>
      <c r="E459" s="391" t="s">
        <v>4601</v>
      </c>
      <c r="F459" s="392">
        <v>563063.06000000006</v>
      </c>
      <c r="G459" s="393" t="s">
        <v>3800</v>
      </c>
      <c r="H459" s="394">
        <v>209.51150470107839</v>
      </c>
      <c r="I459" s="394"/>
      <c r="J459" s="392"/>
      <c r="K459" s="392"/>
      <c r="L459" s="392"/>
      <c r="M459" s="392"/>
      <c r="N459" s="392">
        <f t="shared" si="16"/>
        <v>209.51150470107839</v>
      </c>
    </row>
    <row r="460" spans="1:14" hidden="1" outlineLevel="2" x14ac:dyDescent="0.35">
      <c r="A460" s="388" t="s">
        <v>4599</v>
      </c>
      <c r="B460" s="389">
        <v>44467</v>
      </c>
      <c r="C460" s="390" t="s">
        <v>4570</v>
      </c>
      <c r="D460" s="391" t="s">
        <v>4602</v>
      </c>
      <c r="E460" s="391" t="s">
        <v>4272</v>
      </c>
      <c r="F460" s="392">
        <v>56306.306000000011</v>
      </c>
      <c r="G460" s="393" t="s">
        <v>3800</v>
      </c>
      <c r="H460" s="394">
        <v>20.951150470107841</v>
      </c>
      <c r="I460" s="394"/>
      <c r="J460" s="392"/>
      <c r="K460" s="392"/>
      <c r="L460" s="392"/>
      <c r="M460" s="392"/>
      <c r="N460" s="392">
        <f t="shared" si="16"/>
        <v>20.951150470107841</v>
      </c>
    </row>
    <row r="461" spans="1:14" hidden="1" outlineLevel="2" x14ac:dyDescent="0.35">
      <c r="A461" s="388" t="s">
        <v>4599</v>
      </c>
      <c r="B461" s="389">
        <v>44467</v>
      </c>
      <c r="C461" s="390" t="s">
        <v>4572</v>
      </c>
      <c r="D461" s="391" t="s">
        <v>4603</v>
      </c>
      <c r="E461" s="391" t="s">
        <v>4042</v>
      </c>
      <c r="F461" s="392">
        <v>3378.3783600000006</v>
      </c>
      <c r="G461" s="393" t="s">
        <v>3800</v>
      </c>
      <c r="H461" s="394">
        <v>1.2570690282064705</v>
      </c>
      <c r="I461" s="394"/>
      <c r="J461" s="392"/>
      <c r="K461" s="392"/>
      <c r="L461" s="392"/>
      <c r="M461" s="392"/>
      <c r="N461" s="392">
        <f t="shared" si="16"/>
        <v>1.2570690282064705</v>
      </c>
    </row>
    <row r="462" spans="1:14" hidden="1" outlineLevel="2" x14ac:dyDescent="0.35">
      <c r="A462" s="388" t="s">
        <v>4599</v>
      </c>
      <c r="B462" s="389">
        <v>44497</v>
      </c>
      <c r="C462" s="390" t="s">
        <v>4574</v>
      </c>
      <c r="D462" s="391" t="s">
        <v>4575</v>
      </c>
      <c r="E462" s="391" t="s">
        <v>4600</v>
      </c>
      <c r="F462" s="392">
        <v>563063.06000000006</v>
      </c>
      <c r="G462" s="393" t="s">
        <v>3800</v>
      </c>
      <c r="H462" s="394">
        <v>209.51150470107839</v>
      </c>
      <c r="I462" s="394"/>
      <c r="J462" s="392"/>
      <c r="K462" s="392"/>
      <c r="L462" s="392"/>
      <c r="M462" s="392"/>
      <c r="N462" s="392">
        <f t="shared" si="16"/>
        <v>209.51150470107839</v>
      </c>
    </row>
    <row r="463" spans="1:14" hidden="1" outlineLevel="2" x14ac:dyDescent="0.35">
      <c r="A463" s="388" t="s">
        <v>4599</v>
      </c>
      <c r="B463" s="389">
        <v>44497</v>
      </c>
      <c r="C463" s="390" t="s">
        <v>4576</v>
      </c>
      <c r="D463" s="391" t="s">
        <v>4604</v>
      </c>
      <c r="E463" s="391" t="s">
        <v>4272</v>
      </c>
      <c r="F463" s="392">
        <v>56306.306000000011</v>
      </c>
      <c r="G463" s="393" t="s">
        <v>3800</v>
      </c>
      <c r="H463" s="394">
        <v>20.951150470107841</v>
      </c>
      <c r="I463" s="394"/>
      <c r="J463" s="392"/>
      <c r="K463" s="392"/>
      <c r="L463" s="392"/>
      <c r="M463" s="392"/>
      <c r="N463" s="392">
        <f t="shared" si="16"/>
        <v>20.951150470107841</v>
      </c>
    </row>
    <row r="464" spans="1:14" hidden="1" outlineLevel="2" x14ac:dyDescent="0.35">
      <c r="A464" s="388" t="s">
        <v>4599</v>
      </c>
      <c r="B464" s="389">
        <v>44497</v>
      </c>
      <c r="C464" s="390" t="s">
        <v>4578</v>
      </c>
      <c r="D464" s="391" t="s">
        <v>4605</v>
      </c>
      <c r="E464" s="391" t="s">
        <v>4042</v>
      </c>
      <c r="F464" s="392">
        <v>3378.3783600000006</v>
      </c>
      <c r="G464" s="393" t="s">
        <v>3800</v>
      </c>
      <c r="H464" s="394">
        <v>1.2570690282064705</v>
      </c>
      <c r="I464" s="394"/>
      <c r="J464" s="392"/>
      <c r="K464" s="392"/>
      <c r="L464" s="392"/>
      <c r="M464" s="392"/>
      <c r="N464" s="392">
        <f t="shared" si="16"/>
        <v>1.2570690282064705</v>
      </c>
    </row>
    <row r="465" spans="1:14" hidden="1" outlineLevel="2" x14ac:dyDescent="0.35">
      <c r="A465" s="388" t="s">
        <v>4599</v>
      </c>
      <c r="B465" s="389">
        <v>44497</v>
      </c>
      <c r="C465" s="390" t="s">
        <v>4574</v>
      </c>
      <c r="D465" s="391" t="s">
        <v>4575</v>
      </c>
      <c r="E465" s="391" t="s">
        <v>4601</v>
      </c>
      <c r="F465" s="392">
        <v>563063.06000000006</v>
      </c>
      <c r="G465" s="393" t="s">
        <v>3800</v>
      </c>
      <c r="H465" s="394">
        <v>209.51150470107839</v>
      </c>
      <c r="I465" s="394"/>
      <c r="J465" s="392"/>
      <c r="K465" s="392"/>
      <c r="L465" s="392"/>
      <c r="M465" s="392"/>
      <c r="N465" s="392">
        <f t="shared" si="16"/>
        <v>209.51150470107839</v>
      </c>
    </row>
    <row r="466" spans="1:14" hidden="1" outlineLevel="2" x14ac:dyDescent="0.35">
      <c r="A466" s="388" t="s">
        <v>4599</v>
      </c>
      <c r="B466" s="389">
        <v>44497</v>
      </c>
      <c r="C466" s="390" t="s">
        <v>4576</v>
      </c>
      <c r="D466" s="391" t="s">
        <v>4604</v>
      </c>
      <c r="E466" s="391" t="s">
        <v>4272</v>
      </c>
      <c r="F466" s="392">
        <v>56306.306000000011</v>
      </c>
      <c r="G466" s="393" t="s">
        <v>3800</v>
      </c>
      <c r="H466" s="394">
        <v>20.951150470107841</v>
      </c>
      <c r="I466" s="394"/>
      <c r="J466" s="392"/>
      <c r="K466" s="392"/>
      <c r="L466" s="392"/>
      <c r="M466" s="392"/>
      <c r="N466" s="392">
        <f t="shared" si="16"/>
        <v>20.951150470107841</v>
      </c>
    </row>
    <row r="467" spans="1:14" hidden="1" outlineLevel="2" x14ac:dyDescent="0.35">
      <c r="A467" s="388" t="s">
        <v>4599</v>
      </c>
      <c r="B467" s="389">
        <v>44497</v>
      </c>
      <c r="C467" s="390" t="s">
        <v>4578</v>
      </c>
      <c r="D467" s="391" t="s">
        <v>4605</v>
      </c>
      <c r="E467" s="391" t="s">
        <v>4042</v>
      </c>
      <c r="F467" s="392">
        <v>3378.3783600000006</v>
      </c>
      <c r="G467" s="393" t="s">
        <v>3800</v>
      </c>
      <c r="H467" s="394">
        <v>1.2570690282064705</v>
      </c>
      <c r="I467" s="394"/>
      <c r="J467" s="392"/>
      <c r="K467" s="392"/>
      <c r="L467" s="392"/>
      <c r="M467" s="392"/>
      <c r="N467" s="392">
        <f t="shared" si="16"/>
        <v>1.2570690282064705</v>
      </c>
    </row>
    <row r="468" spans="1:14" hidden="1" outlineLevel="2" x14ac:dyDescent="0.35">
      <c r="A468" s="388" t="s">
        <v>4599</v>
      </c>
      <c r="B468" s="389">
        <v>44497</v>
      </c>
      <c r="C468" s="390" t="s">
        <v>4574</v>
      </c>
      <c r="D468" s="391" t="s">
        <v>4575</v>
      </c>
      <c r="E468" s="391" t="s">
        <v>4606</v>
      </c>
      <c r="F468" s="392">
        <v>563063.06000000006</v>
      </c>
      <c r="G468" s="393" t="s">
        <v>3800</v>
      </c>
      <c r="H468" s="394">
        <v>209.51150470107839</v>
      </c>
      <c r="I468" s="394"/>
      <c r="J468" s="392"/>
      <c r="K468" s="392"/>
      <c r="L468" s="392"/>
      <c r="M468" s="392"/>
      <c r="N468" s="392">
        <f t="shared" si="16"/>
        <v>209.51150470107839</v>
      </c>
    </row>
    <row r="469" spans="1:14" hidden="1" outlineLevel="2" x14ac:dyDescent="0.35">
      <c r="A469" s="388" t="s">
        <v>4599</v>
      </c>
      <c r="B469" s="389">
        <v>44497</v>
      </c>
      <c r="C469" s="390" t="s">
        <v>4576</v>
      </c>
      <c r="D469" s="391" t="s">
        <v>4604</v>
      </c>
      <c r="E469" s="391" t="s">
        <v>4272</v>
      </c>
      <c r="F469" s="392">
        <v>56306.306000000011</v>
      </c>
      <c r="G469" s="393" t="s">
        <v>3800</v>
      </c>
      <c r="H469" s="394">
        <v>20.951150470107841</v>
      </c>
      <c r="I469" s="394"/>
      <c r="J469" s="392"/>
      <c r="K469" s="392"/>
      <c r="L469" s="392"/>
      <c r="M469" s="392"/>
      <c r="N469" s="392">
        <f t="shared" si="16"/>
        <v>20.951150470107841</v>
      </c>
    </row>
    <row r="470" spans="1:14" hidden="1" outlineLevel="2" x14ac:dyDescent="0.35">
      <c r="A470" s="388" t="s">
        <v>4599</v>
      </c>
      <c r="B470" s="389">
        <v>44497</v>
      </c>
      <c r="C470" s="390" t="s">
        <v>4578</v>
      </c>
      <c r="D470" s="391" t="s">
        <v>4605</v>
      </c>
      <c r="E470" s="391" t="s">
        <v>4042</v>
      </c>
      <c r="F470" s="392">
        <v>3378.3783600000006</v>
      </c>
      <c r="G470" s="393" t="s">
        <v>3800</v>
      </c>
      <c r="H470" s="394">
        <v>1.2570690282064705</v>
      </c>
      <c r="I470" s="394"/>
      <c r="J470" s="392"/>
      <c r="K470" s="392"/>
      <c r="L470" s="392"/>
      <c r="M470" s="392"/>
      <c r="N470" s="392">
        <f t="shared" si="16"/>
        <v>1.2570690282064705</v>
      </c>
    </row>
    <row r="471" spans="1:14" hidden="1" outlineLevel="2" x14ac:dyDescent="0.35">
      <c r="A471" s="388" t="s">
        <v>4599</v>
      </c>
      <c r="B471" s="389">
        <v>44497</v>
      </c>
      <c r="C471" s="390" t="s">
        <v>4574</v>
      </c>
      <c r="D471" s="391" t="s">
        <v>4575</v>
      </c>
      <c r="E471" s="391" t="s">
        <v>4607</v>
      </c>
      <c r="F471" s="392">
        <v>236123.21870967746</v>
      </c>
      <c r="G471" s="393" t="s">
        <v>3800</v>
      </c>
      <c r="H471" s="394">
        <v>87.859663261742568</v>
      </c>
      <c r="I471" s="394"/>
      <c r="J471" s="392"/>
      <c r="K471" s="392"/>
      <c r="L471" s="392"/>
      <c r="M471" s="392"/>
      <c r="N471" s="392">
        <f t="shared" si="16"/>
        <v>87.859663261742568</v>
      </c>
    </row>
    <row r="472" spans="1:14" hidden="1" outlineLevel="2" x14ac:dyDescent="0.35">
      <c r="A472" s="388" t="s">
        <v>4599</v>
      </c>
      <c r="B472" s="389">
        <v>44497</v>
      </c>
      <c r="C472" s="390" t="s">
        <v>4576</v>
      </c>
      <c r="D472" s="391" t="s">
        <v>4604</v>
      </c>
      <c r="E472" s="391" t="s">
        <v>4272</v>
      </c>
      <c r="F472" s="392">
        <v>23612.321870967746</v>
      </c>
      <c r="G472" s="393" t="s">
        <v>3800</v>
      </c>
      <c r="H472" s="394">
        <v>8.7859663261742558</v>
      </c>
      <c r="I472" s="394"/>
      <c r="J472" s="392"/>
      <c r="K472" s="392"/>
      <c r="L472" s="392"/>
      <c r="M472" s="392"/>
      <c r="N472" s="392">
        <f t="shared" si="16"/>
        <v>8.7859663261742558</v>
      </c>
    </row>
    <row r="473" spans="1:14" hidden="1" outlineLevel="2" x14ac:dyDescent="0.35">
      <c r="A473" s="388" t="s">
        <v>4599</v>
      </c>
      <c r="B473" s="389">
        <v>44497</v>
      </c>
      <c r="C473" s="390" t="s">
        <v>4578</v>
      </c>
      <c r="D473" s="391" t="s">
        <v>4605</v>
      </c>
      <c r="E473" s="391" t="s">
        <v>4042</v>
      </c>
      <c r="F473" s="392">
        <v>1416.7393122580647</v>
      </c>
      <c r="G473" s="393" t="s">
        <v>3800</v>
      </c>
      <c r="H473" s="394">
        <v>0.5271579795704554</v>
      </c>
      <c r="I473" s="394"/>
      <c r="J473" s="392"/>
      <c r="K473" s="392"/>
      <c r="L473" s="392"/>
      <c r="M473" s="392"/>
      <c r="N473" s="392">
        <f t="shared" si="16"/>
        <v>0.5271579795704554</v>
      </c>
    </row>
    <row r="474" spans="1:14" hidden="1" outlineLevel="2" x14ac:dyDescent="0.35">
      <c r="A474" s="388" t="s">
        <v>4599</v>
      </c>
      <c r="B474" s="389">
        <v>44525</v>
      </c>
      <c r="C474" s="390" t="s">
        <v>4574</v>
      </c>
      <c r="D474" s="391" t="s">
        <v>4608</v>
      </c>
      <c r="E474" s="391" t="s">
        <v>4600</v>
      </c>
      <c r="F474" s="392">
        <v>563063.06000000006</v>
      </c>
      <c r="G474" s="393" t="s">
        <v>3800</v>
      </c>
      <c r="H474" s="394">
        <v>209.51150470107839</v>
      </c>
      <c r="I474" s="394"/>
      <c r="J474" s="392"/>
      <c r="K474" s="392"/>
      <c r="L474" s="392"/>
      <c r="M474" s="392"/>
      <c r="N474" s="392">
        <f t="shared" si="16"/>
        <v>209.51150470107839</v>
      </c>
    </row>
    <row r="475" spans="1:14" hidden="1" outlineLevel="2" x14ac:dyDescent="0.35">
      <c r="A475" s="388" t="s">
        <v>4599</v>
      </c>
      <c r="B475" s="389">
        <v>44525</v>
      </c>
      <c r="C475" s="390" t="s">
        <v>4576</v>
      </c>
      <c r="D475" s="391" t="s">
        <v>4609</v>
      </c>
      <c r="E475" s="391" t="s">
        <v>4272</v>
      </c>
      <c r="F475" s="392">
        <v>56306.306000000011</v>
      </c>
      <c r="G475" s="393" t="s">
        <v>3800</v>
      </c>
      <c r="H475" s="394">
        <v>20.951150470107841</v>
      </c>
      <c r="I475" s="394"/>
      <c r="J475" s="392"/>
      <c r="K475" s="392"/>
      <c r="L475" s="392"/>
      <c r="M475" s="392"/>
      <c r="N475" s="392">
        <f t="shared" si="16"/>
        <v>20.951150470107841</v>
      </c>
    </row>
    <row r="476" spans="1:14" hidden="1" outlineLevel="2" x14ac:dyDescent="0.35">
      <c r="A476" s="388" t="s">
        <v>4599</v>
      </c>
      <c r="B476" s="389">
        <v>44525</v>
      </c>
      <c r="C476" s="390" t="s">
        <v>4578</v>
      </c>
      <c r="D476" s="391" t="s">
        <v>4610</v>
      </c>
      <c r="E476" s="391" t="s">
        <v>4042</v>
      </c>
      <c r="F476" s="392">
        <v>3378.3783600000006</v>
      </c>
      <c r="G476" s="393" t="s">
        <v>3800</v>
      </c>
      <c r="H476" s="394">
        <v>1.2570690282064705</v>
      </c>
      <c r="I476" s="394"/>
      <c r="J476" s="392"/>
      <c r="K476" s="392"/>
      <c r="L476" s="392"/>
      <c r="M476" s="392"/>
      <c r="N476" s="392">
        <f t="shared" si="16"/>
        <v>1.2570690282064705</v>
      </c>
    </row>
    <row r="477" spans="1:14" hidden="1" outlineLevel="2" x14ac:dyDescent="0.35">
      <c r="A477" s="388" t="s">
        <v>4599</v>
      </c>
      <c r="B477" s="389">
        <v>44525</v>
      </c>
      <c r="C477" s="390" t="s">
        <v>4574</v>
      </c>
      <c r="D477" s="391" t="s">
        <v>4608</v>
      </c>
      <c r="E477" s="391" t="s">
        <v>4601</v>
      </c>
      <c r="F477" s="392">
        <v>563063.06000000006</v>
      </c>
      <c r="G477" s="393" t="s">
        <v>3800</v>
      </c>
      <c r="H477" s="394">
        <v>209.51150470107839</v>
      </c>
      <c r="I477" s="394"/>
      <c r="J477" s="392"/>
      <c r="K477" s="392"/>
      <c r="L477" s="392"/>
      <c r="M477" s="392"/>
      <c r="N477" s="392">
        <f t="shared" si="16"/>
        <v>209.51150470107839</v>
      </c>
    </row>
    <row r="478" spans="1:14" hidden="1" outlineLevel="2" x14ac:dyDescent="0.35">
      <c r="A478" s="388" t="s">
        <v>4599</v>
      </c>
      <c r="B478" s="389">
        <v>44525</v>
      </c>
      <c r="C478" s="390" t="s">
        <v>4576</v>
      </c>
      <c r="D478" s="391" t="s">
        <v>4609</v>
      </c>
      <c r="E478" s="391" t="s">
        <v>4272</v>
      </c>
      <c r="F478" s="392">
        <v>56306.306000000011</v>
      </c>
      <c r="G478" s="393" t="s">
        <v>3800</v>
      </c>
      <c r="H478" s="394">
        <v>20.951150470107841</v>
      </c>
      <c r="I478" s="394"/>
      <c r="J478" s="392"/>
      <c r="K478" s="392"/>
      <c r="L478" s="392"/>
      <c r="M478" s="392"/>
      <c r="N478" s="392">
        <f t="shared" si="16"/>
        <v>20.951150470107841</v>
      </c>
    </row>
    <row r="479" spans="1:14" hidden="1" outlineLevel="2" x14ac:dyDescent="0.35">
      <c r="A479" s="388" t="s">
        <v>4599</v>
      </c>
      <c r="B479" s="389">
        <v>44525</v>
      </c>
      <c r="C479" s="390" t="s">
        <v>4578</v>
      </c>
      <c r="D479" s="391" t="s">
        <v>4610</v>
      </c>
      <c r="E479" s="391" t="s">
        <v>4042</v>
      </c>
      <c r="F479" s="392">
        <v>3378.3783600000006</v>
      </c>
      <c r="G479" s="393" t="s">
        <v>3800</v>
      </c>
      <c r="H479" s="394">
        <v>1.2570690282064705</v>
      </c>
      <c r="I479" s="394"/>
      <c r="J479" s="392"/>
      <c r="K479" s="392"/>
      <c r="L479" s="392"/>
      <c r="M479" s="392"/>
      <c r="N479" s="392">
        <f t="shared" si="16"/>
        <v>1.2570690282064705</v>
      </c>
    </row>
    <row r="480" spans="1:14" hidden="1" outlineLevel="2" x14ac:dyDescent="0.35">
      <c r="A480" s="388" t="s">
        <v>4599</v>
      </c>
      <c r="B480" s="389">
        <v>44525</v>
      </c>
      <c r="C480" s="390" t="s">
        <v>4574</v>
      </c>
      <c r="D480" s="391" t="s">
        <v>4608</v>
      </c>
      <c r="E480" s="391" t="s">
        <v>4606</v>
      </c>
      <c r="F480" s="392">
        <v>563063.06000000006</v>
      </c>
      <c r="G480" s="393" t="s">
        <v>3800</v>
      </c>
      <c r="H480" s="394">
        <v>209.51150470107839</v>
      </c>
      <c r="I480" s="394"/>
      <c r="J480" s="392"/>
      <c r="K480" s="392"/>
      <c r="L480" s="392"/>
      <c r="M480" s="392"/>
      <c r="N480" s="392">
        <f t="shared" si="16"/>
        <v>209.51150470107839</v>
      </c>
    </row>
    <row r="481" spans="1:14" hidden="1" outlineLevel="2" x14ac:dyDescent="0.35">
      <c r="A481" s="388" t="s">
        <v>4599</v>
      </c>
      <c r="B481" s="389">
        <v>44525</v>
      </c>
      <c r="C481" s="390" t="s">
        <v>4576</v>
      </c>
      <c r="D481" s="391" t="s">
        <v>4609</v>
      </c>
      <c r="E481" s="391" t="s">
        <v>4272</v>
      </c>
      <c r="F481" s="392">
        <v>56306.306000000011</v>
      </c>
      <c r="G481" s="393" t="s">
        <v>3800</v>
      </c>
      <c r="H481" s="394">
        <v>20.951150470107841</v>
      </c>
      <c r="I481" s="394"/>
      <c r="J481" s="392"/>
      <c r="K481" s="392"/>
      <c r="L481" s="392"/>
      <c r="M481" s="392"/>
      <c r="N481" s="392">
        <f t="shared" si="16"/>
        <v>20.951150470107841</v>
      </c>
    </row>
    <row r="482" spans="1:14" hidden="1" outlineLevel="2" x14ac:dyDescent="0.35">
      <c r="A482" s="388" t="s">
        <v>4599</v>
      </c>
      <c r="B482" s="389">
        <v>44525</v>
      </c>
      <c r="C482" s="390" t="s">
        <v>4578</v>
      </c>
      <c r="D482" s="391" t="s">
        <v>4610</v>
      </c>
      <c r="E482" s="391" t="s">
        <v>4042</v>
      </c>
      <c r="F482" s="392">
        <v>3378.3783600000006</v>
      </c>
      <c r="G482" s="393" t="s">
        <v>3800</v>
      </c>
      <c r="H482" s="394">
        <v>1.2570690282064705</v>
      </c>
      <c r="I482" s="394"/>
      <c r="J482" s="392"/>
      <c r="K482" s="392"/>
      <c r="L482" s="392"/>
      <c r="M482" s="392"/>
      <c r="N482" s="392">
        <f t="shared" si="16"/>
        <v>1.2570690282064705</v>
      </c>
    </row>
    <row r="483" spans="1:14" hidden="1" outlineLevel="2" x14ac:dyDescent="0.35">
      <c r="A483" s="388" t="s">
        <v>4599</v>
      </c>
      <c r="B483" s="389">
        <v>44525</v>
      </c>
      <c r="C483" s="390" t="s">
        <v>4574</v>
      </c>
      <c r="D483" s="391" t="s">
        <v>4608</v>
      </c>
      <c r="E483" s="391" t="s">
        <v>4607</v>
      </c>
      <c r="F483" s="392">
        <v>563063.06000000006</v>
      </c>
      <c r="G483" s="393" t="s">
        <v>3800</v>
      </c>
      <c r="H483" s="394">
        <v>209.51150470107839</v>
      </c>
      <c r="I483" s="394"/>
      <c r="J483" s="392"/>
      <c r="K483" s="392"/>
      <c r="L483" s="392"/>
      <c r="M483" s="392"/>
      <c r="N483" s="392">
        <f t="shared" si="16"/>
        <v>209.51150470107839</v>
      </c>
    </row>
    <row r="484" spans="1:14" hidden="1" outlineLevel="2" x14ac:dyDescent="0.35">
      <c r="A484" s="388" t="s">
        <v>4599</v>
      </c>
      <c r="B484" s="389">
        <v>44525</v>
      </c>
      <c r="C484" s="390" t="s">
        <v>4576</v>
      </c>
      <c r="D484" s="391" t="s">
        <v>4609</v>
      </c>
      <c r="E484" s="391" t="s">
        <v>4272</v>
      </c>
      <c r="F484" s="392">
        <v>56306.306000000011</v>
      </c>
      <c r="G484" s="393" t="s">
        <v>3800</v>
      </c>
      <c r="H484" s="394">
        <v>20.951150470107841</v>
      </c>
      <c r="I484" s="394"/>
      <c r="J484" s="392"/>
      <c r="K484" s="392"/>
      <c r="L484" s="392"/>
      <c r="M484" s="392"/>
      <c r="N484" s="392">
        <f t="shared" si="16"/>
        <v>20.951150470107841</v>
      </c>
    </row>
    <row r="485" spans="1:14" hidden="1" outlineLevel="2" x14ac:dyDescent="0.35">
      <c r="A485" s="388" t="s">
        <v>4599</v>
      </c>
      <c r="B485" s="389">
        <v>44525</v>
      </c>
      <c r="C485" s="390" t="s">
        <v>4578</v>
      </c>
      <c r="D485" s="391" t="s">
        <v>4610</v>
      </c>
      <c r="E485" s="391" t="s">
        <v>4042</v>
      </c>
      <c r="F485" s="392">
        <v>3378.3783600000006</v>
      </c>
      <c r="G485" s="393" t="s">
        <v>3800</v>
      </c>
      <c r="H485" s="394">
        <v>1.2570690282064705</v>
      </c>
      <c r="I485" s="394"/>
      <c r="J485" s="392"/>
      <c r="K485" s="392"/>
      <c r="L485" s="392"/>
      <c r="M485" s="392"/>
      <c r="N485" s="392">
        <f t="shared" si="16"/>
        <v>1.2570690282064705</v>
      </c>
    </row>
    <row r="486" spans="1:14" hidden="1" outlineLevel="2" x14ac:dyDescent="0.35">
      <c r="A486" s="388" t="s">
        <v>4599</v>
      </c>
      <c r="B486" s="389">
        <v>44547</v>
      </c>
      <c r="C486" s="390" t="s">
        <v>4586</v>
      </c>
      <c r="D486" s="391" t="s">
        <v>4611</v>
      </c>
      <c r="E486" s="391" t="s">
        <v>4600</v>
      </c>
      <c r="F486" s="392">
        <v>563063.06000000006</v>
      </c>
      <c r="G486" s="393" t="s">
        <v>3800</v>
      </c>
      <c r="H486" s="394">
        <v>209.51150470107839</v>
      </c>
      <c r="I486" s="394"/>
      <c r="J486" s="392"/>
      <c r="K486" s="392"/>
      <c r="L486" s="392"/>
      <c r="M486" s="392"/>
      <c r="N486" s="392">
        <f t="shared" si="16"/>
        <v>209.51150470107839</v>
      </c>
    </row>
    <row r="487" spans="1:14" hidden="1" outlineLevel="2" x14ac:dyDescent="0.35">
      <c r="A487" s="388" t="s">
        <v>4599</v>
      </c>
      <c r="B487" s="389">
        <v>44547</v>
      </c>
      <c r="C487" s="390" t="s">
        <v>4588</v>
      </c>
      <c r="D487" s="391" t="s">
        <v>4612</v>
      </c>
      <c r="E487" s="391" t="s">
        <v>4272</v>
      </c>
      <c r="F487" s="392">
        <v>56306.306000000011</v>
      </c>
      <c r="G487" s="393" t="s">
        <v>3800</v>
      </c>
      <c r="H487" s="394">
        <v>20.951150470107841</v>
      </c>
      <c r="I487" s="394"/>
      <c r="J487" s="392"/>
      <c r="K487" s="392"/>
      <c r="L487" s="392"/>
      <c r="M487" s="392"/>
      <c r="N487" s="392">
        <f t="shared" si="16"/>
        <v>20.951150470107841</v>
      </c>
    </row>
    <row r="488" spans="1:14" hidden="1" outlineLevel="2" x14ac:dyDescent="0.35">
      <c r="A488" s="388" t="s">
        <v>4599</v>
      </c>
      <c r="B488" s="389">
        <v>44547</v>
      </c>
      <c r="C488" s="390" t="s">
        <v>4590</v>
      </c>
      <c r="D488" s="391" t="s">
        <v>4613</v>
      </c>
      <c r="E488" s="391" t="s">
        <v>4042</v>
      </c>
      <c r="F488" s="392">
        <v>3378.3783600000006</v>
      </c>
      <c r="G488" s="393" t="s">
        <v>3800</v>
      </c>
      <c r="H488" s="394">
        <v>1.2570690282064705</v>
      </c>
      <c r="I488" s="394"/>
      <c r="J488" s="392"/>
      <c r="K488" s="392"/>
      <c r="L488" s="392"/>
      <c r="M488" s="392"/>
      <c r="N488" s="392">
        <f t="shared" si="16"/>
        <v>1.2570690282064705</v>
      </c>
    </row>
    <row r="489" spans="1:14" hidden="1" outlineLevel="2" x14ac:dyDescent="0.35">
      <c r="A489" s="388" t="s">
        <v>4599</v>
      </c>
      <c r="B489" s="389">
        <v>44547</v>
      </c>
      <c r="C489" s="390" t="s">
        <v>4586</v>
      </c>
      <c r="D489" s="391" t="s">
        <v>4611</v>
      </c>
      <c r="E489" s="391" t="s">
        <v>4601</v>
      </c>
      <c r="F489" s="392">
        <v>563063.06000000006</v>
      </c>
      <c r="G489" s="393" t="s">
        <v>3800</v>
      </c>
      <c r="H489" s="394">
        <v>209.51150470107839</v>
      </c>
      <c r="I489" s="394"/>
      <c r="J489" s="392"/>
      <c r="K489" s="392"/>
      <c r="L489" s="392"/>
      <c r="M489" s="392"/>
      <c r="N489" s="392">
        <f t="shared" si="16"/>
        <v>209.51150470107839</v>
      </c>
    </row>
    <row r="490" spans="1:14" hidden="1" outlineLevel="2" x14ac:dyDescent="0.35">
      <c r="A490" s="388" t="s">
        <v>4599</v>
      </c>
      <c r="B490" s="389">
        <v>44547</v>
      </c>
      <c r="C490" s="390" t="s">
        <v>4588</v>
      </c>
      <c r="D490" s="391" t="s">
        <v>4612</v>
      </c>
      <c r="E490" s="391" t="s">
        <v>4272</v>
      </c>
      <c r="F490" s="392">
        <v>56306.306000000011</v>
      </c>
      <c r="G490" s="393" t="s">
        <v>3800</v>
      </c>
      <c r="H490" s="394">
        <v>20.951150470107841</v>
      </c>
      <c r="I490" s="394"/>
      <c r="J490" s="392"/>
      <c r="K490" s="392"/>
      <c r="L490" s="392"/>
      <c r="M490" s="392"/>
      <c r="N490" s="392">
        <f t="shared" si="16"/>
        <v>20.951150470107841</v>
      </c>
    </row>
    <row r="491" spans="1:14" hidden="1" outlineLevel="2" x14ac:dyDescent="0.35">
      <c r="A491" s="388" t="s">
        <v>4599</v>
      </c>
      <c r="B491" s="389">
        <v>44547</v>
      </c>
      <c r="C491" s="390" t="s">
        <v>4590</v>
      </c>
      <c r="D491" s="391" t="s">
        <v>4613</v>
      </c>
      <c r="E491" s="391" t="s">
        <v>4042</v>
      </c>
      <c r="F491" s="392">
        <v>3378.3783600000006</v>
      </c>
      <c r="G491" s="393" t="s">
        <v>3800</v>
      </c>
      <c r="H491" s="394">
        <v>1.2570690282064705</v>
      </c>
      <c r="I491" s="394"/>
      <c r="J491" s="392"/>
      <c r="K491" s="392"/>
      <c r="L491" s="392"/>
      <c r="M491" s="392"/>
      <c r="N491" s="392">
        <f t="shared" si="16"/>
        <v>1.2570690282064705</v>
      </c>
    </row>
    <row r="492" spans="1:14" hidden="1" outlineLevel="2" x14ac:dyDescent="0.35">
      <c r="A492" s="388" t="s">
        <v>4599</v>
      </c>
      <c r="B492" s="389">
        <v>44547</v>
      </c>
      <c r="C492" s="390" t="s">
        <v>4586</v>
      </c>
      <c r="D492" s="391" t="s">
        <v>4611</v>
      </c>
      <c r="E492" s="391" t="s">
        <v>4606</v>
      </c>
      <c r="F492" s="392">
        <v>563063.06000000006</v>
      </c>
      <c r="G492" s="393" t="s">
        <v>3800</v>
      </c>
      <c r="H492" s="394">
        <v>209.51150470107839</v>
      </c>
      <c r="I492" s="394"/>
      <c r="J492" s="392"/>
      <c r="K492" s="392"/>
      <c r="L492" s="392"/>
      <c r="M492" s="392"/>
      <c r="N492" s="392">
        <f t="shared" si="16"/>
        <v>209.51150470107839</v>
      </c>
    </row>
    <row r="493" spans="1:14" hidden="1" outlineLevel="2" x14ac:dyDescent="0.35">
      <c r="A493" s="388" t="s">
        <v>4599</v>
      </c>
      <c r="B493" s="389">
        <v>44547</v>
      </c>
      <c r="C493" s="390" t="s">
        <v>4588</v>
      </c>
      <c r="D493" s="391" t="s">
        <v>4612</v>
      </c>
      <c r="E493" s="391" t="s">
        <v>4272</v>
      </c>
      <c r="F493" s="392">
        <v>56306.306000000011</v>
      </c>
      <c r="G493" s="393" t="s">
        <v>3800</v>
      </c>
      <c r="H493" s="394">
        <v>20.951150470107841</v>
      </c>
      <c r="I493" s="394"/>
      <c r="J493" s="392"/>
      <c r="K493" s="392"/>
      <c r="L493" s="392"/>
      <c r="M493" s="392"/>
      <c r="N493" s="392">
        <f t="shared" si="16"/>
        <v>20.951150470107841</v>
      </c>
    </row>
    <row r="494" spans="1:14" hidden="1" outlineLevel="2" x14ac:dyDescent="0.35">
      <c r="A494" s="388" t="s">
        <v>4599</v>
      </c>
      <c r="B494" s="389">
        <v>44547</v>
      </c>
      <c r="C494" s="390" t="s">
        <v>4590</v>
      </c>
      <c r="D494" s="391" t="s">
        <v>4613</v>
      </c>
      <c r="E494" s="391" t="s">
        <v>4042</v>
      </c>
      <c r="F494" s="392">
        <v>3378.3783600000006</v>
      </c>
      <c r="G494" s="393" t="s">
        <v>3800</v>
      </c>
      <c r="H494" s="394">
        <v>1.2570690282064705</v>
      </c>
      <c r="I494" s="394"/>
      <c r="J494" s="392"/>
      <c r="K494" s="392"/>
      <c r="L494" s="392"/>
      <c r="M494" s="392"/>
      <c r="N494" s="392">
        <f t="shared" si="16"/>
        <v>1.2570690282064705</v>
      </c>
    </row>
    <row r="495" spans="1:14" hidden="1" outlineLevel="2" x14ac:dyDescent="0.35">
      <c r="A495" s="388" t="s">
        <v>4599</v>
      </c>
      <c r="B495" s="389">
        <v>44547</v>
      </c>
      <c r="C495" s="390" t="s">
        <v>4586</v>
      </c>
      <c r="D495" s="391" t="s">
        <v>4611</v>
      </c>
      <c r="E495" s="391" t="s">
        <v>4607</v>
      </c>
      <c r="F495" s="392">
        <v>563063.06000000006</v>
      </c>
      <c r="G495" s="393" t="s">
        <v>3800</v>
      </c>
      <c r="H495" s="394">
        <v>209.51150470107839</v>
      </c>
      <c r="I495" s="394"/>
      <c r="J495" s="392"/>
      <c r="K495" s="392"/>
      <c r="L495" s="392"/>
      <c r="M495" s="392"/>
      <c r="N495" s="392">
        <f t="shared" si="16"/>
        <v>209.51150470107839</v>
      </c>
    </row>
    <row r="496" spans="1:14" hidden="1" outlineLevel="2" x14ac:dyDescent="0.35">
      <c r="A496" s="388" t="s">
        <v>4599</v>
      </c>
      <c r="B496" s="389">
        <v>44547</v>
      </c>
      <c r="C496" s="390" t="s">
        <v>4588</v>
      </c>
      <c r="D496" s="391" t="s">
        <v>4612</v>
      </c>
      <c r="E496" s="391" t="s">
        <v>4272</v>
      </c>
      <c r="F496" s="392">
        <v>56306.306000000011</v>
      </c>
      <c r="G496" s="393" t="s">
        <v>3800</v>
      </c>
      <c r="H496" s="394">
        <v>20.951150470107841</v>
      </c>
      <c r="I496" s="394"/>
      <c r="J496" s="392"/>
      <c r="K496" s="392"/>
      <c r="L496" s="392"/>
      <c r="M496" s="392"/>
      <c r="N496" s="392">
        <f t="shared" si="16"/>
        <v>20.951150470107841</v>
      </c>
    </row>
    <row r="497" spans="1:14" hidden="1" outlineLevel="2" x14ac:dyDescent="0.35">
      <c r="A497" s="388" t="s">
        <v>4599</v>
      </c>
      <c r="B497" s="389">
        <v>44547</v>
      </c>
      <c r="C497" s="390" t="s">
        <v>4590</v>
      </c>
      <c r="D497" s="391" t="s">
        <v>4613</v>
      </c>
      <c r="E497" s="391" t="s">
        <v>4042</v>
      </c>
      <c r="F497" s="392">
        <v>3378.3783600000006</v>
      </c>
      <c r="G497" s="393" t="s">
        <v>3800</v>
      </c>
      <c r="H497" s="394">
        <v>1.2570690282064705</v>
      </c>
      <c r="I497" s="394"/>
      <c r="J497" s="392"/>
      <c r="K497" s="392"/>
      <c r="L497" s="392"/>
      <c r="M497" s="392"/>
      <c r="N497" s="392">
        <f t="shared" si="16"/>
        <v>1.2570690282064705</v>
      </c>
    </row>
    <row r="498" spans="1:14" hidden="1" outlineLevel="2" x14ac:dyDescent="0.35">
      <c r="A498" s="388" t="s">
        <v>4599</v>
      </c>
      <c r="B498" s="389">
        <v>44587</v>
      </c>
      <c r="C498" s="390" t="s">
        <v>4592</v>
      </c>
      <c r="D498" s="391" t="s">
        <v>4593</v>
      </c>
      <c r="E498" s="391" t="s">
        <v>4600</v>
      </c>
      <c r="F498" s="392">
        <v>563063.06000000006</v>
      </c>
      <c r="G498" s="393" t="s">
        <v>3800</v>
      </c>
      <c r="H498" s="394">
        <v>209.51150470107839</v>
      </c>
      <c r="I498" s="394"/>
      <c r="J498" s="392"/>
      <c r="K498" s="392"/>
      <c r="L498" s="392"/>
      <c r="M498" s="392"/>
      <c r="N498" s="392">
        <v>209.51150470107839</v>
      </c>
    </row>
    <row r="499" spans="1:14" hidden="1" outlineLevel="2" x14ac:dyDescent="0.35">
      <c r="A499" s="388" t="s">
        <v>4599</v>
      </c>
      <c r="B499" s="389">
        <v>44587</v>
      </c>
      <c r="C499" s="390" t="s">
        <v>4594</v>
      </c>
      <c r="D499" s="391" t="s">
        <v>4595</v>
      </c>
      <c r="E499" s="391" t="s">
        <v>4272</v>
      </c>
      <c r="F499" s="392">
        <v>56306.306000000011</v>
      </c>
      <c r="G499" s="393" t="s">
        <v>3800</v>
      </c>
      <c r="H499" s="394">
        <v>20.951150470107841</v>
      </c>
      <c r="I499" s="394"/>
      <c r="J499" s="392"/>
      <c r="K499" s="392"/>
      <c r="L499" s="392"/>
      <c r="M499" s="392"/>
      <c r="N499" s="392">
        <v>20.951150470107841</v>
      </c>
    </row>
    <row r="500" spans="1:14" hidden="1" outlineLevel="2" x14ac:dyDescent="0.35">
      <c r="A500" s="388" t="s">
        <v>4599</v>
      </c>
      <c r="B500" s="389">
        <v>44587</v>
      </c>
      <c r="C500" s="390" t="s">
        <v>4596</v>
      </c>
      <c r="D500" s="391" t="s">
        <v>4597</v>
      </c>
      <c r="E500" s="391" t="s">
        <v>4042</v>
      </c>
      <c r="F500" s="392">
        <v>3378.3783600000006</v>
      </c>
      <c r="G500" s="393" t="s">
        <v>3800</v>
      </c>
      <c r="H500" s="394">
        <v>1.2570690282064705</v>
      </c>
      <c r="I500" s="394"/>
      <c r="J500" s="392"/>
      <c r="K500" s="392"/>
      <c r="L500" s="392"/>
      <c r="M500" s="392"/>
      <c r="N500" s="392">
        <v>1.2570690282064705</v>
      </c>
    </row>
    <row r="501" spans="1:14" hidden="1" outlineLevel="2" x14ac:dyDescent="0.35">
      <c r="A501" s="388" t="s">
        <v>4599</v>
      </c>
      <c r="B501" s="389">
        <v>44587</v>
      </c>
      <c r="C501" s="390" t="s">
        <v>4592</v>
      </c>
      <c r="D501" s="391" t="s">
        <v>4593</v>
      </c>
      <c r="E501" s="391" t="s">
        <v>4601</v>
      </c>
      <c r="F501" s="392">
        <v>563063.06000000006</v>
      </c>
      <c r="G501" s="393" t="s">
        <v>3800</v>
      </c>
      <c r="H501" s="394">
        <v>209.51150470107839</v>
      </c>
      <c r="I501" s="394"/>
      <c r="J501" s="392"/>
      <c r="K501" s="392"/>
      <c r="L501" s="392"/>
      <c r="M501" s="392"/>
      <c r="N501" s="392">
        <v>209.51150470107839</v>
      </c>
    </row>
    <row r="502" spans="1:14" hidden="1" outlineLevel="2" x14ac:dyDescent="0.35">
      <c r="A502" s="388" t="s">
        <v>4599</v>
      </c>
      <c r="B502" s="389">
        <v>44587</v>
      </c>
      <c r="C502" s="390" t="s">
        <v>4594</v>
      </c>
      <c r="D502" s="391" t="s">
        <v>4595</v>
      </c>
      <c r="E502" s="391" t="s">
        <v>4272</v>
      </c>
      <c r="F502" s="392">
        <v>56306.306000000011</v>
      </c>
      <c r="G502" s="393" t="s">
        <v>3800</v>
      </c>
      <c r="H502" s="394">
        <v>20.951150470107841</v>
      </c>
      <c r="I502" s="394"/>
      <c r="J502" s="392"/>
      <c r="K502" s="392"/>
      <c r="L502" s="392"/>
      <c r="M502" s="392"/>
      <c r="N502" s="392">
        <v>20.951150470107841</v>
      </c>
    </row>
    <row r="503" spans="1:14" hidden="1" outlineLevel="2" x14ac:dyDescent="0.35">
      <c r="A503" s="388" t="s">
        <v>4599</v>
      </c>
      <c r="B503" s="389">
        <v>44587</v>
      </c>
      <c r="C503" s="390" t="s">
        <v>4596</v>
      </c>
      <c r="D503" s="391" t="s">
        <v>4597</v>
      </c>
      <c r="E503" s="391" t="s">
        <v>4042</v>
      </c>
      <c r="F503" s="392">
        <v>3378.3783600000006</v>
      </c>
      <c r="G503" s="393" t="s">
        <v>3800</v>
      </c>
      <c r="H503" s="394">
        <v>1.2570690282064705</v>
      </c>
      <c r="I503" s="394"/>
      <c r="J503" s="392"/>
      <c r="K503" s="392"/>
      <c r="L503" s="392"/>
      <c r="M503" s="392"/>
      <c r="N503" s="392">
        <v>1.2570690282064705</v>
      </c>
    </row>
    <row r="504" spans="1:14" hidden="1" outlineLevel="2" x14ac:dyDescent="0.35">
      <c r="A504" s="388" t="s">
        <v>4599</v>
      </c>
      <c r="B504" s="389">
        <v>44587</v>
      </c>
      <c r="C504" s="390" t="s">
        <v>4592</v>
      </c>
      <c r="D504" s="391" t="s">
        <v>4593</v>
      </c>
      <c r="E504" s="391" t="s">
        <v>4606</v>
      </c>
      <c r="F504" s="392">
        <v>563063.06000000006</v>
      </c>
      <c r="G504" s="393" t="s">
        <v>3800</v>
      </c>
      <c r="H504" s="394">
        <v>209.51150470107839</v>
      </c>
      <c r="I504" s="394"/>
      <c r="J504" s="392"/>
      <c r="K504" s="392"/>
      <c r="L504" s="392"/>
      <c r="M504" s="392"/>
      <c r="N504" s="392">
        <v>209.51150470107839</v>
      </c>
    </row>
    <row r="505" spans="1:14" hidden="1" outlineLevel="2" x14ac:dyDescent="0.35">
      <c r="A505" s="388" t="s">
        <v>4599</v>
      </c>
      <c r="B505" s="389">
        <v>44587</v>
      </c>
      <c r="C505" s="390" t="s">
        <v>4594</v>
      </c>
      <c r="D505" s="391" t="s">
        <v>4595</v>
      </c>
      <c r="E505" s="391" t="s">
        <v>4272</v>
      </c>
      <c r="F505" s="392">
        <v>56306.306000000011</v>
      </c>
      <c r="G505" s="393" t="s">
        <v>3800</v>
      </c>
      <c r="H505" s="394">
        <v>20.951150470107841</v>
      </c>
      <c r="I505" s="394"/>
      <c r="J505" s="392"/>
      <c r="K505" s="392"/>
      <c r="L505" s="392"/>
      <c r="M505" s="392"/>
      <c r="N505" s="392">
        <v>20.951150470107841</v>
      </c>
    </row>
    <row r="506" spans="1:14" hidden="1" outlineLevel="2" x14ac:dyDescent="0.35">
      <c r="A506" s="388" t="s">
        <v>4599</v>
      </c>
      <c r="B506" s="389">
        <v>44587</v>
      </c>
      <c r="C506" s="390" t="s">
        <v>4596</v>
      </c>
      <c r="D506" s="391" t="s">
        <v>4597</v>
      </c>
      <c r="E506" s="391" t="s">
        <v>4042</v>
      </c>
      <c r="F506" s="392">
        <v>3378.3783600000006</v>
      </c>
      <c r="G506" s="393" t="s">
        <v>3800</v>
      </c>
      <c r="H506" s="394">
        <v>1.2570690282064705</v>
      </c>
      <c r="I506" s="394"/>
      <c r="J506" s="392"/>
      <c r="K506" s="392"/>
      <c r="L506" s="392"/>
      <c r="M506" s="392"/>
      <c r="N506" s="392">
        <v>1.2570690282064705</v>
      </c>
    </row>
    <row r="507" spans="1:14" hidden="1" outlineLevel="2" x14ac:dyDescent="0.35">
      <c r="A507" s="388" t="s">
        <v>4599</v>
      </c>
      <c r="B507" s="389">
        <v>44587</v>
      </c>
      <c r="C507" s="390" t="s">
        <v>4592</v>
      </c>
      <c r="D507" s="391" t="s">
        <v>4593</v>
      </c>
      <c r="E507" s="391" t="s">
        <v>4607</v>
      </c>
      <c r="F507" s="392">
        <v>563063.06000000006</v>
      </c>
      <c r="G507" s="393" t="s">
        <v>3800</v>
      </c>
      <c r="H507" s="394">
        <v>209.51150470107839</v>
      </c>
      <c r="I507" s="394"/>
      <c r="J507" s="392"/>
      <c r="K507" s="392"/>
      <c r="L507" s="392"/>
      <c r="M507" s="392"/>
      <c r="N507" s="392">
        <v>209.51150470107839</v>
      </c>
    </row>
    <row r="508" spans="1:14" hidden="1" outlineLevel="2" x14ac:dyDescent="0.35">
      <c r="A508" s="388" t="s">
        <v>4599</v>
      </c>
      <c r="B508" s="389">
        <v>44587</v>
      </c>
      <c r="C508" s="390" t="s">
        <v>4594</v>
      </c>
      <c r="D508" s="391" t="s">
        <v>4595</v>
      </c>
      <c r="E508" s="391" t="s">
        <v>4272</v>
      </c>
      <c r="F508" s="392">
        <v>56306.306000000011</v>
      </c>
      <c r="G508" s="393" t="s">
        <v>3800</v>
      </c>
      <c r="H508" s="394">
        <v>20.951150470107841</v>
      </c>
      <c r="I508" s="394"/>
      <c r="J508" s="392"/>
      <c r="K508" s="392"/>
      <c r="L508" s="392"/>
      <c r="M508" s="392"/>
      <c r="N508" s="392">
        <v>20.951150470107841</v>
      </c>
    </row>
    <row r="509" spans="1:14" hidden="1" outlineLevel="2" x14ac:dyDescent="0.35">
      <c r="A509" s="388" t="s">
        <v>4599</v>
      </c>
      <c r="B509" s="389">
        <v>44587</v>
      </c>
      <c r="C509" s="390" t="s">
        <v>4596</v>
      </c>
      <c r="D509" s="391" t="s">
        <v>4597</v>
      </c>
      <c r="E509" s="391" t="s">
        <v>4042</v>
      </c>
      <c r="F509" s="392">
        <v>3378.3783600000006</v>
      </c>
      <c r="G509" s="393" t="s">
        <v>3800</v>
      </c>
      <c r="H509" s="394">
        <v>1.2570690282064705</v>
      </c>
      <c r="I509" s="394"/>
      <c r="J509" s="392"/>
      <c r="K509" s="392"/>
      <c r="L509" s="392"/>
      <c r="M509" s="392"/>
      <c r="N509" s="392">
        <v>1.2570690282064705</v>
      </c>
    </row>
    <row r="510" spans="1:14" outlineLevel="1" collapsed="1" x14ac:dyDescent="0.35">
      <c r="A510" s="395" t="s">
        <v>4614</v>
      </c>
      <c r="B510" s="389"/>
      <c r="C510" s="390"/>
      <c r="D510" s="391"/>
      <c r="E510" s="391"/>
      <c r="F510" s="392"/>
      <c r="G510" s="393"/>
      <c r="H510" s="394">
        <f t="shared" ref="H510:N510" si="17">SUBTOTAL(9,H450:H509)</f>
        <v>4190.887917833652</v>
      </c>
      <c r="I510" s="394"/>
      <c r="J510" s="392">
        <f t="shared" si="17"/>
        <v>0</v>
      </c>
      <c r="K510" s="392">
        <f t="shared" si="17"/>
        <v>0</v>
      </c>
      <c r="L510" s="392">
        <f t="shared" si="17"/>
        <v>0</v>
      </c>
      <c r="M510" s="392">
        <f t="shared" si="17"/>
        <v>0</v>
      </c>
      <c r="N510" s="392">
        <f t="shared" si="17"/>
        <v>4190.887917833652</v>
      </c>
    </row>
    <row r="511" spans="1:14" hidden="1" outlineLevel="2" x14ac:dyDescent="0.35">
      <c r="A511" s="388" t="s">
        <v>3839</v>
      </c>
      <c r="B511" s="389">
        <v>43861</v>
      </c>
      <c r="C511" s="390" t="s">
        <v>4615</v>
      </c>
      <c r="D511" s="391" t="s">
        <v>4616</v>
      </c>
      <c r="E511" s="391" t="s">
        <v>4158</v>
      </c>
      <c r="F511" s="392">
        <v>122304</v>
      </c>
      <c r="G511" s="393" t="s">
        <v>3800</v>
      </c>
      <c r="H511" s="394">
        <v>46.959425051381658</v>
      </c>
      <c r="I511" s="394"/>
      <c r="J511" s="392">
        <v>11.739856262845414</v>
      </c>
      <c r="K511" s="392">
        <v>11.739856262845414</v>
      </c>
      <c r="L511" s="392">
        <v>11.739856262845414</v>
      </c>
      <c r="M511" s="392">
        <v>11.739856262845414</v>
      </c>
      <c r="N511" s="392"/>
    </row>
    <row r="512" spans="1:14" hidden="1" outlineLevel="2" x14ac:dyDescent="0.35">
      <c r="A512" s="388" t="s">
        <v>3839</v>
      </c>
      <c r="B512" s="389">
        <v>43890</v>
      </c>
      <c r="C512" s="390" t="s">
        <v>4615</v>
      </c>
      <c r="D512" s="391" t="s">
        <v>4617</v>
      </c>
      <c r="E512" s="391" t="s">
        <v>4158</v>
      </c>
      <c r="F512" s="392">
        <v>66754.8</v>
      </c>
      <c r="G512" s="393" t="s">
        <v>3800</v>
      </c>
      <c r="H512" s="394">
        <v>25.630944428800142</v>
      </c>
      <c r="I512" s="394"/>
      <c r="J512" s="392">
        <v>6.4077361072000354</v>
      </c>
      <c r="K512" s="392">
        <v>6.4077361072000354</v>
      </c>
      <c r="L512" s="392">
        <v>6.4077361072000354</v>
      </c>
      <c r="M512" s="392">
        <v>6.4077361072000354</v>
      </c>
      <c r="N512" s="392"/>
    </row>
    <row r="513" spans="1:14" hidden="1" outlineLevel="2" x14ac:dyDescent="0.35">
      <c r="A513" s="388" t="s">
        <v>3839</v>
      </c>
      <c r="B513" s="389">
        <v>43921</v>
      </c>
      <c r="C513" s="390" t="s">
        <v>4615</v>
      </c>
      <c r="D513" s="391" t="s">
        <v>4618</v>
      </c>
      <c r="E513" s="391" t="s">
        <v>4158</v>
      </c>
      <c r="F513" s="392">
        <v>122754.8</v>
      </c>
      <c r="G513" s="393" t="s">
        <v>3800</v>
      </c>
      <c r="H513" s="394">
        <v>47.132512675769767</v>
      </c>
      <c r="I513" s="394"/>
      <c r="J513" s="392">
        <v>11.783128168942442</v>
      </c>
      <c r="K513" s="392">
        <v>11.783128168942442</v>
      </c>
      <c r="L513" s="392">
        <v>11.783128168942442</v>
      </c>
      <c r="M513" s="392">
        <v>11.783128168942442</v>
      </c>
      <c r="N513" s="392"/>
    </row>
    <row r="514" spans="1:14" hidden="1" outlineLevel="2" x14ac:dyDescent="0.35">
      <c r="A514" s="388" t="s">
        <v>3839</v>
      </c>
      <c r="B514" s="389">
        <v>43951</v>
      </c>
      <c r="C514" s="390" t="s">
        <v>4619</v>
      </c>
      <c r="D514" s="391" t="s">
        <v>4620</v>
      </c>
      <c r="E514" s="391" t="s">
        <v>4158</v>
      </c>
      <c r="F514" s="392">
        <v>21620.240000000002</v>
      </c>
      <c r="G514" s="393" t="s">
        <v>3800</v>
      </c>
      <c r="H514" s="394">
        <v>8.3012333192118319</v>
      </c>
      <c r="I514" s="394"/>
      <c r="J514" s="392">
        <v>2.075308329802958</v>
      </c>
      <c r="K514" s="392">
        <v>2.075308329802958</v>
      </c>
      <c r="L514" s="392">
        <v>2.075308329802958</v>
      </c>
      <c r="M514" s="392">
        <v>2.075308329802958</v>
      </c>
      <c r="N514" s="392"/>
    </row>
    <row r="515" spans="1:14" hidden="1" outlineLevel="2" x14ac:dyDescent="0.35">
      <c r="A515" s="388" t="s">
        <v>3839</v>
      </c>
      <c r="B515" s="389">
        <v>43973</v>
      </c>
      <c r="C515" s="390" t="s">
        <v>4621</v>
      </c>
      <c r="D515" s="391" t="s">
        <v>4622</v>
      </c>
      <c r="E515" s="391" t="s">
        <v>4158</v>
      </c>
      <c r="F515" s="392">
        <v>1383270.56</v>
      </c>
      <c r="G515" s="393" t="s">
        <v>3800</v>
      </c>
      <c r="H515" s="394">
        <v>531.11582767614095</v>
      </c>
      <c r="I515" s="394"/>
      <c r="J515" s="392">
        <v>132.77895691903524</v>
      </c>
      <c r="K515" s="392">
        <v>132.77895691903524</v>
      </c>
      <c r="L515" s="392">
        <v>132.77895691903524</v>
      </c>
      <c r="M515" s="392">
        <v>132.77895691903524</v>
      </c>
      <c r="N515" s="392"/>
    </row>
    <row r="516" spans="1:14" hidden="1" outlineLevel="2" x14ac:dyDescent="0.35">
      <c r="A516" s="388" t="s">
        <v>3839</v>
      </c>
      <c r="B516" s="389">
        <v>43982</v>
      </c>
      <c r="C516" s="390" t="s">
        <v>4623</v>
      </c>
      <c r="D516" s="391" t="s">
        <v>4624</v>
      </c>
      <c r="E516" s="391" t="s">
        <v>4158</v>
      </c>
      <c r="F516" s="392">
        <v>173349.26</v>
      </c>
      <c r="G516" s="393" t="s">
        <v>3800</v>
      </c>
      <c r="H516" s="394">
        <v>66.558588293780033</v>
      </c>
      <c r="I516" s="394"/>
      <c r="J516" s="392">
        <v>16.639647073445008</v>
      </c>
      <c r="K516" s="392">
        <v>16.639647073445008</v>
      </c>
      <c r="L516" s="392">
        <v>16.639647073445008</v>
      </c>
      <c r="M516" s="392">
        <v>16.639647073445008</v>
      </c>
      <c r="N516" s="392"/>
    </row>
    <row r="517" spans="1:14" hidden="1" outlineLevel="2" x14ac:dyDescent="0.35">
      <c r="A517" s="388" t="s">
        <v>3839</v>
      </c>
      <c r="B517" s="389">
        <v>44043</v>
      </c>
      <c r="C517" s="390" t="s">
        <v>4625</v>
      </c>
      <c r="D517" s="391" t="s">
        <v>4626</v>
      </c>
      <c r="E517" s="391" t="s">
        <v>4158</v>
      </c>
      <c r="F517" s="392">
        <v>236564.24</v>
      </c>
      <c r="G517" s="393" t="s">
        <v>3800</v>
      </c>
      <c r="H517" s="394">
        <v>90.830395556294661</v>
      </c>
      <c r="I517" s="394"/>
      <c r="J517" s="392">
        <v>22.707598889073665</v>
      </c>
      <c r="K517" s="392">
        <v>22.707598889073665</v>
      </c>
      <c r="L517" s="392">
        <v>22.707598889073665</v>
      </c>
      <c r="M517" s="392">
        <v>22.707598889073665</v>
      </c>
      <c r="N517" s="392"/>
    </row>
    <row r="518" spans="1:14" hidden="1" outlineLevel="2" x14ac:dyDescent="0.35">
      <c r="A518" s="388" t="s">
        <v>3839</v>
      </c>
      <c r="B518" s="389">
        <v>44074</v>
      </c>
      <c r="C518" s="390" t="s">
        <v>4627</v>
      </c>
      <c r="D518" s="391" t="s">
        <v>4628</v>
      </c>
      <c r="E518" s="391" t="s">
        <v>4158</v>
      </c>
      <c r="F518" s="392">
        <v>225448.47999999998</v>
      </c>
      <c r="G518" s="393" t="s">
        <v>3800</v>
      </c>
      <c r="H518" s="394">
        <v>86.56242640884939</v>
      </c>
      <c r="I518" s="394"/>
      <c r="J518" s="392">
        <v>21.640606602212348</v>
      </c>
      <c r="K518" s="392">
        <v>21.640606602212348</v>
      </c>
      <c r="L518" s="392">
        <v>21.640606602212348</v>
      </c>
      <c r="M518" s="392">
        <v>21.640606602212348</v>
      </c>
      <c r="N518" s="392"/>
    </row>
    <row r="519" spans="1:14" hidden="1" outlineLevel="2" x14ac:dyDescent="0.35">
      <c r="A519" s="388" t="s">
        <v>3839</v>
      </c>
      <c r="B519" s="389">
        <v>44104</v>
      </c>
      <c r="C519" s="390" t="s">
        <v>4629</v>
      </c>
      <c r="D519" s="391" t="s">
        <v>4630</v>
      </c>
      <c r="E519" s="391" t="s">
        <v>4158</v>
      </c>
      <c r="F519" s="392">
        <v>82820.37000000001</v>
      </c>
      <c r="G519" s="393" t="s">
        <v>3800</v>
      </c>
      <c r="H519" s="394">
        <v>31.799425674897783</v>
      </c>
      <c r="I519" s="394"/>
      <c r="J519" s="392">
        <v>7.9498564187244458</v>
      </c>
      <c r="K519" s="392">
        <v>7.9498564187244458</v>
      </c>
      <c r="L519" s="392">
        <v>7.9498564187244458</v>
      </c>
      <c r="M519" s="392">
        <v>7.9498564187244458</v>
      </c>
      <c r="N519" s="392"/>
    </row>
    <row r="520" spans="1:14" hidden="1" outlineLevel="2" x14ac:dyDescent="0.35">
      <c r="A520" s="388" t="s">
        <v>3839</v>
      </c>
      <c r="B520" s="389">
        <v>44043</v>
      </c>
      <c r="C520" s="390" t="s">
        <v>4631</v>
      </c>
      <c r="D520" s="391" t="s">
        <v>4632</v>
      </c>
      <c r="E520" s="391" t="s">
        <v>4158</v>
      </c>
      <c r="F520" s="392">
        <v>60680</v>
      </c>
      <c r="G520" s="393" t="s">
        <v>3800</v>
      </c>
      <c r="H520" s="394">
        <v>23.298485021894944</v>
      </c>
      <c r="I520" s="394"/>
      <c r="J520" s="392">
        <v>5.824621255473736</v>
      </c>
      <c r="K520" s="392">
        <v>5.824621255473736</v>
      </c>
      <c r="L520" s="392">
        <v>5.824621255473736</v>
      </c>
      <c r="M520" s="392">
        <v>5.824621255473736</v>
      </c>
      <c r="N520" s="392"/>
    </row>
    <row r="521" spans="1:14" hidden="1" outlineLevel="2" x14ac:dyDescent="0.35">
      <c r="A521" s="388" t="s">
        <v>3839</v>
      </c>
      <c r="B521" s="389">
        <v>44073</v>
      </c>
      <c r="C521" s="390" t="s">
        <v>4633</v>
      </c>
      <c r="D521" s="391" t="s">
        <v>4634</v>
      </c>
      <c r="E521" s="391" t="s">
        <v>4158</v>
      </c>
      <c r="F521" s="392">
        <v>18055.939999999999</v>
      </c>
      <c r="G521" s="393" t="s">
        <v>3800</v>
      </c>
      <c r="H521" s="394">
        <v>6.9326968959497979</v>
      </c>
      <c r="I521" s="394"/>
      <c r="J521" s="392">
        <v>1.7331742239874495</v>
      </c>
      <c r="K521" s="392">
        <v>1.7331742239874495</v>
      </c>
      <c r="L521" s="392">
        <v>1.7331742239874495</v>
      </c>
      <c r="M521" s="392">
        <v>1.7331742239874495</v>
      </c>
      <c r="N521" s="392"/>
    </row>
    <row r="522" spans="1:14" hidden="1" outlineLevel="2" x14ac:dyDescent="0.35">
      <c r="A522" s="388" t="s">
        <v>3839</v>
      </c>
      <c r="B522" s="389">
        <v>44104</v>
      </c>
      <c r="C522" s="390" t="s">
        <v>4635</v>
      </c>
      <c r="D522" s="391" t="s">
        <v>4636</v>
      </c>
      <c r="E522" s="391" t="s">
        <v>4158</v>
      </c>
      <c r="F522" s="392">
        <v>24759.3</v>
      </c>
      <c r="G522" s="393" t="s">
        <v>3800</v>
      </c>
      <c r="H522" s="394">
        <v>9.5064960481641965</v>
      </c>
      <c r="I522" s="394"/>
      <c r="J522" s="392">
        <v>2.3766240120410491</v>
      </c>
      <c r="K522" s="392">
        <v>2.3766240120410491</v>
      </c>
      <c r="L522" s="392">
        <v>2.3766240120410491</v>
      </c>
      <c r="M522" s="392">
        <v>2.3766240120410491</v>
      </c>
      <c r="N522" s="392"/>
    </row>
    <row r="523" spans="1:14" hidden="1" outlineLevel="2" x14ac:dyDescent="0.35">
      <c r="A523" s="388" t="s">
        <v>3839</v>
      </c>
      <c r="B523" s="389">
        <v>44135</v>
      </c>
      <c r="C523" s="390" t="s">
        <v>4637</v>
      </c>
      <c r="D523" s="391" t="s">
        <v>4638</v>
      </c>
      <c r="E523" s="391" t="s">
        <v>4158</v>
      </c>
      <c r="F523" s="392">
        <v>70516.100000000006</v>
      </c>
      <c r="G523" s="393" t="s">
        <v>3800</v>
      </c>
      <c r="H523" s="394">
        <v>27.075120297502409</v>
      </c>
      <c r="I523" s="394"/>
      <c r="J523" s="392">
        <v>6.7687800743756021</v>
      </c>
      <c r="K523" s="392">
        <v>6.7687800743756021</v>
      </c>
      <c r="L523" s="392">
        <v>6.7687800743756021</v>
      </c>
      <c r="M523" s="392">
        <v>6.7687800743756021</v>
      </c>
      <c r="N523" s="392"/>
    </row>
    <row r="524" spans="1:14" hidden="1" outlineLevel="2" x14ac:dyDescent="0.35">
      <c r="A524" s="388" t="s">
        <v>3839</v>
      </c>
      <c r="B524" s="389">
        <v>44165</v>
      </c>
      <c r="C524" s="390" t="s">
        <v>4639</v>
      </c>
      <c r="D524" s="391" t="s">
        <v>4640</v>
      </c>
      <c r="E524" s="391" t="s">
        <v>4158</v>
      </c>
      <c r="F524" s="392">
        <v>34431.82</v>
      </c>
      <c r="G524" s="393" t="s">
        <v>3800</v>
      </c>
      <c r="H524" s="394">
        <v>13.220323707095957</v>
      </c>
      <c r="I524" s="394"/>
      <c r="J524" s="392">
        <v>3.3050809267739893</v>
      </c>
      <c r="K524" s="392">
        <v>3.3050809267739893</v>
      </c>
      <c r="L524" s="392">
        <v>3.3050809267739893</v>
      </c>
      <c r="M524" s="392">
        <v>3.3050809267739893</v>
      </c>
      <c r="N524" s="392"/>
    </row>
    <row r="525" spans="1:14" hidden="1" outlineLevel="2" x14ac:dyDescent="0.35">
      <c r="A525" s="388" t="s">
        <v>3839</v>
      </c>
      <c r="B525" s="389">
        <v>44196</v>
      </c>
      <c r="C525" s="390" t="s">
        <v>4641</v>
      </c>
      <c r="D525" s="391" t="s">
        <v>4642</v>
      </c>
      <c r="E525" s="391" t="s">
        <v>4158</v>
      </c>
      <c r="F525" s="392">
        <v>120744.48</v>
      </c>
      <c r="G525" s="393" t="s">
        <v>3800</v>
      </c>
      <c r="H525" s="394">
        <v>46.360637092229624</v>
      </c>
      <c r="I525" s="394"/>
      <c r="J525" s="392">
        <v>11.590159273057406</v>
      </c>
      <c r="K525" s="392">
        <v>11.590159273057406</v>
      </c>
      <c r="L525" s="392">
        <v>11.590159273057406</v>
      </c>
      <c r="M525" s="392">
        <v>11.590159273057406</v>
      </c>
      <c r="N525" s="392"/>
    </row>
    <row r="526" spans="1:14" hidden="1" outlineLevel="2" x14ac:dyDescent="0.35">
      <c r="A526" s="388" t="s">
        <v>3839</v>
      </c>
      <c r="B526" s="389">
        <v>44135</v>
      </c>
      <c r="C526" s="390" t="s">
        <v>4643</v>
      </c>
      <c r="D526" s="391" t="s">
        <v>4644</v>
      </c>
      <c r="E526" s="391" t="s">
        <v>4158</v>
      </c>
      <c r="F526" s="392">
        <v>6299.98</v>
      </c>
      <c r="G526" s="393" t="s">
        <v>3800</v>
      </c>
      <c r="H526" s="394">
        <v>2.4189187486525658</v>
      </c>
      <c r="I526" s="394"/>
      <c r="J526" s="392">
        <v>0.60472968716314146</v>
      </c>
      <c r="K526" s="392">
        <v>0.60472968716314146</v>
      </c>
      <c r="L526" s="392">
        <v>0.60472968716314146</v>
      </c>
      <c r="M526" s="392">
        <v>0.60472968716314146</v>
      </c>
      <c r="N526" s="392"/>
    </row>
    <row r="527" spans="1:14" hidden="1" outlineLevel="2" x14ac:dyDescent="0.35">
      <c r="A527" s="388" t="s">
        <v>3839</v>
      </c>
      <c r="B527" s="389" t="s">
        <v>4645</v>
      </c>
      <c r="C527" s="390" t="s">
        <v>4646</v>
      </c>
      <c r="D527" s="391" t="s">
        <v>4647</v>
      </c>
      <c r="E527" s="391" t="s">
        <v>4158</v>
      </c>
      <c r="F527" s="392">
        <v>22600</v>
      </c>
      <c r="G527" s="393" t="s">
        <v>3800</v>
      </c>
      <c r="H527" s="394">
        <v>8.6774186139555987</v>
      </c>
      <c r="I527" s="394"/>
      <c r="J527" s="392">
        <v>2.1693546534888997</v>
      </c>
      <c r="K527" s="392">
        <v>2.1693546534888997</v>
      </c>
      <c r="L527" s="392">
        <v>2.1693546534888997</v>
      </c>
      <c r="M527" s="392">
        <v>2.1693546534888997</v>
      </c>
      <c r="N527" s="392"/>
    </row>
    <row r="528" spans="1:14" hidden="1" outlineLevel="2" x14ac:dyDescent="0.35">
      <c r="A528" s="388" t="s">
        <v>3839</v>
      </c>
      <c r="B528" s="389">
        <v>44196</v>
      </c>
      <c r="C528" s="390" t="s">
        <v>4648</v>
      </c>
      <c r="D528" s="391" t="s">
        <v>4649</v>
      </c>
      <c r="E528" s="391" t="s">
        <v>4158</v>
      </c>
      <c r="F528" s="392">
        <v>47702.42</v>
      </c>
      <c r="G528" s="393" t="s">
        <v>3800</v>
      </c>
      <c r="H528" s="394">
        <v>18.315657842421583</v>
      </c>
      <c r="I528" s="394"/>
      <c r="J528" s="392">
        <v>4.5789144606053958</v>
      </c>
      <c r="K528" s="392">
        <v>4.5789144606053958</v>
      </c>
      <c r="L528" s="392">
        <v>4.5789144606053958</v>
      </c>
      <c r="M528" s="392">
        <v>4.5789144606053958</v>
      </c>
      <c r="N528" s="392"/>
    </row>
    <row r="529" spans="1:14" hidden="1" outlineLevel="2" x14ac:dyDescent="0.35">
      <c r="A529" s="388" t="s">
        <v>4650</v>
      </c>
      <c r="B529" s="389">
        <v>44227</v>
      </c>
      <c r="C529" s="390" t="s">
        <v>4651</v>
      </c>
      <c r="D529" s="391" t="s">
        <v>4652</v>
      </c>
      <c r="E529" s="391" t="s">
        <v>4158</v>
      </c>
      <c r="F529" s="392">
        <v>79668.240000000005</v>
      </c>
      <c r="G529" s="393" t="s">
        <v>3800</v>
      </c>
      <c r="H529" s="394">
        <v>29.64394936383616</v>
      </c>
      <c r="I529" s="394"/>
      <c r="J529" s="392">
        <v>7.4109873409590401</v>
      </c>
      <c r="K529" s="392">
        <v>7.4109873409590401</v>
      </c>
      <c r="L529" s="392">
        <v>7.4109873409590401</v>
      </c>
      <c r="M529" s="392">
        <v>7.4109873409590401</v>
      </c>
      <c r="N529" s="392"/>
    </row>
    <row r="530" spans="1:14" hidden="1" outlineLevel="2" x14ac:dyDescent="0.35">
      <c r="A530" s="388" t="s">
        <v>4650</v>
      </c>
      <c r="B530" s="389">
        <v>44227</v>
      </c>
      <c r="C530" s="390" t="s">
        <v>4653</v>
      </c>
      <c r="D530" s="391" t="s">
        <v>4654</v>
      </c>
      <c r="E530" s="391" t="s">
        <v>4158</v>
      </c>
      <c r="F530" s="392">
        <v>13000</v>
      </c>
      <c r="G530" s="393" t="s">
        <v>3800</v>
      </c>
      <c r="H530" s="394">
        <v>4.8372016468528747</v>
      </c>
      <c r="I530" s="394"/>
      <c r="J530" s="392">
        <v>1.2093004117132187</v>
      </c>
      <c r="K530" s="392">
        <v>1.2093004117132187</v>
      </c>
      <c r="L530" s="392">
        <v>1.2093004117132187</v>
      </c>
      <c r="M530" s="392">
        <v>1.2093004117132187</v>
      </c>
      <c r="N530" s="392"/>
    </row>
    <row r="531" spans="1:14" hidden="1" outlineLevel="2" x14ac:dyDescent="0.35">
      <c r="A531" s="388" t="s">
        <v>4650</v>
      </c>
      <c r="B531" s="389">
        <v>44255</v>
      </c>
      <c r="C531" s="390" t="s">
        <v>4655</v>
      </c>
      <c r="D531" s="391" t="s">
        <v>4656</v>
      </c>
      <c r="E531" s="391" t="s">
        <v>4158</v>
      </c>
      <c r="F531" s="392">
        <v>115456</v>
      </c>
      <c r="G531" s="393" t="s">
        <v>3800</v>
      </c>
      <c r="H531" s="394">
        <v>42.960304103003502</v>
      </c>
      <c r="I531" s="394"/>
      <c r="J531" s="392">
        <v>10.740076025750875</v>
      </c>
      <c r="K531" s="392">
        <v>10.740076025750875</v>
      </c>
      <c r="L531" s="392">
        <v>10.740076025750875</v>
      </c>
      <c r="M531" s="392">
        <v>10.740076025750875</v>
      </c>
      <c r="N531" s="392"/>
    </row>
    <row r="532" spans="1:14" hidden="1" outlineLevel="2" x14ac:dyDescent="0.35">
      <c r="A532" s="388" t="s">
        <v>4650</v>
      </c>
      <c r="B532" s="389">
        <v>44255</v>
      </c>
      <c r="C532" s="390" t="s">
        <v>4657</v>
      </c>
      <c r="D532" s="391" t="s">
        <v>4658</v>
      </c>
      <c r="E532" s="391" t="s">
        <v>4158</v>
      </c>
      <c r="F532" s="392">
        <v>1099.98</v>
      </c>
      <c r="G532" s="393" t="s">
        <v>3800</v>
      </c>
      <c r="H532" s="394">
        <v>0.40929423596194042</v>
      </c>
      <c r="I532" s="394"/>
      <c r="J532" s="392">
        <v>0.10232355899048511</v>
      </c>
      <c r="K532" s="392">
        <v>0.10232355899048511</v>
      </c>
      <c r="L532" s="392">
        <v>0.10232355899048511</v>
      </c>
      <c r="M532" s="392">
        <v>0.10232355899048511</v>
      </c>
      <c r="N532" s="392"/>
    </row>
    <row r="533" spans="1:14" hidden="1" outlineLevel="2" x14ac:dyDescent="0.35">
      <c r="A533" s="388" t="s">
        <v>4650</v>
      </c>
      <c r="B533" s="389">
        <v>44265</v>
      </c>
      <c r="C533" s="390" t="s">
        <v>4659</v>
      </c>
      <c r="D533" s="391" t="s">
        <v>4660</v>
      </c>
      <c r="E533" s="391" t="s">
        <v>4158</v>
      </c>
      <c r="F533" s="392">
        <v>162496</v>
      </c>
      <c r="G533" s="393" t="s">
        <v>3800</v>
      </c>
      <c r="H533" s="394">
        <v>60.463532215923443</v>
      </c>
      <c r="I533" s="394"/>
      <c r="J533" s="392">
        <v>15.115883053980861</v>
      </c>
      <c r="K533" s="392">
        <v>15.115883053980861</v>
      </c>
      <c r="L533" s="392">
        <v>15.115883053980861</v>
      </c>
      <c r="M533" s="392">
        <v>15.115883053980861</v>
      </c>
      <c r="N533" s="392"/>
    </row>
    <row r="534" spans="1:14" hidden="1" outlineLevel="2" x14ac:dyDescent="0.35">
      <c r="A534" s="388" t="s">
        <v>4650</v>
      </c>
      <c r="B534" s="389">
        <v>44286</v>
      </c>
      <c r="C534" s="390" t="s">
        <v>4657</v>
      </c>
      <c r="D534" s="391" t="s">
        <v>4661</v>
      </c>
      <c r="E534" s="391" t="s">
        <v>4158</v>
      </c>
      <c r="F534" s="392">
        <v>13000</v>
      </c>
      <c r="G534" s="393" t="s">
        <v>3800</v>
      </c>
      <c r="H534" s="394">
        <v>4.8372016468528747</v>
      </c>
      <c r="I534" s="394"/>
      <c r="J534" s="392">
        <v>1.2093004117132187</v>
      </c>
      <c r="K534" s="392">
        <v>1.2093004117132187</v>
      </c>
      <c r="L534" s="392">
        <v>1.2093004117132187</v>
      </c>
      <c r="M534" s="392">
        <v>1.2093004117132187</v>
      </c>
      <c r="N534" s="392"/>
    </row>
    <row r="535" spans="1:14" hidden="1" outlineLevel="2" x14ac:dyDescent="0.35">
      <c r="A535" s="388" t="s">
        <v>4650</v>
      </c>
      <c r="B535" s="389">
        <v>44316</v>
      </c>
      <c r="C535" s="390" t="s">
        <v>4662</v>
      </c>
      <c r="D535" s="391" t="s">
        <v>4663</v>
      </c>
      <c r="E535" s="391" t="s">
        <v>4158</v>
      </c>
      <c r="F535" s="392">
        <v>149120</v>
      </c>
      <c r="G535" s="393" t="s">
        <v>3800</v>
      </c>
      <c r="H535" s="394">
        <v>55.486423813746207</v>
      </c>
      <c r="I535" s="394"/>
      <c r="J535" s="392">
        <v>13.871605953436552</v>
      </c>
      <c r="K535" s="392">
        <v>13.871605953436552</v>
      </c>
      <c r="L535" s="392">
        <v>13.871605953436552</v>
      </c>
      <c r="M535" s="392">
        <v>13.871605953436552</v>
      </c>
      <c r="N535" s="392"/>
    </row>
    <row r="536" spans="1:14" hidden="1" outlineLevel="2" x14ac:dyDescent="0.35">
      <c r="A536" s="388" t="s">
        <v>4650</v>
      </c>
      <c r="B536" s="389">
        <v>44316</v>
      </c>
      <c r="C536" s="390" t="s">
        <v>4664</v>
      </c>
      <c r="D536" s="391" t="s">
        <v>4665</v>
      </c>
      <c r="E536" s="391" t="s">
        <v>4158</v>
      </c>
      <c r="F536" s="392">
        <v>35253.71</v>
      </c>
      <c r="G536" s="393" t="s">
        <v>3800</v>
      </c>
      <c r="H536" s="394">
        <v>13.117638774590281</v>
      </c>
      <c r="I536" s="394"/>
      <c r="J536" s="392">
        <v>3.2794096936475703</v>
      </c>
      <c r="K536" s="392">
        <v>3.2794096936475703</v>
      </c>
      <c r="L536" s="392">
        <v>3.2794096936475703</v>
      </c>
      <c r="M536" s="392">
        <v>3.2794096936475703</v>
      </c>
      <c r="N536" s="392"/>
    </row>
    <row r="537" spans="1:14" hidden="1" outlineLevel="2" x14ac:dyDescent="0.35">
      <c r="A537" s="388" t="s">
        <v>4650</v>
      </c>
      <c r="B537" s="389">
        <v>44347</v>
      </c>
      <c r="C537" s="390" t="s">
        <v>4666</v>
      </c>
      <c r="D537" s="391" t="s">
        <v>4667</v>
      </c>
      <c r="E537" s="391" t="s">
        <v>4158</v>
      </c>
      <c r="F537" s="392">
        <v>87104</v>
      </c>
      <c r="G537" s="393" t="s">
        <v>3800</v>
      </c>
      <c r="H537" s="394">
        <v>32.410739403651753</v>
      </c>
      <c r="I537" s="394"/>
      <c r="J537" s="392">
        <v>8.1026848509129383</v>
      </c>
      <c r="K537" s="392">
        <v>8.1026848509129383</v>
      </c>
      <c r="L537" s="392">
        <v>8.1026848509129383</v>
      </c>
      <c r="M537" s="392">
        <v>8.1026848509129383</v>
      </c>
      <c r="N537" s="392"/>
    </row>
    <row r="538" spans="1:14" hidden="1" outlineLevel="2" collapsed="1" x14ac:dyDescent="0.35">
      <c r="A538" s="388" t="s">
        <v>4650</v>
      </c>
      <c r="B538" s="389">
        <v>44347</v>
      </c>
      <c r="C538" s="390" t="s">
        <v>4668</v>
      </c>
      <c r="D538" s="391" t="s">
        <v>4669</v>
      </c>
      <c r="E538" s="391" t="s">
        <v>4158</v>
      </c>
      <c r="F538" s="392">
        <v>25798.04</v>
      </c>
      <c r="G538" s="393" t="s">
        <v>3800</v>
      </c>
      <c r="H538" s="394">
        <v>9.599255505659718</v>
      </c>
      <c r="I538" s="394"/>
      <c r="J538" s="392">
        <v>2.3998138764149295</v>
      </c>
      <c r="K538" s="392">
        <v>2.3998138764149295</v>
      </c>
      <c r="L538" s="392">
        <v>2.3998138764149295</v>
      </c>
      <c r="M538" s="392">
        <v>2.3998138764149295</v>
      </c>
      <c r="N538" s="392"/>
    </row>
    <row r="539" spans="1:14" hidden="1" outlineLevel="2" x14ac:dyDescent="0.35">
      <c r="A539" s="388" t="s">
        <v>4650</v>
      </c>
      <c r="B539" s="389">
        <v>44347</v>
      </c>
      <c r="C539" s="390" t="s">
        <v>4670</v>
      </c>
      <c r="D539" s="391" t="s">
        <v>4671</v>
      </c>
      <c r="E539" s="391" t="s">
        <v>4158</v>
      </c>
      <c r="F539" s="392">
        <v>32896</v>
      </c>
      <c r="G539" s="393" t="s">
        <v>3800</v>
      </c>
      <c r="H539" s="394">
        <v>12.240352721144014</v>
      </c>
      <c r="I539" s="394"/>
      <c r="J539" s="392">
        <v>3.0600881802860034</v>
      </c>
      <c r="K539" s="392">
        <v>3.0600881802860034</v>
      </c>
      <c r="L539" s="392">
        <v>3.0600881802860034</v>
      </c>
      <c r="M539" s="392">
        <v>3.0600881802860034</v>
      </c>
      <c r="N539" s="392"/>
    </row>
    <row r="540" spans="1:14" hidden="1" outlineLevel="2" x14ac:dyDescent="0.35">
      <c r="A540" s="388" t="s">
        <v>4650</v>
      </c>
      <c r="B540" s="389">
        <v>44347</v>
      </c>
      <c r="C540" s="390" t="s">
        <v>4672</v>
      </c>
      <c r="D540" s="391" t="s">
        <v>4673</v>
      </c>
      <c r="E540" s="391" t="s">
        <v>4158</v>
      </c>
      <c r="F540" s="392">
        <v>1754.99</v>
      </c>
      <c r="G540" s="393" t="s">
        <v>3800</v>
      </c>
      <c r="H540" s="394">
        <v>0.65301850140079432</v>
      </c>
      <c r="I540" s="394"/>
      <c r="J540" s="392">
        <v>0.16325462535019858</v>
      </c>
      <c r="K540" s="392">
        <v>0.16325462535019858</v>
      </c>
      <c r="L540" s="392">
        <v>0.16325462535019858</v>
      </c>
      <c r="M540" s="392">
        <v>0.16325462535019858</v>
      </c>
      <c r="N540" s="392"/>
    </row>
    <row r="541" spans="1:14" hidden="1" outlineLevel="2" x14ac:dyDescent="0.35">
      <c r="A541" s="388" t="s">
        <v>4650</v>
      </c>
      <c r="B541" s="389">
        <v>44408</v>
      </c>
      <c r="C541" s="390" t="s">
        <v>4674</v>
      </c>
      <c r="D541" s="391" t="s">
        <v>4675</v>
      </c>
      <c r="E541" s="391" t="s">
        <v>4158</v>
      </c>
      <c r="F541" s="392">
        <v>39744</v>
      </c>
      <c r="G541" s="393" t="s">
        <v>3800</v>
      </c>
      <c r="H541" s="394">
        <v>14.788441711732357</v>
      </c>
      <c r="I541" s="394"/>
      <c r="J541" s="392">
        <v>3.6971104279330893</v>
      </c>
      <c r="K541" s="392">
        <v>3.6971104279330893</v>
      </c>
      <c r="L541" s="392">
        <v>3.6971104279330893</v>
      </c>
      <c r="M541" s="392">
        <v>3.6971104279330893</v>
      </c>
      <c r="N541" s="392"/>
    </row>
    <row r="542" spans="1:14" hidden="1" outlineLevel="2" x14ac:dyDescent="0.35">
      <c r="A542" s="388" t="s">
        <v>4650</v>
      </c>
      <c r="B542" s="389">
        <v>44408</v>
      </c>
      <c r="C542" s="390" t="s">
        <v>4676</v>
      </c>
      <c r="D542" s="391" t="s">
        <v>4675</v>
      </c>
      <c r="E542" s="391" t="s">
        <v>4158</v>
      </c>
      <c r="F542" s="392">
        <v>384</v>
      </c>
      <c r="G542" s="393" t="s">
        <v>3800</v>
      </c>
      <c r="H542" s="394">
        <v>0.14288349479934645</v>
      </c>
      <c r="I542" s="394"/>
      <c r="J542" s="392">
        <v>3.5720873699836612E-2</v>
      </c>
      <c r="K542" s="392">
        <v>3.5720873699836612E-2</v>
      </c>
      <c r="L542" s="392">
        <v>3.5720873699836612E-2</v>
      </c>
      <c r="M542" s="392">
        <v>3.5720873699836612E-2</v>
      </c>
      <c r="N542" s="392"/>
    </row>
    <row r="543" spans="1:14" hidden="1" outlineLevel="2" x14ac:dyDescent="0.35">
      <c r="A543" s="388" t="s">
        <v>4650</v>
      </c>
      <c r="B543" s="389">
        <v>44408</v>
      </c>
      <c r="C543" s="390" t="s">
        <v>4677</v>
      </c>
      <c r="D543" s="391" t="s">
        <v>4678</v>
      </c>
      <c r="E543" s="391" t="s">
        <v>4158</v>
      </c>
      <c r="F543" s="392">
        <v>1999.99</v>
      </c>
      <c r="G543" s="393" t="s">
        <v>3800</v>
      </c>
      <c r="H543" s="394">
        <v>0.74418114782225242</v>
      </c>
      <c r="I543" s="394"/>
      <c r="J543" s="392">
        <v>0.18604528695556311</v>
      </c>
      <c r="K543" s="392">
        <v>0.18604528695556311</v>
      </c>
      <c r="L543" s="392">
        <v>0.18604528695556311</v>
      </c>
      <c r="M543" s="392">
        <v>0.18604528695556311</v>
      </c>
      <c r="N543" s="392"/>
    </row>
    <row r="544" spans="1:14" hidden="1" outlineLevel="2" x14ac:dyDescent="0.35">
      <c r="A544" s="388" t="s">
        <v>4650</v>
      </c>
      <c r="B544" s="389">
        <v>44439</v>
      </c>
      <c r="C544" s="390" t="s">
        <v>4679</v>
      </c>
      <c r="D544" s="391" t="s">
        <v>4680</v>
      </c>
      <c r="E544" s="391" t="s">
        <v>4158</v>
      </c>
      <c r="F544" s="392">
        <v>202432</v>
      </c>
      <c r="G544" s="393" t="s">
        <v>3800</v>
      </c>
      <c r="H544" s="394">
        <v>75.323415675055472</v>
      </c>
      <c r="I544" s="394"/>
      <c r="J544" s="392">
        <v>18.830853918763868</v>
      </c>
      <c r="K544" s="392">
        <v>18.830853918763868</v>
      </c>
      <c r="L544" s="392">
        <v>18.830853918763868</v>
      </c>
      <c r="M544" s="392">
        <v>18.830853918763868</v>
      </c>
      <c r="N544" s="392"/>
    </row>
    <row r="545" spans="1:14" hidden="1" outlineLevel="2" x14ac:dyDescent="0.35">
      <c r="A545" s="388" t="s">
        <v>4650</v>
      </c>
      <c r="B545" s="389">
        <v>44439</v>
      </c>
      <c r="C545" s="390" t="s">
        <v>4681</v>
      </c>
      <c r="D545" s="391" t="s">
        <v>4682</v>
      </c>
      <c r="E545" s="391" t="s">
        <v>4158</v>
      </c>
      <c r="F545" s="392">
        <v>30750</v>
      </c>
      <c r="G545" s="393" t="s">
        <v>3800</v>
      </c>
      <c r="H545" s="394">
        <v>11.441842356978915</v>
      </c>
      <c r="I545" s="394"/>
      <c r="J545" s="392">
        <v>2.8604605892447288</v>
      </c>
      <c r="K545" s="392">
        <v>2.8604605892447288</v>
      </c>
      <c r="L545" s="392">
        <v>2.8604605892447288</v>
      </c>
      <c r="M545" s="392">
        <v>2.8604605892447288</v>
      </c>
      <c r="N545" s="392"/>
    </row>
    <row r="546" spans="1:14" hidden="1" outlineLevel="2" x14ac:dyDescent="0.35">
      <c r="A546" s="388" t="s">
        <v>4650</v>
      </c>
      <c r="B546" s="389">
        <v>44469</v>
      </c>
      <c r="C546" s="390" t="s">
        <v>4683</v>
      </c>
      <c r="D546" s="391" t="s">
        <v>4684</v>
      </c>
      <c r="E546" s="391" t="s">
        <v>4158</v>
      </c>
      <c r="F546" s="392">
        <v>179520</v>
      </c>
      <c r="G546" s="393" t="s">
        <v>3800</v>
      </c>
      <c r="H546" s="394">
        <v>66.798033818694464</v>
      </c>
      <c r="I546" s="394"/>
      <c r="J546" s="392">
        <v>16.699508454673616</v>
      </c>
      <c r="K546" s="392">
        <v>16.699508454673616</v>
      </c>
      <c r="L546" s="392">
        <v>16.699508454673616</v>
      </c>
      <c r="M546" s="392">
        <v>16.699508454673616</v>
      </c>
      <c r="N546" s="392"/>
    </row>
    <row r="547" spans="1:14" hidden="1" outlineLevel="2" x14ac:dyDescent="0.35">
      <c r="A547" s="388" t="s">
        <v>4650</v>
      </c>
      <c r="B547" s="389">
        <v>44469</v>
      </c>
      <c r="C547" s="390" t="s">
        <v>4685</v>
      </c>
      <c r="D547" s="391" t="s">
        <v>4686</v>
      </c>
      <c r="E547" s="391" t="s">
        <v>4158</v>
      </c>
      <c r="F547" s="392">
        <v>20997.84</v>
      </c>
      <c r="G547" s="393" t="s">
        <v>3800</v>
      </c>
      <c r="H547" s="394">
        <v>7.8131374021810132</v>
      </c>
      <c r="I547" s="394"/>
      <c r="J547" s="392">
        <v>1.9532843505452533</v>
      </c>
      <c r="K547" s="392">
        <v>1.9532843505452533</v>
      </c>
      <c r="L547" s="392">
        <v>1.9532843505452533</v>
      </c>
      <c r="M547" s="392">
        <v>1.9532843505452533</v>
      </c>
      <c r="N547" s="392"/>
    </row>
    <row r="548" spans="1:14" hidden="1" outlineLevel="2" x14ac:dyDescent="0.35">
      <c r="A548" s="388" t="s">
        <v>4650</v>
      </c>
      <c r="B548" s="389">
        <v>44500</v>
      </c>
      <c r="C548" s="390" t="s">
        <v>4687</v>
      </c>
      <c r="D548" s="391" t="s">
        <v>4688</v>
      </c>
      <c r="E548" s="391" t="s">
        <v>4158</v>
      </c>
      <c r="F548" s="392">
        <v>14528</v>
      </c>
      <c r="G548" s="393" t="s">
        <v>3800</v>
      </c>
      <c r="H548" s="394">
        <v>5.4057588865752741</v>
      </c>
      <c r="I548" s="394"/>
      <c r="J548" s="392">
        <v>1.3514397216438185</v>
      </c>
      <c r="K548" s="392">
        <v>1.3514397216438185</v>
      </c>
      <c r="L548" s="392">
        <v>1.3514397216438185</v>
      </c>
      <c r="M548" s="392">
        <v>1.3514397216438185</v>
      </c>
      <c r="N548" s="392"/>
    </row>
    <row r="549" spans="1:14" hidden="1" outlineLevel="2" x14ac:dyDescent="0.35">
      <c r="A549" s="388" t="s">
        <v>4650</v>
      </c>
      <c r="B549" s="389">
        <v>44500</v>
      </c>
      <c r="C549" s="390" t="s">
        <v>4689</v>
      </c>
      <c r="D549" s="391" t="s">
        <v>4690</v>
      </c>
      <c r="E549" s="391" t="s">
        <v>4158</v>
      </c>
      <c r="F549" s="392">
        <v>2999.99</v>
      </c>
      <c r="G549" s="393" t="s">
        <v>3800</v>
      </c>
      <c r="H549" s="394">
        <v>1.1162735821955503</v>
      </c>
      <c r="I549" s="394"/>
      <c r="J549" s="392">
        <v>0.27906839554888757</v>
      </c>
      <c r="K549" s="392">
        <v>0.27906839554888757</v>
      </c>
      <c r="L549" s="392">
        <v>0.27906839554888757</v>
      </c>
      <c r="M549" s="392">
        <v>0.27906839554888757</v>
      </c>
      <c r="N549" s="392"/>
    </row>
    <row r="550" spans="1:14" hidden="1" outlineLevel="2" x14ac:dyDescent="0.35">
      <c r="A550" s="388" t="s">
        <v>4650</v>
      </c>
      <c r="B550" s="389">
        <v>44530</v>
      </c>
      <c r="C550" s="390" t="s">
        <v>4691</v>
      </c>
      <c r="D550" s="391" t="s">
        <v>4692</v>
      </c>
      <c r="E550" s="391" t="s">
        <v>4158</v>
      </c>
      <c r="F550" s="392">
        <v>79952</v>
      </c>
      <c r="G550" s="393" t="s">
        <v>3800</v>
      </c>
      <c r="H550" s="394">
        <v>29.749534313013925</v>
      </c>
      <c r="I550" s="394"/>
      <c r="J550" s="392">
        <v>7.4373835782534812</v>
      </c>
      <c r="K550" s="392">
        <v>7.4373835782534812</v>
      </c>
      <c r="L550" s="392">
        <v>7.4373835782534812</v>
      </c>
      <c r="M550" s="392">
        <v>7.4373835782534812</v>
      </c>
      <c r="N550" s="392"/>
    </row>
    <row r="551" spans="1:14" hidden="1" outlineLevel="2" x14ac:dyDescent="0.35">
      <c r="A551" s="388" t="s">
        <v>4650</v>
      </c>
      <c r="B551" s="389">
        <v>44500</v>
      </c>
      <c r="C551" s="390" t="s">
        <v>4693</v>
      </c>
      <c r="D551" s="391" t="s">
        <v>4694</v>
      </c>
      <c r="E551" s="391" t="s">
        <v>4158</v>
      </c>
      <c r="F551" s="392">
        <v>39999.94</v>
      </c>
      <c r="G551" s="393" t="s">
        <v>3800</v>
      </c>
      <c r="H551" s="394">
        <v>14.883675049385861</v>
      </c>
      <c r="I551" s="394"/>
      <c r="J551" s="392">
        <v>3.7209187623464652</v>
      </c>
      <c r="K551" s="392">
        <v>3.7209187623464652</v>
      </c>
      <c r="L551" s="392">
        <v>3.7209187623464652</v>
      </c>
      <c r="M551" s="392">
        <v>3.7209187623464652</v>
      </c>
      <c r="N551" s="392"/>
    </row>
    <row r="552" spans="1:14" hidden="1" outlineLevel="2" x14ac:dyDescent="0.35">
      <c r="A552" s="388" t="s">
        <v>4650</v>
      </c>
      <c r="B552" s="389">
        <v>44500</v>
      </c>
      <c r="C552" s="390" t="s">
        <v>4695</v>
      </c>
      <c r="D552" s="391" t="s">
        <v>4696</v>
      </c>
      <c r="E552" s="391" t="s">
        <v>4158</v>
      </c>
      <c r="F552" s="392">
        <v>78999.899999999994</v>
      </c>
      <c r="G552" s="393" t="s">
        <v>3800</v>
      </c>
      <c r="H552" s="394">
        <v>29.395265106247106</v>
      </c>
      <c r="I552" s="394"/>
      <c r="J552" s="392">
        <v>7.3488162765617764</v>
      </c>
      <c r="K552" s="392">
        <v>7.3488162765617764</v>
      </c>
      <c r="L552" s="392">
        <v>7.3488162765617764</v>
      </c>
      <c r="M552" s="392">
        <v>7.3488162765617764</v>
      </c>
      <c r="N552" s="392"/>
    </row>
    <row r="553" spans="1:14" hidden="1" outlineLevel="2" x14ac:dyDescent="0.35">
      <c r="A553" s="388" t="s">
        <v>4650</v>
      </c>
      <c r="B553" s="389">
        <v>44561</v>
      </c>
      <c r="C553" s="390" t="s">
        <v>4697</v>
      </c>
      <c r="D553" s="391" t="s">
        <v>4698</v>
      </c>
      <c r="E553" s="391" t="s">
        <v>4158</v>
      </c>
      <c r="F553" s="392">
        <v>296000</v>
      </c>
      <c r="G553" s="393" t="s">
        <v>3800</v>
      </c>
      <c r="H553" s="394">
        <v>110.13936057449622</v>
      </c>
      <c r="I553" s="394"/>
      <c r="J553" s="392">
        <v>27.534840143624056</v>
      </c>
      <c r="K553" s="392">
        <v>27.534840143624056</v>
      </c>
      <c r="L553" s="392">
        <v>27.534840143624056</v>
      </c>
      <c r="M553" s="392">
        <v>27.534840143624056</v>
      </c>
      <c r="N553" s="392"/>
    </row>
    <row r="554" spans="1:14" hidden="1" outlineLevel="2" x14ac:dyDescent="0.35">
      <c r="A554" s="388" t="s">
        <v>4650</v>
      </c>
      <c r="B554" s="389">
        <v>44592</v>
      </c>
      <c r="C554" s="390" t="s">
        <v>4699</v>
      </c>
      <c r="D554" s="391" t="s">
        <v>4700</v>
      </c>
      <c r="E554" s="391" t="s">
        <v>4158</v>
      </c>
      <c r="F554" s="392">
        <v>98784</v>
      </c>
      <c r="G554" s="393" t="s">
        <v>3800</v>
      </c>
      <c r="H554" s="394">
        <v>36.756779037131878</v>
      </c>
      <c r="I554" s="394"/>
      <c r="J554" s="392">
        <v>9.1891947592829695</v>
      </c>
      <c r="K554" s="392">
        <v>9.1891947592829695</v>
      </c>
      <c r="L554" s="392">
        <v>9.1891947592829695</v>
      </c>
      <c r="M554" s="392">
        <v>9.1891947592829695</v>
      </c>
      <c r="N554" s="392"/>
    </row>
    <row r="555" spans="1:14" outlineLevel="1" collapsed="1" x14ac:dyDescent="0.35">
      <c r="A555" s="395" t="s">
        <v>4701</v>
      </c>
      <c r="B555" s="389"/>
      <c r="C555" s="390"/>
      <c r="D555" s="391"/>
      <c r="E555" s="391"/>
      <c r="F555" s="392"/>
      <c r="G555" s="393"/>
      <c r="H555" s="394">
        <f t="shared" ref="H555:N555" si="18">SUBTOTAL(9,H511:H554)</f>
        <v>1761.8540274419261</v>
      </c>
      <c r="I555" s="394"/>
      <c r="J555" s="392">
        <f t="shared" si="18"/>
        <v>440.46350686048152</v>
      </c>
      <c r="K555" s="392">
        <f t="shared" si="18"/>
        <v>440.46350686048152</v>
      </c>
      <c r="L555" s="392">
        <f t="shared" si="18"/>
        <v>440.46350686048152</v>
      </c>
      <c r="M555" s="392">
        <f t="shared" si="18"/>
        <v>440.46350686048152</v>
      </c>
      <c r="N555" s="392">
        <f t="shared" si="18"/>
        <v>0</v>
      </c>
    </row>
    <row r="556" spans="1:14" hidden="1" outlineLevel="2" x14ac:dyDescent="0.35">
      <c r="A556" s="388" t="s">
        <v>4702</v>
      </c>
      <c r="B556" s="389">
        <v>44266</v>
      </c>
      <c r="C556" s="390" t="s">
        <v>4526</v>
      </c>
      <c r="D556" s="391" t="s">
        <v>4527</v>
      </c>
      <c r="E556" s="391" t="s">
        <v>4703</v>
      </c>
      <c r="F556" s="392">
        <v>432882.89</v>
      </c>
      <c r="G556" s="393" t="s">
        <v>3800</v>
      </c>
      <c r="H556" s="394">
        <v>161.0724483386486</v>
      </c>
      <c r="I556" s="394"/>
      <c r="J556" s="392"/>
      <c r="K556" s="392"/>
      <c r="L556" s="392"/>
      <c r="M556" s="392"/>
      <c r="N556" s="392">
        <f t="shared" ref="N556:N619" si="19">H556</f>
        <v>161.0724483386486</v>
      </c>
    </row>
    <row r="557" spans="1:14" hidden="1" outlineLevel="2" x14ac:dyDescent="0.35">
      <c r="A557" s="388" t="s">
        <v>4702</v>
      </c>
      <c r="B557" s="389">
        <v>44266</v>
      </c>
      <c r="C557" s="390" t="s">
        <v>4529</v>
      </c>
      <c r="D557" s="391" t="s">
        <v>4530</v>
      </c>
      <c r="E557" s="391" t="s">
        <v>4272</v>
      </c>
      <c r="F557" s="392">
        <v>43288.289000000004</v>
      </c>
      <c r="G557" s="393" t="s">
        <v>3800</v>
      </c>
      <c r="H557" s="394">
        <v>16.107244833864861</v>
      </c>
      <c r="I557" s="394"/>
      <c r="J557" s="392"/>
      <c r="K557" s="392"/>
      <c r="L557" s="392"/>
      <c r="M557" s="392"/>
      <c r="N557" s="392">
        <f t="shared" si="19"/>
        <v>16.107244833864861</v>
      </c>
    </row>
    <row r="558" spans="1:14" hidden="1" outlineLevel="2" collapsed="1" x14ac:dyDescent="0.35">
      <c r="A558" s="388" t="s">
        <v>4702</v>
      </c>
      <c r="B558" s="389">
        <v>44266</v>
      </c>
      <c r="C558" s="390" t="s">
        <v>4531</v>
      </c>
      <c r="D558" s="391" t="s">
        <v>4051</v>
      </c>
      <c r="E558" s="391" t="s">
        <v>4042</v>
      </c>
      <c r="F558" s="392">
        <v>4328.8289000000004</v>
      </c>
      <c r="G558" s="393" t="s">
        <v>3800</v>
      </c>
      <c r="H558" s="394">
        <v>1.6107244833864862</v>
      </c>
      <c r="I558" s="394"/>
      <c r="J558" s="392"/>
      <c r="K558" s="392"/>
      <c r="L558" s="392"/>
      <c r="M558" s="392"/>
      <c r="N558" s="392">
        <f t="shared" si="19"/>
        <v>1.6107244833864862</v>
      </c>
    </row>
    <row r="559" spans="1:14" hidden="1" outlineLevel="2" x14ac:dyDescent="0.35">
      <c r="A559" s="388" t="s">
        <v>4702</v>
      </c>
      <c r="B559" s="389">
        <v>44266</v>
      </c>
      <c r="C559" s="390" t="s">
        <v>4526</v>
      </c>
      <c r="D559" s="391" t="s">
        <v>4527</v>
      </c>
      <c r="E559" s="391" t="s">
        <v>4704</v>
      </c>
      <c r="F559" s="392">
        <v>432882.89</v>
      </c>
      <c r="G559" s="393" t="s">
        <v>3800</v>
      </c>
      <c r="H559" s="394">
        <v>161.0724483386486</v>
      </c>
      <c r="I559" s="394"/>
      <c r="J559" s="392"/>
      <c r="K559" s="392"/>
      <c r="L559" s="392"/>
      <c r="M559" s="392"/>
      <c r="N559" s="392">
        <f t="shared" si="19"/>
        <v>161.0724483386486</v>
      </c>
    </row>
    <row r="560" spans="1:14" hidden="1" outlineLevel="2" x14ac:dyDescent="0.35">
      <c r="A560" s="388" t="s">
        <v>4702</v>
      </c>
      <c r="B560" s="389">
        <v>44266</v>
      </c>
      <c r="C560" s="390" t="s">
        <v>4529</v>
      </c>
      <c r="D560" s="391" t="s">
        <v>4530</v>
      </c>
      <c r="E560" s="391" t="s">
        <v>4272</v>
      </c>
      <c r="F560" s="392">
        <v>43288.289000000004</v>
      </c>
      <c r="G560" s="393" t="s">
        <v>3800</v>
      </c>
      <c r="H560" s="394">
        <v>16.107244833864861</v>
      </c>
      <c r="I560" s="394"/>
      <c r="J560" s="392"/>
      <c r="K560" s="392"/>
      <c r="L560" s="392"/>
      <c r="M560" s="392"/>
      <c r="N560" s="392">
        <f t="shared" si="19"/>
        <v>16.107244833864861</v>
      </c>
    </row>
    <row r="561" spans="1:14" hidden="1" outlineLevel="2" x14ac:dyDescent="0.35">
      <c r="A561" s="388" t="s">
        <v>4702</v>
      </c>
      <c r="B561" s="389">
        <v>44266</v>
      </c>
      <c r="C561" s="390" t="s">
        <v>4531</v>
      </c>
      <c r="D561" s="391" t="s">
        <v>4051</v>
      </c>
      <c r="E561" s="391" t="s">
        <v>4042</v>
      </c>
      <c r="F561" s="392">
        <v>4328.8289000000004</v>
      </c>
      <c r="G561" s="393" t="s">
        <v>3800</v>
      </c>
      <c r="H561" s="394">
        <v>1.6107244833864862</v>
      </c>
      <c r="I561" s="394"/>
      <c r="J561" s="392"/>
      <c r="K561" s="392"/>
      <c r="L561" s="392"/>
      <c r="M561" s="392"/>
      <c r="N561" s="392">
        <f t="shared" si="19"/>
        <v>1.6107244833864862</v>
      </c>
    </row>
    <row r="562" spans="1:14" hidden="1" outlineLevel="2" x14ac:dyDescent="0.35">
      <c r="A562" s="388" t="s">
        <v>4702</v>
      </c>
      <c r="B562" s="389">
        <v>44266</v>
      </c>
      <c r="C562" s="390" t="s">
        <v>4526</v>
      </c>
      <c r="D562" s="391" t="s">
        <v>4527</v>
      </c>
      <c r="E562" s="391" t="s">
        <v>4705</v>
      </c>
      <c r="F562" s="392">
        <v>432882.89</v>
      </c>
      <c r="G562" s="393" t="s">
        <v>3800</v>
      </c>
      <c r="H562" s="394">
        <v>161.0724483386486</v>
      </c>
      <c r="I562" s="394"/>
      <c r="J562" s="392"/>
      <c r="K562" s="392"/>
      <c r="L562" s="392"/>
      <c r="M562" s="392"/>
      <c r="N562" s="392">
        <f t="shared" si="19"/>
        <v>161.0724483386486</v>
      </c>
    </row>
    <row r="563" spans="1:14" hidden="1" outlineLevel="2" x14ac:dyDescent="0.35">
      <c r="A563" s="388" t="s">
        <v>4702</v>
      </c>
      <c r="B563" s="389">
        <v>44266</v>
      </c>
      <c r="C563" s="390" t="s">
        <v>4529</v>
      </c>
      <c r="D563" s="391" t="s">
        <v>4530</v>
      </c>
      <c r="E563" s="391" t="s">
        <v>4272</v>
      </c>
      <c r="F563" s="392">
        <v>43288.289000000004</v>
      </c>
      <c r="G563" s="393" t="s">
        <v>3800</v>
      </c>
      <c r="H563" s="394">
        <v>16.107244833864861</v>
      </c>
      <c r="I563" s="394"/>
      <c r="J563" s="392"/>
      <c r="K563" s="392"/>
      <c r="L563" s="392"/>
      <c r="M563" s="392"/>
      <c r="N563" s="392">
        <f t="shared" si="19"/>
        <v>16.107244833864861</v>
      </c>
    </row>
    <row r="564" spans="1:14" hidden="1" outlineLevel="2" x14ac:dyDescent="0.35">
      <c r="A564" s="388" t="s">
        <v>4702</v>
      </c>
      <c r="B564" s="389">
        <v>44266</v>
      </c>
      <c r="C564" s="390" t="s">
        <v>4531</v>
      </c>
      <c r="D564" s="391" t="s">
        <v>4051</v>
      </c>
      <c r="E564" s="391" t="s">
        <v>4042</v>
      </c>
      <c r="F564" s="392">
        <v>4328.8289000000004</v>
      </c>
      <c r="G564" s="393" t="s">
        <v>3800</v>
      </c>
      <c r="H564" s="394">
        <v>1.6107244833864862</v>
      </c>
      <c r="I564" s="394"/>
      <c r="J564" s="392"/>
      <c r="K564" s="392"/>
      <c r="L564" s="392"/>
      <c r="M564" s="392"/>
      <c r="N564" s="392">
        <f t="shared" si="19"/>
        <v>1.6107244833864862</v>
      </c>
    </row>
    <row r="565" spans="1:14" hidden="1" outlineLevel="2" x14ac:dyDescent="0.35">
      <c r="A565" s="388" t="s">
        <v>4702</v>
      </c>
      <c r="B565" s="389">
        <v>44266</v>
      </c>
      <c r="C565" s="390" t="s">
        <v>4526</v>
      </c>
      <c r="D565" s="391" t="s">
        <v>4527</v>
      </c>
      <c r="E565" s="391" t="s">
        <v>4706</v>
      </c>
      <c r="F565" s="392">
        <v>432882.89</v>
      </c>
      <c r="G565" s="393" t="s">
        <v>3800</v>
      </c>
      <c r="H565" s="394">
        <v>161.0724483386486</v>
      </c>
      <c r="I565" s="394"/>
      <c r="J565" s="392"/>
      <c r="K565" s="392"/>
      <c r="L565" s="392"/>
      <c r="M565" s="392"/>
      <c r="N565" s="392">
        <f t="shared" si="19"/>
        <v>161.0724483386486</v>
      </c>
    </row>
    <row r="566" spans="1:14" hidden="1" outlineLevel="2" x14ac:dyDescent="0.35">
      <c r="A566" s="388" t="s">
        <v>4702</v>
      </c>
      <c r="B566" s="389">
        <v>44266</v>
      </c>
      <c r="C566" s="390" t="s">
        <v>4529</v>
      </c>
      <c r="D566" s="391" t="s">
        <v>4530</v>
      </c>
      <c r="E566" s="391" t="s">
        <v>4272</v>
      </c>
      <c r="F566" s="392">
        <v>43288.289000000004</v>
      </c>
      <c r="G566" s="393" t="s">
        <v>3800</v>
      </c>
      <c r="H566" s="394">
        <v>16.107244833864861</v>
      </c>
      <c r="I566" s="394"/>
      <c r="J566" s="392"/>
      <c r="K566" s="392"/>
      <c r="L566" s="392"/>
      <c r="M566" s="392"/>
      <c r="N566" s="392">
        <f t="shared" si="19"/>
        <v>16.107244833864861</v>
      </c>
    </row>
    <row r="567" spans="1:14" hidden="1" outlineLevel="2" x14ac:dyDescent="0.35">
      <c r="A567" s="388" t="s">
        <v>4702</v>
      </c>
      <c r="B567" s="389">
        <v>44266</v>
      </c>
      <c r="C567" s="390" t="s">
        <v>4531</v>
      </c>
      <c r="D567" s="391" t="s">
        <v>4051</v>
      </c>
      <c r="E567" s="391" t="s">
        <v>4042</v>
      </c>
      <c r="F567" s="392">
        <v>4329.3689000000004</v>
      </c>
      <c r="G567" s="393" t="s">
        <v>3800</v>
      </c>
      <c r="H567" s="394">
        <v>1.6109254133010478</v>
      </c>
      <c r="I567" s="394"/>
      <c r="J567" s="392"/>
      <c r="K567" s="392"/>
      <c r="L567" s="392"/>
      <c r="M567" s="392"/>
      <c r="N567" s="392">
        <f t="shared" si="19"/>
        <v>1.6109254133010478</v>
      </c>
    </row>
    <row r="568" spans="1:14" hidden="1" outlineLevel="2" x14ac:dyDescent="0.35">
      <c r="A568" s="388" t="s">
        <v>4702</v>
      </c>
      <c r="B568" s="389">
        <v>44266</v>
      </c>
      <c r="C568" s="390" t="s">
        <v>4526</v>
      </c>
      <c r="D568" s="391" t="s">
        <v>4527</v>
      </c>
      <c r="E568" s="391" t="s">
        <v>4707</v>
      </c>
      <c r="F568" s="392">
        <v>432882.89</v>
      </c>
      <c r="G568" s="393" t="s">
        <v>3800</v>
      </c>
      <c r="H568" s="394">
        <v>161.0724483386486</v>
      </c>
      <c r="I568" s="394"/>
      <c r="J568" s="392"/>
      <c r="K568" s="392"/>
      <c r="L568" s="392"/>
      <c r="M568" s="392"/>
      <c r="N568" s="392">
        <f t="shared" si="19"/>
        <v>161.0724483386486</v>
      </c>
    </row>
    <row r="569" spans="1:14" hidden="1" outlineLevel="2" x14ac:dyDescent="0.35">
      <c r="A569" s="388" t="s">
        <v>4702</v>
      </c>
      <c r="B569" s="389">
        <v>44266</v>
      </c>
      <c r="C569" s="390" t="s">
        <v>4529</v>
      </c>
      <c r="D569" s="391" t="s">
        <v>4530</v>
      </c>
      <c r="E569" s="391" t="s">
        <v>4272</v>
      </c>
      <c r="F569" s="392">
        <v>43288.289000000004</v>
      </c>
      <c r="G569" s="393" t="s">
        <v>3800</v>
      </c>
      <c r="H569" s="394">
        <v>16.107244833864861</v>
      </c>
      <c r="I569" s="394"/>
      <c r="J569" s="392"/>
      <c r="K569" s="392"/>
      <c r="L569" s="392"/>
      <c r="M569" s="392"/>
      <c r="N569" s="392">
        <f t="shared" si="19"/>
        <v>16.107244833864861</v>
      </c>
    </row>
    <row r="570" spans="1:14" hidden="1" outlineLevel="2" x14ac:dyDescent="0.35">
      <c r="A570" s="388" t="s">
        <v>4702</v>
      </c>
      <c r="B570" s="389">
        <v>44266</v>
      </c>
      <c r="C570" s="390" t="s">
        <v>4531</v>
      </c>
      <c r="D570" s="391" t="s">
        <v>4051</v>
      </c>
      <c r="E570" s="391" t="s">
        <v>4042</v>
      </c>
      <c r="F570" s="392">
        <v>4328.8289000000004</v>
      </c>
      <c r="G570" s="393" t="s">
        <v>3800</v>
      </c>
      <c r="H570" s="394">
        <v>1.6107244833864862</v>
      </c>
      <c r="I570" s="394"/>
      <c r="J570" s="392"/>
      <c r="K570" s="392"/>
      <c r="L570" s="392"/>
      <c r="M570" s="392"/>
      <c r="N570" s="392">
        <f t="shared" si="19"/>
        <v>1.6107244833864862</v>
      </c>
    </row>
    <row r="571" spans="1:14" hidden="1" outlineLevel="2" x14ac:dyDescent="0.35">
      <c r="A571" s="388" t="s">
        <v>4702</v>
      </c>
      <c r="B571" s="389">
        <v>44266</v>
      </c>
      <c r="C571" s="390" t="s">
        <v>4526</v>
      </c>
      <c r="D571" s="391" t="s">
        <v>4527</v>
      </c>
      <c r="E571" s="391" t="s">
        <v>4708</v>
      </c>
      <c r="F571" s="392">
        <v>432882.89</v>
      </c>
      <c r="G571" s="393" t="s">
        <v>3800</v>
      </c>
      <c r="H571" s="394">
        <v>161.0724483386486</v>
      </c>
      <c r="I571" s="394"/>
      <c r="J571" s="392"/>
      <c r="K571" s="392"/>
      <c r="L571" s="392"/>
      <c r="M571" s="392"/>
      <c r="N571" s="392">
        <f t="shared" si="19"/>
        <v>161.0724483386486</v>
      </c>
    </row>
    <row r="572" spans="1:14" hidden="1" outlineLevel="2" x14ac:dyDescent="0.35">
      <c r="A572" s="388" t="s">
        <v>4702</v>
      </c>
      <c r="B572" s="389">
        <v>44266</v>
      </c>
      <c r="C572" s="390" t="s">
        <v>4529</v>
      </c>
      <c r="D572" s="391" t="s">
        <v>4530</v>
      </c>
      <c r="E572" s="391" t="s">
        <v>4272</v>
      </c>
      <c r="F572" s="392">
        <v>43288.289000000004</v>
      </c>
      <c r="G572" s="393" t="s">
        <v>3800</v>
      </c>
      <c r="H572" s="394">
        <v>16.107244833864861</v>
      </c>
      <c r="I572" s="394"/>
      <c r="J572" s="392"/>
      <c r="K572" s="392"/>
      <c r="L572" s="392"/>
      <c r="M572" s="392"/>
      <c r="N572" s="392">
        <f t="shared" si="19"/>
        <v>16.107244833864861</v>
      </c>
    </row>
    <row r="573" spans="1:14" hidden="1" outlineLevel="2" x14ac:dyDescent="0.35">
      <c r="A573" s="388" t="s">
        <v>4702</v>
      </c>
      <c r="B573" s="389">
        <v>44266</v>
      </c>
      <c r="C573" s="390" t="s">
        <v>4531</v>
      </c>
      <c r="D573" s="391" t="s">
        <v>4051</v>
      </c>
      <c r="E573" s="391" t="s">
        <v>4042</v>
      </c>
      <c r="F573" s="392">
        <v>4328.8289000000004</v>
      </c>
      <c r="G573" s="393" t="s">
        <v>3800</v>
      </c>
      <c r="H573" s="394">
        <v>1.6107244833864862</v>
      </c>
      <c r="I573" s="394"/>
      <c r="J573" s="392"/>
      <c r="K573" s="392"/>
      <c r="L573" s="392"/>
      <c r="M573" s="392"/>
      <c r="N573" s="392">
        <f t="shared" si="19"/>
        <v>1.6107244833864862</v>
      </c>
    </row>
    <row r="574" spans="1:14" hidden="1" outlineLevel="2" x14ac:dyDescent="0.35">
      <c r="A574" s="388" t="s">
        <v>4702</v>
      </c>
      <c r="B574" s="389">
        <v>44266</v>
      </c>
      <c r="C574" s="390" t="s">
        <v>4526</v>
      </c>
      <c r="D574" s="391" t="s">
        <v>4527</v>
      </c>
      <c r="E574" s="391" t="s">
        <v>4709</v>
      </c>
      <c r="F574" s="392">
        <v>432882.89</v>
      </c>
      <c r="G574" s="393" t="s">
        <v>3800</v>
      </c>
      <c r="H574" s="394">
        <v>161.0724483386486</v>
      </c>
      <c r="I574" s="394"/>
      <c r="J574" s="392"/>
      <c r="K574" s="392"/>
      <c r="L574" s="392"/>
      <c r="M574" s="392"/>
      <c r="N574" s="392">
        <f t="shared" si="19"/>
        <v>161.0724483386486</v>
      </c>
    </row>
    <row r="575" spans="1:14" hidden="1" outlineLevel="2" x14ac:dyDescent="0.35">
      <c r="A575" s="388" t="s">
        <v>4702</v>
      </c>
      <c r="B575" s="389">
        <v>44266</v>
      </c>
      <c r="C575" s="390" t="s">
        <v>4529</v>
      </c>
      <c r="D575" s="391" t="s">
        <v>4530</v>
      </c>
      <c r="E575" s="391" t="s">
        <v>4272</v>
      </c>
      <c r="F575" s="392">
        <v>43288.289000000004</v>
      </c>
      <c r="G575" s="393" t="s">
        <v>3800</v>
      </c>
      <c r="H575" s="394">
        <v>16.107244833864861</v>
      </c>
      <c r="I575" s="394"/>
      <c r="J575" s="392"/>
      <c r="K575" s="392"/>
      <c r="L575" s="392"/>
      <c r="M575" s="392"/>
      <c r="N575" s="392">
        <f t="shared" si="19"/>
        <v>16.107244833864861</v>
      </c>
    </row>
    <row r="576" spans="1:14" hidden="1" outlineLevel="2" x14ac:dyDescent="0.35">
      <c r="A576" s="388" t="s">
        <v>4702</v>
      </c>
      <c r="B576" s="389">
        <v>44266</v>
      </c>
      <c r="C576" s="390" t="s">
        <v>4531</v>
      </c>
      <c r="D576" s="391" t="s">
        <v>4051</v>
      </c>
      <c r="E576" s="391" t="s">
        <v>4042</v>
      </c>
      <c r="F576" s="392">
        <v>4328.8289000000004</v>
      </c>
      <c r="G576" s="393" t="s">
        <v>3800</v>
      </c>
      <c r="H576" s="394">
        <v>1.6107244833864862</v>
      </c>
      <c r="I576" s="394"/>
      <c r="J576" s="392"/>
      <c r="K576" s="392"/>
      <c r="L576" s="392"/>
      <c r="M576" s="392"/>
      <c r="N576" s="392">
        <f t="shared" si="19"/>
        <v>1.6107244833864862</v>
      </c>
    </row>
    <row r="577" spans="1:14" hidden="1" outlineLevel="2" x14ac:dyDescent="0.35">
      <c r="A577" s="388" t="s">
        <v>4702</v>
      </c>
      <c r="B577" s="389">
        <v>44266</v>
      </c>
      <c r="C577" s="390" t="s">
        <v>4526</v>
      </c>
      <c r="D577" s="391" t="s">
        <v>4527</v>
      </c>
      <c r="E577" s="391" t="s">
        <v>4710</v>
      </c>
      <c r="F577" s="392">
        <v>432882.89</v>
      </c>
      <c r="G577" s="393" t="s">
        <v>3800</v>
      </c>
      <c r="H577" s="394">
        <v>161.0724483386486</v>
      </c>
      <c r="I577" s="394"/>
      <c r="J577" s="392"/>
      <c r="K577" s="392"/>
      <c r="L577" s="392"/>
      <c r="M577" s="392"/>
      <c r="N577" s="392">
        <f t="shared" si="19"/>
        <v>161.0724483386486</v>
      </c>
    </row>
    <row r="578" spans="1:14" hidden="1" outlineLevel="2" x14ac:dyDescent="0.35">
      <c r="A578" s="388" t="s">
        <v>4702</v>
      </c>
      <c r="B578" s="389">
        <v>44266</v>
      </c>
      <c r="C578" s="390" t="s">
        <v>4529</v>
      </c>
      <c r="D578" s="391" t="s">
        <v>4530</v>
      </c>
      <c r="E578" s="391" t="s">
        <v>4272</v>
      </c>
      <c r="F578" s="392">
        <v>43288.289000000004</v>
      </c>
      <c r="G578" s="393" t="s">
        <v>3800</v>
      </c>
      <c r="H578" s="394">
        <v>16.107244833864861</v>
      </c>
      <c r="I578" s="394"/>
      <c r="J578" s="392"/>
      <c r="K578" s="392"/>
      <c r="L578" s="392"/>
      <c r="M578" s="392"/>
      <c r="N578" s="392">
        <f t="shared" si="19"/>
        <v>16.107244833864861</v>
      </c>
    </row>
    <row r="579" spans="1:14" hidden="1" outlineLevel="2" x14ac:dyDescent="0.35">
      <c r="A579" s="388" t="s">
        <v>4702</v>
      </c>
      <c r="B579" s="389">
        <v>44266</v>
      </c>
      <c r="C579" s="390" t="s">
        <v>4531</v>
      </c>
      <c r="D579" s="391" t="s">
        <v>4051</v>
      </c>
      <c r="E579" s="391" t="s">
        <v>4042</v>
      </c>
      <c r="F579" s="392">
        <v>4328.8289000000004</v>
      </c>
      <c r="G579" s="393" t="s">
        <v>3800</v>
      </c>
      <c r="H579" s="394">
        <v>1.6107244833864862</v>
      </c>
      <c r="I579" s="394"/>
      <c r="J579" s="392"/>
      <c r="K579" s="392"/>
      <c r="L579" s="392"/>
      <c r="M579" s="392"/>
      <c r="N579" s="392">
        <f t="shared" si="19"/>
        <v>1.6107244833864862</v>
      </c>
    </row>
    <row r="580" spans="1:14" hidden="1" outlineLevel="2" x14ac:dyDescent="0.35">
      <c r="A580" s="388" t="s">
        <v>4702</v>
      </c>
      <c r="B580" s="389">
        <v>44266</v>
      </c>
      <c r="C580" s="390" t="s">
        <v>4526</v>
      </c>
      <c r="D580" s="391" t="s">
        <v>4527</v>
      </c>
      <c r="E580" s="391" t="s">
        <v>4711</v>
      </c>
      <c r="F580" s="392">
        <v>432882.89</v>
      </c>
      <c r="G580" s="393" t="s">
        <v>3800</v>
      </c>
      <c r="H580" s="394">
        <v>161.0724483386486</v>
      </c>
      <c r="I580" s="394"/>
      <c r="J580" s="392"/>
      <c r="K580" s="392"/>
      <c r="L580" s="392"/>
      <c r="M580" s="392"/>
      <c r="N580" s="392">
        <f t="shared" si="19"/>
        <v>161.0724483386486</v>
      </c>
    </row>
    <row r="581" spans="1:14" hidden="1" outlineLevel="2" x14ac:dyDescent="0.35">
      <c r="A581" s="388" t="s">
        <v>4702</v>
      </c>
      <c r="B581" s="389">
        <v>44266</v>
      </c>
      <c r="C581" s="390" t="s">
        <v>4529</v>
      </c>
      <c r="D581" s="391" t="s">
        <v>4530</v>
      </c>
      <c r="E581" s="391" t="s">
        <v>4272</v>
      </c>
      <c r="F581" s="392">
        <v>43288.289000000004</v>
      </c>
      <c r="G581" s="393" t="s">
        <v>3800</v>
      </c>
      <c r="H581" s="394">
        <v>16.107244833864861</v>
      </c>
      <c r="I581" s="394"/>
      <c r="J581" s="392"/>
      <c r="K581" s="392"/>
      <c r="L581" s="392"/>
      <c r="M581" s="392"/>
      <c r="N581" s="392">
        <f t="shared" si="19"/>
        <v>16.107244833864861</v>
      </c>
    </row>
    <row r="582" spans="1:14" hidden="1" outlineLevel="2" x14ac:dyDescent="0.35">
      <c r="A582" s="388" t="s">
        <v>4702</v>
      </c>
      <c r="B582" s="389">
        <v>44266</v>
      </c>
      <c r="C582" s="390" t="s">
        <v>4531</v>
      </c>
      <c r="D582" s="391" t="s">
        <v>4051</v>
      </c>
      <c r="E582" s="391" t="s">
        <v>4042</v>
      </c>
      <c r="F582" s="392">
        <v>4328.8289000000004</v>
      </c>
      <c r="G582" s="393" t="s">
        <v>3800</v>
      </c>
      <c r="H582" s="394">
        <v>1.6107244833864862</v>
      </c>
      <c r="I582" s="394"/>
      <c r="J582" s="392"/>
      <c r="K582" s="392"/>
      <c r="L582" s="392"/>
      <c r="M582" s="392"/>
      <c r="N582" s="392">
        <f t="shared" si="19"/>
        <v>1.6107244833864862</v>
      </c>
    </row>
    <row r="583" spans="1:14" hidden="1" outlineLevel="2" x14ac:dyDescent="0.35">
      <c r="A583" s="388" t="s">
        <v>4702</v>
      </c>
      <c r="B583" s="389">
        <v>44266</v>
      </c>
      <c r="C583" s="390" t="s">
        <v>4526</v>
      </c>
      <c r="D583" s="391" t="s">
        <v>4527</v>
      </c>
      <c r="E583" s="391" t="s">
        <v>4712</v>
      </c>
      <c r="F583" s="392">
        <v>432882.89</v>
      </c>
      <c r="G583" s="393" t="s">
        <v>3800</v>
      </c>
      <c r="H583" s="394">
        <v>161.0724483386486</v>
      </c>
      <c r="I583" s="394"/>
      <c r="J583" s="392"/>
      <c r="K583" s="392"/>
      <c r="L583" s="392"/>
      <c r="M583" s="392"/>
      <c r="N583" s="392">
        <f t="shared" si="19"/>
        <v>161.0724483386486</v>
      </c>
    </row>
    <row r="584" spans="1:14" hidden="1" outlineLevel="2" x14ac:dyDescent="0.35">
      <c r="A584" s="388" t="s">
        <v>4702</v>
      </c>
      <c r="B584" s="389">
        <v>44266</v>
      </c>
      <c r="C584" s="390" t="s">
        <v>4529</v>
      </c>
      <c r="D584" s="391" t="s">
        <v>4530</v>
      </c>
      <c r="E584" s="391" t="s">
        <v>4272</v>
      </c>
      <c r="F584" s="392">
        <v>43288.289000000004</v>
      </c>
      <c r="G584" s="393" t="s">
        <v>3800</v>
      </c>
      <c r="H584" s="394">
        <v>16.107244833864861</v>
      </c>
      <c r="I584" s="394"/>
      <c r="J584" s="392"/>
      <c r="K584" s="392"/>
      <c r="L584" s="392"/>
      <c r="M584" s="392"/>
      <c r="N584" s="392">
        <f t="shared" si="19"/>
        <v>16.107244833864861</v>
      </c>
    </row>
    <row r="585" spans="1:14" hidden="1" outlineLevel="2" x14ac:dyDescent="0.35">
      <c r="A585" s="388" t="s">
        <v>4702</v>
      </c>
      <c r="B585" s="389">
        <v>44266</v>
      </c>
      <c r="C585" s="390" t="s">
        <v>4531</v>
      </c>
      <c r="D585" s="391" t="s">
        <v>4051</v>
      </c>
      <c r="E585" s="391" t="s">
        <v>4042</v>
      </c>
      <c r="F585" s="392">
        <v>4328.8289000000004</v>
      </c>
      <c r="G585" s="393" t="s">
        <v>3800</v>
      </c>
      <c r="H585" s="394">
        <v>1.6107244833864862</v>
      </c>
      <c r="I585" s="394"/>
      <c r="J585" s="392"/>
      <c r="K585" s="392"/>
      <c r="L585" s="392"/>
      <c r="M585" s="392"/>
      <c r="N585" s="392">
        <f t="shared" si="19"/>
        <v>1.6107244833864862</v>
      </c>
    </row>
    <row r="586" spans="1:14" hidden="1" outlineLevel="2" x14ac:dyDescent="0.35">
      <c r="A586" s="388" t="s">
        <v>4702</v>
      </c>
      <c r="B586" s="389">
        <v>44266</v>
      </c>
      <c r="C586" s="390" t="s">
        <v>4526</v>
      </c>
      <c r="D586" s="391" t="s">
        <v>4527</v>
      </c>
      <c r="E586" s="391" t="s">
        <v>4713</v>
      </c>
      <c r="F586" s="392">
        <v>432882.89</v>
      </c>
      <c r="G586" s="393" t="s">
        <v>3800</v>
      </c>
      <c r="H586" s="394">
        <v>161.0724483386486</v>
      </c>
      <c r="I586" s="394"/>
      <c r="J586" s="392"/>
      <c r="K586" s="392"/>
      <c r="L586" s="392"/>
      <c r="M586" s="392"/>
      <c r="N586" s="392">
        <f t="shared" si="19"/>
        <v>161.0724483386486</v>
      </c>
    </row>
    <row r="587" spans="1:14" hidden="1" outlineLevel="2" x14ac:dyDescent="0.35">
      <c r="A587" s="388" t="s">
        <v>4702</v>
      </c>
      <c r="B587" s="389">
        <v>44266</v>
      </c>
      <c r="C587" s="390" t="s">
        <v>4529</v>
      </c>
      <c r="D587" s="391" t="s">
        <v>4530</v>
      </c>
      <c r="E587" s="391" t="s">
        <v>4272</v>
      </c>
      <c r="F587" s="392">
        <v>43288.289000000004</v>
      </c>
      <c r="G587" s="393" t="s">
        <v>3800</v>
      </c>
      <c r="H587" s="394">
        <v>16.107244833864861</v>
      </c>
      <c r="I587" s="394"/>
      <c r="J587" s="392"/>
      <c r="K587" s="392"/>
      <c r="L587" s="392"/>
      <c r="M587" s="392"/>
      <c r="N587" s="392">
        <f t="shared" si="19"/>
        <v>16.107244833864861</v>
      </c>
    </row>
    <row r="588" spans="1:14" hidden="1" outlineLevel="2" x14ac:dyDescent="0.35">
      <c r="A588" s="388" t="s">
        <v>4702</v>
      </c>
      <c r="B588" s="389">
        <v>44266</v>
      </c>
      <c r="C588" s="390" t="s">
        <v>4531</v>
      </c>
      <c r="D588" s="391" t="s">
        <v>4051</v>
      </c>
      <c r="E588" s="391" t="s">
        <v>4042</v>
      </c>
      <c r="F588" s="392">
        <v>4328.8289000000004</v>
      </c>
      <c r="G588" s="393" t="s">
        <v>3800</v>
      </c>
      <c r="H588" s="394">
        <v>1.6107244833864862</v>
      </c>
      <c r="I588" s="394"/>
      <c r="J588" s="392"/>
      <c r="K588" s="392"/>
      <c r="L588" s="392"/>
      <c r="M588" s="392"/>
      <c r="N588" s="392">
        <f t="shared" si="19"/>
        <v>1.6107244833864862</v>
      </c>
    </row>
    <row r="589" spans="1:14" hidden="1" outlineLevel="2" x14ac:dyDescent="0.35">
      <c r="A589" s="388" t="s">
        <v>4702</v>
      </c>
      <c r="B589" s="389">
        <v>44266</v>
      </c>
      <c r="C589" s="390" t="s">
        <v>4526</v>
      </c>
      <c r="D589" s="391" t="s">
        <v>4527</v>
      </c>
      <c r="E589" s="391" t="s">
        <v>4714</v>
      </c>
      <c r="F589" s="392">
        <v>432882.89</v>
      </c>
      <c r="G589" s="393" t="s">
        <v>3800</v>
      </c>
      <c r="H589" s="394">
        <v>161.0724483386486</v>
      </c>
      <c r="I589" s="394"/>
      <c r="J589" s="392"/>
      <c r="K589" s="392"/>
      <c r="L589" s="392"/>
      <c r="M589" s="392"/>
      <c r="N589" s="392">
        <f t="shared" si="19"/>
        <v>161.0724483386486</v>
      </c>
    </row>
    <row r="590" spans="1:14" hidden="1" outlineLevel="2" x14ac:dyDescent="0.35">
      <c r="A590" s="388" t="s">
        <v>4702</v>
      </c>
      <c r="B590" s="389">
        <v>44266</v>
      </c>
      <c r="C590" s="390" t="s">
        <v>4529</v>
      </c>
      <c r="D590" s="391" t="s">
        <v>4530</v>
      </c>
      <c r="E590" s="391" t="s">
        <v>4272</v>
      </c>
      <c r="F590" s="392">
        <v>43288.289000000004</v>
      </c>
      <c r="G590" s="393" t="s">
        <v>3800</v>
      </c>
      <c r="H590" s="394">
        <v>16.107244833864861</v>
      </c>
      <c r="I590" s="394"/>
      <c r="J590" s="392"/>
      <c r="K590" s="392"/>
      <c r="L590" s="392"/>
      <c r="M590" s="392"/>
      <c r="N590" s="392">
        <f t="shared" si="19"/>
        <v>16.107244833864861</v>
      </c>
    </row>
    <row r="591" spans="1:14" hidden="1" outlineLevel="2" x14ac:dyDescent="0.35">
      <c r="A591" s="388" t="s">
        <v>4702</v>
      </c>
      <c r="B591" s="389">
        <v>44266</v>
      </c>
      <c r="C591" s="390" t="s">
        <v>4531</v>
      </c>
      <c r="D591" s="391" t="s">
        <v>4051</v>
      </c>
      <c r="E591" s="391" t="s">
        <v>4042</v>
      </c>
      <c r="F591" s="392">
        <v>4328.8289000000004</v>
      </c>
      <c r="G591" s="393" t="s">
        <v>3800</v>
      </c>
      <c r="H591" s="394">
        <v>1.6107244833864862</v>
      </c>
      <c r="I591" s="394"/>
      <c r="J591" s="392"/>
      <c r="K591" s="392"/>
      <c r="L591" s="392"/>
      <c r="M591" s="392"/>
      <c r="N591" s="392">
        <f t="shared" si="19"/>
        <v>1.6107244833864862</v>
      </c>
    </row>
    <row r="592" spans="1:14" hidden="1" outlineLevel="2" x14ac:dyDescent="0.35">
      <c r="A592" s="388" t="s">
        <v>4702</v>
      </c>
      <c r="B592" s="389">
        <v>44266</v>
      </c>
      <c r="C592" s="390" t="s">
        <v>4526</v>
      </c>
      <c r="D592" s="391" t="s">
        <v>4527</v>
      </c>
      <c r="E592" s="391" t="s">
        <v>4715</v>
      </c>
      <c r="F592" s="392">
        <v>432882.89</v>
      </c>
      <c r="G592" s="393" t="s">
        <v>3800</v>
      </c>
      <c r="H592" s="394">
        <v>161.0724483386486</v>
      </c>
      <c r="I592" s="394"/>
      <c r="J592" s="392"/>
      <c r="K592" s="392"/>
      <c r="L592" s="392"/>
      <c r="M592" s="392"/>
      <c r="N592" s="392">
        <f t="shared" si="19"/>
        <v>161.0724483386486</v>
      </c>
    </row>
    <row r="593" spans="1:14" hidden="1" outlineLevel="2" x14ac:dyDescent="0.35">
      <c r="A593" s="388" t="s">
        <v>4702</v>
      </c>
      <c r="B593" s="389">
        <v>44266</v>
      </c>
      <c r="C593" s="390" t="s">
        <v>4529</v>
      </c>
      <c r="D593" s="391" t="s">
        <v>4530</v>
      </c>
      <c r="E593" s="391" t="s">
        <v>4272</v>
      </c>
      <c r="F593" s="392">
        <v>43288.289000000004</v>
      </c>
      <c r="G593" s="393" t="s">
        <v>3800</v>
      </c>
      <c r="H593" s="394">
        <v>16.107244833864861</v>
      </c>
      <c r="I593" s="394"/>
      <c r="J593" s="392"/>
      <c r="K593" s="392"/>
      <c r="L593" s="392"/>
      <c r="M593" s="392"/>
      <c r="N593" s="392">
        <f t="shared" si="19"/>
        <v>16.107244833864861</v>
      </c>
    </row>
    <row r="594" spans="1:14" hidden="1" outlineLevel="2" x14ac:dyDescent="0.35">
      <c r="A594" s="388" t="s">
        <v>4702</v>
      </c>
      <c r="B594" s="389">
        <v>44266</v>
      </c>
      <c r="C594" s="390" t="s">
        <v>4531</v>
      </c>
      <c r="D594" s="391" t="s">
        <v>4051</v>
      </c>
      <c r="E594" s="391" t="s">
        <v>4042</v>
      </c>
      <c r="F594" s="392">
        <v>4328.8289000000004</v>
      </c>
      <c r="G594" s="393" t="s">
        <v>3800</v>
      </c>
      <c r="H594" s="394">
        <v>1.6107244833864862</v>
      </c>
      <c r="I594" s="394"/>
      <c r="J594" s="392"/>
      <c r="K594" s="392"/>
      <c r="L594" s="392"/>
      <c r="M594" s="392"/>
      <c r="N594" s="392">
        <f t="shared" si="19"/>
        <v>1.6107244833864862</v>
      </c>
    </row>
    <row r="595" spans="1:14" hidden="1" outlineLevel="2" x14ac:dyDescent="0.35">
      <c r="A595" s="388" t="s">
        <v>4702</v>
      </c>
      <c r="B595" s="389">
        <v>44266</v>
      </c>
      <c r="C595" s="390" t="s">
        <v>4526</v>
      </c>
      <c r="D595" s="391" t="s">
        <v>4527</v>
      </c>
      <c r="E595" s="391" t="s">
        <v>4716</v>
      </c>
      <c r="F595" s="392">
        <v>432882.89</v>
      </c>
      <c r="G595" s="393" t="s">
        <v>3800</v>
      </c>
      <c r="H595" s="394">
        <v>161.0724483386486</v>
      </c>
      <c r="I595" s="394"/>
      <c r="J595" s="392"/>
      <c r="K595" s="392"/>
      <c r="L595" s="392"/>
      <c r="M595" s="392"/>
      <c r="N595" s="392">
        <f t="shared" si="19"/>
        <v>161.0724483386486</v>
      </c>
    </row>
    <row r="596" spans="1:14" hidden="1" outlineLevel="2" x14ac:dyDescent="0.35">
      <c r="A596" s="388" t="s">
        <v>4702</v>
      </c>
      <c r="B596" s="389">
        <v>44266</v>
      </c>
      <c r="C596" s="390" t="s">
        <v>4529</v>
      </c>
      <c r="D596" s="391" t="s">
        <v>4530</v>
      </c>
      <c r="E596" s="391" t="s">
        <v>4272</v>
      </c>
      <c r="F596" s="392">
        <v>43288.289000000004</v>
      </c>
      <c r="G596" s="393" t="s">
        <v>3800</v>
      </c>
      <c r="H596" s="394">
        <v>16.107244833864861</v>
      </c>
      <c r="I596" s="394"/>
      <c r="J596" s="392"/>
      <c r="K596" s="392"/>
      <c r="L596" s="392"/>
      <c r="M596" s="392"/>
      <c r="N596" s="392">
        <f t="shared" si="19"/>
        <v>16.107244833864861</v>
      </c>
    </row>
    <row r="597" spans="1:14" hidden="1" outlineLevel="2" x14ac:dyDescent="0.35">
      <c r="A597" s="388" t="s">
        <v>4702</v>
      </c>
      <c r="B597" s="389">
        <v>44266</v>
      </c>
      <c r="C597" s="390" t="s">
        <v>4531</v>
      </c>
      <c r="D597" s="391" t="s">
        <v>4051</v>
      </c>
      <c r="E597" s="391" t="s">
        <v>4042</v>
      </c>
      <c r="F597" s="392">
        <v>4328.8289000000004</v>
      </c>
      <c r="G597" s="393" t="s">
        <v>3800</v>
      </c>
      <c r="H597" s="394">
        <v>1.6107244833864862</v>
      </c>
      <c r="I597" s="394"/>
      <c r="J597" s="392"/>
      <c r="K597" s="392"/>
      <c r="L597" s="392"/>
      <c r="M597" s="392"/>
      <c r="N597" s="392">
        <f t="shared" si="19"/>
        <v>1.6107244833864862</v>
      </c>
    </row>
    <row r="598" spans="1:14" hidden="1" outlineLevel="2" x14ac:dyDescent="0.35">
      <c r="A598" s="388" t="s">
        <v>4702</v>
      </c>
      <c r="B598" s="389">
        <v>44266</v>
      </c>
      <c r="C598" s="390" t="s">
        <v>4526</v>
      </c>
      <c r="D598" s="391" t="s">
        <v>4527</v>
      </c>
      <c r="E598" s="391" t="s">
        <v>4717</v>
      </c>
      <c r="F598" s="392">
        <v>432882.89</v>
      </c>
      <c r="G598" s="393" t="s">
        <v>3800</v>
      </c>
      <c r="H598" s="394">
        <v>161.0724483386486</v>
      </c>
      <c r="I598" s="394"/>
      <c r="J598" s="392"/>
      <c r="K598" s="392"/>
      <c r="L598" s="392"/>
      <c r="M598" s="392"/>
      <c r="N598" s="392">
        <f t="shared" si="19"/>
        <v>161.0724483386486</v>
      </c>
    </row>
    <row r="599" spans="1:14" hidden="1" outlineLevel="2" x14ac:dyDescent="0.35">
      <c r="A599" s="388" t="s">
        <v>4702</v>
      </c>
      <c r="B599" s="389">
        <v>44266</v>
      </c>
      <c r="C599" s="390" t="s">
        <v>4529</v>
      </c>
      <c r="D599" s="391" t="s">
        <v>4530</v>
      </c>
      <c r="E599" s="391" t="s">
        <v>4272</v>
      </c>
      <c r="F599" s="392">
        <v>43288.289000000004</v>
      </c>
      <c r="G599" s="393" t="s">
        <v>3800</v>
      </c>
      <c r="H599" s="394">
        <v>16.107244833864861</v>
      </c>
      <c r="I599" s="394"/>
      <c r="J599" s="392"/>
      <c r="K599" s="392"/>
      <c r="L599" s="392"/>
      <c r="M599" s="392"/>
      <c r="N599" s="392">
        <f t="shared" si="19"/>
        <v>16.107244833864861</v>
      </c>
    </row>
    <row r="600" spans="1:14" hidden="1" outlineLevel="2" x14ac:dyDescent="0.35">
      <c r="A600" s="388" t="s">
        <v>4702</v>
      </c>
      <c r="B600" s="389">
        <v>44266</v>
      </c>
      <c r="C600" s="390" t="s">
        <v>4531</v>
      </c>
      <c r="D600" s="391" t="s">
        <v>4051</v>
      </c>
      <c r="E600" s="391" t="s">
        <v>4042</v>
      </c>
      <c r="F600" s="392">
        <v>4328.8289000000004</v>
      </c>
      <c r="G600" s="393" t="s">
        <v>3800</v>
      </c>
      <c r="H600" s="394">
        <v>1.6107244833864862</v>
      </c>
      <c r="I600" s="394"/>
      <c r="J600" s="392"/>
      <c r="K600" s="392"/>
      <c r="L600" s="392"/>
      <c r="M600" s="392"/>
      <c r="N600" s="392">
        <f t="shared" si="19"/>
        <v>1.6107244833864862</v>
      </c>
    </row>
    <row r="601" spans="1:14" hidden="1" outlineLevel="2" x14ac:dyDescent="0.35">
      <c r="A601" s="388" t="s">
        <v>4702</v>
      </c>
      <c r="B601" s="389">
        <v>44266</v>
      </c>
      <c r="C601" s="390" t="s">
        <v>4526</v>
      </c>
      <c r="D601" s="391" t="s">
        <v>4527</v>
      </c>
      <c r="E601" s="391" t="s">
        <v>4718</v>
      </c>
      <c r="F601" s="392">
        <v>432882.89</v>
      </c>
      <c r="G601" s="393" t="s">
        <v>3800</v>
      </c>
      <c r="H601" s="394">
        <v>161.0724483386486</v>
      </c>
      <c r="I601" s="394"/>
      <c r="J601" s="392"/>
      <c r="K601" s="392"/>
      <c r="L601" s="392"/>
      <c r="M601" s="392"/>
      <c r="N601" s="392">
        <f t="shared" si="19"/>
        <v>161.0724483386486</v>
      </c>
    </row>
    <row r="602" spans="1:14" hidden="1" outlineLevel="2" x14ac:dyDescent="0.35">
      <c r="A602" s="388" t="s">
        <v>4702</v>
      </c>
      <c r="B602" s="389">
        <v>44266</v>
      </c>
      <c r="C602" s="390" t="s">
        <v>4529</v>
      </c>
      <c r="D602" s="391" t="s">
        <v>4530</v>
      </c>
      <c r="E602" s="391" t="s">
        <v>4272</v>
      </c>
      <c r="F602" s="392">
        <v>43288.289000000004</v>
      </c>
      <c r="G602" s="393" t="s">
        <v>3800</v>
      </c>
      <c r="H602" s="394">
        <v>16.107244833864861</v>
      </c>
      <c r="I602" s="394"/>
      <c r="J602" s="392"/>
      <c r="K602" s="392"/>
      <c r="L602" s="392"/>
      <c r="M602" s="392"/>
      <c r="N602" s="392">
        <f t="shared" si="19"/>
        <v>16.107244833864861</v>
      </c>
    </row>
    <row r="603" spans="1:14" hidden="1" outlineLevel="2" x14ac:dyDescent="0.35">
      <c r="A603" s="388" t="s">
        <v>4702</v>
      </c>
      <c r="B603" s="389">
        <v>44266</v>
      </c>
      <c r="C603" s="390" t="s">
        <v>4531</v>
      </c>
      <c r="D603" s="391" t="s">
        <v>4051</v>
      </c>
      <c r="E603" s="391" t="s">
        <v>4042</v>
      </c>
      <c r="F603" s="392">
        <v>4328.8289000000004</v>
      </c>
      <c r="G603" s="393" t="s">
        <v>3800</v>
      </c>
      <c r="H603" s="394">
        <v>1.6107244833864862</v>
      </c>
      <c r="I603" s="394"/>
      <c r="J603" s="392"/>
      <c r="K603" s="392"/>
      <c r="L603" s="392"/>
      <c r="M603" s="392"/>
      <c r="N603" s="392">
        <f t="shared" si="19"/>
        <v>1.6107244833864862</v>
      </c>
    </row>
    <row r="604" spans="1:14" hidden="1" outlineLevel="2" x14ac:dyDescent="0.35">
      <c r="A604" s="388" t="s">
        <v>4702</v>
      </c>
      <c r="B604" s="389">
        <v>44284</v>
      </c>
      <c r="C604" s="390" t="s">
        <v>4532</v>
      </c>
      <c r="D604" s="391" t="s">
        <v>4533</v>
      </c>
      <c r="E604" s="391" t="s">
        <v>4703</v>
      </c>
      <c r="F604" s="392">
        <v>865765.77</v>
      </c>
      <c r="G604" s="393" t="s">
        <v>3800</v>
      </c>
      <c r="H604" s="394">
        <v>322.14489295637287</v>
      </c>
      <c r="I604" s="394"/>
      <c r="J604" s="392"/>
      <c r="K604" s="392"/>
      <c r="L604" s="392"/>
      <c r="M604" s="392"/>
      <c r="N604" s="392">
        <f t="shared" si="19"/>
        <v>322.14489295637287</v>
      </c>
    </row>
    <row r="605" spans="1:14" hidden="1" outlineLevel="2" x14ac:dyDescent="0.35">
      <c r="A605" s="388" t="s">
        <v>4702</v>
      </c>
      <c r="B605" s="389">
        <v>44284</v>
      </c>
      <c r="C605" s="390" t="s">
        <v>4534</v>
      </c>
      <c r="D605" s="391" t="s">
        <v>4535</v>
      </c>
      <c r="E605" s="391" t="s">
        <v>4272</v>
      </c>
      <c r="F605" s="392">
        <v>86576.577000000005</v>
      </c>
      <c r="G605" s="393" t="s">
        <v>3800</v>
      </c>
      <c r="H605" s="394">
        <v>32.214489295637286</v>
      </c>
      <c r="I605" s="394"/>
      <c r="J605" s="392"/>
      <c r="K605" s="392"/>
      <c r="L605" s="392"/>
      <c r="M605" s="392"/>
      <c r="N605" s="392">
        <f t="shared" si="19"/>
        <v>32.214489295637286</v>
      </c>
    </row>
    <row r="606" spans="1:14" hidden="1" outlineLevel="2" x14ac:dyDescent="0.35">
      <c r="A606" s="388" t="s">
        <v>4702</v>
      </c>
      <c r="B606" s="389">
        <v>44284</v>
      </c>
      <c r="C606" s="390" t="s">
        <v>4536</v>
      </c>
      <c r="D606" s="391" t="s">
        <v>4061</v>
      </c>
      <c r="E606" s="391" t="s">
        <v>4042</v>
      </c>
      <c r="F606" s="392">
        <v>8657.6576999999997</v>
      </c>
      <c r="G606" s="393" t="s">
        <v>3800</v>
      </c>
      <c r="H606" s="394">
        <v>3.2214489295637283</v>
      </c>
      <c r="I606" s="394"/>
      <c r="J606" s="392"/>
      <c r="K606" s="392"/>
      <c r="L606" s="392"/>
      <c r="M606" s="392"/>
      <c r="N606" s="392">
        <f t="shared" si="19"/>
        <v>3.2214489295637283</v>
      </c>
    </row>
    <row r="607" spans="1:14" hidden="1" outlineLevel="2" x14ac:dyDescent="0.35">
      <c r="A607" s="388" t="s">
        <v>4702</v>
      </c>
      <c r="B607" s="389">
        <v>44284</v>
      </c>
      <c r="C607" s="390" t="s">
        <v>4532</v>
      </c>
      <c r="D607" s="391" t="s">
        <v>4533</v>
      </c>
      <c r="E607" s="391" t="s">
        <v>4719</v>
      </c>
      <c r="F607" s="392">
        <v>865765.77</v>
      </c>
      <c r="G607" s="393" t="s">
        <v>3800</v>
      </c>
      <c r="H607" s="394">
        <v>322.14489295637287</v>
      </c>
      <c r="I607" s="394"/>
      <c r="J607" s="392"/>
      <c r="K607" s="392"/>
      <c r="L607" s="392"/>
      <c r="M607" s="392"/>
      <c r="N607" s="392">
        <f t="shared" si="19"/>
        <v>322.14489295637287</v>
      </c>
    </row>
    <row r="608" spans="1:14" hidden="1" outlineLevel="2" x14ac:dyDescent="0.35">
      <c r="A608" s="388" t="s">
        <v>4702</v>
      </c>
      <c r="B608" s="389">
        <v>44284</v>
      </c>
      <c r="C608" s="390" t="s">
        <v>4534</v>
      </c>
      <c r="D608" s="391" t="s">
        <v>4535</v>
      </c>
      <c r="E608" s="391" t="s">
        <v>4272</v>
      </c>
      <c r="F608" s="392">
        <v>86576.577000000005</v>
      </c>
      <c r="G608" s="393" t="s">
        <v>3800</v>
      </c>
      <c r="H608" s="394">
        <v>32.214489295637286</v>
      </c>
      <c r="I608" s="394"/>
      <c r="J608" s="392"/>
      <c r="K608" s="392"/>
      <c r="L608" s="392"/>
      <c r="M608" s="392"/>
      <c r="N608" s="392">
        <f t="shared" si="19"/>
        <v>32.214489295637286</v>
      </c>
    </row>
    <row r="609" spans="1:14" hidden="1" outlineLevel="2" x14ac:dyDescent="0.35">
      <c r="A609" s="388" t="s">
        <v>4702</v>
      </c>
      <c r="B609" s="389">
        <v>44284</v>
      </c>
      <c r="C609" s="390" t="s">
        <v>4536</v>
      </c>
      <c r="D609" s="391" t="s">
        <v>4061</v>
      </c>
      <c r="E609" s="391" t="s">
        <v>4042</v>
      </c>
      <c r="F609" s="392">
        <v>8657.6576999999997</v>
      </c>
      <c r="G609" s="393" t="s">
        <v>3800</v>
      </c>
      <c r="H609" s="394">
        <v>3.2214489295637283</v>
      </c>
      <c r="I609" s="394"/>
      <c r="J609" s="392"/>
      <c r="K609" s="392"/>
      <c r="L609" s="392"/>
      <c r="M609" s="392"/>
      <c r="N609" s="392">
        <f t="shared" si="19"/>
        <v>3.2214489295637283</v>
      </c>
    </row>
    <row r="610" spans="1:14" hidden="1" outlineLevel="2" x14ac:dyDescent="0.35">
      <c r="A610" s="388" t="s">
        <v>4702</v>
      </c>
      <c r="B610" s="389">
        <v>44284</v>
      </c>
      <c r="C610" s="390" t="s">
        <v>4532</v>
      </c>
      <c r="D610" s="391" t="s">
        <v>4533</v>
      </c>
      <c r="E610" s="391" t="s">
        <v>4705</v>
      </c>
      <c r="F610" s="392">
        <v>865765.77</v>
      </c>
      <c r="G610" s="393" t="s">
        <v>3800</v>
      </c>
      <c r="H610" s="394">
        <v>322.14489295637287</v>
      </c>
      <c r="I610" s="394"/>
      <c r="J610" s="392"/>
      <c r="K610" s="392"/>
      <c r="L610" s="392"/>
      <c r="M610" s="392"/>
      <c r="N610" s="392">
        <f t="shared" si="19"/>
        <v>322.14489295637287</v>
      </c>
    </row>
    <row r="611" spans="1:14" hidden="1" outlineLevel="2" x14ac:dyDescent="0.35">
      <c r="A611" s="388" t="s">
        <v>4702</v>
      </c>
      <c r="B611" s="389">
        <v>44284</v>
      </c>
      <c r="C611" s="390" t="s">
        <v>4534</v>
      </c>
      <c r="D611" s="391" t="s">
        <v>4535</v>
      </c>
      <c r="E611" s="391" t="s">
        <v>4272</v>
      </c>
      <c r="F611" s="392">
        <v>86576.577000000005</v>
      </c>
      <c r="G611" s="393" t="s">
        <v>3800</v>
      </c>
      <c r="H611" s="394">
        <v>32.214489295637286</v>
      </c>
      <c r="I611" s="394"/>
      <c r="J611" s="392"/>
      <c r="K611" s="392"/>
      <c r="L611" s="392"/>
      <c r="M611" s="392"/>
      <c r="N611" s="392">
        <f t="shared" si="19"/>
        <v>32.214489295637286</v>
      </c>
    </row>
    <row r="612" spans="1:14" hidden="1" outlineLevel="2" x14ac:dyDescent="0.35">
      <c r="A612" s="388" t="s">
        <v>4702</v>
      </c>
      <c r="B612" s="389">
        <v>44284</v>
      </c>
      <c r="C612" s="390" t="s">
        <v>4536</v>
      </c>
      <c r="D612" s="391" t="s">
        <v>4061</v>
      </c>
      <c r="E612" s="391" t="s">
        <v>4042</v>
      </c>
      <c r="F612" s="392">
        <v>8657.6576999999997</v>
      </c>
      <c r="G612" s="393" t="s">
        <v>3800</v>
      </c>
      <c r="H612" s="394">
        <v>3.2214489295637283</v>
      </c>
      <c r="I612" s="394"/>
      <c r="J612" s="392"/>
      <c r="K612" s="392"/>
      <c r="L612" s="392"/>
      <c r="M612" s="392"/>
      <c r="N612" s="392">
        <f t="shared" si="19"/>
        <v>3.2214489295637283</v>
      </c>
    </row>
    <row r="613" spans="1:14" hidden="1" outlineLevel="2" x14ac:dyDescent="0.35">
      <c r="A613" s="388" t="s">
        <v>4702</v>
      </c>
      <c r="B613" s="389">
        <v>44284</v>
      </c>
      <c r="C613" s="390" t="s">
        <v>4532</v>
      </c>
      <c r="D613" s="391" t="s">
        <v>4533</v>
      </c>
      <c r="E613" s="391" t="s">
        <v>4706</v>
      </c>
      <c r="F613" s="392">
        <v>865765.77</v>
      </c>
      <c r="G613" s="393" t="s">
        <v>3800</v>
      </c>
      <c r="H613" s="394">
        <v>322.14489295637287</v>
      </c>
      <c r="I613" s="394"/>
      <c r="J613" s="392"/>
      <c r="K613" s="392"/>
      <c r="L613" s="392"/>
      <c r="M613" s="392"/>
      <c r="N613" s="392">
        <f t="shared" si="19"/>
        <v>322.14489295637287</v>
      </c>
    </row>
    <row r="614" spans="1:14" hidden="1" outlineLevel="2" x14ac:dyDescent="0.35">
      <c r="A614" s="388" t="s">
        <v>4702</v>
      </c>
      <c r="B614" s="389">
        <v>44284</v>
      </c>
      <c r="C614" s="390" t="s">
        <v>4534</v>
      </c>
      <c r="D614" s="391" t="s">
        <v>4535</v>
      </c>
      <c r="E614" s="391" t="s">
        <v>4272</v>
      </c>
      <c r="F614" s="392">
        <v>86576.577000000005</v>
      </c>
      <c r="G614" s="393" t="s">
        <v>3800</v>
      </c>
      <c r="H614" s="394">
        <v>32.214489295637286</v>
      </c>
      <c r="I614" s="394"/>
      <c r="J614" s="392"/>
      <c r="K614" s="392"/>
      <c r="L614" s="392"/>
      <c r="M614" s="392"/>
      <c r="N614" s="392">
        <f t="shared" si="19"/>
        <v>32.214489295637286</v>
      </c>
    </row>
    <row r="615" spans="1:14" hidden="1" outlineLevel="2" x14ac:dyDescent="0.35">
      <c r="A615" s="388" t="s">
        <v>4702</v>
      </c>
      <c r="B615" s="389">
        <v>44284</v>
      </c>
      <c r="C615" s="390" t="s">
        <v>4536</v>
      </c>
      <c r="D615" s="391" t="s">
        <v>4061</v>
      </c>
      <c r="E615" s="391" t="s">
        <v>4042</v>
      </c>
      <c r="F615" s="392">
        <v>8657.6576999999997</v>
      </c>
      <c r="G615" s="393" t="s">
        <v>3800</v>
      </c>
      <c r="H615" s="394">
        <v>3.2214489295637283</v>
      </c>
      <c r="I615" s="394"/>
      <c r="J615" s="392"/>
      <c r="K615" s="392"/>
      <c r="L615" s="392"/>
      <c r="M615" s="392"/>
      <c r="N615" s="392">
        <f t="shared" si="19"/>
        <v>3.2214489295637283</v>
      </c>
    </row>
    <row r="616" spans="1:14" hidden="1" outlineLevel="2" x14ac:dyDescent="0.35">
      <c r="A616" s="388" t="s">
        <v>4702</v>
      </c>
      <c r="B616" s="389">
        <v>44284</v>
      </c>
      <c r="C616" s="390" t="s">
        <v>4532</v>
      </c>
      <c r="D616" s="391" t="s">
        <v>4533</v>
      </c>
      <c r="E616" s="391" t="s">
        <v>4707</v>
      </c>
      <c r="F616" s="392">
        <v>865765.77</v>
      </c>
      <c r="G616" s="393" t="s">
        <v>3800</v>
      </c>
      <c r="H616" s="394">
        <v>322.14489295637287</v>
      </c>
      <c r="I616" s="394"/>
      <c r="J616" s="392"/>
      <c r="K616" s="392"/>
      <c r="L616" s="392"/>
      <c r="M616" s="392"/>
      <c r="N616" s="392">
        <f t="shared" si="19"/>
        <v>322.14489295637287</v>
      </c>
    </row>
    <row r="617" spans="1:14" hidden="1" outlineLevel="2" x14ac:dyDescent="0.35">
      <c r="A617" s="388" t="s">
        <v>4702</v>
      </c>
      <c r="B617" s="389">
        <v>44284</v>
      </c>
      <c r="C617" s="390" t="s">
        <v>4534</v>
      </c>
      <c r="D617" s="391" t="s">
        <v>4535</v>
      </c>
      <c r="E617" s="391" t="s">
        <v>4272</v>
      </c>
      <c r="F617" s="392">
        <v>86576.577000000005</v>
      </c>
      <c r="G617" s="393" t="s">
        <v>3800</v>
      </c>
      <c r="H617" s="394">
        <v>32.214489295637286</v>
      </c>
      <c r="I617" s="394"/>
      <c r="J617" s="392"/>
      <c r="K617" s="392"/>
      <c r="L617" s="392"/>
      <c r="M617" s="392"/>
      <c r="N617" s="392">
        <f t="shared" si="19"/>
        <v>32.214489295637286</v>
      </c>
    </row>
    <row r="618" spans="1:14" hidden="1" outlineLevel="2" x14ac:dyDescent="0.35">
      <c r="A618" s="388" t="s">
        <v>4702</v>
      </c>
      <c r="B618" s="389">
        <v>44284</v>
      </c>
      <c r="C618" s="390" t="s">
        <v>4536</v>
      </c>
      <c r="D618" s="391" t="s">
        <v>4061</v>
      </c>
      <c r="E618" s="391" t="s">
        <v>4042</v>
      </c>
      <c r="F618" s="392">
        <v>8657.6576999999997</v>
      </c>
      <c r="G618" s="393" t="s">
        <v>3800</v>
      </c>
      <c r="H618" s="394">
        <v>3.2214489295637283</v>
      </c>
      <c r="I618" s="394"/>
      <c r="J618" s="392"/>
      <c r="K618" s="392"/>
      <c r="L618" s="392"/>
      <c r="M618" s="392"/>
      <c r="N618" s="392">
        <f t="shared" si="19"/>
        <v>3.2214489295637283</v>
      </c>
    </row>
    <row r="619" spans="1:14" hidden="1" outlineLevel="2" x14ac:dyDescent="0.35">
      <c r="A619" s="388" t="s">
        <v>4702</v>
      </c>
      <c r="B619" s="389">
        <v>44284</v>
      </c>
      <c r="C619" s="390" t="s">
        <v>4532</v>
      </c>
      <c r="D619" s="391" t="s">
        <v>4533</v>
      </c>
      <c r="E619" s="391" t="s">
        <v>4708</v>
      </c>
      <c r="F619" s="392">
        <v>865765.77</v>
      </c>
      <c r="G619" s="393" t="s">
        <v>3800</v>
      </c>
      <c r="H619" s="394">
        <v>322.14489295637287</v>
      </c>
      <c r="I619" s="394"/>
      <c r="J619" s="392"/>
      <c r="K619" s="392"/>
      <c r="L619" s="392"/>
      <c r="M619" s="392"/>
      <c r="N619" s="392">
        <f t="shared" si="19"/>
        <v>322.14489295637287</v>
      </c>
    </row>
    <row r="620" spans="1:14" hidden="1" outlineLevel="2" x14ac:dyDescent="0.35">
      <c r="A620" s="388" t="s">
        <v>4702</v>
      </c>
      <c r="B620" s="389">
        <v>44284</v>
      </c>
      <c r="C620" s="390" t="s">
        <v>4534</v>
      </c>
      <c r="D620" s="391" t="s">
        <v>4535</v>
      </c>
      <c r="E620" s="391" t="s">
        <v>4272</v>
      </c>
      <c r="F620" s="392">
        <v>86576.577000000005</v>
      </c>
      <c r="G620" s="393" t="s">
        <v>3800</v>
      </c>
      <c r="H620" s="394">
        <v>32.214489295637286</v>
      </c>
      <c r="I620" s="394"/>
      <c r="J620" s="392"/>
      <c r="K620" s="392"/>
      <c r="L620" s="392"/>
      <c r="M620" s="392"/>
      <c r="N620" s="392">
        <f t="shared" ref="N620:N683" si="20">H620</f>
        <v>32.214489295637286</v>
      </c>
    </row>
    <row r="621" spans="1:14" hidden="1" outlineLevel="2" x14ac:dyDescent="0.35">
      <c r="A621" s="388" t="s">
        <v>4702</v>
      </c>
      <c r="B621" s="389">
        <v>44284</v>
      </c>
      <c r="C621" s="390" t="s">
        <v>4536</v>
      </c>
      <c r="D621" s="391" t="s">
        <v>4061</v>
      </c>
      <c r="E621" s="391" t="s">
        <v>4042</v>
      </c>
      <c r="F621" s="392">
        <v>8657.6576999999997</v>
      </c>
      <c r="G621" s="393" t="s">
        <v>3800</v>
      </c>
      <c r="H621" s="394">
        <v>3.2214489295637283</v>
      </c>
      <c r="I621" s="394"/>
      <c r="J621" s="392"/>
      <c r="K621" s="392"/>
      <c r="L621" s="392"/>
      <c r="M621" s="392"/>
      <c r="N621" s="392">
        <f t="shared" si="20"/>
        <v>3.2214489295637283</v>
      </c>
    </row>
    <row r="622" spans="1:14" hidden="1" outlineLevel="2" x14ac:dyDescent="0.35">
      <c r="A622" s="388" t="s">
        <v>4702</v>
      </c>
      <c r="B622" s="389">
        <v>44284</v>
      </c>
      <c r="C622" s="390" t="s">
        <v>4532</v>
      </c>
      <c r="D622" s="391" t="s">
        <v>4533</v>
      </c>
      <c r="E622" s="391" t="s">
        <v>4709</v>
      </c>
      <c r="F622" s="392">
        <v>865765.77</v>
      </c>
      <c r="G622" s="393" t="s">
        <v>3800</v>
      </c>
      <c r="H622" s="394">
        <v>322.14489295637287</v>
      </c>
      <c r="I622" s="394"/>
      <c r="J622" s="392"/>
      <c r="K622" s="392"/>
      <c r="L622" s="392"/>
      <c r="M622" s="392"/>
      <c r="N622" s="392">
        <f t="shared" si="20"/>
        <v>322.14489295637287</v>
      </c>
    </row>
    <row r="623" spans="1:14" hidden="1" outlineLevel="2" x14ac:dyDescent="0.35">
      <c r="A623" s="388" t="s">
        <v>4702</v>
      </c>
      <c r="B623" s="389">
        <v>44284</v>
      </c>
      <c r="C623" s="390" t="s">
        <v>4534</v>
      </c>
      <c r="D623" s="391" t="s">
        <v>4535</v>
      </c>
      <c r="E623" s="391" t="s">
        <v>4272</v>
      </c>
      <c r="F623" s="392">
        <v>86576.577000000005</v>
      </c>
      <c r="G623" s="393" t="s">
        <v>3800</v>
      </c>
      <c r="H623" s="394">
        <v>32.214489295637286</v>
      </c>
      <c r="I623" s="394"/>
      <c r="J623" s="392"/>
      <c r="K623" s="392"/>
      <c r="L623" s="392"/>
      <c r="M623" s="392"/>
      <c r="N623" s="392">
        <f t="shared" si="20"/>
        <v>32.214489295637286</v>
      </c>
    </row>
    <row r="624" spans="1:14" hidden="1" outlineLevel="2" x14ac:dyDescent="0.35">
      <c r="A624" s="388" t="s">
        <v>4702</v>
      </c>
      <c r="B624" s="389">
        <v>44284</v>
      </c>
      <c r="C624" s="390" t="s">
        <v>4536</v>
      </c>
      <c r="D624" s="391" t="s">
        <v>4061</v>
      </c>
      <c r="E624" s="391" t="s">
        <v>4042</v>
      </c>
      <c r="F624" s="392">
        <v>8657.6576999999997</v>
      </c>
      <c r="G624" s="393" t="s">
        <v>3800</v>
      </c>
      <c r="H624" s="394">
        <v>3.2214489295637283</v>
      </c>
      <c r="I624" s="394"/>
      <c r="J624" s="392"/>
      <c r="K624" s="392"/>
      <c r="L624" s="392"/>
      <c r="M624" s="392"/>
      <c r="N624" s="392">
        <f t="shared" si="20"/>
        <v>3.2214489295637283</v>
      </c>
    </row>
    <row r="625" spans="1:14" hidden="1" outlineLevel="2" x14ac:dyDescent="0.35">
      <c r="A625" s="388" t="s">
        <v>4702</v>
      </c>
      <c r="B625" s="389">
        <v>44284</v>
      </c>
      <c r="C625" s="390" t="s">
        <v>4532</v>
      </c>
      <c r="D625" s="391" t="s">
        <v>4533</v>
      </c>
      <c r="E625" s="391" t="s">
        <v>4710</v>
      </c>
      <c r="F625" s="392">
        <v>865765.77</v>
      </c>
      <c r="G625" s="393" t="s">
        <v>3800</v>
      </c>
      <c r="H625" s="394">
        <v>322.14489295637287</v>
      </c>
      <c r="I625" s="394"/>
      <c r="J625" s="392"/>
      <c r="K625" s="392"/>
      <c r="L625" s="392"/>
      <c r="M625" s="392"/>
      <c r="N625" s="392">
        <f t="shared" si="20"/>
        <v>322.14489295637287</v>
      </c>
    </row>
    <row r="626" spans="1:14" hidden="1" outlineLevel="2" x14ac:dyDescent="0.35">
      <c r="A626" s="388" t="s">
        <v>4702</v>
      </c>
      <c r="B626" s="389">
        <v>44284</v>
      </c>
      <c r="C626" s="390" t="s">
        <v>4534</v>
      </c>
      <c r="D626" s="391" t="s">
        <v>4535</v>
      </c>
      <c r="E626" s="391" t="s">
        <v>4272</v>
      </c>
      <c r="F626" s="392">
        <v>86576.577000000005</v>
      </c>
      <c r="G626" s="393" t="s">
        <v>3800</v>
      </c>
      <c r="H626" s="394">
        <v>32.214489295637286</v>
      </c>
      <c r="I626" s="394"/>
      <c r="J626" s="392"/>
      <c r="K626" s="392"/>
      <c r="L626" s="392"/>
      <c r="M626" s="392"/>
      <c r="N626" s="392">
        <f t="shared" si="20"/>
        <v>32.214489295637286</v>
      </c>
    </row>
    <row r="627" spans="1:14" hidden="1" outlineLevel="2" x14ac:dyDescent="0.35">
      <c r="A627" s="388" t="s">
        <v>4702</v>
      </c>
      <c r="B627" s="389">
        <v>44284</v>
      </c>
      <c r="C627" s="390" t="s">
        <v>4536</v>
      </c>
      <c r="D627" s="391" t="s">
        <v>4061</v>
      </c>
      <c r="E627" s="391" t="s">
        <v>4042</v>
      </c>
      <c r="F627" s="392">
        <v>8657.6576999999997</v>
      </c>
      <c r="G627" s="393" t="s">
        <v>3800</v>
      </c>
      <c r="H627" s="394">
        <v>3.2214489295637283</v>
      </c>
      <c r="I627" s="394"/>
      <c r="J627" s="392"/>
      <c r="K627" s="392"/>
      <c r="L627" s="392"/>
      <c r="M627" s="392"/>
      <c r="N627" s="392">
        <f t="shared" si="20"/>
        <v>3.2214489295637283</v>
      </c>
    </row>
    <row r="628" spans="1:14" hidden="1" outlineLevel="2" x14ac:dyDescent="0.35">
      <c r="A628" s="388" t="s">
        <v>4702</v>
      </c>
      <c r="B628" s="389">
        <v>44284</v>
      </c>
      <c r="C628" s="390" t="s">
        <v>4532</v>
      </c>
      <c r="D628" s="391" t="s">
        <v>4533</v>
      </c>
      <c r="E628" s="391" t="s">
        <v>4711</v>
      </c>
      <c r="F628" s="392">
        <v>865765.77</v>
      </c>
      <c r="G628" s="393" t="s">
        <v>3800</v>
      </c>
      <c r="H628" s="394">
        <v>322.14489295637287</v>
      </c>
      <c r="I628" s="394"/>
      <c r="J628" s="392"/>
      <c r="K628" s="392"/>
      <c r="L628" s="392"/>
      <c r="M628" s="392"/>
      <c r="N628" s="392">
        <f t="shared" si="20"/>
        <v>322.14489295637287</v>
      </c>
    </row>
    <row r="629" spans="1:14" hidden="1" outlineLevel="2" x14ac:dyDescent="0.35">
      <c r="A629" s="388" t="s">
        <v>4702</v>
      </c>
      <c r="B629" s="389">
        <v>44284</v>
      </c>
      <c r="C629" s="390" t="s">
        <v>4534</v>
      </c>
      <c r="D629" s="391" t="s">
        <v>4535</v>
      </c>
      <c r="E629" s="391" t="s">
        <v>4272</v>
      </c>
      <c r="F629" s="392">
        <v>86576.577000000005</v>
      </c>
      <c r="G629" s="393" t="s">
        <v>3800</v>
      </c>
      <c r="H629" s="394">
        <v>32.214489295637286</v>
      </c>
      <c r="I629" s="394"/>
      <c r="J629" s="392"/>
      <c r="K629" s="392"/>
      <c r="L629" s="392"/>
      <c r="M629" s="392"/>
      <c r="N629" s="392">
        <f t="shared" si="20"/>
        <v>32.214489295637286</v>
      </c>
    </row>
    <row r="630" spans="1:14" hidden="1" outlineLevel="2" x14ac:dyDescent="0.35">
      <c r="A630" s="388" t="s">
        <v>4702</v>
      </c>
      <c r="B630" s="389">
        <v>44284</v>
      </c>
      <c r="C630" s="390" t="s">
        <v>4536</v>
      </c>
      <c r="D630" s="391" t="s">
        <v>4061</v>
      </c>
      <c r="E630" s="391" t="s">
        <v>4042</v>
      </c>
      <c r="F630" s="392">
        <v>8657.6576999999997</v>
      </c>
      <c r="G630" s="393" t="s">
        <v>3800</v>
      </c>
      <c r="H630" s="394">
        <v>3.2214489295637283</v>
      </c>
      <c r="I630" s="394"/>
      <c r="J630" s="392"/>
      <c r="K630" s="392"/>
      <c r="L630" s="392"/>
      <c r="M630" s="392"/>
      <c r="N630" s="392">
        <f t="shared" si="20"/>
        <v>3.2214489295637283</v>
      </c>
    </row>
    <row r="631" spans="1:14" hidden="1" outlineLevel="2" x14ac:dyDescent="0.35">
      <c r="A631" s="388" t="s">
        <v>4702</v>
      </c>
      <c r="B631" s="389">
        <v>44284</v>
      </c>
      <c r="C631" s="390" t="s">
        <v>4532</v>
      </c>
      <c r="D631" s="391" t="s">
        <v>4533</v>
      </c>
      <c r="E631" s="391" t="s">
        <v>4712</v>
      </c>
      <c r="F631" s="392">
        <v>865765.77</v>
      </c>
      <c r="G631" s="393" t="s">
        <v>3800</v>
      </c>
      <c r="H631" s="394">
        <v>322.14489295637287</v>
      </c>
      <c r="I631" s="394"/>
      <c r="J631" s="392"/>
      <c r="K631" s="392"/>
      <c r="L631" s="392"/>
      <c r="M631" s="392"/>
      <c r="N631" s="392">
        <f t="shared" si="20"/>
        <v>322.14489295637287</v>
      </c>
    </row>
    <row r="632" spans="1:14" hidden="1" outlineLevel="2" collapsed="1" x14ac:dyDescent="0.35">
      <c r="A632" s="388" t="s">
        <v>4702</v>
      </c>
      <c r="B632" s="389">
        <v>44284</v>
      </c>
      <c r="C632" s="390" t="s">
        <v>4534</v>
      </c>
      <c r="D632" s="391" t="s">
        <v>4535</v>
      </c>
      <c r="E632" s="391" t="s">
        <v>4272</v>
      </c>
      <c r="F632" s="392">
        <v>86576.577000000005</v>
      </c>
      <c r="G632" s="393" t="s">
        <v>3800</v>
      </c>
      <c r="H632" s="394">
        <v>32.214489295637286</v>
      </c>
      <c r="I632" s="394"/>
      <c r="J632" s="392"/>
      <c r="K632" s="392"/>
      <c r="L632" s="392"/>
      <c r="M632" s="392"/>
      <c r="N632" s="392">
        <f t="shared" si="20"/>
        <v>32.214489295637286</v>
      </c>
    </row>
    <row r="633" spans="1:14" hidden="1" outlineLevel="2" x14ac:dyDescent="0.35">
      <c r="A633" s="388" t="s">
        <v>4702</v>
      </c>
      <c r="B633" s="389">
        <v>44284</v>
      </c>
      <c r="C633" s="390" t="s">
        <v>4536</v>
      </c>
      <c r="D633" s="391" t="s">
        <v>4061</v>
      </c>
      <c r="E633" s="391" t="s">
        <v>4042</v>
      </c>
      <c r="F633" s="392">
        <v>8657.6576999999997</v>
      </c>
      <c r="G633" s="393" t="s">
        <v>3800</v>
      </c>
      <c r="H633" s="394">
        <v>3.2214489295637283</v>
      </c>
      <c r="I633" s="394"/>
      <c r="J633" s="392"/>
      <c r="K633" s="392"/>
      <c r="L633" s="392"/>
      <c r="M633" s="392"/>
      <c r="N633" s="392">
        <f t="shared" si="20"/>
        <v>3.2214489295637283</v>
      </c>
    </row>
    <row r="634" spans="1:14" hidden="1" outlineLevel="2" x14ac:dyDescent="0.35">
      <c r="A634" s="388" t="s">
        <v>4702</v>
      </c>
      <c r="B634" s="389">
        <v>44284</v>
      </c>
      <c r="C634" s="390" t="s">
        <v>4532</v>
      </c>
      <c r="D634" s="391" t="s">
        <v>4533</v>
      </c>
      <c r="E634" s="391" t="s">
        <v>4713</v>
      </c>
      <c r="F634" s="392">
        <v>865765.77</v>
      </c>
      <c r="G634" s="393" t="s">
        <v>3800</v>
      </c>
      <c r="H634" s="394">
        <v>322.14489295637287</v>
      </c>
      <c r="I634" s="394"/>
      <c r="J634" s="392"/>
      <c r="K634" s="392"/>
      <c r="L634" s="392"/>
      <c r="M634" s="392"/>
      <c r="N634" s="392">
        <f t="shared" si="20"/>
        <v>322.14489295637287</v>
      </c>
    </row>
    <row r="635" spans="1:14" hidden="1" outlineLevel="2" x14ac:dyDescent="0.35">
      <c r="A635" s="388" t="s">
        <v>4702</v>
      </c>
      <c r="B635" s="389">
        <v>44284</v>
      </c>
      <c r="C635" s="390" t="s">
        <v>4534</v>
      </c>
      <c r="D635" s="391" t="s">
        <v>4535</v>
      </c>
      <c r="E635" s="391" t="s">
        <v>4272</v>
      </c>
      <c r="F635" s="392">
        <v>86576.577000000005</v>
      </c>
      <c r="G635" s="393" t="s">
        <v>3800</v>
      </c>
      <c r="H635" s="394">
        <v>32.214489295637286</v>
      </c>
      <c r="I635" s="394"/>
      <c r="J635" s="392"/>
      <c r="K635" s="392"/>
      <c r="L635" s="392"/>
      <c r="M635" s="392"/>
      <c r="N635" s="392">
        <f t="shared" si="20"/>
        <v>32.214489295637286</v>
      </c>
    </row>
    <row r="636" spans="1:14" hidden="1" outlineLevel="2" x14ac:dyDescent="0.35">
      <c r="A636" s="388" t="s">
        <v>4702</v>
      </c>
      <c r="B636" s="389">
        <v>44284</v>
      </c>
      <c r="C636" s="390" t="s">
        <v>4536</v>
      </c>
      <c r="D636" s="391" t="s">
        <v>4061</v>
      </c>
      <c r="E636" s="391" t="s">
        <v>4042</v>
      </c>
      <c r="F636" s="392">
        <v>8657.6576999999997</v>
      </c>
      <c r="G636" s="393" t="s">
        <v>3800</v>
      </c>
      <c r="H636" s="394">
        <v>3.2214489295637283</v>
      </c>
      <c r="I636" s="394"/>
      <c r="J636" s="392"/>
      <c r="K636" s="392"/>
      <c r="L636" s="392"/>
      <c r="M636" s="392"/>
      <c r="N636" s="392">
        <f t="shared" si="20"/>
        <v>3.2214489295637283</v>
      </c>
    </row>
    <row r="637" spans="1:14" hidden="1" outlineLevel="2" x14ac:dyDescent="0.35">
      <c r="A637" s="388" t="s">
        <v>4702</v>
      </c>
      <c r="B637" s="389">
        <v>44284</v>
      </c>
      <c r="C637" s="390" t="s">
        <v>4532</v>
      </c>
      <c r="D637" s="391" t="s">
        <v>4533</v>
      </c>
      <c r="E637" s="391" t="s">
        <v>4714</v>
      </c>
      <c r="F637" s="392">
        <v>865765.77</v>
      </c>
      <c r="G637" s="393" t="s">
        <v>3800</v>
      </c>
      <c r="H637" s="394">
        <v>322.14489295637287</v>
      </c>
      <c r="I637" s="394"/>
      <c r="J637" s="392"/>
      <c r="K637" s="392"/>
      <c r="L637" s="392"/>
      <c r="M637" s="392"/>
      <c r="N637" s="392">
        <f t="shared" si="20"/>
        <v>322.14489295637287</v>
      </c>
    </row>
    <row r="638" spans="1:14" hidden="1" outlineLevel="2" x14ac:dyDescent="0.35">
      <c r="A638" s="388" t="s">
        <v>4702</v>
      </c>
      <c r="B638" s="389">
        <v>44284</v>
      </c>
      <c r="C638" s="390" t="s">
        <v>4534</v>
      </c>
      <c r="D638" s="391" t="s">
        <v>4535</v>
      </c>
      <c r="E638" s="391" t="s">
        <v>4272</v>
      </c>
      <c r="F638" s="392">
        <v>86576.577000000005</v>
      </c>
      <c r="G638" s="393" t="s">
        <v>3800</v>
      </c>
      <c r="H638" s="394">
        <v>32.214489295637286</v>
      </c>
      <c r="I638" s="394"/>
      <c r="J638" s="392"/>
      <c r="K638" s="392"/>
      <c r="L638" s="392"/>
      <c r="M638" s="392"/>
      <c r="N638" s="392">
        <f t="shared" si="20"/>
        <v>32.214489295637286</v>
      </c>
    </row>
    <row r="639" spans="1:14" hidden="1" outlineLevel="2" x14ac:dyDescent="0.35">
      <c r="A639" s="388" t="s">
        <v>4702</v>
      </c>
      <c r="B639" s="389">
        <v>44284</v>
      </c>
      <c r="C639" s="390" t="s">
        <v>4536</v>
      </c>
      <c r="D639" s="391" t="s">
        <v>4061</v>
      </c>
      <c r="E639" s="391" t="s">
        <v>4042</v>
      </c>
      <c r="F639" s="392">
        <v>8657.6576999999997</v>
      </c>
      <c r="G639" s="393" t="s">
        <v>3800</v>
      </c>
      <c r="H639" s="394">
        <v>3.2214489295637283</v>
      </c>
      <c r="I639" s="394"/>
      <c r="J639" s="392"/>
      <c r="K639" s="392"/>
      <c r="L639" s="392"/>
      <c r="M639" s="392"/>
      <c r="N639" s="392">
        <f t="shared" si="20"/>
        <v>3.2214489295637283</v>
      </c>
    </row>
    <row r="640" spans="1:14" hidden="1" outlineLevel="2" x14ac:dyDescent="0.35">
      <c r="A640" s="388" t="s">
        <v>4702</v>
      </c>
      <c r="B640" s="389">
        <v>44284</v>
      </c>
      <c r="C640" s="390" t="s">
        <v>4532</v>
      </c>
      <c r="D640" s="391" t="s">
        <v>4533</v>
      </c>
      <c r="E640" s="391" t="s">
        <v>4715</v>
      </c>
      <c r="F640" s="392">
        <v>865765.77</v>
      </c>
      <c r="G640" s="393" t="s">
        <v>3800</v>
      </c>
      <c r="H640" s="394">
        <v>322.14489295637287</v>
      </c>
      <c r="I640" s="394"/>
      <c r="J640" s="392"/>
      <c r="K640" s="392"/>
      <c r="L640" s="392"/>
      <c r="M640" s="392"/>
      <c r="N640" s="392">
        <f t="shared" si="20"/>
        <v>322.14489295637287</v>
      </c>
    </row>
    <row r="641" spans="1:14" hidden="1" outlineLevel="2" x14ac:dyDescent="0.35">
      <c r="A641" s="388" t="s">
        <v>4702</v>
      </c>
      <c r="B641" s="389">
        <v>44284</v>
      </c>
      <c r="C641" s="390" t="s">
        <v>4534</v>
      </c>
      <c r="D641" s="391" t="s">
        <v>4535</v>
      </c>
      <c r="E641" s="391" t="s">
        <v>4272</v>
      </c>
      <c r="F641" s="392">
        <v>86576.577000000005</v>
      </c>
      <c r="G641" s="393" t="s">
        <v>3800</v>
      </c>
      <c r="H641" s="394">
        <v>32.214489295637286</v>
      </c>
      <c r="I641" s="394"/>
      <c r="J641" s="392"/>
      <c r="K641" s="392"/>
      <c r="L641" s="392"/>
      <c r="M641" s="392"/>
      <c r="N641" s="392">
        <f t="shared" si="20"/>
        <v>32.214489295637286</v>
      </c>
    </row>
    <row r="642" spans="1:14" hidden="1" outlineLevel="2" x14ac:dyDescent="0.35">
      <c r="A642" s="388" t="s">
        <v>4702</v>
      </c>
      <c r="B642" s="389">
        <v>44284</v>
      </c>
      <c r="C642" s="390" t="s">
        <v>4536</v>
      </c>
      <c r="D642" s="391" t="s">
        <v>4061</v>
      </c>
      <c r="E642" s="391" t="s">
        <v>4042</v>
      </c>
      <c r="F642" s="392">
        <v>8657.6576999999997</v>
      </c>
      <c r="G642" s="393" t="s">
        <v>3800</v>
      </c>
      <c r="H642" s="394">
        <v>3.2214489295637283</v>
      </c>
      <c r="I642" s="394"/>
      <c r="J642" s="392"/>
      <c r="K642" s="392"/>
      <c r="L642" s="392"/>
      <c r="M642" s="392"/>
      <c r="N642" s="392">
        <f t="shared" si="20"/>
        <v>3.2214489295637283</v>
      </c>
    </row>
    <row r="643" spans="1:14" hidden="1" outlineLevel="2" x14ac:dyDescent="0.35">
      <c r="A643" s="388" t="s">
        <v>4702</v>
      </c>
      <c r="B643" s="389">
        <v>44284</v>
      </c>
      <c r="C643" s="390" t="s">
        <v>4532</v>
      </c>
      <c r="D643" s="391" t="s">
        <v>4533</v>
      </c>
      <c r="E643" s="391" t="s">
        <v>4716</v>
      </c>
      <c r="F643" s="392">
        <v>865765.77</v>
      </c>
      <c r="G643" s="393" t="s">
        <v>3800</v>
      </c>
      <c r="H643" s="394">
        <v>322.14489295637287</v>
      </c>
      <c r="I643" s="394"/>
      <c r="J643" s="392"/>
      <c r="K643" s="392"/>
      <c r="L643" s="392"/>
      <c r="M643" s="392"/>
      <c r="N643" s="392">
        <f t="shared" si="20"/>
        <v>322.14489295637287</v>
      </c>
    </row>
    <row r="644" spans="1:14" hidden="1" outlineLevel="2" x14ac:dyDescent="0.35">
      <c r="A644" s="388" t="s">
        <v>4702</v>
      </c>
      <c r="B644" s="389">
        <v>44284</v>
      </c>
      <c r="C644" s="390" t="s">
        <v>4534</v>
      </c>
      <c r="D644" s="391" t="s">
        <v>4535</v>
      </c>
      <c r="E644" s="391" t="s">
        <v>4272</v>
      </c>
      <c r="F644" s="392">
        <v>86576.577000000005</v>
      </c>
      <c r="G644" s="393" t="s">
        <v>3800</v>
      </c>
      <c r="H644" s="394">
        <v>32.214489295637286</v>
      </c>
      <c r="I644" s="394"/>
      <c r="J644" s="392"/>
      <c r="K644" s="392"/>
      <c r="L644" s="392"/>
      <c r="M644" s="392"/>
      <c r="N644" s="392">
        <f t="shared" si="20"/>
        <v>32.214489295637286</v>
      </c>
    </row>
    <row r="645" spans="1:14" hidden="1" outlineLevel="2" x14ac:dyDescent="0.35">
      <c r="A645" s="388" t="s">
        <v>4702</v>
      </c>
      <c r="B645" s="389">
        <v>44284</v>
      </c>
      <c r="C645" s="390" t="s">
        <v>4536</v>
      </c>
      <c r="D645" s="391" t="s">
        <v>4061</v>
      </c>
      <c r="E645" s="391" t="s">
        <v>4042</v>
      </c>
      <c r="F645" s="392">
        <v>8657.6576999999997</v>
      </c>
      <c r="G645" s="393" t="s">
        <v>3800</v>
      </c>
      <c r="H645" s="394">
        <v>3.2214489295637283</v>
      </c>
      <c r="I645" s="394"/>
      <c r="J645" s="392"/>
      <c r="K645" s="392"/>
      <c r="L645" s="392"/>
      <c r="M645" s="392"/>
      <c r="N645" s="392">
        <f t="shared" si="20"/>
        <v>3.2214489295637283</v>
      </c>
    </row>
    <row r="646" spans="1:14" hidden="1" outlineLevel="2" x14ac:dyDescent="0.35">
      <c r="A646" s="388" t="s">
        <v>4702</v>
      </c>
      <c r="B646" s="389">
        <v>44284</v>
      </c>
      <c r="C646" s="390" t="s">
        <v>4532</v>
      </c>
      <c r="D646" s="391" t="s">
        <v>4533</v>
      </c>
      <c r="E646" s="391" t="s">
        <v>4717</v>
      </c>
      <c r="F646" s="392">
        <v>865765.77</v>
      </c>
      <c r="G646" s="393" t="s">
        <v>3800</v>
      </c>
      <c r="H646" s="394">
        <v>322.14489295637287</v>
      </c>
      <c r="I646" s="394"/>
      <c r="J646" s="392"/>
      <c r="K646" s="392"/>
      <c r="L646" s="392"/>
      <c r="M646" s="392"/>
      <c r="N646" s="392">
        <f t="shared" si="20"/>
        <v>322.14489295637287</v>
      </c>
    </row>
    <row r="647" spans="1:14" hidden="1" outlineLevel="2" x14ac:dyDescent="0.35">
      <c r="A647" s="388" t="s">
        <v>4702</v>
      </c>
      <c r="B647" s="389">
        <v>44284</v>
      </c>
      <c r="C647" s="390" t="s">
        <v>4534</v>
      </c>
      <c r="D647" s="391" t="s">
        <v>4535</v>
      </c>
      <c r="E647" s="391" t="s">
        <v>4272</v>
      </c>
      <c r="F647" s="392">
        <v>86576.577000000005</v>
      </c>
      <c r="G647" s="393" t="s">
        <v>3800</v>
      </c>
      <c r="H647" s="394">
        <v>32.214489295637286</v>
      </c>
      <c r="I647" s="394"/>
      <c r="J647" s="392"/>
      <c r="K647" s="392"/>
      <c r="L647" s="392"/>
      <c r="M647" s="392"/>
      <c r="N647" s="392">
        <f t="shared" si="20"/>
        <v>32.214489295637286</v>
      </c>
    </row>
    <row r="648" spans="1:14" hidden="1" outlineLevel="2" x14ac:dyDescent="0.35">
      <c r="A648" s="388" t="s">
        <v>4702</v>
      </c>
      <c r="B648" s="389">
        <v>44284</v>
      </c>
      <c r="C648" s="390" t="s">
        <v>4536</v>
      </c>
      <c r="D648" s="391" t="s">
        <v>4061</v>
      </c>
      <c r="E648" s="391" t="s">
        <v>4042</v>
      </c>
      <c r="F648" s="392">
        <v>8657.6576999999997</v>
      </c>
      <c r="G648" s="393" t="s">
        <v>3800</v>
      </c>
      <c r="H648" s="394">
        <v>3.2214489295637283</v>
      </c>
      <c r="I648" s="394"/>
      <c r="J648" s="392"/>
      <c r="K648" s="392"/>
      <c r="L648" s="392"/>
      <c r="M648" s="392"/>
      <c r="N648" s="392">
        <f t="shared" si="20"/>
        <v>3.2214489295637283</v>
      </c>
    </row>
    <row r="649" spans="1:14" hidden="1" outlineLevel="2" x14ac:dyDescent="0.35">
      <c r="A649" s="388" t="s">
        <v>4702</v>
      </c>
      <c r="B649" s="389">
        <v>44284</v>
      </c>
      <c r="C649" s="390" t="s">
        <v>4532</v>
      </c>
      <c r="D649" s="391" t="s">
        <v>4533</v>
      </c>
      <c r="E649" s="391" t="s">
        <v>4718</v>
      </c>
      <c r="F649" s="392">
        <v>865765.77</v>
      </c>
      <c r="G649" s="393" t="s">
        <v>3800</v>
      </c>
      <c r="H649" s="394">
        <v>322.14489295637287</v>
      </c>
      <c r="I649" s="394"/>
      <c r="J649" s="392"/>
      <c r="K649" s="392"/>
      <c r="L649" s="392"/>
      <c r="M649" s="392"/>
      <c r="N649" s="392">
        <f t="shared" si="20"/>
        <v>322.14489295637287</v>
      </c>
    </row>
    <row r="650" spans="1:14" hidden="1" outlineLevel="2" x14ac:dyDescent="0.35">
      <c r="A650" s="388" t="s">
        <v>4702</v>
      </c>
      <c r="B650" s="389">
        <v>44284</v>
      </c>
      <c r="C650" s="390" t="s">
        <v>4534</v>
      </c>
      <c r="D650" s="391" t="s">
        <v>4535</v>
      </c>
      <c r="E650" s="391" t="s">
        <v>4272</v>
      </c>
      <c r="F650" s="392">
        <v>86576.577000000005</v>
      </c>
      <c r="G650" s="393" t="s">
        <v>3800</v>
      </c>
      <c r="H650" s="394">
        <v>32.214489295637286</v>
      </c>
      <c r="I650" s="394"/>
      <c r="J650" s="392"/>
      <c r="K650" s="392"/>
      <c r="L650" s="392"/>
      <c r="M650" s="392"/>
      <c r="N650" s="392">
        <f t="shared" si="20"/>
        <v>32.214489295637286</v>
      </c>
    </row>
    <row r="651" spans="1:14" hidden="1" outlineLevel="2" x14ac:dyDescent="0.35">
      <c r="A651" s="388" t="s">
        <v>4702</v>
      </c>
      <c r="B651" s="389">
        <v>44284</v>
      </c>
      <c r="C651" s="390" t="s">
        <v>4536</v>
      </c>
      <c r="D651" s="391" t="s">
        <v>4061</v>
      </c>
      <c r="E651" s="391" t="s">
        <v>4042</v>
      </c>
      <c r="F651" s="392">
        <v>8657.6576999999997</v>
      </c>
      <c r="G651" s="393" t="s">
        <v>3800</v>
      </c>
      <c r="H651" s="394">
        <v>3.2214489295637283</v>
      </c>
      <c r="I651" s="394"/>
      <c r="J651" s="392"/>
      <c r="K651" s="392"/>
      <c r="L651" s="392"/>
      <c r="M651" s="392"/>
      <c r="N651" s="392">
        <f t="shared" si="20"/>
        <v>3.2214489295637283</v>
      </c>
    </row>
    <row r="652" spans="1:14" hidden="1" outlineLevel="2" x14ac:dyDescent="0.35">
      <c r="A652" s="388" t="s">
        <v>4702</v>
      </c>
      <c r="B652" s="389">
        <v>44316</v>
      </c>
      <c r="C652" s="390" t="s">
        <v>4537</v>
      </c>
      <c r="D652" s="391" t="s">
        <v>4538</v>
      </c>
      <c r="E652" s="391" t="s">
        <v>4703</v>
      </c>
      <c r="F652" s="392">
        <v>865765.77</v>
      </c>
      <c r="G652" s="393" t="s">
        <v>3800</v>
      </c>
      <c r="H652" s="394">
        <v>322.14489295637287</v>
      </c>
      <c r="I652" s="394"/>
      <c r="J652" s="392"/>
      <c r="K652" s="392"/>
      <c r="L652" s="392"/>
      <c r="M652" s="392"/>
      <c r="N652" s="392">
        <f t="shared" si="20"/>
        <v>322.14489295637287</v>
      </c>
    </row>
    <row r="653" spans="1:14" hidden="1" outlineLevel="2" x14ac:dyDescent="0.35">
      <c r="A653" s="388" t="s">
        <v>4702</v>
      </c>
      <c r="B653" s="389">
        <v>44316</v>
      </c>
      <c r="C653" s="390" t="s">
        <v>4539</v>
      </c>
      <c r="D653" s="391" t="s">
        <v>4540</v>
      </c>
      <c r="E653" s="391" t="s">
        <v>4272</v>
      </c>
      <c r="F653" s="392">
        <v>86576.577000000005</v>
      </c>
      <c r="G653" s="393" t="s">
        <v>3800</v>
      </c>
      <c r="H653" s="394">
        <v>32.214489295637286</v>
      </c>
      <c r="I653" s="394"/>
      <c r="J653" s="392"/>
      <c r="K653" s="392"/>
      <c r="L653" s="392"/>
      <c r="M653" s="392"/>
      <c r="N653" s="392">
        <f t="shared" si="20"/>
        <v>32.214489295637286</v>
      </c>
    </row>
    <row r="654" spans="1:14" hidden="1" outlineLevel="2" x14ac:dyDescent="0.35">
      <c r="A654" s="388" t="s">
        <v>4702</v>
      </c>
      <c r="B654" s="389">
        <v>44316</v>
      </c>
      <c r="C654" s="390" t="s">
        <v>4541</v>
      </c>
      <c r="D654" s="391" t="s">
        <v>4542</v>
      </c>
      <c r="E654" s="391" t="s">
        <v>4042</v>
      </c>
      <c r="F654" s="392">
        <v>8657.6576999999997</v>
      </c>
      <c r="G654" s="393" t="s">
        <v>3800</v>
      </c>
      <c r="H654" s="394">
        <v>3.2214489295637283</v>
      </c>
      <c r="I654" s="394"/>
      <c r="J654" s="392"/>
      <c r="K654" s="392"/>
      <c r="L654" s="392"/>
      <c r="M654" s="392"/>
      <c r="N654" s="392">
        <f t="shared" si="20"/>
        <v>3.2214489295637283</v>
      </c>
    </row>
    <row r="655" spans="1:14" hidden="1" outlineLevel="2" x14ac:dyDescent="0.35">
      <c r="A655" s="388" t="s">
        <v>4702</v>
      </c>
      <c r="B655" s="389">
        <v>44316</v>
      </c>
      <c r="C655" s="390" t="s">
        <v>4537</v>
      </c>
      <c r="D655" s="391" t="s">
        <v>4538</v>
      </c>
      <c r="E655" s="391" t="s">
        <v>4720</v>
      </c>
      <c r="F655" s="392">
        <v>865765.77</v>
      </c>
      <c r="G655" s="393" t="s">
        <v>3800</v>
      </c>
      <c r="H655" s="394">
        <v>322.14489295637287</v>
      </c>
      <c r="I655" s="394"/>
      <c r="J655" s="392"/>
      <c r="K655" s="392"/>
      <c r="L655" s="392"/>
      <c r="M655" s="392"/>
      <c r="N655" s="392">
        <f t="shared" si="20"/>
        <v>322.14489295637287</v>
      </c>
    </row>
    <row r="656" spans="1:14" hidden="1" outlineLevel="2" x14ac:dyDescent="0.35">
      <c r="A656" s="388" t="s">
        <v>4702</v>
      </c>
      <c r="B656" s="389">
        <v>44316</v>
      </c>
      <c r="C656" s="390" t="s">
        <v>4539</v>
      </c>
      <c r="D656" s="391" t="s">
        <v>4540</v>
      </c>
      <c r="E656" s="391" t="s">
        <v>4272</v>
      </c>
      <c r="F656" s="392">
        <v>86576.577000000005</v>
      </c>
      <c r="G656" s="393" t="s">
        <v>3800</v>
      </c>
      <c r="H656" s="394">
        <v>32.214489295637286</v>
      </c>
      <c r="I656" s="394"/>
      <c r="J656" s="392"/>
      <c r="K656" s="392"/>
      <c r="L656" s="392"/>
      <c r="M656" s="392"/>
      <c r="N656" s="392">
        <f t="shared" si="20"/>
        <v>32.214489295637286</v>
      </c>
    </row>
    <row r="657" spans="1:14" hidden="1" outlineLevel="2" x14ac:dyDescent="0.35">
      <c r="A657" s="388" t="s">
        <v>4702</v>
      </c>
      <c r="B657" s="389">
        <v>44316</v>
      </c>
      <c r="C657" s="390" t="s">
        <v>4541</v>
      </c>
      <c r="D657" s="391" t="s">
        <v>4542</v>
      </c>
      <c r="E657" s="391" t="s">
        <v>4042</v>
      </c>
      <c r="F657" s="392">
        <v>8657.6576999999997</v>
      </c>
      <c r="G657" s="393" t="s">
        <v>3800</v>
      </c>
      <c r="H657" s="394">
        <v>3.2214489295637283</v>
      </c>
      <c r="I657" s="394"/>
      <c r="J657" s="392"/>
      <c r="K657" s="392"/>
      <c r="L657" s="392"/>
      <c r="M657" s="392"/>
      <c r="N657" s="392">
        <f t="shared" si="20"/>
        <v>3.2214489295637283</v>
      </c>
    </row>
    <row r="658" spans="1:14" hidden="1" outlineLevel="2" x14ac:dyDescent="0.35">
      <c r="A658" s="388" t="s">
        <v>4702</v>
      </c>
      <c r="B658" s="389">
        <v>44316</v>
      </c>
      <c r="C658" s="390" t="s">
        <v>4537</v>
      </c>
      <c r="D658" s="391" t="s">
        <v>4538</v>
      </c>
      <c r="E658" s="391" t="s">
        <v>4704</v>
      </c>
      <c r="F658" s="392">
        <v>865765.77</v>
      </c>
      <c r="G658" s="393" t="s">
        <v>3800</v>
      </c>
      <c r="H658" s="394">
        <v>322.14489295637287</v>
      </c>
      <c r="I658" s="394"/>
      <c r="J658" s="392"/>
      <c r="K658" s="392"/>
      <c r="L658" s="392"/>
      <c r="M658" s="392"/>
      <c r="N658" s="392">
        <f t="shared" si="20"/>
        <v>322.14489295637287</v>
      </c>
    </row>
    <row r="659" spans="1:14" hidden="1" outlineLevel="2" x14ac:dyDescent="0.35">
      <c r="A659" s="388" t="s">
        <v>4702</v>
      </c>
      <c r="B659" s="389">
        <v>44316</v>
      </c>
      <c r="C659" s="390" t="s">
        <v>4539</v>
      </c>
      <c r="D659" s="391" t="s">
        <v>4540</v>
      </c>
      <c r="E659" s="391" t="s">
        <v>4272</v>
      </c>
      <c r="F659" s="392">
        <v>86576.577000000005</v>
      </c>
      <c r="G659" s="393" t="s">
        <v>3800</v>
      </c>
      <c r="H659" s="394">
        <v>32.214489295637286</v>
      </c>
      <c r="I659" s="394"/>
      <c r="J659" s="392"/>
      <c r="K659" s="392"/>
      <c r="L659" s="392"/>
      <c r="M659" s="392"/>
      <c r="N659" s="392">
        <f t="shared" si="20"/>
        <v>32.214489295637286</v>
      </c>
    </row>
    <row r="660" spans="1:14" hidden="1" outlineLevel="2" x14ac:dyDescent="0.35">
      <c r="A660" s="388" t="s">
        <v>4702</v>
      </c>
      <c r="B660" s="389">
        <v>44316</v>
      </c>
      <c r="C660" s="390" t="s">
        <v>4541</v>
      </c>
      <c r="D660" s="391" t="s">
        <v>4542</v>
      </c>
      <c r="E660" s="391" t="s">
        <v>4042</v>
      </c>
      <c r="F660" s="392">
        <v>8657.6576999999997</v>
      </c>
      <c r="G660" s="393" t="s">
        <v>3800</v>
      </c>
      <c r="H660" s="394">
        <v>3.2214489295637283</v>
      </c>
      <c r="I660" s="394"/>
      <c r="J660" s="392"/>
      <c r="K660" s="392"/>
      <c r="L660" s="392"/>
      <c r="M660" s="392"/>
      <c r="N660" s="392">
        <f t="shared" si="20"/>
        <v>3.2214489295637283</v>
      </c>
    </row>
    <row r="661" spans="1:14" hidden="1" outlineLevel="2" x14ac:dyDescent="0.35">
      <c r="A661" s="388" t="s">
        <v>4702</v>
      </c>
      <c r="B661" s="389">
        <v>44316</v>
      </c>
      <c r="C661" s="390" t="s">
        <v>4537</v>
      </c>
      <c r="D661" s="391" t="s">
        <v>4538</v>
      </c>
      <c r="E661" s="391" t="s">
        <v>4705</v>
      </c>
      <c r="F661" s="392">
        <v>865765.77</v>
      </c>
      <c r="G661" s="393" t="s">
        <v>3800</v>
      </c>
      <c r="H661" s="394">
        <v>322.14489295637287</v>
      </c>
      <c r="I661" s="394"/>
      <c r="J661" s="392"/>
      <c r="K661" s="392"/>
      <c r="L661" s="392"/>
      <c r="M661" s="392"/>
      <c r="N661" s="392">
        <f t="shared" si="20"/>
        <v>322.14489295637287</v>
      </c>
    </row>
    <row r="662" spans="1:14" hidden="1" outlineLevel="2" x14ac:dyDescent="0.35">
      <c r="A662" s="388" t="s">
        <v>4702</v>
      </c>
      <c r="B662" s="389">
        <v>44316</v>
      </c>
      <c r="C662" s="390" t="s">
        <v>4539</v>
      </c>
      <c r="D662" s="391" t="s">
        <v>4540</v>
      </c>
      <c r="E662" s="391" t="s">
        <v>4272</v>
      </c>
      <c r="F662" s="392">
        <v>86576.577000000005</v>
      </c>
      <c r="G662" s="393" t="s">
        <v>3800</v>
      </c>
      <c r="H662" s="394">
        <v>32.214489295637286</v>
      </c>
      <c r="I662" s="394"/>
      <c r="J662" s="392"/>
      <c r="K662" s="392"/>
      <c r="L662" s="392"/>
      <c r="M662" s="392"/>
      <c r="N662" s="392">
        <f t="shared" si="20"/>
        <v>32.214489295637286</v>
      </c>
    </row>
    <row r="663" spans="1:14" hidden="1" outlineLevel="2" x14ac:dyDescent="0.35">
      <c r="A663" s="388" t="s">
        <v>4702</v>
      </c>
      <c r="B663" s="389">
        <v>44316</v>
      </c>
      <c r="C663" s="390" t="s">
        <v>4541</v>
      </c>
      <c r="D663" s="391" t="s">
        <v>4542</v>
      </c>
      <c r="E663" s="391" t="s">
        <v>4042</v>
      </c>
      <c r="F663" s="392">
        <v>8657.6576999999997</v>
      </c>
      <c r="G663" s="393" t="s">
        <v>3800</v>
      </c>
      <c r="H663" s="394">
        <v>3.2214489295637283</v>
      </c>
      <c r="I663" s="394"/>
      <c r="J663" s="392"/>
      <c r="K663" s="392"/>
      <c r="L663" s="392"/>
      <c r="M663" s="392"/>
      <c r="N663" s="392">
        <f t="shared" si="20"/>
        <v>3.2214489295637283</v>
      </c>
    </row>
    <row r="664" spans="1:14" hidden="1" outlineLevel="2" x14ac:dyDescent="0.35">
      <c r="A664" s="388" t="s">
        <v>4702</v>
      </c>
      <c r="B664" s="389">
        <v>44316</v>
      </c>
      <c r="C664" s="390" t="s">
        <v>4537</v>
      </c>
      <c r="D664" s="391" t="s">
        <v>4538</v>
      </c>
      <c r="E664" s="391" t="s">
        <v>4706</v>
      </c>
      <c r="F664" s="392">
        <v>865765.77</v>
      </c>
      <c r="G664" s="393" t="s">
        <v>3800</v>
      </c>
      <c r="H664" s="394">
        <v>322.14489295637287</v>
      </c>
      <c r="I664" s="394"/>
      <c r="J664" s="392"/>
      <c r="K664" s="392"/>
      <c r="L664" s="392"/>
      <c r="M664" s="392"/>
      <c r="N664" s="392">
        <f t="shared" si="20"/>
        <v>322.14489295637287</v>
      </c>
    </row>
    <row r="665" spans="1:14" hidden="1" outlineLevel="2" x14ac:dyDescent="0.35">
      <c r="A665" s="388" t="s">
        <v>4702</v>
      </c>
      <c r="B665" s="389">
        <v>44316</v>
      </c>
      <c r="C665" s="390" t="s">
        <v>4539</v>
      </c>
      <c r="D665" s="391" t="s">
        <v>4540</v>
      </c>
      <c r="E665" s="391" t="s">
        <v>4272</v>
      </c>
      <c r="F665" s="392">
        <v>86576.577000000005</v>
      </c>
      <c r="G665" s="393" t="s">
        <v>3800</v>
      </c>
      <c r="H665" s="394">
        <v>32.214489295637286</v>
      </c>
      <c r="I665" s="394"/>
      <c r="J665" s="392"/>
      <c r="K665" s="392"/>
      <c r="L665" s="392"/>
      <c r="M665" s="392"/>
      <c r="N665" s="392">
        <f t="shared" si="20"/>
        <v>32.214489295637286</v>
      </c>
    </row>
    <row r="666" spans="1:14" hidden="1" outlineLevel="2" x14ac:dyDescent="0.35">
      <c r="A666" s="388" t="s">
        <v>4702</v>
      </c>
      <c r="B666" s="389">
        <v>44316</v>
      </c>
      <c r="C666" s="390" t="s">
        <v>4541</v>
      </c>
      <c r="D666" s="391" t="s">
        <v>4542</v>
      </c>
      <c r="E666" s="391" t="s">
        <v>4042</v>
      </c>
      <c r="F666" s="392">
        <v>8657.6576999999997</v>
      </c>
      <c r="G666" s="393" t="s">
        <v>3800</v>
      </c>
      <c r="H666" s="394">
        <v>3.2214489295637283</v>
      </c>
      <c r="I666" s="394"/>
      <c r="J666" s="392"/>
      <c r="K666" s="392"/>
      <c r="L666" s="392"/>
      <c r="M666" s="392"/>
      <c r="N666" s="392">
        <f t="shared" si="20"/>
        <v>3.2214489295637283</v>
      </c>
    </row>
    <row r="667" spans="1:14" hidden="1" outlineLevel="2" x14ac:dyDescent="0.35">
      <c r="A667" s="388" t="s">
        <v>4702</v>
      </c>
      <c r="B667" s="389">
        <v>44316</v>
      </c>
      <c r="C667" s="390" t="s">
        <v>4537</v>
      </c>
      <c r="D667" s="391" t="s">
        <v>4538</v>
      </c>
      <c r="E667" s="391" t="s">
        <v>4707</v>
      </c>
      <c r="F667" s="392">
        <v>865765.77</v>
      </c>
      <c r="G667" s="393" t="s">
        <v>3800</v>
      </c>
      <c r="H667" s="394">
        <v>322.14489295637287</v>
      </c>
      <c r="I667" s="394"/>
      <c r="J667" s="392"/>
      <c r="K667" s="392"/>
      <c r="L667" s="392"/>
      <c r="M667" s="392"/>
      <c r="N667" s="392">
        <f t="shared" si="20"/>
        <v>322.14489295637287</v>
      </c>
    </row>
    <row r="668" spans="1:14" hidden="1" outlineLevel="2" x14ac:dyDescent="0.35">
      <c r="A668" s="388" t="s">
        <v>4702</v>
      </c>
      <c r="B668" s="389">
        <v>44316</v>
      </c>
      <c r="C668" s="390" t="s">
        <v>4539</v>
      </c>
      <c r="D668" s="391" t="s">
        <v>4540</v>
      </c>
      <c r="E668" s="391" t="s">
        <v>4272</v>
      </c>
      <c r="F668" s="392">
        <v>86576.577000000005</v>
      </c>
      <c r="G668" s="393" t="s">
        <v>3800</v>
      </c>
      <c r="H668" s="394">
        <v>32.214489295637286</v>
      </c>
      <c r="I668" s="394"/>
      <c r="J668" s="392"/>
      <c r="K668" s="392"/>
      <c r="L668" s="392"/>
      <c r="M668" s="392"/>
      <c r="N668" s="392">
        <f t="shared" si="20"/>
        <v>32.214489295637286</v>
      </c>
    </row>
    <row r="669" spans="1:14" hidden="1" outlineLevel="2" x14ac:dyDescent="0.35">
      <c r="A669" s="388" t="s">
        <v>4702</v>
      </c>
      <c r="B669" s="389">
        <v>44316</v>
      </c>
      <c r="C669" s="390" t="s">
        <v>4541</v>
      </c>
      <c r="D669" s="391" t="s">
        <v>4542</v>
      </c>
      <c r="E669" s="391" t="s">
        <v>4042</v>
      </c>
      <c r="F669" s="392">
        <v>8657.6576999999997</v>
      </c>
      <c r="G669" s="393" t="s">
        <v>3800</v>
      </c>
      <c r="H669" s="394">
        <v>3.2214489295637283</v>
      </c>
      <c r="I669" s="394"/>
      <c r="J669" s="392"/>
      <c r="K669" s="392"/>
      <c r="L669" s="392"/>
      <c r="M669" s="392"/>
      <c r="N669" s="392">
        <f t="shared" si="20"/>
        <v>3.2214489295637283</v>
      </c>
    </row>
    <row r="670" spans="1:14" hidden="1" outlineLevel="2" x14ac:dyDescent="0.35">
      <c r="A670" s="388" t="s">
        <v>4702</v>
      </c>
      <c r="B670" s="389">
        <v>44316</v>
      </c>
      <c r="C670" s="390" t="s">
        <v>4537</v>
      </c>
      <c r="D670" s="391" t="s">
        <v>4538</v>
      </c>
      <c r="E670" s="391" t="s">
        <v>4708</v>
      </c>
      <c r="F670" s="392">
        <v>865765.77</v>
      </c>
      <c r="G670" s="393" t="s">
        <v>3800</v>
      </c>
      <c r="H670" s="394">
        <v>322.14489295637287</v>
      </c>
      <c r="I670" s="394"/>
      <c r="J670" s="392"/>
      <c r="K670" s="392"/>
      <c r="L670" s="392"/>
      <c r="M670" s="392"/>
      <c r="N670" s="392">
        <f t="shared" si="20"/>
        <v>322.14489295637287</v>
      </c>
    </row>
    <row r="671" spans="1:14" hidden="1" outlineLevel="2" x14ac:dyDescent="0.35">
      <c r="A671" s="388" t="s">
        <v>4702</v>
      </c>
      <c r="B671" s="389">
        <v>44316</v>
      </c>
      <c r="C671" s="390" t="s">
        <v>4539</v>
      </c>
      <c r="D671" s="391" t="s">
        <v>4540</v>
      </c>
      <c r="E671" s="391" t="s">
        <v>4272</v>
      </c>
      <c r="F671" s="392">
        <v>86576.577000000005</v>
      </c>
      <c r="G671" s="393" t="s">
        <v>3800</v>
      </c>
      <c r="H671" s="394">
        <v>32.214489295637286</v>
      </c>
      <c r="I671" s="394"/>
      <c r="J671" s="392"/>
      <c r="K671" s="392"/>
      <c r="L671" s="392"/>
      <c r="M671" s="392"/>
      <c r="N671" s="392">
        <f t="shared" si="20"/>
        <v>32.214489295637286</v>
      </c>
    </row>
    <row r="672" spans="1:14" hidden="1" outlineLevel="2" x14ac:dyDescent="0.35">
      <c r="A672" s="388" t="s">
        <v>4702</v>
      </c>
      <c r="B672" s="389">
        <v>44316</v>
      </c>
      <c r="C672" s="390" t="s">
        <v>4541</v>
      </c>
      <c r="D672" s="391" t="s">
        <v>4542</v>
      </c>
      <c r="E672" s="391" t="s">
        <v>4042</v>
      </c>
      <c r="F672" s="392">
        <v>8657.6576999999997</v>
      </c>
      <c r="G672" s="393" t="s">
        <v>3800</v>
      </c>
      <c r="H672" s="394">
        <v>3.2214489295637283</v>
      </c>
      <c r="I672" s="394"/>
      <c r="J672" s="392"/>
      <c r="K672" s="392"/>
      <c r="L672" s="392"/>
      <c r="M672" s="392"/>
      <c r="N672" s="392">
        <f t="shared" si="20"/>
        <v>3.2214489295637283</v>
      </c>
    </row>
    <row r="673" spans="1:14" hidden="1" outlineLevel="2" x14ac:dyDescent="0.35">
      <c r="A673" s="388" t="s">
        <v>4702</v>
      </c>
      <c r="B673" s="389">
        <v>44316</v>
      </c>
      <c r="C673" s="390" t="s">
        <v>4537</v>
      </c>
      <c r="D673" s="391" t="s">
        <v>4538</v>
      </c>
      <c r="E673" s="391" t="s">
        <v>4709</v>
      </c>
      <c r="F673" s="392">
        <v>865765.77</v>
      </c>
      <c r="G673" s="393" t="s">
        <v>3800</v>
      </c>
      <c r="H673" s="394">
        <v>322.14489295637287</v>
      </c>
      <c r="I673" s="394"/>
      <c r="J673" s="392"/>
      <c r="K673" s="392"/>
      <c r="L673" s="392"/>
      <c r="M673" s="392"/>
      <c r="N673" s="392">
        <f t="shared" si="20"/>
        <v>322.14489295637287</v>
      </c>
    </row>
    <row r="674" spans="1:14" hidden="1" outlineLevel="2" x14ac:dyDescent="0.35">
      <c r="A674" s="388" t="s">
        <v>4702</v>
      </c>
      <c r="B674" s="389">
        <v>44316</v>
      </c>
      <c r="C674" s="390" t="s">
        <v>4539</v>
      </c>
      <c r="D674" s="391" t="s">
        <v>4540</v>
      </c>
      <c r="E674" s="391" t="s">
        <v>4272</v>
      </c>
      <c r="F674" s="392">
        <v>86576.577000000005</v>
      </c>
      <c r="G674" s="393" t="s">
        <v>3800</v>
      </c>
      <c r="H674" s="394">
        <v>32.214489295637286</v>
      </c>
      <c r="I674" s="394"/>
      <c r="J674" s="392"/>
      <c r="K674" s="392"/>
      <c r="L674" s="392"/>
      <c r="M674" s="392"/>
      <c r="N674" s="392">
        <f t="shared" si="20"/>
        <v>32.214489295637286</v>
      </c>
    </row>
    <row r="675" spans="1:14" hidden="1" outlineLevel="2" x14ac:dyDescent="0.35">
      <c r="A675" s="388" t="s">
        <v>4702</v>
      </c>
      <c r="B675" s="389">
        <v>44316</v>
      </c>
      <c r="C675" s="390" t="s">
        <v>4541</v>
      </c>
      <c r="D675" s="391" t="s">
        <v>4542</v>
      </c>
      <c r="E675" s="391" t="s">
        <v>4042</v>
      </c>
      <c r="F675" s="392">
        <v>8657.6576999999997</v>
      </c>
      <c r="G675" s="393" t="s">
        <v>3800</v>
      </c>
      <c r="H675" s="394">
        <v>3.2214489295637283</v>
      </c>
      <c r="I675" s="394"/>
      <c r="J675" s="392"/>
      <c r="K675" s="392"/>
      <c r="L675" s="392"/>
      <c r="M675" s="392"/>
      <c r="N675" s="392">
        <f t="shared" si="20"/>
        <v>3.2214489295637283</v>
      </c>
    </row>
    <row r="676" spans="1:14" hidden="1" outlineLevel="2" x14ac:dyDescent="0.35">
      <c r="A676" s="388" t="s">
        <v>4702</v>
      </c>
      <c r="B676" s="389">
        <v>44316</v>
      </c>
      <c r="C676" s="390" t="s">
        <v>4537</v>
      </c>
      <c r="D676" s="391" t="s">
        <v>4538</v>
      </c>
      <c r="E676" s="391" t="s">
        <v>4710</v>
      </c>
      <c r="F676" s="392">
        <v>865765.77</v>
      </c>
      <c r="G676" s="393" t="s">
        <v>3800</v>
      </c>
      <c r="H676" s="394">
        <v>322.14489295637287</v>
      </c>
      <c r="I676" s="394"/>
      <c r="J676" s="392"/>
      <c r="K676" s="392"/>
      <c r="L676" s="392"/>
      <c r="M676" s="392"/>
      <c r="N676" s="392">
        <f t="shared" si="20"/>
        <v>322.14489295637287</v>
      </c>
    </row>
    <row r="677" spans="1:14" hidden="1" outlineLevel="2" x14ac:dyDescent="0.35">
      <c r="A677" s="388" t="s">
        <v>4702</v>
      </c>
      <c r="B677" s="389">
        <v>44316</v>
      </c>
      <c r="C677" s="390" t="s">
        <v>4539</v>
      </c>
      <c r="D677" s="391" t="s">
        <v>4540</v>
      </c>
      <c r="E677" s="391" t="s">
        <v>4272</v>
      </c>
      <c r="F677" s="392">
        <v>86576.577000000005</v>
      </c>
      <c r="G677" s="393" t="s">
        <v>3800</v>
      </c>
      <c r="H677" s="394">
        <v>32.214489295637286</v>
      </c>
      <c r="I677" s="394"/>
      <c r="J677" s="392"/>
      <c r="K677" s="392"/>
      <c r="L677" s="392"/>
      <c r="M677" s="392"/>
      <c r="N677" s="392">
        <f t="shared" si="20"/>
        <v>32.214489295637286</v>
      </c>
    </row>
    <row r="678" spans="1:14" hidden="1" outlineLevel="2" x14ac:dyDescent="0.35">
      <c r="A678" s="388" t="s">
        <v>4702</v>
      </c>
      <c r="B678" s="389">
        <v>44316</v>
      </c>
      <c r="C678" s="390" t="s">
        <v>4541</v>
      </c>
      <c r="D678" s="391" t="s">
        <v>4542</v>
      </c>
      <c r="E678" s="391" t="s">
        <v>4042</v>
      </c>
      <c r="F678" s="392">
        <v>8657.6576999999997</v>
      </c>
      <c r="G678" s="393" t="s">
        <v>3800</v>
      </c>
      <c r="H678" s="394">
        <v>3.2214489295637283</v>
      </c>
      <c r="I678" s="394"/>
      <c r="J678" s="392"/>
      <c r="K678" s="392"/>
      <c r="L678" s="392"/>
      <c r="M678" s="392"/>
      <c r="N678" s="392">
        <f t="shared" si="20"/>
        <v>3.2214489295637283</v>
      </c>
    </row>
    <row r="679" spans="1:14" hidden="1" outlineLevel="2" x14ac:dyDescent="0.35">
      <c r="A679" s="388" t="s">
        <v>4702</v>
      </c>
      <c r="B679" s="389">
        <v>44316</v>
      </c>
      <c r="C679" s="390" t="s">
        <v>4537</v>
      </c>
      <c r="D679" s="391" t="s">
        <v>4538</v>
      </c>
      <c r="E679" s="391" t="s">
        <v>4711</v>
      </c>
      <c r="F679" s="392">
        <v>865765.77</v>
      </c>
      <c r="G679" s="393" t="s">
        <v>3800</v>
      </c>
      <c r="H679" s="394">
        <v>322.14489295637287</v>
      </c>
      <c r="I679" s="394"/>
      <c r="J679" s="392"/>
      <c r="K679" s="392"/>
      <c r="L679" s="392"/>
      <c r="M679" s="392"/>
      <c r="N679" s="392">
        <f t="shared" si="20"/>
        <v>322.14489295637287</v>
      </c>
    </row>
    <row r="680" spans="1:14" hidden="1" outlineLevel="2" x14ac:dyDescent="0.35">
      <c r="A680" s="388" t="s">
        <v>4702</v>
      </c>
      <c r="B680" s="389">
        <v>44316</v>
      </c>
      <c r="C680" s="390" t="s">
        <v>4539</v>
      </c>
      <c r="D680" s="391" t="s">
        <v>4540</v>
      </c>
      <c r="E680" s="391" t="s">
        <v>4272</v>
      </c>
      <c r="F680" s="392">
        <v>86576.577000000005</v>
      </c>
      <c r="G680" s="393" t="s">
        <v>3800</v>
      </c>
      <c r="H680" s="394">
        <v>32.214489295637286</v>
      </c>
      <c r="I680" s="394"/>
      <c r="J680" s="392"/>
      <c r="K680" s="392"/>
      <c r="L680" s="392"/>
      <c r="M680" s="392"/>
      <c r="N680" s="392">
        <f t="shared" si="20"/>
        <v>32.214489295637286</v>
      </c>
    </row>
    <row r="681" spans="1:14" hidden="1" outlineLevel="2" x14ac:dyDescent="0.35">
      <c r="A681" s="388" t="s">
        <v>4702</v>
      </c>
      <c r="B681" s="389">
        <v>44316</v>
      </c>
      <c r="C681" s="390" t="s">
        <v>4541</v>
      </c>
      <c r="D681" s="391" t="s">
        <v>4542</v>
      </c>
      <c r="E681" s="391" t="s">
        <v>4042</v>
      </c>
      <c r="F681" s="392">
        <v>8657.6576999999997</v>
      </c>
      <c r="G681" s="393" t="s">
        <v>3800</v>
      </c>
      <c r="H681" s="394">
        <v>3.2214489295637283</v>
      </c>
      <c r="I681" s="394"/>
      <c r="J681" s="392"/>
      <c r="K681" s="392"/>
      <c r="L681" s="392"/>
      <c r="M681" s="392"/>
      <c r="N681" s="392">
        <f t="shared" si="20"/>
        <v>3.2214489295637283</v>
      </c>
    </row>
    <row r="682" spans="1:14" hidden="1" outlineLevel="2" x14ac:dyDescent="0.35">
      <c r="A682" s="388" t="s">
        <v>4702</v>
      </c>
      <c r="B682" s="389">
        <v>44316</v>
      </c>
      <c r="C682" s="390" t="s">
        <v>4537</v>
      </c>
      <c r="D682" s="391" t="s">
        <v>4538</v>
      </c>
      <c r="E682" s="391" t="s">
        <v>4712</v>
      </c>
      <c r="F682" s="392">
        <v>865765.77</v>
      </c>
      <c r="G682" s="393" t="s">
        <v>3800</v>
      </c>
      <c r="H682" s="394">
        <v>322.14489295637287</v>
      </c>
      <c r="I682" s="394"/>
      <c r="J682" s="392"/>
      <c r="K682" s="392"/>
      <c r="L682" s="392"/>
      <c r="M682" s="392"/>
      <c r="N682" s="392">
        <f t="shared" si="20"/>
        <v>322.14489295637287</v>
      </c>
    </row>
    <row r="683" spans="1:14" hidden="1" outlineLevel="2" x14ac:dyDescent="0.35">
      <c r="A683" s="388" t="s">
        <v>4702</v>
      </c>
      <c r="B683" s="389">
        <v>44316</v>
      </c>
      <c r="C683" s="390" t="s">
        <v>4539</v>
      </c>
      <c r="D683" s="391" t="s">
        <v>4540</v>
      </c>
      <c r="E683" s="391" t="s">
        <v>4272</v>
      </c>
      <c r="F683" s="392">
        <v>86576.577000000005</v>
      </c>
      <c r="G683" s="393" t="s">
        <v>3800</v>
      </c>
      <c r="H683" s="394">
        <v>32.214489295637286</v>
      </c>
      <c r="I683" s="394"/>
      <c r="J683" s="392"/>
      <c r="K683" s="392"/>
      <c r="L683" s="392"/>
      <c r="M683" s="392"/>
      <c r="N683" s="392">
        <f t="shared" si="20"/>
        <v>32.214489295637286</v>
      </c>
    </row>
    <row r="684" spans="1:14" hidden="1" outlineLevel="2" x14ac:dyDescent="0.35">
      <c r="A684" s="388" t="s">
        <v>4702</v>
      </c>
      <c r="B684" s="389">
        <v>44316</v>
      </c>
      <c r="C684" s="390" t="s">
        <v>4541</v>
      </c>
      <c r="D684" s="391" t="s">
        <v>4542</v>
      </c>
      <c r="E684" s="391" t="s">
        <v>4042</v>
      </c>
      <c r="F684" s="392">
        <v>8657.6576999999997</v>
      </c>
      <c r="G684" s="393" t="s">
        <v>3800</v>
      </c>
      <c r="H684" s="394">
        <v>3.2214489295637283</v>
      </c>
      <c r="I684" s="394"/>
      <c r="J684" s="392"/>
      <c r="K684" s="392"/>
      <c r="L684" s="392"/>
      <c r="M684" s="392"/>
      <c r="N684" s="392">
        <f t="shared" ref="N684:N747" si="21">H684</f>
        <v>3.2214489295637283</v>
      </c>
    </row>
    <row r="685" spans="1:14" hidden="1" outlineLevel="2" x14ac:dyDescent="0.35">
      <c r="A685" s="388" t="s">
        <v>4702</v>
      </c>
      <c r="B685" s="389">
        <v>44316</v>
      </c>
      <c r="C685" s="390" t="s">
        <v>4537</v>
      </c>
      <c r="D685" s="391" t="s">
        <v>4538</v>
      </c>
      <c r="E685" s="391" t="s">
        <v>4713</v>
      </c>
      <c r="F685" s="392">
        <v>865765.77</v>
      </c>
      <c r="G685" s="393" t="s">
        <v>3800</v>
      </c>
      <c r="H685" s="394">
        <v>322.14489295637287</v>
      </c>
      <c r="I685" s="394"/>
      <c r="J685" s="392"/>
      <c r="K685" s="392"/>
      <c r="L685" s="392"/>
      <c r="M685" s="392"/>
      <c r="N685" s="392">
        <f t="shared" si="21"/>
        <v>322.14489295637287</v>
      </c>
    </row>
    <row r="686" spans="1:14" hidden="1" outlineLevel="2" x14ac:dyDescent="0.35">
      <c r="A686" s="388" t="s">
        <v>4702</v>
      </c>
      <c r="B686" s="389">
        <v>44316</v>
      </c>
      <c r="C686" s="390" t="s">
        <v>4539</v>
      </c>
      <c r="D686" s="391" t="s">
        <v>4540</v>
      </c>
      <c r="E686" s="391" t="s">
        <v>4272</v>
      </c>
      <c r="F686" s="392">
        <v>86576.577000000005</v>
      </c>
      <c r="G686" s="393" t="s">
        <v>3800</v>
      </c>
      <c r="H686" s="394">
        <v>32.214489295637286</v>
      </c>
      <c r="I686" s="394"/>
      <c r="J686" s="392"/>
      <c r="K686" s="392"/>
      <c r="L686" s="392"/>
      <c r="M686" s="392"/>
      <c r="N686" s="392">
        <f t="shared" si="21"/>
        <v>32.214489295637286</v>
      </c>
    </row>
    <row r="687" spans="1:14" hidden="1" outlineLevel="2" x14ac:dyDescent="0.35">
      <c r="A687" s="388" t="s">
        <v>4702</v>
      </c>
      <c r="B687" s="389">
        <v>44316</v>
      </c>
      <c r="C687" s="390" t="s">
        <v>4541</v>
      </c>
      <c r="D687" s="391" t="s">
        <v>4542</v>
      </c>
      <c r="E687" s="391" t="s">
        <v>4042</v>
      </c>
      <c r="F687" s="392">
        <v>8657.6576999999997</v>
      </c>
      <c r="G687" s="393" t="s">
        <v>3800</v>
      </c>
      <c r="H687" s="394">
        <v>3.2214489295637283</v>
      </c>
      <c r="I687" s="394"/>
      <c r="J687" s="392"/>
      <c r="K687" s="392"/>
      <c r="L687" s="392"/>
      <c r="M687" s="392"/>
      <c r="N687" s="392">
        <f t="shared" si="21"/>
        <v>3.2214489295637283</v>
      </c>
    </row>
    <row r="688" spans="1:14" hidden="1" outlineLevel="2" x14ac:dyDescent="0.35">
      <c r="A688" s="388" t="s">
        <v>4702</v>
      </c>
      <c r="B688" s="389">
        <v>44316</v>
      </c>
      <c r="C688" s="390" t="s">
        <v>4537</v>
      </c>
      <c r="D688" s="391" t="s">
        <v>4538</v>
      </c>
      <c r="E688" s="391" t="s">
        <v>4714</v>
      </c>
      <c r="F688" s="392">
        <v>865765.77</v>
      </c>
      <c r="G688" s="393" t="s">
        <v>3800</v>
      </c>
      <c r="H688" s="394">
        <v>322.14489295637287</v>
      </c>
      <c r="I688" s="394"/>
      <c r="J688" s="392"/>
      <c r="K688" s="392"/>
      <c r="L688" s="392"/>
      <c r="M688" s="392"/>
      <c r="N688" s="392">
        <f t="shared" si="21"/>
        <v>322.14489295637287</v>
      </c>
    </row>
    <row r="689" spans="1:14" hidden="1" outlineLevel="2" x14ac:dyDescent="0.35">
      <c r="A689" s="388" t="s">
        <v>4702</v>
      </c>
      <c r="B689" s="389">
        <v>44316</v>
      </c>
      <c r="C689" s="390" t="s">
        <v>4539</v>
      </c>
      <c r="D689" s="391" t="s">
        <v>4540</v>
      </c>
      <c r="E689" s="391" t="s">
        <v>4272</v>
      </c>
      <c r="F689" s="392">
        <v>86576.577000000005</v>
      </c>
      <c r="G689" s="393" t="s">
        <v>3800</v>
      </c>
      <c r="H689" s="394">
        <v>32.214489295637286</v>
      </c>
      <c r="I689" s="394"/>
      <c r="J689" s="392"/>
      <c r="K689" s="392"/>
      <c r="L689" s="392"/>
      <c r="M689" s="392"/>
      <c r="N689" s="392">
        <f t="shared" si="21"/>
        <v>32.214489295637286</v>
      </c>
    </row>
    <row r="690" spans="1:14" hidden="1" outlineLevel="2" x14ac:dyDescent="0.35">
      <c r="A690" s="388" t="s">
        <v>4702</v>
      </c>
      <c r="B690" s="389">
        <v>44316</v>
      </c>
      <c r="C690" s="390" t="s">
        <v>4541</v>
      </c>
      <c r="D690" s="391" t="s">
        <v>4542</v>
      </c>
      <c r="E690" s="391" t="s">
        <v>4042</v>
      </c>
      <c r="F690" s="392">
        <v>8657.6576999999997</v>
      </c>
      <c r="G690" s="393" t="s">
        <v>3800</v>
      </c>
      <c r="H690" s="394">
        <v>3.2214489295637283</v>
      </c>
      <c r="I690" s="394"/>
      <c r="J690" s="392"/>
      <c r="K690" s="392"/>
      <c r="L690" s="392"/>
      <c r="M690" s="392"/>
      <c r="N690" s="392">
        <f t="shared" si="21"/>
        <v>3.2214489295637283</v>
      </c>
    </row>
    <row r="691" spans="1:14" hidden="1" outlineLevel="2" x14ac:dyDescent="0.35">
      <c r="A691" s="388" t="s">
        <v>4702</v>
      </c>
      <c r="B691" s="389">
        <v>44316</v>
      </c>
      <c r="C691" s="390" t="s">
        <v>4537</v>
      </c>
      <c r="D691" s="391" t="s">
        <v>4538</v>
      </c>
      <c r="E691" s="391" t="s">
        <v>4715</v>
      </c>
      <c r="F691" s="392">
        <v>865765.77</v>
      </c>
      <c r="G691" s="393" t="s">
        <v>3800</v>
      </c>
      <c r="H691" s="394">
        <v>322.14489295637287</v>
      </c>
      <c r="I691" s="394"/>
      <c r="J691" s="392"/>
      <c r="K691" s="392"/>
      <c r="L691" s="392"/>
      <c r="M691" s="392"/>
      <c r="N691" s="392">
        <f t="shared" si="21"/>
        <v>322.14489295637287</v>
      </c>
    </row>
    <row r="692" spans="1:14" hidden="1" outlineLevel="2" x14ac:dyDescent="0.35">
      <c r="A692" s="388" t="s">
        <v>4702</v>
      </c>
      <c r="B692" s="389">
        <v>44316</v>
      </c>
      <c r="C692" s="390" t="s">
        <v>4539</v>
      </c>
      <c r="D692" s="391" t="s">
        <v>4540</v>
      </c>
      <c r="E692" s="391" t="s">
        <v>4272</v>
      </c>
      <c r="F692" s="392">
        <v>86576.577000000005</v>
      </c>
      <c r="G692" s="393" t="s">
        <v>3800</v>
      </c>
      <c r="H692" s="394">
        <v>32.214489295637286</v>
      </c>
      <c r="I692" s="394"/>
      <c r="J692" s="392"/>
      <c r="K692" s="392"/>
      <c r="L692" s="392"/>
      <c r="M692" s="392"/>
      <c r="N692" s="392">
        <f t="shared" si="21"/>
        <v>32.214489295637286</v>
      </c>
    </row>
    <row r="693" spans="1:14" hidden="1" outlineLevel="2" x14ac:dyDescent="0.35">
      <c r="A693" s="388" t="s">
        <v>4702</v>
      </c>
      <c r="B693" s="389">
        <v>44316</v>
      </c>
      <c r="C693" s="390" t="s">
        <v>4541</v>
      </c>
      <c r="D693" s="391" t="s">
        <v>4542</v>
      </c>
      <c r="E693" s="391" t="s">
        <v>4042</v>
      </c>
      <c r="F693" s="392">
        <v>8657.6576999999997</v>
      </c>
      <c r="G693" s="393" t="s">
        <v>3800</v>
      </c>
      <c r="H693" s="394">
        <v>3.2214489295637283</v>
      </c>
      <c r="I693" s="394"/>
      <c r="J693" s="392"/>
      <c r="K693" s="392"/>
      <c r="L693" s="392"/>
      <c r="M693" s="392"/>
      <c r="N693" s="392">
        <f t="shared" si="21"/>
        <v>3.2214489295637283</v>
      </c>
    </row>
    <row r="694" spans="1:14" hidden="1" outlineLevel="2" x14ac:dyDescent="0.35">
      <c r="A694" s="388" t="s">
        <v>4702</v>
      </c>
      <c r="B694" s="389">
        <v>44316</v>
      </c>
      <c r="C694" s="390" t="s">
        <v>4537</v>
      </c>
      <c r="D694" s="391" t="s">
        <v>4538</v>
      </c>
      <c r="E694" s="391" t="s">
        <v>4716</v>
      </c>
      <c r="F694" s="392">
        <v>865765.77</v>
      </c>
      <c r="G694" s="393" t="s">
        <v>3800</v>
      </c>
      <c r="H694" s="394">
        <v>322.14489295637287</v>
      </c>
      <c r="I694" s="394"/>
      <c r="J694" s="392"/>
      <c r="K694" s="392"/>
      <c r="L694" s="392"/>
      <c r="M694" s="392"/>
      <c r="N694" s="392">
        <f t="shared" si="21"/>
        <v>322.14489295637287</v>
      </c>
    </row>
    <row r="695" spans="1:14" hidden="1" outlineLevel="2" x14ac:dyDescent="0.35">
      <c r="A695" s="388" t="s">
        <v>4702</v>
      </c>
      <c r="B695" s="389">
        <v>44316</v>
      </c>
      <c r="C695" s="390" t="s">
        <v>4539</v>
      </c>
      <c r="D695" s="391" t="s">
        <v>4540</v>
      </c>
      <c r="E695" s="391" t="s">
        <v>4272</v>
      </c>
      <c r="F695" s="392">
        <v>86576.577000000005</v>
      </c>
      <c r="G695" s="393" t="s">
        <v>3800</v>
      </c>
      <c r="H695" s="394">
        <v>32.214489295637286</v>
      </c>
      <c r="I695" s="394"/>
      <c r="J695" s="392"/>
      <c r="K695" s="392"/>
      <c r="L695" s="392"/>
      <c r="M695" s="392"/>
      <c r="N695" s="392">
        <f t="shared" si="21"/>
        <v>32.214489295637286</v>
      </c>
    </row>
    <row r="696" spans="1:14" hidden="1" outlineLevel="2" x14ac:dyDescent="0.35">
      <c r="A696" s="388" t="s">
        <v>4702</v>
      </c>
      <c r="B696" s="389">
        <v>44316</v>
      </c>
      <c r="C696" s="390" t="s">
        <v>4541</v>
      </c>
      <c r="D696" s="391" t="s">
        <v>4542</v>
      </c>
      <c r="E696" s="391" t="s">
        <v>4042</v>
      </c>
      <c r="F696" s="392">
        <v>8657.6576999999997</v>
      </c>
      <c r="G696" s="393" t="s">
        <v>3800</v>
      </c>
      <c r="H696" s="394">
        <v>3.2214489295637283</v>
      </c>
      <c r="I696" s="394"/>
      <c r="J696" s="392"/>
      <c r="K696" s="392"/>
      <c r="L696" s="392"/>
      <c r="M696" s="392"/>
      <c r="N696" s="392">
        <f t="shared" si="21"/>
        <v>3.2214489295637283</v>
      </c>
    </row>
    <row r="697" spans="1:14" hidden="1" outlineLevel="2" x14ac:dyDescent="0.35">
      <c r="A697" s="388" t="s">
        <v>4702</v>
      </c>
      <c r="B697" s="389">
        <v>44316</v>
      </c>
      <c r="C697" s="390" t="s">
        <v>4537</v>
      </c>
      <c r="D697" s="391" t="s">
        <v>4538</v>
      </c>
      <c r="E697" s="391" t="s">
        <v>4717</v>
      </c>
      <c r="F697" s="392">
        <v>865765.77</v>
      </c>
      <c r="G697" s="393" t="s">
        <v>3800</v>
      </c>
      <c r="H697" s="394">
        <v>322.14489295637287</v>
      </c>
      <c r="I697" s="394"/>
      <c r="J697" s="392"/>
      <c r="K697" s="392"/>
      <c r="L697" s="392"/>
      <c r="M697" s="392"/>
      <c r="N697" s="392">
        <f t="shared" si="21"/>
        <v>322.14489295637287</v>
      </c>
    </row>
    <row r="698" spans="1:14" hidden="1" outlineLevel="2" x14ac:dyDescent="0.35">
      <c r="A698" s="388" t="s">
        <v>4702</v>
      </c>
      <c r="B698" s="389">
        <v>44316</v>
      </c>
      <c r="C698" s="390" t="s">
        <v>4539</v>
      </c>
      <c r="D698" s="391" t="s">
        <v>4540</v>
      </c>
      <c r="E698" s="391" t="s">
        <v>4272</v>
      </c>
      <c r="F698" s="392">
        <v>86576.577000000005</v>
      </c>
      <c r="G698" s="393" t="s">
        <v>3800</v>
      </c>
      <c r="H698" s="394">
        <v>32.214489295637286</v>
      </c>
      <c r="I698" s="394"/>
      <c r="J698" s="392"/>
      <c r="K698" s="392"/>
      <c r="L698" s="392"/>
      <c r="M698" s="392"/>
      <c r="N698" s="392">
        <f t="shared" si="21"/>
        <v>32.214489295637286</v>
      </c>
    </row>
    <row r="699" spans="1:14" hidden="1" outlineLevel="2" x14ac:dyDescent="0.35">
      <c r="A699" s="388" t="s">
        <v>4702</v>
      </c>
      <c r="B699" s="389">
        <v>44316</v>
      </c>
      <c r="C699" s="390" t="s">
        <v>4541</v>
      </c>
      <c r="D699" s="391" t="s">
        <v>4542</v>
      </c>
      <c r="E699" s="391" t="s">
        <v>4042</v>
      </c>
      <c r="F699" s="392">
        <v>8657.6576999999997</v>
      </c>
      <c r="G699" s="393" t="s">
        <v>3800</v>
      </c>
      <c r="H699" s="394">
        <v>3.2214489295637283</v>
      </c>
      <c r="I699" s="394"/>
      <c r="J699" s="392"/>
      <c r="K699" s="392"/>
      <c r="L699" s="392"/>
      <c r="M699" s="392"/>
      <c r="N699" s="392">
        <f t="shared" si="21"/>
        <v>3.2214489295637283</v>
      </c>
    </row>
    <row r="700" spans="1:14" hidden="1" outlineLevel="2" x14ac:dyDescent="0.35">
      <c r="A700" s="388" t="s">
        <v>4702</v>
      </c>
      <c r="B700" s="389">
        <v>44316</v>
      </c>
      <c r="C700" s="390" t="s">
        <v>4537</v>
      </c>
      <c r="D700" s="391" t="s">
        <v>4538</v>
      </c>
      <c r="E700" s="391" t="s">
        <v>4718</v>
      </c>
      <c r="F700" s="392">
        <v>865765.77</v>
      </c>
      <c r="G700" s="393" t="s">
        <v>3800</v>
      </c>
      <c r="H700" s="394">
        <v>322.14489295637287</v>
      </c>
      <c r="I700" s="394"/>
      <c r="J700" s="392"/>
      <c r="K700" s="392"/>
      <c r="L700" s="392"/>
      <c r="M700" s="392"/>
      <c r="N700" s="392">
        <f t="shared" si="21"/>
        <v>322.14489295637287</v>
      </c>
    </row>
    <row r="701" spans="1:14" hidden="1" outlineLevel="2" x14ac:dyDescent="0.35">
      <c r="A701" s="388" t="s">
        <v>4702</v>
      </c>
      <c r="B701" s="389">
        <v>44316</v>
      </c>
      <c r="C701" s="390" t="s">
        <v>4539</v>
      </c>
      <c r="D701" s="391" t="s">
        <v>4540</v>
      </c>
      <c r="E701" s="391" t="s">
        <v>4272</v>
      </c>
      <c r="F701" s="392">
        <v>86576.577000000005</v>
      </c>
      <c r="G701" s="393" t="s">
        <v>3800</v>
      </c>
      <c r="H701" s="394">
        <v>32.214489295637286</v>
      </c>
      <c r="I701" s="394"/>
      <c r="J701" s="392"/>
      <c r="K701" s="392"/>
      <c r="L701" s="392"/>
      <c r="M701" s="392"/>
      <c r="N701" s="392">
        <f t="shared" si="21"/>
        <v>32.214489295637286</v>
      </c>
    </row>
    <row r="702" spans="1:14" hidden="1" outlineLevel="2" x14ac:dyDescent="0.35">
      <c r="A702" s="388" t="s">
        <v>4702</v>
      </c>
      <c r="B702" s="389">
        <v>44316</v>
      </c>
      <c r="C702" s="390" t="s">
        <v>4541</v>
      </c>
      <c r="D702" s="391" t="s">
        <v>4542</v>
      </c>
      <c r="E702" s="391" t="s">
        <v>4042</v>
      </c>
      <c r="F702" s="392">
        <v>8657.6576999999997</v>
      </c>
      <c r="G702" s="393" t="s">
        <v>3800</v>
      </c>
      <c r="H702" s="394">
        <v>3.2214489295637283</v>
      </c>
      <c r="I702" s="394"/>
      <c r="J702" s="392"/>
      <c r="K702" s="392"/>
      <c r="L702" s="392"/>
      <c r="M702" s="392"/>
      <c r="N702" s="392">
        <f t="shared" si="21"/>
        <v>3.2214489295637283</v>
      </c>
    </row>
    <row r="703" spans="1:14" hidden="1" outlineLevel="2" x14ac:dyDescent="0.35">
      <c r="A703" s="388" t="s">
        <v>4702</v>
      </c>
      <c r="B703" s="389">
        <v>44343</v>
      </c>
      <c r="C703" s="390" t="s">
        <v>4543</v>
      </c>
      <c r="D703" s="391" t="s">
        <v>4544</v>
      </c>
      <c r="E703" s="391" t="s">
        <v>4703</v>
      </c>
      <c r="F703" s="392">
        <v>865765.77</v>
      </c>
      <c r="G703" s="393" t="s">
        <v>3800</v>
      </c>
      <c r="H703" s="394">
        <v>322.14489295637287</v>
      </c>
      <c r="I703" s="394"/>
      <c r="J703" s="392"/>
      <c r="K703" s="392"/>
      <c r="L703" s="392"/>
      <c r="M703" s="392"/>
      <c r="N703" s="392">
        <f t="shared" si="21"/>
        <v>322.14489295637287</v>
      </c>
    </row>
    <row r="704" spans="1:14" hidden="1" outlineLevel="2" x14ac:dyDescent="0.35">
      <c r="A704" s="388" t="s">
        <v>4702</v>
      </c>
      <c r="B704" s="389">
        <v>44343</v>
      </c>
      <c r="C704" s="390" t="s">
        <v>4545</v>
      </c>
      <c r="D704" s="391" t="s">
        <v>4546</v>
      </c>
      <c r="E704" s="391" t="s">
        <v>4272</v>
      </c>
      <c r="F704" s="392">
        <v>86576.577000000005</v>
      </c>
      <c r="G704" s="393" t="s">
        <v>3800</v>
      </c>
      <c r="H704" s="394">
        <v>32.214489295637286</v>
      </c>
      <c r="I704" s="394"/>
      <c r="J704" s="392"/>
      <c r="K704" s="392"/>
      <c r="L704" s="392"/>
      <c r="M704" s="392"/>
      <c r="N704" s="392">
        <f t="shared" si="21"/>
        <v>32.214489295637286</v>
      </c>
    </row>
    <row r="705" spans="1:14" hidden="1" outlineLevel="2" x14ac:dyDescent="0.35">
      <c r="A705" s="388" t="s">
        <v>4702</v>
      </c>
      <c r="B705" s="389">
        <v>44343</v>
      </c>
      <c r="C705" s="390" t="s">
        <v>4547</v>
      </c>
      <c r="D705" s="391" t="s">
        <v>4548</v>
      </c>
      <c r="E705" s="391" t="s">
        <v>4042</v>
      </c>
      <c r="F705" s="392">
        <v>8657.6576999999997</v>
      </c>
      <c r="G705" s="393" t="s">
        <v>3800</v>
      </c>
      <c r="H705" s="394">
        <v>3.2214489295637283</v>
      </c>
      <c r="I705" s="394"/>
      <c r="J705" s="392"/>
      <c r="K705" s="392"/>
      <c r="L705" s="392"/>
      <c r="M705" s="392"/>
      <c r="N705" s="392">
        <f t="shared" si="21"/>
        <v>3.2214489295637283</v>
      </c>
    </row>
    <row r="706" spans="1:14" hidden="1" outlineLevel="2" x14ac:dyDescent="0.35">
      <c r="A706" s="388" t="s">
        <v>4702</v>
      </c>
      <c r="B706" s="389">
        <v>44343</v>
      </c>
      <c r="C706" s="390" t="s">
        <v>4543</v>
      </c>
      <c r="D706" s="391" t="s">
        <v>4544</v>
      </c>
      <c r="E706" s="391" t="s">
        <v>4720</v>
      </c>
      <c r="F706" s="392">
        <v>865765.77</v>
      </c>
      <c r="G706" s="393" t="s">
        <v>3800</v>
      </c>
      <c r="H706" s="394">
        <v>322.14489295637287</v>
      </c>
      <c r="I706" s="394"/>
      <c r="J706" s="392"/>
      <c r="K706" s="392"/>
      <c r="L706" s="392"/>
      <c r="M706" s="392"/>
      <c r="N706" s="392">
        <f t="shared" si="21"/>
        <v>322.14489295637287</v>
      </c>
    </row>
    <row r="707" spans="1:14" hidden="1" outlineLevel="2" x14ac:dyDescent="0.35">
      <c r="A707" s="388" t="s">
        <v>4702</v>
      </c>
      <c r="B707" s="389">
        <v>44343</v>
      </c>
      <c r="C707" s="390" t="s">
        <v>4545</v>
      </c>
      <c r="D707" s="391" t="s">
        <v>4546</v>
      </c>
      <c r="E707" s="391" t="s">
        <v>4272</v>
      </c>
      <c r="F707" s="392">
        <v>86576.577000000005</v>
      </c>
      <c r="G707" s="393" t="s">
        <v>3800</v>
      </c>
      <c r="H707" s="394">
        <v>32.214489295637286</v>
      </c>
      <c r="I707" s="394"/>
      <c r="J707" s="392"/>
      <c r="K707" s="392"/>
      <c r="L707" s="392"/>
      <c r="M707" s="392"/>
      <c r="N707" s="392">
        <f t="shared" si="21"/>
        <v>32.214489295637286</v>
      </c>
    </row>
    <row r="708" spans="1:14" hidden="1" outlineLevel="2" x14ac:dyDescent="0.35">
      <c r="A708" s="388" t="s">
        <v>4702</v>
      </c>
      <c r="B708" s="389">
        <v>44343</v>
      </c>
      <c r="C708" s="390" t="s">
        <v>4547</v>
      </c>
      <c r="D708" s="391" t="s">
        <v>4548</v>
      </c>
      <c r="E708" s="391" t="s">
        <v>4042</v>
      </c>
      <c r="F708" s="392">
        <v>8657.6576999999997</v>
      </c>
      <c r="G708" s="393" t="s">
        <v>3800</v>
      </c>
      <c r="H708" s="394">
        <v>3.2214489295637283</v>
      </c>
      <c r="I708" s="394"/>
      <c r="J708" s="392"/>
      <c r="K708" s="392"/>
      <c r="L708" s="392"/>
      <c r="M708" s="392"/>
      <c r="N708" s="392">
        <f t="shared" si="21"/>
        <v>3.2214489295637283</v>
      </c>
    </row>
    <row r="709" spans="1:14" hidden="1" outlineLevel="2" x14ac:dyDescent="0.35">
      <c r="A709" s="388" t="s">
        <v>4702</v>
      </c>
      <c r="B709" s="389">
        <v>44343</v>
      </c>
      <c r="C709" s="390" t="s">
        <v>4543</v>
      </c>
      <c r="D709" s="391" t="s">
        <v>4544</v>
      </c>
      <c r="E709" s="391" t="s">
        <v>4704</v>
      </c>
      <c r="F709" s="392">
        <v>865765.77</v>
      </c>
      <c r="G709" s="393" t="s">
        <v>3800</v>
      </c>
      <c r="H709" s="394">
        <v>322.14489295637287</v>
      </c>
      <c r="I709" s="394"/>
      <c r="J709" s="392"/>
      <c r="K709" s="392"/>
      <c r="L709" s="392"/>
      <c r="M709" s="392"/>
      <c r="N709" s="392">
        <f t="shared" si="21"/>
        <v>322.14489295637287</v>
      </c>
    </row>
    <row r="710" spans="1:14" hidden="1" outlineLevel="2" x14ac:dyDescent="0.35">
      <c r="A710" s="388" t="s">
        <v>4702</v>
      </c>
      <c r="B710" s="389">
        <v>44343</v>
      </c>
      <c r="C710" s="390" t="s">
        <v>4545</v>
      </c>
      <c r="D710" s="391" t="s">
        <v>4546</v>
      </c>
      <c r="E710" s="391" t="s">
        <v>4272</v>
      </c>
      <c r="F710" s="392">
        <v>86576.577000000005</v>
      </c>
      <c r="G710" s="393" t="s">
        <v>3800</v>
      </c>
      <c r="H710" s="394">
        <v>32.214489295637286</v>
      </c>
      <c r="I710" s="394"/>
      <c r="J710" s="392"/>
      <c r="K710" s="392"/>
      <c r="L710" s="392"/>
      <c r="M710" s="392"/>
      <c r="N710" s="392">
        <f t="shared" si="21"/>
        <v>32.214489295637286</v>
      </c>
    </row>
    <row r="711" spans="1:14" hidden="1" outlineLevel="2" x14ac:dyDescent="0.35">
      <c r="A711" s="388" t="s">
        <v>4702</v>
      </c>
      <c r="B711" s="389">
        <v>44343</v>
      </c>
      <c r="C711" s="390" t="s">
        <v>4547</v>
      </c>
      <c r="D711" s="391" t="s">
        <v>4548</v>
      </c>
      <c r="E711" s="391" t="s">
        <v>4042</v>
      </c>
      <c r="F711" s="392">
        <v>8657.6576999999997</v>
      </c>
      <c r="G711" s="393" t="s">
        <v>3800</v>
      </c>
      <c r="H711" s="394">
        <v>3.2214489295637283</v>
      </c>
      <c r="I711" s="394"/>
      <c r="J711" s="392"/>
      <c r="K711" s="392"/>
      <c r="L711" s="392"/>
      <c r="M711" s="392"/>
      <c r="N711" s="392">
        <f t="shared" si="21"/>
        <v>3.2214489295637283</v>
      </c>
    </row>
    <row r="712" spans="1:14" hidden="1" outlineLevel="2" x14ac:dyDescent="0.35">
      <c r="A712" s="388" t="s">
        <v>4702</v>
      </c>
      <c r="B712" s="389">
        <v>44343</v>
      </c>
      <c r="C712" s="390" t="s">
        <v>4543</v>
      </c>
      <c r="D712" s="391" t="s">
        <v>4544</v>
      </c>
      <c r="E712" s="391" t="s">
        <v>4705</v>
      </c>
      <c r="F712" s="392">
        <v>865765.77</v>
      </c>
      <c r="G712" s="393" t="s">
        <v>3800</v>
      </c>
      <c r="H712" s="394">
        <v>322.14489295637287</v>
      </c>
      <c r="I712" s="394"/>
      <c r="J712" s="392"/>
      <c r="K712" s="392"/>
      <c r="L712" s="392"/>
      <c r="M712" s="392"/>
      <c r="N712" s="392">
        <f t="shared" si="21"/>
        <v>322.14489295637287</v>
      </c>
    </row>
    <row r="713" spans="1:14" hidden="1" outlineLevel="2" x14ac:dyDescent="0.35">
      <c r="A713" s="388" t="s">
        <v>4702</v>
      </c>
      <c r="B713" s="389">
        <v>44343</v>
      </c>
      <c r="C713" s="390" t="s">
        <v>4545</v>
      </c>
      <c r="D713" s="391" t="s">
        <v>4546</v>
      </c>
      <c r="E713" s="391" t="s">
        <v>4272</v>
      </c>
      <c r="F713" s="392">
        <v>86576.577000000005</v>
      </c>
      <c r="G713" s="393" t="s">
        <v>3800</v>
      </c>
      <c r="H713" s="394">
        <v>32.214489295637286</v>
      </c>
      <c r="I713" s="394"/>
      <c r="J713" s="392"/>
      <c r="K713" s="392"/>
      <c r="L713" s="392"/>
      <c r="M713" s="392"/>
      <c r="N713" s="392">
        <f t="shared" si="21"/>
        <v>32.214489295637286</v>
      </c>
    </row>
    <row r="714" spans="1:14" hidden="1" outlineLevel="2" x14ac:dyDescent="0.35">
      <c r="A714" s="388" t="s">
        <v>4702</v>
      </c>
      <c r="B714" s="389">
        <v>44343</v>
      </c>
      <c r="C714" s="390" t="s">
        <v>4547</v>
      </c>
      <c r="D714" s="391" t="s">
        <v>4548</v>
      </c>
      <c r="E714" s="391" t="s">
        <v>4042</v>
      </c>
      <c r="F714" s="392">
        <v>8657.6576999999997</v>
      </c>
      <c r="G714" s="393" t="s">
        <v>3800</v>
      </c>
      <c r="H714" s="394">
        <v>3.2214489295637283</v>
      </c>
      <c r="I714" s="394"/>
      <c r="J714" s="392"/>
      <c r="K714" s="392"/>
      <c r="L714" s="392"/>
      <c r="M714" s="392"/>
      <c r="N714" s="392">
        <f t="shared" si="21"/>
        <v>3.2214489295637283</v>
      </c>
    </row>
    <row r="715" spans="1:14" hidden="1" outlineLevel="2" x14ac:dyDescent="0.35">
      <c r="A715" s="388" t="s">
        <v>4702</v>
      </c>
      <c r="B715" s="389">
        <v>44343</v>
      </c>
      <c r="C715" s="390" t="s">
        <v>4543</v>
      </c>
      <c r="D715" s="391" t="s">
        <v>4544</v>
      </c>
      <c r="E715" s="391" t="s">
        <v>4706</v>
      </c>
      <c r="F715" s="392">
        <v>865765.77</v>
      </c>
      <c r="G715" s="393" t="s">
        <v>3800</v>
      </c>
      <c r="H715" s="394">
        <v>322.14489295637287</v>
      </c>
      <c r="I715" s="394"/>
      <c r="J715" s="392"/>
      <c r="K715" s="392"/>
      <c r="L715" s="392"/>
      <c r="M715" s="392"/>
      <c r="N715" s="392">
        <f t="shared" si="21"/>
        <v>322.14489295637287</v>
      </c>
    </row>
    <row r="716" spans="1:14" hidden="1" outlineLevel="2" x14ac:dyDescent="0.35">
      <c r="A716" s="388" t="s">
        <v>4702</v>
      </c>
      <c r="B716" s="389">
        <v>44343</v>
      </c>
      <c r="C716" s="390" t="s">
        <v>4545</v>
      </c>
      <c r="D716" s="391" t="s">
        <v>4546</v>
      </c>
      <c r="E716" s="391" t="s">
        <v>4272</v>
      </c>
      <c r="F716" s="392">
        <v>86576.577000000005</v>
      </c>
      <c r="G716" s="393" t="s">
        <v>3800</v>
      </c>
      <c r="H716" s="394">
        <v>32.214489295637286</v>
      </c>
      <c r="I716" s="394"/>
      <c r="J716" s="392"/>
      <c r="K716" s="392"/>
      <c r="L716" s="392"/>
      <c r="M716" s="392"/>
      <c r="N716" s="392">
        <f t="shared" si="21"/>
        <v>32.214489295637286</v>
      </c>
    </row>
    <row r="717" spans="1:14" hidden="1" outlineLevel="2" x14ac:dyDescent="0.35">
      <c r="A717" s="388" t="s">
        <v>4702</v>
      </c>
      <c r="B717" s="389">
        <v>44343</v>
      </c>
      <c r="C717" s="390" t="s">
        <v>4547</v>
      </c>
      <c r="D717" s="391" t="s">
        <v>4548</v>
      </c>
      <c r="E717" s="391" t="s">
        <v>4042</v>
      </c>
      <c r="F717" s="392">
        <v>8657.6576999999997</v>
      </c>
      <c r="G717" s="393" t="s">
        <v>3800</v>
      </c>
      <c r="H717" s="394">
        <v>3.2214489295637283</v>
      </c>
      <c r="I717" s="394"/>
      <c r="J717" s="392"/>
      <c r="K717" s="392"/>
      <c r="L717" s="392"/>
      <c r="M717" s="392"/>
      <c r="N717" s="392">
        <f t="shared" si="21"/>
        <v>3.2214489295637283</v>
      </c>
    </row>
    <row r="718" spans="1:14" hidden="1" outlineLevel="2" x14ac:dyDescent="0.35">
      <c r="A718" s="388" t="s">
        <v>4702</v>
      </c>
      <c r="B718" s="389">
        <v>44343</v>
      </c>
      <c r="C718" s="390" t="s">
        <v>4543</v>
      </c>
      <c r="D718" s="391" t="s">
        <v>4544</v>
      </c>
      <c r="E718" s="391" t="s">
        <v>4707</v>
      </c>
      <c r="F718" s="392">
        <v>865765.77</v>
      </c>
      <c r="G718" s="393" t="s">
        <v>3800</v>
      </c>
      <c r="H718" s="394">
        <v>322.14489295637287</v>
      </c>
      <c r="I718" s="394"/>
      <c r="J718" s="392"/>
      <c r="K718" s="392"/>
      <c r="L718" s="392"/>
      <c r="M718" s="392"/>
      <c r="N718" s="392">
        <f t="shared" si="21"/>
        <v>322.14489295637287</v>
      </c>
    </row>
    <row r="719" spans="1:14" hidden="1" outlineLevel="2" x14ac:dyDescent="0.35">
      <c r="A719" s="388" t="s">
        <v>4702</v>
      </c>
      <c r="B719" s="389">
        <v>44343</v>
      </c>
      <c r="C719" s="390" t="s">
        <v>4545</v>
      </c>
      <c r="D719" s="391" t="s">
        <v>4546</v>
      </c>
      <c r="E719" s="391" t="s">
        <v>4272</v>
      </c>
      <c r="F719" s="392">
        <v>86576.577000000005</v>
      </c>
      <c r="G719" s="393" t="s">
        <v>3800</v>
      </c>
      <c r="H719" s="394">
        <v>32.214489295637286</v>
      </c>
      <c r="I719" s="394"/>
      <c r="J719" s="392"/>
      <c r="K719" s="392"/>
      <c r="L719" s="392"/>
      <c r="M719" s="392"/>
      <c r="N719" s="392">
        <f t="shared" si="21"/>
        <v>32.214489295637286</v>
      </c>
    </row>
    <row r="720" spans="1:14" hidden="1" outlineLevel="2" x14ac:dyDescent="0.35">
      <c r="A720" s="388" t="s">
        <v>4702</v>
      </c>
      <c r="B720" s="389">
        <v>44343</v>
      </c>
      <c r="C720" s="390" t="s">
        <v>4547</v>
      </c>
      <c r="D720" s="391" t="s">
        <v>4548</v>
      </c>
      <c r="E720" s="391" t="s">
        <v>4042</v>
      </c>
      <c r="F720" s="392">
        <v>8657.6576999999997</v>
      </c>
      <c r="G720" s="393" t="s">
        <v>3800</v>
      </c>
      <c r="H720" s="394">
        <v>3.2214489295637283</v>
      </c>
      <c r="I720" s="394"/>
      <c r="J720" s="392"/>
      <c r="K720" s="392"/>
      <c r="L720" s="392"/>
      <c r="M720" s="392"/>
      <c r="N720" s="392">
        <f t="shared" si="21"/>
        <v>3.2214489295637283</v>
      </c>
    </row>
    <row r="721" spans="1:14" hidden="1" outlineLevel="2" x14ac:dyDescent="0.35">
      <c r="A721" s="388" t="s">
        <v>4702</v>
      </c>
      <c r="B721" s="389">
        <v>44343</v>
      </c>
      <c r="C721" s="390" t="s">
        <v>4543</v>
      </c>
      <c r="D721" s="391" t="s">
        <v>4544</v>
      </c>
      <c r="E721" s="391" t="s">
        <v>4708</v>
      </c>
      <c r="F721" s="392">
        <v>865765.77</v>
      </c>
      <c r="G721" s="393" t="s">
        <v>3800</v>
      </c>
      <c r="H721" s="394">
        <v>322.14489295637287</v>
      </c>
      <c r="I721" s="394"/>
      <c r="J721" s="392"/>
      <c r="K721" s="392"/>
      <c r="L721" s="392"/>
      <c r="M721" s="392"/>
      <c r="N721" s="392">
        <f t="shared" si="21"/>
        <v>322.14489295637287</v>
      </c>
    </row>
    <row r="722" spans="1:14" hidden="1" outlineLevel="2" x14ac:dyDescent="0.35">
      <c r="A722" s="388" t="s">
        <v>4702</v>
      </c>
      <c r="B722" s="389">
        <v>44343</v>
      </c>
      <c r="C722" s="390" t="s">
        <v>4545</v>
      </c>
      <c r="D722" s="391" t="s">
        <v>4546</v>
      </c>
      <c r="E722" s="391" t="s">
        <v>4272</v>
      </c>
      <c r="F722" s="392">
        <v>86576.577000000005</v>
      </c>
      <c r="G722" s="393" t="s">
        <v>3800</v>
      </c>
      <c r="H722" s="394">
        <v>32.214489295637286</v>
      </c>
      <c r="I722" s="394"/>
      <c r="J722" s="392"/>
      <c r="K722" s="392"/>
      <c r="L722" s="392"/>
      <c r="M722" s="392"/>
      <c r="N722" s="392">
        <f t="shared" si="21"/>
        <v>32.214489295637286</v>
      </c>
    </row>
    <row r="723" spans="1:14" hidden="1" outlineLevel="2" x14ac:dyDescent="0.35">
      <c r="A723" s="388" t="s">
        <v>4702</v>
      </c>
      <c r="B723" s="389">
        <v>44343</v>
      </c>
      <c r="C723" s="390" t="s">
        <v>4547</v>
      </c>
      <c r="D723" s="391" t="s">
        <v>4548</v>
      </c>
      <c r="E723" s="391" t="s">
        <v>4042</v>
      </c>
      <c r="F723" s="392">
        <v>8657.6576999999997</v>
      </c>
      <c r="G723" s="393" t="s">
        <v>3800</v>
      </c>
      <c r="H723" s="394">
        <v>3.2214489295637283</v>
      </c>
      <c r="I723" s="394"/>
      <c r="J723" s="392"/>
      <c r="K723" s="392"/>
      <c r="L723" s="392"/>
      <c r="M723" s="392"/>
      <c r="N723" s="392">
        <f t="shared" si="21"/>
        <v>3.2214489295637283</v>
      </c>
    </row>
    <row r="724" spans="1:14" hidden="1" outlineLevel="2" x14ac:dyDescent="0.35">
      <c r="A724" s="388" t="s">
        <v>4702</v>
      </c>
      <c r="B724" s="389">
        <v>44343</v>
      </c>
      <c r="C724" s="390" t="s">
        <v>4543</v>
      </c>
      <c r="D724" s="391" t="s">
        <v>4544</v>
      </c>
      <c r="E724" s="391" t="s">
        <v>4709</v>
      </c>
      <c r="F724" s="392">
        <v>865765.77</v>
      </c>
      <c r="G724" s="393" t="s">
        <v>3800</v>
      </c>
      <c r="H724" s="394">
        <v>322.14489295637287</v>
      </c>
      <c r="I724" s="394"/>
      <c r="J724" s="392"/>
      <c r="K724" s="392"/>
      <c r="L724" s="392"/>
      <c r="M724" s="392"/>
      <c r="N724" s="392">
        <f t="shared" si="21"/>
        <v>322.14489295637287</v>
      </c>
    </row>
    <row r="725" spans="1:14" hidden="1" outlineLevel="2" x14ac:dyDescent="0.35">
      <c r="A725" s="388" t="s">
        <v>4702</v>
      </c>
      <c r="B725" s="389">
        <v>44343</v>
      </c>
      <c r="C725" s="390" t="s">
        <v>4545</v>
      </c>
      <c r="D725" s="391" t="s">
        <v>4546</v>
      </c>
      <c r="E725" s="391" t="s">
        <v>4272</v>
      </c>
      <c r="F725" s="392">
        <v>86576.577000000005</v>
      </c>
      <c r="G725" s="393" t="s">
        <v>3800</v>
      </c>
      <c r="H725" s="394">
        <v>32.214489295637286</v>
      </c>
      <c r="I725" s="394"/>
      <c r="J725" s="392"/>
      <c r="K725" s="392"/>
      <c r="L725" s="392"/>
      <c r="M725" s="392"/>
      <c r="N725" s="392">
        <f t="shared" si="21"/>
        <v>32.214489295637286</v>
      </c>
    </row>
    <row r="726" spans="1:14" hidden="1" outlineLevel="2" x14ac:dyDescent="0.35">
      <c r="A726" s="388" t="s">
        <v>4702</v>
      </c>
      <c r="B726" s="389">
        <v>44343</v>
      </c>
      <c r="C726" s="390" t="s">
        <v>4547</v>
      </c>
      <c r="D726" s="391" t="s">
        <v>4548</v>
      </c>
      <c r="E726" s="391" t="s">
        <v>4042</v>
      </c>
      <c r="F726" s="392">
        <v>8657.6576999999997</v>
      </c>
      <c r="G726" s="393" t="s">
        <v>3800</v>
      </c>
      <c r="H726" s="394">
        <v>3.2214489295637283</v>
      </c>
      <c r="I726" s="394"/>
      <c r="J726" s="392"/>
      <c r="K726" s="392"/>
      <c r="L726" s="392"/>
      <c r="M726" s="392"/>
      <c r="N726" s="392">
        <f t="shared" si="21"/>
        <v>3.2214489295637283</v>
      </c>
    </row>
    <row r="727" spans="1:14" hidden="1" outlineLevel="2" x14ac:dyDescent="0.35">
      <c r="A727" s="388" t="s">
        <v>4702</v>
      </c>
      <c r="B727" s="389">
        <v>44343</v>
      </c>
      <c r="C727" s="390" t="s">
        <v>4543</v>
      </c>
      <c r="D727" s="391" t="s">
        <v>4544</v>
      </c>
      <c r="E727" s="391" t="s">
        <v>4710</v>
      </c>
      <c r="F727" s="392">
        <v>865765.77</v>
      </c>
      <c r="G727" s="393" t="s">
        <v>3800</v>
      </c>
      <c r="H727" s="394">
        <v>322.14489295637287</v>
      </c>
      <c r="I727" s="394"/>
      <c r="J727" s="392"/>
      <c r="K727" s="392"/>
      <c r="L727" s="392"/>
      <c r="M727" s="392"/>
      <c r="N727" s="392">
        <f t="shared" si="21"/>
        <v>322.14489295637287</v>
      </c>
    </row>
    <row r="728" spans="1:14" hidden="1" outlineLevel="2" x14ac:dyDescent="0.35">
      <c r="A728" s="388" t="s">
        <v>4702</v>
      </c>
      <c r="B728" s="389">
        <v>44343</v>
      </c>
      <c r="C728" s="390" t="s">
        <v>4545</v>
      </c>
      <c r="D728" s="391" t="s">
        <v>4546</v>
      </c>
      <c r="E728" s="391" t="s">
        <v>4272</v>
      </c>
      <c r="F728" s="392">
        <v>86576.577000000005</v>
      </c>
      <c r="G728" s="393" t="s">
        <v>3800</v>
      </c>
      <c r="H728" s="394">
        <v>32.214489295637286</v>
      </c>
      <c r="I728" s="394"/>
      <c r="J728" s="392"/>
      <c r="K728" s="392"/>
      <c r="L728" s="392"/>
      <c r="M728" s="392"/>
      <c r="N728" s="392">
        <f t="shared" si="21"/>
        <v>32.214489295637286</v>
      </c>
    </row>
    <row r="729" spans="1:14" hidden="1" outlineLevel="2" x14ac:dyDescent="0.35">
      <c r="A729" s="388" t="s">
        <v>4702</v>
      </c>
      <c r="B729" s="389">
        <v>44343</v>
      </c>
      <c r="C729" s="390" t="s">
        <v>4547</v>
      </c>
      <c r="D729" s="391" t="s">
        <v>4548</v>
      </c>
      <c r="E729" s="391" t="s">
        <v>4042</v>
      </c>
      <c r="F729" s="392">
        <v>8657.6576999999997</v>
      </c>
      <c r="G729" s="393" t="s">
        <v>3800</v>
      </c>
      <c r="H729" s="394">
        <v>3.2214489295637283</v>
      </c>
      <c r="I729" s="394"/>
      <c r="J729" s="392"/>
      <c r="K729" s="392"/>
      <c r="L729" s="392"/>
      <c r="M729" s="392"/>
      <c r="N729" s="392">
        <f t="shared" si="21"/>
        <v>3.2214489295637283</v>
      </c>
    </row>
    <row r="730" spans="1:14" hidden="1" outlineLevel="2" x14ac:dyDescent="0.35">
      <c r="A730" s="388" t="s">
        <v>4702</v>
      </c>
      <c r="B730" s="389">
        <v>44343</v>
      </c>
      <c r="C730" s="390" t="s">
        <v>4543</v>
      </c>
      <c r="D730" s="391" t="s">
        <v>4544</v>
      </c>
      <c r="E730" s="391" t="s">
        <v>4711</v>
      </c>
      <c r="F730" s="392">
        <v>865765.77</v>
      </c>
      <c r="G730" s="393" t="s">
        <v>3800</v>
      </c>
      <c r="H730" s="394">
        <v>322.14489295637287</v>
      </c>
      <c r="I730" s="394"/>
      <c r="J730" s="392"/>
      <c r="K730" s="392"/>
      <c r="L730" s="392"/>
      <c r="M730" s="392"/>
      <c r="N730" s="392">
        <f t="shared" si="21"/>
        <v>322.14489295637287</v>
      </c>
    </row>
    <row r="731" spans="1:14" hidden="1" outlineLevel="2" x14ac:dyDescent="0.35">
      <c r="A731" s="388" t="s">
        <v>4702</v>
      </c>
      <c r="B731" s="389">
        <v>44343</v>
      </c>
      <c r="C731" s="390" t="s">
        <v>4545</v>
      </c>
      <c r="D731" s="391" t="s">
        <v>4546</v>
      </c>
      <c r="E731" s="391" t="s">
        <v>4272</v>
      </c>
      <c r="F731" s="392">
        <v>86576.577000000005</v>
      </c>
      <c r="G731" s="393" t="s">
        <v>3800</v>
      </c>
      <c r="H731" s="394">
        <v>32.214489295637286</v>
      </c>
      <c r="I731" s="394"/>
      <c r="J731" s="392"/>
      <c r="K731" s="392"/>
      <c r="L731" s="392"/>
      <c r="M731" s="392"/>
      <c r="N731" s="392">
        <f t="shared" si="21"/>
        <v>32.214489295637286</v>
      </c>
    </row>
    <row r="732" spans="1:14" hidden="1" outlineLevel="2" x14ac:dyDescent="0.35">
      <c r="A732" s="388" t="s">
        <v>4702</v>
      </c>
      <c r="B732" s="389">
        <v>44343</v>
      </c>
      <c r="C732" s="390" t="s">
        <v>4547</v>
      </c>
      <c r="D732" s="391" t="s">
        <v>4548</v>
      </c>
      <c r="E732" s="391" t="s">
        <v>4042</v>
      </c>
      <c r="F732" s="392">
        <v>8657.6576999999997</v>
      </c>
      <c r="G732" s="393" t="s">
        <v>3800</v>
      </c>
      <c r="H732" s="394">
        <v>3.2214489295637283</v>
      </c>
      <c r="I732" s="394"/>
      <c r="J732" s="392"/>
      <c r="K732" s="392"/>
      <c r="L732" s="392"/>
      <c r="M732" s="392"/>
      <c r="N732" s="392">
        <f t="shared" si="21"/>
        <v>3.2214489295637283</v>
      </c>
    </row>
    <row r="733" spans="1:14" hidden="1" outlineLevel="2" x14ac:dyDescent="0.35">
      <c r="A733" s="388" t="s">
        <v>4702</v>
      </c>
      <c r="B733" s="389">
        <v>44343</v>
      </c>
      <c r="C733" s="390" t="s">
        <v>4543</v>
      </c>
      <c r="D733" s="391" t="s">
        <v>4544</v>
      </c>
      <c r="E733" s="391" t="s">
        <v>4712</v>
      </c>
      <c r="F733" s="392">
        <v>865765.77</v>
      </c>
      <c r="G733" s="393" t="s">
        <v>3800</v>
      </c>
      <c r="H733" s="394">
        <v>322.14489295637287</v>
      </c>
      <c r="I733" s="394"/>
      <c r="J733" s="392"/>
      <c r="K733" s="392"/>
      <c r="L733" s="392"/>
      <c r="M733" s="392"/>
      <c r="N733" s="392">
        <f t="shared" si="21"/>
        <v>322.14489295637287</v>
      </c>
    </row>
    <row r="734" spans="1:14" hidden="1" outlineLevel="2" x14ac:dyDescent="0.35">
      <c r="A734" s="388" t="s">
        <v>4702</v>
      </c>
      <c r="B734" s="389">
        <v>44343</v>
      </c>
      <c r="C734" s="390" t="s">
        <v>4545</v>
      </c>
      <c r="D734" s="391" t="s">
        <v>4546</v>
      </c>
      <c r="E734" s="391" t="s">
        <v>4272</v>
      </c>
      <c r="F734" s="392">
        <v>86576.577000000005</v>
      </c>
      <c r="G734" s="393" t="s">
        <v>3800</v>
      </c>
      <c r="H734" s="394">
        <v>32.214489295637286</v>
      </c>
      <c r="I734" s="394"/>
      <c r="J734" s="392"/>
      <c r="K734" s="392"/>
      <c r="L734" s="392"/>
      <c r="M734" s="392"/>
      <c r="N734" s="392">
        <f t="shared" si="21"/>
        <v>32.214489295637286</v>
      </c>
    </row>
    <row r="735" spans="1:14" hidden="1" outlineLevel="2" x14ac:dyDescent="0.35">
      <c r="A735" s="388" t="s">
        <v>4702</v>
      </c>
      <c r="B735" s="389">
        <v>44343</v>
      </c>
      <c r="C735" s="390" t="s">
        <v>4547</v>
      </c>
      <c r="D735" s="391" t="s">
        <v>4548</v>
      </c>
      <c r="E735" s="391" t="s">
        <v>4042</v>
      </c>
      <c r="F735" s="392">
        <v>8657.6576999999997</v>
      </c>
      <c r="G735" s="393" t="s">
        <v>3800</v>
      </c>
      <c r="H735" s="394">
        <v>3.2214489295637283</v>
      </c>
      <c r="I735" s="394"/>
      <c r="J735" s="392"/>
      <c r="K735" s="392"/>
      <c r="L735" s="392"/>
      <c r="M735" s="392"/>
      <c r="N735" s="392">
        <f t="shared" si="21"/>
        <v>3.2214489295637283</v>
      </c>
    </row>
    <row r="736" spans="1:14" hidden="1" outlineLevel="2" x14ac:dyDescent="0.35">
      <c r="A736" s="388" t="s">
        <v>4702</v>
      </c>
      <c r="B736" s="389">
        <v>44343</v>
      </c>
      <c r="C736" s="390" t="s">
        <v>4543</v>
      </c>
      <c r="D736" s="391" t="s">
        <v>4544</v>
      </c>
      <c r="E736" s="391" t="s">
        <v>4713</v>
      </c>
      <c r="F736" s="392">
        <v>865765.77</v>
      </c>
      <c r="G736" s="393" t="s">
        <v>3800</v>
      </c>
      <c r="H736" s="394">
        <v>322.14489295637287</v>
      </c>
      <c r="I736" s="394"/>
      <c r="J736" s="392"/>
      <c r="K736" s="392"/>
      <c r="L736" s="392"/>
      <c r="M736" s="392"/>
      <c r="N736" s="392">
        <f t="shared" si="21"/>
        <v>322.14489295637287</v>
      </c>
    </row>
    <row r="737" spans="1:14" hidden="1" outlineLevel="2" x14ac:dyDescent="0.35">
      <c r="A737" s="388" t="s">
        <v>4702</v>
      </c>
      <c r="B737" s="389">
        <v>44343</v>
      </c>
      <c r="C737" s="390" t="s">
        <v>4545</v>
      </c>
      <c r="D737" s="391" t="s">
        <v>4546</v>
      </c>
      <c r="E737" s="391" t="s">
        <v>4272</v>
      </c>
      <c r="F737" s="392">
        <v>86576.577000000005</v>
      </c>
      <c r="G737" s="393" t="s">
        <v>3800</v>
      </c>
      <c r="H737" s="394">
        <v>32.214489295637286</v>
      </c>
      <c r="I737" s="394"/>
      <c r="J737" s="392"/>
      <c r="K737" s="392"/>
      <c r="L737" s="392"/>
      <c r="M737" s="392"/>
      <c r="N737" s="392">
        <f t="shared" si="21"/>
        <v>32.214489295637286</v>
      </c>
    </row>
    <row r="738" spans="1:14" hidden="1" outlineLevel="2" x14ac:dyDescent="0.35">
      <c r="A738" s="388" t="s">
        <v>4702</v>
      </c>
      <c r="B738" s="389">
        <v>44343</v>
      </c>
      <c r="C738" s="390" t="s">
        <v>4547</v>
      </c>
      <c r="D738" s="391" t="s">
        <v>4548</v>
      </c>
      <c r="E738" s="391" t="s">
        <v>4042</v>
      </c>
      <c r="F738" s="392">
        <v>8657.6576999999997</v>
      </c>
      <c r="G738" s="393" t="s">
        <v>3800</v>
      </c>
      <c r="H738" s="394">
        <v>3.2214489295637283</v>
      </c>
      <c r="I738" s="394"/>
      <c r="J738" s="392"/>
      <c r="K738" s="392"/>
      <c r="L738" s="392"/>
      <c r="M738" s="392"/>
      <c r="N738" s="392">
        <f t="shared" si="21"/>
        <v>3.2214489295637283</v>
      </c>
    </row>
    <row r="739" spans="1:14" hidden="1" outlineLevel="2" x14ac:dyDescent="0.35">
      <c r="A739" s="388" t="s">
        <v>4702</v>
      </c>
      <c r="B739" s="389">
        <v>44343</v>
      </c>
      <c r="C739" s="390" t="s">
        <v>4543</v>
      </c>
      <c r="D739" s="391" t="s">
        <v>4544</v>
      </c>
      <c r="E739" s="391" t="s">
        <v>4714</v>
      </c>
      <c r="F739" s="392">
        <v>865765.77</v>
      </c>
      <c r="G739" s="393" t="s">
        <v>3800</v>
      </c>
      <c r="H739" s="394">
        <v>322.14489295637287</v>
      </c>
      <c r="I739" s="394"/>
      <c r="J739" s="392"/>
      <c r="K739" s="392"/>
      <c r="L739" s="392"/>
      <c r="M739" s="392"/>
      <c r="N739" s="392">
        <f t="shared" si="21"/>
        <v>322.14489295637287</v>
      </c>
    </row>
    <row r="740" spans="1:14" hidden="1" outlineLevel="2" x14ac:dyDescent="0.35">
      <c r="A740" s="388" t="s">
        <v>4702</v>
      </c>
      <c r="B740" s="389">
        <v>44343</v>
      </c>
      <c r="C740" s="390" t="s">
        <v>4545</v>
      </c>
      <c r="D740" s="391" t="s">
        <v>4546</v>
      </c>
      <c r="E740" s="391" t="s">
        <v>4272</v>
      </c>
      <c r="F740" s="392">
        <v>86576.577000000005</v>
      </c>
      <c r="G740" s="393" t="s">
        <v>3800</v>
      </c>
      <c r="H740" s="394">
        <v>32.214489295637286</v>
      </c>
      <c r="I740" s="394"/>
      <c r="J740" s="392"/>
      <c r="K740" s="392"/>
      <c r="L740" s="392"/>
      <c r="M740" s="392"/>
      <c r="N740" s="392">
        <f t="shared" si="21"/>
        <v>32.214489295637286</v>
      </c>
    </row>
    <row r="741" spans="1:14" hidden="1" outlineLevel="2" x14ac:dyDescent="0.35">
      <c r="A741" s="388" t="s">
        <v>4702</v>
      </c>
      <c r="B741" s="389">
        <v>44343</v>
      </c>
      <c r="C741" s="390" t="s">
        <v>4547</v>
      </c>
      <c r="D741" s="391" t="s">
        <v>4548</v>
      </c>
      <c r="E741" s="391" t="s">
        <v>4042</v>
      </c>
      <c r="F741" s="392">
        <v>8657.6576999999997</v>
      </c>
      <c r="G741" s="393" t="s">
        <v>3800</v>
      </c>
      <c r="H741" s="394">
        <v>3.2214489295637283</v>
      </c>
      <c r="I741" s="394"/>
      <c r="J741" s="392"/>
      <c r="K741" s="392"/>
      <c r="L741" s="392"/>
      <c r="M741" s="392"/>
      <c r="N741" s="392">
        <f t="shared" si="21"/>
        <v>3.2214489295637283</v>
      </c>
    </row>
    <row r="742" spans="1:14" hidden="1" outlineLevel="2" x14ac:dyDescent="0.35">
      <c r="A742" s="388" t="s">
        <v>4702</v>
      </c>
      <c r="B742" s="389">
        <v>44343</v>
      </c>
      <c r="C742" s="390" t="s">
        <v>4543</v>
      </c>
      <c r="D742" s="391" t="s">
        <v>4544</v>
      </c>
      <c r="E742" s="391" t="s">
        <v>4715</v>
      </c>
      <c r="F742" s="392">
        <v>865765.77</v>
      </c>
      <c r="G742" s="393" t="s">
        <v>3800</v>
      </c>
      <c r="H742" s="394">
        <v>322.14489295637287</v>
      </c>
      <c r="I742" s="394"/>
      <c r="J742" s="392"/>
      <c r="K742" s="392"/>
      <c r="L742" s="392"/>
      <c r="M742" s="392"/>
      <c r="N742" s="392">
        <f t="shared" si="21"/>
        <v>322.14489295637287</v>
      </c>
    </row>
    <row r="743" spans="1:14" hidden="1" outlineLevel="2" x14ac:dyDescent="0.35">
      <c r="A743" s="388" t="s">
        <v>4702</v>
      </c>
      <c r="B743" s="389">
        <v>44343</v>
      </c>
      <c r="C743" s="390" t="s">
        <v>4545</v>
      </c>
      <c r="D743" s="391" t="s">
        <v>4546</v>
      </c>
      <c r="E743" s="391" t="s">
        <v>4272</v>
      </c>
      <c r="F743" s="392">
        <v>86576.577000000005</v>
      </c>
      <c r="G743" s="393" t="s">
        <v>3800</v>
      </c>
      <c r="H743" s="394">
        <v>32.214489295637286</v>
      </c>
      <c r="I743" s="394"/>
      <c r="J743" s="392"/>
      <c r="K743" s="392"/>
      <c r="L743" s="392"/>
      <c r="M743" s="392"/>
      <c r="N743" s="392">
        <f t="shared" si="21"/>
        <v>32.214489295637286</v>
      </c>
    </row>
    <row r="744" spans="1:14" hidden="1" outlineLevel="2" x14ac:dyDescent="0.35">
      <c r="A744" s="388" t="s">
        <v>4702</v>
      </c>
      <c r="B744" s="389">
        <v>44343</v>
      </c>
      <c r="C744" s="390" t="s">
        <v>4547</v>
      </c>
      <c r="D744" s="391" t="s">
        <v>4548</v>
      </c>
      <c r="E744" s="391" t="s">
        <v>4042</v>
      </c>
      <c r="F744" s="392">
        <v>8657.6576999999997</v>
      </c>
      <c r="G744" s="393" t="s">
        <v>3800</v>
      </c>
      <c r="H744" s="394">
        <v>3.2214489295637283</v>
      </c>
      <c r="I744" s="394"/>
      <c r="J744" s="392"/>
      <c r="K744" s="392"/>
      <c r="L744" s="392"/>
      <c r="M744" s="392"/>
      <c r="N744" s="392">
        <f t="shared" si="21"/>
        <v>3.2214489295637283</v>
      </c>
    </row>
    <row r="745" spans="1:14" hidden="1" outlineLevel="2" x14ac:dyDescent="0.35">
      <c r="A745" s="388" t="s">
        <v>4702</v>
      </c>
      <c r="B745" s="389">
        <v>44343</v>
      </c>
      <c r="C745" s="390" t="s">
        <v>4543</v>
      </c>
      <c r="D745" s="391" t="s">
        <v>4544</v>
      </c>
      <c r="E745" s="391" t="s">
        <v>4716</v>
      </c>
      <c r="F745" s="392">
        <v>865765.77</v>
      </c>
      <c r="G745" s="393" t="s">
        <v>3800</v>
      </c>
      <c r="H745" s="394">
        <v>322.14489295637287</v>
      </c>
      <c r="I745" s="394"/>
      <c r="J745" s="392"/>
      <c r="K745" s="392"/>
      <c r="L745" s="392"/>
      <c r="M745" s="392"/>
      <c r="N745" s="392">
        <f t="shared" si="21"/>
        <v>322.14489295637287</v>
      </c>
    </row>
    <row r="746" spans="1:14" hidden="1" outlineLevel="2" x14ac:dyDescent="0.35">
      <c r="A746" s="388" t="s">
        <v>4702</v>
      </c>
      <c r="B746" s="389">
        <v>44343</v>
      </c>
      <c r="C746" s="390" t="s">
        <v>4545</v>
      </c>
      <c r="D746" s="391" t="s">
        <v>4546</v>
      </c>
      <c r="E746" s="391" t="s">
        <v>4272</v>
      </c>
      <c r="F746" s="392">
        <v>86576.577000000005</v>
      </c>
      <c r="G746" s="393" t="s">
        <v>3800</v>
      </c>
      <c r="H746" s="394">
        <v>32.214489295637286</v>
      </c>
      <c r="I746" s="394"/>
      <c r="J746" s="392"/>
      <c r="K746" s="392"/>
      <c r="L746" s="392"/>
      <c r="M746" s="392"/>
      <c r="N746" s="392">
        <f t="shared" si="21"/>
        <v>32.214489295637286</v>
      </c>
    </row>
    <row r="747" spans="1:14" hidden="1" outlineLevel="2" x14ac:dyDescent="0.35">
      <c r="A747" s="388" t="s">
        <v>4702</v>
      </c>
      <c r="B747" s="389">
        <v>44343</v>
      </c>
      <c r="C747" s="390" t="s">
        <v>4547</v>
      </c>
      <c r="D747" s="391" t="s">
        <v>4548</v>
      </c>
      <c r="E747" s="391" t="s">
        <v>4042</v>
      </c>
      <c r="F747" s="392">
        <v>8657.6576999999997</v>
      </c>
      <c r="G747" s="393" t="s">
        <v>3800</v>
      </c>
      <c r="H747" s="394">
        <v>3.2214489295637283</v>
      </c>
      <c r="I747" s="394"/>
      <c r="J747" s="392"/>
      <c r="K747" s="392"/>
      <c r="L747" s="392"/>
      <c r="M747" s="392"/>
      <c r="N747" s="392">
        <f t="shared" si="21"/>
        <v>3.2214489295637283</v>
      </c>
    </row>
    <row r="748" spans="1:14" hidden="1" outlineLevel="2" x14ac:dyDescent="0.35">
      <c r="A748" s="388" t="s">
        <v>4702</v>
      </c>
      <c r="B748" s="389">
        <v>44343</v>
      </c>
      <c r="C748" s="390" t="s">
        <v>4543</v>
      </c>
      <c r="D748" s="391" t="s">
        <v>4544</v>
      </c>
      <c r="E748" s="391" t="s">
        <v>4717</v>
      </c>
      <c r="F748" s="392">
        <v>865765.77</v>
      </c>
      <c r="G748" s="393" t="s">
        <v>3800</v>
      </c>
      <c r="H748" s="394">
        <v>322.14489295637287</v>
      </c>
      <c r="I748" s="394"/>
      <c r="J748" s="392"/>
      <c r="K748" s="392"/>
      <c r="L748" s="392"/>
      <c r="M748" s="392"/>
      <c r="N748" s="392">
        <f t="shared" ref="N748:N811" si="22">H748</f>
        <v>322.14489295637287</v>
      </c>
    </row>
    <row r="749" spans="1:14" hidden="1" outlineLevel="2" x14ac:dyDescent="0.35">
      <c r="A749" s="388" t="s">
        <v>4702</v>
      </c>
      <c r="B749" s="389">
        <v>44343</v>
      </c>
      <c r="C749" s="390" t="s">
        <v>4545</v>
      </c>
      <c r="D749" s="391" t="s">
        <v>4546</v>
      </c>
      <c r="E749" s="391" t="s">
        <v>4272</v>
      </c>
      <c r="F749" s="392">
        <v>86576.577000000005</v>
      </c>
      <c r="G749" s="393" t="s">
        <v>3800</v>
      </c>
      <c r="H749" s="394">
        <v>32.214489295637286</v>
      </c>
      <c r="I749" s="394"/>
      <c r="J749" s="392"/>
      <c r="K749" s="392"/>
      <c r="L749" s="392"/>
      <c r="M749" s="392"/>
      <c r="N749" s="392">
        <f t="shared" si="22"/>
        <v>32.214489295637286</v>
      </c>
    </row>
    <row r="750" spans="1:14" hidden="1" outlineLevel="2" x14ac:dyDescent="0.35">
      <c r="A750" s="388" t="s">
        <v>4702</v>
      </c>
      <c r="B750" s="389">
        <v>44343</v>
      </c>
      <c r="C750" s="390" t="s">
        <v>4547</v>
      </c>
      <c r="D750" s="391" t="s">
        <v>4548</v>
      </c>
      <c r="E750" s="391" t="s">
        <v>4042</v>
      </c>
      <c r="F750" s="392">
        <v>8657.6576999999997</v>
      </c>
      <c r="G750" s="393" t="s">
        <v>3800</v>
      </c>
      <c r="H750" s="394">
        <v>3.2214489295637283</v>
      </c>
      <c r="I750" s="394"/>
      <c r="J750" s="392"/>
      <c r="K750" s="392"/>
      <c r="L750" s="392"/>
      <c r="M750" s="392"/>
      <c r="N750" s="392">
        <f t="shared" si="22"/>
        <v>3.2214489295637283</v>
      </c>
    </row>
    <row r="751" spans="1:14" hidden="1" outlineLevel="2" x14ac:dyDescent="0.35">
      <c r="A751" s="388" t="s">
        <v>4702</v>
      </c>
      <c r="B751" s="389">
        <v>44343</v>
      </c>
      <c r="C751" s="390" t="s">
        <v>4543</v>
      </c>
      <c r="D751" s="391" t="s">
        <v>4544</v>
      </c>
      <c r="E751" s="391" t="s">
        <v>4718</v>
      </c>
      <c r="F751" s="392">
        <v>865765.77</v>
      </c>
      <c r="G751" s="393" t="s">
        <v>3800</v>
      </c>
      <c r="H751" s="394">
        <v>322.14489295637287</v>
      </c>
      <c r="I751" s="394"/>
      <c r="J751" s="392"/>
      <c r="K751" s="392"/>
      <c r="L751" s="392"/>
      <c r="M751" s="392"/>
      <c r="N751" s="392">
        <f t="shared" si="22"/>
        <v>322.14489295637287</v>
      </c>
    </row>
    <row r="752" spans="1:14" hidden="1" outlineLevel="2" x14ac:dyDescent="0.35">
      <c r="A752" s="388" t="s">
        <v>4702</v>
      </c>
      <c r="B752" s="389">
        <v>44343</v>
      </c>
      <c r="C752" s="390" t="s">
        <v>4545</v>
      </c>
      <c r="D752" s="391" t="s">
        <v>4546</v>
      </c>
      <c r="E752" s="391" t="s">
        <v>4272</v>
      </c>
      <c r="F752" s="392">
        <v>86576.577000000005</v>
      </c>
      <c r="G752" s="393" t="s">
        <v>3800</v>
      </c>
      <c r="H752" s="394">
        <v>32.214489295637286</v>
      </c>
      <c r="I752" s="394"/>
      <c r="J752" s="392"/>
      <c r="K752" s="392"/>
      <c r="L752" s="392"/>
      <c r="M752" s="392"/>
      <c r="N752" s="392">
        <f t="shared" si="22"/>
        <v>32.214489295637286</v>
      </c>
    </row>
    <row r="753" spans="1:14" hidden="1" outlineLevel="2" x14ac:dyDescent="0.35">
      <c r="A753" s="388" t="s">
        <v>4702</v>
      </c>
      <c r="B753" s="389">
        <v>44343</v>
      </c>
      <c r="C753" s="390" t="s">
        <v>4547</v>
      </c>
      <c r="D753" s="391" t="s">
        <v>4548</v>
      </c>
      <c r="E753" s="391" t="s">
        <v>4042</v>
      </c>
      <c r="F753" s="392">
        <v>8657.6576999999997</v>
      </c>
      <c r="G753" s="393" t="s">
        <v>3800</v>
      </c>
      <c r="H753" s="394">
        <v>3.2214489295637283</v>
      </c>
      <c r="I753" s="394"/>
      <c r="J753" s="392"/>
      <c r="K753" s="392"/>
      <c r="L753" s="392"/>
      <c r="M753" s="392"/>
      <c r="N753" s="392">
        <f t="shared" si="22"/>
        <v>3.2214489295637283</v>
      </c>
    </row>
    <row r="754" spans="1:14" hidden="1" outlineLevel="2" x14ac:dyDescent="0.35">
      <c r="A754" s="388" t="s">
        <v>4702</v>
      </c>
      <c r="B754" s="389">
        <v>44376</v>
      </c>
      <c r="C754" s="390" t="s">
        <v>4549</v>
      </c>
      <c r="D754" s="391" t="s">
        <v>4550</v>
      </c>
      <c r="E754" s="391" t="s">
        <v>4703</v>
      </c>
      <c r="F754" s="392">
        <v>865765.77</v>
      </c>
      <c r="G754" s="393" t="s">
        <v>3800</v>
      </c>
      <c r="H754" s="394">
        <v>322.14489295637287</v>
      </c>
      <c r="I754" s="394"/>
      <c r="J754" s="392"/>
      <c r="K754" s="392"/>
      <c r="L754" s="392"/>
      <c r="M754" s="392"/>
      <c r="N754" s="392">
        <f t="shared" si="22"/>
        <v>322.14489295637287</v>
      </c>
    </row>
    <row r="755" spans="1:14" hidden="1" outlineLevel="2" x14ac:dyDescent="0.35">
      <c r="A755" s="388" t="s">
        <v>4702</v>
      </c>
      <c r="B755" s="389">
        <v>44376</v>
      </c>
      <c r="C755" s="390" t="s">
        <v>4551</v>
      </c>
      <c r="D755" s="391" t="s">
        <v>4552</v>
      </c>
      <c r="E755" s="391" t="s">
        <v>4272</v>
      </c>
      <c r="F755" s="392">
        <v>86576.577000000005</v>
      </c>
      <c r="G755" s="393" t="s">
        <v>3800</v>
      </c>
      <c r="H755" s="394">
        <v>32.214489295637286</v>
      </c>
      <c r="I755" s="394"/>
      <c r="J755" s="392"/>
      <c r="K755" s="392"/>
      <c r="L755" s="392"/>
      <c r="M755" s="392"/>
      <c r="N755" s="392">
        <f t="shared" si="22"/>
        <v>32.214489295637286</v>
      </c>
    </row>
    <row r="756" spans="1:14" hidden="1" outlineLevel="2" x14ac:dyDescent="0.35">
      <c r="A756" s="388" t="s">
        <v>4702</v>
      </c>
      <c r="B756" s="389">
        <v>44376</v>
      </c>
      <c r="C756" s="390" t="s">
        <v>4553</v>
      </c>
      <c r="D756" s="391" t="s">
        <v>4554</v>
      </c>
      <c r="E756" s="391" t="s">
        <v>4042</v>
      </c>
      <c r="F756" s="392">
        <v>8657.6576999999997</v>
      </c>
      <c r="G756" s="393" t="s">
        <v>3800</v>
      </c>
      <c r="H756" s="394">
        <v>3.2214489295637283</v>
      </c>
      <c r="I756" s="394"/>
      <c r="J756" s="392"/>
      <c r="K756" s="392"/>
      <c r="L756" s="392"/>
      <c r="M756" s="392"/>
      <c r="N756" s="392">
        <f t="shared" si="22"/>
        <v>3.2214489295637283</v>
      </c>
    </row>
    <row r="757" spans="1:14" hidden="1" outlineLevel="2" x14ac:dyDescent="0.35">
      <c r="A757" s="388" t="s">
        <v>4702</v>
      </c>
      <c r="B757" s="389">
        <v>44376</v>
      </c>
      <c r="C757" s="390" t="s">
        <v>4549</v>
      </c>
      <c r="D757" s="391" t="s">
        <v>4550</v>
      </c>
      <c r="E757" s="391" t="s">
        <v>4720</v>
      </c>
      <c r="F757" s="392">
        <v>865765.77</v>
      </c>
      <c r="G757" s="393" t="s">
        <v>3800</v>
      </c>
      <c r="H757" s="394">
        <v>322.14489295637287</v>
      </c>
      <c r="I757" s="394"/>
      <c r="J757" s="392"/>
      <c r="K757" s="392"/>
      <c r="L757" s="392"/>
      <c r="M757" s="392"/>
      <c r="N757" s="392">
        <f t="shared" si="22"/>
        <v>322.14489295637287</v>
      </c>
    </row>
    <row r="758" spans="1:14" hidden="1" outlineLevel="2" x14ac:dyDescent="0.35">
      <c r="A758" s="388" t="s">
        <v>4702</v>
      </c>
      <c r="B758" s="389">
        <v>44376</v>
      </c>
      <c r="C758" s="390" t="s">
        <v>4551</v>
      </c>
      <c r="D758" s="391" t="s">
        <v>4552</v>
      </c>
      <c r="E758" s="391" t="s">
        <v>4272</v>
      </c>
      <c r="F758" s="392">
        <v>86576.577000000005</v>
      </c>
      <c r="G758" s="393" t="s">
        <v>3800</v>
      </c>
      <c r="H758" s="394">
        <v>32.214489295637286</v>
      </c>
      <c r="I758" s="394"/>
      <c r="J758" s="392"/>
      <c r="K758" s="392"/>
      <c r="L758" s="392"/>
      <c r="M758" s="392"/>
      <c r="N758" s="392">
        <f t="shared" si="22"/>
        <v>32.214489295637286</v>
      </c>
    </row>
    <row r="759" spans="1:14" hidden="1" outlineLevel="2" collapsed="1" x14ac:dyDescent="0.35">
      <c r="A759" s="388" t="s">
        <v>4702</v>
      </c>
      <c r="B759" s="389">
        <v>44376</v>
      </c>
      <c r="C759" s="390" t="s">
        <v>4553</v>
      </c>
      <c r="D759" s="391" t="s">
        <v>4554</v>
      </c>
      <c r="E759" s="391" t="s">
        <v>4042</v>
      </c>
      <c r="F759" s="392">
        <v>8657.6576999999997</v>
      </c>
      <c r="G759" s="393" t="s">
        <v>3800</v>
      </c>
      <c r="H759" s="394">
        <v>3.2214489295637283</v>
      </c>
      <c r="I759" s="394"/>
      <c r="J759" s="392"/>
      <c r="K759" s="392"/>
      <c r="L759" s="392"/>
      <c r="M759" s="392"/>
      <c r="N759" s="392">
        <f t="shared" si="22"/>
        <v>3.2214489295637283</v>
      </c>
    </row>
    <row r="760" spans="1:14" hidden="1" outlineLevel="2" x14ac:dyDescent="0.35">
      <c r="A760" s="388" t="s">
        <v>4702</v>
      </c>
      <c r="B760" s="389">
        <v>44376</v>
      </c>
      <c r="C760" s="390" t="s">
        <v>4549</v>
      </c>
      <c r="D760" s="391" t="s">
        <v>4550</v>
      </c>
      <c r="E760" s="391" t="s">
        <v>4721</v>
      </c>
      <c r="F760" s="392">
        <v>865765.77</v>
      </c>
      <c r="G760" s="393" t="s">
        <v>3800</v>
      </c>
      <c r="H760" s="394">
        <v>322.14489295637287</v>
      </c>
      <c r="I760" s="394"/>
      <c r="J760" s="392"/>
      <c r="K760" s="392"/>
      <c r="L760" s="392"/>
      <c r="M760" s="392"/>
      <c r="N760" s="392">
        <f t="shared" si="22"/>
        <v>322.14489295637287</v>
      </c>
    </row>
    <row r="761" spans="1:14" hidden="1" outlineLevel="2" x14ac:dyDescent="0.35">
      <c r="A761" s="388" t="s">
        <v>4702</v>
      </c>
      <c r="B761" s="389">
        <v>44376</v>
      </c>
      <c r="C761" s="390" t="s">
        <v>4551</v>
      </c>
      <c r="D761" s="391" t="s">
        <v>4552</v>
      </c>
      <c r="E761" s="391" t="s">
        <v>4272</v>
      </c>
      <c r="F761" s="392">
        <v>86576.577000000005</v>
      </c>
      <c r="G761" s="393" t="s">
        <v>3800</v>
      </c>
      <c r="H761" s="394">
        <v>32.214489295637286</v>
      </c>
      <c r="I761" s="394"/>
      <c r="J761" s="392"/>
      <c r="K761" s="392"/>
      <c r="L761" s="392"/>
      <c r="M761" s="392"/>
      <c r="N761" s="392">
        <f t="shared" si="22"/>
        <v>32.214489295637286</v>
      </c>
    </row>
    <row r="762" spans="1:14" hidden="1" outlineLevel="2" x14ac:dyDescent="0.35">
      <c r="A762" s="388" t="s">
        <v>4702</v>
      </c>
      <c r="B762" s="389">
        <v>44376</v>
      </c>
      <c r="C762" s="390" t="s">
        <v>4553</v>
      </c>
      <c r="D762" s="391" t="s">
        <v>4554</v>
      </c>
      <c r="E762" s="391" t="s">
        <v>4042</v>
      </c>
      <c r="F762" s="392">
        <v>8657.6576999999997</v>
      </c>
      <c r="G762" s="393" t="s">
        <v>3800</v>
      </c>
      <c r="H762" s="394">
        <v>3.2214489295637283</v>
      </c>
      <c r="I762" s="394"/>
      <c r="J762" s="392"/>
      <c r="K762" s="392"/>
      <c r="L762" s="392"/>
      <c r="M762" s="392"/>
      <c r="N762" s="392">
        <f t="shared" si="22"/>
        <v>3.2214489295637283</v>
      </c>
    </row>
    <row r="763" spans="1:14" hidden="1" outlineLevel="2" collapsed="1" x14ac:dyDescent="0.35">
      <c r="A763" s="388" t="s">
        <v>4702</v>
      </c>
      <c r="B763" s="389">
        <v>44376</v>
      </c>
      <c r="C763" s="390" t="s">
        <v>4549</v>
      </c>
      <c r="D763" s="391" t="s">
        <v>4550</v>
      </c>
      <c r="E763" s="391" t="s">
        <v>4705</v>
      </c>
      <c r="F763" s="392">
        <v>865765.77</v>
      </c>
      <c r="G763" s="393" t="s">
        <v>3800</v>
      </c>
      <c r="H763" s="394">
        <v>322.14489295637287</v>
      </c>
      <c r="I763" s="394"/>
      <c r="J763" s="392"/>
      <c r="K763" s="392"/>
      <c r="L763" s="392"/>
      <c r="M763" s="392"/>
      <c r="N763" s="392">
        <f t="shared" si="22"/>
        <v>322.14489295637287</v>
      </c>
    </row>
    <row r="764" spans="1:14" hidden="1" outlineLevel="2" x14ac:dyDescent="0.35">
      <c r="A764" s="388" t="s">
        <v>4702</v>
      </c>
      <c r="B764" s="389">
        <v>44376</v>
      </c>
      <c r="C764" s="390" t="s">
        <v>4551</v>
      </c>
      <c r="D764" s="391" t="s">
        <v>4552</v>
      </c>
      <c r="E764" s="391" t="s">
        <v>4272</v>
      </c>
      <c r="F764" s="392">
        <v>86576.577000000005</v>
      </c>
      <c r="G764" s="393" t="s">
        <v>3800</v>
      </c>
      <c r="H764" s="394">
        <v>32.214489295637286</v>
      </c>
      <c r="I764" s="394"/>
      <c r="J764" s="392"/>
      <c r="K764" s="392"/>
      <c r="L764" s="392"/>
      <c r="M764" s="392"/>
      <c r="N764" s="392">
        <f t="shared" si="22"/>
        <v>32.214489295637286</v>
      </c>
    </row>
    <row r="765" spans="1:14" hidden="1" outlineLevel="2" x14ac:dyDescent="0.35">
      <c r="A765" s="388" t="s">
        <v>4702</v>
      </c>
      <c r="B765" s="389">
        <v>44376</v>
      </c>
      <c r="C765" s="390" t="s">
        <v>4553</v>
      </c>
      <c r="D765" s="391" t="s">
        <v>4554</v>
      </c>
      <c r="E765" s="391" t="s">
        <v>4042</v>
      </c>
      <c r="F765" s="392">
        <v>8657.6576999999997</v>
      </c>
      <c r="G765" s="393" t="s">
        <v>3800</v>
      </c>
      <c r="H765" s="394">
        <v>3.2214489295637283</v>
      </c>
      <c r="I765" s="394"/>
      <c r="J765" s="392"/>
      <c r="K765" s="392"/>
      <c r="L765" s="392"/>
      <c r="M765" s="392"/>
      <c r="N765" s="392">
        <f t="shared" si="22"/>
        <v>3.2214489295637283</v>
      </c>
    </row>
    <row r="766" spans="1:14" hidden="1" outlineLevel="2" x14ac:dyDescent="0.35">
      <c r="A766" s="388" t="s">
        <v>4702</v>
      </c>
      <c r="B766" s="389">
        <v>44376</v>
      </c>
      <c r="C766" s="390" t="s">
        <v>4549</v>
      </c>
      <c r="D766" s="391" t="s">
        <v>4550</v>
      </c>
      <c r="E766" s="391" t="s">
        <v>4706</v>
      </c>
      <c r="F766" s="392">
        <v>865765.77</v>
      </c>
      <c r="G766" s="393" t="s">
        <v>3800</v>
      </c>
      <c r="H766" s="394">
        <v>322.14489295637287</v>
      </c>
      <c r="I766" s="394"/>
      <c r="J766" s="392"/>
      <c r="K766" s="392"/>
      <c r="L766" s="392"/>
      <c r="M766" s="392"/>
      <c r="N766" s="392">
        <f t="shared" si="22"/>
        <v>322.14489295637287</v>
      </c>
    </row>
    <row r="767" spans="1:14" hidden="1" outlineLevel="2" x14ac:dyDescent="0.35">
      <c r="A767" s="388" t="s">
        <v>4702</v>
      </c>
      <c r="B767" s="389">
        <v>44376</v>
      </c>
      <c r="C767" s="390" t="s">
        <v>4551</v>
      </c>
      <c r="D767" s="391" t="s">
        <v>4552</v>
      </c>
      <c r="E767" s="391" t="s">
        <v>4272</v>
      </c>
      <c r="F767" s="392">
        <v>86576.577000000005</v>
      </c>
      <c r="G767" s="393" t="s">
        <v>3800</v>
      </c>
      <c r="H767" s="394">
        <v>32.214489295637286</v>
      </c>
      <c r="I767" s="394"/>
      <c r="J767" s="392"/>
      <c r="K767" s="392"/>
      <c r="L767" s="392"/>
      <c r="M767" s="392"/>
      <c r="N767" s="392">
        <f t="shared" si="22"/>
        <v>32.214489295637286</v>
      </c>
    </row>
    <row r="768" spans="1:14" hidden="1" outlineLevel="2" x14ac:dyDescent="0.35">
      <c r="A768" s="388" t="s">
        <v>4702</v>
      </c>
      <c r="B768" s="389">
        <v>44376</v>
      </c>
      <c r="C768" s="390" t="s">
        <v>4553</v>
      </c>
      <c r="D768" s="391" t="s">
        <v>4554</v>
      </c>
      <c r="E768" s="391" t="s">
        <v>4042</v>
      </c>
      <c r="F768" s="392">
        <v>8657.6576999999997</v>
      </c>
      <c r="G768" s="393" t="s">
        <v>3800</v>
      </c>
      <c r="H768" s="394">
        <v>3.2214489295637283</v>
      </c>
      <c r="I768" s="394"/>
      <c r="J768" s="392"/>
      <c r="K768" s="392"/>
      <c r="L768" s="392"/>
      <c r="M768" s="392"/>
      <c r="N768" s="392">
        <f t="shared" si="22"/>
        <v>3.2214489295637283</v>
      </c>
    </row>
    <row r="769" spans="1:14" hidden="1" outlineLevel="2" x14ac:dyDescent="0.35">
      <c r="A769" s="388" t="s">
        <v>4702</v>
      </c>
      <c r="B769" s="389">
        <v>44376</v>
      </c>
      <c r="C769" s="390" t="s">
        <v>4549</v>
      </c>
      <c r="D769" s="391" t="s">
        <v>4550</v>
      </c>
      <c r="E769" s="391" t="s">
        <v>4707</v>
      </c>
      <c r="F769" s="392">
        <v>865765.77</v>
      </c>
      <c r="G769" s="393" t="s">
        <v>3800</v>
      </c>
      <c r="H769" s="394">
        <v>322.14489295637287</v>
      </c>
      <c r="I769" s="394"/>
      <c r="J769" s="392"/>
      <c r="K769" s="392"/>
      <c r="L769" s="392"/>
      <c r="M769" s="392"/>
      <c r="N769" s="392">
        <f t="shared" si="22"/>
        <v>322.14489295637287</v>
      </c>
    </row>
    <row r="770" spans="1:14" hidden="1" outlineLevel="2" x14ac:dyDescent="0.35">
      <c r="A770" s="388" t="s">
        <v>4702</v>
      </c>
      <c r="B770" s="389">
        <v>44376</v>
      </c>
      <c r="C770" s="390" t="s">
        <v>4551</v>
      </c>
      <c r="D770" s="391" t="s">
        <v>4552</v>
      </c>
      <c r="E770" s="391" t="s">
        <v>4272</v>
      </c>
      <c r="F770" s="392">
        <v>86576.577000000005</v>
      </c>
      <c r="G770" s="393" t="s">
        <v>3800</v>
      </c>
      <c r="H770" s="394">
        <v>32.214489295637286</v>
      </c>
      <c r="I770" s="394"/>
      <c r="J770" s="392"/>
      <c r="K770" s="392"/>
      <c r="L770" s="392"/>
      <c r="M770" s="392"/>
      <c r="N770" s="392">
        <f t="shared" si="22"/>
        <v>32.214489295637286</v>
      </c>
    </row>
    <row r="771" spans="1:14" hidden="1" outlineLevel="2" x14ac:dyDescent="0.35">
      <c r="A771" s="388" t="s">
        <v>4702</v>
      </c>
      <c r="B771" s="389">
        <v>44376</v>
      </c>
      <c r="C771" s="390" t="s">
        <v>4553</v>
      </c>
      <c r="D771" s="391" t="s">
        <v>4554</v>
      </c>
      <c r="E771" s="391" t="s">
        <v>4042</v>
      </c>
      <c r="F771" s="392">
        <v>8657.6576999999997</v>
      </c>
      <c r="G771" s="393" t="s">
        <v>3800</v>
      </c>
      <c r="H771" s="394">
        <v>3.2214489295637283</v>
      </c>
      <c r="I771" s="394"/>
      <c r="J771" s="392"/>
      <c r="K771" s="392"/>
      <c r="L771" s="392"/>
      <c r="M771" s="392"/>
      <c r="N771" s="392">
        <f t="shared" si="22"/>
        <v>3.2214489295637283</v>
      </c>
    </row>
    <row r="772" spans="1:14" hidden="1" outlineLevel="2" x14ac:dyDescent="0.35">
      <c r="A772" s="388" t="s">
        <v>4702</v>
      </c>
      <c r="B772" s="389">
        <v>44376</v>
      </c>
      <c r="C772" s="390" t="s">
        <v>4549</v>
      </c>
      <c r="D772" s="391" t="s">
        <v>4550</v>
      </c>
      <c r="E772" s="391" t="s">
        <v>4708</v>
      </c>
      <c r="F772" s="392">
        <v>865765.77</v>
      </c>
      <c r="G772" s="393" t="s">
        <v>3800</v>
      </c>
      <c r="H772" s="394">
        <v>322.14489295637287</v>
      </c>
      <c r="I772" s="394"/>
      <c r="J772" s="392"/>
      <c r="K772" s="392"/>
      <c r="L772" s="392"/>
      <c r="M772" s="392"/>
      <c r="N772" s="392">
        <f t="shared" si="22"/>
        <v>322.14489295637287</v>
      </c>
    </row>
    <row r="773" spans="1:14" hidden="1" outlineLevel="2" collapsed="1" x14ac:dyDescent="0.35">
      <c r="A773" s="388" t="s">
        <v>4702</v>
      </c>
      <c r="B773" s="389">
        <v>44376</v>
      </c>
      <c r="C773" s="390" t="s">
        <v>4551</v>
      </c>
      <c r="D773" s="391" t="s">
        <v>4552</v>
      </c>
      <c r="E773" s="391" t="s">
        <v>4272</v>
      </c>
      <c r="F773" s="392">
        <v>86576.577000000005</v>
      </c>
      <c r="G773" s="393" t="s">
        <v>3800</v>
      </c>
      <c r="H773" s="394">
        <v>32.214489295637286</v>
      </c>
      <c r="I773" s="394"/>
      <c r="J773" s="392"/>
      <c r="K773" s="392"/>
      <c r="L773" s="392"/>
      <c r="M773" s="392"/>
      <c r="N773" s="392">
        <f t="shared" si="22"/>
        <v>32.214489295637286</v>
      </c>
    </row>
    <row r="774" spans="1:14" hidden="1" outlineLevel="2" x14ac:dyDescent="0.35">
      <c r="A774" s="388" t="s">
        <v>4702</v>
      </c>
      <c r="B774" s="389">
        <v>44376</v>
      </c>
      <c r="C774" s="390" t="s">
        <v>4553</v>
      </c>
      <c r="D774" s="391" t="s">
        <v>4554</v>
      </c>
      <c r="E774" s="391" t="s">
        <v>4042</v>
      </c>
      <c r="F774" s="392">
        <v>8657.6576999999997</v>
      </c>
      <c r="G774" s="393" t="s">
        <v>3800</v>
      </c>
      <c r="H774" s="394">
        <v>3.2214489295637283</v>
      </c>
      <c r="I774" s="394"/>
      <c r="J774" s="392"/>
      <c r="K774" s="392"/>
      <c r="L774" s="392"/>
      <c r="M774" s="392"/>
      <c r="N774" s="392">
        <f t="shared" si="22"/>
        <v>3.2214489295637283</v>
      </c>
    </row>
    <row r="775" spans="1:14" hidden="1" outlineLevel="2" x14ac:dyDescent="0.35">
      <c r="A775" s="388" t="s">
        <v>4702</v>
      </c>
      <c r="B775" s="389">
        <v>44376</v>
      </c>
      <c r="C775" s="390" t="s">
        <v>4549</v>
      </c>
      <c r="D775" s="391" t="s">
        <v>4550</v>
      </c>
      <c r="E775" s="391" t="s">
        <v>4709</v>
      </c>
      <c r="F775" s="392">
        <v>865765.77</v>
      </c>
      <c r="G775" s="393" t="s">
        <v>3800</v>
      </c>
      <c r="H775" s="394">
        <v>322.14489295637287</v>
      </c>
      <c r="I775" s="394"/>
      <c r="J775" s="392"/>
      <c r="K775" s="392"/>
      <c r="L775" s="392"/>
      <c r="M775" s="392"/>
      <c r="N775" s="392">
        <f t="shared" si="22"/>
        <v>322.14489295637287</v>
      </c>
    </row>
    <row r="776" spans="1:14" hidden="1" outlineLevel="2" x14ac:dyDescent="0.35">
      <c r="A776" s="388" t="s">
        <v>4702</v>
      </c>
      <c r="B776" s="389">
        <v>44376</v>
      </c>
      <c r="C776" s="390" t="s">
        <v>4551</v>
      </c>
      <c r="D776" s="391" t="s">
        <v>4552</v>
      </c>
      <c r="E776" s="391" t="s">
        <v>4272</v>
      </c>
      <c r="F776" s="392">
        <v>86576.577000000005</v>
      </c>
      <c r="G776" s="393" t="s">
        <v>3800</v>
      </c>
      <c r="H776" s="394">
        <v>32.214489295637286</v>
      </c>
      <c r="I776" s="394"/>
      <c r="J776" s="392"/>
      <c r="K776" s="392"/>
      <c r="L776" s="392"/>
      <c r="M776" s="392"/>
      <c r="N776" s="392">
        <f t="shared" si="22"/>
        <v>32.214489295637286</v>
      </c>
    </row>
    <row r="777" spans="1:14" hidden="1" outlineLevel="2" x14ac:dyDescent="0.35">
      <c r="A777" s="388" t="s">
        <v>4702</v>
      </c>
      <c r="B777" s="389">
        <v>44376</v>
      </c>
      <c r="C777" s="390" t="s">
        <v>4553</v>
      </c>
      <c r="D777" s="391" t="s">
        <v>4554</v>
      </c>
      <c r="E777" s="391" t="s">
        <v>4042</v>
      </c>
      <c r="F777" s="392">
        <v>8657.6576999999997</v>
      </c>
      <c r="G777" s="393" t="s">
        <v>3800</v>
      </c>
      <c r="H777" s="394">
        <v>3.2214489295637283</v>
      </c>
      <c r="I777" s="394"/>
      <c r="J777" s="392"/>
      <c r="K777" s="392"/>
      <c r="L777" s="392"/>
      <c r="M777" s="392"/>
      <c r="N777" s="392">
        <f t="shared" si="22"/>
        <v>3.2214489295637283</v>
      </c>
    </row>
    <row r="778" spans="1:14" hidden="1" outlineLevel="2" x14ac:dyDescent="0.35">
      <c r="A778" s="388" t="s">
        <v>4702</v>
      </c>
      <c r="B778" s="389">
        <v>44376</v>
      </c>
      <c r="C778" s="390" t="s">
        <v>4549</v>
      </c>
      <c r="D778" s="391" t="s">
        <v>4550</v>
      </c>
      <c r="E778" s="391" t="s">
        <v>4710</v>
      </c>
      <c r="F778" s="392">
        <v>865765.77</v>
      </c>
      <c r="G778" s="393" t="s">
        <v>3800</v>
      </c>
      <c r="H778" s="394">
        <v>322.14489295637287</v>
      </c>
      <c r="I778" s="394"/>
      <c r="J778" s="392"/>
      <c r="K778" s="392"/>
      <c r="L778" s="392"/>
      <c r="M778" s="392"/>
      <c r="N778" s="392">
        <f t="shared" si="22"/>
        <v>322.14489295637287</v>
      </c>
    </row>
    <row r="779" spans="1:14" hidden="1" outlineLevel="2" x14ac:dyDescent="0.35">
      <c r="A779" s="388" t="s">
        <v>4702</v>
      </c>
      <c r="B779" s="389">
        <v>44376</v>
      </c>
      <c r="C779" s="390" t="s">
        <v>4551</v>
      </c>
      <c r="D779" s="391" t="s">
        <v>4552</v>
      </c>
      <c r="E779" s="391" t="s">
        <v>4272</v>
      </c>
      <c r="F779" s="392">
        <v>86576.577000000005</v>
      </c>
      <c r="G779" s="393" t="s">
        <v>3800</v>
      </c>
      <c r="H779" s="394">
        <v>32.214489295637286</v>
      </c>
      <c r="I779" s="394"/>
      <c r="J779" s="392"/>
      <c r="K779" s="392"/>
      <c r="L779" s="392"/>
      <c r="M779" s="392"/>
      <c r="N779" s="392">
        <f t="shared" si="22"/>
        <v>32.214489295637286</v>
      </c>
    </row>
    <row r="780" spans="1:14" hidden="1" outlineLevel="2" x14ac:dyDescent="0.35">
      <c r="A780" s="388" t="s">
        <v>4702</v>
      </c>
      <c r="B780" s="389">
        <v>44376</v>
      </c>
      <c r="C780" s="390" t="s">
        <v>4553</v>
      </c>
      <c r="D780" s="391" t="s">
        <v>4554</v>
      </c>
      <c r="E780" s="391" t="s">
        <v>4042</v>
      </c>
      <c r="F780" s="392">
        <v>8657.6576999999997</v>
      </c>
      <c r="G780" s="393" t="s">
        <v>3800</v>
      </c>
      <c r="H780" s="394">
        <v>3.2214489295637283</v>
      </c>
      <c r="I780" s="394"/>
      <c r="J780" s="392"/>
      <c r="K780" s="392"/>
      <c r="L780" s="392"/>
      <c r="M780" s="392"/>
      <c r="N780" s="392">
        <f t="shared" si="22"/>
        <v>3.2214489295637283</v>
      </c>
    </row>
    <row r="781" spans="1:14" hidden="1" outlineLevel="2" x14ac:dyDescent="0.35">
      <c r="A781" s="388" t="s">
        <v>4702</v>
      </c>
      <c r="B781" s="389">
        <v>44376</v>
      </c>
      <c r="C781" s="390" t="s">
        <v>4549</v>
      </c>
      <c r="D781" s="391" t="s">
        <v>4550</v>
      </c>
      <c r="E781" s="391" t="s">
        <v>4711</v>
      </c>
      <c r="F781" s="392">
        <v>865765.77</v>
      </c>
      <c r="G781" s="393" t="s">
        <v>3800</v>
      </c>
      <c r="H781" s="394">
        <v>322.14489295637287</v>
      </c>
      <c r="I781" s="394"/>
      <c r="J781" s="392"/>
      <c r="K781" s="392"/>
      <c r="L781" s="392"/>
      <c r="M781" s="392"/>
      <c r="N781" s="392">
        <f t="shared" si="22"/>
        <v>322.14489295637287</v>
      </c>
    </row>
    <row r="782" spans="1:14" hidden="1" outlineLevel="2" x14ac:dyDescent="0.35">
      <c r="A782" s="388" t="s">
        <v>4702</v>
      </c>
      <c r="B782" s="389">
        <v>44376</v>
      </c>
      <c r="C782" s="390" t="s">
        <v>4551</v>
      </c>
      <c r="D782" s="391" t="s">
        <v>4552</v>
      </c>
      <c r="E782" s="391" t="s">
        <v>4272</v>
      </c>
      <c r="F782" s="392">
        <v>86576.577000000005</v>
      </c>
      <c r="G782" s="393" t="s">
        <v>3800</v>
      </c>
      <c r="H782" s="394">
        <v>32.214489295637286</v>
      </c>
      <c r="I782" s="394"/>
      <c r="J782" s="392"/>
      <c r="K782" s="392"/>
      <c r="L782" s="392"/>
      <c r="M782" s="392"/>
      <c r="N782" s="392">
        <f t="shared" si="22"/>
        <v>32.214489295637286</v>
      </c>
    </row>
    <row r="783" spans="1:14" hidden="1" outlineLevel="2" x14ac:dyDescent="0.35">
      <c r="A783" s="388" t="s">
        <v>4702</v>
      </c>
      <c r="B783" s="389">
        <v>44376</v>
      </c>
      <c r="C783" s="390" t="s">
        <v>4553</v>
      </c>
      <c r="D783" s="391" t="s">
        <v>4554</v>
      </c>
      <c r="E783" s="391" t="s">
        <v>4042</v>
      </c>
      <c r="F783" s="392">
        <v>8657.6576999999997</v>
      </c>
      <c r="G783" s="393" t="s">
        <v>3800</v>
      </c>
      <c r="H783" s="394">
        <v>3.2214489295637283</v>
      </c>
      <c r="I783" s="394"/>
      <c r="J783" s="392"/>
      <c r="K783" s="392"/>
      <c r="L783" s="392"/>
      <c r="M783" s="392"/>
      <c r="N783" s="392">
        <f t="shared" si="22"/>
        <v>3.2214489295637283</v>
      </c>
    </row>
    <row r="784" spans="1:14" hidden="1" outlineLevel="2" x14ac:dyDescent="0.35">
      <c r="A784" s="388" t="s">
        <v>4702</v>
      </c>
      <c r="B784" s="389">
        <v>44376</v>
      </c>
      <c r="C784" s="390" t="s">
        <v>4549</v>
      </c>
      <c r="D784" s="391" t="s">
        <v>4550</v>
      </c>
      <c r="E784" s="391" t="s">
        <v>4712</v>
      </c>
      <c r="F784" s="392">
        <v>865765.77</v>
      </c>
      <c r="G784" s="393" t="s">
        <v>3800</v>
      </c>
      <c r="H784" s="394">
        <v>322.14489295637287</v>
      </c>
      <c r="I784" s="394"/>
      <c r="J784" s="392"/>
      <c r="K784" s="392"/>
      <c r="L784" s="392"/>
      <c r="M784" s="392"/>
      <c r="N784" s="392">
        <f t="shared" si="22"/>
        <v>322.14489295637287</v>
      </c>
    </row>
    <row r="785" spans="1:14" hidden="1" outlineLevel="2" x14ac:dyDescent="0.35">
      <c r="A785" s="388" t="s">
        <v>4702</v>
      </c>
      <c r="B785" s="389">
        <v>44376</v>
      </c>
      <c r="C785" s="390" t="s">
        <v>4551</v>
      </c>
      <c r="D785" s="391" t="s">
        <v>4552</v>
      </c>
      <c r="E785" s="391" t="s">
        <v>4272</v>
      </c>
      <c r="F785" s="392">
        <v>86576.577000000005</v>
      </c>
      <c r="G785" s="393" t="s">
        <v>3800</v>
      </c>
      <c r="H785" s="394">
        <v>32.214489295637286</v>
      </c>
      <c r="I785" s="394"/>
      <c r="J785" s="392"/>
      <c r="K785" s="392"/>
      <c r="L785" s="392"/>
      <c r="M785" s="392"/>
      <c r="N785" s="392">
        <f t="shared" si="22"/>
        <v>32.214489295637286</v>
      </c>
    </row>
    <row r="786" spans="1:14" hidden="1" outlineLevel="2" x14ac:dyDescent="0.35">
      <c r="A786" s="388" t="s">
        <v>4702</v>
      </c>
      <c r="B786" s="389">
        <v>44376</v>
      </c>
      <c r="C786" s="390" t="s">
        <v>4553</v>
      </c>
      <c r="D786" s="391" t="s">
        <v>4554</v>
      </c>
      <c r="E786" s="391" t="s">
        <v>4042</v>
      </c>
      <c r="F786" s="392">
        <v>8657.6576999999997</v>
      </c>
      <c r="G786" s="393" t="s">
        <v>3800</v>
      </c>
      <c r="H786" s="394">
        <v>3.2214489295637283</v>
      </c>
      <c r="I786" s="394"/>
      <c r="J786" s="392"/>
      <c r="K786" s="392"/>
      <c r="L786" s="392"/>
      <c r="M786" s="392"/>
      <c r="N786" s="392">
        <f t="shared" si="22"/>
        <v>3.2214489295637283</v>
      </c>
    </row>
    <row r="787" spans="1:14" hidden="1" outlineLevel="2" collapsed="1" x14ac:dyDescent="0.35">
      <c r="A787" s="388" t="s">
        <v>4702</v>
      </c>
      <c r="B787" s="389">
        <v>44376</v>
      </c>
      <c r="C787" s="390" t="s">
        <v>4549</v>
      </c>
      <c r="D787" s="391" t="s">
        <v>4550</v>
      </c>
      <c r="E787" s="391" t="s">
        <v>4713</v>
      </c>
      <c r="F787" s="392">
        <v>865765.77</v>
      </c>
      <c r="G787" s="393" t="s">
        <v>3800</v>
      </c>
      <c r="H787" s="394">
        <v>322.14489295637287</v>
      </c>
      <c r="I787" s="394"/>
      <c r="J787" s="392"/>
      <c r="K787" s="392"/>
      <c r="L787" s="392"/>
      <c r="M787" s="392"/>
      <c r="N787" s="392">
        <f t="shared" si="22"/>
        <v>322.14489295637287</v>
      </c>
    </row>
    <row r="788" spans="1:14" hidden="1" outlineLevel="2" x14ac:dyDescent="0.35">
      <c r="A788" s="388" t="s">
        <v>4702</v>
      </c>
      <c r="B788" s="389">
        <v>44376</v>
      </c>
      <c r="C788" s="390" t="s">
        <v>4551</v>
      </c>
      <c r="D788" s="391" t="s">
        <v>4552</v>
      </c>
      <c r="E788" s="391" t="s">
        <v>4272</v>
      </c>
      <c r="F788" s="392">
        <v>86576.577000000005</v>
      </c>
      <c r="G788" s="393" t="s">
        <v>3800</v>
      </c>
      <c r="H788" s="394">
        <v>32.214489295637286</v>
      </c>
      <c r="I788" s="394"/>
      <c r="J788" s="392"/>
      <c r="K788" s="392"/>
      <c r="L788" s="392"/>
      <c r="M788" s="392"/>
      <c r="N788" s="392">
        <f t="shared" si="22"/>
        <v>32.214489295637286</v>
      </c>
    </row>
    <row r="789" spans="1:14" hidden="1" outlineLevel="2" x14ac:dyDescent="0.35">
      <c r="A789" s="388" t="s">
        <v>4702</v>
      </c>
      <c r="B789" s="389">
        <v>44376</v>
      </c>
      <c r="C789" s="390" t="s">
        <v>4553</v>
      </c>
      <c r="D789" s="391" t="s">
        <v>4554</v>
      </c>
      <c r="E789" s="391" t="s">
        <v>4042</v>
      </c>
      <c r="F789" s="392">
        <v>8657.6576999999997</v>
      </c>
      <c r="G789" s="393" t="s">
        <v>3800</v>
      </c>
      <c r="H789" s="394">
        <v>3.2214489295637283</v>
      </c>
      <c r="I789" s="394"/>
      <c r="J789" s="392"/>
      <c r="K789" s="392"/>
      <c r="L789" s="392"/>
      <c r="M789" s="392"/>
      <c r="N789" s="392">
        <f t="shared" si="22"/>
        <v>3.2214489295637283</v>
      </c>
    </row>
    <row r="790" spans="1:14" hidden="1" outlineLevel="2" x14ac:dyDescent="0.35">
      <c r="A790" s="388" t="s">
        <v>4702</v>
      </c>
      <c r="B790" s="389">
        <v>44376</v>
      </c>
      <c r="C790" s="390" t="s">
        <v>4549</v>
      </c>
      <c r="D790" s="391" t="s">
        <v>4550</v>
      </c>
      <c r="E790" s="391" t="s">
        <v>4714</v>
      </c>
      <c r="F790" s="392">
        <v>865765.77</v>
      </c>
      <c r="G790" s="393" t="s">
        <v>3800</v>
      </c>
      <c r="H790" s="394">
        <v>322.14489295637287</v>
      </c>
      <c r="I790" s="394"/>
      <c r="J790" s="392"/>
      <c r="K790" s="392"/>
      <c r="L790" s="392"/>
      <c r="M790" s="392"/>
      <c r="N790" s="392">
        <f t="shared" si="22"/>
        <v>322.14489295637287</v>
      </c>
    </row>
    <row r="791" spans="1:14" hidden="1" outlineLevel="2" x14ac:dyDescent="0.35">
      <c r="A791" s="388" t="s">
        <v>4702</v>
      </c>
      <c r="B791" s="389">
        <v>44376</v>
      </c>
      <c r="C791" s="390" t="s">
        <v>4551</v>
      </c>
      <c r="D791" s="391" t="s">
        <v>4552</v>
      </c>
      <c r="E791" s="391" t="s">
        <v>4272</v>
      </c>
      <c r="F791" s="392">
        <v>86576.577000000005</v>
      </c>
      <c r="G791" s="393" t="s">
        <v>3800</v>
      </c>
      <c r="H791" s="394">
        <v>32.214489295637286</v>
      </c>
      <c r="I791" s="394"/>
      <c r="J791" s="392"/>
      <c r="K791" s="392"/>
      <c r="L791" s="392"/>
      <c r="M791" s="392"/>
      <c r="N791" s="392">
        <f t="shared" si="22"/>
        <v>32.214489295637286</v>
      </c>
    </row>
    <row r="792" spans="1:14" hidden="1" outlineLevel="2" x14ac:dyDescent="0.35">
      <c r="A792" s="388" t="s">
        <v>4702</v>
      </c>
      <c r="B792" s="389">
        <v>44376</v>
      </c>
      <c r="C792" s="390" t="s">
        <v>4553</v>
      </c>
      <c r="D792" s="391" t="s">
        <v>4554</v>
      </c>
      <c r="E792" s="391" t="s">
        <v>4042</v>
      </c>
      <c r="F792" s="392">
        <v>8657.6576999999997</v>
      </c>
      <c r="G792" s="393" t="s">
        <v>3800</v>
      </c>
      <c r="H792" s="394">
        <v>3.2214489295637283</v>
      </c>
      <c r="I792" s="394"/>
      <c r="J792" s="392"/>
      <c r="K792" s="392"/>
      <c r="L792" s="392"/>
      <c r="M792" s="392"/>
      <c r="N792" s="392">
        <f t="shared" si="22"/>
        <v>3.2214489295637283</v>
      </c>
    </row>
    <row r="793" spans="1:14" hidden="1" outlineLevel="2" x14ac:dyDescent="0.35">
      <c r="A793" s="388" t="s">
        <v>4702</v>
      </c>
      <c r="B793" s="389">
        <v>44376</v>
      </c>
      <c r="C793" s="390" t="s">
        <v>4549</v>
      </c>
      <c r="D793" s="391" t="s">
        <v>4550</v>
      </c>
      <c r="E793" s="391" t="s">
        <v>4715</v>
      </c>
      <c r="F793" s="392">
        <v>865765.77</v>
      </c>
      <c r="G793" s="393" t="s">
        <v>3800</v>
      </c>
      <c r="H793" s="394">
        <v>322.14489295637287</v>
      </c>
      <c r="I793" s="394"/>
      <c r="J793" s="392"/>
      <c r="K793" s="392"/>
      <c r="L793" s="392"/>
      <c r="M793" s="392"/>
      <c r="N793" s="392">
        <f t="shared" si="22"/>
        <v>322.14489295637287</v>
      </c>
    </row>
    <row r="794" spans="1:14" hidden="1" outlineLevel="2" x14ac:dyDescent="0.35">
      <c r="A794" s="388" t="s">
        <v>4702</v>
      </c>
      <c r="B794" s="389">
        <v>44376</v>
      </c>
      <c r="C794" s="390" t="s">
        <v>4551</v>
      </c>
      <c r="D794" s="391" t="s">
        <v>4552</v>
      </c>
      <c r="E794" s="391" t="s">
        <v>4272</v>
      </c>
      <c r="F794" s="392">
        <v>86576.577000000005</v>
      </c>
      <c r="G794" s="393" t="s">
        <v>3800</v>
      </c>
      <c r="H794" s="394">
        <v>32.214489295637286</v>
      </c>
      <c r="I794" s="394"/>
      <c r="J794" s="392"/>
      <c r="K794" s="392"/>
      <c r="L794" s="392"/>
      <c r="M794" s="392"/>
      <c r="N794" s="392">
        <f t="shared" si="22"/>
        <v>32.214489295637286</v>
      </c>
    </row>
    <row r="795" spans="1:14" hidden="1" outlineLevel="2" x14ac:dyDescent="0.35">
      <c r="A795" s="388" t="s">
        <v>4702</v>
      </c>
      <c r="B795" s="389">
        <v>44376</v>
      </c>
      <c r="C795" s="390" t="s">
        <v>4553</v>
      </c>
      <c r="D795" s="391" t="s">
        <v>4554</v>
      </c>
      <c r="E795" s="391" t="s">
        <v>4042</v>
      </c>
      <c r="F795" s="392">
        <v>8657.6576999999997</v>
      </c>
      <c r="G795" s="393" t="s">
        <v>3800</v>
      </c>
      <c r="H795" s="394">
        <v>3.2214489295637283</v>
      </c>
      <c r="I795" s="394"/>
      <c r="J795" s="392"/>
      <c r="K795" s="392"/>
      <c r="L795" s="392"/>
      <c r="M795" s="392"/>
      <c r="N795" s="392">
        <f t="shared" si="22"/>
        <v>3.2214489295637283</v>
      </c>
    </row>
    <row r="796" spans="1:14" hidden="1" outlineLevel="2" x14ac:dyDescent="0.35">
      <c r="A796" s="388" t="s">
        <v>4702</v>
      </c>
      <c r="B796" s="389">
        <v>44376</v>
      </c>
      <c r="C796" s="390" t="s">
        <v>4549</v>
      </c>
      <c r="D796" s="391" t="s">
        <v>4550</v>
      </c>
      <c r="E796" s="391" t="s">
        <v>4716</v>
      </c>
      <c r="F796" s="392">
        <v>865765.77</v>
      </c>
      <c r="G796" s="393" t="s">
        <v>3800</v>
      </c>
      <c r="H796" s="394">
        <v>322.14489295637287</v>
      </c>
      <c r="I796" s="394"/>
      <c r="J796" s="392"/>
      <c r="K796" s="392"/>
      <c r="L796" s="392"/>
      <c r="M796" s="392"/>
      <c r="N796" s="392">
        <f t="shared" si="22"/>
        <v>322.14489295637287</v>
      </c>
    </row>
    <row r="797" spans="1:14" hidden="1" outlineLevel="2" x14ac:dyDescent="0.35">
      <c r="A797" s="388" t="s">
        <v>4702</v>
      </c>
      <c r="B797" s="389">
        <v>44376</v>
      </c>
      <c r="C797" s="390" t="s">
        <v>4551</v>
      </c>
      <c r="D797" s="391" t="s">
        <v>4552</v>
      </c>
      <c r="E797" s="391" t="s">
        <v>4272</v>
      </c>
      <c r="F797" s="392">
        <v>86576.577000000005</v>
      </c>
      <c r="G797" s="393" t="s">
        <v>3800</v>
      </c>
      <c r="H797" s="394">
        <v>32.214489295637286</v>
      </c>
      <c r="I797" s="394"/>
      <c r="J797" s="392"/>
      <c r="K797" s="392"/>
      <c r="L797" s="392"/>
      <c r="M797" s="392"/>
      <c r="N797" s="392">
        <f t="shared" si="22"/>
        <v>32.214489295637286</v>
      </c>
    </row>
    <row r="798" spans="1:14" hidden="1" outlineLevel="2" x14ac:dyDescent="0.35">
      <c r="A798" s="388" t="s">
        <v>4702</v>
      </c>
      <c r="B798" s="389">
        <v>44376</v>
      </c>
      <c r="C798" s="390" t="s">
        <v>4553</v>
      </c>
      <c r="D798" s="391" t="s">
        <v>4554</v>
      </c>
      <c r="E798" s="391" t="s">
        <v>4042</v>
      </c>
      <c r="F798" s="392">
        <v>8657.6576999999997</v>
      </c>
      <c r="G798" s="393" t="s">
        <v>3800</v>
      </c>
      <c r="H798" s="394">
        <v>3.2214489295637283</v>
      </c>
      <c r="I798" s="394"/>
      <c r="J798" s="392"/>
      <c r="K798" s="392"/>
      <c r="L798" s="392"/>
      <c r="M798" s="392"/>
      <c r="N798" s="392">
        <f t="shared" si="22"/>
        <v>3.2214489295637283</v>
      </c>
    </row>
    <row r="799" spans="1:14" hidden="1" outlineLevel="2" x14ac:dyDescent="0.35">
      <c r="A799" s="388" t="s">
        <v>4702</v>
      </c>
      <c r="B799" s="389">
        <v>44376</v>
      </c>
      <c r="C799" s="390" t="s">
        <v>4549</v>
      </c>
      <c r="D799" s="391" t="s">
        <v>4550</v>
      </c>
      <c r="E799" s="391" t="s">
        <v>4717</v>
      </c>
      <c r="F799" s="392">
        <v>865765.77</v>
      </c>
      <c r="G799" s="393" t="s">
        <v>3800</v>
      </c>
      <c r="H799" s="394">
        <v>322.14489295637287</v>
      </c>
      <c r="I799" s="394"/>
      <c r="J799" s="392"/>
      <c r="K799" s="392"/>
      <c r="L799" s="392"/>
      <c r="M799" s="392"/>
      <c r="N799" s="392">
        <f t="shared" si="22"/>
        <v>322.14489295637287</v>
      </c>
    </row>
    <row r="800" spans="1:14" hidden="1" outlineLevel="2" x14ac:dyDescent="0.35">
      <c r="A800" s="388" t="s">
        <v>4702</v>
      </c>
      <c r="B800" s="389">
        <v>44376</v>
      </c>
      <c r="C800" s="390" t="s">
        <v>4551</v>
      </c>
      <c r="D800" s="391" t="s">
        <v>4552</v>
      </c>
      <c r="E800" s="391" t="s">
        <v>4272</v>
      </c>
      <c r="F800" s="392">
        <v>86576.577000000005</v>
      </c>
      <c r="G800" s="393" t="s">
        <v>3800</v>
      </c>
      <c r="H800" s="394">
        <v>32.214489295637286</v>
      </c>
      <c r="I800" s="394"/>
      <c r="J800" s="392"/>
      <c r="K800" s="392"/>
      <c r="L800" s="392"/>
      <c r="M800" s="392"/>
      <c r="N800" s="392">
        <f t="shared" si="22"/>
        <v>32.214489295637286</v>
      </c>
    </row>
    <row r="801" spans="1:14" hidden="1" outlineLevel="2" x14ac:dyDescent="0.35">
      <c r="A801" s="388" t="s">
        <v>4702</v>
      </c>
      <c r="B801" s="389">
        <v>44376</v>
      </c>
      <c r="C801" s="390" t="s">
        <v>4553</v>
      </c>
      <c r="D801" s="391" t="s">
        <v>4554</v>
      </c>
      <c r="E801" s="391" t="s">
        <v>4042</v>
      </c>
      <c r="F801" s="392">
        <v>8657.6576999999997</v>
      </c>
      <c r="G801" s="393" t="s">
        <v>3800</v>
      </c>
      <c r="H801" s="394">
        <v>3.2214489295637283</v>
      </c>
      <c r="I801" s="394"/>
      <c r="J801" s="392"/>
      <c r="K801" s="392"/>
      <c r="L801" s="392"/>
      <c r="M801" s="392"/>
      <c r="N801" s="392">
        <f t="shared" si="22"/>
        <v>3.2214489295637283</v>
      </c>
    </row>
    <row r="802" spans="1:14" hidden="1" outlineLevel="2" x14ac:dyDescent="0.35">
      <c r="A802" s="388" t="s">
        <v>4702</v>
      </c>
      <c r="B802" s="389">
        <v>44376</v>
      </c>
      <c r="C802" s="390" t="s">
        <v>4549</v>
      </c>
      <c r="D802" s="391" t="s">
        <v>4550</v>
      </c>
      <c r="E802" s="391" t="s">
        <v>4718</v>
      </c>
      <c r="F802" s="392">
        <v>865765.77</v>
      </c>
      <c r="G802" s="393" t="s">
        <v>3800</v>
      </c>
      <c r="H802" s="394">
        <v>322.14489295637287</v>
      </c>
      <c r="I802" s="394"/>
      <c r="J802" s="392"/>
      <c r="K802" s="392"/>
      <c r="L802" s="392"/>
      <c r="M802" s="392"/>
      <c r="N802" s="392">
        <f t="shared" si="22"/>
        <v>322.14489295637287</v>
      </c>
    </row>
    <row r="803" spans="1:14" hidden="1" outlineLevel="2" x14ac:dyDescent="0.35">
      <c r="A803" s="388" t="s">
        <v>4702</v>
      </c>
      <c r="B803" s="389">
        <v>44376</v>
      </c>
      <c r="C803" s="390" t="s">
        <v>4551</v>
      </c>
      <c r="D803" s="391" t="s">
        <v>4552</v>
      </c>
      <c r="E803" s="391" t="s">
        <v>4272</v>
      </c>
      <c r="F803" s="392">
        <v>86576.577000000005</v>
      </c>
      <c r="G803" s="393" t="s">
        <v>3800</v>
      </c>
      <c r="H803" s="394">
        <v>32.214489295637286</v>
      </c>
      <c r="I803" s="394"/>
      <c r="J803" s="392"/>
      <c r="K803" s="392"/>
      <c r="L803" s="392"/>
      <c r="M803" s="392"/>
      <c r="N803" s="392">
        <f t="shared" si="22"/>
        <v>32.214489295637286</v>
      </c>
    </row>
    <row r="804" spans="1:14" hidden="1" outlineLevel="2" x14ac:dyDescent="0.35">
      <c r="A804" s="388" t="s">
        <v>4702</v>
      </c>
      <c r="B804" s="389">
        <v>44376</v>
      </c>
      <c r="C804" s="390" t="s">
        <v>4553</v>
      </c>
      <c r="D804" s="391" t="s">
        <v>4554</v>
      </c>
      <c r="E804" s="391" t="s">
        <v>4042</v>
      </c>
      <c r="F804" s="392">
        <v>8657.6576999999997</v>
      </c>
      <c r="G804" s="393" t="s">
        <v>3800</v>
      </c>
      <c r="H804" s="394">
        <v>3.2214489295637283</v>
      </c>
      <c r="I804" s="394"/>
      <c r="J804" s="392"/>
      <c r="K804" s="392"/>
      <c r="L804" s="392"/>
      <c r="M804" s="392"/>
      <c r="N804" s="392">
        <f t="shared" si="22"/>
        <v>3.2214489295637283</v>
      </c>
    </row>
    <row r="805" spans="1:14" hidden="1" outlineLevel="2" x14ac:dyDescent="0.35">
      <c r="A805" s="388" t="s">
        <v>4702</v>
      </c>
      <c r="B805" s="389">
        <v>44407</v>
      </c>
      <c r="C805" s="390" t="s">
        <v>4555</v>
      </c>
      <c r="D805" s="391" t="s">
        <v>4556</v>
      </c>
      <c r="E805" s="391" t="s">
        <v>4703</v>
      </c>
      <c r="F805" s="392">
        <v>865765.77</v>
      </c>
      <c r="G805" s="393" t="s">
        <v>3800</v>
      </c>
      <c r="H805" s="394">
        <v>322.14489295637287</v>
      </c>
      <c r="I805" s="394"/>
      <c r="J805" s="392"/>
      <c r="K805" s="392"/>
      <c r="L805" s="392"/>
      <c r="M805" s="392"/>
      <c r="N805" s="392">
        <f t="shared" si="22"/>
        <v>322.14489295637287</v>
      </c>
    </row>
    <row r="806" spans="1:14" hidden="1" outlineLevel="2" x14ac:dyDescent="0.35">
      <c r="A806" s="388" t="s">
        <v>4702</v>
      </c>
      <c r="B806" s="389">
        <v>44407</v>
      </c>
      <c r="C806" s="390" t="s">
        <v>4557</v>
      </c>
      <c r="D806" s="391" t="s">
        <v>4558</v>
      </c>
      <c r="E806" s="391" t="s">
        <v>4272</v>
      </c>
      <c r="F806" s="392">
        <v>86576.577000000005</v>
      </c>
      <c r="G806" s="393" t="s">
        <v>3800</v>
      </c>
      <c r="H806" s="394">
        <v>32.214489295637286</v>
      </c>
      <c r="I806" s="394"/>
      <c r="J806" s="392"/>
      <c r="K806" s="392"/>
      <c r="L806" s="392"/>
      <c r="M806" s="392"/>
      <c r="N806" s="392">
        <f t="shared" si="22"/>
        <v>32.214489295637286</v>
      </c>
    </row>
    <row r="807" spans="1:14" hidden="1" outlineLevel="2" x14ac:dyDescent="0.35">
      <c r="A807" s="388" t="s">
        <v>4702</v>
      </c>
      <c r="B807" s="389">
        <v>44407</v>
      </c>
      <c r="C807" s="390" t="s">
        <v>4559</v>
      </c>
      <c r="D807" s="391" t="s">
        <v>4560</v>
      </c>
      <c r="E807" s="391" t="s">
        <v>4042</v>
      </c>
      <c r="F807" s="392">
        <v>5194.5946199999998</v>
      </c>
      <c r="G807" s="393" t="s">
        <v>3800</v>
      </c>
      <c r="H807" s="394">
        <v>1.932869357738237</v>
      </c>
      <c r="I807" s="394"/>
      <c r="J807" s="392"/>
      <c r="K807" s="392"/>
      <c r="L807" s="392"/>
      <c r="M807" s="392"/>
      <c r="N807" s="392">
        <f t="shared" si="22"/>
        <v>1.932869357738237</v>
      </c>
    </row>
    <row r="808" spans="1:14" hidden="1" outlineLevel="2" x14ac:dyDescent="0.35">
      <c r="A808" s="388" t="s">
        <v>4702</v>
      </c>
      <c r="B808" s="389">
        <v>44407</v>
      </c>
      <c r="C808" s="390" t="s">
        <v>4555</v>
      </c>
      <c r="D808" s="391" t="s">
        <v>4556</v>
      </c>
      <c r="E808" s="391" t="s">
        <v>4720</v>
      </c>
      <c r="F808" s="392">
        <v>865765.77</v>
      </c>
      <c r="G808" s="393" t="s">
        <v>3800</v>
      </c>
      <c r="H808" s="394">
        <v>322.14489295637287</v>
      </c>
      <c r="I808" s="394"/>
      <c r="J808" s="392"/>
      <c r="K808" s="392"/>
      <c r="L808" s="392"/>
      <c r="M808" s="392"/>
      <c r="N808" s="392">
        <f t="shared" si="22"/>
        <v>322.14489295637287</v>
      </c>
    </row>
    <row r="809" spans="1:14" hidden="1" outlineLevel="2" x14ac:dyDescent="0.35">
      <c r="A809" s="388" t="s">
        <v>4702</v>
      </c>
      <c r="B809" s="389">
        <v>44407</v>
      </c>
      <c r="C809" s="390" t="s">
        <v>4557</v>
      </c>
      <c r="D809" s="391" t="s">
        <v>4558</v>
      </c>
      <c r="E809" s="391" t="s">
        <v>4272</v>
      </c>
      <c r="F809" s="392">
        <v>86576.577000000005</v>
      </c>
      <c r="G809" s="393" t="s">
        <v>3800</v>
      </c>
      <c r="H809" s="394">
        <v>32.214489295637286</v>
      </c>
      <c r="I809" s="394"/>
      <c r="J809" s="392"/>
      <c r="K809" s="392"/>
      <c r="L809" s="392"/>
      <c r="M809" s="392"/>
      <c r="N809" s="392">
        <f t="shared" si="22"/>
        <v>32.214489295637286</v>
      </c>
    </row>
    <row r="810" spans="1:14" hidden="1" outlineLevel="2" x14ac:dyDescent="0.35">
      <c r="A810" s="388" t="s">
        <v>4702</v>
      </c>
      <c r="B810" s="389">
        <v>44407</v>
      </c>
      <c r="C810" s="390" t="s">
        <v>4559</v>
      </c>
      <c r="D810" s="391" t="s">
        <v>4560</v>
      </c>
      <c r="E810" s="391" t="s">
        <v>4042</v>
      </c>
      <c r="F810" s="392">
        <v>5194.5946199999998</v>
      </c>
      <c r="G810" s="393" t="s">
        <v>3800</v>
      </c>
      <c r="H810" s="394">
        <v>1.932869357738237</v>
      </c>
      <c r="I810" s="394"/>
      <c r="J810" s="392"/>
      <c r="K810" s="392"/>
      <c r="L810" s="392"/>
      <c r="M810" s="392"/>
      <c r="N810" s="392">
        <f t="shared" si="22"/>
        <v>1.932869357738237</v>
      </c>
    </row>
    <row r="811" spans="1:14" hidden="1" outlineLevel="2" x14ac:dyDescent="0.35">
      <c r="A811" s="388" t="s">
        <v>4702</v>
      </c>
      <c r="B811" s="389">
        <v>44407</v>
      </c>
      <c r="C811" s="390" t="s">
        <v>4555</v>
      </c>
      <c r="D811" s="391" t="s">
        <v>4556</v>
      </c>
      <c r="E811" s="391" t="s">
        <v>4721</v>
      </c>
      <c r="F811" s="392">
        <v>865765.77</v>
      </c>
      <c r="G811" s="393" t="s">
        <v>3800</v>
      </c>
      <c r="H811" s="394">
        <v>322.14489295637287</v>
      </c>
      <c r="I811" s="394"/>
      <c r="J811" s="392"/>
      <c r="K811" s="392"/>
      <c r="L811" s="392"/>
      <c r="M811" s="392"/>
      <c r="N811" s="392">
        <f t="shared" si="22"/>
        <v>322.14489295637287</v>
      </c>
    </row>
    <row r="812" spans="1:14" hidden="1" outlineLevel="2" x14ac:dyDescent="0.35">
      <c r="A812" s="388" t="s">
        <v>4702</v>
      </c>
      <c r="B812" s="389">
        <v>44407</v>
      </c>
      <c r="C812" s="390" t="s">
        <v>4557</v>
      </c>
      <c r="D812" s="391" t="s">
        <v>4558</v>
      </c>
      <c r="E812" s="391" t="s">
        <v>4272</v>
      </c>
      <c r="F812" s="392">
        <v>86576.577000000005</v>
      </c>
      <c r="G812" s="393" t="s">
        <v>3800</v>
      </c>
      <c r="H812" s="394">
        <v>32.214489295637286</v>
      </c>
      <c r="I812" s="394"/>
      <c r="J812" s="392"/>
      <c r="K812" s="392"/>
      <c r="L812" s="392"/>
      <c r="M812" s="392"/>
      <c r="N812" s="392">
        <f t="shared" ref="N812:N875" si="23">H812</f>
        <v>32.214489295637286</v>
      </c>
    </row>
    <row r="813" spans="1:14" hidden="1" outlineLevel="2" x14ac:dyDescent="0.35">
      <c r="A813" s="388" t="s">
        <v>4702</v>
      </c>
      <c r="B813" s="389">
        <v>44407</v>
      </c>
      <c r="C813" s="390" t="s">
        <v>4559</v>
      </c>
      <c r="D813" s="391" t="s">
        <v>4560</v>
      </c>
      <c r="E813" s="391" t="s">
        <v>4042</v>
      </c>
      <c r="F813" s="392">
        <v>5194.5946199999998</v>
      </c>
      <c r="G813" s="393" t="s">
        <v>3800</v>
      </c>
      <c r="H813" s="394">
        <v>1.932869357738237</v>
      </c>
      <c r="I813" s="394"/>
      <c r="J813" s="392"/>
      <c r="K813" s="392"/>
      <c r="L813" s="392"/>
      <c r="M813" s="392"/>
      <c r="N813" s="392">
        <f t="shared" si="23"/>
        <v>1.932869357738237</v>
      </c>
    </row>
    <row r="814" spans="1:14" hidden="1" outlineLevel="2" x14ac:dyDescent="0.35">
      <c r="A814" s="388" t="s">
        <v>4702</v>
      </c>
      <c r="B814" s="389">
        <v>44407</v>
      </c>
      <c r="C814" s="390" t="s">
        <v>4555</v>
      </c>
      <c r="D814" s="391" t="s">
        <v>4556</v>
      </c>
      <c r="E814" s="391" t="s">
        <v>4706</v>
      </c>
      <c r="F814" s="392">
        <v>865765.77</v>
      </c>
      <c r="G814" s="393" t="s">
        <v>3800</v>
      </c>
      <c r="H814" s="394">
        <v>322.14489295637287</v>
      </c>
      <c r="I814" s="394"/>
      <c r="J814" s="392"/>
      <c r="K814" s="392"/>
      <c r="L814" s="392"/>
      <c r="M814" s="392"/>
      <c r="N814" s="392">
        <f t="shared" si="23"/>
        <v>322.14489295637287</v>
      </c>
    </row>
    <row r="815" spans="1:14" hidden="1" outlineLevel="2" x14ac:dyDescent="0.35">
      <c r="A815" s="388" t="s">
        <v>4702</v>
      </c>
      <c r="B815" s="389">
        <v>44407</v>
      </c>
      <c r="C815" s="390" t="s">
        <v>4557</v>
      </c>
      <c r="D815" s="391" t="s">
        <v>4558</v>
      </c>
      <c r="E815" s="391" t="s">
        <v>4272</v>
      </c>
      <c r="F815" s="392">
        <v>86576.577000000005</v>
      </c>
      <c r="G815" s="393" t="s">
        <v>3800</v>
      </c>
      <c r="H815" s="394">
        <v>32.214489295637286</v>
      </c>
      <c r="I815" s="394"/>
      <c r="J815" s="392"/>
      <c r="K815" s="392"/>
      <c r="L815" s="392"/>
      <c r="M815" s="392"/>
      <c r="N815" s="392">
        <f t="shared" si="23"/>
        <v>32.214489295637286</v>
      </c>
    </row>
    <row r="816" spans="1:14" hidden="1" outlineLevel="2" x14ac:dyDescent="0.35">
      <c r="A816" s="388" t="s">
        <v>4702</v>
      </c>
      <c r="B816" s="389">
        <v>44407</v>
      </c>
      <c r="C816" s="390" t="s">
        <v>4559</v>
      </c>
      <c r="D816" s="391" t="s">
        <v>4560</v>
      </c>
      <c r="E816" s="391" t="s">
        <v>4042</v>
      </c>
      <c r="F816" s="392">
        <v>5194.5946199999998</v>
      </c>
      <c r="G816" s="393" t="s">
        <v>3800</v>
      </c>
      <c r="H816" s="394">
        <v>1.932869357738237</v>
      </c>
      <c r="I816" s="394"/>
      <c r="J816" s="392"/>
      <c r="K816" s="392"/>
      <c r="L816" s="392"/>
      <c r="M816" s="392"/>
      <c r="N816" s="392">
        <f t="shared" si="23"/>
        <v>1.932869357738237</v>
      </c>
    </row>
    <row r="817" spans="1:14" hidden="1" outlineLevel="2" x14ac:dyDescent="0.35">
      <c r="A817" s="388" t="s">
        <v>4702</v>
      </c>
      <c r="B817" s="389">
        <v>44407</v>
      </c>
      <c r="C817" s="390" t="s">
        <v>4555</v>
      </c>
      <c r="D817" s="391" t="s">
        <v>4556</v>
      </c>
      <c r="E817" s="391" t="s">
        <v>4707</v>
      </c>
      <c r="F817" s="392">
        <v>865765.77</v>
      </c>
      <c r="G817" s="393" t="s">
        <v>3800</v>
      </c>
      <c r="H817" s="394">
        <v>322.14489295637287</v>
      </c>
      <c r="I817" s="394"/>
      <c r="J817" s="392"/>
      <c r="K817" s="392"/>
      <c r="L817" s="392"/>
      <c r="M817" s="392"/>
      <c r="N817" s="392">
        <f t="shared" si="23"/>
        <v>322.14489295637287</v>
      </c>
    </row>
    <row r="818" spans="1:14" hidden="1" outlineLevel="2" x14ac:dyDescent="0.35">
      <c r="A818" s="388" t="s">
        <v>4702</v>
      </c>
      <c r="B818" s="389">
        <v>44407</v>
      </c>
      <c r="C818" s="390" t="s">
        <v>4557</v>
      </c>
      <c r="D818" s="391" t="s">
        <v>4558</v>
      </c>
      <c r="E818" s="391" t="s">
        <v>4272</v>
      </c>
      <c r="F818" s="392">
        <v>86576.577000000005</v>
      </c>
      <c r="G818" s="393" t="s">
        <v>3800</v>
      </c>
      <c r="H818" s="394">
        <v>32.214489295637286</v>
      </c>
      <c r="I818" s="394"/>
      <c r="J818" s="392"/>
      <c r="K818" s="392"/>
      <c r="L818" s="392"/>
      <c r="M818" s="392"/>
      <c r="N818" s="392">
        <f t="shared" si="23"/>
        <v>32.214489295637286</v>
      </c>
    </row>
    <row r="819" spans="1:14" hidden="1" outlineLevel="2" x14ac:dyDescent="0.35">
      <c r="A819" s="388" t="s">
        <v>4702</v>
      </c>
      <c r="B819" s="389">
        <v>44407</v>
      </c>
      <c r="C819" s="390" t="s">
        <v>4559</v>
      </c>
      <c r="D819" s="391" t="s">
        <v>4560</v>
      </c>
      <c r="E819" s="391" t="s">
        <v>4042</v>
      </c>
      <c r="F819" s="392">
        <v>5194.5946199999998</v>
      </c>
      <c r="G819" s="393" t="s">
        <v>3800</v>
      </c>
      <c r="H819" s="394">
        <v>1.932869357738237</v>
      </c>
      <c r="I819" s="394"/>
      <c r="J819" s="392"/>
      <c r="K819" s="392"/>
      <c r="L819" s="392"/>
      <c r="M819" s="392"/>
      <c r="N819" s="392">
        <f t="shared" si="23"/>
        <v>1.932869357738237</v>
      </c>
    </row>
    <row r="820" spans="1:14" hidden="1" outlineLevel="2" x14ac:dyDescent="0.35">
      <c r="A820" s="388" t="s">
        <v>4702</v>
      </c>
      <c r="B820" s="389">
        <v>44407</v>
      </c>
      <c r="C820" s="390" t="s">
        <v>4555</v>
      </c>
      <c r="D820" s="391" t="s">
        <v>4556</v>
      </c>
      <c r="E820" s="391" t="s">
        <v>4708</v>
      </c>
      <c r="F820" s="392">
        <v>865765.77</v>
      </c>
      <c r="G820" s="393" t="s">
        <v>3800</v>
      </c>
      <c r="H820" s="394">
        <v>322.14489295637287</v>
      </c>
      <c r="I820" s="394"/>
      <c r="J820" s="392"/>
      <c r="K820" s="392"/>
      <c r="L820" s="392"/>
      <c r="M820" s="392"/>
      <c r="N820" s="392">
        <f t="shared" si="23"/>
        <v>322.14489295637287</v>
      </c>
    </row>
    <row r="821" spans="1:14" hidden="1" outlineLevel="2" x14ac:dyDescent="0.35">
      <c r="A821" s="388" t="s">
        <v>4702</v>
      </c>
      <c r="B821" s="389">
        <v>44407</v>
      </c>
      <c r="C821" s="390" t="s">
        <v>4557</v>
      </c>
      <c r="D821" s="391" t="s">
        <v>4558</v>
      </c>
      <c r="E821" s="391" t="s">
        <v>4272</v>
      </c>
      <c r="F821" s="392">
        <v>86576.577000000005</v>
      </c>
      <c r="G821" s="393" t="s">
        <v>3800</v>
      </c>
      <c r="H821" s="394">
        <v>32.214489295637286</v>
      </c>
      <c r="I821" s="394"/>
      <c r="J821" s="392"/>
      <c r="K821" s="392"/>
      <c r="L821" s="392"/>
      <c r="M821" s="392"/>
      <c r="N821" s="392">
        <f t="shared" si="23"/>
        <v>32.214489295637286</v>
      </c>
    </row>
    <row r="822" spans="1:14" hidden="1" outlineLevel="2" x14ac:dyDescent="0.35">
      <c r="A822" s="388" t="s">
        <v>4702</v>
      </c>
      <c r="B822" s="389">
        <v>44407</v>
      </c>
      <c r="C822" s="390" t="s">
        <v>4559</v>
      </c>
      <c r="D822" s="391" t="s">
        <v>4560</v>
      </c>
      <c r="E822" s="391" t="s">
        <v>4042</v>
      </c>
      <c r="F822" s="392">
        <v>5194.5946199999998</v>
      </c>
      <c r="G822" s="393" t="s">
        <v>3800</v>
      </c>
      <c r="H822" s="394">
        <v>1.932869357738237</v>
      </c>
      <c r="I822" s="394"/>
      <c r="J822" s="392"/>
      <c r="K822" s="392"/>
      <c r="L822" s="392"/>
      <c r="M822" s="392"/>
      <c r="N822" s="392">
        <f t="shared" si="23"/>
        <v>1.932869357738237</v>
      </c>
    </row>
    <row r="823" spans="1:14" hidden="1" outlineLevel="2" x14ac:dyDescent="0.35">
      <c r="A823" s="388" t="s">
        <v>4702</v>
      </c>
      <c r="B823" s="389">
        <v>44407</v>
      </c>
      <c r="C823" s="390" t="s">
        <v>4555</v>
      </c>
      <c r="D823" s="391" t="s">
        <v>4556</v>
      </c>
      <c r="E823" s="391" t="s">
        <v>4709</v>
      </c>
      <c r="F823" s="392">
        <v>865765.77</v>
      </c>
      <c r="G823" s="393" t="s">
        <v>3800</v>
      </c>
      <c r="H823" s="394">
        <v>322.14489295637287</v>
      </c>
      <c r="I823" s="394"/>
      <c r="J823" s="392"/>
      <c r="K823" s="392"/>
      <c r="L823" s="392"/>
      <c r="M823" s="392"/>
      <c r="N823" s="392">
        <f t="shared" si="23"/>
        <v>322.14489295637287</v>
      </c>
    </row>
    <row r="824" spans="1:14" hidden="1" outlineLevel="2" x14ac:dyDescent="0.35">
      <c r="A824" s="388" t="s">
        <v>4702</v>
      </c>
      <c r="B824" s="389">
        <v>44407</v>
      </c>
      <c r="C824" s="390" t="s">
        <v>4557</v>
      </c>
      <c r="D824" s="391" t="s">
        <v>4558</v>
      </c>
      <c r="E824" s="391" t="s">
        <v>4272</v>
      </c>
      <c r="F824" s="392">
        <v>86576.577000000005</v>
      </c>
      <c r="G824" s="393" t="s">
        <v>3800</v>
      </c>
      <c r="H824" s="394">
        <v>32.214489295637286</v>
      </c>
      <c r="I824" s="394"/>
      <c r="J824" s="392"/>
      <c r="K824" s="392"/>
      <c r="L824" s="392"/>
      <c r="M824" s="392"/>
      <c r="N824" s="392">
        <f t="shared" si="23"/>
        <v>32.214489295637286</v>
      </c>
    </row>
    <row r="825" spans="1:14" hidden="1" outlineLevel="2" x14ac:dyDescent="0.35">
      <c r="A825" s="388" t="s">
        <v>4702</v>
      </c>
      <c r="B825" s="389">
        <v>44407</v>
      </c>
      <c r="C825" s="390" t="s">
        <v>4559</v>
      </c>
      <c r="D825" s="391" t="s">
        <v>4560</v>
      </c>
      <c r="E825" s="391" t="s">
        <v>4042</v>
      </c>
      <c r="F825" s="392">
        <v>5194.5946199999998</v>
      </c>
      <c r="G825" s="393" t="s">
        <v>3800</v>
      </c>
      <c r="H825" s="394">
        <v>1.932869357738237</v>
      </c>
      <c r="I825" s="394"/>
      <c r="J825" s="392"/>
      <c r="K825" s="392"/>
      <c r="L825" s="392"/>
      <c r="M825" s="392"/>
      <c r="N825" s="392">
        <f t="shared" si="23"/>
        <v>1.932869357738237</v>
      </c>
    </row>
    <row r="826" spans="1:14" hidden="1" outlineLevel="2" x14ac:dyDescent="0.35">
      <c r="A826" s="388" t="s">
        <v>4702</v>
      </c>
      <c r="B826" s="389">
        <v>44407</v>
      </c>
      <c r="C826" s="390" t="s">
        <v>4555</v>
      </c>
      <c r="D826" s="391" t="s">
        <v>4556</v>
      </c>
      <c r="E826" s="391" t="s">
        <v>4710</v>
      </c>
      <c r="F826" s="392">
        <v>865765.77</v>
      </c>
      <c r="G826" s="393" t="s">
        <v>3800</v>
      </c>
      <c r="H826" s="394">
        <v>322.14489295637287</v>
      </c>
      <c r="I826" s="394"/>
      <c r="J826" s="392"/>
      <c r="K826" s="392"/>
      <c r="L826" s="392"/>
      <c r="M826" s="392"/>
      <c r="N826" s="392">
        <f t="shared" si="23"/>
        <v>322.14489295637287</v>
      </c>
    </row>
    <row r="827" spans="1:14" hidden="1" outlineLevel="2" x14ac:dyDescent="0.35">
      <c r="A827" s="388" t="s">
        <v>4702</v>
      </c>
      <c r="B827" s="389">
        <v>44407</v>
      </c>
      <c r="C827" s="390" t="s">
        <v>4557</v>
      </c>
      <c r="D827" s="391" t="s">
        <v>4558</v>
      </c>
      <c r="E827" s="391" t="s">
        <v>4272</v>
      </c>
      <c r="F827" s="392">
        <v>86576.577000000005</v>
      </c>
      <c r="G827" s="393" t="s">
        <v>3800</v>
      </c>
      <c r="H827" s="394">
        <v>32.214489295637286</v>
      </c>
      <c r="I827" s="394"/>
      <c r="J827" s="392"/>
      <c r="K827" s="392"/>
      <c r="L827" s="392"/>
      <c r="M827" s="392"/>
      <c r="N827" s="392">
        <f t="shared" si="23"/>
        <v>32.214489295637286</v>
      </c>
    </row>
    <row r="828" spans="1:14" hidden="1" outlineLevel="2" x14ac:dyDescent="0.35">
      <c r="A828" s="388" t="s">
        <v>4702</v>
      </c>
      <c r="B828" s="389">
        <v>44407</v>
      </c>
      <c r="C828" s="390" t="s">
        <v>4559</v>
      </c>
      <c r="D828" s="391" t="s">
        <v>4560</v>
      </c>
      <c r="E828" s="391" t="s">
        <v>4042</v>
      </c>
      <c r="F828" s="392">
        <v>5194.5946199999998</v>
      </c>
      <c r="G828" s="393" t="s">
        <v>3800</v>
      </c>
      <c r="H828" s="394">
        <v>1.932869357738237</v>
      </c>
      <c r="I828" s="394"/>
      <c r="J828" s="392"/>
      <c r="K828" s="392"/>
      <c r="L828" s="392"/>
      <c r="M828" s="392"/>
      <c r="N828" s="392">
        <f t="shared" si="23"/>
        <v>1.932869357738237</v>
      </c>
    </row>
    <row r="829" spans="1:14" hidden="1" outlineLevel="2" x14ac:dyDescent="0.35">
      <c r="A829" s="388" t="s">
        <v>4702</v>
      </c>
      <c r="B829" s="389">
        <v>44407</v>
      </c>
      <c r="C829" s="390" t="s">
        <v>4555</v>
      </c>
      <c r="D829" s="391" t="s">
        <v>4556</v>
      </c>
      <c r="E829" s="391" t="s">
        <v>4711</v>
      </c>
      <c r="F829" s="392">
        <v>865765.77</v>
      </c>
      <c r="G829" s="393" t="s">
        <v>3800</v>
      </c>
      <c r="H829" s="394">
        <v>322.14489295637287</v>
      </c>
      <c r="I829" s="394"/>
      <c r="J829" s="392"/>
      <c r="K829" s="392"/>
      <c r="L829" s="392"/>
      <c r="M829" s="392"/>
      <c r="N829" s="392">
        <f t="shared" si="23"/>
        <v>322.14489295637287</v>
      </c>
    </row>
    <row r="830" spans="1:14" hidden="1" outlineLevel="2" x14ac:dyDescent="0.35">
      <c r="A830" s="388" t="s">
        <v>4702</v>
      </c>
      <c r="B830" s="389">
        <v>44407</v>
      </c>
      <c r="C830" s="390" t="s">
        <v>4557</v>
      </c>
      <c r="D830" s="391" t="s">
        <v>4558</v>
      </c>
      <c r="E830" s="391" t="s">
        <v>4272</v>
      </c>
      <c r="F830" s="392">
        <v>86576.577000000005</v>
      </c>
      <c r="G830" s="393" t="s">
        <v>3800</v>
      </c>
      <c r="H830" s="394">
        <v>32.214489295637286</v>
      </c>
      <c r="I830" s="394"/>
      <c r="J830" s="392"/>
      <c r="K830" s="392"/>
      <c r="L830" s="392"/>
      <c r="M830" s="392"/>
      <c r="N830" s="392">
        <f t="shared" si="23"/>
        <v>32.214489295637286</v>
      </c>
    </row>
    <row r="831" spans="1:14" hidden="1" outlineLevel="2" x14ac:dyDescent="0.35">
      <c r="A831" s="388" t="s">
        <v>4702</v>
      </c>
      <c r="B831" s="389">
        <v>44407</v>
      </c>
      <c r="C831" s="390" t="s">
        <v>4559</v>
      </c>
      <c r="D831" s="391" t="s">
        <v>4560</v>
      </c>
      <c r="E831" s="391" t="s">
        <v>4042</v>
      </c>
      <c r="F831" s="392">
        <v>5194.5946199999998</v>
      </c>
      <c r="G831" s="393" t="s">
        <v>3800</v>
      </c>
      <c r="H831" s="394">
        <v>1.932869357738237</v>
      </c>
      <c r="I831" s="394"/>
      <c r="J831" s="392"/>
      <c r="K831" s="392"/>
      <c r="L831" s="392"/>
      <c r="M831" s="392"/>
      <c r="N831" s="392">
        <f t="shared" si="23"/>
        <v>1.932869357738237</v>
      </c>
    </row>
    <row r="832" spans="1:14" hidden="1" outlineLevel="2" x14ac:dyDescent="0.35">
      <c r="A832" s="388" t="s">
        <v>4702</v>
      </c>
      <c r="B832" s="389">
        <v>44407</v>
      </c>
      <c r="C832" s="390" t="s">
        <v>4555</v>
      </c>
      <c r="D832" s="391" t="s">
        <v>4556</v>
      </c>
      <c r="E832" s="391" t="s">
        <v>4712</v>
      </c>
      <c r="F832" s="392">
        <v>865765.77</v>
      </c>
      <c r="G832" s="393" t="s">
        <v>3800</v>
      </c>
      <c r="H832" s="394">
        <v>322.14489295637287</v>
      </c>
      <c r="I832" s="394"/>
      <c r="J832" s="392"/>
      <c r="K832" s="392"/>
      <c r="L832" s="392"/>
      <c r="M832" s="392"/>
      <c r="N832" s="392">
        <f t="shared" si="23"/>
        <v>322.14489295637287</v>
      </c>
    </row>
    <row r="833" spans="1:14" hidden="1" outlineLevel="2" x14ac:dyDescent="0.35">
      <c r="A833" s="388" t="s">
        <v>4702</v>
      </c>
      <c r="B833" s="389">
        <v>44407</v>
      </c>
      <c r="C833" s="390" t="s">
        <v>4557</v>
      </c>
      <c r="D833" s="391" t="s">
        <v>4558</v>
      </c>
      <c r="E833" s="391" t="s">
        <v>4272</v>
      </c>
      <c r="F833" s="392">
        <v>86576.577000000005</v>
      </c>
      <c r="G833" s="393" t="s">
        <v>3800</v>
      </c>
      <c r="H833" s="394">
        <v>32.214489295637286</v>
      </c>
      <c r="I833" s="394"/>
      <c r="J833" s="392"/>
      <c r="K833" s="392"/>
      <c r="L833" s="392"/>
      <c r="M833" s="392"/>
      <c r="N833" s="392">
        <f t="shared" si="23"/>
        <v>32.214489295637286</v>
      </c>
    </row>
    <row r="834" spans="1:14" hidden="1" outlineLevel="2" x14ac:dyDescent="0.35">
      <c r="A834" s="388" t="s">
        <v>4702</v>
      </c>
      <c r="B834" s="389">
        <v>44407</v>
      </c>
      <c r="C834" s="390" t="s">
        <v>4559</v>
      </c>
      <c r="D834" s="391" t="s">
        <v>4560</v>
      </c>
      <c r="E834" s="391" t="s">
        <v>4042</v>
      </c>
      <c r="F834" s="392">
        <v>5194.5946199999998</v>
      </c>
      <c r="G834" s="393" t="s">
        <v>3800</v>
      </c>
      <c r="H834" s="394">
        <v>1.932869357738237</v>
      </c>
      <c r="I834" s="394"/>
      <c r="J834" s="392"/>
      <c r="K834" s="392"/>
      <c r="L834" s="392"/>
      <c r="M834" s="392"/>
      <c r="N834" s="392">
        <f t="shared" si="23"/>
        <v>1.932869357738237</v>
      </c>
    </row>
    <row r="835" spans="1:14" hidden="1" outlineLevel="2" x14ac:dyDescent="0.35">
      <c r="A835" s="388" t="s">
        <v>4702</v>
      </c>
      <c r="B835" s="389">
        <v>44407</v>
      </c>
      <c r="C835" s="390" t="s">
        <v>4555</v>
      </c>
      <c r="D835" s="391" t="s">
        <v>4556</v>
      </c>
      <c r="E835" s="391" t="s">
        <v>4713</v>
      </c>
      <c r="F835" s="392">
        <v>865765.77</v>
      </c>
      <c r="G835" s="393" t="s">
        <v>3800</v>
      </c>
      <c r="H835" s="394">
        <v>322.14489295637287</v>
      </c>
      <c r="I835" s="394"/>
      <c r="J835" s="392"/>
      <c r="K835" s="392"/>
      <c r="L835" s="392"/>
      <c r="M835" s="392"/>
      <c r="N835" s="392">
        <f t="shared" si="23"/>
        <v>322.14489295637287</v>
      </c>
    </row>
    <row r="836" spans="1:14" hidden="1" outlineLevel="2" x14ac:dyDescent="0.35">
      <c r="A836" s="388" t="s">
        <v>4702</v>
      </c>
      <c r="B836" s="389">
        <v>44407</v>
      </c>
      <c r="C836" s="390" t="s">
        <v>4557</v>
      </c>
      <c r="D836" s="391" t="s">
        <v>4558</v>
      </c>
      <c r="E836" s="391" t="s">
        <v>4272</v>
      </c>
      <c r="F836" s="392">
        <v>86576.577000000005</v>
      </c>
      <c r="G836" s="393" t="s">
        <v>3800</v>
      </c>
      <c r="H836" s="394">
        <v>32.214489295637286</v>
      </c>
      <c r="I836" s="394"/>
      <c r="J836" s="392"/>
      <c r="K836" s="392"/>
      <c r="L836" s="392"/>
      <c r="M836" s="392"/>
      <c r="N836" s="392">
        <f t="shared" si="23"/>
        <v>32.214489295637286</v>
      </c>
    </row>
    <row r="837" spans="1:14" hidden="1" outlineLevel="2" x14ac:dyDescent="0.35">
      <c r="A837" s="388" t="s">
        <v>4702</v>
      </c>
      <c r="B837" s="389">
        <v>44407</v>
      </c>
      <c r="C837" s="390" t="s">
        <v>4559</v>
      </c>
      <c r="D837" s="391" t="s">
        <v>4560</v>
      </c>
      <c r="E837" s="391" t="s">
        <v>4042</v>
      </c>
      <c r="F837" s="392">
        <v>5194.5946199999998</v>
      </c>
      <c r="G837" s="393" t="s">
        <v>3800</v>
      </c>
      <c r="H837" s="394">
        <v>1.932869357738237</v>
      </c>
      <c r="I837" s="394"/>
      <c r="J837" s="392"/>
      <c r="K837" s="392"/>
      <c r="L837" s="392"/>
      <c r="M837" s="392"/>
      <c r="N837" s="392">
        <f t="shared" si="23"/>
        <v>1.932869357738237</v>
      </c>
    </row>
    <row r="838" spans="1:14" hidden="1" outlineLevel="2" x14ac:dyDescent="0.35">
      <c r="A838" s="388" t="s">
        <v>4702</v>
      </c>
      <c r="B838" s="389">
        <v>44407</v>
      </c>
      <c r="C838" s="390" t="s">
        <v>4555</v>
      </c>
      <c r="D838" s="391" t="s">
        <v>4556</v>
      </c>
      <c r="E838" s="391" t="s">
        <v>4714</v>
      </c>
      <c r="F838" s="392">
        <v>865765.77</v>
      </c>
      <c r="G838" s="393" t="s">
        <v>3800</v>
      </c>
      <c r="H838" s="394">
        <v>322.14489295637287</v>
      </c>
      <c r="I838" s="394"/>
      <c r="J838" s="392"/>
      <c r="K838" s="392"/>
      <c r="L838" s="392"/>
      <c r="M838" s="392"/>
      <c r="N838" s="392">
        <f t="shared" si="23"/>
        <v>322.14489295637287</v>
      </c>
    </row>
    <row r="839" spans="1:14" hidden="1" outlineLevel="2" collapsed="1" x14ac:dyDescent="0.35">
      <c r="A839" s="388" t="s">
        <v>4702</v>
      </c>
      <c r="B839" s="389">
        <v>44407</v>
      </c>
      <c r="C839" s="390" t="s">
        <v>4557</v>
      </c>
      <c r="D839" s="391" t="s">
        <v>4558</v>
      </c>
      <c r="E839" s="391" t="s">
        <v>4272</v>
      </c>
      <c r="F839" s="392">
        <v>86576.577000000005</v>
      </c>
      <c r="G839" s="393" t="s">
        <v>3800</v>
      </c>
      <c r="H839" s="394">
        <v>32.214489295637286</v>
      </c>
      <c r="I839" s="394"/>
      <c r="J839" s="392"/>
      <c r="K839" s="392"/>
      <c r="L839" s="392"/>
      <c r="M839" s="392"/>
      <c r="N839" s="392">
        <f t="shared" si="23"/>
        <v>32.214489295637286</v>
      </c>
    </row>
    <row r="840" spans="1:14" hidden="1" outlineLevel="2" x14ac:dyDescent="0.35">
      <c r="A840" s="388" t="s">
        <v>4702</v>
      </c>
      <c r="B840" s="389">
        <v>44407</v>
      </c>
      <c r="C840" s="390" t="s">
        <v>4559</v>
      </c>
      <c r="D840" s="391" t="s">
        <v>4560</v>
      </c>
      <c r="E840" s="391" t="s">
        <v>4042</v>
      </c>
      <c r="F840" s="392">
        <v>5194.5946199999998</v>
      </c>
      <c r="G840" s="393" t="s">
        <v>3800</v>
      </c>
      <c r="H840" s="394">
        <v>1.932869357738237</v>
      </c>
      <c r="I840" s="394"/>
      <c r="J840" s="392"/>
      <c r="K840" s="392"/>
      <c r="L840" s="392"/>
      <c r="M840" s="392"/>
      <c r="N840" s="392">
        <f t="shared" si="23"/>
        <v>1.932869357738237</v>
      </c>
    </row>
    <row r="841" spans="1:14" hidden="1" outlineLevel="2" x14ac:dyDescent="0.35">
      <c r="A841" s="388" t="s">
        <v>4702</v>
      </c>
      <c r="B841" s="389">
        <v>44407</v>
      </c>
      <c r="C841" s="390" t="s">
        <v>4555</v>
      </c>
      <c r="D841" s="391" t="s">
        <v>4556</v>
      </c>
      <c r="E841" s="391" t="s">
        <v>4715</v>
      </c>
      <c r="F841" s="392">
        <v>865765.77</v>
      </c>
      <c r="G841" s="393" t="s">
        <v>3800</v>
      </c>
      <c r="H841" s="394">
        <v>322.14489295637287</v>
      </c>
      <c r="I841" s="394"/>
      <c r="J841" s="392"/>
      <c r="K841" s="392"/>
      <c r="L841" s="392"/>
      <c r="M841" s="392"/>
      <c r="N841" s="392">
        <f t="shared" si="23"/>
        <v>322.14489295637287</v>
      </c>
    </row>
    <row r="842" spans="1:14" hidden="1" outlineLevel="2" x14ac:dyDescent="0.35">
      <c r="A842" s="388" t="s">
        <v>4702</v>
      </c>
      <c r="B842" s="389">
        <v>44407</v>
      </c>
      <c r="C842" s="390" t="s">
        <v>4557</v>
      </c>
      <c r="D842" s="391" t="s">
        <v>4558</v>
      </c>
      <c r="E842" s="391" t="s">
        <v>4272</v>
      </c>
      <c r="F842" s="392">
        <v>86576.577000000005</v>
      </c>
      <c r="G842" s="393" t="s">
        <v>3800</v>
      </c>
      <c r="H842" s="394">
        <v>32.214489295637286</v>
      </c>
      <c r="I842" s="394"/>
      <c r="J842" s="392"/>
      <c r="K842" s="392"/>
      <c r="L842" s="392"/>
      <c r="M842" s="392"/>
      <c r="N842" s="392">
        <f t="shared" si="23"/>
        <v>32.214489295637286</v>
      </c>
    </row>
    <row r="843" spans="1:14" hidden="1" outlineLevel="2" x14ac:dyDescent="0.35">
      <c r="A843" s="388" t="s">
        <v>4702</v>
      </c>
      <c r="B843" s="389">
        <v>44407</v>
      </c>
      <c r="C843" s="390" t="s">
        <v>4559</v>
      </c>
      <c r="D843" s="391" t="s">
        <v>4560</v>
      </c>
      <c r="E843" s="391" t="s">
        <v>4042</v>
      </c>
      <c r="F843" s="392">
        <v>5194.5946199999998</v>
      </c>
      <c r="G843" s="393" t="s">
        <v>3800</v>
      </c>
      <c r="H843" s="394">
        <v>1.932869357738237</v>
      </c>
      <c r="I843" s="394"/>
      <c r="J843" s="392"/>
      <c r="K843" s="392"/>
      <c r="L843" s="392"/>
      <c r="M843" s="392"/>
      <c r="N843" s="392">
        <f t="shared" si="23"/>
        <v>1.932869357738237</v>
      </c>
    </row>
    <row r="844" spans="1:14" hidden="1" outlineLevel="2" x14ac:dyDescent="0.35">
      <c r="A844" s="388" t="s">
        <v>4702</v>
      </c>
      <c r="B844" s="389">
        <v>44407</v>
      </c>
      <c r="C844" s="390" t="s">
        <v>4555</v>
      </c>
      <c r="D844" s="391" t="s">
        <v>4556</v>
      </c>
      <c r="E844" s="391" t="s">
        <v>4716</v>
      </c>
      <c r="F844" s="392">
        <v>865765.77</v>
      </c>
      <c r="G844" s="393" t="s">
        <v>3800</v>
      </c>
      <c r="H844" s="394">
        <v>322.14489295637287</v>
      </c>
      <c r="I844" s="394"/>
      <c r="J844" s="392"/>
      <c r="K844" s="392"/>
      <c r="L844" s="392"/>
      <c r="M844" s="392"/>
      <c r="N844" s="392">
        <f t="shared" si="23"/>
        <v>322.14489295637287</v>
      </c>
    </row>
    <row r="845" spans="1:14" hidden="1" outlineLevel="2" x14ac:dyDescent="0.35">
      <c r="A845" s="388" t="s">
        <v>4702</v>
      </c>
      <c r="B845" s="389">
        <v>44407</v>
      </c>
      <c r="C845" s="390" t="s">
        <v>4557</v>
      </c>
      <c r="D845" s="391" t="s">
        <v>4558</v>
      </c>
      <c r="E845" s="391" t="s">
        <v>4272</v>
      </c>
      <c r="F845" s="392">
        <v>86576.577000000005</v>
      </c>
      <c r="G845" s="393" t="s">
        <v>3800</v>
      </c>
      <c r="H845" s="394">
        <v>32.214489295637286</v>
      </c>
      <c r="I845" s="394"/>
      <c r="J845" s="392"/>
      <c r="K845" s="392"/>
      <c r="L845" s="392"/>
      <c r="M845" s="392"/>
      <c r="N845" s="392">
        <f t="shared" si="23"/>
        <v>32.214489295637286</v>
      </c>
    </row>
    <row r="846" spans="1:14" hidden="1" outlineLevel="2" x14ac:dyDescent="0.35">
      <c r="A846" s="388" t="s">
        <v>4702</v>
      </c>
      <c r="B846" s="389">
        <v>44407</v>
      </c>
      <c r="C846" s="390" t="s">
        <v>4559</v>
      </c>
      <c r="D846" s="391" t="s">
        <v>4560</v>
      </c>
      <c r="E846" s="391" t="s">
        <v>4042</v>
      </c>
      <c r="F846" s="392">
        <v>5194.5946199999998</v>
      </c>
      <c r="G846" s="393" t="s">
        <v>3800</v>
      </c>
      <c r="H846" s="394">
        <v>1.932869357738237</v>
      </c>
      <c r="I846" s="394"/>
      <c r="J846" s="392"/>
      <c r="K846" s="392"/>
      <c r="L846" s="392"/>
      <c r="M846" s="392"/>
      <c r="N846" s="392">
        <f t="shared" si="23"/>
        <v>1.932869357738237</v>
      </c>
    </row>
    <row r="847" spans="1:14" hidden="1" outlineLevel="2" x14ac:dyDescent="0.35">
      <c r="A847" s="388" t="s">
        <v>4702</v>
      </c>
      <c r="B847" s="389">
        <v>44407</v>
      </c>
      <c r="C847" s="390" t="s">
        <v>4555</v>
      </c>
      <c r="D847" s="391" t="s">
        <v>4556</v>
      </c>
      <c r="E847" s="391" t="s">
        <v>4717</v>
      </c>
      <c r="F847" s="392">
        <v>865765.77</v>
      </c>
      <c r="G847" s="393" t="s">
        <v>3800</v>
      </c>
      <c r="H847" s="394">
        <v>322.14489295637287</v>
      </c>
      <c r="I847" s="394"/>
      <c r="J847" s="392"/>
      <c r="K847" s="392"/>
      <c r="L847" s="392"/>
      <c r="M847" s="392"/>
      <c r="N847" s="392">
        <f t="shared" si="23"/>
        <v>322.14489295637287</v>
      </c>
    </row>
    <row r="848" spans="1:14" hidden="1" outlineLevel="2" x14ac:dyDescent="0.35">
      <c r="A848" s="388" t="s">
        <v>4702</v>
      </c>
      <c r="B848" s="389">
        <v>44407</v>
      </c>
      <c r="C848" s="390" t="s">
        <v>4557</v>
      </c>
      <c r="D848" s="391" t="s">
        <v>4558</v>
      </c>
      <c r="E848" s="391" t="s">
        <v>4272</v>
      </c>
      <c r="F848" s="392">
        <v>86576.577000000005</v>
      </c>
      <c r="G848" s="393" t="s">
        <v>3800</v>
      </c>
      <c r="H848" s="394">
        <v>32.214489295637286</v>
      </c>
      <c r="I848" s="394"/>
      <c r="J848" s="392"/>
      <c r="K848" s="392"/>
      <c r="L848" s="392"/>
      <c r="M848" s="392"/>
      <c r="N848" s="392">
        <f t="shared" si="23"/>
        <v>32.214489295637286</v>
      </c>
    </row>
    <row r="849" spans="1:14" hidden="1" outlineLevel="2" x14ac:dyDescent="0.35">
      <c r="A849" s="388" t="s">
        <v>4702</v>
      </c>
      <c r="B849" s="389">
        <v>44407</v>
      </c>
      <c r="C849" s="390" t="s">
        <v>4559</v>
      </c>
      <c r="D849" s="391" t="s">
        <v>4560</v>
      </c>
      <c r="E849" s="391" t="s">
        <v>4042</v>
      </c>
      <c r="F849" s="392">
        <v>5194.5946199999998</v>
      </c>
      <c r="G849" s="393" t="s">
        <v>3800</v>
      </c>
      <c r="H849" s="394">
        <v>1.932869357738237</v>
      </c>
      <c r="I849" s="394"/>
      <c r="J849" s="392"/>
      <c r="K849" s="392"/>
      <c r="L849" s="392"/>
      <c r="M849" s="392"/>
      <c r="N849" s="392">
        <f t="shared" si="23"/>
        <v>1.932869357738237</v>
      </c>
    </row>
    <row r="850" spans="1:14" hidden="1" outlineLevel="2" x14ac:dyDescent="0.35">
      <c r="A850" s="388" t="s">
        <v>4702</v>
      </c>
      <c r="B850" s="389">
        <v>44407</v>
      </c>
      <c r="C850" s="390" t="s">
        <v>4555</v>
      </c>
      <c r="D850" s="391" t="s">
        <v>4556</v>
      </c>
      <c r="E850" s="391" t="s">
        <v>4718</v>
      </c>
      <c r="F850" s="392">
        <v>865765.77</v>
      </c>
      <c r="G850" s="393" t="s">
        <v>3800</v>
      </c>
      <c r="H850" s="394">
        <v>322.14489295637287</v>
      </c>
      <c r="I850" s="394"/>
      <c r="J850" s="392"/>
      <c r="K850" s="392"/>
      <c r="L850" s="392"/>
      <c r="M850" s="392"/>
      <c r="N850" s="392">
        <f t="shared" si="23"/>
        <v>322.14489295637287</v>
      </c>
    </row>
    <row r="851" spans="1:14" hidden="1" outlineLevel="2" x14ac:dyDescent="0.35">
      <c r="A851" s="388" t="s">
        <v>4702</v>
      </c>
      <c r="B851" s="389">
        <v>44407</v>
      </c>
      <c r="C851" s="390" t="s">
        <v>4557</v>
      </c>
      <c r="D851" s="391" t="s">
        <v>4558</v>
      </c>
      <c r="E851" s="391" t="s">
        <v>4272</v>
      </c>
      <c r="F851" s="392">
        <v>86576.577000000005</v>
      </c>
      <c r="G851" s="393" t="s">
        <v>3800</v>
      </c>
      <c r="H851" s="394">
        <v>32.214489295637286</v>
      </c>
      <c r="I851" s="394"/>
      <c r="J851" s="392"/>
      <c r="K851" s="392"/>
      <c r="L851" s="392"/>
      <c r="M851" s="392"/>
      <c r="N851" s="392">
        <f t="shared" si="23"/>
        <v>32.214489295637286</v>
      </c>
    </row>
    <row r="852" spans="1:14" hidden="1" outlineLevel="2" x14ac:dyDescent="0.35">
      <c r="A852" s="388" t="s">
        <v>4702</v>
      </c>
      <c r="B852" s="389">
        <v>44407</v>
      </c>
      <c r="C852" s="390" t="s">
        <v>4559</v>
      </c>
      <c r="D852" s="391" t="s">
        <v>4560</v>
      </c>
      <c r="E852" s="391" t="s">
        <v>4042</v>
      </c>
      <c r="F852" s="392">
        <v>5194.5946199999998</v>
      </c>
      <c r="G852" s="393" t="s">
        <v>3800</v>
      </c>
      <c r="H852" s="394">
        <v>1.932869357738237</v>
      </c>
      <c r="I852" s="394"/>
      <c r="J852" s="392"/>
      <c r="K852" s="392"/>
      <c r="L852" s="392"/>
      <c r="M852" s="392"/>
      <c r="N852" s="392">
        <f t="shared" si="23"/>
        <v>1.932869357738237</v>
      </c>
    </row>
    <row r="853" spans="1:14" hidden="1" outlineLevel="2" x14ac:dyDescent="0.35">
      <c r="A853" s="388" t="s">
        <v>4702</v>
      </c>
      <c r="B853" s="389">
        <v>44407</v>
      </c>
      <c r="C853" s="390" t="s">
        <v>4555</v>
      </c>
      <c r="D853" s="391" t="s">
        <v>4556</v>
      </c>
      <c r="E853" s="391" t="s">
        <v>4722</v>
      </c>
      <c r="F853" s="392">
        <v>432882.88500000001</v>
      </c>
      <c r="G853" s="393" t="s">
        <v>3800</v>
      </c>
      <c r="H853" s="394">
        <v>161.07244647818644</v>
      </c>
      <c r="I853" s="394"/>
      <c r="J853" s="392"/>
      <c r="K853" s="392"/>
      <c r="L853" s="392"/>
      <c r="M853" s="392"/>
      <c r="N853" s="392">
        <f t="shared" si="23"/>
        <v>161.07244647818644</v>
      </c>
    </row>
    <row r="854" spans="1:14" hidden="1" outlineLevel="2" x14ac:dyDescent="0.35">
      <c r="A854" s="388" t="s">
        <v>4702</v>
      </c>
      <c r="B854" s="389">
        <v>44407</v>
      </c>
      <c r="C854" s="390" t="s">
        <v>4557</v>
      </c>
      <c r="D854" s="391" t="s">
        <v>4558</v>
      </c>
      <c r="E854" s="391" t="s">
        <v>4272</v>
      </c>
      <c r="F854" s="392">
        <v>43288.288500000002</v>
      </c>
      <c r="G854" s="393" t="s">
        <v>3800</v>
      </c>
      <c r="H854" s="394">
        <v>16.107244647818643</v>
      </c>
      <c r="I854" s="394"/>
      <c r="J854" s="392"/>
      <c r="K854" s="392"/>
      <c r="L854" s="392"/>
      <c r="M854" s="392"/>
      <c r="N854" s="392">
        <f t="shared" si="23"/>
        <v>16.107244647818643</v>
      </c>
    </row>
    <row r="855" spans="1:14" hidden="1" outlineLevel="2" x14ac:dyDescent="0.35">
      <c r="A855" s="388" t="s">
        <v>4702</v>
      </c>
      <c r="B855" s="389">
        <v>44407</v>
      </c>
      <c r="C855" s="390" t="s">
        <v>4559</v>
      </c>
      <c r="D855" s="391" t="s">
        <v>4560</v>
      </c>
      <c r="E855" s="391" t="s">
        <v>4042</v>
      </c>
      <c r="F855" s="392">
        <v>2597.2973099999999</v>
      </c>
      <c r="G855" s="393" t="s">
        <v>3800</v>
      </c>
      <c r="H855" s="394">
        <v>0.96643467886911849</v>
      </c>
      <c r="I855" s="394"/>
      <c r="J855" s="392"/>
      <c r="K855" s="392"/>
      <c r="L855" s="392"/>
      <c r="M855" s="392"/>
      <c r="N855" s="392">
        <f t="shared" si="23"/>
        <v>0.96643467886911849</v>
      </c>
    </row>
    <row r="856" spans="1:14" hidden="1" outlineLevel="2" collapsed="1" x14ac:dyDescent="0.35">
      <c r="A856" s="388" t="s">
        <v>4702</v>
      </c>
      <c r="B856" s="389">
        <v>44438</v>
      </c>
      <c r="C856" s="390" t="s">
        <v>4561</v>
      </c>
      <c r="D856" s="391" t="s">
        <v>4562</v>
      </c>
      <c r="E856" s="391" t="s">
        <v>4703</v>
      </c>
      <c r="F856" s="392">
        <v>865765.77</v>
      </c>
      <c r="G856" s="393" t="s">
        <v>3800</v>
      </c>
      <c r="H856" s="394">
        <v>322.14489295637287</v>
      </c>
      <c r="I856" s="394"/>
      <c r="J856" s="392"/>
      <c r="K856" s="392"/>
      <c r="L856" s="392"/>
      <c r="M856" s="392"/>
      <c r="N856" s="392">
        <f t="shared" si="23"/>
        <v>322.14489295637287</v>
      </c>
    </row>
    <row r="857" spans="1:14" hidden="1" outlineLevel="2" x14ac:dyDescent="0.35">
      <c r="A857" s="388" t="s">
        <v>4702</v>
      </c>
      <c r="B857" s="389">
        <v>44438</v>
      </c>
      <c r="C857" s="390" t="s">
        <v>4564</v>
      </c>
      <c r="D857" s="391" t="s">
        <v>4565</v>
      </c>
      <c r="E857" s="391" t="s">
        <v>4272</v>
      </c>
      <c r="F857" s="392">
        <v>86576.577000000005</v>
      </c>
      <c r="G857" s="393" t="s">
        <v>3800</v>
      </c>
      <c r="H857" s="394">
        <v>32.214489295637286</v>
      </c>
      <c r="I857" s="394"/>
      <c r="J857" s="392"/>
      <c r="K857" s="392"/>
      <c r="L857" s="392"/>
      <c r="M857" s="392"/>
      <c r="N857" s="392">
        <f t="shared" si="23"/>
        <v>32.214489295637286</v>
      </c>
    </row>
    <row r="858" spans="1:14" hidden="1" outlineLevel="2" x14ac:dyDescent="0.35">
      <c r="A858" s="388" t="s">
        <v>4702</v>
      </c>
      <c r="B858" s="389">
        <v>44438</v>
      </c>
      <c r="C858" s="390" t="s">
        <v>4566</v>
      </c>
      <c r="D858" s="391" t="s">
        <v>4567</v>
      </c>
      <c r="E858" s="391" t="s">
        <v>4042</v>
      </c>
      <c r="F858" s="392">
        <v>5194.5946199999998</v>
      </c>
      <c r="G858" s="393" t="s">
        <v>3800</v>
      </c>
      <c r="H858" s="394">
        <v>1.932869357738237</v>
      </c>
      <c r="I858" s="394"/>
      <c r="J858" s="392"/>
      <c r="K858" s="392"/>
      <c r="L858" s="392"/>
      <c r="M858" s="392"/>
      <c r="N858" s="392">
        <f t="shared" si="23"/>
        <v>1.932869357738237</v>
      </c>
    </row>
    <row r="859" spans="1:14" hidden="1" outlineLevel="2" x14ac:dyDescent="0.35">
      <c r="A859" s="388" t="s">
        <v>4702</v>
      </c>
      <c r="B859" s="389">
        <v>44438</v>
      </c>
      <c r="C859" s="390" t="s">
        <v>4561</v>
      </c>
      <c r="D859" s="391" t="s">
        <v>4562</v>
      </c>
      <c r="E859" s="391" t="s">
        <v>4720</v>
      </c>
      <c r="F859" s="392">
        <v>865765.77</v>
      </c>
      <c r="G859" s="393" t="s">
        <v>3800</v>
      </c>
      <c r="H859" s="394">
        <v>322.14489295637287</v>
      </c>
      <c r="I859" s="394"/>
      <c r="J859" s="392"/>
      <c r="K859" s="392"/>
      <c r="L859" s="392"/>
      <c r="M859" s="392"/>
      <c r="N859" s="392">
        <f t="shared" si="23"/>
        <v>322.14489295637287</v>
      </c>
    </row>
    <row r="860" spans="1:14" hidden="1" outlineLevel="2" x14ac:dyDescent="0.35">
      <c r="A860" s="388" t="s">
        <v>4702</v>
      </c>
      <c r="B860" s="389">
        <v>44438</v>
      </c>
      <c r="C860" s="390" t="s">
        <v>4564</v>
      </c>
      <c r="D860" s="391" t="s">
        <v>4565</v>
      </c>
      <c r="E860" s="391" t="s">
        <v>4272</v>
      </c>
      <c r="F860" s="392">
        <v>86576.577000000005</v>
      </c>
      <c r="G860" s="393" t="s">
        <v>3800</v>
      </c>
      <c r="H860" s="394">
        <v>32.214489295637286</v>
      </c>
      <c r="I860" s="394"/>
      <c r="J860" s="392"/>
      <c r="K860" s="392"/>
      <c r="L860" s="392"/>
      <c r="M860" s="392"/>
      <c r="N860" s="392">
        <f t="shared" si="23"/>
        <v>32.214489295637286</v>
      </c>
    </row>
    <row r="861" spans="1:14" hidden="1" outlineLevel="2" x14ac:dyDescent="0.35">
      <c r="A861" s="388" t="s">
        <v>4702</v>
      </c>
      <c r="B861" s="389">
        <v>44438</v>
      </c>
      <c r="C861" s="390" t="s">
        <v>4566</v>
      </c>
      <c r="D861" s="391" t="s">
        <v>4567</v>
      </c>
      <c r="E861" s="391" t="s">
        <v>4042</v>
      </c>
      <c r="F861" s="392">
        <v>5194.5946199999998</v>
      </c>
      <c r="G861" s="393" t="s">
        <v>3800</v>
      </c>
      <c r="H861" s="394">
        <v>1.932869357738237</v>
      </c>
      <c r="I861" s="394"/>
      <c r="J861" s="392"/>
      <c r="K861" s="392"/>
      <c r="L861" s="392"/>
      <c r="M861" s="392"/>
      <c r="N861" s="392">
        <f t="shared" si="23"/>
        <v>1.932869357738237</v>
      </c>
    </row>
    <row r="862" spans="1:14" hidden="1" outlineLevel="2" x14ac:dyDescent="0.35">
      <c r="A862" s="388" t="s">
        <v>4702</v>
      </c>
      <c r="B862" s="389">
        <v>44438</v>
      </c>
      <c r="C862" s="390" t="s">
        <v>4561</v>
      </c>
      <c r="D862" s="391" t="s">
        <v>4562</v>
      </c>
      <c r="E862" s="391" t="s">
        <v>4721</v>
      </c>
      <c r="F862" s="392">
        <v>865765.77</v>
      </c>
      <c r="G862" s="393" t="s">
        <v>3800</v>
      </c>
      <c r="H862" s="394">
        <v>322.14489295637287</v>
      </c>
      <c r="I862" s="394"/>
      <c r="J862" s="392"/>
      <c r="K862" s="392"/>
      <c r="L862" s="392"/>
      <c r="M862" s="392"/>
      <c r="N862" s="392">
        <f t="shared" si="23"/>
        <v>322.14489295637287</v>
      </c>
    </row>
    <row r="863" spans="1:14" hidden="1" outlineLevel="2" x14ac:dyDescent="0.35">
      <c r="A863" s="388" t="s">
        <v>4702</v>
      </c>
      <c r="B863" s="389">
        <v>44438</v>
      </c>
      <c r="C863" s="390" t="s">
        <v>4564</v>
      </c>
      <c r="D863" s="391" t="s">
        <v>4565</v>
      </c>
      <c r="E863" s="391" t="s">
        <v>4272</v>
      </c>
      <c r="F863" s="392">
        <v>86576.577000000005</v>
      </c>
      <c r="G863" s="393" t="s">
        <v>3800</v>
      </c>
      <c r="H863" s="394">
        <v>32.214489295637286</v>
      </c>
      <c r="I863" s="394"/>
      <c r="J863" s="392"/>
      <c r="K863" s="392"/>
      <c r="L863" s="392"/>
      <c r="M863" s="392"/>
      <c r="N863" s="392">
        <f t="shared" si="23"/>
        <v>32.214489295637286</v>
      </c>
    </row>
    <row r="864" spans="1:14" hidden="1" outlineLevel="2" x14ac:dyDescent="0.35">
      <c r="A864" s="388" t="s">
        <v>4702</v>
      </c>
      <c r="B864" s="389">
        <v>44438</v>
      </c>
      <c r="C864" s="390" t="s">
        <v>4566</v>
      </c>
      <c r="D864" s="391" t="s">
        <v>4567</v>
      </c>
      <c r="E864" s="391" t="s">
        <v>4042</v>
      </c>
      <c r="F864" s="392">
        <v>5194.5946199999998</v>
      </c>
      <c r="G864" s="393" t="s">
        <v>3800</v>
      </c>
      <c r="H864" s="394">
        <v>1.932869357738237</v>
      </c>
      <c r="I864" s="394"/>
      <c r="J864" s="392"/>
      <c r="K864" s="392"/>
      <c r="L864" s="392"/>
      <c r="M864" s="392"/>
      <c r="N864" s="392">
        <f t="shared" si="23"/>
        <v>1.932869357738237</v>
      </c>
    </row>
    <row r="865" spans="1:14" hidden="1" outlineLevel="2" x14ac:dyDescent="0.35">
      <c r="A865" s="388" t="s">
        <v>4702</v>
      </c>
      <c r="B865" s="389">
        <v>44438</v>
      </c>
      <c r="C865" s="390" t="s">
        <v>4561</v>
      </c>
      <c r="D865" s="391" t="s">
        <v>4562</v>
      </c>
      <c r="E865" s="391" t="s">
        <v>4706</v>
      </c>
      <c r="F865" s="392">
        <v>865765.77</v>
      </c>
      <c r="G865" s="393" t="s">
        <v>3800</v>
      </c>
      <c r="H865" s="394">
        <v>322.14489295637287</v>
      </c>
      <c r="I865" s="394"/>
      <c r="J865" s="392"/>
      <c r="K865" s="392"/>
      <c r="L865" s="392"/>
      <c r="M865" s="392"/>
      <c r="N865" s="392">
        <f t="shared" si="23"/>
        <v>322.14489295637287</v>
      </c>
    </row>
    <row r="866" spans="1:14" hidden="1" outlineLevel="2" x14ac:dyDescent="0.35">
      <c r="A866" s="388" t="s">
        <v>4702</v>
      </c>
      <c r="B866" s="389">
        <v>44438</v>
      </c>
      <c r="C866" s="390" t="s">
        <v>4564</v>
      </c>
      <c r="D866" s="391" t="s">
        <v>4565</v>
      </c>
      <c r="E866" s="391" t="s">
        <v>4272</v>
      </c>
      <c r="F866" s="392">
        <v>86576.577000000005</v>
      </c>
      <c r="G866" s="393" t="s">
        <v>3800</v>
      </c>
      <c r="H866" s="394">
        <v>32.214489295637286</v>
      </c>
      <c r="I866" s="394"/>
      <c r="J866" s="392"/>
      <c r="K866" s="392"/>
      <c r="L866" s="392"/>
      <c r="M866" s="392"/>
      <c r="N866" s="392">
        <f t="shared" si="23"/>
        <v>32.214489295637286</v>
      </c>
    </row>
    <row r="867" spans="1:14" hidden="1" outlineLevel="2" x14ac:dyDescent="0.35">
      <c r="A867" s="388" t="s">
        <v>4702</v>
      </c>
      <c r="B867" s="389">
        <v>44438</v>
      </c>
      <c r="C867" s="390" t="s">
        <v>4566</v>
      </c>
      <c r="D867" s="391" t="s">
        <v>4567</v>
      </c>
      <c r="E867" s="391" t="s">
        <v>4042</v>
      </c>
      <c r="F867" s="392">
        <v>5194.5946199999998</v>
      </c>
      <c r="G867" s="393" t="s">
        <v>3800</v>
      </c>
      <c r="H867" s="394">
        <v>1.932869357738237</v>
      </c>
      <c r="I867" s="394"/>
      <c r="J867" s="392"/>
      <c r="K867" s="392"/>
      <c r="L867" s="392"/>
      <c r="M867" s="392"/>
      <c r="N867" s="392">
        <f t="shared" si="23"/>
        <v>1.932869357738237</v>
      </c>
    </row>
    <row r="868" spans="1:14" hidden="1" outlineLevel="2" x14ac:dyDescent="0.35">
      <c r="A868" s="388" t="s">
        <v>4702</v>
      </c>
      <c r="B868" s="389">
        <v>44438</v>
      </c>
      <c r="C868" s="390" t="s">
        <v>4561</v>
      </c>
      <c r="D868" s="391" t="s">
        <v>4562</v>
      </c>
      <c r="E868" s="391" t="s">
        <v>4707</v>
      </c>
      <c r="F868" s="392">
        <v>865765.77</v>
      </c>
      <c r="G868" s="393" t="s">
        <v>3800</v>
      </c>
      <c r="H868" s="394">
        <v>322.14489295637287</v>
      </c>
      <c r="I868" s="394"/>
      <c r="J868" s="392"/>
      <c r="K868" s="392"/>
      <c r="L868" s="392"/>
      <c r="M868" s="392"/>
      <c r="N868" s="392">
        <f t="shared" si="23"/>
        <v>322.14489295637287</v>
      </c>
    </row>
    <row r="869" spans="1:14" hidden="1" outlineLevel="2" x14ac:dyDescent="0.35">
      <c r="A869" s="388" t="s">
        <v>4702</v>
      </c>
      <c r="B869" s="389">
        <v>44438</v>
      </c>
      <c r="C869" s="390" t="s">
        <v>4564</v>
      </c>
      <c r="D869" s="391" t="s">
        <v>4565</v>
      </c>
      <c r="E869" s="391" t="s">
        <v>4272</v>
      </c>
      <c r="F869" s="392">
        <v>86576.577000000005</v>
      </c>
      <c r="G869" s="393" t="s">
        <v>3800</v>
      </c>
      <c r="H869" s="394">
        <v>32.214489295637286</v>
      </c>
      <c r="I869" s="394"/>
      <c r="J869" s="392"/>
      <c r="K869" s="392"/>
      <c r="L869" s="392"/>
      <c r="M869" s="392"/>
      <c r="N869" s="392">
        <f t="shared" si="23"/>
        <v>32.214489295637286</v>
      </c>
    </row>
    <row r="870" spans="1:14" hidden="1" outlineLevel="2" x14ac:dyDescent="0.35">
      <c r="A870" s="388" t="s">
        <v>4702</v>
      </c>
      <c r="B870" s="389">
        <v>44438</v>
      </c>
      <c r="C870" s="390" t="s">
        <v>4566</v>
      </c>
      <c r="D870" s="391" t="s">
        <v>4567</v>
      </c>
      <c r="E870" s="391" t="s">
        <v>4042</v>
      </c>
      <c r="F870" s="392">
        <v>5194.5946199999998</v>
      </c>
      <c r="G870" s="393" t="s">
        <v>3800</v>
      </c>
      <c r="H870" s="394">
        <v>1.932869357738237</v>
      </c>
      <c r="I870" s="394"/>
      <c r="J870" s="392"/>
      <c r="K870" s="392"/>
      <c r="L870" s="392"/>
      <c r="M870" s="392"/>
      <c r="N870" s="392">
        <f t="shared" si="23"/>
        <v>1.932869357738237</v>
      </c>
    </row>
    <row r="871" spans="1:14" hidden="1" outlineLevel="2" x14ac:dyDescent="0.35">
      <c r="A871" s="388" t="s">
        <v>4702</v>
      </c>
      <c r="B871" s="389">
        <v>44438</v>
      </c>
      <c r="C871" s="390" t="s">
        <v>4561</v>
      </c>
      <c r="D871" s="391" t="s">
        <v>4562</v>
      </c>
      <c r="E871" s="391" t="s">
        <v>4708</v>
      </c>
      <c r="F871" s="392">
        <v>865765.77</v>
      </c>
      <c r="G871" s="393" t="s">
        <v>3800</v>
      </c>
      <c r="H871" s="394">
        <v>322.14489295637287</v>
      </c>
      <c r="I871" s="394"/>
      <c r="J871" s="392"/>
      <c r="K871" s="392"/>
      <c r="L871" s="392"/>
      <c r="M871" s="392"/>
      <c r="N871" s="392">
        <f t="shared" si="23"/>
        <v>322.14489295637287</v>
      </c>
    </row>
    <row r="872" spans="1:14" hidden="1" outlineLevel="2" x14ac:dyDescent="0.35">
      <c r="A872" s="388" t="s">
        <v>4702</v>
      </c>
      <c r="B872" s="389">
        <v>44438</v>
      </c>
      <c r="C872" s="390" t="s">
        <v>4564</v>
      </c>
      <c r="D872" s="391" t="s">
        <v>4565</v>
      </c>
      <c r="E872" s="391" t="s">
        <v>4272</v>
      </c>
      <c r="F872" s="392">
        <v>86576.577000000005</v>
      </c>
      <c r="G872" s="393" t="s">
        <v>3800</v>
      </c>
      <c r="H872" s="394">
        <v>32.214489295637286</v>
      </c>
      <c r="I872" s="394"/>
      <c r="J872" s="392"/>
      <c r="K872" s="392"/>
      <c r="L872" s="392"/>
      <c r="M872" s="392"/>
      <c r="N872" s="392">
        <f t="shared" si="23"/>
        <v>32.214489295637286</v>
      </c>
    </row>
    <row r="873" spans="1:14" hidden="1" outlineLevel="2" x14ac:dyDescent="0.35">
      <c r="A873" s="388" t="s">
        <v>4702</v>
      </c>
      <c r="B873" s="389">
        <v>44438</v>
      </c>
      <c r="C873" s="390" t="s">
        <v>4566</v>
      </c>
      <c r="D873" s="391" t="s">
        <v>4567</v>
      </c>
      <c r="E873" s="391" t="s">
        <v>4042</v>
      </c>
      <c r="F873" s="392">
        <v>5194.5946199999998</v>
      </c>
      <c r="G873" s="393" t="s">
        <v>3800</v>
      </c>
      <c r="H873" s="394">
        <v>1.932869357738237</v>
      </c>
      <c r="I873" s="394"/>
      <c r="J873" s="392"/>
      <c r="K873" s="392"/>
      <c r="L873" s="392"/>
      <c r="M873" s="392"/>
      <c r="N873" s="392">
        <f t="shared" si="23"/>
        <v>1.932869357738237</v>
      </c>
    </row>
    <row r="874" spans="1:14" hidden="1" outlineLevel="2" x14ac:dyDescent="0.35">
      <c r="A874" s="388" t="s">
        <v>4702</v>
      </c>
      <c r="B874" s="389">
        <v>44438</v>
      </c>
      <c r="C874" s="390" t="s">
        <v>4561</v>
      </c>
      <c r="D874" s="391" t="s">
        <v>4562</v>
      </c>
      <c r="E874" s="391" t="s">
        <v>4709</v>
      </c>
      <c r="F874" s="392">
        <v>865765.77</v>
      </c>
      <c r="G874" s="393" t="s">
        <v>3800</v>
      </c>
      <c r="H874" s="394">
        <v>322.14489295637287</v>
      </c>
      <c r="I874" s="394"/>
      <c r="J874" s="392"/>
      <c r="K874" s="392"/>
      <c r="L874" s="392"/>
      <c r="M874" s="392"/>
      <c r="N874" s="392">
        <f t="shared" si="23"/>
        <v>322.14489295637287</v>
      </c>
    </row>
    <row r="875" spans="1:14" hidden="1" outlineLevel="2" x14ac:dyDescent="0.35">
      <c r="A875" s="388" t="s">
        <v>4702</v>
      </c>
      <c r="B875" s="389">
        <v>44438</v>
      </c>
      <c r="C875" s="390" t="s">
        <v>4564</v>
      </c>
      <c r="D875" s="391" t="s">
        <v>4565</v>
      </c>
      <c r="E875" s="391" t="s">
        <v>4272</v>
      </c>
      <c r="F875" s="392">
        <v>86576.577000000005</v>
      </c>
      <c r="G875" s="393" t="s">
        <v>3800</v>
      </c>
      <c r="H875" s="394">
        <v>32.214489295637286</v>
      </c>
      <c r="I875" s="394"/>
      <c r="J875" s="392"/>
      <c r="K875" s="392"/>
      <c r="L875" s="392"/>
      <c r="M875" s="392"/>
      <c r="N875" s="392">
        <f t="shared" si="23"/>
        <v>32.214489295637286</v>
      </c>
    </row>
    <row r="876" spans="1:14" hidden="1" outlineLevel="2" x14ac:dyDescent="0.35">
      <c r="A876" s="388" t="s">
        <v>4702</v>
      </c>
      <c r="B876" s="389">
        <v>44438</v>
      </c>
      <c r="C876" s="390" t="s">
        <v>4566</v>
      </c>
      <c r="D876" s="391" t="s">
        <v>4567</v>
      </c>
      <c r="E876" s="391" t="s">
        <v>4042</v>
      </c>
      <c r="F876" s="392">
        <v>5194.5946199999998</v>
      </c>
      <c r="G876" s="393" t="s">
        <v>3800</v>
      </c>
      <c r="H876" s="394">
        <v>1.932869357738237</v>
      </c>
      <c r="I876" s="394"/>
      <c r="J876" s="392"/>
      <c r="K876" s="392"/>
      <c r="L876" s="392"/>
      <c r="M876" s="392"/>
      <c r="N876" s="392">
        <f t="shared" ref="N876:N939" si="24">H876</f>
        <v>1.932869357738237</v>
      </c>
    </row>
    <row r="877" spans="1:14" hidden="1" outlineLevel="2" x14ac:dyDescent="0.35">
      <c r="A877" s="388" t="s">
        <v>4702</v>
      </c>
      <c r="B877" s="389">
        <v>44438</v>
      </c>
      <c r="C877" s="390" t="s">
        <v>4561</v>
      </c>
      <c r="D877" s="391" t="s">
        <v>4562</v>
      </c>
      <c r="E877" s="391" t="s">
        <v>4710</v>
      </c>
      <c r="F877" s="392">
        <v>865765.77</v>
      </c>
      <c r="G877" s="393" t="s">
        <v>3800</v>
      </c>
      <c r="H877" s="394">
        <v>322.14489295637287</v>
      </c>
      <c r="I877" s="394"/>
      <c r="J877" s="392"/>
      <c r="K877" s="392"/>
      <c r="L877" s="392"/>
      <c r="M877" s="392"/>
      <c r="N877" s="392">
        <f t="shared" si="24"/>
        <v>322.14489295637287</v>
      </c>
    </row>
    <row r="878" spans="1:14" hidden="1" outlineLevel="2" x14ac:dyDescent="0.35">
      <c r="A878" s="388" t="s">
        <v>4702</v>
      </c>
      <c r="B878" s="389">
        <v>44438</v>
      </c>
      <c r="C878" s="390" t="s">
        <v>4564</v>
      </c>
      <c r="D878" s="391" t="s">
        <v>4565</v>
      </c>
      <c r="E878" s="391" t="s">
        <v>4272</v>
      </c>
      <c r="F878" s="392">
        <v>86576.577000000005</v>
      </c>
      <c r="G878" s="393" t="s">
        <v>3800</v>
      </c>
      <c r="H878" s="394">
        <v>32.214489295637286</v>
      </c>
      <c r="I878" s="394"/>
      <c r="J878" s="392"/>
      <c r="K878" s="392"/>
      <c r="L878" s="392"/>
      <c r="M878" s="392"/>
      <c r="N878" s="392">
        <f t="shared" si="24"/>
        <v>32.214489295637286</v>
      </c>
    </row>
    <row r="879" spans="1:14" hidden="1" outlineLevel="2" x14ac:dyDescent="0.35">
      <c r="A879" s="388" t="s">
        <v>4702</v>
      </c>
      <c r="B879" s="389">
        <v>44438</v>
      </c>
      <c r="C879" s="390" t="s">
        <v>4566</v>
      </c>
      <c r="D879" s="391" t="s">
        <v>4567</v>
      </c>
      <c r="E879" s="391" t="s">
        <v>4042</v>
      </c>
      <c r="F879" s="392">
        <v>5194.5946199999998</v>
      </c>
      <c r="G879" s="393" t="s">
        <v>3800</v>
      </c>
      <c r="H879" s="394">
        <v>1.932869357738237</v>
      </c>
      <c r="I879" s="394"/>
      <c r="J879" s="392"/>
      <c r="K879" s="392"/>
      <c r="L879" s="392"/>
      <c r="M879" s="392"/>
      <c r="N879" s="392">
        <f t="shared" si="24"/>
        <v>1.932869357738237</v>
      </c>
    </row>
    <row r="880" spans="1:14" hidden="1" outlineLevel="2" x14ac:dyDescent="0.35">
      <c r="A880" s="388" t="s">
        <v>4702</v>
      </c>
      <c r="B880" s="389">
        <v>44438</v>
      </c>
      <c r="C880" s="390" t="s">
        <v>4561</v>
      </c>
      <c r="D880" s="391" t="s">
        <v>4562</v>
      </c>
      <c r="E880" s="391" t="s">
        <v>4711</v>
      </c>
      <c r="F880" s="392">
        <v>865765.77</v>
      </c>
      <c r="G880" s="393" t="s">
        <v>3800</v>
      </c>
      <c r="H880" s="394">
        <v>322.14489295637287</v>
      </c>
      <c r="I880" s="394"/>
      <c r="J880" s="392"/>
      <c r="K880" s="392"/>
      <c r="L880" s="392"/>
      <c r="M880" s="392"/>
      <c r="N880" s="392">
        <f t="shared" si="24"/>
        <v>322.14489295637287</v>
      </c>
    </row>
    <row r="881" spans="1:14" hidden="1" outlineLevel="2" x14ac:dyDescent="0.35">
      <c r="A881" s="388" t="s">
        <v>4702</v>
      </c>
      <c r="B881" s="389">
        <v>44438</v>
      </c>
      <c r="C881" s="390" t="s">
        <v>4564</v>
      </c>
      <c r="D881" s="391" t="s">
        <v>4565</v>
      </c>
      <c r="E881" s="391" t="s">
        <v>4272</v>
      </c>
      <c r="F881" s="392">
        <v>86576.577000000005</v>
      </c>
      <c r="G881" s="393" t="s">
        <v>3800</v>
      </c>
      <c r="H881" s="394">
        <v>32.214489295637286</v>
      </c>
      <c r="I881" s="394"/>
      <c r="J881" s="392"/>
      <c r="K881" s="392"/>
      <c r="L881" s="392"/>
      <c r="M881" s="392"/>
      <c r="N881" s="392">
        <f t="shared" si="24"/>
        <v>32.214489295637286</v>
      </c>
    </row>
    <row r="882" spans="1:14" hidden="1" outlineLevel="2" x14ac:dyDescent="0.35">
      <c r="A882" s="388" t="s">
        <v>4702</v>
      </c>
      <c r="B882" s="389">
        <v>44438</v>
      </c>
      <c r="C882" s="390" t="s">
        <v>4566</v>
      </c>
      <c r="D882" s="391" t="s">
        <v>4567</v>
      </c>
      <c r="E882" s="391" t="s">
        <v>4042</v>
      </c>
      <c r="F882" s="392">
        <v>5194.5946199999998</v>
      </c>
      <c r="G882" s="393" t="s">
        <v>3800</v>
      </c>
      <c r="H882" s="394">
        <v>1.932869357738237</v>
      </c>
      <c r="I882" s="394"/>
      <c r="J882" s="392"/>
      <c r="K882" s="392"/>
      <c r="L882" s="392"/>
      <c r="M882" s="392"/>
      <c r="N882" s="392">
        <f t="shared" si="24"/>
        <v>1.932869357738237</v>
      </c>
    </row>
    <row r="883" spans="1:14" hidden="1" outlineLevel="2" x14ac:dyDescent="0.35">
      <c r="A883" s="388" t="s">
        <v>4702</v>
      </c>
      <c r="B883" s="389">
        <v>44438</v>
      </c>
      <c r="C883" s="390" t="s">
        <v>4561</v>
      </c>
      <c r="D883" s="391" t="s">
        <v>4562</v>
      </c>
      <c r="E883" s="391" t="s">
        <v>4712</v>
      </c>
      <c r="F883" s="392">
        <v>865765.77</v>
      </c>
      <c r="G883" s="393" t="s">
        <v>3800</v>
      </c>
      <c r="H883" s="394">
        <v>322.14489295637287</v>
      </c>
      <c r="I883" s="394"/>
      <c r="J883" s="392"/>
      <c r="K883" s="392"/>
      <c r="L883" s="392"/>
      <c r="M883" s="392"/>
      <c r="N883" s="392">
        <f t="shared" si="24"/>
        <v>322.14489295637287</v>
      </c>
    </row>
    <row r="884" spans="1:14" hidden="1" outlineLevel="2" x14ac:dyDescent="0.35">
      <c r="A884" s="388" t="s">
        <v>4702</v>
      </c>
      <c r="B884" s="389">
        <v>44438</v>
      </c>
      <c r="C884" s="390" t="s">
        <v>4564</v>
      </c>
      <c r="D884" s="391" t="s">
        <v>4565</v>
      </c>
      <c r="E884" s="391" t="s">
        <v>4272</v>
      </c>
      <c r="F884" s="392">
        <v>86576.577000000005</v>
      </c>
      <c r="G884" s="393" t="s">
        <v>3800</v>
      </c>
      <c r="H884" s="394">
        <v>32.214489295637286</v>
      </c>
      <c r="I884" s="394"/>
      <c r="J884" s="392"/>
      <c r="K884" s="392"/>
      <c r="L884" s="392"/>
      <c r="M884" s="392"/>
      <c r="N884" s="392">
        <f t="shared" si="24"/>
        <v>32.214489295637286</v>
      </c>
    </row>
    <row r="885" spans="1:14" hidden="1" outlineLevel="2" x14ac:dyDescent="0.35">
      <c r="A885" s="388" t="s">
        <v>4702</v>
      </c>
      <c r="B885" s="389">
        <v>44438</v>
      </c>
      <c r="C885" s="390" t="s">
        <v>4566</v>
      </c>
      <c r="D885" s="391" t="s">
        <v>4567</v>
      </c>
      <c r="E885" s="391" t="s">
        <v>4042</v>
      </c>
      <c r="F885" s="392">
        <v>5194.5946199999998</v>
      </c>
      <c r="G885" s="393" t="s">
        <v>3800</v>
      </c>
      <c r="H885" s="394">
        <v>1.932869357738237</v>
      </c>
      <c r="I885" s="394"/>
      <c r="J885" s="392"/>
      <c r="K885" s="392"/>
      <c r="L885" s="392"/>
      <c r="M885" s="392"/>
      <c r="N885" s="392">
        <f t="shared" si="24"/>
        <v>1.932869357738237</v>
      </c>
    </row>
    <row r="886" spans="1:14" hidden="1" outlineLevel="2" x14ac:dyDescent="0.35">
      <c r="A886" s="388" t="s">
        <v>4702</v>
      </c>
      <c r="B886" s="389">
        <v>44438</v>
      </c>
      <c r="C886" s="390" t="s">
        <v>4561</v>
      </c>
      <c r="D886" s="391" t="s">
        <v>4562</v>
      </c>
      <c r="E886" s="391" t="s">
        <v>4713</v>
      </c>
      <c r="F886" s="392">
        <v>865765.77</v>
      </c>
      <c r="G886" s="393" t="s">
        <v>3800</v>
      </c>
      <c r="H886" s="394">
        <v>322.14489295637287</v>
      </c>
      <c r="I886" s="394"/>
      <c r="J886" s="392"/>
      <c r="K886" s="392"/>
      <c r="L886" s="392"/>
      <c r="M886" s="392"/>
      <c r="N886" s="392">
        <f t="shared" si="24"/>
        <v>322.14489295637287</v>
      </c>
    </row>
    <row r="887" spans="1:14" hidden="1" outlineLevel="2" x14ac:dyDescent="0.35">
      <c r="A887" s="388" t="s">
        <v>4702</v>
      </c>
      <c r="B887" s="389">
        <v>44438</v>
      </c>
      <c r="C887" s="390" t="s">
        <v>4564</v>
      </c>
      <c r="D887" s="391" t="s">
        <v>4565</v>
      </c>
      <c r="E887" s="391" t="s">
        <v>4272</v>
      </c>
      <c r="F887" s="392">
        <v>86576.577000000005</v>
      </c>
      <c r="G887" s="393" t="s">
        <v>3800</v>
      </c>
      <c r="H887" s="394">
        <v>32.214489295637286</v>
      </c>
      <c r="I887" s="394"/>
      <c r="J887" s="392"/>
      <c r="K887" s="392"/>
      <c r="L887" s="392"/>
      <c r="M887" s="392"/>
      <c r="N887" s="392">
        <f t="shared" si="24"/>
        <v>32.214489295637286</v>
      </c>
    </row>
    <row r="888" spans="1:14" hidden="1" outlineLevel="2" x14ac:dyDescent="0.35">
      <c r="A888" s="388" t="s">
        <v>4702</v>
      </c>
      <c r="B888" s="389">
        <v>44438</v>
      </c>
      <c r="C888" s="390" t="s">
        <v>4566</v>
      </c>
      <c r="D888" s="391" t="s">
        <v>4567</v>
      </c>
      <c r="E888" s="391" t="s">
        <v>4042</v>
      </c>
      <c r="F888" s="392">
        <v>5194.5946199999998</v>
      </c>
      <c r="G888" s="393" t="s">
        <v>3800</v>
      </c>
      <c r="H888" s="394">
        <v>1.932869357738237</v>
      </c>
      <c r="I888" s="394"/>
      <c r="J888" s="392"/>
      <c r="K888" s="392"/>
      <c r="L888" s="392"/>
      <c r="M888" s="392"/>
      <c r="N888" s="392">
        <f t="shared" si="24"/>
        <v>1.932869357738237</v>
      </c>
    </row>
    <row r="889" spans="1:14" hidden="1" outlineLevel="2" x14ac:dyDescent="0.35">
      <c r="A889" s="388" t="s">
        <v>4702</v>
      </c>
      <c r="B889" s="389">
        <v>44438</v>
      </c>
      <c r="C889" s="390" t="s">
        <v>4561</v>
      </c>
      <c r="D889" s="391" t="s">
        <v>4562</v>
      </c>
      <c r="E889" s="391" t="s">
        <v>4714</v>
      </c>
      <c r="F889" s="392">
        <v>865765.77</v>
      </c>
      <c r="G889" s="393" t="s">
        <v>3800</v>
      </c>
      <c r="H889" s="394">
        <v>322.14489295637287</v>
      </c>
      <c r="I889" s="394"/>
      <c r="J889" s="392"/>
      <c r="K889" s="392"/>
      <c r="L889" s="392"/>
      <c r="M889" s="392"/>
      <c r="N889" s="392">
        <f t="shared" si="24"/>
        <v>322.14489295637287</v>
      </c>
    </row>
    <row r="890" spans="1:14" hidden="1" outlineLevel="2" x14ac:dyDescent="0.35">
      <c r="A890" s="388" t="s">
        <v>4702</v>
      </c>
      <c r="B890" s="389">
        <v>44438</v>
      </c>
      <c r="C890" s="390" t="s">
        <v>4564</v>
      </c>
      <c r="D890" s="391" t="s">
        <v>4565</v>
      </c>
      <c r="E890" s="391" t="s">
        <v>4272</v>
      </c>
      <c r="F890" s="392">
        <v>86576.577000000005</v>
      </c>
      <c r="G890" s="393" t="s">
        <v>3800</v>
      </c>
      <c r="H890" s="394">
        <v>32.214489295637286</v>
      </c>
      <c r="I890" s="394"/>
      <c r="J890" s="392"/>
      <c r="K890" s="392"/>
      <c r="L890" s="392"/>
      <c r="M890" s="392"/>
      <c r="N890" s="392">
        <f t="shared" si="24"/>
        <v>32.214489295637286</v>
      </c>
    </row>
    <row r="891" spans="1:14" hidden="1" outlineLevel="2" x14ac:dyDescent="0.35">
      <c r="A891" s="388" t="s">
        <v>4702</v>
      </c>
      <c r="B891" s="389">
        <v>44438</v>
      </c>
      <c r="C891" s="390" t="s">
        <v>4566</v>
      </c>
      <c r="D891" s="391" t="s">
        <v>4567</v>
      </c>
      <c r="E891" s="391" t="s">
        <v>4042</v>
      </c>
      <c r="F891" s="392">
        <v>5194.5946199999998</v>
      </c>
      <c r="G891" s="393" t="s">
        <v>3800</v>
      </c>
      <c r="H891" s="394">
        <v>1.932869357738237</v>
      </c>
      <c r="I891" s="394"/>
      <c r="J891" s="392"/>
      <c r="K891" s="392"/>
      <c r="L891" s="392"/>
      <c r="M891" s="392"/>
      <c r="N891" s="392">
        <f t="shared" si="24"/>
        <v>1.932869357738237</v>
      </c>
    </row>
    <row r="892" spans="1:14" hidden="1" outlineLevel="2" x14ac:dyDescent="0.35">
      <c r="A892" s="388" t="s">
        <v>4702</v>
      </c>
      <c r="B892" s="389">
        <v>44438</v>
      </c>
      <c r="C892" s="390" t="s">
        <v>4561</v>
      </c>
      <c r="D892" s="391" t="s">
        <v>4562</v>
      </c>
      <c r="E892" s="391" t="s">
        <v>4716</v>
      </c>
      <c r="F892" s="392">
        <v>865765.77</v>
      </c>
      <c r="G892" s="393" t="s">
        <v>3800</v>
      </c>
      <c r="H892" s="394">
        <v>322.14489295637287</v>
      </c>
      <c r="I892" s="394"/>
      <c r="J892" s="392"/>
      <c r="K892" s="392"/>
      <c r="L892" s="392"/>
      <c r="M892" s="392"/>
      <c r="N892" s="392">
        <f t="shared" si="24"/>
        <v>322.14489295637287</v>
      </c>
    </row>
    <row r="893" spans="1:14" hidden="1" outlineLevel="2" x14ac:dyDescent="0.35">
      <c r="A893" s="388" t="s">
        <v>4702</v>
      </c>
      <c r="B893" s="389">
        <v>44438</v>
      </c>
      <c r="C893" s="390" t="s">
        <v>4564</v>
      </c>
      <c r="D893" s="391" t="s">
        <v>4565</v>
      </c>
      <c r="E893" s="391" t="s">
        <v>4272</v>
      </c>
      <c r="F893" s="392">
        <v>86576.577000000005</v>
      </c>
      <c r="G893" s="393" t="s">
        <v>3800</v>
      </c>
      <c r="H893" s="394">
        <v>32.214489295637286</v>
      </c>
      <c r="I893" s="394"/>
      <c r="J893" s="392"/>
      <c r="K893" s="392"/>
      <c r="L893" s="392"/>
      <c r="M893" s="392"/>
      <c r="N893" s="392">
        <f t="shared" si="24"/>
        <v>32.214489295637286</v>
      </c>
    </row>
    <row r="894" spans="1:14" hidden="1" outlineLevel="2" x14ac:dyDescent="0.35">
      <c r="A894" s="388" t="s">
        <v>4702</v>
      </c>
      <c r="B894" s="389">
        <v>44438</v>
      </c>
      <c r="C894" s="390" t="s">
        <v>4566</v>
      </c>
      <c r="D894" s="391" t="s">
        <v>4567</v>
      </c>
      <c r="E894" s="391" t="s">
        <v>4042</v>
      </c>
      <c r="F894" s="392">
        <v>5194.5946199999998</v>
      </c>
      <c r="G894" s="393" t="s">
        <v>3800</v>
      </c>
      <c r="H894" s="394">
        <v>1.932869357738237</v>
      </c>
      <c r="I894" s="394"/>
      <c r="J894" s="392"/>
      <c r="K894" s="392"/>
      <c r="L894" s="392"/>
      <c r="M894" s="392"/>
      <c r="N894" s="392">
        <f t="shared" si="24"/>
        <v>1.932869357738237</v>
      </c>
    </row>
    <row r="895" spans="1:14" hidden="1" outlineLevel="2" x14ac:dyDescent="0.35">
      <c r="A895" s="388" t="s">
        <v>4702</v>
      </c>
      <c r="B895" s="389">
        <v>44438</v>
      </c>
      <c r="C895" s="390" t="s">
        <v>4561</v>
      </c>
      <c r="D895" s="391" t="s">
        <v>4562</v>
      </c>
      <c r="E895" s="391" t="s">
        <v>4717</v>
      </c>
      <c r="F895" s="392">
        <v>865765.77</v>
      </c>
      <c r="G895" s="393" t="s">
        <v>3800</v>
      </c>
      <c r="H895" s="394">
        <v>322.14489295637287</v>
      </c>
      <c r="I895" s="394"/>
      <c r="J895" s="392"/>
      <c r="K895" s="392"/>
      <c r="L895" s="392"/>
      <c r="M895" s="392"/>
      <c r="N895" s="392">
        <f t="shared" si="24"/>
        <v>322.14489295637287</v>
      </c>
    </row>
    <row r="896" spans="1:14" hidden="1" outlineLevel="2" x14ac:dyDescent="0.35">
      <c r="A896" s="388" t="s">
        <v>4702</v>
      </c>
      <c r="B896" s="389">
        <v>44438</v>
      </c>
      <c r="C896" s="390" t="s">
        <v>4564</v>
      </c>
      <c r="D896" s="391" t="s">
        <v>4565</v>
      </c>
      <c r="E896" s="391" t="s">
        <v>4272</v>
      </c>
      <c r="F896" s="392">
        <v>86576.577000000005</v>
      </c>
      <c r="G896" s="393" t="s">
        <v>3800</v>
      </c>
      <c r="H896" s="394">
        <v>32.214489295637286</v>
      </c>
      <c r="I896" s="394"/>
      <c r="J896" s="392"/>
      <c r="K896" s="392"/>
      <c r="L896" s="392"/>
      <c r="M896" s="392"/>
      <c r="N896" s="392">
        <f t="shared" si="24"/>
        <v>32.214489295637286</v>
      </c>
    </row>
    <row r="897" spans="1:14" hidden="1" outlineLevel="2" x14ac:dyDescent="0.35">
      <c r="A897" s="388" t="s">
        <v>4702</v>
      </c>
      <c r="B897" s="389">
        <v>44438</v>
      </c>
      <c r="C897" s="390" t="s">
        <v>4566</v>
      </c>
      <c r="D897" s="391" t="s">
        <v>4567</v>
      </c>
      <c r="E897" s="391" t="s">
        <v>4042</v>
      </c>
      <c r="F897" s="392">
        <v>5194.5946199999998</v>
      </c>
      <c r="G897" s="393" t="s">
        <v>3800</v>
      </c>
      <c r="H897" s="394">
        <v>1.932869357738237</v>
      </c>
      <c r="I897" s="394"/>
      <c r="J897" s="392"/>
      <c r="K897" s="392"/>
      <c r="L897" s="392"/>
      <c r="M897" s="392"/>
      <c r="N897" s="392">
        <f t="shared" si="24"/>
        <v>1.932869357738237</v>
      </c>
    </row>
    <row r="898" spans="1:14" hidden="1" outlineLevel="2" x14ac:dyDescent="0.35">
      <c r="A898" s="388" t="s">
        <v>4702</v>
      </c>
      <c r="B898" s="389">
        <v>44438</v>
      </c>
      <c r="C898" s="390" t="s">
        <v>4561</v>
      </c>
      <c r="D898" s="391" t="s">
        <v>4562</v>
      </c>
      <c r="E898" s="391" t="s">
        <v>4718</v>
      </c>
      <c r="F898" s="392">
        <v>865765.77</v>
      </c>
      <c r="G898" s="393" t="s">
        <v>3800</v>
      </c>
      <c r="H898" s="394">
        <v>322.14489295637287</v>
      </c>
      <c r="I898" s="394"/>
      <c r="J898" s="392"/>
      <c r="K898" s="392"/>
      <c r="L898" s="392"/>
      <c r="M898" s="392"/>
      <c r="N898" s="392">
        <f t="shared" si="24"/>
        <v>322.14489295637287</v>
      </c>
    </row>
    <row r="899" spans="1:14" hidden="1" outlineLevel="2" x14ac:dyDescent="0.35">
      <c r="A899" s="388" t="s">
        <v>4702</v>
      </c>
      <c r="B899" s="389">
        <v>44438</v>
      </c>
      <c r="C899" s="390" t="s">
        <v>4564</v>
      </c>
      <c r="D899" s="391" t="s">
        <v>4565</v>
      </c>
      <c r="E899" s="391" t="s">
        <v>4272</v>
      </c>
      <c r="F899" s="392">
        <v>86576.577000000005</v>
      </c>
      <c r="G899" s="393" t="s">
        <v>3800</v>
      </c>
      <c r="H899" s="394">
        <v>32.214489295637286</v>
      </c>
      <c r="I899" s="394"/>
      <c r="J899" s="392"/>
      <c r="K899" s="392"/>
      <c r="L899" s="392"/>
      <c r="M899" s="392"/>
      <c r="N899" s="392">
        <f t="shared" si="24"/>
        <v>32.214489295637286</v>
      </c>
    </row>
    <row r="900" spans="1:14" hidden="1" outlineLevel="2" x14ac:dyDescent="0.35">
      <c r="A900" s="388" t="s">
        <v>4702</v>
      </c>
      <c r="B900" s="389">
        <v>44438</v>
      </c>
      <c r="C900" s="390" t="s">
        <v>4566</v>
      </c>
      <c r="D900" s="391" t="s">
        <v>4567</v>
      </c>
      <c r="E900" s="391" t="s">
        <v>4042</v>
      </c>
      <c r="F900" s="392">
        <v>5194.5946199999998</v>
      </c>
      <c r="G900" s="393" t="s">
        <v>3800</v>
      </c>
      <c r="H900" s="394">
        <v>1.932869357738237</v>
      </c>
      <c r="I900" s="394"/>
      <c r="J900" s="392"/>
      <c r="K900" s="392"/>
      <c r="L900" s="392"/>
      <c r="M900" s="392"/>
      <c r="N900" s="392">
        <f t="shared" si="24"/>
        <v>1.932869357738237</v>
      </c>
    </row>
    <row r="901" spans="1:14" hidden="1" outlineLevel="2" x14ac:dyDescent="0.35">
      <c r="A901" s="388" t="s">
        <v>4702</v>
      </c>
      <c r="B901" s="389">
        <v>44438</v>
      </c>
      <c r="C901" s="390" t="s">
        <v>4561</v>
      </c>
      <c r="D901" s="391" t="s">
        <v>4562</v>
      </c>
      <c r="E901" s="391" t="s">
        <v>4722</v>
      </c>
      <c r="F901" s="392">
        <v>865765.77</v>
      </c>
      <c r="G901" s="393" t="s">
        <v>3800</v>
      </c>
      <c r="H901" s="394">
        <v>322.14489295637287</v>
      </c>
      <c r="I901" s="394"/>
      <c r="J901" s="392"/>
      <c r="K901" s="392"/>
      <c r="L901" s="392"/>
      <c r="M901" s="392"/>
      <c r="N901" s="392">
        <f t="shared" si="24"/>
        <v>322.14489295637287</v>
      </c>
    </row>
    <row r="902" spans="1:14" hidden="1" outlineLevel="2" x14ac:dyDescent="0.35">
      <c r="A902" s="388" t="s">
        <v>4702</v>
      </c>
      <c r="B902" s="389">
        <v>44438</v>
      </c>
      <c r="C902" s="390" t="s">
        <v>4564</v>
      </c>
      <c r="D902" s="391" t="s">
        <v>4565</v>
      </c>
      <c r="E902" s="391" t="s">
        <v>4272</v>
      </c>
      <c r="F902" s="392">
        <v>86576.577000000005</v>
      </c>
      <c r="G902" s="393" t="s">
        <v>3800</v>
      </c>
      <c r="H902" s="394">
        <v>32.214489295637286</v>
      </c>
      <c r="I902" s="394"/>
      <c r="J902" s="392"/>
      <c r="K902" s="392"/>
      <c r="L902" s="392"/>
      <c r="M902" s="392"/>
      <c r="N902" s="392">
        <f t="shared" si="24"/>
        <v>32.214489295637286</v>
      </c>
    </row>
    <row r="903" spans="1:14" hidden="1" outlineLevel="2" x14ac:dyDescent="0.35">
      <c r="A903" s="388" t="s">
        <v>4702</v>
      </c>
      <c r="B903" s="389">
        <v>44438</v>
      </c>
      <c r="C903" s="390" t="s">
        <v>4566</v>
      </c>
      <c r="D903" s="391" t="s">
        <v>4567</v>
      </c>
      <c r="E903" s="391" t="s">
        <v>4042</v>
      </c>
      <c r="F903" s="392">
        <v>5194.5946199999998</v>
      </c>
      <c r="G903" s="393" t="s">
        <v>3800</v>
      </c>
      <c r="H903" s="394">
        <v>1.932869357738237</v>
      </c>
      <c r="I903" s="394"/>
      <c r="J903" s="392"/>
      <c r="K903" s="392"/>
      <c r="L903" s="392"/>
      <c r="M903" s="392"/>
      <c r="N903" s="392">
        <f t="shared" si="24"/>
        <v>1.932869357738237</v>
      </c>
    </row>
    <row r="904" spans="1:14" hidden="1" outlineLevel="2" x14ac:dyDescent="0.35">
      <c r="A904" s="388" t="s">
        <v>4702</v>
      </c>
      <c r="B904" s="389">
        <v>44438</v>
      </c>
      <c r="C904" s="390" t="s">
        <v>4561</v>
      </c>
      <c r="D904" s="391" t="s">
        <v>4562</v>
      </c>
      <c r="E904" s="391" t="s">
        <v>4723</v>
      </c>
      <c r="F904" s="392">
        <v>865765.77</v>
      </c>
      <c r="G904" s="393" t="s">
        <v>3800</v>
      </c>
      <c r="H904" s="394">
        <v>322.14489295637287</v>
      </c>
      <c r="I904" s="394"/>
      <c r="J904" s="392"/>
      <c r="K904" s="392"/>
      <c r="L904" s="392"/>
      <c r="M904" s="392"/>
      <c r="N904" s="392">
        <f t="shared" si="24"/>
        <v>322.14489295637287</v>
      </c>
    </row>
    <row r="905" spans="1:14" hidden="1" outlineLevel="2" x14ac:dyDescent="0.35">
      <c r="A905" s="388" t="s">
        <v>4702</v>
      </c>
      <c r="B905" s="389">
        <v>44438</v>
      </c>
      <c r="C905" s="390" t="s">
        <v>4564</v>
      </c>
      <c r="D905" s="391" t="s">
        <v>4565</v>
      </c>
      <c r="E905" s="391" t="s">
        <v>4272</v>
      </c>
      <c r="F905" s="392">
        <v>86576.577000000005</v>
      </c>
      <c r="G905" s="393" t="s">
        <v>3800</v>
      </c>
      <c r="H905" s="394">
        <v>32.214489295637286</v>
      </c>
      <c r="I905" s="394"/>
      <c r="J905" s="392"/>
      <c r="K905" s="392"/>
      <c r="L905" s="392"/>
      <c r="M905" s="392"/>
      <c r="N905" s="392">
        <f t="shared" si="24"/>
        <v>32.214489295637286</v>
      </c>
    </row>
    <row r="906" spans="1:14" hidden="1" outlineLevel="2" x14ac:dyDescent="0.35">
      <c r="A906" s="388" t="s">
        <v>4702</v>
      </c>
      <c r="B906" s="389">
        <v>44438</v>
      </c>
      <c r="C906" s="390" t="s">
        <v>4566</v>
      </c>
      <c r="D906" s="391" t="s">
        <v>4567</v>
      </c>
      <c r="E906" s="391" t="s">
        <v>4042</v>
      </c>
      <c r="F906" s="392">
        <v>5194.5946199999998</v>
      </c>
      <c r="G906" s="393" t="s">
        <v>3800</v>
      </c>
      <c r="H906" s="394">
        <v>1.932869357738237</v>
      </c>
      <c r="I906" s="394"/>
      <c r="J906" s="392"/>
      <c r="K906" s="392"/>
      <c r="L906" s="392"/>
      <c r="M906" s="392"/>
      <c r="N906" s="392">
        <f t="shared" si="24"/>
        <v>1.932869357738237</v>
      </c>
    </row>
    <row r="907" spans="1:14" hidden="1" outlineLevel="2" x14ac:dyDescent="0.35">
      <c r="A907" s="388" t="s">
        <v>4702</v>
      </c>
      <c r="B907" s="389">
        <v>44467</v>
      </c>
      <c r="C907" s="390" t="s">
        <v>4568</v>
      </c>
      <c r="D907" s="391" t="s">
        <v>4569</v>
      </c>
      <c r="E907" s="391" t="s">
        <v>4703</v>
      </c>
      <c r="F907" s="392">
        <v>865765.77</v>
      </c>
      <c r="G907" s="393" t="s">
        <v>3800</v>
      </c>
      <c r="H907" s="394">
        <v>322.14489295637287</v>
      </c>
      <c r="I907" s="394"/>
      <c r="J907" s="392"/>
      <c r="K907" s="392"/>
      <c r="L907" s="392"/>
      <c r="M907" s="392"/>
      <c r="N907" s="392">
        <f t="shared" si="24"/>
        <v>322.14489295637287</v>
      </c>
    </row>
    <row r="908" spans="1:14" hidden="1" outlineLevel="2" x14ac:dyDescent="0.35">
      <c r="A908" s="388" t="s">
        <v>4702</v>
      </c>
      <c r="B908" s="389">
        <v>44467</v>
      </c>
      <c r="C908" s="390" t="s">
        <v>4570</v>
      </c>
      <c r="D908" s="391" t="s">
        <v>4602</v>
      </c>
      <c r="E908" s="391" t="s">
        <v>4272</v>
      </c>
      <c r="F908" s="392">
        <v>86576.577000000005</v>
      </c>
      <c r="G908" s="393" t="s">
        <v>3800</v>
      </c>
      <c r="H908" s="394">
        <v>32.214489295637286</v>
      </c>
      <c r="I908" s="394"/>
      <c r="J908" s="392"/>
      <c r="K908" s="392"/>
      <c r="L908" s="392"/>
      <c r="M908" s="392"/>
      <c r="N908" s="392">
        <f t="shared" si="24"/>
        <v>32.214489295637286</v>
      </c>
    </row>
    <row r="909" spans="1:14" hidden="1" outlineLevel="2" x14ac:dyDescent="0.35">
      <c r="A909" s="388" t="s">
        <v>4702</v>
      </c>
      <c r="B909" s="389">
        <v>44467</v>
      </c>
      <c r="C909" s="390" t="s">
        <v>4572</v>
      </c>
      <c r="D909" s="391" t="s">
        <v>4603</v>
      </c>
      <c r="E909" s="391" t="s">
        <v>4042</v>
      </c>
      <c r="F909" s="392">
        <v>5194.5946199999998</v>
      </c>
      <c r="G909" s="393" t="s">
        <v>3800</v>
      </c>
      <c r="H909" s="394">
        <v>1.932869357738237</v>
      </c>
      <c r="I909" s="394"/>
      <c r="J909" s="392"/>
      <c r="K909" s="392"/>
      <c r="L909" s="392"/>
      <c r="M909" s="392"/>
      <c r="N909" s="392">
        <f t="shared" si="24"/>
        <v>1.932869357738237</v>
      </c>
    </row>
    <row r="910" spans="1:14" hidden="1" outlineLevel="2" x14ac:dyDescent="0.35">
      <c r="A910" s="388" t="s">
        <v>4702</v>
      </c>
      <c r="B910" s="389">
        <v>44467</v>
      </c>
      <c r="C910" s="390" t="s">
        <v>4568</v>
      </c>
      <c r="D910" s="391" t="s">
        <v>4569</v>
      </c>
      <c r="E910" s="391" t="s">
        <v>4720</v>
      </c>
      <c r="F910" s="392">
        <v>865765.77</v>
      </c>
      <c r="G910" s="393" t="s">
        <v>3800</v>
      </c>
      <c r="H910" s="394">
        <v>322.14489295637287</v>
      </c>
      <c r="I910" s="394"/>
      <c r="J910" s="392"/>
      <c r="K910" s="392"/>
      <c r="L910" s="392"/>
      <c r="M910" s="392"/>
      <c r="N910" s="392">
        <f t="shared" si="24"/>
        <v>322.14489295637287</v>
      </c>
    </row>
    <row r="911" spans="1:14" hidden="1" outlineLevel="2" x14ac:dyDescent="0.35">
      <c r="A911" s="388" t="s">
        <v>4702</v>
      </c>
      <c r="B911" s="389">
        <v>44467</v>
      </c>
      <c r="C911" s="390" t="s">
        <v>4570</v>
      </c>
      <c r="D911" s="391" t="s">
        <v>4602</v>
      </c>
      <c r="E911" s="391" t="s">
        <v>4272</v>
      </c>
      <c r="F911" s="392">
        <v>86576.577000000005</v>
      </c>
      <c r="G911" s="393" t="s">
        <v>3800</v>
      </c>
      <c r="H911" s="394">
        <v>32.214489295637286</v>
      </c>
      <c r="I911" s="394"/>
      <c r="J911" s="392"/>
      <c r="K911" s="392"/>
      <c r="L911" s="392"/>
      <c r="M911" s="392"/>
      <c r="N911" s="392">
        <f t="shared" si="24"/>
        <v>32.214489295637286</v>
      </c>
    </row>
    <row r="912" spans="1:14" hidden="1" outlineLevel="2" x14ac:dyDescent="0.35">
      <c r="A912" s="388" t="s">
        <v>4702</v>
      </c>
      <c r="B912" s="389">
        <v>44467</v>
      </c>
      <c r="C912" s="390" t="s">
        <v>4572</v>
      </c>
      <c r="D912" s="391" t="s">
        <v>4603</v>
      </c>
      <c r="E912" s="391" t="s">
        <v>4042</v>
      </c>
      <c r="F912" s="392">
        <v>5194.5946199999998</v>
      </c>
      <c r="G912" s="393" t="s">
        <v>3800</v>
      </c>
      <c r="H912" s="394">
        <v>1.932869357738237</v>
      </c>
      <c r="I912" s="394"/>
      <c r="J912" s="392"/>
      <c r="K912" s="392"/>
      <c r="L912" s="392"/>
      <c r="M912" s="392"/>
      <c r="N912" s="392">
        <f t="shared" si="24"/>
        <v>1.932869357738237</v>
      </c>
    </row>
    <row r="913" spans="1:14" hidden="1" outlineLevel="2" x14ac:dyDescent="0.35">
      <c r="A913" s="388" t="s">
        <v>4702</v>
      </c>
      <c r="B913" s="389">
        <v>44467</v>
      </c>
      <c r="C913" s="390" t="s">
        <v>4568</v>
      </c>
      <c r="D913" s="391" t="s">
        <v>4569</v>
      </c>
      <c r="E913" s="391" t="s">
        <v>4721</v>
      </c>
      <c r="F913" s="392">
        <v>865765.77</v>
      </c>
      <c r="G913" s="393" t="s">
        <v>3800</v>
      </c>
      <c r="H913" s="394">
        <v>322.14489295637287</v>
      </c>
      <c r="I913" s="394"/>
      <c r="J913" s="392"/>
      <c r="K913" s="392"/>
      <c r="L913" s="392"/>
      <c r="M913" s="392"/>
      <c r="N913" s="392">
        <f t="shared" si="24"/>
        <v>322.14489295637287</v>
      </c>
    </row>
    <row r="914" spans="1:14" hidden="1" outlineLevel="2" x14ac:dyDescent="0.35">
      <c r="A914" s="388" t="s">
        <v>4702</v>
      </c>
      <c r="B914" s="389">
        <v>44467</v>
      </c>
      <c r="C914" s="390" t="s">
        <v>4570</v>
      </c>
      <c r="D914" s="391" t="s">
        <v>4602</v>
      </c>
      <c r="E914" s="391" t="s">
        <v>4272</v>
      </c>
      <c r="F914" s="392">
        <v>86576.577000000005</v>
      </c>
      <c r="G914" s="393" t="s">
        <v>3800</v>
      </c>
      <c r="H914" s="394">
        <v>32.214489295637286</v>
      </c>
      <c r="I914" s="394"/>
      <c r="J914" s="392"/>
      <c r="K914" s="392"/>
      <c r="L914" s="392"/>
      <c r="M914" s="392"/>
      <c r="N914" s="392">
        <f t="shared" si="24"/>
        <v>32.214489295637286</v>
      </c>
    </row>
    <row r="915" spans="1:14" hidden="1" outlineLevel="2" x14ac:dyDescent="0.35">
      <c r="A915" s="388" t="s">
        <v>4702</v>
      </c>
      <c r="B915" s="389">
        <v>44467</v>
      </c>
      <c r="C915" s="390" t="s">
        <v>4572</v>
      </c>
      <c r="D915" s="391" t="s">
        <v>4603</v>
      </c>
      <c r="E915" s="391" t="s">
        <v>4042</v>
      </c>
      <c r="F915" s="392">
        <v>5194.5946199999998</v>
      </c>
      <c r="G915" s="393" t="s">
        <v>3800</v>
      </c>
      <c r="H915" s="394">
        <v>1.932869357738237</v>
      </c>
      <c r="I915" s="394"/>
      <c r="J915" s="392"/>
      <c r="K915" s="392"/>
      <c r="L915" s="392"/>
      <c r="M915" s="392"/>
      <c r="N915" s="392">
        <f t="shared" si="24"/>
        <v>1.932869357738237</v>
      </c>
    </row>
    <row r="916" spans="1:14" hidden="1" outlineLevel="2" x14ac:dyDescent="0.35">
      <c r="A916" s="388" t="s">
        <v>4702</v>
      </c>
      <c r="B916" s="389">
        <v>44467</v>
      </c>
      <c r="C916" s="390" t="s">
        <v>4568</v>
      </c>
      <c r="D916" s="391" t="s">
        <v>4569</v>
      </c>
      <c r="E916" s="391" t="s">
        <v>4706</v>
      </c>
      <c r="F916" s="392">
        <v>865765.77</v>
      </c>
      <c r="G916" s="393" t="s">
        <v>3800</v>
      </c>
      <c r="H916" s="394">
        <v>322.14489295637287</v>
      </c>
      <c r="I916" s="394"/>
      <c r="J916" s="392"/>
      <c r="K916" s="392"/>
      <c r="L916" s="392"/>
      <c r="M916" s="392"/>
      <c r="N916" s="392">
        <f t="shared" si="24"/>
        <v>322.14489295637287</v>
      </c>
    </row>
    <row r="917" spans="1:14" hidden="1" outlineLevel="2" x14ac:dyDescent="0.35">
      <c r="A917" s="388" t="s">
        <v>4702</v>
      </c>
      <c r="B917" s="389">
        <v>44467</v>
      </c>
      <c r="C917" s="390" t="s">
        <v>4570</v>
      </c>
      <c r="D917" s="391" t="s">
        <v>4602</v>
      </c>
      <c r="E917" s="391" t="s">
        <v>4272</v>
      </c>
      <c r="F917" s="392">
        <v>86576.577000000005</v>
      </c>
      <c r="G917" s="393" t="s">
        <v>3800</v>
      </c>
      <c r="H917" s="394">
        <v>32.214489295637286</v>
      </c>
      <c r="I917" s="394"/>
      <c r="J917" s="392"/>
      <c r="K917" s="392"/>
      <c r="L917" s="392"/>
      <c r="M917" s="392"/>
      <c r="N917" s="392">
        <f t="shared" si="24"/>
        <v>32.214489295637286</v>
      </c>
    </row>
    <row r="918" spans="1:14" hidden="1" outlineLevel="2" x14ac:dyDescent="0.35">
      <c r="A918" s="388" t="s">
        <v>4702</v>
      </c>
      <c r="B918" s="389">
        <v>44467</v>
      </c>
      <c r="C918" s="390" t="s">
        <v>4572</v>
      </c>
      <c r="D918" s="391" t="s">
        <v>4603</v>
      </c>
      <c r="E918" s="391" t="s">
        <v>4042</v>
      </c>
      <c r="F918" s="392">
        <v>5194.5946199999998</v>
      </c>
      <c r="G918" s="393" t="s">
        <v>3800</v>
      </c>
      <c r="H918" s="394">
        <v>1.932869357738237</v>
      </c>
      <c r="I918" s="394"/>
      <c r="J918" s="392"/>
      <c r="K918" s="392"/>
      <c r="L918" s="392"/>
      <c r="M918" s="392"/>
      <c r="N918" s="392">
        <f t="shared" si="24"/>
        <v>1.932869357738237</v>
      </c>
    </row>
    <row r="919" spans="1:14" hidden="1" outlineLevel="2" x14ac:dyDescent="0.35">
      <c r="A919" s="388" t="s">
        <v>4702</v>
      </c>
      <c r="B919" s="389">
        <v>44467</v>
      </c>
      <c r="C919" s="390" t="s">
        <v>4568</v>
      </c>
      <c r="D919" s="391" t="s">
        <v>4569</v>
      </c>
      <c r="E919" s="391" t="s">
        <v>4707</v>
      </c>
      <c r="F919" s="392">
        <v>865765.77</v>
      </c>
      <c r="G919" s="393" t="s">
        <v>3800</v>
      </c>
      <c r="H919" s="394">
        <v>322.14489295637287</v>
      </c>
      <c r="I919" s="394"/>
      <c r="J919" s="392"/>
      <c r="K919" s="392"/>
      <c r="L919" s="392"/>
      <c r="M919" s="392"/>
      <c r="N919" s="392">
        <f t="shared" si="24"/>
        <v>322.14489295637287</v>
      </c>
    </row>
    <row r="920" spans="1:14" hidden="1" outlineLevel="2" x14ac:dyDescent="0.35">
      <c r="A920" s="388" t="s">
        <v>4702</v>
      </c>
      <c r="B920" s="389">
        <v>44467</v>
      </c>
      <c r="C920" s="390" t="s">
        <v>4570</v>
      </c>
      <c r="D920" s="391" t="s">
        <v>4602</v>
      </c>
      <c r="E920" s="391" t="s">
        <v>4272</v>
      </c>
      <c r="F920" s="392">
        <v>86576.577000000005</v>
      </c>
      <c r="G920" s="393" t="s">
        <v>3800</v>
      </c>
      <c r="H920" s="394">
        <v>32.214489295637286</v>
      </c>
      <c r="I920" s="394"/>
      <c r="J920" s="392"/>
      <c r="K920" s="392"/>
      <c r="L920" s="392"/>
      <c r="M920" s="392"/>
      <c r="N920" s="392">
        <f t="shared" si="24"/>
        <v>32.214489295637286</v>
      </c>
    </row>
    <row r="921" spans="1:14" hidden="1" outlineLevel="2" x14ac:dyDescent="0.35">
      <c r="A921" s="388" t="s">
        <v>4702</v>
      </c>
      <c r="B921" s="389">
        <v>44467</v>
      </c>
      <c r="C921" s="390" t="s">
        <v>4572</v>
      </c>
      <c r="D921" s="391" t="s">
        <v>4603</v>
      </c>
      <c r="E921" s="391" t="s">
        <v>4042</v>
      </c>
      <c r="F921" s="392">
        <v>5194.5946199999998</v>
      </c>
      <c r="G921" s="393" t="s">
        <v>3800</v>
      </c>
      <c r="H921" s="394">
        <v>1.932869357738237</v>
      </c>
      <c r="I921" s="394"/>
      <c r="J921" s="392"/>
      <c r="K921" s="392"/>
      <c r="L921" s="392"/>
      <c r="M921" s="392"/>
      <c r="N921" s="392">
        <f t="shared" si="24"/>
        <v>1.932869357738237</v>
      </c>
    </row>
    <row r="922" spans="1:14" hidden="1" outlineLevel="2" x14ac:dyDescent="0.35">
      <c r="A922" s="388" t="s">
        <v>4702</v>
      </c>
      <c r="B922" s="389">
        <v>44467</v>
      </c>
      <c r="C922" s="390" t="s">
        <v>4568</v>
      </c>
      <c r="D922" s="391" t="s">
        <v>4569</v>
      </c>
      <c r="E922" s="391" t="s">
        <v>4708</v>
      </c>
      <c r="F922" s="392">
        <v>865765.77</v>
      </c>
      <c r="G922" s="393" t="s">
        <v>3800</v>
      </c>
      <c r="H922" s="394">
        <v>322.14489295637287</v>
      </c>
      <c r="I922" s="394"/>
      <c r="J922" s="392"/>
      <c r="K922" s="392"/>
      <c r="L922" s="392"/>
      <c r="M922" s="392"/>
      <c r="N922" s="392">
        <f t="shared" si="24"/>
        <v>322.14489295637287</v>
      </c>
    </row>
    <row r="923" spans="1:14" hidden="1" outlineLevel="2" x14ac:dyDescent="0.35">
      <c r="A923" s="388" t="s">
        <v>4702</v>
      </c>
      <c r="B923" s="389">
        <v>44467</v>
      </c>
      <c r="C923" s="390" t="s">
        <v>4570</v>
      </c>
      <c r="D923" s="391" t="s">
        <v>4602</v>
      </c>
      <c r="E923" s="391" t="s">
        <v>4272</v>
      </c>
      <c r="F923" s="392">
        <v>86576.577000000005</v>
      </c>
      <c r="G923" s="393" t="s">
        <v>3800</v>
      </c>
      <c r="H923" s="394">
        <v>32.214489295637286</v>
      </c>
      <c r="I923" s="394"/>
      <c r="J923" s="392"/>
      <c r="K923" s="392"/>
      <c r="L923" s="392"/>
      <c r="M923" s="392"/>
      <c r="N923" s="392">
        <f t="shared" si="24"/>
        <v>32.214489295637286</v>
      </c>
    </row>
    <row r="924" spans="1:14" hidden="1" outlineLevel="2" x14ac:dyDescent="0.35">
      <c r="A924" s="388" t="s">
        <v>4702</v>
      </c>
      <c r="B924" s="389">
        <v>44467</v>
      </c>
      <c r="C924" s="390" t="s">
        <v>4572</v>
      </c>
      <c r="D924" s="391" t="s">
        <v>4603</v>
      </c>
      <c r="E924" s="391" t="s">
        <v>4042</v>
      </c>
      <c r="F924" s="392">
        <v>5194.5946199999998</v>
      </c>
      <c r="G924" s="393" t="s">
        <v>3800</v>
      </c>
      <c r="H924" s="394">
        <v>1.932869357738237</v>
      </c>
      <c r="I924" s="394"/>
      <c r="J924" s="392"/>
      <c r="K924" s="392"/>
      <c r="L924" s="392"/>
      <c r="M924" s="392"/>
      <c r="N924" s="392">
        <f t="shared" si="24"/>
        <v>1.932869357738237</v>
      </c>
    </row>
    <row r="925" spans="1:14" hidden="1" outlineLevel="2" x14ac:dyDescent="0.35">
      <c r="A925" s="388" t="s">
        <v>4702</v>
      </c>
      <c r="B925" s="389">
        <v>44467</v>
      </c>
      <c r="C925" s="390" t="s">
        <v>4568</v>
      </c>
      <c r="D925" s="391" t="s">
        <v>4569</v>
      </c>
      <c r="E925" s="391" t="s">
        <v>4709</v>
      </c>
      <c r="F925" s="392">
        <v>865765.77</v>
      </c>
      <c r="G925" s="393" t="s">
        <v>3800</v>
      </c>
      <c r="H925" s="394">
        <v>322.14489295637287</v>
      </c>
      <c r="I925" s="394"/>
      <c r="J925" s="392"/>
      <c r="K925" s="392"/>
      <c r="L925" s="392"/>
      <c r="M925" s="392"/>
      <c r="N925" s="392">
        <f t="shared" si="24"/>
        <v>322.14489295637287</v>
      </c>
    </row>
    <row r="926" spans="1:14" hidden="1" outlineLevel="2" x14ac:dyDescent="0.35">
      <c r="A926" s="388" t="s">
        <v>4702</v>
      </c>
      <c r="B926" s="389">
        <v>44467</v>
      </c>
      <c r="C926" s="390" t="s">
        <v>4570</v>
      </c>
      <c r="D926" s="391" t="s">
        <v>4602</v>
      </c>
      <c r="E926" s="391" t="s">
        <v>4272</v>
      </c>
      <c r="F926" s="392">
        <v>86576.577000000005</v>
      </c>
      <c r="G926" s="393" t="s">
        <v>3800</v>
      </c>
      <c r="H926" s="394">
        <v>32.214489295637286</v>
      </c>
      <c r="I926" s="394"/>
      <c r="J926" s="392"/>
      <c r="K926" s="392"/>
      <c r="L926" s="392"/>
      <c r="M926" s="392"/>
      <c r="N926" s="392">
        <f t="shared" si="24"/>
        <v>32.214489295637286</v>
      </c>
    </row>
    <row r="927" spans="1:14" hidden="1" outlineLevel="2" x14ac:dyDescent="0.35">
      <c r="A927" s="388" t="s">
        <v>4702</v>
      </c>
      <c r="B927" s="389">
        <v>44467</v>
      </c>
      <c r="C927" s="390" t="s">
        <v>4572</v>
      </c>
      <c r="D927" s="391" t="s">
        <v>4603</v>
      </c>
      <c r="E927" s="391" t="s">
        <v>4042</v>
      </c>
      <c r="F927" s="392">
        <v>5194.5946199999998</v>
      </c>
      <c r="G927" s="393" t="s">
        <v>3800</v>
      </c>
      <c r="H927" s="394">
        <v>1.932869357738237</v>
      </c>
      <c r="I927" s="394"/>
      <c r="J927" s="392"/>
      <c r="K927" s="392"/>
      <c r="L927" s="392"/>
      <c r="M927" s="392"/>
      <c r="N927" s="392">
        <f t="shared" si="24"/>
        <v>1.932869357738237</v>
      </c>
    </row>
    <row r="928" spans="1:14" hidden="1" outlineLevel="2" x14ac:dyDescent="0.35">
      <c r="A928" s="388" t="s">
        <v>4702</v>
      </c>
      <c r="B928" s="389">
        <v>44467</v>
      </c>
      <c r="C928" s="390" t="s">
        <v>4568</v>
      </c>
      <c r="D928" s="391" t="s">
        <v>4569</v>
      </c>
      <c r="E928" s="391" t="s">
        <v>4710</v>
      </c>
      <c r="F928" s="392">
        <v>865765.77</v>
      </c>
      <c r="G928" s="393" t="s">
        <v>3800</v>
      </c>
      <c r="H928" s="394">
        <v>322.14489295637287</v>
      </c>
      <c r="I928" s="394"/>
      <c r="J928" s="392"/>
      <c r="K928" s="392"/>
      <c r="L928" s="392"/>
      <c r="M928" s="392"/>
      <c r="N928" s="392">
        <f t="shared" si="24"/>
        <v>322.14489295637287</v>
      </c>
    </row>
    <row r="929" spans="1:14" hidden="1" outlineLevel="2" x14ac:dyDescent="0.35">
      <c r="A929" s="388" t="s">
        <v>4702</v>
      </c>
      <c r="B929" s="389">
        <v>44467</v>
      </c>
      <c r="C929" s="390" t="s">
        <v>4570</v>
      </c>
      <c r="D929" s="391" t="s">
        <v>4602</v>
      </c>
      <c r="E929" s="391" t="s">
        <v>4272</v>
      </c>
      <c r="F929" s="392">
        <v>86576.577000000005</v>
      </c>
      <c r="G929" s="393" t="s">
        <v>3800</v>
      </c>
      <c r="H929" s="394">
        <v>32.214489295637286</v>
      </c>
      <c r="I929" s="394"/>
      <c r="J929" s="392"/>
      <c r="K929" s="392"/>
      <c r="L929" s="392"/>
      <c r="M929" s="392"/>
      <c r="N929" s="392">
        <f t="shared" si="24"/>
        <v>32.214489295637286</v>
      </c>
    </row>
    <row r="930" spans="1:14" hidden="1" outlineLevel="2" x14ac:dyDescent="0.35">
      <c r="A930" s="388" t="s">
        <v>4702</v>
      </c>
      <c r="B930" s="389">
        <v>44467</v>
      </c>
      <c r="C930" s="390" t="s">
        <v>4572</v>
      </c>
      <c r="D930" s="391" t="s">
        <v>4603</v>
      </c>
      <c r="E930" s="391" t="s">
        <v>4042</v>
      </c>
      <c r="F930" s="392">
        <v>5194.5946199999998</v>
      </c>
      <c r="G930" s="393" t="s">
        <v>3800</v>
      </c>
      <c r="H930" s="394">
        <v>1.932869357738237</v>
      </c>
      <c r="I930" s="394"/>
      <c r="J930" s="392"/>
      <c r="K930" s="392"/>
      <c r="L930" s="392"/>
      <c r="M930" s="392"/>
      <c r="N930" s="392">
        <f t="shared" si="24"/>
        <v>1.932869357738237</v>
      </c>
    </row>
    <row r="931" spans="1:14" hidden="1" outlineLevel="2" x14ac:dyDescent="0.35">
      <c r="A931" s="388" t="s">
        <v>4702</v>
      </c>
      <c r="B931" s="389">
        <v>44467</v>
      </c>
      <c r="C931" s="390" t="s">
        <v>4568</v>
      </c>
      <c r="D931" s="391" t="s">
        <v>4569</v>
      </c>
      <c r="E931" s="391" t="s">
        <v>4711</v>
      </c>
      <c r="F931" s="392">
        <v>865765.77</v>
      </c>
      <c r="G931" s="393" t="s">
        <v>3800</v>
      </c>
      <c r="H931" s="394">
        <v>322.14489295637287</v>
      </c>
      <c r="I931" s="394"/>
      <c r="J931" s="392"/>
      <c r="K931" s="392"/>
      <c r="L931" s="392"/>
      <c r="M931" s="392"/>
      <c r="N931" s="392">
        <f t="shared" si="24"/>
        <v>322.14489295637287</v>
      </c>
    </row>
    <row r="932" spans="1:14" hidden="1" outlineLevel="2" collapsed="1" x14ac:dyDescent="0.35">
      <c r="A932" s="388" t="s">
        <v>4702</v>
      </c>
      <c r="B932" s="389">
        <v>44467</v>
      </c>
      <c r="C932" s="390" t="s">
        <v>4570</v>
      </c>
      <c r="D932" s="391" t="s">
        <v>4602</v>
      </c>
      <c r="E932" s="391" t="s">
        <v>4272</v>
      </c>
      <c r="F932" s="392">
        <v>86576.577000000005</v>
      </c>
      <c r="G932" s="393" t="s">
        <v>3800</v>
      </c>
      <c r="H932" s="394">
        <v>32.214489295637286</v>
      </c>
      <c r="I932" s="394"/>
      <c r="J932" s="392"/>
      <c r="K932" s="392"/>
      <c r="L932" s="392"/>
      <c r="M932" s="392"/>
      <c r="N932" s="392">
        <f t="shared" si="24"/>
        <v>32.214489295637286</v>
      </c>
    </row>
    <row r="933" spans="1:14" hidden="1" outlineLevel="2" x14ac:dyDescent="0.35">
      <c r="A933" s="388" t="s">
        <v>4702</v>
      </c>
      <c r="B933" s="389">
        <v>44467</v>
      </c>
      <c r="C933" s="390" t="s">
        <v>4572</v>
      </c>
      <c r="D933" s="391" t="s">
        <v>4603</v>
      </c>
      <c r="E933" s="391" t="s">
        <v>4042</v>
      </c>
      <c r="F933" s="392">
        <v>5194.5946199999998</v>
      </c>
      <c r="G933" s="393" t="s">
        <v>3800</v>
      </c>
      <c r="H933" s="394">
        <v>1.932869357738237</v>
      </c>
      <c r="I933" s="394"/>
      <c r="J933" s="392"/>
      <c r="K933" s="392"/>
      <c r="L933" s="392"/>
      <c r="M933" s="392"/>
      <c r="N933" s="392">
        <f t="shared" si="24"/>
        <v>1.932869357738237</v>
      </c>
    </row>
    <row r="934" spans="1:14" hidden="1" outlineLevel="2" x14ac:dyDescent="0.35">
      <c r="A934" s="388" t="s">
        <v>4702</v>
      </c>
      <c r="B934" s="389">
        <v>44467</v>
      </c>
      <c r="C934" s="390" t="s">
        <v>4568</v>
      </c>
      <c r="D934" s="391" t="s">
        <v>4569</v>
      </c>
      <c r="E934" s="391" t="s">
        <v>4712</v>
      </c>
      <c r="F934" s="392">
        <v>865765.77</v>
      </c>
      <c r="G934" s="393" t="s">
        <v>3800</v>
      </c>
      <c r="H934" s="394">
        <v>322.14489295637287</v>
      </c>
      <c r="I934" s="394"/>
      <c r="J934" s="392"/>
      <c r="K934" s="392"/>
      <c r="L934" s="392"/>
      <c r="M934" s="392"/>
      <c r="N934" s="392">
        <f t="shared" si="24"/>
        <v>322.14489295637287</v>
      </c>
    </row>
    <row r="935" spans="1:14" hidden="1" outlineLevel="2" x14ac:dyDescent="0.35">
      <c r="A935" s="388" t="s">
        <v>4702</v>
      </c>
      <c r="B935" s="389">
        <v>44467</v>
      </c>
      <c r="C935" s="390" t="s">
        <v>4570</v>
      </c>
      <c r="D935" s="391" t="s">
        <v>4602</v>
      </c>
      <c r="E935" s="391" t="s">
        <v>4272</v>
      </c>
      <c r="F935" s="392">
        <v>86576.577000000005</v>
      </c>
      <c r="G935" s="393" t="s">
        <v>3800</v>
      </c>
      <c r="H935" s="394">
        <v>32.214489295637286</v>
      </c>
      <c r="I935" s="394"/>
      <c r="J935" s="392"/>
      <c r="K935" s="392"/>
      <c r="L935" s="392"/>
      <c r="M935" s="392"/>
      <c r="N935" s="392">
        <f t="shared" si="24"/>
        <v>32.214489295637286</v>
      </c>
    </row>
    <row r="936" spans="1:14" hidden="1" outlineLevel="2" x14ac:dyDescent="0.35">
      <c r="A936" s="388" t="s">
        <v>4702</v>
      </c>
      <c r="B936" s="389">
        <v>44467</v>
      </c>
      <c r="C936" s="390" t="s">
        <v>4572</v>
      </c>
      <c r="D936" s="391" t="s">
        <v>4603</v>
      </c>
      <c r="E936" s="391" t="s">
        <v>4042</v>
      </c>
      <c r="F936" s="392">
        <v>5194.5946199999998</v>
      </c>
      <c r="G936" s="393" t="s">
        <v>3800</v>
      </c>
      <c r="H936" s="394">
        <v>1.932869357738237</v>
      </c>
      <c r="I936" s="394"/>
      <c r="J936" s="392"/>
      <c r="K936" s="392"/>
      <c r="L936" s="392"/>
      <c r="M936" s="392"/>
      <c r="N936" s="392">
        <f t="shared" si="24"/>
        <v>1.932869357738237</v>
      </c>
    </row>
    <row r="937" spans="1:14" hidden="1" outlineLevel="2" x14ac:dyDescent="0.35">
      <c r="A937" s="388" t="s">
        <v>4702</v>
      </c>
      <c r="B937" s="389">
        <v>44467</v>
      </c>
      <c r="C937" s="390" t="s">
        <v>4568</v>
      </c>
      <c r="D937" s="391" t="s">
        <v>4569</v>
      </c>
      <c r="E937" s="391" t="s">
        <v>4713</v>
      </c>
      <c r="F937" s="392">
        <v>865765.77</v>
      </c>
      <c r="G937" s="393" t="s">
        <v>3800</v>
      </c>
      <c r="H937" s="394">
        <v>322.14489295637287</v>
      </c>
      <c r="I937" s="394"/>
      <c r="J937" s="392"/>
      <c r="K937" s="392"/>
      <c r="L937" s="392"/>
      <c r="M937" s="392"/>
      <c r="N937" s="392">
        <f t="shared" si="24"/>
        <v>322.14489295637287</v>
      </c>
    </row>
    <row r="938" spans="1:14" hidden="1" outlineLevel="2" collapsed="1" x14ac:dyDescent="0.35">
      <c r="A938" s="388" t="s">
        <v>4702</v>
      </c>
      <c r="B938" s="389">
        <v>44467</v>
      </c>
      <c r="C938" s="390" t="s">
        <v>4570</v>
      </c>
      <c r="D938" s="391" t="s">
        <v>4602</v>
      </c>
      <c r="E938" s="391" t="s">
        <v>4272</v>
      </c>
      <c r="F938" s="392">
        <v>86576.577000000005</v>
      </c>
      <c r="G938" s="393" t="s">
        <v>3800</v>
      </c>
      <c r="H938" s="394">
        <v>32.214489295637286</v>
      </c>
      <c r="I938" s="394"/>
      <c r="J938" s="392"/>
      <c r="K938" s="392"/>
      <c r="L938" s="392"/>
      <c r="M938" s="392"/>
      <c r="N938" s="392">
        <f t="shared" si="24"/>
        <v>32.214489295637286</v>
      </c>
    </row>
    <row r="939" spans="1:14" hidden="1" outlineLevel="2" x14ac:dyDescent="0.35">
      <c r="A939" s="388" t="s">
        <v>4702</v>
      </c>
      <c r="B939" s="389">
        <v>44467</v>
      </c>
      <c r="C939" s="390" t="s">
        <v>4572</v>
      </c>
      <c r="D939" s="391" t="s">
        <v>4603</v>
      </c>
      <c r="E939" s="391" t="s">
        <v>4042</v>
      </c>
      <c r="F939" s="392">
        <v>5194.5946199999998</v>
      </c>
      <c r="G939" s="393" t="s">
        <v>3800</v>
      </c>
      <c r="H939" s="394">
        <v>1.932869357738237</v>
      </c>
      <c r="I939" s="394"/>
      <c r="J939" s="392"/>
      <c r="K939" s="392"/>
      <c r="L939" s="392"/>
      <c r="M939" s="392"/>
      <c r="N939" s="392">
        <f t="shared" si="24"/>
        <v>1.932869357738237</v>
      </c>
    </row>
    <row r="940" spans="1:14" hidden="1" outlineLevel="2" x14ac:dyDescent="0.35">
      <c r="A940" s="388" t="s">
        <v>4702</v>
      </c>
      <c r="B940" s="389">
        <v>44467</v>
      </c>
      <c r="C940" s="390" t="s">
        <v>4568</v>
      </c>
      <c r="D940" s="391" t="s">
        <v>4569</v>
      </c>
      <c r="E940" s="391" t="s">
        <v>4714</v>
      </c>
      <c r="F940" s="392">
        <v>865765.77</v>
      </c>
      <c r="G940" s="393" t="s">
        <v>3800</v>
      </c>
      <c r="H940" s="394">
        <v>322.14489295637287</v>
      </c>
      <c r="I940" s="394"/>
      <c r="J940" s="392"/>
      <c r="K940" s="392"/>
      <c r="L940" s="392"/>
      <c r="M940" s="392"/>
      <c r="N940" s="392">
        <f t="shared" ref="N940:N1003" si="25">H940</f>
        <v>322.14489295637287</v>
      </c>
    </row>
    <row r="941" spans="1:14" hidden="1" outlineLevel="2" x14ac:dyDescent="0.35">
      <c r="A941" s="388" t="s">
        <v>4702</v>
      </c>
      <c r="B941" s="389">
        <v>44467</v>
      </c>
      <c r="C941" s="390" t="s">
        <v>4570</v>
      </c>
      <c r="D941" s="391" t="s">
        <v>4602</v>
      </c>
      <c r="E941" s="391" t="s">
        <v>4272</v>
      </c>
      <c r="F941" s="392">
        <v>86576.577000000005</v>
      </c>
      <c r="G941" s="393" t="s">
        <v>3800</v>
      </c>
      <c r="H941" s="394">
        <v>32.214489295637286</v>
      </c>
      <c r="I941" s="394"/>
      <c r="J941" s="392"/>
      <c r="K941" s="392"/>
      <c r="L941" s="392"/>
      <c r="M941" s="392"/>
      <c r="N941" s="392">
        <f t="shared" si="25"/>
        <v>32.214489295637286</v>
      </c>
    </row>
    <row r="942" spans="1:14" hidden="1" outlineLevel="2" collapsed="1" x14ac:dyDescent="0.35">
      <c r="A942" s="388" t="s">
        <v>4702</v>
      </c>
      <c r="B942" s="389">
        <v>44467</v>
      </c>
      <c r="C942" s="390" t="s">
        <v>4572</v>
      </c>
      <c r="D942" s="391" t="s">
        <v>4603</v>
      </c>
      <c r="E942" s="391" t="s">
        <v>4042</v>
      </c>
      <c r="F942" s="392">
        <v>5194.5946199999998</v>
      </c>
      <c r="G942" s="393" t="s">
        <v>3800</v>
      </c>
      <c r="H942" s="394">
        <v>1.932869357738237</v>
      </c>
      <c r="I942" s="394"/>
      <c r="J942" s="392"/>
      <c r="K942" s="392"/>
      <c r="L942" s="392"/>
      <c r="M942" s="392"/>
      <c r="N942" s="392">
        <f t="shared" si="25"/>
        <v>1.932869357738237</v>
      </c>
    </row>
    <row r="943" spans="1:14" hidden="1" outlineLevel="2" x14ac:dyDescent="0.35">
      <c r="A943" s="388" t="s">
        <v>4702</v>
      </c>
      <c r="B943" s="389">
        <v>44467</v>
      </c>
      <c r="C943" s="390" t="s">
        <v>4568</v>
      </c>
      <c r="D943" s="391" t="s">
        <v>4569</v>
      </c>
      <c r="E943" s="391" t="s">
        <v>4716</v>
      </c>
      <c r="F943" s="392">
        <v>865765.77</v>
      </c>
      <c r="G943" s="393" t="s">
        <v>3800</v>
      </c>
      <c r="H943" s="394">
        <v>322.14489295637287</v>
      </c>
      <c r="I943" s="394"/>
      <c r="J943" s="392"/>
      <c r="K943" s="392"/>
      <c r="L943" s="392"/>
      <c r="M943" s="392"/>
      <c r="N943" s="392">
        <f t="shared" si="25"/>
        <v>322.14489295637287</v>
      </c>
    </row>
    <row r="944" spans="1:14" hidden="1" outlineLevel="2" x14ac:dyDescent="0.35">
      <c r="A944" s="388" t="s">
        <v>4702</v>
      </c>
      <c r="B944" s="389">
        <v>44467</v>
      </c>
      <c r="C944" s="390" t="s">
        <v>4570</v>
      </c>
      <c r="D944" s="391" t="s">
        <v>4602</v>
      </c>
      <c r="E944" s="391" t="s">
        <v>4272</v>
      </c>
      <c r="F944" s="392">
        <v>86576.577000000005</v>
      </c>
      <c r="G944" s="393" t="s">
        <v>3800</v>
      </c>
      <c r="H944" s="394">
        <v>32.214489295637286</v>
      </c>
      <c r="I944" s="394"/>
      <c r="J944" s="392"/>
      <c r="K944" s="392"/>
      <c r="L944" s="392"/>
      <c r="M944" s="392"/>
      <c r="N944" s="392">
        <f t="shared" si="25"/>
        <v>32.214489295637286</v>
      </c>
    </row>
    <row r="945" spans="1:14" hidden="1" outlineLevel="2" x14ac:dyDescent="0.35">
      <c r="A945" s="388" t="s">
        <v>4702</v>
      </c>
      <c r="B945" s="389">
        <v>44467</v>
      </c>
      <c r="C945" s="390" t="s">
        <v>4572</v>
      </c>
      <c r="D945" s="391" t="s">
        <v>4603</v>
      </c>
      <c r="E945" s="391" t="s">
        <v>4042</v>
      </c>
      <c r="F945" s="392">
        <v>5194.5946199999998</v>
      </c>
      <c r="G945" s="393" t="s">
        <v>3800</v>
      </c>
      <c r="H945" s="394">
        <v>1.932869357738237</v>
      </c>
      <c r="I945" s="394"/>
      <c r="J945" s="392"/>
      <c r="K945" s="392"/>
      <c r="L945" s="392"/>
      <c r="M945" s="392"/>
      <c r="N945" s="392">
        <f t="shared" si="25"/>
        <v>1.932869357738237</v>
      </c>
    </row>
    <row r="946" spans="1:14" hidden="1" outlineLevel="2" x14ac:dyDescent="0.35">
      <c r="A946" s="388" t="s">
        <v>4702</v>
      </c>
      <c r="B946" s="389">
        <v>44467</v>
      </c>
      <c r="C946" s="390" t="s">
        <v>4568</v>
      </c>
      <c r="D946" s="391" t="s">
        <v>4569</v>
      </c>
      <c r="E946" s="391" t="s">
        <v>4717</v>
      </c>
      <c r="F946" s="392">
        <v>865765.77</v>
      </c>
      <c r="G946" s="393" t="s">
        <v>3800</v>
      </c>
      <c r="H946" s="394">
        <v>322.14489295637287</v>
      </c>
      <c r="I946" s="394"/>
      <c r="J946" s="392"/>
      <c r="K946" s="392"/>
      <c r="L946" s="392"/>
      <c r="M946" s="392"/>
      <c r="N946" s="392">
        <f t="shared" si="25"/>
        <v>322.14489295637287</v>
      </c>
    </row>
    <row r="947" spans="1:14" hidden="1" outlineLevel="2" x14ac:dyDescent="0.35">
      <c r="A947" s="388" t="s">
        <v>4702</v>
      </c>
      <c r="B947" s="389">
        <v>44467</v>
      </c>
      <c r="C947" s="390" t="s">
        <v>4570</v>
      </c>
      <c r="D947" s="391" t="s">
        <v>4602</v>
      </c>
      <c r="E947" s="391" t="s">
        <v>4272</v>
      </c>
      <c r="F947" s="392">
        <v>86576.577000000005</v>
      </c>
      <c r="G947" s="393" t="s">
        <v>3800</v>
      </c>
      <c r="H947" s="394">
        <v>32.214489295637286</v>
      </c>
      <c r="I947" s="394"/>
      <c r="J947" s="392"/>
      <c r="K947" s="392"/>
      <c r="L947" s="392"/>
      <c r="M947" s="392"/>
      <c r="N947" s="392">
        <f t="shared" si="25"/>
        <v>32.214489295637286</v>
      </c>
    </row>
    <row r="948" spans="1:14" hidden="1" outlineLevel="2" x14ac:dyDescent="0.35">
      <c r="A948" s="388" t="s">
        <v>4702</v>
      </c>
      <c r="B948" s="389">
        <v>44467</v>
      </c>
      <c r="C948" s="390" t="s">
        <v>4572</v>
      </c>
      <c r="D948" s="391" t="s">
        <v>4603</v>
      </c>
      <c r="E948" s="391" t="s">
        <v>4042</v>
      </c>
      <c r="F948" s="392">
        <v>5194.5946199999998</v>
      </c>
      <c r="G948" s="393" t="s">
        <v>3800</v>
      </c>
      <c r="H948" s="394">
        <v>1.932869357738237</v>
      </c>
      <c r="I948" s="394"/>
      <c r="J948" s="392"/>
      <c r="K948" s="392"/>
      <c r="L948" s="392"/>
      <c r="M948" s="392"/>
      <c r="N948" s="392">
        <f t="shared" si="25"/>
        <v>1.932869357738237</v>
      </c>
    </row>
    <row r="949" spans="1:14" hidden="1" outlineLevel="2" x14ac:dyDescent="0.35">
      <c r="A949" s="388" t="s">
        <v>4702</v>
      </c>
      <c r="B949" s="389">
        <v>44467</v>
      </c>
      <c r="C949" s="390" t="s">
        <v>4568</v>
      </c>
      <c r="D949" s="391" t="s">
        <v>4569</v>
      </c>
      <c r="E949" s="391" t="s">
        <v>4718</v>
      </c>
      <c r="F949" s="392">
        <v>865765.77</v>
      </c>
      <c r="G949" s="393" t="s">
        <v>3800</v>
      </c>
      <c r="H949" s="394">
        <v>322.14489295637287</v>
      </c>
      <c r="I949" s="394"/>
      <c r="J949" s="392"/>
      <c r="K949" s="392"/>
      <c r="L949" s="392"/>
      <c r="M949" s="392"/>
      <c r="N949" s="392">
        <f t="shared" si="25"/>
        <v>322.14489295637287</v>
      </c>
    </row>
    <row r="950" spans="1:14" hidden="1" outlineLevel="2" x14ac:dyDescent="0.35">
      <c r="A950" s="388" t="s">
        <v>4702</v>
      </c>
      <c r="B950" s="389">
        <v>44467</v>
      </c>
      <c r="C950" s="390" t="s">
        <v>4570</v>
      </c>
      <c r="D950" s="391" t="s">
        <v>4602</v>
      </c>
      <c r="E950" s="391" t="s">
        <v>4272</v>
      </c>
      <c r="F950" s="392">
        <v>86576.577000000005</v>
      </c>
      <c r="G950" s="393" t="s">
        <v>3800</v>
      </c>
      <c r="H950" s="394">
        <v>32.214489295637286</v>
      </c>
      <c r="I950" s="394"/>
      <c r="J950" s="392"/>
      <c r="K950" s="392"/>
      <c r="L950" s="392"/>
      <c r="M950" s="392"/>
      <c r="N950" s="392">
        <f t="shared" si="25"/>
        <v>32.214489295637286</v>
      </c>
    </row>
    <row r="951" spans="1:14" hidden="1" outlineLevel="2" x14ac:dyDescent="0.35">
      <c r="A951" s="388" t="s">
        <v>4702</v>
      </c>
      <c r="B951" s="389">
        <v>44467</v>
      </c>
      <c r="C951" s="390" t="s">
        <v>4572</v>
      </c>
      <c r="D951" s="391" t="s">
        <v>4603</v>
      </c>
      <c r="E951" s="391" t="s">
        <v>4042</v>
      </c>
      <c r="F951" s="392">
        <v>5194.5946199999998</v>
      </c>
      <c r="G951" s="393" t="s">
        <v>3800</v>
      </c>
      <c r="H951" s="394">
        <v>1.932869357738237</v>
      </c>
      <c r="I951" s="394"/>
      <c r="J951" s="392"/>
      <c r="K951" s="392"/>
      <c r="L951" s="392"/>
      <c r="M951" s="392"/>
      <c r="N951" s="392">
        <f t="shared" si="25"/>
        <v>1.932869357738237</v>
      </c>
    </row>
    <row r="952" spans="1:14" hidden="1" outlineLevel="2" collapsed="1" x14ac:dyDescent="0.35">
      <c r="A952" s="388" t="s">
        <v>4702</v>
      </c>
      <c r="B952" s="389">
        <v>44467</v>
      </c>
      <c r="C952" s="390" t="s">
        <v>4568</v>
      </c>
      <c r="D952" s="391" t="s">
        <v>4569</v>
      </c>
      <c r="E952" s="391" t="s">
        <v>4722</v>
      </c>
      <c r="F952" s="392">
        <v>865765.77</v>
      </c>
      <c r="G952" s="393" t="s">
        <v>3800</v>
      </c>
      <c r="H952" s="394">
        <v>322.14489295637287</v>
      </c>
      <c r="I952" s="394"/>
      <c r="J952" s="392"/>
      <c r="K952" s="392"/>
      <c r="L952" s="392"/>
      <c r="M952" s="392"/>
      <c r="N952" s="392">
        <f t="shared" si="25"/>
        <v>322.14489295637287</v>
      </c>
    </row>
    <row r="953" spans="1:14" hidden="1" outlineLevel="2" x14ac:dyDescent="0.35">
      <c r="A953" s="388" t="s">
        <v>4702</v>
      </c>
      <c r="B953" s="389">
        <v>44467</v>
      </c>
      <c r="C953" s="390" t="s">
        <v>4570</v>
      </c>
      <c r="D953" s="391" t="s">
        <v>4602</v>
      </c>
      <c r="E953" s="391" t="s">
        <v>4272</v>
      </c>
      <c r="F953" s="392">
        <v>86576.577000000005</v>
      </c>
      <c r="G953" s="393" t="s">
        <v>3800</v>
      </c>
      <c r="H953" s="394">
        <v>32.214489295637286</v>
      </c>
      <c r="I953" s="394"/>
      <c r="J953" s="392"/>
      <c r="K953" s="392"/>
      <c r="L953" s="392"/>
      <c r="M953" s="392"/>
      <c r="N953" s="392">
        <f t="shared" si="25"/>
        <v>32.214489295637286</v>
      </c>
    </row>
    <row r="954" spans="1:14" hidden="1" outlineLevel="2" x14ac:dyDescent="0.35">
      <c r="A954" s="388" t="s">
        <v>4702</v>
      </c>
      <c r="B954" s="389">
        <v>44467</v>
      </c>
      <c r="C954" s="390" t="s">
        <v>4572</v>
      </c>
      <c r="D954" s="391" t="s">
        <v>4603</v>
      </c>
      <c r="E954" s="391" t="s">
        <v>4042</v>
      </c>
      <c r="F954" s="392">
        <v>5194.5946199999998</v>
      </c>
      <c r="G954" s="393" t="s">
        <v>3800</v>
      </c>
      <c r="H954" s="394">
        <v>1.932869357738237</v>
      </c>
      <c r="I954" s="394"/>
      <c r="J954" s="392"/>
      <c r="K954" s="392"/>
      <c r="L954" s="392"/>
      <c r="M954" s="392"/>
      <c r="N954" s="392">
        <f t="shared" si="25"/>
        <v>1.932869357738237</v>
      </c>
    </row>
    <row r="955" spans="1:14" hidden="1" outlineLevel="2" x14ac:dyDescent="0.35">
      <c r="A955" s="388" t="s">
        <v>4702</v>
      </c>
      <c r="B955" s="389">
        <v>44467</v>
      </c>
      <c r="C955" s="390" t="s">
        <v>4568</v>
      </c>
      <c r="D955" s="391" t="s">
        <v>4569</v>
      </c>
      <c r="E955" s="391" t="s">
        <v>4723</v>
      </c>
      <c r="F955" s="392">
        <v>865765.77</v>
      </c>
      <c r="G955" s="393" t="s">
        <v>3800</v>
      </c>
      <c r="H955" s="394">
        <v>322.14489295637287</v>
      </c>
      <c r="I955" s="394"/>
      <c r="J955" s="392"/>
      <c r="K955" s="392"/>
      <c r="L955" s="392"/>
      <c r="M955" s="392"/>
      <c r="N955" s="392">
        <f t="shared" si="25"/>
        <v>322.14489295637287</v>
      </c>
    </row>
    <row r="956" spans="1:14" hidden="1" outlineLevel="2" x14ac:dyDescent="0.35">
      <c r="A956" s="388" t="s">
        <v>4702</v>
      </c>
      <c r="B956" s="389">
        <v>44467</v>
      </c>
      <c r="C956" s="390" t="s">
        <v>4570</v>
      </c>
      <c r="D956" s="391" t="s">
        <v>4602</v>
      </c>
      <c r="E956" s="391" t="s">
        <v>4272</v>
      </c>
      <c r="F956" s="392">
        <v>86576.577000000005</v>
      </c>
      <c r="G956" s="393" t="s">
        <v>3800</v>
      </c>
      <c r="H956" s="394">
        <v>32.214489295637286</v>
      </c>
      <c r="I956" s="394"/>
      <c r="J956" s="392"/>
      <c r="K956" s="392"/>
      <c r="L956" s="392"/>
      <c r="M956" s="392"/>
      <c r="N956" s="392">
        <f t="shared" si="25"/>
        <v>32.214489295637286</v>
      </c>
    </row>
    <row r="957" spans="1:14" hidden="1" outlineLevel="2" x14ac:dyDescent="0.35">
      <c r="A957" s="388" t="s">
        <v>4702</v>
      </c>
      <c r="B957" s="389">
        <v>44467</v>
      </c>
      <c r="C957" s="390" t="s">
        <v>4572</v>
      </c>
      <c r="D957" s="391" t="s">
        <v>4603</v>
      </c>
      <c r="E957" s="391" t="s">
        <v>4042</v>
      </c>
      <c r="F957" s="392">
        <v>5194.5946199999998</v>
      </c>
      <c r="G957" s="393" t="s">
        <v>3800</v>
      </c>
      <c r="H957" s="394">
        <v>1.932869357738237</v>
      </c>
      <c r="I957" s="394"/>
      <c r="J957" s="392"/>
      <c r="K957" s="392"/>
      <c r="L957" s="392"/>
      <c r="M957" s="392"/>
      <c r="N957" s="392">
        <f t="shared" si="25"/>
        <v>1.932869357738237</v>
      </c>
    </row>
    <row r="958" spans="1:14" hidden="1" outlineLevel="2" x14ac:dyDescent="0.35">
      <c r="A958" s="388" t="s">
        <v>4702</v>
      </c>
      <c r="B958" s="389">
        <v>44497</v>
      </c>
      <c r="C958" s="390" t="s">
        <v>4574</v>
      </c>
      <c r="D958" s="391" t="s">
        <v>4575</v>
      </c>
      <c r="E958" s="391" t="s">
        <v>4703</v>
      </c>
      <c r="F958" s="392">
        <v>865765.77</v>
      </c>
      <c r="G958" s="393" t="s">
        <v>3800</v>
      </c>
      <c r="H958" s="394">
        <v>322.14489295637287</v>
      </c>
      <c r="I958" s="394"/>
      <c r="J958" s="392"/>
      <c r="K958" s="392"/>
      <c r="L958" s="392"/>
      <c r="M958" s="392"/>
      <c r="N958" s="392">
        <f t="shared" si="25"/>
        <v>322.14489295637287</v>
      </c>
    </row>
    <row r="959" spans="1:14" hidden="1" outlineLevel="2" x14ac:dyDescent="0.35">
      <c r="A959" s="388" t="s">
        <v>4702</v>
      </c>
      <c r="B959" s="389">
        <v>44497</v>
      </c>
      <c r="C959" s="390" t="s">
        <v>4576</v>
      </c>
      <c r="D959" s="391" t="s">
        <v>4604</v>
      </c>
      <c r="E959" s="391" t="s">
        <v>4272</v>
      </c>
      <c r="F959" s="392">
        <v>86576.577000000005</v>
      </c>
      <c r="G959" s="393" t="s">
        <v>3800</v>
      </c>
      <c r="H959" s="394">
        <v>32.214489295637286</v>
      </c>
      <c r="I959" s="394"/>
      <c r="J959" s="392"/>
      <c r="K959" s="392"/>
      <c r="L959" s="392"/>
      <c r="M959" s="392"/>
      <c r="N959" s="392">
        <f t="shared" si="25"/>
        <v>32.214489295637286</v>
      </c>
    </row>
    <row r="960" spans="1:14" hidden="1" outlineLevel="2" x14ac:dyDescent="0.35">
      <c r="A960" s="388" t="s">
        <v>4702</v>
      </c>
      <c r="B960" s="389">
        <v>44497</v>
      </c>
      <c r="C960" s="390" t="s">
        <v>4578</v>
      </c>
      <c r="D960" s="391" t="s">
        <v>4605</v>
      </c>
      <c r="E960" s="391" t="s">
        <v>4042</v>
      </c>
      <c r="F960" s="392">
        <v>5194.5946199999998</v>
      </c>
      <c r="G960" s="393" t="s">
        <v>3800</v>
      </c>
      <c r="H960" s="394">
        <v>1.932869357738237</v>
      </c>
      <c r="I960" s="394"/>
      <c r="J960" s="392"/>
      <c r="K960" s="392"/>
      <c r="L960" s="392"/>
      <c r="M960" s="392"/>
      <c r="N960" s="392">
        <f t="shared" si="25"/>
        <v>1.932869357738237</v>
      </c>
    </row>
    <row r="961" spans="1:14" hidden="1" outlineLevel="2" x14ac:dyDescent="0.35">
      <c r="A961" s="388" t="s">
        <v>4702</v>
      </c>
      <c r="B961" s="389">
        <v>44497</v>
      </c>
      <c r="C961" s="390" t="s">
        <v>4574</v>
      </c>
      <c r="D961" s="391" t="s">
        <v>4575</v>
      </c>
      <c r="E961" s="391" t="s">
        <v>4720</v>
      </c>
      <c r="F961" s="392">
        <v>865765.77</v>
      </c>
      <c r="G961" s="393" t="s">
        <v>3800</v>
      </c>
      <c r="H961" s="394">
        <v>322.14489295637287</v>
      </c>
      <c r="I961" s="394"/>
      <c r="J961" s="392"/>
      <c r="K961" s="392"/>
      <c r="L961" s="392"/>
      <c r="M961" s="392"/>
      <c r="N961" s="392">
        <f t="shared" si="25"/>
        <v>322.14489295637287</v>
      </c>
    </row>
    <row r="962" spans="1:14" hidden="1" outlineLevel="2" x14ac:dyDescent="0.35">
      <c r="A962" s="388" t="s">
        <v>4702</v>
      </c>
      <c r="B962" s="389">
        <v>44497</v>
      </c>
      <c r="C962" s="390" t="s">
        <v>4576</v>
      </c>
      <c r="D962" s="391" t="s">
        <v>4604</v>
      </c>
      <c r="E962" s="391" t="s">
        <v>4272</v>
      </c>
      <c r="F962" s="392">
        <v>86576.577000000005</v>
      </c>
      <c r="G962" s="393" t="s">
        <v>3800</v>
      </c>
      <c r="H962" s="394">
        <v>32.214489295637286</v>
      </c>
      <c r="I962" s="394"/>
      <c r="J962" s="392"/>
      <c r="K962" s="392"/>
      <c r="L962" s="392"/>
      <c r="M962" s="392"/>
      <c r="N962" s="392">
        <f t="shared" si="25"/>
        <v>32.214489295637286</v>
      </c>
    </row>
    <row r="963" spans="1:14" hidden="1" outlineLevel="2" x14ac:dyDescent="0.35">
      <c r="A963" s="388" t="s">
        <v>4702</v>
      </c>
      <c r="B963" s="389">
        <v>44497</v>
      </c>
      <c r="C963" s="390" t="s">
        <v>4578</v>
      </c>
      <c r="D963" s="391" t="s">
        <v>4605</v>
      </c>
      <c r="E963" s="391" t="s">
        <v>4042</v>
      </c>
      <c r="F963" s="392">
        <v>5194.5946199999998</v>
      </c>
      <c r="G963" s="393" t="s">
        <v>3800</v>
      </c>
      <c r="H963" s="394">
        <v>1.932869357738237</v>
      </c>
      <c r="I963" s="394"/>
      <c r="J963" s="392"/>
      <c r="K963" s="392"/>
      <c r="L963" s="392"/>
      <c r="M963" s="392"/>
      <c r="N963" s="392">
        <f t="shared" si="25"/>
        <v>1.932869357738237</v>
      </c>
    </row>
    <row r="964" spans="1:14" hidden="1" outlineLevel="2" collapsed="1" x14ac:dyDescent="0.35">
      <c r="A964" s="388" t="s">
        <v>4702</v>
      </c>
      <c r="B964" s="389">
        <v>44497</v>
      </c>
      <c r="C964" s="390" t="s">
        <v>4574</v>
      </c>
      <c r="D964" s="391" t="s">
        <v>4575</v>
      </c>
      <c r="E964" s="391" t="s">
        <v>4721</v>
      </c>
      <c r="F964" s="392">
        <v>865765.77</v>
      </c>
      <c r="G964" s="393" t="s">
        <v>3800</v>
      </c>
      <c r="H964" s="394">
        <v>322.14489295637287</v>
      </c>
      <c r="I964" s="394"/>
      <c r="J964" s="392"/>
      <c r="K964" s="392"/>
      <c r="L964" s="392"/>
      <c r="M964" s="392"/>
      <c r="N964" s="392">
        <f t="shared" si="25"/>
        <v>322.14489295637287</v>
      </c>
    </row>
    <row r="965" spans="1:14" hidden="1" outlineLevel="2" x14ac:dyDescent="0.35">
      <c r="A965" s="388" t="s">
        <v>4702</v>
      </c>
      <c r="B965" s="389">
        <v>44497</v>
      </c>
      <c r="C965" s="390" t="s">
        <v>4576</v>
      </c>
      <c r="D965" s="391" t="s">
        <v>4604</v>
      </c>
      <c r="E965" s="391" t="s">
        <v>4272</v>
      </c>
      <c r="F965" s="392">
        <v>86576.577000000005</v>
      </c>
      <c r="G965" s="393" t="s">
        <v>3800</v>
      </c>
      <c r="H965" s="394">
        <v>32.214489295637286</v>
      </c>
      <c r="I965" s="394"/>
      <c r="J965" s="392"/>
      <c r="K965" s="392"/>
      <c r="L965" s="392"/>
      <c r="M965" s="392"/>
      <c r="N965" s="392">
        <f t="shared" si="25"/>
        <v>32.214489295637286</v>
      </c>
    </row>
    <row r="966" spans="1:14" hidden="1" outlineLevel="2" x14ac:dyDescent="0.35">
      <c r="A966" s="388" t="s">
        <v>4702</v>
      </c>
      <c r="B966" s="389">
        <v>44497</v>
      </c>
      <c r="C966" s="390" t="s">
        <v>4578</v>
      </c>
      <c r="D966" s="391" t="s">
        <v>4605</v>
      </c>
      <c r="E966" s="391" t="s">
        <v>4042</v>
      </c>
      <c r="F966" s="392">
        <v>5194.5946199999998</v>
      </c>
      <c r="G966" s="393" t="s">
        <v>3800</v>
      </c>
      <c r="H966" s="394">
        <v>1.932869357738237</v>
      </c>
      <c r="I966" s="394"/>
      <c r="J966" s="392"/>
      <c r="K966" s="392"/>
      <c r="L966" s="392"/>
      <c r="M966" s="392"/>
      <c r="N966" s="392">
        <f t="shared" si="25"/>
        <v>1.932869357738237</v>
      </c>
    </row>
    <row r="967" spans="1:14" hidden="1" outlineLevel="2" x14ac:dyDescent="0.35">
      <c r="A967" s="388" t="s">
        <v>4702</v>
      </c>
      <c r="B967" s="389">
        <v>44497</v>
      </c>
      <c r="C967" s="390" t="s">
        <v>4574</v>
      </c>
      <c r="D967" s="391" t="s">
        <v>4575</v>
      </c>
      <c r="E967" s="391" t="s">
        <v>4706</v>
      </c>
      <c r="F967" s="392">
        <v>865765.77</v>
      </c>
      <c r="G967" s="393" t="s">
        <v>3800</v>
      </c>
      <c r="H967" s="394">
        <v>322.14489295637287</v>
      </c>
      <c r="I967" s="394"/>
      <c r="J967" s="392"/>
      <c r="K967" s="392"/>
      <c r="L967" s="392"/>
      <c r="M967" s="392"/>
      <c r="N967" s="392">
        <f t="shared" si="25"/>
        <v>322.14489295637287</v>
      </c>
    </row>
    <row r="968" spans="1:14" hidden="1" outlineLevel="2" x14ac:dyDescent="0.35">
      <c r="A968" s="388" t="s">
        <v>4702</v>
      </c>
      <c r="B968" s="389">
        <v>44497</v>
      </c>
      <c r="C968" s="390" t="s">
        <v>4576</v>
      </c>
      <c r="D968" s="391" t="s">
        <v>4604</v>
      </c>
      <c r="E968" s="391" t="s">
        <v>4272</v>
      </c>
      <c r="F968" s="392">
        <v>86576.577000000005</v>
      </c>
      <c r="G968" s="393" t="s">
        <v>3800</v>
      </c>
      <c r="H968" s="394">
        <v>32.214489295637286</v>
      </c>
      <c r="I968" s="394"/>
      <c r="J968" s="392"/>
      <c r="K968" s="392"/>
      <c r="L968" s="392"/>
      <c r="M968" s="392"/>
      <c r="N968" s="392">
        <f t="shared" si="25"/>
        <v>32.214489295637286</v>
      </c>
    </row>
    <row r="969" spans="1:14" hidden="1" outlineLevel="2" x14ac:dyDescent="0.35">
      <c r="A969" s="388" t="s">
        <v>4702</v>
      </c>
      <c r="B969" s="389">
        <v>44497</v>
      </c>
      <c r="C969" s="390" t="s">
        <v>4578</v>
      </c>
      <c r="D969" s="391" t="s">
        <v>4605</v>
      </c>
      <c r="E969" s="391" t="s">
        <v>4042</v>
      </c>
      <c r="F969" s="392">
        <v>5194.5946199999998</v>
      </c>
      <c r="G969" s="393" t="s">
        <v>3800</v>
      </c>
      <c r="H969" s="394">
        <v>1.932869357738237</v>
      </c>
      <c r="I969" s="394"/>
      <c r="J969" s="392"/>
      <c r="K969" s="392"/>
      <c r="L969" s="392"/>
      <c r="M969" s="392"/>
      <c r="N969" s="392">
        <f t="shared" si="25"/>
        <v>1.932869357738237</v>
      </c>
    </row>
    <row r="970" spans="1:14" hidden="1" outlineLevel="2" x14ac:dyDescent="0.35">
      <c r="A970" s="388" t="s">
        <v>4702</v>
      </c>
      <c r="B970" s="389">
        <v>44497</v>
      </c>
      <c r="C970" s="390" t="s">
        <v>4574</v>
      </c>
      <c r="D970" s="391" t="s">
        <v>4575</v>
      </c>
      <c r="E970" s="391" t="s">
        <v>4707</v>
      </c>
      <c r="F970" s="392">
        <v>865765.77</v>
      </c>
      <c r="G970" s="393" t="s">
        <v>3800</v>
      </c>
      <c r="H970" s="394">
        <v>322.14489295637287</v>
      </c>
      <c r="I970" s="394"/>
      <c r="J970" s="392"/>
      <c r="K970" s="392"/>
      <c r="L970" s="392"/>
      <c r="M970" s="392"/>
      <c r="N970" s="392">
        <f t="shared" si="25"/>
        <v>322.14489295637287</v>
      </c>
    </row>
    <row r="971" spans="1:14" hidden="1" outlineLevel="2" x14ac:dyDescent="0.35">
      <c r="A971" s="388" t="s">
        <v>4702</v>
      </c>
      <c r="B971" s="389">
        <v>44497</v>
      </c>
      <c r="C971" s="390" t="s">
        <v>4576</v>
      </c>
      <c r="D971" s="391" t="s">
        <v>4604</v>
      </c>
      <c r="E971" s="391" t="s">
        <v>4272</v>
      </c>
      <c r="F971" s="392">
        <v>86576.577000000005</v>
      </c>
      <c r="G971" s="393" t="s">
        <v>3800</v>
      </c>
      <c r="H971" s="394">
        <v>32.214489295637286</v>
      </c>
      <c r="I971" s="394"/>
      <c r="J971" s="392"/>
      <c r="K971" s="392"/>
      <c r="L971" s="392"/>
      <c r="M971" s="392"/>
      <c r="N971" s="392">
        <f t="shared" si="25"/>
        <v>32.214489295637286</v>
      </c>
    </row>
    <row r="972" spans="1:14" hidden="1" outlineLevel="2" x14ac:dyDescent="0.35">
      <c r="A972" s="388" t="s">
        <v>4702</v>
      </c>
      <c r="B972" s="389">
        <v>44497</v>
      </c>
      <c r="C972" s="390" t="s">
        <v>4578</v>
      </c>
      <c r="D972" s="391" t="s">
        <v>4605</v>
      </c>
      <c r="E972" s="391" t="s">
        <v>4042</v>
      </c>
      <c r="F972" s="392">
        <v>5194.5946199999998</v>
      </c>
      <c r="G972" s="393" t="s">
        <v>3800</v>
      </c>
      <c r="H972" s="394">
        <v>1.932869357738237</v>
      </c>
      <c r="I972" s="394"/>
      <c r="J972" s="392"/>
      <c r="K972" s="392"/>
      <c r="L972" s="392"/>
      <c r="M972" s="392"/>
      <c r="N972" s="392">
        <f t="shared" si="25"/>
        <v>1.932869357738237</v>
      </c>
    </row>
    <row r="973" spans="1:14" hidden="1" outlineLevel="2" x14ac:dyDescent="0.35">
      <c r="A973" s="388" t="s">
        <v>4702</v>
      </c>
      <c r="B973" s="389">
        <v>44497</v>
      </c>
      <c r="C973" s="390" t="s">
        <v>4574</v>
      </c>
      <c r="D973" s="391" t="s">
        <v>4575</v>
      </c>
      <c r="E973" s="391" t="s">
        <v>4708</v>
      </c>
      <c r="F973" s="392">
        <v>865765.77</v>
      </c>
      <c r="G973" s="393" t="s">
        <v>3800</v>
      </c>
      <c r="H973" s="394">
        <v>322.14489295637287</v>
      </c>
      <c r="I973" s="394"/>
      <c r="J973" s="392"/>
      <c r="K973" s="392"/>
      <c r="L973" s="392"/>
      <c r="M973" s="392"/>
      <c r="N973" s="392">
        <f t="shared" si="25"/>
        <v>322.14489295637287</v>
      </c>
    </row>
    <row r="974" spans="1:14" hidden="1" outlineLevel="2" x14ac:dyDescent="0.35">
      <c r="A974" s="388" t="s">
        <v>4702</v>
      </c>
      <c r="B974" s="389">
        <v>44497</v>
      </c>
      <c r="C974" s="390" t="s">
        <v>4576</v>
      </c>
      <c r="D974" s="391" t="s">
        <v>4604</v>
      </c>
      <c r="E974" s="391" t="s">
        <v>4272</v>
      </c>
      <c r="F974" s="392">
        <v>86576.577000000005</v>
      </c>
      <c r="G974" s="393" t="s">
        <v>3800</v>
      </c>
      <c r="H974" s="394">
        <v>32.214489295637286</v>
      </c>
      <c r="I974" s="394"/>
      <c r="J974" s="392"/>
      <c r="K974" s="392"/>
      <c r="L974" s="392"/>
      <c r="M974" s="392"/>
      <c r="N974" s="392">
        <f t="shared" si="25"/>
        <v>32.214489295637286</v>
      </c>
    </row>
    <row r="975" spans="1:14" hidden="1" outlineLevel="2" x14ac:dyDescent="0.35">
      <c r="A975" s="388" t="s">
        <v>4702</v>
      </c>
      <c r="B975" s="389">
        <v>44497</v>
      </c>
      <c r="C975" s="390" t="s">
        <v>4578</v>
      </c>
      <c r="D975" s="391" t="s">
        <v>4605</v>
      </c>
      <c r="E975" s="391" t="s">
        <v>4042</v>
      </c>
      <c r="F975" s="392">
        <v>5194.5946199999998</v>
      </c>
      <c r="G975" s="393" t="s">
        <v>3800</v>
      </c>
      <c r="H975" s="394">
        <v>1.932869357738237</v>
      </c>
      <c r="I975" s="394"/>
      <c r="J975" s="392"/>
      <c r="K975" s="392"/>
      <c r="L975" s="392"/>
      <c r="M975" s="392"/>
      <c r="N975" s="392">
        <f t="shared" si="25"/>
        <v>1.932869357738237</v>
      </c>
    </row>
    <row r="976" spans="1:14" hidden="1" outlineLevel="2" x14ac:dyDescent="0.35">
      <c r="A976" s="388" t="s">
        <v>4702</v>
      </c>
      <c r="B976" s="389">
        <v>44497</v>
      </c>
      <c r="C976" s="390" t="s">
        <v>4574</v>
      </c>
      <c r="D976" s="391" t="s">
        <v>4575</v>
      </c>
      <c r="E976" s="391" t="s">
        <v>4709</v>
      </c>
      <c r="F976" s="392">
        <v>865765.77</v>
      </c>
      <c r="G976" s="393" t="s">
        <v>3800</v>
      </c>
      <c r="H976" s="394">
        <v>322.14489295637287</v>
      </c>
      <c r="I976" s="394"/>
      <c r="J976" s="392"/>
      <c r="K976" s="392"/>
      <c r="L976" s="392"/>
      <c r="M976" s="392"/>
      <c r="N976" s="392">
        <f t="shared" si="25"/>
        <v>322.14489295637287</v>
      </c>
    </row>
    <row r="977" spans="1:14" hidden="1" outlineLevel="2" x14ac:dyDescent="0.35">
      <c r="A977" s="388" t="s">
        <v>4702</v>
      </c>
      <c r="B977" s="389">
        <v>44497</v>
      </c>
      <c r="C977" s="390" t="s">
        <v>4576</v>
      </c>
      <c r="D977" s="391" t="s">
        <v>4604</v>
      </c>
      <c r="E977" s="391" t="s">
        <v>4272</v>
      </c>
      <c r="F977" s="392">
        <v>86576.577000000005</v>
      </c>
      <c r="G977" s="393" t="s">
        <v>3800</v>
      </c>
      <c r="H977" s="394">
        <v>32.214489295637286</v>
      </c>
      <c r="I977" s="394"/>
      <c r="J977" s="392"/>
      <c r="K977" s="392"/>
      <c r="L977" s="392"/>
      <c r="M977" s="392"/>
      <c r="N977" s="392">
        <f t="shared" si="25"/>
        <v>32.214489295637286</v>
      </c>
    </row>
    <row r="978" spans="1:14" hidden="1" outlineLevel="2" collapsed="1" x14ac:dyDescent="0.35">
      <c r="A978" s="388" t="s">
        <v>4702</v>
      </c>
      <c r="B978" s="389">
        <v>44497</v>
      </c>
      <c r="C978" s="390" t="s">
        <v>4578</v>
      </c>
      <c r="D978" s="391" t="s">
        <v>4605</v>
      </c>
      <c r="E978" s="391" t="s">
        <v>4042</v>
      </c>
      <c r="F978" s="392">
        <v>5194.5946199999998</v>
      </c>
      <c r="G978" s="393" t="s">
        <v>3800</v>
      </c>
      <c r="H978" s="394">
        <v>1.932869357738237</v>
      </c>
      <c r="I978" s="394"/>
      <c r="J978" s="392"/>
      <c r="K978" s="392"/>
      <c r="L978" s="392"/>
      <c r="M978" s="392"/>
      <c r="N978" s="392">
        <f t="shared" si="25"/>
        <v>1.932869357738237</v>
      </c>
    </row>
    <row r="979" spans="1:14" hidden="1" outlineLevel="2" x14ac:dyDescent="0.35">
      <c r="A979" s="388" t="s">
        <v>4702</v>
      </c>
      <c r="B979" s="389">
        <v>44497</v>
      </c>
      <c r="C979" s="390" t="s">
        <v>4574</v>
      </c>
      <c r="D979" s="391" t="s">
        <v>4575</v>
      </c>
      <c r="E979" s="391" t="s">
        <v>4710</v>
      </c>
      <c r="F979" s="392">
        <v>865765.77</v>
      </c>
      <c r="G979" s="393" t="s">
        <v>3800</v>
      </c>
      <c r="H979" s="394">
        <v>322.14489295637287</v>
      </c>
      <c r="I979" s="394"/>
      <c r="J979" s="392"/>
      <c r="K979" s="392"/>
      <c r="L979" s="392"/>
      <c r="M979" s="392"/>
      <c r="N979" s="392">
        <f t="shared" si="25"/>
        <v>322.14489295637287</v>
      </c>
    </row>
    <row r="980" spans="1:14" hidden="1" outlineLevel="2" x14ac:dyDescent="0.35">
      <c r="A980" s="388" t="s">
        <v>4702</v>
      </c>
      <c r="B980" s="389">
        <v>44497</v>
      </c>
      <c r="C980" s="390" t="s">
        <v>4576</v>
      </c>
      <c r="D980" s="391" t="s">
        <v>4604</v>
      </c>
      <c r="E980" s="391" t="s">
        <v>4272</v>
      </c>
      <c r="F980" s="392">
        <v>86576.577000000005</v>
      </c>
      <c r="G980" s="393" t="s">
        <v>3800</v>
      </c>
      <c r="H980" s="394">
        <v>32.214489295637286</v>
      </c>
      <c r="I980" s="394"/>
      <c r="J980" s="392"/>
      <c r="K980" s="392"/>
      <c r="L980" s="392"/>
      <c r="M980" s="392"/>
      <c r="N980" s="392">
        <f t="shared" si="25"/>
        <v>32.214489295637286</v>
      </c>
    </row>
    <row r="981" spans="1:14" hidden="1" outlineLevel="2" x14ac:dyDescent="0.35">
      <c r="A981" s="388" t="s">
        <v>4702</v>
      </c>
      <c r="B981" s="389">
        <v>44497</v>
      </c>
      <c r="C981" s="390" t="s">
        <v>4578</v>
      </c>
      <c r="D981" s="391" t="s">
        <v>4605</v>
      </c>
      <c r="E981" s="391" t="s">
        <v>4042</v>
      </c>
      <c r="F981" s="392">
        <v>5194.5946199999998</v>
      </c>
      <c r="G981" s="393" t="s">
        <v>3800</v>
      </c>
      <c r="H981" s="394">
        <v>1.932869357738237</v>
      </c>
      <c r="I981" s="394"/>
      <c r="J981" s="392"/>
      <c r="K981" s="392"/>
      <c r="L981" s="392"/>
      <c r="M981" s="392"/>
      <c r="N981" s="392">
        <f t="shared" si="25"/>
        <v>1.932869357738237</v>
      </c>
    </row>
    <row r="982" spans="1:14" hidden="1" outlineLevel="2" x14ac:dyDescent="0.35">
      <c r="A982" s="388" t="s">
        <v>4702</v>
      </c>
      <c r="B982" s="389">
        <v>44497</v>
      </c>
      <c r="C982" s="390" t="s">
        <v>4574</v>
      </c>
      <c r="D982" s="391" t="s">
        <v>4575</v>
      </c>
      <c r="E982" s="391" t="s">
        <v>4711</v>
      </c>
      <c r="F982" s="392">
        <v>865765.77</v>
      </c>
      <c r="G982" s="393" t="s">
        <v>3800</v>
      </c>
      <c r="H982" s="394">
        <v>322.14489295637287</v>
      </c>
      <c r="I982" s="394"/>
      <c r="J982" s="392"/>
      <c r="K982" s="392"/>
      <c r="L982" s="392"/>
      <c r="M982" s="392"/>
      <c r="N982" s="392">
        <f t="shared" si="25"/>
        <v>322.14489295637287</v>
      </c>
    </row>
    <row r="983" spans="1:14" hidden="1" outlineLevel="2" x14ac:dyDescent="0.35">
      <c r="A983" s="388" t="s">
        <v>4702</v>
      </c>
      <c r="B983" s="389">
        <v>44497</v>
      </c>
      <c r="C983" s="390" t="s">
        <v>4576</v>
      </c>
      <c r="D983" s="391" t="s">
        <v>4604</v>
      </c>
      <c r="E983" s="391" t="s">
        <v>4272</v>
      </c>
      <c r="F983" s="392">
        <v>86576.577000000005</v>
      </c>
      <c r="G983" s="393" t="s">
        <v>3800</v>
      </c>
      <c r="H983" s="394">
        <v>32.214489295637286</v>
      </c>
      <c r="I983" s="394"/>
      <c r="J983" s="392"/>
      <c r="K983" s="392"/>
      <c r="L983" s="392"/>
      <c r="M983" s="392"/>
      <c r="N983" s="392">
        <f t="shared" si="25"/>
        <v>32.214489295637286</v>
      </c>
    </row>
    <row r="984" spans="1:14" hidden="1" outlineLevel="2" x14ac:dyDescent="0.35">
      <c r="A984" s="388" t="s">
        <v>4702</v>
      </c>
      <c r="B984" s="389">
        <v>44497</v>
      </c>
      <c r="C984" s="390" t="s">
        <v>4578</v>
      </c>
      <c r="D984" s="391" t="s">
        <v>4605</v>
      </c>
      <c r="E984" s="391" t="s">
        <v>4042</v>
      </c>
      <c r="F984" s="392">
        <v>5194.5946199999998</v>
      </c>
      <c r="G984" s="393" t="s">
        <v>3800</v>
      </c>
      <c r="H984" s="394">
        <v>1.932869357738237</v>
      </c>
      <c r="I984" s="394"/>
      <c r="J984" s="392"/>
      <c r="K984" s="392"/>
      <c r="L984" s="392"/>
      <c r="M984" s="392"/>
      <c r="N984" s="392">
        <f t="shared" si="25"/>
        <v>1.932869357738237</v>
      </c>
    </row>
    <row r="985" spans="1:14" hidden="1" outlineLevel="2" x14ac:dyDescent="0.35">
      <c r="A985" s="388" t="s">
        <v>4702</v>
      </c>
      <c r="B985" s="389">
        <v>44497</v>
      </c>
      <c r="C985" s="390" t="s">
        <v>4574</v>
      </c>
      <c r="D985" s="391" t="s">
        <v>4575</v>
      </c>
      <c r="E985" s="391" t="s">
        <v>4712</v>
      </c>
      <c r="F985" s="392">
        <v>865765.77</v>
      </c>
      <c r="G985" s="393" t="s">
        <v>3800</v>
      </c>
      <c r="H985" s="394">
        <v>322.14489295637287</v>
      </c>
      <c r="I985" s="394"/>
      <c r="J985" s="392"/>
      <c r="K985" s="392"/>
      <c r="L985" s="392"/>
      <c r="M985" s="392"/>
      <c r="N985" s="392">
        <f t="shared" si="25"/>
        <v>322.14489295637287</v>
      </c>
    </row>
    <row r="986" spans="1:14" hidden="1" outlineLevel="2" x14ac:dyDescent="0.35">
      <c r="A986" s="388" t="s">
        <v>4702</v>
      </c>
      <c r="B986" s="389">
        <v>44497</v>
      </c>
      <c r="C986" s="390" t="s">
        <v>4576</v>
      </c>
      <c r="D986" s="391" t="s">
        <v>4604</v>
      </c>
      <c r="E986" s="391" t="s">
        <v>4272</v>
      </c>
      <c r="F986" s="392">
        <v>86576.577000000005</v>
      </c>
      <c r="G986" s="393" t="s">
        <v>3800</v>
      </c>
      <c r="H986" s="394">
        <v>32.214489295637286</v>
      </c>
      <c r="I986" s="394"/>
      <c r="J986" s="392"/>
      <c r="K986" s="392"/>
      <c r="L986" s="392"/>
      <c r="M986" s="392"/>
      <c r="N986" s="392">
        <f t="shared" si="25"/>
        <v>32.214489295637286</v>
      </c>
    </row>
    <row r="987" spans="1:14" hidden="1" outlineLevel="2" x14ac:dyDescent="0.35">
      <c r="A987" s="388" t="s">
        <v>4702</v>
      </c>
      <c r="B987" s="389">
        <v>44497</v>
      </c>
      <c r="C987" s="390" t="s">
        <v>4578</v>
      </c>
      <c r="D987" s="391" t="s">
        <v>4605</v>
      </c>
      <c r="E987" s="391" t="s">
        <v>4042</v>
      </c>
      <c r="F987" s="392">
        <v>5194.5946199999998</v>
      </c>
      <c r="G987" s="393" t="s">
        <v>3800</v>
      </c>
      <c r="H987" s="394">
        <v>1.932869357738237</v>
      </c>
      <c r="I987" s="394"/>
      <c r="J987" s="392"/>
      <c r="K987" s="392"/>
      <c r="L987" s="392"/>
      <c r="M987" s="392"/>
      <c r="N987" s="392">
        <f t="shared" si="25"/>
        <v>1.932869357738237</v>
      </c>
    </row>
    <row r="988" spans="1:14" hidden="1" outlineLevel="2" collapsed="1" x14ac:dyDescent="0.35">
      <c r="A988" s="388" t="s">
        <v>4702</v>
      </c>
      <c r="B988" s="389">
        <v>44497</v>
      </c>
      <c r="C988" s="390" t="s">
        <v>4574</v>
      </c>
      <c r="D988" s="391" t="s">
        <v>4575</v>
      </c>
      <c r="E988" s="391" t="s">
        <v>4713</v>
      </c>
      <c r="F988" s="392">
        <v>865765.77</v>
      </c>
      <c r="G988" s="393" t="s">
        <v>3800</v>
      </c>
      <c r="H988" s="394">
        <v>322.14489295637287</v>
      </c>
      <c r="I988" s="394"/>
      <c r="J988" s="392"/>
      <c r="K988" s="392"/>
      <c r="L988" s="392"/>
      <c r="M988" s="392"/>
      <c r="N988" s="392">
        <f t="shared" si="25"/>
        <v>322.14489295637287</v>
      </c>
    </row>
    <row r="989" spans="1:14" hidden="1" outlineLevel="2" x14ac:dyDescent="0.35">
      <c r="A989" s="388" t="s">
        <v>4702</v>
      </c>
      <c r="B989" s="389">
        <v>44497</v>
      </c>
      <c r="C989" s="390" t="s">
        <v>4576</v>
      </c>
      <c r="D989" s="391" t="s">
        <v>4604</v>
      </c>
      <c r="E989" s="391" t="s">
        <v>4272</v>
      </c>
      <c r="F989" s="392">
        <v>86576.577000000005</v>
      </c>
      <c r="G989" s="393" t="s">
        <v>3800</v>
      </c>
      <c r="H989" s="394">
        <v>32.214489295637286</v>
      </c>
      <c r="I989" s="394"/>
      <c r="J989" s="392"/>
      <c r="K989" s="392"/>
      <c r="L989" s="392"/>
      <c r="M989" s="392"/>
      <c r="N989" s="392">
        <f t="shared" si="25"/>
        <v>32.214489295637286</v>
      </c>
    </row>
    <row r="990" spans="1:14" hidden="1" outlineLevel="2" x14ac:dyDescent="0.35">
      <c r="A990" s="388" t="s">
        <v>4702</v>
      </c>
      <c r="B990" s="389">
        <v>44497</v>
      </c>
      <c r="C990" s="390" t="s">
        <v>4578</v>
      </c>
      <c r="D990" s="391" t="s">
        <v>4605</v>
      </c>
      <c r="E990" s="391" t="s">
        <v>4042</v>
      </c>
      <c r="F990" s="392">
        <v>5194.5946199999998</v>
      </c>
      <c r="G990" s="393" t="s">
        <v>3800</v>
      </c>
      <c r="H990" s="394">
        <v>1.932869357738237</v>
      </c>
      <c r="I990" s="394"/>
      <c r="J990" s="392"/>
      <c r="K990" s="392"/>
      <c r="L990" s="392"/>
      <c r="M990" s="392"/>
      <c r="N990" s="392">
        <f t="shared" si="25"/>
        <v>1.932869357738237</v>
      </c>
    </row>
    <row r="991" spans="1:14" hidden="1" outlineLevel="2" x14ac:dyDescent="0.35">
      <c r="A991" s="388" t="s">
        <v>4702</v>
      </c>
      <c r="B991" s="389">
        <v>44497</v>
      </c>
      <c r="C991" s="390" t="s">
        <v>4574</v>
      </c>
      <c r="D991" s="391" t="s">
        <v>4575</v>
      </c>
      <c r="E991" s="391" t="s">
        <v>4714</v>
      </c>
      <c r="F991" s="392">
        <v>865765.77</v>
      </c>
      <c r="G991" s="393" t="s">
        <v>3800</v>
      </c>
      <c r="H991" s="394">
        <v>322.14489295637287</v>
      </c>
      <c r="I991" s="394"/>
      <c r="J991" s="392"/>
      <c r="K991" s="392"/>
      <c r="L991" s="392"/>
      <c r="M991" s="392"/>
      <c r="N991" s="392">
        <f t="shared" si="25"/>
        <v>322.14489295637287</v>
      </c>
    </row>
    <row r="992" spans="1:14" hidden="1" outlineLevel="2" x14ac:dyDescent="0.35">
      <c r="A992" s="388" t="s">
        <v>4702</v>
      </c>
      <c r="B992" s="389">
        <v>44497</v>
      </c>
      <c r="C992" s="390" t="s">
        <v>4576</v>
      </c>
      <c r="D992" s="391" t="s">
        <v>4604</v>
      </c>
      <c r="E992" s="391" t="s">
        <v>4272</v>
      </c>
      <c r="F992" s="392">
        <v>86576.577000000005</v>
      </c>
      <c r="G992" s="393" t="s">
        <v>3800</v>
      </c>
      <c r="H992" s="394">
        <v>32.214489295637286</v>
      </c>
      <c r="I992" s="394"/>
      <c r="J992" s="392"/>
      <c r="K992" s="392"/>
      <c r="L992" s="392"/>
      <c r="M992" s="392"/>
      <c r="N992" s="392">
        <f t="shared" si="25"/>
        <v>32.214489295637286</v>
      </c>
    </row>
    <row r="993" spans="1:14" hidden="1" outlineLevel="2" x14ac:dyDescent="0.35">
      <c r="A993" s="388" t="s">
        <v>4702</v>
      </c>
      <c r="B993" s="389">
        <v>44497</v>
      </c>
      <c r="C993" s="390" t="s">
        <v>4578</v>
      </c>
      <c r="D993" s="391" t="s">
        <v>4605</v>
      </c>
      <c r="E993" s="391" t="s">
        <v>4042</v>
      </c>
      <c r="F993" s="392">
        <v>5194.5946199999998</v>
      </c>
      <c r="G993" s="393" t="s">
        <v>3800</v>
      </c>
      <c r="H993" s="394">
        <v>1.932869357738237</v>
      </c>
      <c r="I993" s="394"/>
      <c r="J993" s="392"/>
      <c r="K993" s="392"/>
      <c r="L993" s="392"/>
      <c r="M993" s="392"/>
      <c r="N993" s="392">
        <f t="shared" si="25"/>
        <v>1.932869357738237</v>
      </c>
    </row>
    <row r="994" spans="1:14" hidden="1" outlineLevel="2" collapsed="1" x14ac:dyDescent="0.35">
      <c r="A994" s="388" t="s">
        <v>4702</v>
      </c>
      <c r="B994" s="389">
        <v>44497</v>
      </c>
      <c r="C994" s="390" t="s">
        <v>4574</v>
      </c>
      <c r="D994" s="391" t="s">
        <v>4575</v>
      </c>
      <c r="E994" s="391" t="s">
        <v>4716</v>
      </c>
      <c r="F994" s="392">
        <v>865765.77</v>
      </c>
      <c r="G994" s="393" t="s">
        <v>3800</v>
      </c>
      <c r="H994" s="394">
        <v>322.14489295637287</v>
      </c>
      <c r="I994" s="394"/>
      <c r="J994" s="392"/>
      <c r="K994" s="392"/>
      <c r="L994" s="392"/>
      <c r="M994" s="392"/>
      <c r="N994" s="392">
        <f t="shared" si="25"/>
        <v>322.14489295637287</v>
      </c>
    </row>
    <row r="995" spans="1:14" hidden="1" outlineLevel="2" x14ac:dyDescent="0.35">
      <c r="A995" s="388" t="s">
        <v>4702</v>
      </c>
      <c r="B995" s="389">
        <v>44497</v>
      </c>
      <c r="C995" s="390" t="s">
        <v>4576</v>
      </c>
      <c r="D995" s="391" t="s">
        <v>4604</v>
      </c>
      <c r="E995" s="391" t="s">
        <v>4272</v>
      </c>
      <c r="F995" s="392">
        <v>86576.577000000005</v>
      </c>
      <c r="G995" s="393" t="s">
        <v>3800</v>
      </c>
      <c r="H995" s="394">
        <v>32.214489295637286</v>
      </c>
      <c r="I995" s="394"/>
      <c r="J995" s="392"/>
      <c r="K995" s="392"/>
      <c r="L995" s="392"/>
      <c r="M995" s="392"/>
      <c r="N995" s="392">
        <f t="shared" si="25"/>
        <v>32.214489295637286</v>
      </c>
    </row>
    <row r="996" spans="1:14" hidden="1" outlineLevel="2" x14ac:dyDescent="0.35">
      <c r="A996" s="388" t="s">
        <v>4702</v>
      </c>
      <c r="B996" s="389">
        <v>44497</v>
      </c>
      <c r="C996" s="390" t="s">
        <v>4578</v>
      </c>
      <c r="D996" s="391" t="s">
        <v>4605</v>
      </c>
      <c r="E996" s="391" t="s">
        <v>4042</v>
      </c>
      <c r="F996" s="392">
        <v>5194.5946199999998</v>
      </c>
      <c r="G996" s="393" t="s">
        <v>3800</v>
      </c>
      <c r="H996" s="394">
        <v>1.932869357738237</v>
      </c>
      <c r="I996" s="394"/>
      <c r="J996" s="392"/>
      <c r="K996" s="392"/>
      <c r="L996" s="392"/>
      <c r="M996" s="392"/>
      <c r="N996" s="392">
        <f t="shared" si="25"/>
        <v>1.932869357738237</v>
      </c>
    </row>
    <row r="997" spans="1:14" hidden="1" outlineLevel="2" x14ac:dyDescent="0.35">
      <c r="A997" s="388" t="s">
        <v>4702</v>
      </c>
      <c r="B997" s="389">
        <v>44497</v>
      </c>
      <c r="C997" s="390" t="s">
        <v>4574</v>
      </c>
      <c r="D997" s="391" t="s">
        <v>4575</v>
      </c>
      <c r="E997" s="391" t="s">
        <v>4717</v>
      </c>
      <c r="F997" s="392">
        <v>865765.77</v>
      </c>
      <c r="G997" s="393" t="s">
        <v>3800</v>
      </c>
      <c r="H997" s="394">
        <v>322.14489295637287</v>
      </c>
      <c r="I997" s="394"/>
      <c r="J997" s="392"/>
      <c r="K997" s="392"/>
      <c r="L997" s="392"/>
      <c r="M997" s="392"/>
      <c r="N997" s="392">
        <f t="shared" si="25"/>
        <v>322.14489295637287</v>
      </c>
    </row>
    <row r="998" spans="1:14" hidden="1" outlineLevel="2" collapsed="1" x14ac:dyDescent="0.35">
      <c r="A998" s="388" t="s">
        <v>4702</v>
      </c>
      <c r="B998" s="389">
        <v>44497</v>
      </c>
      <c r="C998" s="390" t="s">
        <v>4576</v>
      </c>
      <c r="D998" s="391" t="s">
        <v>4604</v>
      </c>
      <c r="E998" s="391" t="s">
        <v>4272</v>
      </c>
      <c r="F998" s="392">
        <v>86576.577000000005</v>
      </c>
      <c r="G998" s="393" t="s">
        <v>3800</v>
      </c>
      <c r="H998" s="394">
        <v>32.214489295637286</v>
      </c>
      <c r="I998" s="394"/>
      <c r="J998" s="392"/>
      <c r="K998" s="392"/>
      <c r="L998" s="392"/>
      <c r="M998" s="392"/>
      <c r="N998" s="392">
        <f t="shared" si="25"/>
        <v>32.214489295637286</v>
      </c>
    </row>
    <row r="999" spans="1:14" hidden="1" outlineLevel="2" x14ac:dyDescent="0.35">
      <c r="A999" s="388" t="s">
        <v>4702</v>
      </c>
      <c r="B999" s="389">
        <v>44497</v>
      </c>
      <c r="C999" s="390" t="s">
        <v>4578</v>
      </c>
      <c r="D999" s="391" t="s">
        <v>4605</v>
      </c>
      <c r="E999" s="391" t="s">
        <v>4042</v>
      </c>
      <c r="F999" s="392">
        <v>5194.5946199999998</v>
      </c>
      <c r="G999" s="393" t="s">
        <v>3800</v>
      </c>
      <c r="H999" s="394">
        <v>1.932869357738237</v>
      </c>
      <c r="I999" s="394"/>
      <c r="J999" s="392"/>
      <c r="K999" s="392"/>
      <c r="L999" s="392"/>
      <c r="M999" s="392"/>
      <c r="N999" s="392">
        <f t="shared" si="25"/>
        <v>1.932869357738237</v>
      </c>
    </row>
    <row r="1000" spans="1:14" hidden="1" outlineLevel="2" x14ac:dyDescent="0.35">
      <c r="A1000" s="388" t="s">
        <v>4702</v>
      </c>
      <c r="B1000" s="389">
        <v>44497</v>
      </c>
      <c r="C1000" s="390" t="s">
        <v>4574</v>
      </c>
      <c r="D1000" s="391" t="s">
        <v>4575</v>
      </c>
      <c r="E1000" s="391" t="s">
        <v>4718</v>
      </c>
      <c r="F1000" s="392">
        <v>865765.77</v>
      </c>
      <c r="G1000" s="393" t="s">
        <v>3800</v>
      </c>
      <c r="H1000" s="394">
        <v>322.14489295637287</v>
      </c>
      <c r="I1000" s="394"/>
      <c r="J1000" s="392"/>
      <c r="K1000" s="392"/>
      <c r="L1000" s="392"/>
      <c r="M1000" s="392"/>
      <c r="N1000" s="392">
        <f t="shared" si="25"/>
        <v>322.14489295637287</v>
      </c>
    </row>
    <row r="1001" spans="1:14" hidden="1" outlineLevel="2" x14ac:dyDescent="0.35">
      <c r="A1001" s="388" t="s">
        <v>4702</v>
      </c>
      <c r="B1001" s="389">
        <v>44497</v>
      </c>
      <c r="C1001" s="390" t="s">
        <v>4576</v>
      </c>
      <c r="D1001" s="391" t="s">
        <v>4604</v>
      </c>
      <c r="E1001" s="391" t="s">
        <v>4272</v>
      </c>
      <c r="F1001" s="392">
        <v>86576.577000000005</v>
      </c>
      <c r="G1001" s="393" t="s">
        <v>3800</v>
      </c>
      <c r="H1001" s="394">
        <v>32.214489295637286</v>
      </c>
      <c r="I1001" s="394"/>
      <c r="J1001" s="392"/>
      <c r="K1001" s="392"/>
      <c r="L1001" s="392"/>
      <c r="M1001" s="392"/>
      <c r="N1001" s="392">
        <f t="shared" si="25"/>
        <v>32.214489295637286</v>
      </c>
    </row>
    <row r="1002" spans="1:14" hidden="1" outlineLevel="2" x14ac:dyDescent="0.35">
      <c r="A1002" s="388" t="s">
        <v>4702</v>
      </c>
      <c r="B1002" s="389">
        <v>44497</v>
      </c>
      <c r="C1002" s="390" t="s">
        <v>4578</v>
      </c>
      <c r="D1002" s="391" t="s">
        <v>4605</v>
      </c>
      <c r="E1002" s="391" t="s">
        <v>4042</v>
      </c>
      <c r="F1002" s="392">
        <v>5194.5946199999998</v>
      </c>
      <c r="G1002" s="393" t="s">
        <v>3800</v>
      </c>
      <c r="H1002" s="394">
        <v>1.932869357738237</v>
      </c>
      <c r="I1002" s="394"/>
      <c r="J1002" s="392"/>
      <c r="K1002" s="392"/>
      <c r="L1002" s="392"/>
      <c r="M1002" s="392"/>
      <c r="N1002" s="392">
        <f t="shared" si="25"/>
        <v>1.932869357738237</v>
      </c>
    </row>
    <row r="1003" spans="1:14" hidden="1" outlineLevel="2" x14ac:dyDescent="0.35">
      <c r="A1003" s="388" t="s">
        <v>4702</v>
      </c>
      <c r="B1003" s="389">
        <v>44497</v>
      </c>
      <c r="C1003" s="390" t="s">
        <v>4574</v>
      </c>
      <c r="D1003" s="391" t="s">
        <v>4575</v>
      </c>
      <c r="E1003" s="391" t="s">
        <v>4722</v>
      </c>
      <c r="F1003" s="392">
        <v>865765.77</v>
      </c>
      <c r="G1003" s="393" t="s">
        <v>3800</v>
      </c>
      <c r="H1003" s="394">
        <v>322.14489295637287</v>
      </c>
      <c r="I1003" s="394"/>
      <c r="J1003" s="392"/>
      <c r="K1003" s="392"/>
      <c r="L1003" s="392"/>
      <c r="M1003" s="392"/>
      <c r="N1003" s="392">
        <f t="shared" si="25"/>
        <v>322.14489295637287</v>
      </c>
    </row>
    <row r="1004" spans="1:14" hidden="1" outlineLevel="2" x14ac:dyDescent="0.35">
      <c r="A1004" s="388" t="s">
        <v>4702</v>
      </c>
      <c r="B1004" s="389">
        <v>44497</v>
      </c>
      <c r="C1004" s="390" t="s">
        <v>4576</v>
      </c>
      <c r="D1004" s="391" t="s">
        <v>4604</v>
      </c>
      <c r="E1004" s="391" t="s">
        <v>4272</v>
      </c>
      <c r="F1004" s="392">
        <v>86576.577000000005</v>
      </c>
      <c r="G1004" s="393" t="s">
        <v>3800</v>
      </c>
      <c r="H1004" s="394">
        <v>32.214489295637286</v>
      </c>
      <c r="I1004" s="394"/>
      <c r="J1004" s="392"/>
      <c r="K1004" s="392"/>
      <c r="L1004" s="392"/>
      <c r="M1004" s="392"/>
      <c r="N1004" s="392">
        <f t="shared" ref="N1004:N1067" si="26">H1004</f>
        <v>32.214489295637286</v>
      </c>
    </row>
    <row r="1005" spans="1:14" hidden="1" outlineLevel="2" x14ac:dyDescent="0.35">
      <c r="A1005" s="388" t="s">
        <v>4702</v>
      </c>
      <c r="B1005" s="389">
        <v>44497</v>
      </c>
      <c r="C1005" s="390" t="s">
        <v>4578</v>
      </c>
      <c r="D1005" s="391" t="s">
        <v>4605</v>
      </c>
      <c r="E1005" s="391" t="s">
        <v>4042</v>
      </c>
      <c r="F1005" s="392">
        <v>5194.5946199999998</v>
      </c>
      <c r="G1005" s="393" t="s">
        <v>3800</v>
      </c>
      <c r="H1005" s="394">
        <v>1.932869357738237</v>
      </c>
      <c r="I1005" s="394"/>
      <c r="J1005" s="392"/>
      <c r="K1005" s="392"/>
      <c r="L1005" s="392"/>
      <c r="M1005" s="392"/>
      <c r="N1005" s="392">
        <f t="shared" si="26"/>
        <v>1.932869357738237</v>
      </c>
    </row>
    <row r="1006" spans="1:14" hidden="1" outlineLevel="2" x14ac:dyDescent="0.35">
      <c r="A1006" s="388" t="s">
        <v>4702</v>
      </c>
      <c r="B1006" s="389">
        <v>44497</v>
      </c>
      <c r="C1006" s="390" t="s">
        <v>4574</v>
      </c>
      <c r="D1006" s="391" t="s">
        <v>4575</v>
      </c>
      <c r="E1006" s="391" t="s">
        <v>4723</v>
      </c>
      <c r="F1006" s="392">
        <v>865765.77</v>
      </c>
      <c r="G1006" s="393" t="s">
        <v>3800</v>
      </c>
      <c r="H1006" s="394">
        <v>322.14489295637287</v>
      </c>
      <c r="I1006" s="394"/>
      <c r="J1006" s="392"/>
      <c r="K1006" s="392"/>
      <c r="L1006" s="392"/>
      <c r="M1006" s="392"/>
      <c r="N1006" s="392">
        <f t="shared" si="26"/>
        <v>322.14489295637287</v>
      </c>
    </row>
    <row r="1007" spans="1:14" hidden="1" outlineLevel="2" x14ac:dyDescent="0.35">
      <c r="A1007" s="388" t="s">
        <v>4702</v>
      </c>
      <c r="B1007" s="389">
        <v>44497</v>
      </c>
      <c r="C1007" s="390" t="s">
        <v>4576</v>
      </c>
      <c r="D1007" s="391" t="s">
        <v>4604</v>
      </c>
      <c r="E1007" s="391" t="s">
        <v>4272</v>
      </c>
      <c r="F1007" s="392">
        <v>86576.577000000005</v>
      </c>
      <c r="G1007" s="393" t="s">
        <v>3800</v>
      </c>
      <c r="H1007" s="394">
        <v>32.214489295637286</v>
      </c>
      <c r="I1007" s="394"/>
      <c r="J1007" s="392"/>
      <c r="K1007" s="392"/>
      <c r="L1007" s="392"/>
      <c r="M1007" s="392"/>
      <c r="N1007" s="392">
        <f t="shared" si="26"/>
        <v>32.214489295637286</v>
      </c>
    </row>
    <row r="1008" spans="1:14" hidden="1" outlineLevel="2" x14ac:dyDescent="0.35">
      <c r="A1008" s="388" t="s">
        <v>4702</v>
      </c>
      <c r="B1008" s="389">
        <v>44497</v>
      </c>
      <c r="C1008" s="390" t="s">
        <v>4578</v>
      </c>
      <c r="D1008" s="391" t="s">
        <v>4605</v>
      </c>
      <c r="E1008" s="391" t="s">
        <v>4042</v>
      </c>
      <c r="F1008" s="392">
        <v>5194.5946199999998</v>
      </c>
      <c r="G1008" s="393" t="s">
        <v>3800</v>
      </c>
      <c r="H1008" s="394">
        <v>1.932869357738237</v>
      </c>
      <c r="I1008" s="394"/>
      <c r="J1008" s="392"/>
      <c r="K1008" s="392"/>
      <c r="L1008" s="392"/>
      <c r="M1008" s="392"/>
      <c r="N1008" s="392">
        <f t="shared" si="26"/>
        <v>1.932869357738237</v>
      </c>
    </row>
    <row r="1009" spans="1:14" hidden="1" outlineLevel="2" x14ac:dyDescent="0.35">
      <c r="A1009" s="388" t="s">
        <v>4702</v>
      </c>
      <c r="B1009" s="389">
        <v>44525</v>
      </c>
      <c r="C1009" s="390" t="s">
        <v>4580</v>
      </c>
      <c r="D1009" s="391" t="s">
        <v>4581</v>
      </c>
      <c r="E1009" s="391" t="s">
        <v>4703</v>
      </c>
      <c r="F1009" s="392">
        <v>865765.77</v>
      </c>
      <c r="G1009" s="393" t="s">
        <v>3800</v>
      </c>
      <c r="H1009" s="394">
        <v>322.14489295637287</v>
      </c>
      <c r="I1009" s="394"/>
      <c r="J1009" s="392"/>
      <c r="K1009" s="392"/>
      <c r="L1009" s="392"/>
      <c r="M1009" s="392"/>
      <c r="N1009" s="392">
        <f t="shared" si="26"/>
        <v>322.14489295637287</v>
      </c>
    </row>
    <row r="1010" spans="1:14" hidden="1" outlineLevel="2" x14ac:dyDescent="0.35">
      <c r="A1010" s="388" t="s">
        <v>4702</v>
      </c>
      <c r="B1010" s="389">
        <v>44525</v>
      </c>
      <c r="C1010" s="390" t="s">
        <v>4582</v>
      </c>
      <c r="D1010" s="391" t="s">
        <v>4583</v>
      </c>
      <c r="E1010" s="391" t="s">
        <v>4272</v>
      </c>
      <c r="F1010" s="392">
        <v>86576.577000000005</v>
      </c>
      <c r="G1010" s="393" t="s">
        <v>3800</v>
      </c>
      <c r="H1010" s="394">
        <v>32.214489295637286</v>
      </c>
      <c r="I1010" s="394"/>
      <c r="J1010" s="392"/>
      <c r="K1010" s="392"/>
      <c r="L1010" s="392"/>
      <c r="M1010" s="392"/>
      <c r="N1010" s="392">
        <f t="shared" si="26"/>
        <v>32.214489295637286</v>
      </c>
    </row>
    <row r="1011" spans="1:14" hidden="1" outlineLevel="2" x14ac:dyDescent="0.35">
      <c r="A1011" s="388" t="s">
        <v>4702</v>
      </c>
      <c r="B1011" s="389">
        <v>44525</v>
      </c>
      <c r="C1011" s="390" t="s">
        <v>4584</v>
      </c>
      <c r="D1011" s="391" t="s">
        <v>4585</v>
      </c>
      <c r="E1011" s="391" t="s">
        <v>4042</v>
      </c>
      <c r="F1011" s="392">
        <v>5194.5946199999998</v>
      </c>
      <c r="G1011" s="393" t="s">
        <v>3800</v>
      </c>
      <c r="H1011" s="394">
        <v>1.932869357738237</v>
      </c>
      <c r="I1011" s="394"/>
      <c r="J1011" s="392"/>
      <c r="K1011" s="392"/>
      <c r="L1011" s="392"/>
      <c r="M1011" s="392"/>
      <c r="N1011" s="392">
        <f t="shared" si="26"/>
        <v>1.932869357738237</v>
      </c>
    </row>
    <row r="1012" spans="1:14" hidden="1" outlineLevel="2" x14ac:dyDescent="0.35">
      <c r="A1012" s="388" t="s">
        <v>4702</v>
      </c>
      <c r="B1012" s="389">
        <v>44525</v>
      </c>
      <c r="C1012" s="390" t="s">
        <v>4580</v>
      </c>
      <c r="D1012" s="391" t="s">
        <v>4581</v>
      </c>
      <c r="E1012" s="391" t="s">
        <v>4720</v>
      </c>
      <c r="F1012" s="392">
        <v>865765.77</v>
      </c>
      <c r="G1012" s="393" t="s">
        <v>3800</v>
      </c>
      <c r="H1012" s="394">
        <v>322.14489295637287</v>
      </c>
      <c r="I1012" s="394"/>
      <c r="J1012" s="392"/>
      <c r="K1012" s="392"/>
      <c r="L1012" s="392"/>
      <c r="M1012" s="392"/>
      <c r="N1012" s="392">
        <f t="shared" si="26"/>
        <v>322.14489295637287</v>
      </c>
    </row>
    <row r="1013" spans="1:14" hidden="1" outlineLevel="2" x14ac:dyDescent="0.35">
      <c r="A1013" s="388" t="s">
        <v>4702</v>
      </c>
      <c r="B1013" s="389">
        <v>44525</v>
      </c>
      <c r="C1013" s="390" t="s">
        <v>4582</v>
      </c>
      <c r="D1013" s="391" t="s">
        <v>4583</v>
      </c>
      <c r="E1013" s="391" t="s">
        <v>4272</v>
      </c>
      <c r="F1013" s="392">
        <v>86576.577000000005</v>
      </c>
      <c r="G1013" s="393" t="s">
        <v>3800</v>
      </c>
      <c r="H1013" s="394">
        <v>32.214489295637286</v>
      </c>
      <c r="I1013" s="394"/>
      <c r="J1013" s="392"/>
      <c r="K1013" s="392"/>
      <c r="L1013" s="392"/>
      <c r="M1013" s="392"/>
      <c r="N1013" s="392">
        <f t="shared" si="26"/>
        <v>32.214489295637286</v>
      </c>
    </row>
    <row r="1014" spans="1:14" hidden="1" outlineLevel="2" x14ac:dyDescent="0.35">
      <c r="A1014" s="388" t="s">
        <v>4702</v>
      </c>
      <c r="B1014" s="389">
        <v>44525</v>
      </c>
      <c r="C1014" s="390" t="s">
        <v>4584</v>
      </c>
      <c r="D1014" s="391" t="s">
        <v>4585</v>
      </c>
      <c r="E1014" s="391" t="s">
        <v>4042</v>
      </c>
      <c r="F1014" s="392">
        <v>5194.5946199999998</v>
      </c>
      <c r="G1014" s="393" t="s">
        <v>3800</v>
      </c>
      <c r="H1014" s="394">
        <v>1.932869357738237</v>
      </c>
      <c r="I1014" s="394"/>
      <c r="J1014" s="392"/>
      <c r="K1014" s="392"/>
      <c r="L1014" s="392"/>
      <c r="M1014" s="392"/>
      <c r="N1014" s="392">
        <f t="shared" si="26"/>
        <v>1.932869357738237</v>
      </c>
    </row>
    <row r="1015" spans="1:14" hidden="1" outlineLevel="2" x14ac:dyDescent="0.35">
      <c r="A1015" s="388" t="s">
        <v>4702</v>
      </c>
      <c r="B1015" s="389">
        <v>44525</v>
      </c>
      <c r="C1015" s="390" t="s">
        <v>4580</v>
      </c>
      <c r="D1015" s="391" t="s">
        <v>4581</v>
      </c>
      <c r="E1015" s="391" t="s">
        <v>4721</v>
      </c>
      <c r="F1015" s="392">
        <v>865765.77</v>
      </c>
      <c r="G1015" s="393" t="s">
        <v>3800</v>
      </c>
      <c r="H1015" s="394">
        <v>322.14489295637287</v>
      </c>
      <c r="I1015" s="394"/>
      <c r="J1015" s="392"/>
      <c r="K1015" s="392"/>
      <c r="L1015" s="392"/>
      <c r="M1015" s="392"/>
      <c r="N1015" s="392">
        <f t="shared" si="26"/>
        <v>322.14489295637287</v>
      </c>
    </row>
    <row r="1016" spans="1:14" hidden="1" outlineLevel="2" x14ac:dyDescent="0.35">
      <c r="A1016" s="388" t="s">
        <v>4702</v>
      </c>
      <c r="B1016" s="389">
        <v>44525</v>
      </c>
      <c r="C1016" s="390" t="s">
        <v>4582</v>
      </c>
      <c r="D1016" s="391" t="s">
        <v>4583</v>
      </c>
      <c r="E1016" s="391" t="s">
        <v>4272</v>
      </c>
      <c r="F1016" s="392">
        <v>86576.577000000005</v>
      </c>
      <c r="G1016" s="393" t="s">
        <v>3800</v>
      </c>
      <c r="H1016" s="394">
        <v>32.214489295637286</v>
      </c>
      <c r="I1016" s="394"/>
      <c r="J1016" s="392"/>
      <c r="K1016" s="392"/>
      <c r="L1016" s="392"/>
      <c r="M1016" s="392"/>
      <c r="N1016" s="392">
        <f t="shared" si="26"/>
        <v>32.214489295637286</v>
      </c>
    </row>
    <row r="1017" spans="1:14" hidden="1" outlineLevel="2" x14ac:dyDescent="0.35">
      <c r="A1017" s="388" t="s">
        <v>4702</v>
      </c>
      <c r="B1017" s="389">
        <v>44525</v>
      </c>
      <c r="C1017" s="390" t="s">
        <v>4584</v>
      </c>
      <c r="D1017" s="391" t="s">
        <v>4585</v>
      </c>
      <c r="E1017" s="391" t="s">
        <v>4042</v>
      </c>
      <c r="F1017" s="392">
        <v>5194.5946199999998</v>
      </c>
      <c r="G1017" s="393" t="s">
        <v>3800</v>
      </c>
      <c r="H1017" s="394">
        <v>1.932869357738237</v>
      </c>
      <c r="I1017" s="394"/>
      <c r="J1017" s="392"/>
      <c r="K1017" s="392"/>
      <c r="L1017" s="392"/>
      <c r="M1017" s="392"/>
      <c r="N1017" s="392">
        <f t="shared" si="26"/>
        <v>1.932869357738237</v>
      </c>
    </row>
    <row r="1018" spans="1:14" hidden="1" outlineLevel="2" x14ac:dyDescent="0.35">
      <c r="A1018" s="388" t="s">
        <v>4702</v>
      </c>
      <c r="B1018" s="389">
        <v>44525</v>
      </c>
      <c r="C1018" s="390" t="s">
        <v>4580</v>
      </c>
      <c r="D1018" s="391" t="s">
        <v>4581</v>
      </c>
      <c r="E1018" s="391" t="s">
        <v>4706</v>
      </c>
      <c r="F1018" s="392">
        <v>865765.77</v>
      </c>
      <c r="G1018" s="393" t="s">
        <v>3800</v>
      </c>
      <c r="H1018" s="394">
        <v>322.14489295637287</v>
      </c>
      <c r="I1018" s="394"/>
      <c r="J1018" s="392"/>
      <c r="K1018" s="392"/>
      <c r="L1018" s="392"/>
      <c r="M1018" s="392"/>
      <c r="N1018" s="392">
        <f t="shared" si="26"/>
        <v>322.14489295637287</v>
      </c>
    </row>
    <row r="1019" spans="1:14" hidden="1" outlineLevel="2" x14ac:dyDescent="0.35">
      <c r="A1019" s="388" t="s">
        <v>4702</v>
      </c>
      <c r="B1019" s="389">
        <v>44525</v>
      </c>
      <c r="C1019" s="390" t="s">
        <v>4582</v>
      </c>
      <c r="D1019" s="391" t="s">
        <v>4583</v>
      </c>
      <c r="E1019" s="391" t="s">
        <v>4272</v>
      </c>
      <c r="F1019" s="392">
        <v>86576.577000000005</v>
      </c>
      <c r="G1019" s="393" t="s">
        <v>3800</v>
      </c>
      <c r="H1019" s="394">
        <v>32.214489295637286</v>
      </c>
      <c r="I1019" s="394"/>
      <c r="J1019" s="392"/>
      <c r="K1019" s="392"/>
      <c r="L1019" s="392"/>
      <c r="M1019" s="392"/>
      <c r="N1019" s="392">
        <f t="shared" si="26"/>
        <v>32.214489295637286</v>
      </c>
    </row>
    <row r="1020" spans="1:14" hidden="1" outlineLevel="2" x14ac:dyDescent="0.35">
      <c r="A1020" s="388" t="s">
        <v>4702</v>
      </c>
      <c r="B1020" s="389">
        <v>44525</v>
      </c>
      <c r="C1020" s="390" t="s">
        <v>4584</v>
      </c>
      <c r="D1020" s="391" t="s">
        <v>4585</v>
      </c>
      <c r="E1020" s="391" t="s">
        <v>4042</v>
      </c>
      <c r="F1020" s="392">
        <v>5194.5946199999998</v>
      </c>
      <c r="G1020" s="393" t="s">
        <v>3800</v>
      </c>
      <c r="H1020" s="394">
        <v>1.932869357738237</v>
      </c>
      <c r="I1020" s="394"/>
      <c r="J1020" s="392"/>
      <c r="K1020" s="392"/>
      <c r="L1020" s="392"/>
      <c r="M1020" s="392"/>
      <c r="N1020" s="392">
        <f t="shared" si="26"/>
        <v>1.932869357738237</v>
      </c>
    </row>
    <row r="1021" spans="1:14" hidden="1" outlineLevel="2" x14ac:dyDescent="0.35">
      <c r="A1021" s="388" t="s">
        <v>4702</v>
      </c>
      <c r="B1021" s="389">
        <v>44525</v>
      </c>
      <c r="C1021" s="390" t="s">
        <v>4580</v>
      </c>
      <c r="D1021" s="391" t="s">
        <v>4581</v>
      </c>
      <c r="E1021" s="391" t="s">
        <v>4707</v>
      </c>
      <c r="F1021" s="392">
        <v>865765.77</v>
      </c>
      <c r="G1021" s="393" t="s">
        <v>3800</v>
      </c>
      <c r="H1021" s="394">
        <v>322.14489295637287</v>
      </c>
      <c r="I1021" s="394"/>
      <c r="J1021" s="392"/>
      <c r="K1021" s="392"/>
      <c r="L1021" s="392"/>
      <c r="M1021" s="392"/>
      <c r="N1021" s="392">
        <f t="shared" si="26"/>
        <v>322.14489295637287</v>
      </c>
    </row>
    <row r="1022" spans="1:14" hidden="1" outlineLevel="2" x14ac:dyDescent="0.35">
      <c r="A1022" s="388" t="s">
        <v>4702</v>
      </c>
      <c r="B1022" s="389">
        <v>44525</v>
      </c>
      <c r="C1022" s="390" t="s">
        <v>4582</v>
      </c>
      <c r="D1022" s="391" t="s">
        <v>4583</v>
      </c>
      <c r="E1022" s="391" t="s">
        <v>4272</v>
      </c>
      <c r="F1022" s="392">
        <v>86576.577000000005</v>
      </c>
      <c r="G1022" s="393" t="s">
        <v>3800</v>
      </c>
      <c r="H1022" s="394">
        <v>32.214489295637286</v>
      </c>
      <c r="I1022" s="394"/>
      <c r="J1022" s="392"/>
      <c r="K1022" s="392"/>
      <c r="L1022" s="392"/>
      <c r="M1022" s="392"/>
      <c r="N1022" s="392">
        <f t="shared" si="26"/>
        <v>32.214489295637286</v>
      </c>
    </row>
    <row r="1023" spans="1:14" hidden="1" outlineLevel="2" x14ac:dyDescent="0.35">
      <c r="A1023" s="388" t="s">
        <v>4702</v>
      </c>
      <c r="B1023" s="389">
        <v>44525</v>
      </c>
      <c r="C1023" s="390" t="s">
        <v>4584</v>
      </c>
      <c r="D1023" s="391" t="s">
        <v>4585</v>
      </c>
      <c r="E1023" s="391" t="s">
        <v>4042</v>
      </c>
      <c r="F1023" s="392">
        <v>5194.5946199999998</v>
      </c>
      <c r="G1023" s="393" t="s">
        <v>3800</v>
      </c>
      <c r="H1023" s="394">
        <v>1.932869357738237</v>
      </c>
      <c r="I1023" s="394"/>
      <c r="J1023" s="392"/>
      <c r="K1023" s="392"/>
      <c r="L1023" s="392"/>
      <c r="M1023" s="392"/>
      <c r="N1023" s="392">
        <f t="shared" si="26"/>
        <v>1.932869357738237</v>
      </c>
    </row>
    <row r="1024" spans="1:14" hidden="1" outlineLevel="2" x14ac:dyDescent="0.35">
      <c r="A1024" s="388" t="s">
        <v>4702</v>
      </c>
      <c r="B1024" s="389">
        <v>44525</v>
      </c>
      <c r="C1024" s="390" t="s">
        <v>4580</v>
      </c>
      <c r="D1024" s="391" t="s">
        <v>4581</v>
      </c>
      <c r="E1024" s="391" t="s">
        <v>4708</v>
      </c>
      <c r="F1024" s="392">
        <v>865765.77</v>
      </c>
      <c r="G1024" s="393" t="s">
        <v>3800</v>
      </c>
      <c r="H1024" s="394">
        <v>322.14489295637287</v>
      </c>
      <c r="I1024" s="394"/>
      <c r="J1024" s="392"/>
      <c r="K1024" s="392"/>
      <c r="L1024" s="392"/>
      <c r="M1024" s="392"/>
      <c r="N1024" s="392">
        <f t="shared" si="26"/>
        <v>322.14489295637287</v>
      </c>
    </row>
    <row r="1025" spans="1:14" hidden="1" outlineLevel="2" x14ac:dyDescent="0.35">
      <c r="A1025" s="388" t="s">
        <v>4702</v>
      </c>
      <c r="B1025" s="389">
        <v>44525</v>
      </c>
      <c r="C1025" s="390" t="s">
        <v>4582</v>
      </c>
      <c r="D1025" s="391" t="s">
        <v>4583</v>
      </c>
      <c r="E1025" s="391" t="s">
        <v>4272</v>
      </c>
      <c r="F1025" s="392">
        <v>86576.577000000005</v>
      </c>
      <c r="G1025" s="393" t="s">
        <v>3800</v>
      </c>
      <c r="H1025" s="394">
        <v>32.214489295637286</v>
      </c>
      <c r="I1025" s="394"/>
      <c r="J1025" s="392"/>
      <c r="K1025" s="392"/>
      <c r="L1025" s="392"/>
      <c r="M1025" s="392"/>
      <c r="N1025" s="392">
        <f t="shared" si="26"/>
        <v>32.214489295637286</v>
      </c>
    </row>
    <row r="1026" spans="1:14" hidden="1" outlineLevel="2" x14ac:dyDescent="0.35">
      <c r="A1026" s="388" t="s">
        <v>4702</v>
      </c>
      <c r="B1026" s="389">
        <v>44525</v>
      </c>
      <c r="C1026" s="390" t="s">
        <v>4584</v>
      </c>
      <c r="D1026" s="391" t="s">
        <v>4585</v>
      </c>
      <c r="E1026" s="391" t="s">
        <v>4042</v>
      </c>
      <c r="F1026" s="392">
        <v>5194.5946199999998</v>
      </c>
      <c r="G1026" s="393" t="s">
        <v>3800</v>
      </c>
      <c r="H1026" s="394">
        <v>1.932869357738237</v>
      </c>
      <c r="I1026" s="394"/>
      <c r="J1026" s="392"/>
      <c r="K1026" s="392"/>
      <c r="L1026" s="392"/>
      <c r="M1026" s="392"/>
      <c r="N1026" s="392">
        <f t="shared" si="26"/>
        <v>1.932869357738237</v>
      </c>
    </row>
    <row r="1027" spans="1:14" hidden="1" outlineLevel="2" x14ac:dyDescent="0.35">
      <c r="A1027" s="388" t="s">
        <v>4702</v>
      </c>
      <c r="B1027" s="389">
        <v>44525</v>
      </c>
      <c r="C1027" s="390" t="s">
        <v>4580</v>
      </c>
      <c r="D1027" s="391" t="s">
        <v>4581</v>
      </c>
      <c r="E1027" s="391" t="s">
        <v>4709</v>
      </c>
      <c r="F1027" s="392">
        <v>865765.77</v>
      </c>
      <c r="G1027" s="393" t="s">
        <v>3800</v>
      </c>
      <c r="H1027" s="394">
        <v>322.14489295637287</v>
      </c>
      <c r="I1027" s="394"/>
      <c r="J1027" s="392"/>
      <c r="K1027" s="392"/>
      <c r="L1027" s="392"/>
      <c r="M1027" s="392"/>
      <c r="N1027" s="392">
        <f t="shared" si="26"/>
        <v>322.14489295637287</v>
      </c>
    </row>
    <row r="1028" spans="1:14" hidden="1" outlineLevel="2" x14ac:dyDescent="0.35">
      <c r="A1028" s="388" t="s">
        <v>4702</v>
      </c>
      <c r="B1028" s="389">
        <v>44525</v>
      </c>
      <c r="C1028" s="390" t="s">
        <v>4582</v>
      </c>
      <c r="D1028" s="391" t="s">
        <v>4583</v>
      </c>
      <c r="E1028" s="391" t="s">
        <v>4272</v>
      </c>
      <c r="F1028" s="392">
        <v>86576.577000000005</v>
      </c>
      <c r="G1028" s="393" t="s">
        <v>3800</v>
      </c>
      <c r="H1028" s="394">
        <v>32.214489295637286</v>
      </c>
      <c r="I1028" s="394"/>
      <c r="J1028" s="392"/>
      <c r="K1028" s="392"/>
      <c r="L1028" s="392"/>
      <c r="M1028" s="392"/>
      <c r="N1028" s="392">
        <f t="shared" si="26"/>
        <v>32.214489295637286</v>
      </c>
    </row>
    <row r="1029" spans="1:14" hidden="1" outlineLevel="2" x14ac:dyDescent="0.35">
      <c r="A1029" s="388" t="s">
        <v>4702</v>
      </c>
      <c r="B1029" s="389">
        <v>44525</v>
      </c>
      <c r="C1029" s="390" t="s">
        <v>4584</v>
      </c>
      <c r="D1029" s="391" t="s">
        <v>4585</v>
      </c>
      <c r="E1029" s="391" t="s">
        <v>4042</v>
      </c>
      <c r="F1029" s="392">
        <v>5194.5946199999998</v>
      </c>
      <c r="G1029" s="393" t="s">
        <v>3800</v>
      </c>
      <c r="H1029" s="394">
        <v>1.932869357738237</v>
      </c>
      <c r="I1029" s="394"/>
      <c r="J1029" s="392"/>
      <c r="K1029" s="392"/>
      <c r="L1029" s="392"/>
      <c r="M1029" s="392"/>
      <c r="N1029" s="392">
        <f t="shared" si="26"/>
        <v>1.932869357738237</v>
      </c>
    </row>
    <row r="1030" spans="1:14" hidden="1" outlineLevel="2" x14ac:dyDescent="0.35">
      <c r="A1030" s="388" t="s">
        <v>4702</v>
      </c>
      <c r="B1030" s="389">
        <v>44525</v>
      </c>
      <c r="C1030" s="390" t="s">
        <v>4580</v>
      </c>
      <c r="D1030" s="391" t="s">
        <v>4581</v>
      </c>
      <c r="E1030" s="391" t="s">
        <v>4710</v>
      </c>
      <c r="F1030" s="392">
        <v>865765.77</v>
      </c>
      <c r="G1030" s="393" t="s">
        <v>3800</v>
      </c>
      <c r="H1030" s="394">
        <v>322.14489295637287</v>
      </c>
      <c r="I1030" s="394"/>
      <c r="J1030" s="392"/>
      <c r="K1030" s="392"/>
      <c r="L1030" s="392"/>
      <c r="M1030" s="392"/>
      <c r="N1030" s="392">
        <f t="shared" si="26"/>
        <v>322.14489295637287</v>
      </c>
    </row>
    <row r="1031" spans="1:14" hidden="1" outlineLevel="2" x14ac:dyDescent="0.35">
      <c r="A1031" s="388" t="s">
        <v>4702</v>
      </c>
      <c r="B1031" s="389">
        <v>44525</v>
      </c>
      <c r="C1031" s="390" t="s">
        <v>4582</v>
      </c>
      <c r="D1031" s="391" t="s">
        <v>4583</v>
      </c>
      <c r="E1031" s="391" t="s">
        <v>4272</v>
      </c>
      <c r="F1031" s="392">
        <v>86576.577000000005</v>
      </c>
      <c r="G1031" s="393" t="s">
        <v>3800</v>
      </c>
      <c r="H1031" s="394">
        <v>32.214489295637286</v>
      </c>
      <c r="I1031" s="394"/>
      <c r="J1031" s="392"/>
      <c r="K1031" s="392"/>
      <c r="L1031" s="392"/>
      <c r="M1031" s="392"/>
      <c r="N1031" s="392">
        <f t="shared" si="26"/>
        <v>32.214489295637286</v>
      </c>
    </row>
    <row r="1032" spans="1:14" hidden="1" outlineLevel="2" x14ac:dyDescent="0.35">
      <c r="A1032" s="388" t="s">
        <v>4702</v>
      </c>
      <c r="B1032" s="389">
        <v>44525</v>
      </c>
      <c r="C1032" s="390" t="s">
        <v>4584</v>
      </c>
      <c r="D1032" s="391" t="s">
        <v>4585</v>
      </c>
      <c r="E1032" s="391" t="s">
        <v>4042</v>
      </c>
      <c r="F1032" s="392">
        <v>5194.5946199999998</v>
      </c>
      <c r="G1032" s="393" t="s">
        <v>3800</v>
      </c>
      <c r="H1032" s="394">
        <v>1.932869357738237</v>
      </c>
      <c r="I1032" s="394"/>
      <c r="J1032" s="392"/>
      <c r="K1032" s="392"/>
      <c r="L1032" s="392"/>
      <c r="M1032" s="392"/>
      <c r="N1032" s="392">
        <f t="shared" si="26"/>
        <v>1.932869357738237</v>
      </c>
    </row>
    <row r="1033" spans="1:14" hidden="1" outlineLevel="2" x14ac:dyDescent="0.35">
      <c r="A1033" s="388" t="s">
        <v>4702</v>
      </c>
      <c r="B1033" s="389">
        <v>44525</v>
      </c>
      <c r="C1033" s="390" t="s">
        <v>4580</v>
      </c>
      <c r="D1033" s="391" t="s">
        <v>4581</v>
      </c>
      <c r="E1033" s="391" t="s">
        <v>4711</v>
      </c>
      <c r="F1033" s="392">
        <v>865765.77</v>
      </c>
      <c r="G1033" s="393" t="s">
        <v>3800</v>
      </c>
      <c r="H1033" s="394">
        <v>322.14489295637287</v>
      </c>
      <c r="I1033" s="394"/>
      <c r="J1033" s="392"/>
      <c r="K1033" s="392"/>
      <c r="L1033" s="392"/>
      <c r="M1033" s="392"/>
      <c r="N1033" s="392">
        <f t="shared" si="26"/>
        <v>322.14489295637287</v>
      </c>
    </row>
    <row r="1034" spans="1:14" hidden="1" outlineLevel="2" x14ac:dyDescent="0.35">
      <c r="A1034" s="388" t="s">
        <v>4702</v>
      </c>
      <c r="B1034" s="389">
        <v>44525</v>
      </c>
      <c r="C1034" s="390" t="s">
        <v>4582</v>
      </c>
      <c r="D1034" s="391" t="s">
        <v>4583</v>
      </c>
      <c r="E1034" s="391" t="s">
        <v>4272</v>
      </c>
      <c r="F1034" s="392">
        <v>86576.577000000005</v>
      </c>
      <c r="G1034" s="393" t="s">
        <v>3800</v>
      </c>
      <c r="H1034" s="394">
        <v>32.214489295637286</v>
      </c>
      <c r="I1034" s="394"/>
      <c r="J1034" s="392"/>
      <c r="K1034" s="392"/>
      <c r="L1034" s="392"/>
      <c r="M1034" s="392"/>
      <c r="N1034" s="392">
        <f t="shared" si="26"/>
        <v>32.214489295637286</v>
      </c>
    </row>
    <row r="1035" spans="1:14" hidden="1" outlineLevel="2" x14ac:dyDescent="0.35">
      <c r="A1035" s="388" t="s">
        <v>4702</v>
      </c>
      <c r="B1035" s="389">
        <v>44525</v>
      </c>
      <c r="C1035" s="390" t="s">
        <v>4584</v>
      </c>
      <c r="D1035" s="391" t="s">
        <v>4585</v>
      </c>
      <c r="E1035" s="391" t="s">
        <v>4042</v>
      </c>
      <c r="F1035" s="392">
        <v>5194.5946199999998</v>
      </c>
      <c r="G1035" s="393" t="s">
        <v>3800</v>
      </c>
      <c r="H1035" s="394">
        <v>1.932869357738237</v>
      </c>
      <c r="I1035" s="394"/>
      <c r="J1035" s="392"/>
      <c r="K1035" s="392"/>
      <c r="L1035" s="392"/>
      <c r="M1035" s="392"/>
      <c r="N1035" s="392">
        <f t="shared" si="26"/>
        <v>1.932869357738237</v>
      </c>
    </row>
    <row r="1036" spans="1:14" hidden="1" outlineLevel="2" x14ac:dyDescent="0.35">
      <c r="A1036" s="388" t="s">
        <v>4702</v>
      </c>
      <c r="B1036" s="389">
        <v>44525</v>
      </c>
      <c r="C1036" s="390" t="s">
        <v>4580</v>
      </c>
      <c r="D1036" s="391" t="s">
        <v>4581</v>
      </c>
      <c r="E1036" s="391" t="s">
        <v>4712</v>
      </c>
      <c r="F1036" s="392">
        <v>865765.77</v>
      </c>
      <c r="G1036" s="393" t="s">
        <v>3800</v>
      </c>
      <c r="H1036" s="394">
        <v>322.14489295637287</v>
      </c>
      <c r="I1036" s="394"/>
      <c r="J1036" s="392"/>
      <c r="K1036" s="392"/>
      <c r="L1036" s="392"/>
      <c r="M1036" s="392"/>
      <c r="N1036" s="392">
        <f t="shared" si="26"/>
        <v>322.14489295637287</v>
      </c>
    </row>
    <row r="1037" spans="1:14" hidden="1" outlineLevel="2" x14ac:dyDescent="0.35">
      <c r="A1037" s="388" t="s">
        <v>4702</v>
      </c>
      <c r="B1037" s="389">
        <v>44525</v>
      </c>
      <c r="C1037" s="390" t="s">
        <v>4582</v>
      </c>
      <c r="D1037" s="391" t="s">
        <v>4583</v>
      </c>
      <c r="E1037" s="391" t="s">
        <v>4272</v>
      </c>
      <c r="F1037" s="392">
        <v>86576.577000000005</v>
      </c>
      <c r="G1037" s="393" t="s">
        <v>3800</v>
      </c>
      <c r="H1037" s="394">
        <v>32.214489295637286</v>
      </c>
      <c r="I1037" s="394"/>
      <c r="J1037" s="392"/>
      <c r="K1037" s="392"/>
      <c r="L1037" s="392"/>
      <c r="M1037" s="392"/>
      <c r="N1037" s="392">
        <f t="shared" si="26"/>
        <v>32.214489295637286</v>
      </c>
    </row>
    <row r="1038" spans="1:14" hidden="1" outlineLevel="2" x14ac:dyDescent="0.35">
      <c r="A1038" s="388" t="s">
        <v>4702</v>
      </c>
      <c r="B1038" s="389">
        <v>44525</v>
      </c>
      <c r="C1038" s="390" t="s">
        <v>4584</v>
      </c>
      <c r="D1038" s="391" t="s">
        <v>4585</v>
      </c>
      <c r="E1038" s="391" t="s">
        <v>4042</v>
      </c>
      <c r="F1038" s="392">
        <v>5194.5946199999998</v>
      </c>
      <c r="G1038" s="393" t="s">
        <v>3800</v>
      </c>
      <c r="H1038" s="394">
        <v>1.932869357738237</v>
      </c>
      <c r="I1038" s="394"/>
      <c r="J1038" s="392"/>
      <c r="K1038" s="392"/>
      <c r="L1038" s="392"/>
      <c r="M1038" s="392"/>
      <c r="N1038" s="392">
        <f t="shared" si="26"/>
        <v>1.932869357738237</v>
      </c>
    </row>
    <row r="1039" spans="1:14" hidden="1" outlineLevel="2" x14ac:dyDescent="0.35">
      <c r="A1039" s="388" t="s">
        <v>4702</v>
      </c>
      <c r="B1039" s="389">
        <v>44525</v>
      </c>
      <c r="C1039" s="390" t="s">
        <v>4580</v>
      </c>
      <c r="D1039" s="391" t="s">
        <v>4581</v>
      </c>
      <c r="E1039" s="391" t="s">
        <v>4713</v>
      </c>
      <c r="F1039" s="392">
        <v>865765.77</v>
      </c>
      <c r="G1039" s="393" t="s">
        <v>3800</v>
      </c>
      <c r="H1039" s="394">
        <v>322.14489295637287</v>
      </c>
      <c r="I1039" s="394"/>
      <c r="J1039" s="392"/>
      <c r="K1039" s="392"/>
      <c r="L1039" s="392"/>
      <c r="M1039" s="392"/>
      <c r="N1039" s="392">
        <f t="shared" si="26"/>
        <v>322.14489295637287</v>
      </c>
    </row>
    <row r="1040" spans="1:14" hidden="1" outlineLevel="2" x14ac:dyDescent="0.35">
      <c r="A1040" s="388" t="s">
        <v>4702</v>
      </c>
      <c r="B1040" s="389">
        <v>44525</v>
      </c>
      <c r="C1040" s="390" t="s">
        <v>4582</v>
      </c>
      <c r="D1040" s="391" t="s">
        <v>4583</v>
      </c>
      <c r="E1040" s="391" t="s">
        <v>4272</v>
      </c>
      <c r="F1040" s="392">
        <v>86576.577000000005</v>
      </c>
      <c r="G1040" s="393" t="s">
        <v>3800</v>
      </c>
      <c r="H1040" s="394">
        <v>32.214489295637286</v>
      </c>
      <c r="I1040" s="394"/>
      <c r="J1040" s="392"/>
      <c r="K1040" s="392"/>
      <c r="L1040" s="392"/>
      <c r="M1040" s="392"/>
      <c r="N1040" s="392">
        <f t="shared" si="26"/>
        <v>32.214489295637286</v>
      </c>
    </row>
    <row r="1041" spans="1:14" hidden="1" outlineLevel="2" x14ac:dyDescent="0.35">
      <c r="A1041" s="388" t="s">
        <v>4702</v>
      </c>
      <c r="B1041" s="389">
        <v>44525</v>
      </c>
      <c r="C1041" s="390" t="s">
        <v>4584</v>
      </c>
      <c r="D1041" s="391" t="s">
        <v>4585</v>
      </c>
      <c r="E1041" s="391" t="s">
        <v>4042</v>
      </c>
      <c r="F1041" s="392">
        <v>5194.5946199999998</v>
      </c>
      <c r="G1041" s="393" t="s">
        <v>3800</v>
      </c>
      <c r="H1041" s="394">
        <v>1.932869357738237</v>
      </c>
      <c r="I1041" s="394"/>
      <c r="J1041" s="392"/>
      <c r="K1041" s="392"/>
      <c r="L1041" s="392"/>
      <c r="M1041" s="392"/>
      <c r="N1041" s="392">
        <f t="shared" si="26"/>
        <v>1.932869357738237</v>
      </c>
    </row>
    <row r="1042" spans="1:14" hidden="1" outlineLevel="2" x14ac:dyDescent="0.35">
      <c r="A1042" s="388" t="s">
        <v>4702</v>
      </c>
      <c r="B1042" s="389">
        <v>44525</v>
      </c>
      <c r="C1042" s="390" t="s">
        <v>4580</v>
      </c>
      <c r="D1042" s="391" t="s">
        <v>4581</v>
      </c>
      <c r="E1042" s="391" t="s">
        <v>4714</v>
      </c>
      <c r="F1042" s="392">
        <v>865765.77</v>
      </c>
      <c r="G1042" s="393" t="s">
        <v>3800</v>
      </c>
      <c r="H1042" s="394">
        <v>322.14489295637287</v>
      </c>
      <c r="I1042" s="394"/>
      <c r="J1042" s="392"/>
      <c r="K1042" s="392"/>
      <c r="L1042" s="392"/>
      <c r="M1042" s="392"/>
      <c r="N1042" s="392">
        <f t="shared" si="26"/>
        <v>322.14489295637287</v>
      </c>
    </row>
    <row r="1043" spans="1:14" hidden="1" outlineLevel="2" x14ac:dyDescent="0.35">
      <c r="A1043" s="388" t="s">
        <v>4702</v>
      </c>
      <c r="B1043" s="389">
        <v>44525</v>
      </c>
      <c r="C1043" s="390" t="s">
        <v>4582</v>
      </c>
      <c r="D1043" s="391" t="s">
        <v>4583</v>
      </c>
      <c r="E1043" s="391" t="s">
        <v>4272</v>
      </c>
      <c r="F1043" s="392">
        <v>86576.577000000005</v>
      </c>
      <c r="G1043" s="393" t="s">
        <v>3800</v>
      </c>
      <c r="H1043" s="394">
        <v>32.214489295637286</v>
      </c>
      <c r="I1043" s="394"/>
      <c r="J1043" s="392"/>
      <c r="K1043" s="392"/>
      <c r="L1043" s="392"/>
      <c r="M1043" s="392"/>
      <c r="N1043" s="392">
        <f t="shared" si="26"/>
        <v>32.214489295637286</v>
      </c>
    </row>
    <row r="1044" spans="1:14" hidden="1" outlineLevel="2" x14ac:dyDescent="0.35">
      <c r="A1044" s="388" t="s">
        <v>4702</v>
      </c>
      <c r="B1044" s="389">
        <v>44525</v>
      </c>
      <c r="C1044" s="390" t="s">
        <v>4584</v>
      </c>
      <c r="D1044" s="391" t="s">
        <v>4585</v>
      </c>
      <c r="E1044" s="391" t="s">
        <v>4042</v>
      </c>
      <c r="F1044" s="392">
        <v>5194.5946199999998</v>
      </c>
      <c r="G1044" s="393" t="s">
        <v>3800</v>
      </c>
      <c r="H1044" s="394">
        <v>1.932869357738237</v>
      </c>
      <c r="I1044" s="394"/>
      <c r="J1044" s="392"/>
      <c r="K1044" s="392"/>
      <c r="L1044" s="392"/>
      <c r="M1044" s="392"/>
      <c r="N1044" s="392">
        <f t="shared" si="26"/>
        <v>1.932869357738237</v>
      </c>
    </row>
    <row r="1045" spans="1:14" hidden="1" outlineLevel="2" x14ac:dyDescent="0.35">
      <c r="A1045" s="388" t="s">
        <v>4702</v>
      </c>
      <c r="B1045" s="389">
        <v>44525</v>
      </c>
      <c r="C1045" s="390" t="s">
        <v>4580</v>
      </c>
      <c r="D1045" s="391" t="s">
        <v>4581</v>
      </c>
      <c r="E1045" s="391" t="s">
        <v>4716</v>
      </c>
      <c r="F1045" s="392">
        <v>865765.77</v>
      </c>
      <c r="G1045" s="393" t="s">
        <v>3800</v>
      </c>
      <c r="H1045" s="394">
        <v>322.14489295637287</v>
      </c>
      <c r="I1045" s="394"/>
      <c r="J1045" s="392"/>
      <c r="K1045" s="392"/>
      <c r="L1045" s="392"/>
      <c r="M1045" s="392"/>
      <c r="N1045" s="392">
        <f t="shared" si="26"/>
        <v>322.14489295637287</v>
      </c>
    </row>
    <row r="1046" spans="1:14" hidden="1" outlineLevel="2" x14ac:dyDescent="0.35">
      <c r="A1046" s="388" t="s">
        <v>4702</v>
      </c>
      <c r="B1046" s="389">
        <v>44525</v>
      </c>
      <c r="C1046" s="390" t="s">
        <v>4582</v>
      </c>
      <c r="D1046" s="391" t="s">
        <v>4583</v>
      </c>
      <c r="E1046" s="391" t="s">
        <v>4272</v>
      </c>
      <c r="F1046" s="392">
        <v>86576.577000000005</v>
      </c>
      <c r="G1046" s="393" t="s">
        <v>3800</v>
      </c>
      <c r="H1046" s="394">
        <v>32.214489295637286</v>
      </c>
      <c r="I1046" s="394"/>
      <c r="J1046" s="392"/>
      <c r="K1046" s="392"/>
      <c r="L1046" s="392"/>
      <c r="M1046" s="392"/>
      <c r="N1046" s="392">
        <f t="shared" si="26"/>
        <v>32.214489295637286</v>
      </c>
    </row>
    <row r="1047" spans="1:14" hidden="1" outlineLevel="2" x14ac:dyDescent="0.35">
      <c r="A1047" s="388" t="s">
        <v>4702</v>
      </c>
      <c r="B1047" s="389">
        <v>44525</v>
      </c>
      <c r="C1047" s="390" t="s">
        <v>4584</v>
      </c>
      <c r="D1047" s="391" t="s">
        <v>4585</v>
      </c>
      <c r="E1047" s="391" t="s">
        <v>4042</v>
      </c>
      <c r="F1047" s="392">
        <v>5194.5946199999998</v>
      </c>
      <c r="G1047" s="393" t="s">
        <v>3800</v>
      </c>
      <c r="H1047" s="394">
        <v>1.932869357738237</v>
      </c>
      <c r="I1047" s="394"/>
      <c r="J1047" s="392"/>
      <c r="K1047" s="392"/>
      <c r="L1047" s="392"/>
      <c r="M1047" s="392"/>
      <c r="N1047" s="392">
        <f t="shared" si="26"/>
        <v>1.932869357738237</v>
      </c>
    </row>
    <row r="1048" spans="1:14" hidden="1" outlineLevel="2" x14ac:dyDescent="0.35">
      <c r="A1048" s="388" t="s">
        <v>4702</v>
      </c>
      <c r="B1048" s="389">
        <v>44525</v>
      </c>
      <c r="C1048" s="390" t="s">
        <v>4580</v>
      </c>
      <c r="D1048" s="391" t="s">
        <v>4581</v>
      </c>
      <c r="E1048" s="391" t="s">
        <v>4717</v>
      </c>
      <c r="F1048" s="392">
        <v>865765.77</v>
      </c>
      <c r="G1048" s="393" t="s">
        <v>3800</v>
      </c>
      <c r="H1048" s="394">
        <v>322.14489295637287</v>
      </c>
      <c r="I1048" s="394"/>
      <c r="J1048" s="392"/>
      <c r="K1048" s="392"/>
      <c r="L1048" s="392"/>
      <c r="M1048" s="392"/>
      <c r="N1048" s="392">
        <f t="shared" si="26"/>
        <v>322.14489295637287</v>
      </c>
    </row>
    <row r="1049" spans="1:14" hidden="1" outlineLevel="2" x14ac:dyDescent="0.35">
      <c r="A1049" s="388" t="s">
        <v>4702</v>
      </c>
      <c r="B1049" s="389">
        <v>44525</v>
      </c>
      <c r="C1049" s="390" t="s">
        <v>4582</v>
      </c>
      <c r="D1049" s="391" t="s">
        <v>4583</v>
      </c>
      <c r="E1049" s="391" t="s">
        <v>4272</v>
      </c>
      <c r="F1049" s="392">
        <v>86576.577000000005</v>
      </c>
      <c r="G1049" s="393" t="s">
        <v>3800</v>
      </c>
      <c r="H1049" s="394">
        <v>32.214489295637286</v>
      </c>
      <c r="I1049" s="394"/>
      <c r="J1049" s="392"/>
      <c r="K1049" s="392"/>
      <c r="L1049" s="392"/>
      <c r="M1049" s="392"/>
      <c r="N1049" s="392">
        <f t="shared" si="26"/>
        <v>32.214489295637286</v>
      </c>
    </row>
    <row r="1050" spans="1:14" hidden="1" outlineLevel="2" x14ac:dyDescent="0.35">
      <c r="A1050" s="388" t="s">
        <v>4702</v>
      </c>
      <c r="B1050" s="389">
        <v>44525</v>
      </c>
      <c r="C1050" s="390" t="s">
        <v>4584</v>
      </c>
      <c r="D1050" s="391" t="s">
        <v>4585</v>
      </c>
      <c r="E1050" s="391" t="s">
        <v>4042</v>
      </c>
      <c r="F1050" s="392">
        <v>5194.5946199999998</v>
      </c>
      <c r="G1050" s="393" t="s">
        <v>3800</v>
      </c>
      <c r="H1050" s="394">
        <v>1.932869357738237</v>
      </c>
      <c r="I1050" s="394"/>
      <c r="J1050" s="392"/>
      <c r="K1050" s="392"/>
      <c r="L1050" s="392"/>
      <c r="M1050" s="392"/>
      <c r="N1050" s="392">
        <f t="shared" si="26"/>
        <v>1.932869357738237</v>
      </c>
    </row>
    <row r="1051" spans="1:14" hidden="1" outlineLevel="2" x14ac:dyDescent="0.35">
      <c r="A1051" s="388" t="s">
        <v>4702</v>
      </c>
      <c r="B1051" s="389">
        <v>44525</v>
      </c>
      <c r="C1051" s="390" t="s">
        <v>4580</v>
      </c>
      <c r="D1051" s="391" t="s">
        <v>4581</v>
      </c>
      <c r="E1051" s="391" t="s">
        <v>4718</v>
      </c>
      <c r="F1051" s="392">
        <v>865765.77</v>
      </c>
      <c r="G1051" s="393" t="s">
        <v>3800</v>
      </c>
      <c r="H1051" s="394">
        <v>322.14489295637287</v>
      </c>
      <c r="I1051" s="394"/>
      <c r="J1051" s="392"/>
      <c r="K1051" s="392"/>
      <c r="L1051" s="392"/>
      <c r="M1051" s="392"/>
      <c r="N1051" s="392">
        <f t="shared" si="26"/>
        <v>322.14489295637287</v>
      </c>
    </row>
    <row r="1052" spans="1:14" hidden="1" outlineLevel="2" x14ac:dyDescent="0.35">
      <c r="A1052" s="388" t="s">
        <v>4702</v>
      </c>
      <c r="B1052" s="389">
        <v>44525</v>
      </c>
      <c r="C1052" s="390" t="s">
        <v>4582</v>
      </c>
      <c r="D1052" s="391" t="s">
        <v>4583</v>
      </c>
      <c r="E1052" s="391" t="s">
        <v>4272</v>
      </c>
      <c r="F1052" s="392">
        <v>86576.577000000005</v>
      </c>
      <c r="G1052" s="393" t="s">
        <v>3800</v>
      </c>
      <c r="H1052" s="394">
        <v>32.214489295637286</v>
      </c>
      <c r="I1052" s="394"/>
      <c r="J1052" s="392"/>
      <c r="K1052" s="392"/>
      <c r="L1052" s="392"/>
      <c r="M1052" s="392"/>
      <c r="N1052" s="392">
        <f t="shared" si="26"/>
        <v>32.214489295637286</v>
      </c>
    </row>
    <row r="1053" spans="1:14" hidden="1" outlineLevel="2" x14ac:dyDescent="0.35">
      <c r="A1053" s="388" t="s">
        <v>4702</v>
      </c>
      <c r="B1053" s="389">
        <v>44525</v>
      </c>
      <c r="C1053" s="390" t="s">
        <v>4584</v>
      </c>
      <c r="D1053" s="391" t="s">
        <v>4585</v>
      </c>
      <c r="E1053" s="391" t="s">
        <v>4042</v>
      </c>
      <c r="F1053" s="392">
        <v>5194.5946199999998</v>
      </c>
      <c r="G1053" s="393" t="s">
        <v>3800</v>
      </c>
      <c r="H1053" s="394">
        <v>1.932869357738237</v>
      </c>
      <c r="I1053" s="394"/>
      <c r="J1053" s="392"/>
      <c r="K1053" s="392"/>
      <c r="L1053" s="392"/>
      <c r="M1053" s="392"/>
      <c r="N1053" s="392">
        <f t="shared" si="26"/>
        <v>1.932869357738237</v>
      </c>
    </row>
    <row r="1054" spans="1:14" hidden="1" outlineLevel="2" x14ac:dyDescent="0.35">
      <c r="A1054" s="388" t="s">
        <v>4702</v>
      </c>
      <c r="B1054" s="389">
        <v>44525</v>
      </c>
      <c r="C1054" s="390" t="s">
        <v>4580</v>
      </c>
      <c r="D1054" s="391" t="s">
        <v>4581</v>
      </c>
      <c r="E1054" s="391" t="s">
        <v>4722</v>
      </c>
      <c r="F1054" s="392">
        <v>865765.77</v>
      </c>
      <c r="G1054" s="393" t="s">
        <v>3800</v>
      </c>
      <c r="H1054" s="394">
        <v>322.14489295637287</v>
      </c>
      <c r="I1054" s="394"/>
      <c r="J1054" s="392"/>
      <c r="K1054" s="392"/>
      <c r="L1054" s="392"/>
      <c r="M1054" s="392"/>
      <c r="N1054" s="392">
        <f t="shared" si="26"/>
        <v>322.14489295637287</v>
      </c>
    </row>
    <row r="1055" spans="1:14" hidden="1" outlineLevel="2" x14ac:dyDescent="0.35">
      <c r="A1055" s="388" t="s">
        <v>4702</v>
      </c>
      <c r="B1055" s="389">
        <v>44525</v>
      </c>
      <c r="C1055" s="390" t="s">
        <v>4582</v>
      </c>
      <c r="D1055" s="391" t="s">
        <v>4583</v>
      </c>
      <c r="E1055" s="391" t="s">
        <v>4272</v>
      </c>
      <c r="F1055" s="392">
        <v>86576.577000000005</v>
      </c>
      <c r="G1055" s="393" t="s">
        <v>3800</v>
      </c>
      <c r="H1055" s="394">
        <v>32.214489295637286</v>
      </c>
      <c r="I1055" s="394"/>
      <c r="J1055" s="392"/>
      <c r="K1055" s="392"/>
      <c r="L1055" s="392"/>
      <c r="M1055" s="392"/>
      <c r="N1055" s="392">
        <f t="shared" si="26"/>
        <v>32.214489295637286</v>
      </c>
    </row>
    <row r="1056" spans="1:14" hidden="1" outlineLevel="2" x14ac:dyDescent="0.35">
      <c r="A1056" s="388" t="s">
        <v>4702</v>
      </c>
      <c r="B1056" s="389">
        <v>44525</v>
      </c>
      <c r="C1056" s="390" t="s">
        <v>4584</v>
      </c>
      <c r="D1056" s="391" t="s">
        <v>4585</v>
      </c>
      <c r="E1056" s="391" t="s">
        <v>4042</v>
      </c>
      <c r="F1056" s="392">
        <v>5194.5946199999998</v>
      </c>
      <c r="G1056" s="393" t="s">
        <v>3800</v>
      </c>
      <c r="H1056" s="394">
        <v>1.932869357738237</v>
      </c>
      <c r="I1056" s="394"/>
      <c r="J1056" s="392"/>
      <c r="K1056" s="392"/>
      <c r="L1056" s="392"/>
      <c r="M1056" s="392"/>
      <c r="N1056" s="392">
        <f t="shared" si="26"/>
        <v>1.932869357738237</v>
      </c>
    </row>
    <row r="1057" spans="1:14" hidden="1" outlineLevel="2" collapsed="1" x14ac:dyDescent="0.35">
      <c r="A1057" s="388" t="s">
        <v>4702</v>
      </c>
      <c r="B1057" s="389">
        <v>44525</v>
      </c>
      <c r="C1057" s="390" t="s">
        <v>4580</v>
      </c>
      <c r="D1057" s="391" t="s">
        <v>4581</v>
      </c>
      <c r="E1057" s="391" t="s">
        <v>4723</v>
      </c>
      <c r="F1057" s="392">
        <v>865765.77</v>
      </c>
      <c r="G1057" s="393" t="s">
        <v>3800</v>
      </c>
      <c r="H1057" s="394">
        <v>322.14489295637287</v>
      </c>
      <c r="I1057" s="394"/>
      <c r="J1057" s="392"/>
      <c r="K1057" s="392"/>
      <c r="L1057" s="392"/>
      <c r="M1057" s="392"/>
      <c r="N1057" s="392">
        <f t="shared" si="26"/>
        <v>322.14489295637287</v>
      </c>
    </row>
    <row r="1058" spans="1:14" hidden="1" outlineLevel="2" x14ac:dyDescent="0.35">
      <c r="A1058" s="388" t="s">
        <v>4702</v>
      </c>
      <c r="B1058" s="389">
        <v>44525</v>
      </c>
      <c r="C1058" s="390" t="s">
        <v>4582</v>
      </c>
      <c r="D1058" s="391" t="s">
        <v>4583</v>
      </c>
      <c r="E1058" s="391" t="s">
        <v>4272</v>
      </c>
      <c r="F1058" s="392">
        <v>86576.577000000005</v>
      </c>
      <c r="G1058" s="393" t="s">
        <v>3800</v>
      </c>
      <c r="H1058" s="394">
        <v>32.214489295637286</v>
      </c>
      <c r="I1058" s="394"/>
      <c r="J1058" s="392"/>
      <c r="K1058" s="392"/>
      <c r="L1058" s="392"/>
      <c r="M1058" s="392"/>
      <c r="N1058" s="392">
        <f t="shared" si="26"/>
        <v>32.214489295637286</v>
      </c>
    </row>
    <row r="1059" spans="1:14" hidden="1" outlineLevel="2" x14ac:dyDescent="0.35">
      <c r="A1059" s="388" t="s">
        <v>4702</v>
      </c>
      <c r="B1059" s="389">
        <v>44525</v>
      </c>
      <c r="C1059" s="390" t="s">
        <v>4584</v>
      </c>
      <c r="D1059" s="391" t="s">
        <v>4585</v>
      </c>
      <c r="E1059" s="391" t="s">
        <v>4042</v>
      </c>
      <c r="F1059" s="392">
        <v>5194.5946199999998</v>
      </c>
      <c r="G1059" s="393" t="s">
        <v>3800</v>
      </c>
      <c r="H1059" s="394">
        <v>1.932869357738237</v>
      </c>
      <c r="I1059" s="394"/>
      <c r="J1059" s="392"/>
      <c r="K1059" s="392"/>
      <c r="L1059" s="392"/>
      <c r="M1059" s="392"/>
      <c r="N1059" s="392">
        <f t="shared" si="26"/>
        <v>1.932869357738237</v>
      </c>
    </row>
    <row r="1060" spans="1:14" hidden="1" outlineLevel="2" collapsed="1" x14ac:dyDescent="0.35">
      <c r="A1060" s="388" t="s">
        <v>4702</v>
      </c>
      <c r="B1060" s="389">
        <v>44547</v>
      </c>
      <c r="C1060" s="390" t="s">
        <v>4586</v>
      </c>
      <c r="D1060" s="391" t="s">
        <v>4587</v>
      </c>
      <c r="E1060" s="391" t="s">
        <v>4703</v>
      </c>
      <c r="F1060" s="392">
        <v>865765.77</v>
      </c>
      <c r="G1060" s="393" t="s">
        <v>3800</v>
      </c>
      <c r="H1060" s="394">
        <v>322.14489295637287</v>
      </c>
      <c r="I1060" s="394"/>
      <c r="J1060" s="392"/>
      <c r="K1060" s="392"/>
      <c r="L1060" s="392"/>
      <c r="M1060" s="392"/>
      <c r="N1060" s="392">
        <f t="shared" si="26"/>
        <v>322.14489295637287</v>
      </c>
    </row>
    <row r="1061" spans="1:14" hidden="1" outlineLevel="2" x14ac:dyDescent="0.35">
      <c r="A1061" s="388" t="s">
        <v>4702</v>
      </c>
      <c r="B1061" s="389">
        <v>44547</v>
      </c>
      <c r="C1061" s="390" t="s">
        <v>4588</v>
      </c>
      <c r="D1061" s="391" t="s">
        <v>4589</v>
      </c>
      <c r="E1061" s="391" t="s">
        <v>4272</v>
      </c>
      <c r="F1061" s="392">
        <v>86576.577000000005</v>
      </c>
      <c r="G1061" s="393" t="s">
        <v>3800</v>
      </c>
      <c r="H1061" s="394">
        <v>32.214489295637286</v>
      </c>
      <c r="I1061" s="394"/>
      <c r="J1061" s="392"/>
      <c r="K1061" s="392"/>
      <c r="L1061" s="392"/>
      <c r="M1061" s="392"/>
      <c r="N1061" s="392">
        <f t="shared" si="26"/>
        <v>32.214489295637286</v>
      </c>
    </row>
    <row r="1062" spans="1:14" hidden="1" outlineLevel="2" x14ac:dyDescent="0.35">
      <c r="A1062" s="388" t="s">
        <v>4702</v>
      </c>
      <c r="B1062" s="389">
        <v>44547</v>
      </c>
      <c r="C1062" s="390" t="s">
        <v>4590</v>
      </c>
      <c r="D1062" s="391" t="s">
        <v>4591</v>
      </c>
      <c r="E1062" s="391" t="s">
        <v>4042</v>
      </c>
      <c r="F1062" s="392">
        <v>5194.5946199999998</v>
      </c>
      <c r="G1062" s="393" t="s">
        <v>3800</v>
      </c>
      <c r="H1062" s="394">
        <v>1.932869357738237</v>
      </c>
      <c r="I1062" s="394"/>
      <c r="J1062" s="392"/>
      <c r="K1062" s="392"/>
      <c r="L1062" s="392"/>
      <c r="M1062" s="392"/>
      <c r="N1062" s="392">
        <f t="shared" si="26"/>
        <v>1.932869357738237</v>
      </c>
    </row>
    <row r="1063" spans="1:14" hidden="1" outlineLevel="2" x14ac:dyDescent="0.35">
      <c r="A1063" s="388" t="s">
        <v>4702</v>
      </c>
      <c r="B1063" s="389">
        <v>44547</v>
      </c>
      <c r="C1063" s="390" t="s">
        <v>4586</v>
      </c>
      <c r="D1063" s="391" t="s">
        <v>4587</v>
      </c>
      <c r="E1063" s="391" t="s">
        <v>4720</v>
      </c>
      <c r="F1063" s="392">
        <v>865765.77</v>
      </c>
      <c r="G1063" s="393" t="s">
        <v>3800</v>
      </c>
      <c r="H1063" s="394">
        <v>322.14489295637287</v>
      </c>
      <c r="I1063" s="394"/>
      <c r="J1063" s="392"/>
      <c r="K1063" s="392"/>
      <c r="L1063" s="392"/>
      <c r="M1063" s="392"/>
      <c r="N1063" s="392">
        <f t="shared" si="26"/>
        <v>322.14489295637287</v>
      </c>
    </row>
    <row r="1064" spans="1:14" hidden="1" outlineLevel="2" x14ac:dyDescent="0.35">
      <c r="A1064" s="388" t="s">
        <v>4702</v>
      </c>
      <c r="B1064" s="389">
        <v>44547</v>
      </c>
      <c r="C1064" s="390" t="s">
        <v>4588</v>
      </c>
      <c r="D1064" s="391" t="s">
        <v>4589</v>
      </c>
      <c r="E1064" s="391" t="s">
        <v>4272</v>
      </c>
      <c r="F1064" s="392">
        <v>86576.577000000005</v>
      </c>
      <c r="G1064" s="393" t="s">
        <v>3800</v>
      </c>
      <c r="H1064" s="394">
        <v>32.214489295637286</v>
      </c>
      <c r="I1064" s="394"/>
      <c r="J1064" s="392"/>
      <c r="K1064" s="392"/>
      <c r="L1064" s="392"/>
      <c r="M1064" s="392"/>
      <c r="N1064" s="392">
        <f t="shared" si="26"/>
        <v>32.214489295637286</v>
      </c>
    </row>
    <row r="1065" spans="1:14" hidden="1" outlineLevel="2" x14ac:dyDescent="0.35">
      <c r="A1065" s="388" t="s">
        <v>4702</v>
      </c>
      <c r="B1065" s="389">
        <v>44547</v>
      </c>
      <c r="C1065" s="390" t="s">
        <v>4590</v>
      </c>
      <c r="D1065" s="391" t="s">
        <v>4591</v>
      </c>
      <c r="E1065" s="391" t="s">
        <v>4042</v>
      </c>
      <c r="F1065" s="392">
        <v>5194.5946199999998</v>
      </c>
      <c r="G1065" s="393" t="s">
        <v>3800</v>
      </c>
      <c r="H1065" s="394">
        <v>1.932869357738237</v>
      </c>
      <c r="I1065" s="394"/>
      <c r="J1065" s="392"/>
      <c r="K1065" s="392"/>
      <c r="L1065" s="392"/>
      <c r="M1065" s="392"/>
      <c r="N1065" s="392">
        <f t="shared" si="26"/>
        <v>1.932869357738237</v>
      </c>
    </row>
    <row r="1066" spans="1:14" hidden="1" outlineLevel="2" x14ac:dyDescent="0.35">
      <c r="A1066" s="388" t="s">
        <v>4702</v>
      </c>
      <c r="B1066" s="389">
        <v>44547</v>
      </c>
      <c r="C1066" s="390" t="s">
        <v>4586</v>
      </c>
      <c r="D1066" s="391" t="s">
        <v>4587</v>
      </c>
      <c r="E1066" s="391" t="s">
        <v>4721</v>
      </c>
      <c r="F1066" s="392">
        <v>865765.77</v>
      </c>
      <c r="G1066" s="393" t="s">
        <v>3800</v>
      </c>
      <c r="H1066" s="394">
        <v>322.14489295637287</v>
      </c>
      <c r="I1066" s="394"/>
      <c r="J1066" s="392"/>
      <c r="K1066" s="392"/>
      <c r="L1066" s="392"/>
      <c r="M1066" s="392"/>
      <c r="N1066" s="392">
        <f t="shared" si="26"/>
        <v>322.14489295637287</v>
      </c>
    </row>
    <row r="1067" spans="1:14" hidden="1" outlineLevel="2" x14ac:dyDescent="0.35">
      <c r="A1067" s="388" t="s">
        <v>4702</v>
      </c>
      <c r="B1067" s="389">
        <v>44547</v>
      </c>
      <c r="C1067" s="390" t="s">
        <v>4588</v>
      </c>
      <c r="D1067" s="391" t="s">
        <v>4589</v>
      </c>
      <c r="E1067" s="391" t="s">
        <v>4272</v>
      </c>
      <c r="F1067" s="392">
        <v>86576.577000000005</v>
      </c>
      <c r="G1067" s="393" t="s">
        <v>3800</v>
      </c>
      <c r="H1067" s="394">
        <v>32.214489295637286</v>
      </c>
      <c r="I1067" s="394"/>
      <c r="J1067" s="392"/>
      <c r="K1067" s="392"/>
      <c r="L1067" s="392"/>
      <c r="M1067" s="392"/>
      <c r="N1067" s="392">
        <f t="shared" si="26"/>
        <v>32.214489295637286</v>
      </c>
    </row>
    <row r="1068" spans="1:14" hidden="1" outlineLevel="2" x14ac:dyDescent="0.35">
      <c r="A1068" s="388" t="s">
        <v>4702</v>
      </c>
      <c r="B1068" s="389">
        <v>44547</v>
      </c>
      <c r="C1068" s="390" t="s">
        <v>4590</v>
      </c>
      <c r="D1068" s="391" t="s">
        <v>4724</v>
      </c>
      <c r="E1068" s="391" t="s">
        <v>4042</v>
      </c>
      <c r="F1068" s="392">
        <v>5194.5946199999998</v>
      </c>
      <c r="G1068" s="393" t="s">
        <v>3800</v>
      </c>
      <c r="H1068" s="394">
        <v>1.932869357738237</v>
      </c>
      <c r="I1068" s="394"/>
      <c r="J1068" s="392"/>
      <c r="K1068" s="392"/>
      <c r="L1068" s="392"/>
      <c r="M1068" s="392"/>
      <c r="N1068" s="392">
        <f t="shared" ref="N1068:N1110" si="27">H1068</f>
        <v>1.932869357738237</v>
      </c>
    </row>
    <row r="1069" spans="1:14" hidden="1" outlineLevel="2" x14ac:dyDescent="0.35">
      <c r="A1069" s="388" t="s">
        <v>4702</v>
      </c>
      <c r="B1069" s="389">
        <v>44547</v>
      </c>
      <c r="C1069" s="390" t="s">
        <v>4586</v>
      </c>
      <c r="D1069" s="391" t="s">
        <v>4587</v>
      </c>
      <c r="E1069" s="391" t="s">
        <v>4706</v>
      </c>
      <c r="F1069" s="392">
        <v>865765.77</v>
      </c>
      <c r="G1069" s="393" t="s">
        <v>3800</v>
      </c>
      <c r="H1069" s="394">
        <v>322.14489295637287</v>
      </c>
      <c r="I1069" s="394"/>
      <c r="J1069" s="392"/>
      <c r="K1069" s="392"/>
      <c r="L1069" s="392"/>
      <c r="M1069" s="392"/>
      <c r="N1069" s="392">
        <f t="shared" si="27"/>
        <v>322.14489295637287</v>
      </c>
    </row>
    <row r="1070" spans="1:14" hidden="1" outlineLevel="2" x14ac:dyDescent="0.35">
      <c r="A1070" s="388" t="s">
        <v>4702</v>
      </c>
      <c r="B1070" s="389">
        <v>44547</v>
      </c>
      <c r="C1070" s="390" t="s">
        <v>4588</v>
      </c>
      <c r="D1070" s="391" t="s">
        <v>4589</v>
      </c>
      <c r="E1070" s="391" t="s">
        <v>4272</v>
      </c>
      <c r="F1070" s="392">
        <v>86576.577000000005</v>
      </c>
      <c r="G1070" s="393" t="s">
        <v>3800</v>
      </c>
      <c r="H1070" s="394">
        <v>32.214489295637286</v>
      </c>
      <c r="I1070" s="394"/>
      <c r="J1070" s="392"/>
      <c r="K1070" s="392"/>
      <c r="L1070" s="392"/>
      <c r="M1070" s="392"/>
      <c r="N1070" s="392">
        <f t="shared" si="27"/>
        <v>32.214489295637286</v>
      </c>
    </row>
    <row r="1071" spans="1:14" hidden="1" outlineLevel="2" x14ac:dyDescent="0.35">
      <c r="A1071" s="388" t="s">
        <v>4702</v>
      </c>
      <c r="B1071" s="389">
        <v>44547</v>
      </c>
      <c r="C1071" s="390" t="s">
        <v>4590</v>
      </c>
      <c r="D1071" s="391" t="s">
        <v>4591</v>
      </c>
      <c r="E1071" s="391" t="s">
        <v>4042</v>
      </c>
      <c r="F1071" s="392">
        <v>5194.5946199999998</v>
      </c>
      <c r="G1071" s="393" t="s">
        <v>3800</v>
      </c>
      <c r="H1071" s="394">
        <v>1.932869357738237</v>
      </c>
      <c r="I1071" s="394"/>
      <c r="J1071" s="392"/>
      <c r="K1071" s="392"/>
      <c r="L1071" s="392"/>
      <c r="M1071" s="392"/>
      <c r="N1071" s="392">
        <f t="shared" si="27"/>
        <v>1.932869357738237</v>
      </c>
    </row>
    <row r="1072" spans="1:14" hidden="1" outlineLevel="2" x14ac:dyDescent="0.35">
      <c r="A1072" s="388" t="s">
        <v>4702</v>
      </c>
      <c r="B1072" s="389">
        <v>44547</v>
      </c>
      <c r="C1072" s="390" t="s">
        <v>4586</v>
      </c>
      <c r="D1072" s="391" t="s">
        <v>4587</v>
      </c>
      <c r="E1072" s="391" t="s">
        <v>4707</v>
      </c>
      <c r="F1072" s="392">
        <v>865765.77</v>
      </c>
      <c r="G1072" s="393" t="s">
        <v>3800</v>
      </c>
      <c r="H1072" s="394">
        <v>322.14489295637287</v>
      </c>
      <c r="I1072" s="394"/>
      <c r="J1072" s="392"/>
      <c r="K1072" s="392"/>
      <c r="L1072" s="392"/>
      <c r="M1072" s="392"/>
      <c r="N1072" s="392">
        <f t="shared" si="27"/>
        <v>322.14489295637287</v>
      </c>
    </row>
    <row r="1073" spans="1:14" hidden="1" outlineLevel="2" x14ac:dyDescent="0.35">
      <c r="A1073" s="388" t="s">
        <v>4702</v>
      </c>
      <c r="B1073" s="389">
        <v>44547</v>
      </c>
      <c r="C1073" s="390" t="s">
        <v>4588</v>
      </c>
      <c r="D1073" s="391" t="s">
        <v>4589</v>
      </c>
      <c r="E1073" s="391" t="s">
        <v>4272</v>
      </c>
      <c r="F1073" s="392">
        <v>86576.577000000005</v>
      </c>
      <c r="G1073" s="393" t="s">
        <v>3800</v>
      </c>
      <c r="H1073" s="394">
        <v>32.214489295637286</v>
      </c>
      <c r="I1073" s="394"/>
      <c r="J1073" s="392"/>
      <c r="K1073" s="392"/>
      <c r="L1073" s="392"/>
      <c r="M1073" s="392"/>
      <c r="N1073" s="392">
        <f t="shared" si="27"/>
        <v>32.214489295637286</v>
      </c>
    </row>
    <row r="1074" spans="1:14" hidden="1" outlineLevel="2" x14ac:dyDescent="0.35">
      <c r="A1074" s="388" t="s">
        <v>4702</v>
      </c>
      <c r="B1074" s="389">
        <v>44547</v>
      </c>
      <c r="C1074" s="390" t="s">
        <v>4590</v>
      </c>
      <c r="D1074" s="391" t="s">
        <v>4591</v>
      </c>
      <c r="E1074" s="391" t="s">
        <v>4042</v>
      </c>
      <c r="F1074" s="392">
        <v>5194.5946199999998</v>
      </c>
      <c r="G1074" s="393" t="s">
        <v>3800</v>
      </c>
      <c r="H1074" s="394">
        <v>1.932869357738237</v>
      </c>
      <c r="I1074" s="394"/>
      <c r="J1074" s="392"/>
      <c r="K1074" s="392"/>
      <c r="L1074" s="392"/>
      <c r="M1074" s="392"/>
      <c r="N1074" s="392">
        <f t="shared" si="27"/>
        <v>1.932869357738237</v>
      </c>
    </row>
    <row r="1075" spans="1:14" hidden="1" outlineLevel="2" x14ac:dyDescent="0.35">
      <c r="A1075" s="388" t="s">
        <v>4702</v>
      </c>
      <c r="B1075" s="389">
        <v>44547</v>
      </c>
      <c r="C1075" s="390" t="s">
        <v>4586</v>
      </c>
      <c r="D1075" s="391" t="s">
        <v>4587</v>
      </c>
      <c r="E1075" s="391" t="s">
        <v>4708</v>
      </c>
      <c r="F1075" s="392">
        <v>865765.77</v>
      </c>
      <c r="G1075" s="393" t="s">
        <v>3800</v>
      </c>
      <c r="H1075" s="394">
        <v>322.14489295637287</v>
      </c>
      <c r="I1075" s="394"/>
      <c r="J1075" s="392"/>
      <c r="K1075" s="392"/>
      <c r="L1075" s="392"/>
      <c r="M1075" s="392"/>
      <c r="N1075" s="392">
        <f t="shared" si="27"/>
        <v>322.14489295637287</v>
      </c>
    </row>
    <row r="1076" spans="1:14" hidden="1" outlineLevel="2" x14ac:dyDescent="0.35">
      <c r="A1076" s="388" t="s">
        <v>4702</v>
      </c>
      <c r="B1076" s="389">
        <v>44547</v>
      </c>
      <c r="C1076" s="390" t="s">
        <v>4588</v>
      </c>
      <c r="D1076" s="391" t="s">
        <v>4589</v>
      </c>
      <c r="E1076" s="391" t="s">
        <v>4272</v>
      </c>
      <c r="F1076" s="392">
        <v>86576.577000000005</v>
      </c>
      <c r="G1076" s="393" t="s">
        <v>3800</v>
      </c>
      <c r="H1076" s="394">
        <v>32.214489295637286</v>
      </c>
      <c r="I1076" s="394"/>
      <c r="J1076" s="392"/>
      <c r="K1076" s="392"/>
      <c r="L1076" s="392"/>
      <c r="M1076" s="392"/>
      <c r="N1076" s="392">
        <f t="shared" si="27"/>
        <v>32.214489295637286</v>
      </c>
    </row>
    <row r="1077" spans="1:14" hidden="1" outlineLevel="2" x14ac:dyDescent="0.35">
      <c r="A1077" s="388" t="s">
        <v>4702</v>
      </c>
      <c r="B1077" s="389">
        <v>44547</v>
      </c>
      <c r="C1077" s="390" t="s">
        <v>4590</v>
      </c>
      <c r="D1077" s="391" t="s">
        <v>4724</v>
      </c>
      <c r="E1077" s="391" t="s">
        <v>4042</v>
      </c>
      <c r="F1077" s="392">
        <v>5194.5946199999998</v>
      </c>
      <c r="G1077" s="393" t="s">
        <v>3800</v>
      </c>
      <c r="H1077" s="394">
        <v>1.932869357738237</v>
      </c>
      <c r="I1077" s="394"/>
      <c r="J1077" s="392"/>
      <c r="K1077" s="392"/>
      <c r="L1077" s="392"/>
      <c r="M1077" s="392"/>
      <c r="N1077" s="392">
        <f t="shared" si="27"/>
        <v>1.932869357738237</v>
      </c>
    </row>
    <row r="1078" spans="1:14" hidden="1" outlineLevel="2" x14ac:dyDescent="0.35">
      <c r="A1078" s="388" t="s">
        <v>4702</v>
      </c>
      <c r="B1078" s="389">
        <v>44547</v>
      </c>
      <c r="C1078" s="390" t="s">
        <v>4586</v>
      </c>
      <c r="D1078" s="391" t="s">
        <v>4587</v>
      </c>
      <c r="E1078" s="391" t="s">
        <v>4709</v>
      </c>
      <c r="F1078" s="392">
        <v>865765.77</v>
      </c>
      <c r="G1078" s="393" t="s">
        <v>3800</v>
      </c>
      <c r="H1078" s="394">
        <v>322.14489295637287</v>
      </c>
      <c r="I1078" s="394"/>
      <c r="J1078" s="392"/>
      <c r="K1078" s="392"/>
      <c r="L1078" s="392"/>
      <c r="M1078" s="392"/>
      <c r="N1078" s="392">
        <f t="shared" si="27"/>
        <v>322.14489295637287</v>
      </c>
    </row>
    <row r="1079" spans="1:14" hidden="1" outlineLevel="2" x14ac:dyDescent="0.35">
      <c r="A1079" s="388" t="s">
        <v>4702</v>
      </c>
      <c r="B1079" s="389">
        <v>44547</v>
      </c>
      <c r="C1079" s="390" t="s">
        <v>4588</v>
      </c>
      <c r="D1079" s="391" t="s">
        <v>4589</v>
      </c>
      <c r="E1079" s="391" t="s">
        <v>4272</v>
      </c>
      <c r="F1079" s="392">
        <v>86576.577000000005</v>
      </c>
      <c r="G1079" s="393" t="s">
        <v>3800</v>
      </c>
      <c r="H1079" s="394">
        <v>32.214489295637286</v>
      </c>
      <c r="I1079" s="394"/>
      <c r="J1079" s="392"/>
      <c r="K1079" s="392"/>
      <c r="L1079" s="392"/>
      <c r="M1079" s="392"/>
      <c r="N1079" s="392">
        <f t="shared" si="27"/>
        <v>32.214489295637286</v>
      </c>
    </row>
    <row r="1080" spans="1:14" hidden="1" outlineLevel="2" x14ac:dyDescent="0.35">
      <c r="A1080" s="388" t="s">
        <v>4702</v>
      </c>
      <c r="B1080" s="389">
        <v>44547</v>
      </c>
      <c r="C1080" s="390" t="s">
        <v>4590</v>
      </c>
      <c r="D1080" s="391" t="s">
        <v>4591</v>
      </c>
      <c r="E1080" s="391" t="s">
        <v>4042</v>
      </c>
      <c r="F1080" s="392">
        <v>5194.5946199999998</v>
      </c>
      <c r="G1080" s="393" t="s">
        <v>3800</v>
      </c>
      <c r="H1080" s="394">
        <v>1.932869357738237</v>
      </c>
      <c r="I1080" s="394"/>
      <c r="J1080" s="392"/>
      <c r="K1080" s="392"/>
      <c r="L1080" s="392"/>
      <c r="M1080" s="392"/>
      <c r="N1080" s="392">
        <f t="shared" si="27"/>
        <v>1.932869357738237</v>
      </c>
    </row>
    <row r="1081" spans="1:14" hidden="1" outlineLevel="2" x14ac:dyDescent="0.35">
      <c r="A1081" s="388" t="s">
        <v>4702</v>
      </c>
      <c r="B1081" s="389">
        <v>44547</v>
      </c>
      <c r="C1081" s="390" t="s">
        <v>4586</v>
      </c>
      <c r="D1081" s="391" t="s">
        <v>4587</v>
      </c>
      <c r="E1081" s="391" t="s">
        <v>4710</v>
      </c>
      <c r="F1081" s="392">
        <v>865765.77</v>
      </c>
      <c r="G1081" s="393" t="s">
        <v>3800</v>
      </c>
      <c r="H1081" s="394">
        <v>322.14489295637287</v>
      </c>
      <c r="I1081" s="394"/>
      <c r="J1081" s="392"/>
      <c r="K1081" s="392"/>
      <c r="L1081" s="392"/>
      <c r="M1081" s="392"/>
      <c r="N1081" s="392">
        <f t="shared" si="27"/>
        <v>322.14489295637287</v>
      </c>
    </row>
    <row r="1082" spans="1:14" hidden="1" outlineLevel="2" x14ac:dyDescent="0.35">
      <c r="A1082" s="388" t="s">
        <v>4702</v>
      </c>
      <c r="B1082" s="389">
        <v>44547</v>
      </c>
      <c r="C1082" s="390" t="s">
        <v>4588</v>
      </c>
      <c r="D1082" s="391" t="s">
        <v>4589</v>
      </c>
      <c r="E1082" s="391" t="s">
        <v>4272</v>
      </c>
      <c r="F1082" s="392">
        <v>86576.577000000005</v>
      </c>
      <c r="G1082" s="393" t="s">
        <v>3800</v>
      </c>
      <c r="H1082" s="394">
        <v>32.214489295637286</v>
      </c>
      <c r="I1082" s="394"/>
      <c r="J1082" s="392"/>
      <c r="K1082" s="392"/>
      <c r="L1082" s="392"/>
      <c r="M1082" s="392"/>
      <c r="N1082" s="392">
        <f t="shared" si="27"/>
        <v>32.214489295637286</v>
      </c>
    </row>
    <row r="1083" spans="1:14" hidden="1" outlineLevel="2" x14ac:dyDescent="0.35">
      <c r="A1083" s="388" t="s">
        <v>4702</v>
      </c>
      <c r="B1083" s="389">
        <v>44547</v>
      </c>
      <c r="C1083" s="390" t="s">
        <v>4590</v>
      </c>
      <c r="D1083" s="391" t="s">
        <v>4591</v>
      </c>
      <c r="E1083" s="391" t="s">
        <v>4042</v>
      </c>
      <c r="F1083" s="392">
        <v>5194.5946199999998</v>
      </c>
      <c r="G1083" s="393" t="s">
        <v>3800</v>
      </c>
      <c r="H1083" s="394">
        <v>1.932869357738237</v>
      </c>
      <c r="I1083" s="394"/>
      <c r="J1083" s="392"/>
      <c r="K1083" s="392"/>
      <c r="L1083" s="392"/>
      <c r="M1083" s="392"/>
      <c r="N1083" s="392">
        <f t="shared" si="27"/>
        <v>1.932869357738237</v>
      </c>
    </row>
    <row r="1084" spans="1:14" hidden="1" outlineLevel="2" x14ac:dyDescent="0.35">
      <c r="A1084" s="388" t="s">
        <v>4702</v>
      </c>
      <c r="B1084" s="389">
        <v>44547</v>
      </c>
      <c r="C1084" s="390" t="s">
        <v>4586</v>
      </c>
      <c r="D1084" s="391" t="s">
        <v>4587</v>
      </c>
      <c r="E1084" s="391" t="s">
        <v>4711</v>
      </c>
      <c r="F1084" s="392">
        <v>865765.77</v>
      </c>
      <c r="G1084" s="393" t="s">
        <v>3800</v>
      </c>
      <c r="H1084" s="394">
        <v>322.14489295637287</v>
      </c>
      <c r="I1084" s="394"/>
      <c r="J1084" s="392"/>
      <c r="K1084" s="392"/>
      <c r="L1084" s="392"/>
      <c r="M1084" s="392"/>
      <c r="N1084" s="392">
        <f t="shared" si="27"/>
        <v>322.14489295637287</v>
      </c>
    </row>
    <row r="1085" spans="1:14" hidden="1" outlineLevel="2" x14ac:dyDescent="0.35">
      <c r="A1085" s="388" t="s">
        <v>4702</v>
      </c>
      <c r="B1085" s="389">
        <v>44547</v>
      </c>
      <c r="C1085" s="390" t="s">
        <v>4588</v>
      </c>
      <c r="D1085" s="391" t="s">
        <v>4589</v>
      </c>
      <c r="E1085" s="391" t="s">
        <v>4272</v>
      </c>
      <c r="F1085" s="392">
        <v>86576.577000000005</v>
      </c>
      <c r="G1085" s="393" t="s">
        <v>3800</v>
      </c>
      <c r="H1085" s="394">
        <v>32.214489295637286</v>
      </c>
      <c r="I1085" s="394"/>
      <c r="J1085" s="392"/>
      <c r="K1085" s="392"/>
      <c r="L1085" s="392"/>
      <c r="M1085" s="392"/>
      <c r="N1085" s="392">
        <f t="shared" si="27"/>
        <v>32.214489295637286</v>
      </c>
    </row>
    <row r="1086" spans="1:14" hidden="1" outlineLevel="2" x14ac:dyDescent="0.35">
      <c r="A1086" s="388" t="s">
        <v>4702</v>
      </c>
      <c r="B1086" s="389">
        <v>44547</v>
      </c>
      <c r="C1086" s="390" t="s">
        <v>4590</v>
      </c>
      <c r="D1086" s="391" t="s">
        <v>4591</v>
      </c>
      <c r="E1086" s="391" t="s">
        <v>4042</v>
      </c>
      <c r="F1086" s="392">
        <v>5194.5946199999998</v>
      </c>
      <c r="G1086" s="393" t="s">
        <v>3800</v>
      </c>
      <c r="H1086" s="394">
        <v>1.932869357738237</v>
      </c>
      <c r="I1086" s="394"/>
      <c r="J1086" s="392"/>
      <c r="K1086" s="392"/>
      <c r="L1086" s="392"/>
      <c r="M1086" s="392"/>
      <c r="N1086" s="392">
        <f t="shared" si="27"/>
        <v>1.932869357738237</v>
      </c>
    </row>
    <row r="1087" spans="1:14" hidden="1" outlineLevel="2" x14ac:dyDescent="0.35">
      <c r="A1087" s="388" t="s">
        <v>4702</v>
      </c>
      <c r="B1087" s="389">
        <v>44547</v>
      </c>
      <c r="C1087" s="390" t="s">
        <v>4586</v>
      </c>
      <c r="D1087" s="391" t="s">
        <v>4587</v>
      </c>
      <c r="E1087" s="391" t="s">
        <v>4712</v>
      </c>
      <c r="F1087" s="392">
        <v>865765.77</v>
      </c>
      <c r="G1087" s="393" t="s">
        <v>3800</v>
      </c>
      <c r="H1087" s="394">
        <v>322.14489295637287</v>
      </c>
      <c r="I1087" s="394"/>
      <c r="J1087" s="392"/>
      <c r="K1087" s="392"/>
      <c r="L1087" s="392"/>
      <c r="M1087" s="392"/>
      <c r="N1087" s="392">
        <f t="shared" si="27"/>
        <v>322.14489295637287</v>
      </c>
    </row>
    <row r="1088" spans="1:14" hidden="1" outlineLevel="2" x14ac:dyDescent="0.35">
      <c r="A1088" s="388" t="s">
        <v>4702</v>
      </c>
      <c r="B1088" s="389">
        <v>44547</v>
      </c>
      <c r="C1088" s="390" t="s">
        <v>4588</v>
      </c>
      <c r="D1088" s="391" t="s">
        <v>4589</v>
      </c>
      <c r="E1088" s="391" t="s">
        <v>4272</v>
      </c>
      <c r="F1088" s="392">
        <v>86576.577000000005</v>
      </c>
      <c r="G1088" s="393" t="s">
        <v>3800</v>
      </c>
      <c r="H1088" s="394">
        <v>32.214489295637286</v>
      </c>
      <c r="I1088" s="394"/>
      <c r="J1088" s="392"/>
      <c r="K1088" s="392"/>
      <c r="L1088" s="392"/>
      <c r="M1088" s="392"/>
      <c r="N1088" s="392">
        <f t="shared" si="27"/>
        <v>32.214489295637286</v>
      </c>
    </row>
    <row r="1089" spans="1:14" hidden="1" outlineLevel="2" x14ac:dyDescent="0.35">
      <c r="A1089" s="388" t="s">
        <v>4702</v>
      </c>
      <c r="B1089" s="389">
        <v>44547</v>
      </c>
      <c r="C1089" s="390" t="s">
        <v>4590</v>
      </c>
      <c r="D1089" s="391" t="s">
        <v>4725</v>
      </c>
      <c r="E1089" s="391" t="s">
        <v>4042</v>
      </c>
      <c r="F1089" s="392">
        <v>5194.5946199999998</v>
      </c>
      <c r="G1089" s="393" t="s">
        <v>3800</v>
      </c>
      <c r="H1089" s="394">
        <v>1.932869357738237</v>
      </c>
      <c r="I1089" s="394"/>
      <c r="J1089" s="392"/>
      <c r="K1089" s="392"/>
      <c r="L1089" s="392"/>
      <c r="M1089" s="392"/>
      <c r="N1089" s="392">
        <f t="shared" si="27"/>
        <v>1.932869357738237</v>
      </c>
    </row>
    <row r="1090" spans="1:14" hidden="1" outlineLevel="2" x14ac:dyDescent="0.35">
      <c r="A1090" s="388" t="s">
        <v>4702</v>
      </c>
      <c r="B1090" s="389">
        <v>44547</v>
      </c>
      <c r="C1090" s="390" t="s">
        <v>4586</v>
      </c>
      <c r="D1090" s="391" t="s">
        <v>4587</v>
      </c>
      <c r="E1090" s="391" t="s">
        <v>4713</v>
      </c>
      <c r="F1090" s="392">
        <v>865765.77</v>
      </c>
      <c r="G1090" s="393" t="s">
        <v>3800</v>
      </c>
      <c r="H1090" s="394">
        <v>322.14489295637287</v>
      </c>
      <c r="I1090" s="394"/>
      <c r="J1090" s="392"/>
      <c r="K1090" s="392"/>
      <c r="L1090" s="392"/>
      <c r="M1090" s="392"/>
      <c r="N1090" s="392">
        <f t="shared" si="27"/>
        <v>322.14489295637287</v>
      </c>
    </row>
    <row r="1091" spans="1:14" hidden="1" outlineLevel="2" x14ac:dyDescent="0.35">
      <c r="A1091" s="388" t="s">
        <v>4702</v>
      </c>
      <c r="B1091" s="389">
        <v>44547</v>
      </c>
      <c r="C1091" s="390" t="s">
        <v>4588</v>
      </c>
      <c r="D1091" s="391" t="s">
        <v>4589</v>
      </c>
      <c r="E1091" s="391" t="s">
        <v>4272</v>
      </c>
      <c r="F1091" s="392">
        <v>86576.577000000005</v>
      </c>
      <c r="G1091" s="393" t="s">
        <v>3800</v>
      </c>
      <c r="H1091" s="394">
        <v>32.214489295637286</v>
      </c>
      <c r="I1091" s="394"/>
      <c r="J1091" s="392"/>
      <c r="K1091" s="392"/>
      <c r="L1091" s="392"/>
      <c r="M1091" s="392"/>
      <c r="N1091" s="392">
        <f t="shared" si="27"/>
        <v>32.214489295637286</v>
      </c>
    </row>
    <row r="1092" spans="1:14" hidden="1" outlineLevel="2" x14ac:dyDescent="0.35">
      <c r="A1092" s="388" t="s">
        <v>4702</v>
      </c>
      <c r="B1092" s="389">
        <v>44547</v>
      </c>
      <c r="C1092" s="390" t="s">
        <v>4590</v>
      </c>
      <c r="D1092" s="391" t="s">
        <v>4591</v>
      </c>
      <c r="E1092" s="391" t="s">
        <v>4042</v>
      </c>
      <c r="F1092" s="392">
        <v>5194.5946199999998</v>
      </c>
      <c r="G1092" s="393" t="s">
        <v>3800</v>
      </c>
      <c r="H1092" s="394">
        <v>1.932869357738237</v>
      </c>
      <c r="I1092" s="394"/>
      <c r="J1092" s="392"/>
      <c r="K1092" s="392"/>
      <c r="L1092" s="392"/>
      <c r="M1092" s="392"/>
      <c r="N1092" s="392">
        <f t="shared" si="27"/>
        <v>1.932869357738237</v>
      </c>
    </row>
    <row r="1093" spans="1:14" hidden="1" outlineLevel="2" x14ac:dyDescent="0.35">
      <c r="A1093" s="388" t="s">
        <v>4702</v>
      </c>
      <c r="B1093" s="389">
        <v>44547</v>
      </c>
      <c r="C1093" s="390" t="s">
        <v>4586</v>
      </c>
      <c r="D1093" s="391" t="s">
        <v>4587</v>
      </c>
      <c r="E1093" s="391" t="s">
        <v>4714</v>
      </c>
      <c r="F1093" s="392">
        <v>865765.77</v>
      </c>
      <c r="G1093" s="393" t="s">
        <v>3800</v>
      </c>
      <c r="H1093" s="394">
        <v>322.14489295637287</v>
      </c>
      <c r="I1093" s="394"/>
      <c r="J1093" s="392"/>
      <c r="K1093" s="392"/>
      <c r="L1093" s="392"/>
      <c r="M1093" s="392"/>
      <c r="N1093" s="392">
        <f t="shared" si="27"/>
        <v>322.14489295637287</v>
      </c>
    </row>
    <row r="1094" spans="1:14" hidden="1" outlineLevel="2" x14ac:dyDescent="0.35">
      <c r="A1094" s="388" t="s">
        <v>4702</v>
      </c>
      <c r="B1094" s="389">
        <v>44547</v>
      </c>
      <c r="C1094" s="390" t="s">
        <v>4588</v>
      </c>
      <c r="D1094" s="391" t="s">
        <v>4589</v>
      </c>
      <c r="E1094" s="391" t="s">
        <v>4272</v>
      </c>
      <c r="F1094" s="392">
        <v>86576.577000000005</v>
      </c>
      <c r="G1094" s="393" t="s">
        <v>3800</v>
      </c>
      <c r="H1094" s="394">
        <v>32.214489295637286</v>
      </c>
      <c r="I1094" s="394"/>
      <c r="J1094" s="392"/>
      <c r="K1094" s="392"/>
      <c r="L1094" s="392"/>
      <c r="M1094" s="392"/>
      <c r="N1094" s="392">
        <f t="shared" si="27"/>
        <v>32.214489295637286</v>
      </c>
    </row>
    <row r="1095" spans="1:14" hidden="1" outlineLevel="2" x14ac:dyDescent="0.35">
      <c r="A1095" s="388" t="s">
        <v>4702</v>
      </c>
      <c r="B1095" s="389">
        <v>44547</v>
      </c>
      <c r="C1095" s="390" t="s">
        <v>4590</v>
      </c>
      <c r="D1095" s="391" t="s">
        <v>4591</v>
      </c>
      <c r="E1095" s="391" t="s">
        <v>4042</v>
      </c>
      <c r="F1095" s="392">
        <v>5194.5946199999998</v>
      </c>
      <c r="G1095" s="393" t="s">
        <v>3800</v>
      </c>
      <c r="H1095" s="394">
        <v>1.932869357738237</v>
      </c>
      <c r="I1095" s="394"/>
      <c r="J1095" s="392"/>
      <c r="K1095" s="392"/>
      <c r="L1095" s="392"/>
      <c r="M1095" s="392"/>
      <c r="N1095" s="392">
        <f t="shared" si="27"/>
        <v>1.932869357738237</v>
      </c>
    </row>
    <row r="1096" spans="1:14" hidden="1" outlineLevel="2" x14ac:dyDescent="0.35">
      <c r="A1096" s="388" t="s">
        <v>4702</v>
      </c>
      <c r="B1096" s="389">
        <v>44547</v>
      </c>
      <c r="C1096" s="390" t="s">
        <v>4586</v>
      </c>
      <c r="D1096" s="391" t="s">
        <v>4587</v>
      </c>
      <c r="E1096" s="391" t="s">
        <v>4716</v>
      </c>
      <c r="F1096" s="392">
        <v>865765.77</v>
      </c>
      <c r="G1096" s="393" t="s">
        <v>3800</v>
      </c>
      <c r="H1096" s="394">
        <v>322.14489295637287</v>
      </c>
      <c r="I1096" s="394"/>
      <c r="J1096" s="392"/>
      <c r="K1096" s="392"/>
      <c r="L1096" s="392"/>
      <c r="M1096" s="392"/>
      <c r="N1096" s="392">
        <f t="shared" si="27"/>
        <v>322.14489295637287</v>
      </c>
    </row>
    <row r="1097" spans="1:14" hidden="1" outlineLevel="2" x14ac:dyDescent="0.35">
      <c r="A1097" s="388" t="s">
        <v>4702</v>
      </c>
      <c r="B1097" s="389">
        <v>44547</v>
      </c>
      <c r="C1097" s="390" t="s">
        <v>4588</v>
      </c>
      <c r="D1097" s="391" t="s">
        <v>4589</v>
      </c>
      <c r="E1097" s="391" t="s">
        <v>4272</v>
      </c>
      <c r="F1097" s="392">
        <v>86576.577000000005</v>
      </c>
      <c r="G1097" s="393" t="s">
        <v>3800</v>
      </c>
      <c r="H1097" s="394">
        <v>32.214489295637286</v>
      </c>
      <c r="I1097" s="394"/>
      <c r="J1097" s="392"/>
      <c r="K1097" s="392"/>
      <c r="L1097" s="392"/>
      <c r="M1097" s="392"/>
      <c r="N1097" s="392">
        <f t="shared" si="27"/>
        <v>32.214489295637286</v>
      </c>
    </row>
    <row r="1098" spans="1:14" hidden="1" outlineLevel="2" x14ac:dyDescent="0.35">
      <c r="A1098" s="388" t="s">
        <v>4702</v>
      </c>
      <c r="B1098" s="389">
        <v>44547</v>
      </c>
      <c r="C1098" s="390" t="s">
        <v>4590</v>
      </c>
      <c r="D1098" s="391" t="s">
        <v>4591</v>
      </c>
      <c r="E1098" s="391" t="s">
        <v>4042</v>
      </c>
      <c r="F1098" s="392">
        <v>5194.5946199999998</v>
      </c>
      <c r="G1098" s="393" t="s">
        <v>3800</v>
      </c>
      <c r="H1098" s="394">
        <v>1.932869357738237</v>
      </c>
      <c r="I1098" s="394"/>
      <c r="J1098" s="392"/>
      <c r="K1098" s="392"/>
      <c r="L1098" s="392"/>
      <c r="M1098" s="392"/>
      <c r="N1098" s="392">
        <f t="shared" si="27"/>
        <v>1.932869357738237</v>
      </c>
    </row>
    <row r="1099" spans="1:14" hidden="1" outlineLevel="2" x14ac:dyDescent="0.35">
      <c r="A1099" s="388" t="s">
        <v>4702</v>
      </c>
      <c r="B1099" s="389">
        <v>44547</v>
      </c>
      <c r="C1099" s="390" t="s">
        <v>4586</v>
      </c>
      <c r="D1099" s="391" t="s">
        <v>4587</v>
      </c>
      <c r="E1099" s="391" t="s">
        <v>4717</v>
      </c>
      <c r="F1099" s="392">
        <v>865765.77</v>
      </c>
      <c r="G1099" s="393" t="s">
        <v>3800</v>
      </c>
      <c r="H1099" s="394">
        <v>322.14489295637287</v>
      </c>
      <c r="I1099" s="394"/>
      <c r="J1099" s="392"/>
      <c r="K1099" s="392"/>
      <c r="L1099" s="392"/>
      <c r="M1099" s="392"/>
      <c r="N1099" s="392">
        <f t="shared" si="27"/>
        <v>322.14489295637287</v>
      </c>
    </row>
    <row r="1100" spans="1:14" hidden="1" outlineLevel="2" x14ac:dyDescent="0.35">
      <c r="A1100" s="388" t="s">
        <v>4702</v>
      </c>
      <c r="B1100" s="389">
        <v>44547</v>
      </c>
      <c r="C1100" s="390" t="s">
        <v>4588</v>
      </c>
      <c r="D1100" s="391" t="s">
        <v>4589</v>
      </c>
      <c r="E1100" s="391" t="s">
        <v>4272</v>
      </c>
      <c r="F1100" s="392">
        <v>86576.577000000005</v>
      </c>
      <c r="G1100" s="393" t="s">
        <v>3800</v>
      </c>
      <c r="H1100" s="394">
        <v>32.214489295637286</v>
      </c>
      <c r="I1100" s="394"/>
      <c r="J1100" s="392"/>
      <c r="K1100" s="392"/>
      <c r="L1100" s="392"/>
      <c r="M1100" s="392"/>
      <c r="N1100" s="392">
        <f t="shared" si="27"/>
        <v>32.214489295637286</v>
      </c>
    </row>
    <row r="1101" spans="1:14" hidden="1" outlineLevel="2" x14ac:dyDescent="0.35">
      <c r="A1101" s="388" t="s">
        <v>4702</v>
      </c>
      <c r="B1101" s="389">
        <v>44547</v>
      </c>
      <c r="C1101" s="390" t="s">
        <v>4590</v>
      </c>
      <c r="D1101" s="391" t="s">
        <v>4591</v>
      </c>
      <c r="E1101" s="391" t="s">
        <v>4042</v>
      </c>
      <c r="F1101" s="392">
        <v>5194.5946199999998</v>
      </c>
      <c r="G1101" s="393" t="s">
        <v>3800</v>
      </c>
      <c r="H1101" s="394">
        <v>1.932869357738237</v>
      </c>
      <c r="I1101" s="394"/>
      <c r="J1101" s="392"/>
      <c r="K1101" s="392"/>
      <c r="L1101" s="392"/>
      <c r="M1101" s="392"/>
      <c r="N1101" s="392">
        <f t="shared" si="27"/>
        <v>1.932869357738237</v>
      </c>
    </row>
    <row r="1102" spans="1:14" hidden="1" outlineLevel="2" x14ac:dyDescent="0.35">
      <c r="A1102" s="388" t="s">
        <v>4702</v>
      </c>
      <c r="B1102" s="389">
        <v>44547</v>
      </c>
      <c r="C1102" s="390" t="s">
        <v>4586</v>
      </c>
      <c r="D1102" s="391" t="s">
        <v>4587</v>
      </c>
      <c r="E1102" s="391" t="s">
        <v>4718</v>
      </c>
      <c r="F1102" s="392">
        <v>865765.77</v>
      </c>
      <c r="G1102" s="393" t="s">
        <v>3800</v>
      </c>
      <c r="H1102" s="394">
        <v>322.14489295637287</v>
      </c>
      <c r="I1102" s="394"/>
      <c r="J1102" s="392"/>
      <c r="K1102" s="392"/>
      <c r="L1102" s="392"/>
      <c r="M1102" s="392"/>
      <c r="N1102" s="392">
        <f t="shared" si="27"/>
        <v>322.14489295637287</v>
      </c>
    </row>
    <row r="1103" spans="1:14" hidden="1" outlineLevel="2" x14ac:dyDescent="0.35">
      <c r="A1103" s="388" t="s">
        <v>4702</v>
      </c>
      <c r="B1103" s="389">
        <v>44547</v>
      </c>
      <c r="C1103" s="390" t="s">
        <v>4588</v>
      </c>
      <c r="D1103" s="391" t="s">
        <v>4589</v>
      </c>
      <c r="E1103" s="391" t="s">
        <v>4272</v>
      </c>
      <c r="F1103" s="392">
        <v>86576.577000000005</v>
      </c>
      <c r="G1103" s="393" t="s">
        <v>3800</v>
      </c>
      <c r="H1103" s="394">
        <v>32.214489295637286</v>
      </c>
      <c r="I1103" s="394"/>
      <c r="J1103" s="392"/>
      <c r="K1103" s="392"/>
      <c r="L1103" s="392"/>
      <c r="M1103" s="392"/>
      <c r="N1103" s="392">
        <f t="shared" si="27"/>
        <v>32.214489295637286</v>
      </c>
    </row>
    <row r="1104" spans="1:14" hidden="1" outlineLevel="2" x14ac:dyDescent="0.35">
      <c r="A1104" s="388" t="s">
        <v>4702</v>
      </c>
      <c r="B1104" s="389">
        <v>44547</v>
      </c>
      <c r="C1104" s="390" t="s">
        <v>4590</v>
      </c>
      <c r="D1104" s="391" t="s">
        <v>4591</v>
      </c>
      <c r="E1104" s="391" t="s">
        <v>4042</v>
      </c>
      <c r="F1104" s="392">
        <v>5194.5946199999998</v>
      </c>
      <c r="G1104" s="393" t="s">
        <v>3800</v>
      </c>
      <c r="H1104" s="394">
        <v>1.932869357738237</v>
      </c>
      <c r="I1104" s="394"/>
      <c r="J1104" s="392"/>
      <c r="K1104" s="392"/>
      <c r="L1104" s="392"/>
      <c r="M1104" s="392"/>
      <c r="N1104" s="392">
        <f t="shared" si="27"/>
        <v>1.932869357738237</v>
      </c>
    </row>
    <row r="1105" spans="1:14" hidden="1" outlineLevel="2" x14ac:dyDescent="0.35">
      <c r="A1105" s="388" t="s">
        <v>4702</v>
      </c>
      <c r="B1105" s="389">
        <v>44547</v>
      </c>
      <c r="C1105" s="390" t="s">
        <v>4586</v>
      </c>
      <c r="D1105" s="391" t="s">
        <v>4587</v>
      </c>
      <c r="E1105" s="391" t="s">
        <v>4722</v>
      </c>
      <c r="F1105" s="392">
        <v>865765.77</v>
      </c>
      <c r="G1105" s="393" t="s">
        <v>3800</v>
      </c>
      <c r="H1105" s="394">
        <v>322.14489295637287</v>
      </c>
      <c r="I1105" s="394"/>
      <c r="J1105" s="392"/>
      <c r="K1105" s="392"/>
      <c r="L1105" s="392"/>
      <c r="M1105" s="392"/>
      <c r="N1105" s="392">
        <f t="shared" si="27"/>
        <v>322.14489295637287</v>
      </c>
    </row>
    <row r="1106" spans="1:14" hidden="1" outlineLevel="2" x14ac:dyDescent="0.35">
      <c r="A1106" s="388" t="s">
        <v>4702</v>
      </c>
      <c r="B1106" s="389">
        <v>44547</v>
      </c>
      <c r="C1106" s="390" t="s">
        <v>4588</v>
      </c>
      <c r="D1106" s="391" t="s">
        <v>4589</v>
      </c>
      <c r="E1106" s="391" t="s">
        <v>4272</v>
      </c>
      <c r="F1106" s="392">
        <v>86576.577000000005</v>
      </c>
      <c r="G1106" s="393" t="s">
        <v>3800</v>
      </c>
      <c r="H1106" s="394">
        <v>32.214489295637286</v>
      </c>
      <c r="I1106" s="394"/>
      <c r="J1106" s="392"/>
      <c r="K1106" s="392"/>
      <c r="L1106" s="392"/>
      <c r="M1106" s="392"/>
      <c r="N1106" s="392">
        <f t="shared" si="27"/>
        <v>32.214489295637286</v>
      </c>
    </row>
    <row r="1107" spans="1:14" hidden="1" outlineLevel="2" x14ac:dyDescent="0.35">
      <c r="A1107" s="388" t="s">
        <v>4702</v>
      </c>
      <c r="B1107" s="389">
        <v>44547</v>
      </c>
      <c r="C1107" s="390" t="s">
        <v>4590</v>
      </c>
      <c r="D1107" s="391" t="s">
        <v>4591</v>
      </c>
      <c r="E1107" s="391" t="s">
        <v>4042</v>
      </c>
      <c r="F1107" s="392">
        <v>5194.5946199999998</v>
      </c>
      <c r="G1107" s="393" t="s">
        <v>3800</v>
      </c>
      <c r="H1107" s="394">
        <v>1.932869357738237</v>
      </c>
      <c r="I1107" s="394"/>
      <c r="J1107" s="392"/>
      <c r="K1107" s="392"/>
      <c r="L1107" s="392"/>
      <c r="M1107" s="392"/>
      <c r="N1107" s="392">
        <f t="shared" si="27"/>
        <v>1.932869357738237</v>
      </c>
    </row>
    <row r="1108" spans="1:14" hidden="1" outlineLevel="2" x14ac:dyDescent="0.35">
      <c r="A1108" s="388" t="s">
        <v>4702</v>
      </c>
      <c r="B1108" s="389">
        <v>44547</v>
      </c>
      <c r="C1108" s="390" t="s">
        <v>4586</v>
      </c>
      <c r="D1108" s="391" t="s">
        <v>4587</v>
      </c>
      <c r="E1108" s="391" t="s">
        <v>4723</v>
      </c>
      <c r="F1108" s="392">
        <v>865765.77</v>
      </c>
      <c r="G1108" s="393" t="s">
        <v>3800</v>
      </c>
      <c r="H1108" s="394">
        <v>322.14489295637287</v>
      </c>
      <c r="I1108" s="394"/>
      <c r="J1108" s="392"/>
      <c r="K1108" s="392"/>
      <c r="L1108" s="392"/>
      <c r="M1108" s="392"/>
      <c r="N1108" s="392">
        <f t="shared" si="27"/>
        <v>322.14489295637287</v>
      </c>
    </row>
    <row r="1109" spans="1:14" hidden="1" outlineLevel="2" x14ac:dyDescent="0.35">
      <c r="A1109" s="388" t="s">
        <v>4702</v>
      </c>
      <c r="B1109" s="389">
        <v>44547</v>
      </c>
      <c r="C1109" s="390" t="s">
        <v>4588</v>
      </c>
      <c r="D1109" s="391" t="s">
        <v>4589</v>
      </c>
      <c r="E1109" s="391" t="s">
        <v>4272</v>
      </c>
      <c r="F1109" s="392">
        <v>86576.577000000005</v>
      </c>
      <c r="G1109" s="393" t="s">
        <v>3800</v>
      </c>
      <c r="H1109" s="394">
        <v>32.214489295637286</v>
      </c>
      <c r="I1109" s="394"/>
      <c r="J1109" s="392"/>
      <c r="K1109" s="392"/>
      <c r="L1109" s="392"/>
      <c r="M1109" s="392"/>
      <c r="N1109" s="392">
        <f t="shared" si="27"/>
        <v>32.214489295637286</v>
      </c>
    </row>
    <row r="1110" spans="1:14" hidden="1" outlineLevel="2" x14ac:dyDescent="0.35">
      <c r="A1110" s="388" t="s">
        <v>4702</v>
      </c>
      <c r="B1110" s="389">
        <v>44547</v>
      </c>
      <c r="C1110" s="390" t="s">
        <v>4590</v>
      </c>
      <c r="D1110" s="391" t="s">
        <v>4591</v>
      </c>
      <c r="E1110" s="391" t="s">
        <v>4042</v>
      </c>
      <c r="F1110" s="392">
        <v>5194.5946199999998</v>
      </c>
      <c r="G1110" s="393" t="s">
        <v>3800</v>
      </c>
      <c r="H1110" s="394">
        <v>1.932869357738237</v>
      </c>
      <c r="I1110" s="394"/>
      <c r="J1110" s="392"/>
      <c r="K1110" s="392"/>
      <c r="L1110" s="392"/>
      <c r="M1110" s="392"/>
      <c r="N1110" s="392">
        <f t="shared" si="27"/>
        <v>1.932869357738237</v>
      </c>
    </row>
    <row r="1111" spans="1:14" hidden="1" outlineLevel="2" x14ac:dyDescent="0.35">
      <c r="A1111" s="388" t="s">
        <v>4702</v>
      </c>
      <c r="B1111" s="389">
        <v>44587</v>
      </c>
      <c r="C1111" s="390" t="s">
        <v>4592</v>
      </c>
      <c r="D1111" s="391" t="s">
        <v>4593</v>
      </c>
      <c r="E1111" s="391" t="s">
        <v>4703</v>
      </c>
      <c r="F1111" s="392">
        <v>865765.77</v>
      </c>
      <c r="G1111" s="393" t="s">
        <v>3800</v>
      </c>
      <c r="H1111" s="394">
        <v>322.14489295637287</v>
      </c>
      <c r="I1111" s="394"/>
      <c r="J1111" s="392"/>
      <c r="K1111" s="392"/>
      <c r="L1111" s="392"/>
      <c r="M1111" s="392"/>
      <c r="N1111" s="392">
        <v>322.14489295637287</v>
      </c>
    </row>
    <row r="1112" spans="1:14" hidden="1" outlineLevel="2" x14ac:dyDescent="0.35">
      <c r="A1112" s="388" t="s">
        <v>4702</v>
      </c>
      <c r="B1112" s="389">
        <v>44587</v>
      </c>
      <c r="C1112" s="390" t="s">
        <v>4594</v>
      </c>
      <c r="D1112" s="391" t="s">
        <v>4595</v>
      </c>
      <c r="E1112" s="391" t="s">
        <v>4272</v>
      </c>
      <c r="F1112" s="392">
        <v>86576.577000000005</v>
      </c>
      <c r="G1112" s="393" t="s">
        <v>3800</v>
      </c>
      <c r="H1112" s="394">
        <v>32.214489295637286</v>
      </c>
      <c r="I1112" s="394"/>
      <c r="J1112" s="392"/>
      <c r="K1112" s="392"/>
      <c r="L1112" s="392"/>
      <c r="M1112" s="392"/>
      <c r="N1112" s="392">
        <v>32.214489295637286</v>
      </c>
    </row>
    <row r="1113" spans="1:14" hidden="1" outlineLevel="2" x14ac:dyDescent="0.35">
      <c r="A1113" s="388" t="s">
        <v>4702</v>
      </c>
      <c r="B1113" s="389">
        <v>44587</v>
      </c>
      <c r="C1113" s="390" t="s">
        <v>4596</v>
      </c>
      <c r="D1113" s="391" t="s">
        <v>4597</v>
      </c>
      <c r="E1113" s="391" t="s">
        <v>4042</v>
      </c>
      <c r="F1113" s="392">
        <v>5194.5946199999998</v>
      </c>
      <c r="G1113" s="393" t="s">
        <v>3800</v>
      </c>
      <c r="H1113" s="394">
        <v>1.932869357738237</v>
      </c>
      <c r="I1113" s="394"/>
      <c r="J1113" s="392"/>
      <c r="K1113" s="392"/>
      <c r="L1113" s="392"/>
      <c r="M1113" s="392"/>
      <c r="N1113" s="392">
        <v>1.932869357738237</v>
      </c>
    </row>
    <row r="1114" spans="1:14" hidden="1" outlineLevel="2" x14ac:dyDescent="0.35">
      <c r="A1114" s="388" t="s">
        <v>4702</v>
      </c>
      <c r="B1114" s="389">
        <v>44587</v>
      </c>
      <c r="C1114" s="390" t="s">
        <v>4592</v>
      </c>
      <c r="D1114" s="391" t="s">
        <v>4593</v>
      </c>
      <c r="E1114" s="391" t="s">
        <v>4720</v>
      </c>
      <c r="F1114" s="392">
        <v>865765.77</v>
      </c>
      <c r="G1114" s="393" t="s">
        <v>3800</v>
      </c>
      <c r="H1114" s="394">
        <v>322.14489295637287</v>
      </c>
      <c r="I1114" s="394"/>
      <c r="J1114" s="392"/>
      <c r="K1114" s="392"/>
      <c r="L1114" s="392"/>
      <c r="M1114" s="392"/>
      <c r="N1114" s="392">
        <v>322.14489295637287</v>
      </c>
    </row>
    <row r="1115" spans="1:14" hidden="1" outlineLevel="2" x14ac:dyDescent="0.35">
      <c r="A1115" s="388" t="s">
        <v>4702</v>
      </c>
      <c r="B1115" s="389">
        <v>44587</v>
      </c>
      <c r="C1115" s="390" t="s">
        <v>4594</v>
      </c>
      <c r="D1115" s="391" t="s">
        <v>4595</v>
      </c>
      <c r="E1115" s="391" t="s">
        <v>4272</v>
      </c>
      <c r="F1115" s="392">
        <v>86576.577000000005</v>
      </c>
      <c r="G1115" s="393" t="s">
        <v>3800</v>
      </c>
      <c r="H1115" s="394">
        <v>32.214489295637286</v>
      </c>
      <c r="I1115" s="394"/>
      <c r="J1115" s="392"/>
      <c r="K1115" s="392"/>
      <c r="L1115" s="392"/>
      <c r="M1115" s="392"/>
      <c r="N1115" s="392">
        <v>32.214489295637286</v>
      </c>
    </row>
    <row r="1116" spans="1:14" hidden="1" outlineLevel="2" x14ac:dyDescent="0.35">
      <c r="A1116" s="388" t="s">
        <v>4702</v>
      </c>
      <c r="B1116" s="389">
        <v>44587</v>
      </c>
      <c r="C1116" s="390" t="s">
        <v>4596</v>
      </c>
      <c r="D1116" s="391" t="s">
        <v>4597</v>
      </c>
      <c r="E1116" s="391" t="s">
        <v>4042</v>
      </c>
      <c r="F1116" s="392">
        <v>5194.5946199999998</v>
      </c>
      <c r="G1116" s="393" t="s">
        <v>3800</v>
      </c>
      <c r="H1116" s="394">
        <v>1.932869357738237</v>
      </c>
      <c r="I1116" s="394"/>
      <c r="J1116" s="392"/>
      <c r="K1116" s="392"/>
      <c r="L1116" s="392"/>
      <c r="M1116" s="392"/>
      <c r="N1116" s="392">
        <v>1.932869357738237</v>
      </c>
    </row>
    <row r="1117" spans="1:14" hidden="1" outlineLevel="2" x14ac:dyDescent="0.35">
      <c r="A1117" s="388" t="s">
        <v>4702</v>
      </c>
      <c r="B1117" s="389">
        <v>44587</v>
      </c>
      <c r="C1117" s="390" t="s">
        <v>4592</v>
      </c>
      <c r="D1117" s="391" t="s">
        <v>4593</v>
      </c>
      <c r="E1117" s="391" t="s">
        <v>4721</v>
      </c>
      <c r="F1117" s="392">
        <v>865765.77</v>
      </c>
      <c r="G1117" s="393" t="s">
        <v>3800</v>
      </c>
      <c r="H1117" s="394">
        <v>322.14489295637287</v>
      </c>
      <c r="I1117" s="394"/>
      <c r="J1117" s="392"/>
      <c r="K1117" s="392"/>
      <c r="L1117" s="392"/>
      <c r="M1117" s="392"/>
      <c r="N1117" s="392">
        <v>322.14489295637287</v>
      </c>
    </row>
    <row r="1118" spans="1:14" hidden="1" outlineLevel="2" x14ac:dyDescent="0.35">
      <c r="A1118" s="388" t="s">
        <v>4702</v>
      </c>
      <c r="B1118" s="389">
        <v>44587</v>
      </c>
      <c r="C1118" s="390" t="s">
        <v>4594</v>
      </c>
      <c r="D1118" s="391" t="s">
        <v>4595</v>
      </c>
      <c r="E1118" s="391" t="s">
        <v>4272</v>
      </c>
      <c r="F1118" s="392">
        <v>86576.577000000005</v>
      </c>
      <c r="G1118" s="393" t="s">
        <v>3800</v>
      </c>
      <c r="H1118" s="394">
        <v>32.214489295637286</v>
      </c>
      <c r="I1118" s="394"/>
      <c r="J1118" s="392"/>
      <c r="K1118" s="392"/>
      <c r="L1118" s="392"/>
      <c r="M1118" s="392"/>
      <c r="N1118" s="392">
        <v>32.214489295637286</v>
      </c>
    </row>
    <row r="1119" spans="1:14" hidden="1" outlineLevel="2" x14ac:dyDescent="0.35">
      <c r="A1119" s="388" t="s">
        <v>4702</v>
      </c>
      <c r="B1119" s="389">
        <v>44587</v>
      </c>
      <c r="C1119" s="390" t="s">
        <v>4596</v>
      </c>
      <c r="D1119" s="391" t="s">
        <v>4597</v>
      </c>
      <c r="E1119" s="391" t="s">
        <v>4042</v>
      </c>
      <c r="F1119" s="392">
        <v>5194.5946199999998</v>
      </c>
      <c r="G1119" s="393" t="s">
        <v>3800</v>
      </c>
      <c r="H1119" s="394">
        <v>1.932869357738237</v>
      </c>
      <c r="I1119" s="394"/>
      <c r="J1119" s="392"/>
      <c r="K1119" s="392"/>
      <c r="L1119" s="392"/>
      <c r="M1119" s="392"/>
      <c r="N1119" s="392">
        <v>1.932869357738237</v>
      </c>
    </row>
    <row r="1120" spans="1:14" hidden="1" outlineLevel="2" x14ac:dyDescent="0.35">
      <c r="A1120" s="388" t="s">
        <v>4702</v>
      </c>
      <c r="B1120" s="389">
        <v>44587</v>
      </c>
      <c r="C1120" s="390" t="s">
        <v>4592</v>
      </c>
      <c r="D1120" s="391" t="s">
        <v>4593</v>
      </c>
      <c r="E1120" s="391" t="s">
        <v>4706</v>
      </c>
      <c r="F1120" s="392">
        <v>865765.77</v>
      </c>
      <c r="G1120" s="393" t="s">
        <v>3800</v>
      </c>
      <c r="H1120" s="394">
        <v>322.14489295637287</v>
      </c>
      <c r="I1120" s="394"/>
      <c r="J1120" s="392"/>
      <c r="K1120" s="392"/>
      <c r="L1120" s="392"/>
      <c r="M1120" s="392"/>
      <c r="N1120" s="392">
        <v>322.14489295637287</v>
      </c>
    </row>
    <row r="1121" spans="1:14" hidden="1" outlineLevel="2" x14ac:dyDescent="0.35">
      <c r="A1121" s="388" t="s">
        <v>4702</v>
      </c>
      <c r="B1121" s="389">
        <v>44587</v>
      </c>
      <c r="C1121" s="390" t="s">
        <v>4594</v>
      </c>
      <c r="D1121" s="391" t="s">
        <v>4595</v>
      </c>
      <c r="E1121" s="391" t="s">
        <v>4272</v>
      </c>
      <c r="F1121" s="392">
        <v>86576.577000000005</v>
      </c>
      <c r="G1121" s="393" t="s">
        <v>3800</v>
      </c>
      <c r="H1121" s="394">
        <v>32.214489295637286</v>
      </c>
      <c r="I1121" s="394"/>
      <c r="J1121" s="392"/>
      <c r="K1121" s="392"/>
      <c r="L1121" s="392"/>
      <c r="M1121" s="392"/>
      <c r="N1121" s="392">
        <v>32.214489295637286</v>
      </c>
    </row>
    <row r="1122" spans="1:14" hidden="1" outlineLevel="2" x14ac:dyDescent="0.35">
      <c r="A1122" s="388" t="s">
        <v>4702</v>
      </c>
      <c r="B1122" s="389">
        <v>44587</v>
      </c>
      <c r="C1122" s="390" t="s">
        <v>4596</v>
      </c>
      <c r="D1122" s="391" t="s">
        <v>4597</v>
      </c>
      <c r="E1122" s="391" t="s">
        <v>4042</v>
      </c>
      <c r="F1122" s="392">
        <v>5194.5946199999998</v>
      </c>
      <c r="G1122" s="393" t="s">
        <v>3800</v>
      </c>
      <c r="H1122" s="394">
        <v>1.932869357738237</v>
      </c>
      <c r="I1122" s="394"/>
      <c r="J1122" s="392"/>
      <c r="K1122" s="392"/>
      <c r="L1122" s="392"/>
      <c r="M1122" s="392"/>
      <c r="N1122" s="392">
        <v>1.932869357738237</v>
      </c>
    </row>
    <row r="1123" spans="1:14" hidden="1" outlineLevel="2" x14ac:dyDescent="0.35">
      <c r="A1123" s="388" t="s">
        <v>4702</v>
      </c>
      <c r="B1123" s="389">
        <v>44587</v>
      </c>
      <c r="C1123" s="390" t="s">
        <v>4592</v>
      </c>
      <c r="D1123" s="391" t="s">
        <v>4593</v>
      </c>
      <c r="E1123" s="391" t="s">
        <v>4707</v>
      </c>
      <c r="F1123" s="392">
        <v>865765.77</v>
      </c>
      <c r="G1123" s="393" t="s">
        <v>3800</v>
      </c>
      <c r="H1123" s="394">
        <v>322.14489295637287</v>
      </c>
      <c r="I1123" s="394"/>
      <c r="J1123" s="392"/>
      <c r="K1123" s="392"/>
      <c r="L1123" s="392"/>
      <c r="M1123" s="392"/>
      <c r="N1123" s="392">
        <v>322.14489295637287</v>
      </c>
    </row>
    <row r="1124" spans="1:14" hidden="1" outlineLevel="2" x14ac:dyDescent="0.35">
      <c r="A1124" s="388" t="s">
        <v>4702</v>
      </c>
      <c r="B1124" s="389">
        <v>44587</v>
      </c>
      <c r="C1124" s="390" t="s">
        <v>4594</v>
      </c>
      <c r="D1124" s="391" t="s">
        <v>4595</v>
      </c>
      <c r="E1124" s="391" t="s">
        <v>4272</v>
      </c>
      <c r="F1124" s="392">
        <v>86576.577000000005</v>
      </c>
      <c r="G1124" s="393" t="s">
        <v>3800</v>
      </c>
      <c r="H1124" s="394">
        <v>32.214489295637286</v>
      </c>
      <c r="I1124" s="394"/>
      <c r="J1124" s="392"/>
      <c r="K1124" s="392"/>
      <c r="L1124" s="392"/>
      <c r="M1124" s="392"/>
      <c r="N1124" s="392">
        <v>32.214489295637286</v>
      </c>
    </row>
    <row r="1125" spans="1:14" hidden="1" outlineLevel="2" x14ac:dyDescent="0.35">
      <c r="A1125" s="388" t="s">
        <v>4702</v>
      </c>
      <c r="B1125" s="389">
        <v>44587</v>
      </c>
      <c r="C1125" s="390" t="s">
        <v>4596</v>
      </c>
      <c r="D1125" s="391" t="s">
        <v>4597</v>
      </c>
      <c r="E1125" s="391" t="s">
        <v>4042</v>
      </c>
      <c r="F1125" s="392">
        <v>5194.5946199999998</v>
      </c>
      <c r="G1125" s="393" t="s">
        <v>3800</v>
      </c>
      <c r="H1125" s="394">
        <v>1.932869357738237</v>
      </c>
      <c r="I1125" s="394"/>
      <c r="J1125" s="392"/>
      <c r="K1125" s="392"/>
      <c r="L1125" s="392"/>
      <c r="M1125" s="392"/>
      <c r="N1125" s="392">
        <v>1.932869357738237</v>
      </c>
    </row>
    <row r="1126" spans="1:14" hidden="1" outlineLevel="2" x14ac:dyDescent="0.35">
      <c r="A1126" s="388" t="s">
        <v>4702</v>
      </c>
      <c r="B1126" s="389">
        <v>44587</v>
      </c>
      <c r="C1126" s="390" t="s">
        <v>4592</v>
      </c>
      <c r="D1126" s="391" t="s">
        <v>4593</v>
      </c>
      <c r="E1126" s="391" t="s">
        <v>4708</v>
      </c>
      <c r="F1126" s="392">
        <v>865765.77</v>
      </c>
      <c r="G1126" s="393" t="s">
        <v>3800</v>
      </c>
      <c r="H1126" s="394">
        <v>322.14489295637287</v>
      </c>
      <c r="I1126" s="394"/>
      <c r="J1126" s="392"/>
      <c r="K1126" s="392"/>
      <c r="L1126" s="392"/>
      <c r="M1126" s="392"/>
      <c r="N1126" s="392">
        <v>322.14489295637287</v>
      </c>
    </row>
    <row r="1127" spans="1:14" hidden="1" outlineLevel="2" x14ac:dyDescent="0.35">
      <c r="A1127" s="388" t="s">
        <v>4702</v>
      </c>
      <c r="B1127" s="389">
        <v>44587</v>
      </c>
      <c r="C1127" s="390" t="s">
        <v>4594</v>
      </c>
      <c r="D1127" s="391" t="s">
        <v>4595</v>
      </c>
      <c r="E1127" s="391" t="s">
        <v>4272</v>
      </c>
      <c r="F1127" s="392">
        <v>86576.577000000005</v>
      </c>
      <c r="G1127" s="393" t="s">
        <v>3800</v>
      </c>
      <c r="H1127" s="394">
        <v>32.214489295637286</v>
      </c>
      <c r="I1127" s="394"/>
      <c r="J1127" s="392"/>
      <c r="K1127" s="392"/>
      <c r="L1127" s="392"/>
      <c r="M1127" s="392"/>
      <c r="N1127" s="392">
        <v>32.214489295637286</v>
      </c>
    </row>
    <row r="1128" spans="1:14" hidden="1" outlineLevel="2" x14ac:dyDescent="0.35">
      <c r="A1128" s="388" t="s">
        <v>4702</v>
      </c>
      <c r="B1128" s="389">
        <v>44587</v>
      </c>
      <c r="C1128" s="390" t="s">
        <v>4596</v>
      </c>
      <c r="D1128" s="391" t="s">
        <v>4597</v>
      </c>
      <c r="E1128" s="391" t="s">
        <v>4042</v>
      </c>
      <c r="F1128" s="392">
        <v>5194.5946199999998</v>
      </c>
      <c r="G1128" s="393" t="s">
        <v>3800</v>
      </c>
      <c r="H1128" s="394">
        <v>1.932869357738237</v>
      </c>
      <c r="I1128" s="394"/>
      <c r="J1128" s="392"/>
      <c r="K1128" s="392"/>
      <c r="L1128" s="392"/>
      <c r="M1128" s="392"/>
      <c r="N1128" s="392">
        <v>1.932869357738237</v>
      </c>
    </row>
    <row r="1129" spans="1:14" hidden="1" outlineLevel="2" x14ac:dyDescent="0.35">
      <c r="A1129" s="388" t="s">
        <v>4702</v>
      </c>
      <c r="B1129" s="389">
        <v>44587</v>
      </c>
      <c r="C1129" s="390" t="s">
        <v>4592</v>
      </c>
      <c r="D1129" s="391" t="s">
        <v>4593</v>
      </c>
      <c r="E1129" s="391" t="s">
        <v>4709</v>
      </c>
      <c r="F1129" s="392">
        <v>865765.77</v>
      </c>
      <c r="G1129" s="393" t="s">
        <v>3800</v>
      </c>
      <c r="H1129" s="394">
        <v>322.14489295637287</v>
      </c>
      <c r="I1129" s="394"/>
      <c r="J1129" s="392"/>
      <c r="K1129" s="392"/>
      <c r="L1129" s="392"/>
      <c r="M1129" s="392"/>
      <c r="N1129" s="392">
        <v>322.14489295637287</v>
      </c>
    </row>
    <row r="1130" spans="1:14" hidden="1" outlineLevel="2" x14ac:dyDescent="0.35">
      <c r="A1130" s="388" t="s">
        <v>4702</v>
      </c>
      <c r="B1130" s="389">
        <v>44587</v>
      </c>
      <c r="C1130" s="390" t="s">
        <v>4594</v>
      </c>
      <c r="D1130" s="391" t="s">
        <v>4595</v>
      </c>
      <c r="E1130" s="391" t="s">
        <v>4272</v>
      </c>
      <c r="F1130" s="392">
        <v>86576.577000000005</v>
      </c>
      <c r="G1130" s="393" t="s">
        <v>3800</v>
      </c>
      <c r="H1130" s="394">
        <v>32.214489295637286</v>
      </c>
      <c r="I1130" s="394"/>
      <c r="J1130" s="392"/>
      <c r="K1130" s="392"/>
      <c r="L1130" s="392"/>
      <c r="M1130" s="392"/>
      <c r="N1130" s="392">
        <v>32.214489295637286</v>
      </c>
    </row>
    <row r="1131" spans="1:14" hidden="1" outlineLevel="2" collapsed="1" x14ac:dyDescent="0.35">
      <c r="A1131" s="388" t="s">
        <v>4702</v>
      </c>
      <c r="B1131" s="389">
        <v>44587</v>
      </c>
      <c r="C1131" s="390" t="s">
        <v>4596</v>
      </c>
      <c r="D1131" s="391" t="s">
        <v>4597</v>
      </c>
      <c r="E1131" s="391" t="s">
        <v>4042</v>
      </c>
      <c r="F1131" s="392">
        <v>5194.5946199999998</v>
      </c>
      <c r="G1131" s="393" t="s">
        <v>3800</v>
      </c>
      <c r="H1131" s="394">
        <v>1.932869357738237</v>
      </c>
      <c r="I1131" s="394"/>
      <c r="J1131" s="392"/>
      <c r="K1131" s="392"/>
      <c r="L1131" s="392"/>
      <c r="M1131" s="392"/>
      <c r="N1131" s="392">
        <v>1.932869357738237</v>
      </c>
    </row>
    <row r="1132" spans="1:14" hidden="1" outlineLevel="2" x14ac:dyDescent="0.35">
      <c r="A1132" s="388" t="s">
        <v>4702</v>
      </c>
      <c r="B1132" s="389">
        <v>44587</v>
      </c>
      <c r="C1132" s="390" t="s">
        <v>4592</v>
      </c>
      <c r="D1132" s="391" t="s">
        <v>4593</v>
      </c>
      <c r="E1132" s="391" t="s">
        <v>4710</v>
      </c>
      <c r="F1132" s="392">
        <v>865765.77</v>
      </c>
      <c r="G1132" s="393" t="s">
        <v>3800</v>
      </c>
      <c r="H1132" s="394">
        <v>322.14489295637287</v>
      </c>
      <c r="I1132" s="394"/>
      <c r="J1132" s="392"/>
      <c r="K1132" s="392"/>
      <c r="L1132" s="392"/>
      <c r="M1132" s="392"/>
      <c r="N1132" s="392">
        <v>322.14489295637287</v>
      </c>
    </row>
    <row r="1133" spans="1:14" hidden="1" outlineLevel="2" x14ac:dyDescent="0.35">
      <c r="A1133" s="388" t="s">
        <v>4702</v>
      </c>
      <c r="B1133" s="389">
        <v>44587</v>
      </c>
      <c r="C1133" s="390" t="s">
        <v>4594</v>
      </c>
      <c r="D1133" s="391" t="s">
        <v>4595</v>
      </c>
      <c r="E1133" s="391" t="s">
        <v>4272</v>
      </c>
      <c r="F1133" s="392">
        <v>86576.577000000005</v>
      </c>
      <c r="G1133" s="393" t="s">
        <v>3800</v>
      </c>
      <c r="H1133" s="394">
        <v>32.214489295637286</v>
      </c>
      <c r="I1133" s="394"/>
      <c r="J1133" s="392"/>
      <c r="K1133" s="392"/>
      <c r="L1133" s="392"/>
      <c r="M1133" s="392"/>
      <c r="N1133" s="392">
        <v>32.214489295637286</v>
      </c>
    </row>
    <row r="1134" spans="1:14" hidden="1" outlineLevel="2" x14ac:dyDescent="0.35">
      <c r="A1134" s="388" t="s">
        <v>4702</v>
      </c>
      <c r="B1134" s="389">
        <v>44587</v>
      </c>
      <c r="C1134" s="390" t="s">
        <v>4596</v>
      </c>
      <c r="D1134" s="391" t="s">
        <v>4597</v>
      </c>
      <c r="E1134" s="391" t="s">
        <v>4042</v>
      </c>
      <c r="F1134" s="392">
        <v>5194.5946199999998</v>
      </c>
      <c r="G1134" s="393" t="s">
        <v>3800</v>
      </c>
      <c r="H1134" s="394">
        <v>1.932869357738237</v>
      </c>
      <c r="I1134" s="394"/>
      <c r="J1134" s="392"/>
      <c r="K1134" s="392"/>
      <c r="L1134" s="392"/>
      <c r="M1134" s="392"/>
      <c r="N1134" s="392">
        <v>1.932869357738237</v>
      </c>
    </row>
    <row r="1135" spans="1:14" hidden="1" outlineLevel="2" x14ac:dyDescent="0.35">
      <c r="A1135" s="388" t="s">
        <v>4702</v>
      </c>
      <c r="B1135" s="389">
        <v>44587</v>
      </c>
      <c r="C1135" s="390" t="s">
        <v>4592</v>
      </c>
      <c r="D1135" s="391" t="s">
        <v>4593</v>
      </c>
      <c r="E1135" s="391" t="s">
        <v>4711</v>
      </c>
      <c r="F1135" s="392">
        <v>865765.77</v>
      </c>
      <c r="G1135" s="393" t="s">
        <v>3800</v>
      </c>
      <c r="H1135" s="394">
        <v>322.14489295637287</v>
      </c>
      <c r="I1135" s="394"/>
      <c r="J1135" s="392"/>
      <c r="K1135" s="392"/>
      <c r="L1135" s="392"/>
      <c r="M1135" s="392"/>
      <c r="N1135" s="392">
        <v>322.14489295637287</v>
      </c>
    </row>
    <row r="1136" spans="1:14" hidden="1" outlineLevel="2" x14ac:dyDescent="0.35">
      <c r="A1136" s="388" t="s">
        <v>4702</v>
      </c>
      <c r="B1136" s="389">
        <v>44587</v>
      </c>
      <c r="C1136" s="390" t="s">
        <v>4594</v>
      </c>
      <c r="D1136" s="391" t="s">
        <v>4595</v>
      </c>
      <c r="E1136" s="391" t="s">
        <v>4272</v>
      </c>
      <c r="F1136" s="392">
        <v>86576.577000000005</v>
      </c>
      <c r="G1136" s="393" t="s">
        <v>3800</v>
      </c>
      <c r="H1136" s="394">
        <v>32.214489295637286</v>
      </c>
      <c r="I1136" s="394"/>
      <c r="J1136" s="392"/>
      <c r="K1136" s="392"/>
      <c r="L1136" s="392"/>
      <c r="M1136" s="392"/>
      <c r="N1136" s="392">
        <v>32.214489295637286</v>
      </c>
    </row>
    <row r="1137" spans="1:14" hidden="1" outlineLevel="2" x14ac:dyDescent="0.35">
      <c r="A1137" s="388" t="s">
        <v>4702</v>
      </c>
      <c r="B1137" s="389">
        <v>44587</v>
      </c>
      <c r="C1137" s="390" t="s">
        <v>4596</v>
      </c>
      <c r="D1137" s="391" t="s">
        <v>4597</v>
      </c>
      <c r="E1137" s="391" t="s">
        <v>4042</v>
      </c>
      <c r="F1137" s="392">
        <v>5194.5946199999998</v>
      </c>
      <c r="G1137" s="393" t="s">
        <v>3800</v>
      </c>
      <c r="H1137" s="394">
        <v>1.932869357738237</v>
      </c>
      <c r="I1137" s="394"/>
      <c r="J1137" s="392"/>
      <c r="K1137" s="392"/>
      <c r="L1137" s="392"/>
      <c r="M1137" s="392"/>
      <c r="N1137" s="392">
        <v>1.932869357738237</v>
      </c>
    </row>
    <row r="1138" spans="1:14" hidden="1" outlineLevel="2" x14ac:dyDescent="0.35">
      <c r="A1138" s="388" t="s">
        <v>4702</v>
      </c>
      <c r="B1138" s="389">
        <v>44587</v>
      </c>
      <c r="C1138" s="390" t="s">
        <v>4592</v>
      </c>
      <c r="D1138" s="391" t="s">
        <v>4593</v>
      </c>
      <c r="E1138" s="391" t="s">
        <v>4712</v>
      </c>
      <c r="F1138" s="392">
        <v>865765.77</v>
      </c>
      <c r="G1138" s="393" t="s">
        <v>3800</v>
      </c>
      <c r="H1138" s="394">
        <v>322.14489295637287</v>
      </c>
      <c r="I1138" s="394"/>
      <c r="J1138" s="392"/>
      <c r="K1138" s="392"/>
      <c r="L1138" s="392"/>
      <c r="M1138" s="392"/>
      <c r="N1138" s="392">
        <v>322.14489295637287</v>
      </c>
    </row>
    <row r="1139" spans="1:14" hidden="1" outlineLevel="2" x14ac:dyDescent="0.35">
      <c r="A1139" s="388" t="s">
        <v>4702</v>
      </c>
      <c r="B1139" s="389">
        <v>44587</v>
      </c>
      <c r="C1139" s="390" t="s">
        <v>4594</v>
      </c>
      <c r="D1139" s="391" t="s">
        <v>4595</v>
      </c>
      <c r="E1139" s="391" t="s">
        <v>4272</v>
      </c>
      <c r="F1139" s="392">
        <v>86576.577000000005</v>
      </c>
      <c r="G1139" s="393" t="s">
        <v>3800</v>
      </c>
      <c r="H1139" s="394">
        <v>32.214489295637286</v>
      </c>
      <c r="I1139" s="394"/>
      <c r="J1139" s="392"/>
      <c r="K1139" s="392"/>
      <c r="L1139" s="392"/>
      <c r="M1139" s="392"/>
      <c r="N1139" s="392">
        <v>32.214489295637286</v>
      </c>
    </row>
    <row r="1140" spans="1:14" hidden="1" outlineLevel="2" x14ac:dyDescent="0.35">
      <c r="A1140" s="388" t="s">
        <v>4702</v>
      </c>
      <c r="B1140" s="389">
        <v>44587</v>
      </c>
      <c r="C1140" s="390" t="s">
        <v>4596</v>
      </c>
      <c r="D1140" s="391" t="s">
        <v>4597</v>
      </c>
      <c r="E1140" s="391" t="s">
        <v>4042</v>
      </c>
      <c r="F1140" s="392">
        <v>5194.5946199999998</v>
      </c>
      <c r="G1140" s="393" t="s">
        <v>3800</v>
      </c>
      <c r="H1140" s="394">
        <v>1.932869357738237</v>
      </c>
      <c r="I1140" s="394"/>
      <c r="J1140" s="392"/>
      <c r="K1140" s="392"/>
      <c r="L1140" s="392"/>
      <c r="M1140" s="392"/>
      <c r="N1140" s="392">
        <v>1.932869357738237</v>
      </c>
    </row>
    <row r="1141" spans="1:14" hidden="1" outlineLevel="2" x14ac:dyDescent="0.35">
      <c r="A1141" s="388" t="s">
        <v>4702</v>
      </c>
      <c r="B1141" s="389">
        <v>44587</v>
      </c>
      <c r="C1141" s="390" t="s">
        <v>4592</v>
      </c>
      <c r="D1141" s="391" t="s">
        <v>4593</v>
      </c>
      <c r="E1141" s="391" t="s">
        <v>4713</v>
      </c>
      <c r="F1141" s="392">
        <v>865765.77</v>
      </c>
      <c r="G1141" s="393" t="s">
        <v>3800</v>
      </c>
      <c r="H1141" s="394">
        <v>322.14489295637287</v>
      </c>
      <c r="I1141" s="394"/>
      <c r="J1141" s="392"/>
      <c r="K1141" s="392"/>
      <c r="L1141" s="392"/>
      <c r="M1141" s="392"/>
      <c r="N1141" s="392">
        <v>322.14489295637287</v>
      </c>
    </row>
    <row r="1142" spans="1:14" hidden="1" outlineLevel="2" x14ac:dyDescent="0.35">
      <c r="A1142" s="388" t="s">
        <v>4702</v>
      </c>
      <c r="B1142" s="389">
        <v>44587</v>
      </c>
      <c r="C1142" s="390" t="s">
        <v>4594</v>
      </c>
      <c r="D1142" s="391" t="s">
        <v>4595</v>
      </c>
      <c r="E1142" s="391" t="s">
        <v>4272</v>
      </c>
      <c r="F1142" s="392">
        <v>86576.577000000005</v>
      </c>
      <c r="G1142" s="393" t="s">
        <v>3800</v>
      </c>
      <c r="H1142" s="394">
        <v>32.214489295637286</v>
      </c>
      <c r="I1142" s="394"/>
      <c r="J1142" s="392"/>
      <c r="K1142" s="392"/>
      <c r="L1142" s="392"/>
      <c r="M1142" s="392"/>
      <c r="N1142" s="392">
        <v>32.214489295637286</v>
      </c>
    </row>
    <row r="1143" spans="1:14" hidden="1" outlineLevel="2" x14ac:dyDescent="0.35">
      <c r="A1143" s="388" t="s">
        <v>4702</v>
      </c>
      <c r="B1143" s="389">
        <v>44587</v>
      </c>
      <c r="C1143" s="390" t="s">
        <v>4596</v>
      </c>
      <c r="D1143" s="391" t="s">
        <v>4597</v>
      </c>
      <c r="E1143" s="391" t="s">
        <v>4042</v>
      </c>
      <c r="F1143" s="392">
        <v>5194.5946199999998</v>
      </c>
      <c r="G1143" s="393" t="s">
        <v>3800</v>
      </c>
      <c r="H1143" s="394">
        <v>1.932869357738237</v>
      </c>
      <c r="I1143" s="394"/>
      <c r="J1143" s="392"/>
      <c r="K1143" s="392"/>
      <c r="L1143" s="392"/>
      <c r="M1143" s="392"/>
      <c r="N1143" s="392">
        <v>1.932869357738237</v>
      </c>
    </row>
    <row r="1144" spans="1:14" hidden="1" outlineLevel="2" x14ac:dyDescent="0.35">
      <c r="A1144" s="388" t="s">
        <v>4702</v>
      </c>
      <c r="B1144" s="389">
        <v>44587</v>
      </c>
      <c r="C1144" s="390" t="s">
        <v>4592</v>
      </c>
      <c r="D1144" s="391" t="s">
        <v>4593</v>
      </c>
      <c r="E1144" s="391" t="s">
        <v>4714</v>
      </c>
      <c r="F1144" s="392">
        <v>865765.77</v>
      </c>
      <c r="G1144" s="393" t="s">
        <v>3800</v>
      </c>
      <c r="H1144" s="394">
        <v>322.14489295637287</v>
      </c>
      <c r="I1144" s="394"/>
      <c r="J1144" s="392"/>
      <c r="K1144" s="392"/>
      <c r="L1144" s="392"/>
      <c r="M1144" s="392"/>
      <c r="N1144" s="392">
        <v>322.14489295637287</v>
      </c>
    </row>
    <row r="1145" spans="1:14" hidden="1" outlineLevel="2" x14ac:dyDescent="0.35">
      <c r="A1145" s="388" t="s">
        <v>4702</v>
      </c>
      <c r="B1145" s="389">
        <v>44587</v>
      </c>
      <c r="C1145" s="390" t="s">
        <v>4594</v>
      </c>
      <c r="D1145" s="391" t="s">
        <v>4595</v>
      </c>
      <c r="E1145" s="391" t="s">
        <v>4272</v>
      </c>
      <c r="F1145" s="392">
        <v>86576.577000000005</v>
      </c>
      <c r="G1145" s="393" t="s">
        <v>3800</v>
      </c>
      <c r="H1145" s="394">
        <v>32.214489295637286</v>
      </c>
      <c r="I1145" s="394"/>
      <c r="J1145" s="392"/>
      <c r="K1145" s="392"/>
      <c r="L1145" s="392"/>
      <c r="M1145" s="392"/>
      <c r="N1145" s="392">
        <v>32.214489295637286</v>
      </c>
    </row>
    <row r="1146" spans="1:14" hidden="1" outlineLevel="2" x14ac:dyDescent="0.35">
      <c r="A1146" s="388" t="s">
        <v>4702</v>
      </c>
      <c r="B1146" s="389">
        <v>44587</v>
      </c>
      <c r="C1146" s="390" t="s">
        <v>4596</v>
      </c>
      <c r="D1146" s="391" t="s">
        <v>4597</v>
      </c>
      <c r="E1146" s="391" t="s">
        <v>4042</v>
      </c>
      <c r="F1146" s="392">
        <v>5194.5946199999998</v>
      </c>
      <c r="G1146" s="393" t="s">
        <v>3800</v>
      </c>
      <c r="H1146" s="394">
        <v>1.932869357738237</v>
      </c>
      <c r="I1146" s="394"/>
      <c r="J1146" s="392"/>
      <c r="K1146" s="392"/>
      <c r="L1146" s="392"/>
      <c r="M1146" s="392"/>
      <c r="N1146" s="392">
        <v>1.932869357738237</v>
      </c>
    </row>
    <row r="1147" spans="1:14" hidden="1" outlineLevel="2" x14ac:dyDescent="0.35">
      <c r="A1147" s="388" t="s">
        <v>4702</v>
      </c>
      <c r="B1147" s="389">
        <v>44587</v>
      </c>
      <c r="C1147" s="390" t="s">
        <v>4592</v>
      </c>
      <c r="D1147" s="391" t="s">
        <v>4593</v>
      </c>
      <c r="E1147" s="391" t="s">
        <v>4716</v>
      </c>
      <c r="F1147" s="392">
        <v>865765.77</v>
      </c>
      <c r="G1147" s="393" t="s">
        <v>3800</v>
      </c>
      <c r="H1147" s="394">
        <v>322.14489295637287</v>
      </c>
      <c r="I1147" s="394"/>
      <c r="J1147" s="392"/>
      <c r="K1147" s="392"/>
      <c r="L1147" s="392"/>
      <c r="M1147" s="392"/>
      <c r="N1147" s="392">
        <v>322.14489295637287</v>
      </c>
    </row>
    <row r="1148" spans="1:14" hidden="1" outlineLevel="2" x14ac:dyDescent="0.35">
      <c r="A1148" s="388" t="s">
        <v>4702</v>
      </c>
      <c r="B1148" s="389">
        <v>44587</v>
      </c>
      <c r="C1148" s="390" t="s">
        <v>4594</v>
      </c>
      <c r="D1148" s="391" t="s">
        <v>4595</v>
      </c>
      <c r="E1148" s="391" t="s">
        <v>4272</v>
      </c>
      <c r="F1148" s="392">
        <v>86576.577000000005</v>
      </c>
      <c r="G1148" s="393" t="s">
        <v>3800</v>
      </c>
      <c r="H1148" s="394">
        <v>32.214489295637286</v>
      </c>
      <c r="I1148" s="394"/>
      <c r="J1148" s="392"/>
      <c r="K1148" s="392"/>
      <c r="L1148" s="392"/>
      <c r="M1148" s="392"/>
      <c r="N1148" s="392">
        <v>32.214489295637286</v>
      </c>
    </row>
    <row r="1149" spans="1:14" hidden="1" outlineLevel="2" x14ac:dyDescent="0.35">
      <c r="A1149" s="388" t="s">
        <v>4702</v>
      </c>
      <c r="B1149" s="389">
        <v>44587</v>
      </c>
      <c r="C1149" s="390" t="s">
        <v>4596</v>
      </c>
      <c r="D1149" s="391" t="s">
        <v>4597</v>
      </c>
      <c r="E1149" s="391" t="s">
        <v>4042</v>
      </c>
      <c r="F1149" s="392">
        <v>5194.5946199999998</v>
      </c>
      <c r="G1149" s="393" t="s">
        <v>3800</v>
      </c>
      <c r="H1149" s="394">
        <v>1.932869357738237</v>
      </c>
      <c r="I1149" s="394"/>
      <c r="J1149" s="392"/>
      <c r="K1149" s="392"/>
      <c r="L1149" s="392"/>
      <c r="M1149" s="392"/>
      <c r="N1149" s="392">
        <v>1.932869357738237</v>
      </c>
    </row>
    <row r="1150" spans="1:14" hidden="1" outlineLevel="2" x14ac:dyDescent="0.35">
      <c r="A1150" s="388" t="s">
        <v>4702</v>
      </c>
      <c r="B1150" s="389">
        <v>44587</v>
      </c>
      <c r="C1150" s="390" t="s">
        <v>4592</v>
      </c>
      <c r="D1150" s="391" t="s">
        <v>4593</v>
      </c>
      <c r="E1150" s="391" t="s">
        <v>4717</v>
      </c>
      <c r="F1150" s="392">
        <v>865765.77</v>
      </c>
      <c r="G1150" s="393" t="s">
        <v>3800</v>
      </c>
      <c r="H1150" s="394">
        <v>322.14489295637287</v>
      </c>
      <c r="I1150" s="394"/>
      <c r="J1150" s="392"/>
      <c r="K1150" s="392"/>
      <c r="L1150" s="392"/>
      <c r="M1150" s="392"/>
      <c r="N1150" s="392">
        <v>322.14489295637287</v>
      </c>
    </row>
    <row r="1151" spans="1:14" hidden="1" outlineLevel="2" collapsed="1" x14ac:dyDescent="0.35">
      <c r="A1151" s="388" t="s">
        <v>4702</v>
      </c>
      <c r="B1151" s="389">
        <v>44587</v>
      </c>
      <c r="C1151" s="390" t="s">
        <v>4594</v>
      </c>
      <c r="D1151" s="391" t="s">
        <v>4595</v>
      </c>
      <c r="E1151" s="391" t="s">
        <v>4272</v>
      </c>
      <c r="F1151" s="392">
        <v>86576.577000000005</v>
      </c>
      <c r="G1151" s="393" t="s">
        <v>3800</v>
      </c>
      <c r="H1151" s="394">
        <v>32.214489295637286</v>
      </c>
      <c r="I1151" s="394"/>
      <c r="J1151" s="392"/>
      <c r="K1151" s="392"/>
      <c r="L1151" s="392"/>
      <c r="M1151" s="392"/>
      <c r="N1151" s="392">
        <v>32.214489295637286</v>
      </c>
    </row>
    <row r="1152" spans="1:14" hidden="1" outlineLevel="2" x14ac:dyDescent="0.35">
      <c r="A1152" s="388" t="s">
        <v>4702</v>
      </c>
      <c r="B1152" s="389">
        <v>44587</v>
      </c>
      <c r="C1152" s="390" t="s">
        <v>4596</v>
      </c>
      <c r="D1152" s="391" t="s">
        <v>4597</v>
      </c>
      <c r="E1152" s="391" t="s">
        <v>4042</v>
      </c>
      <c r="F1152" s="392">
        <v>5194.5946199999998</v>
      </c>
      <c r="G1152" s="393" t="s">
        <v>3800</v>
      </c>
      <c r="H1152" s="394">
        <v>1.932869357738237</v>
      </c>
      <c r="I1152" s="394"/>
      <c r="J1152" s="392"/>
      <c r="K1152" s="392"/>
      <c r="L1152" s="392"/>
      <c r="M1152" s="392"/>
      <c r="N1152" s="392">
        <v>1.932869357738237</v>
      </c>
    </row>
    <row r="1153" spans="1:14" hidden="1" outlineLevel="2" x14ac:dyDescent="0.35">
      <c r="A1153" s="388" t="s">
        <v>4702</v>
      </c>
      <c r="B1153" s="389">
        <v>44587</v>
      </c>
      <c r="C1153" s="390" t="s">
        <v>4592</v>
      </c>
      <c r="D1153" s="391" t="s">
        <v>4593</v>
      </c>
      <c r="E1153" s="391" t="s">
        <v>4718</v>
      </c>
      <c r="F1153" s="392">
        <v>865765.77</v>
      </c>
      <c r="G1153" s="393" t="s">
        <v>3800</v>
      </c>
      <c r="H1153" s="394">
        <v>322.14489295637287</v>
      </c>
      <c r="I1153" s="394"/>
      <c r="J1153" s="392"/>
      <c r="K1153" s="392"/>
      <c r="L1153" s="392"/>
      <c r="M1153" s="392"/>
      <c r="N1153" s="392">
        <v>322.14489295637287</v>
      </c>
    </row>
    <row r="1154" spans="1:14" hidden="1" outlineLevel="2" x14ac:dyDescent="0.35">
      <c r="A1154" s="388" t="s">
        <v>4702</v>
      </c>
      <c r="B1154" s="389">
        <v>44587</v>
      </c>
      <c r="C1154" s="390" t="s">
        <v>4594</v>
      </c>
      <c r="D1154" s="391" t="s">
        <v>4595</v>
      </c>
      <c r="E1154" s="391" t="s">
        <v>4272</v>
      </c>
      <c r="F1154" s="392">
        <v>86576.577000000005</v>
      </c>
      <c r="G1154" s="393" t="s">
        <v>3800</v>
      </c>
      <c r="H1154" s="394">
        <v>32.214489295637286</v>
      </c>
      <c r="I1154" s="394"/>
      <c r="J1154" s="392"/>
      <c r="K1154" s="392"/>
      <c r="L1154" s="392"/>
      <c r="M1154" s="392"/>
      <c r="N1154" s="392">
        <v>32.214489295637286</v>
      </c>
    </row>
    <row r="1155" spans="1:14" hidden="1" outlineLevel="2" collapsed="1" x14ac:dyDescent="0.35">
      <c r="A1155" s="388" t="s">
        <v>4702</v>
      </c>
      <c r="B1155" s="389">
        <v>44587</v>
      </c>
      <c r="C1155" s="390" t="s">
        <v>4596</v>
      </c>
      <c r="D1155" s="391" t="s">
        <v>4597</v>
      </c>
      <c r="E1155" s="391" t="s">
        <v>4042</v>
      </c>
      <c r="F1155" s="392">
        <v>5194.5946199999998</v>
      </c>
      <c r="G1155" s="393" t="s">
        <v>3800</v>
      </c>
      <c r="H1155" s="394">
        <v>1.932869357738237</v>
      </c>
      <c r="I1155" s="394"/>
      <c r="J1155" s="392"/>
      <c r="K1155" s="392"/>
      <c r="L1155" s="392"/>
      <c r="M1155" s="392"/>
      <c r="N1155" s="392">
        <v>1.932869357738237</v>
      </c>
    </row>
    <row r="1156" spans="1:14" hidden="1" outlineLevel="2" x14ac:dyDescent="0.35">
      <c r="A1156" s="388" t="s">
        <v>4702</v>
      </c>
      <c r="B1156" s="389">
        <v>44587</v>
      </c>
      <c r="C1156" s="390" t="s">
        <v>4592</v>
      </c>
      <c r="D1156" s="391" t="s">
        <v>4593</v>
      </c>
      <c r="E1156" s="391" t="s">
        <v>4722</v>
      </c>
      <c r="F1156" s="392">
        <v>865765.77</v>
      </c>
      <c r="G1156" s="393" t="s">
        <v>3800</v>
      </c>
      <c r="H1156" s="394">
        <v>322.14489295637287</v>
      </c>
      <c r="I1156" s="394"/>
      <c r="J1156" s="392"/>
      <c r="K1156" s="392"/>
      <c r="L1156" s="392"/>
      <c r="M1156" s="392"/>
      <c r="N1156" s="392">
        <v>322.14489295637287</v>
      </c>
    </row>
    <row r="1157" spans="1:14" hidden="1" outlineLevel="2" x14ac:dyDescent="0.35">
      <c r="A1157" s="388" t="s">
        <v>4702</v>
      </c>
      <c r="B1157" s="389">
        <v>44587</v>
      </c>
      <c r="C1157" s="390" t="s">
        <v>4594</v>
      </c>
      <c r="D1157" s="391" t="s">
        <v>4595</v>
      </c>
      <c r="E1157" s="391" t="s">
        <v>4272</v>
      </c>
      <c r="F1157" s="392">
        <v>86576.577000000005</v>
      </c>
      <c r="G1157" s="393" t="s">
        <v>3800</v>
      </c>
      <c r="H1157" s="394">
        <v>32.214489295637286</v>
      </c>
      <c r="I1157" s="394"/>
      <c r="J1157" s="392"/>
      <c r="K1157" s="392"/>
      <c r="L1157" s="392"/>
      <c r="M1157" s="392"/>
      <c r="N1157" s="392">
        <v>32.214489295637286</v>
      </c>
    </row>
    <row r="1158" spans="1:14" hidden="1" outlineLevel="2" x14ac:dyDescent="0.35">
      <c r="A1158" s="388" t="s">
        <v>4702</v>
      </c>
      <c r="B1158" s="389">
        <v>44587</v>
      </c>
      <c r="C1158" s="390" t="s">
        <v>4596</v>
      </c>
      <c r="D1158" s="391" t="s">
        <v>4597</v>
      </c>
      <c r="E1158" s="391" t="s">
        <v>4042</v>
      </c>
      <c r="F1158" s="392">
        <v>5194.5946199999998</v>
      </c>
      <c r="G1158" s="393" t="s">
        <v>3800</v>
      </c>
      <c r="H1158" s="394">
        <v>1.932869357738237</v>
      </c>
      <c r="I1158" s="394"/>
      <c r="J1158" s="392"/>
      <c r="K1158" s="392"/>
      <c r="L1158" s="392"/>
      <c r="M1158" s="392"/>
      <c r="N1158" s="392">
        <v>1.932869357738237</v>
      </c>
    </row>
    <row r="1159" spans="1:14" hidden="1" outlineLevel="2" x14ac:dyDescent="0.35">
      <c r="A1159" s="388" t="s">
        <v>4702</v>
      </c>
      <c r="B1159" s="389">
        <v>44587</v>
      </c>
      <c r="C1159" s="390" t="s">
        <v>4592</v>
      </c>
      <c r="D1159" s="391" t="s">
        <v>4593</v>
      </c>
      <c r="E1159" s="391" t="s">
        <v>4723</v>
      </c>
      <c r="F1159" s="392">
        <v>865765.77</v>
      </c>
      <c r="G1159" s="393" t="s">
        <v>3800</v>
      </c>
      <c r="H1159" s="394">
        <v>322.14489295637287</v>
      </c>
      <c r="I1159" s="394"/>
      <c r="J1159" s="392"/>
      <c r="K1159" s="392"/>
      <c r="L1159" s="392"/>
      <c r="M1159" s="392"/>
      <c r="N1159" s="392">
        <v>322.14489295637287</v>
      </c>
    </row>
    <row r="1160" spans="1:14" hidden="1" outlineLevel="2" x14ac:dyDescent="0.35">
      <c r="A1160" s="388" t="s">
        <v>4702</v>
      </c>
      <c r="B1160" s="389">
        <v>44587</v>
      </c>
      <c r="C1160" s="390" t="s">
        <v>4594</v>
      </c>
      <c r="D1160" s="391" t="s">
        <v>4595</v>
      </c>
      <c r="E1160" s="391" t="s">
        <v>4272</v>
      </c>
      <c r="F1160" s="392">
        <v>86576.577000000005</v>
      </c>
      <c r="G1160" s="393" t="s">
        <v>3800</v>
      </c>
      <c r="H1160" s="394">
        <v>32.214489295637286</v>
      </c>
      <c r="I1160" s="394"/>
      <c r="J1160" s="392"/>
      <c r="K1160" s="392"/>
      <c r="L1160" s="392"/>
      <c r="M1160" s="392"/>
      <c r="N1160" s="392">
        <v>32.214489295637286</v>
      </c>
    </row>
    <row r="1161" spans="1:14" hidden="1" outlineLevel="2" x14ac:dyDescent="0.35">
      <c r="A1161" s="388" t="s">
        <v>4702</v>
      </c>
      <c r="B1161" s="389">
        <v>44587</v>
      </c>
      <c r="C1161" s="390" t="s">
        <v>4596</v>
      </c>
      <c r="D1161" s="391" t="s">
        <v>4597</v>
      </c>
      <c r="E1161" s="391" t="s">
        <v>4042</v>
      </c>
      <c r="F1161" s="392">
        <v>5194.5946199999998</v>
      </c>
      <c r="G1161" s="393" t="s">
        <v>3800</v>
      </c>
      <c r="H1161" s="394">
        <v>1.932869357738237</v>
      </c>
      <c r="I1161" s="394"/>
      <c r="J1161" s="392"/>
      <c r="K1161" s="392"/>
      <c r="L1161" s="392"/>
      <c r="M1161" s="392"/>
      <c r="N1161" s="392">
        <v>1.932869357738237</v>
      </c>
    </row>
    <row r="1162" spans="1:14" outlineLevel="1" collapsed="1" x14ac:dyDescent="0.35">
      <c r="A1162" s="395" t="s">
        <v>4726</v>
      </c>
      <c r="B1162" s="389"/>
      <c r="C1162" s="390"/>
      <c r="D1162" s="391"/>
      <c r="E1162" s="391"/>
      <c r="F1162" s="392"/>
      <c r="G1162" s="393"/>
      <c r="H1162" s="394">
        <f t="shared" ref="H1162:N1162" si="28">SUBTOTAL(9,H556:H1161)</f>
        <v>69039.194388344869</v>
      </c>
      <c r="I1162" s="394"/>
      <c r="J1162" s="392">
        <f t="shared" si="28"/>
        <v>0</v>
      </c>
      <c r="K1162" s="392">
        <f t="shared" si="28"/>
        <v>0</v>
      </c>
      <c r="L1162" s="392">
        <f t="shared" si="28"/>
        <v>0</v>
      </c>
      <c r="M1162" s="392">
        <f t="shared" si="28"/>
        <v>0</v>
      </c>
      <c r="N1162" s="392">
        <f t="shared" si="28"/>
        <v>69039.194388344869</v>
      </c>
    </row>
    <row r="1163" spans="1:14" hidden="1" outlineLevel="2" x14ac:dyDescent="0.35">
      <c r="A1163" s="388" t="s">
        <v>4727</v>
      </c>
      <c r="B1163" s="389">
        <v>44266</v>
      </c>
      <c r="C1163" s="390" t="s">
        <v>4526</v>
      </c>
      <c r="D1163" s="391" t="s">
        <v>4527</v>
      </c>
      <c r="E1163" s="391" t="s">
        <v>4728</v>
      </c>
      <c r="F1163" s="392">
        <v>865765.77</v>
      </c>
      <c r="G1163" s="393" t="s">
        <v>3800</v>
      </c>
      <c r="H1163" s="394">
        <v>322.14489295637287</v>
      </c>
      <c r="I1163" s="394"/>
      <c r="J1163" s="392"/>
      <c r="K1163" s="392"/>
      <c r="L1163" s="392"/>
      <c r="M1163" s="392"/>
      <c r="N1163" s="392">
        <f t="shared" ref="N1163:N1226" si="29">H1163</f>
        <v>322.14489295637287</v>
      </c>
    </row>
    <row r="1164" spans="1:14" hidden="1" outlineLevel="2" x14ac:dyDescent="0.35">
      <c r="A1164" s="388" t="s">
        <v>4727</v>
      </c>
      <c r="B1164" s="389">
        <v>44266</v>
      </c>
      <c r="C1164" s="390" t="s">
        <v>4529</v>
      </c>
      <c r="D1164" s="391" t="s">
        <v>4530</v>
      </c>
      <c r="E1164" s="391" t="s">
        <v>4272</v>
      </c>
      <c r="F1164" s="392">
        <v>86576.577000000005</v>
      </c>
      <c r="G1164" s="393" t="s">
        <v>3800</v>
      </c>
      <c r="H1164" s="394">
        <v>32.214489295637286</v>
      </c>
      <c r="I1164" s="394"/>
      <c r="J1164" s="392"/>
      <c r="K1164" s="392"/>
      <c r="L1164" s="392"/>
      <c r="M1164" s="392"/>
      <c r="N1164" s="392">
        <f t="shared" si="29"/>
        <v>32.214489295637286</v>
      </c>
    </row>
    <row r="1165" spans="1:14" hidden="1" outlineLevel="2" x14ac:dyDescent="0.35">
      <c r="A1165" s="388" t="s">
        <v>4727</v>
      </c>
      <c r="B1165" s="389">
        <v>44266</v>
      </c>
      <c r="C1165" s="390" t="s">
        <v>4531</v>
      </c>
      <c r="D1165" s="391" t="s">
        <v>4051</v>
      </c>
      <c r="E1165" s="391" t="s">
        <v>4042</v>
      </c>
      <c r="F1165" s="392">
        <v>8657.6576999999997</v>
      </c>
      <c r="G1165" s="393" t="s">
        <v>3800</v>
      </c>
      <c r="H1165" s="394">
        <v>3.2214489295637283</v>
      </c>
      <c r="I1165" s="394"/>
      <c r="J1165" s="392"/>
      <c r="K1165" s="392"/>
      <c r="L1165" s="392"/>
      <c r="M1165" s="392"/>
      <c r="N1165" s="392">
        <f t="shared" si="29"/>
        <v>3.2214489295637283</v>
      </c>
    </row>
    <row r="1166" spans="1:14" hidden="1" outlineLevel="2" x14ac:dyDescent="0.35">
      <c r="A1166" s="388" t="s">
        <v>4727</v>
      </c>
      <c r="B1166" s="389">
        <v>44266</v>
      </c>
      <c r="C1166" s="390" t="s">
        <v>4526</v>
      </c>
      <c r="D1166" s="391" t="s">
        <v>4527</v>
      </c>
      <c r="E1166" s="391" t="s">
        <v>4729</v>
      </c>
      <c r="F1166" s="392">
        <v>865765.77</v>
      </c>
      <c r="G1166" s="393" t="s">
        <v>3800</v>
      </c>
      <c r="H1166" s="394">
        <v>322.14489295637287</v>
      </c>
      <c r="I1166" s="394"/>
      <c r="J1166" s="392"/>
      <c r="K1166" s="392"/>
      <c r="L1166" s="392"/>
      <c r="M1166" s="392"/>
      <c r="N1166" s="392">
        <f t="shared" si="29"/>
        <v>322.14489295637287</v>
      </c>
    </row>
    <row r="1167" spans="1:14" hidden="1" outlineLevel="2" x14ac:dyDescent="0.35">
      <c r="A1167" s="388" t="s">
        <v>4727</v>
      </c>
      <c r="B1167" s="389">
        <v>44266</v>
      </c>
      <c r="C1167" s="390" t="s">
        <v>4529</v>
      </c>
      <c r="D1167" s="391" t="s">
        <v>4530</v>
      </c>
      <c r="E1167" s="391" t="s">
        <v>4272</v>
      </c>
      <c r="F1167" s="392">
        <v>86576.577000000005</v>
      </c>
      <c r="G1167" s="393" t="s">
        <v>3800</v>
      </c>
      <c r="H1167" s="394">
        <v>32.214489295637286</v>
      </c>
      <c r="I1167" s="394"/>
      <c r="J1167" s="392"/>
      <c r="K1167" s="392"/>
      <c r="L1167" s="392"/>
      <c r="M1167" s="392"/>
      <c r="N1167" s="392">
        <f t="shared" si="29"/>
        <v>32.214489295637286</v>
      </c>
    </row>
    <row r="1168" spans="1:14" hidden="1" outlineLevel="2" collapsed="1" x14ac:dyDescent="0.35">
      <c r="A1168" s="388" t="s">
        <v>4727</v>
      </c>
      <c r="B1168" s="389">
        <v>44266</v>
      </c>
      <c r="C1168" s="390" t="s">
        <v>4531</v>
      </c>
      <c r="D1168" s="391" t="s">
        <v>4051</v>
      </c>
      <c r="E1168" s="391" t="s">
        <v>4042</v>
      </c>
      <c r="F1168" s="392">
        <v>8657.6576999999997</v>
      </c>
      <c r="G1168" s="393" t="s">
        <v>3800</v>
      </c>
      <c r="H1168" s="394">
        <v>3.2214489295637283</v>
      </c>
      <c r="I1168" s="394"/>
      <c r="J1168" s="392"/>
      <c r="K1168" s="392"/>
      <c r="L1168" s="392"/>
      <c r="M1168" s="392"/>
      <c r="N1168" s="392">
        <f t="shared" si="29"/>
        <v>3.2214489295637283</v>
      </c>
    </row>
    <row r="1169" spans="1:14" hidden="1" outlineLevel="2" x14ac:dyDescent="0.35">
      <c r="A1169" s="388" t="s">
        <v>4727</v>
      </c>
      <c r="B1169" s="389">
        <v>44284</v>
      </c>
      <c r="C1169" s="390" t="s">
        <v>4532</v>
      </c>
      <c r="D1169" s="391" t="s">
        <v>4533</v>
      </c>
      <c r="E1169" s="391" t="s">
        <v>4729</v>
      </c>
      <c r="F1169" s="392">
        <v>1171171.17</v>
      </c>
      <c r="G1169" s="393" t="s">
        <v>3800</v>
      </c>
      <c r="H1169" s="394">
        <v>435.78393171312365</v>
      </c>
      <c r="I1169" s="394"/>
      <c r="J1169" s="392"/>
      <c r="K1169" s="392"/>
      <c r="L1169" s="392"/>
      <c r="M1169" s="392"/>
      <c r="N1169" s="392">
        <f t="shared" si="29"/>
        <v>435.78393171312365</v>
      </c>
    </row>
    <row r="1170" spans="1:14" hidden="1" outlineLevel="2" x14ac:dyDescent="0.35">
      <c r="A1170" s="388" t="s">
        <v>4727</v>
      </c>
      <c r="B1170" s="389">
        <v>44284</v>
      </c>
      <c r="C1170" s="390" t="s">
        <v>4534</v>
      </c>
      <c r="D1170" s="391" t="s">
        <v>4535</v>
      </c>
      <c r="E1170" s="391" t="s">
        <v>4272</v>
      </c>
      <c r="F1170" s="392">
        <v>117117.117</v>
      </c>
      <c r="G1170" s="393" t="s">
        <v>3800</v>
      </c>
      <c r="H1170" s="394">
        <v>43.578393171312371</v>
      </c>
      <c r="I1170" s="394"/>
      <c r="J1170" s="392"/>
      <c r="K1170" s="392"/>
      <c r="L1170" s="392"/>
      <c r="M1170" s="392"/>
      <c r="N1170" s="392">
        <f t="shared" si="29"/>
        <v>43.578393171312371</v>
      </c>
    </row>
    <row r="1171" spans="1:14" hidden="1" outlineLevel="2" x14ac:dyDescent="0.35">
      <c r="A1171" s="388" t="s">
        <v>4727</v>
      </c>
      <c r="B1171" s="389">
        <v>44284</v>
      </c>
      <c r="C1171" s="390" t="s">
        <v>4536</v>
      </c>
      <c r="D1171" s="391" t="s">
        <v>4061</v>
      </c>
      <c r="E1171" s="391" t="s">
        <v>4042</v>
      </c>
      <c r="F1171" s="392">
        <v>11711.7117</v>
      </c>
      <c r="G1171" s="393" t="s">
        <v>3800</v>
      </c>
      <c r="H1171" s="394">
        <v>4.3578393171312371</v>
      </c>
      <c r="I1171" s="394"/>
      <c r="J1171" s="392"/>
      <c r="K1171" s="392"/>
      <c r="L1171" s="392"/>
      <c r="M1171" s="392"/>
      <c r="N1171" s="392">
        <f t="shared" si="29"/>
        <v>4.3578393171312371</v>
      </c>
    </row>
    <row r="1172" spans="1:14" hidden="1" outlineLevel="2" x14ac:dyDescent="0.35">
      <c r="A1172" s="388" t="s">
        <v>4727</v>
      </c>
      <c r="B1172" s="389">
        <v>44284</v>
      </c>
      <c r="C1172" s="390" t="s">
        <v>4532</v>
      </c>
      <c r="D1172" s="391" t="s">
        <v>4533</v>
      </c>
      <c r="E1172" s="391" t="s">
        <v>4728</v>
      </c>
      <c r="F1172" s="392">
        <v>1171171.17</v>
      </c>
      <c r="G1172" s="393" t="s">
        <v>3800</v>
      </c>
      <c r="H1172" s="394">
        <v>435.78393171312365</v>
      </c>
      <c r="I1172" s="394"/>
      <c r="J1172" s="392"/>
      <c r="K1172" s="392"/>
      <c r="L1172" s="392"/>
      <c r="M1172" s="392"/>
      <c r="N1172" s="392">
        <f t="shared" si="29"/>
        <v>435.78393171312365</v>
      </c>
    </row>
    <row r="1173" spans="1:14" hidden="1" outlineLevel="2" x14ac:dyDescent="0.35">
      <c r="A1173" s="388" t="s">
        <v>4727</v>
      </c>
      <c r="B1173" s="389">
        <v>44284</v>
      </c>
      <c r="C1173" s="390" t="s">
        <v>4534</v>
      </c>
      <c r="D1173" s="391" t="s">
        <v>4535</v>
      </c>
      <c r="E1173" s="391" t="s">
        <v>4272</v>
      </c>
      <c r="F1173" s="392">
        <v>117117.117</v>
      </c>
      <c r="G1173" s="393" t="s">
        <v>3800</v>
      </c>
      <c r="H1173" s="394">
        <v>43.578393171312371</v>
      </c>
      <c r="I1173" s="394"/>
      <c r="J1173" s="392"/>
      <c r="K1173" s="392"/>
      <c r="L1173" s="392"/>
      <c r="M1173" s="392"/>
      <c r="N1173" s="392">
        <f t="shared" si="29"/>
        <v>43.578393171312371</v>
      </c>
    </row>
    <row r="1174" spans="1:14" hidden="1" outlineLevel="2" x14ac:dyDescent="0.35">
      <c r="A1174" s="388" t="s">
        <v>4727</v>
      </c>
      <c r="B1174" s="389">
        <v>44284</v>
      </c>
      <c r="C1174" s="390" t="s">
        <v>4536</v>
      </c>
      <c r="D1174" s="391" t="s">
        <v>4061</v>
      </c>
      <c r="E1174" s="391" t="s">
        <v>4042</v>
      </c>
      <c r="F1174" s="392">
        <v>11711.7117</v>
      </c>
      <c r="G1174" s="393" t="s">
        <v>3800</v>
      </c>
      <c r="H1174" s="394">
        <v>4.3578393171312371</v>
      </c>
      <c r="I1174" s="394"/>
      <c r="J1174" s="392"/>
      <c r="K1174" s="392"/>
      <c r="L1174" s="392"/>
      <c r="M1174" s="392"/>
      <c r="N1174" s="392">
        <f t="shared" si="29"/>
        <v>4.3578393171312371</v>
      </c>
    </row>
    <row r="1175" spans="1:14" hidden="1" outlineLevel="2" x14ac:dyDescent="0.35">
      <c r="A1175" s="388" t="s">
        <v>4727</v>
      </c>
      <c r="B1175" s="389">
        <v>44284</v>
      </c>
      <c r="C1175" s="390" t="s">
        <v>4532</v>
      </c>
      <c r="D1175" s="391" t="s">
        <v>4533</v>
      </c>
      <c r="E1175" s="391" t="s">
        <v>4720</v>
      </c>
      <c r="F1175" s="392">
        <v>865765.77</v>
      </c>
      <c r="G1175" s="393" t="s">
        <v>3800</v>
      </c>
      <c r="H1175" s="394">
        <v>322.14489295637287</v>
      </c>
      <c r="I1175" s="394"/>
      <c r="J1175" s="392"/>
      <c r="K1175" s="392"/>
      <c r="L1175" s="392"/>
      <c r="M1175" s="392"/>
      <c r="N1175" s="392">
        <f t="shared" si="29"/>
        <v>322.14489295637287</v>
      </c>
    </row>
    <row r="1176" spans="1:14" hidden="1" outlineLevel="2" x14ac:dyDescent="0.35">
      <c r="A1176" s="388" t="s">
        <v>4727</v>
      </c>
      <c r="B1176" s="389">
        <v>44284</v>
      </c>
      <c r="C1176" s="390" t="s">
        <v>4534</v>
      </c>
      <c r="D1176" s="391" t="s">
        <v>4535</v>
      </c>
      <c r="E1176" s="391" t="s">
        <v>4272</v>
      </c>
      <c r="F1176" s="392">
        <v>86576.577000000005</v>
      </c>
      <c r="G1176" s="393" t="s">
        <v>3800</v>
      </c>
      <c r="H1176" s="394">
        <v>32.214489295637286</v>
      </c>
      <c r="I1176" s="394"/>
      <c r="J1176" s="392"/>
      <c r="K1176" s="392"/>
      <c r="L1176" s="392"/>
      <c r="M1176" s="392"/>
      <c r="N1176" s="392">
        <f t="shared" si="29"/>
        <v>32.214489295637286</v>
      </c>
    </row>
    <row r="1177" spans="1:14" hidden="1" outlineLevel="2" x14ac:dyDescent="0.35">
      <c r="A1177" s="388" t="s">
        <v>4727</v>
      </c>
      <c r="B1177" s="389">
        <v>44284</v>
      </c>
      <c r="C1177" s="390" t="s">
        <v>4536</v>
      </c>
      <c r="D1177" s="391" t="s">
        <v>4061</v>
      </c>
      <c r="E1177" s="391" t="s">
        <v>4042</v>
      </c>
      <c r="F1177" s="392">
        <v>8657.6576999999997</v>
      </c>
      <c r="G1177" s="393" t="s">
        <v>3800</v>
      </c>
      <c r="H1177" s="394">
        <v>3.2214489295637283</v>
      </c>
      <c r="I1177" s="394"/>
      <c r="J1177" s="392"/>
      <c r="K1177" s="392"/>
      <c r="L1177" s="392"/>
      <c r="M1177" s="392"/>
      <c r="N1177" s="392">
        <f t="shared" si="29"/>
        <v>3.2214489295637283</v>
      </c>
    </row>
    <row r="1178" spans="1:14" hidden="1" outlineLevel="2" x14ac:dyDescent="0.35">
      <c r="A1178" s="388" t="s">
        <v>4727</v>
      </c>
      <c r="B1178" s="389">
        <v>44316</v>
      </c>
      <c r="C1178" s="390" t="s">
        <v>4537</v>
      </c>
      <c r="D1178" s="391" t="s">
        <v>4538</v>
      </c>
      <c r="E1178" s="391" t="s">
        <v>4728</v>
      </c>
      <c r="F1178" s="392">
        <v>1171171.17</v>
      </c>
      <c r="G1178" s="393" t="s">
        <v>3800</v>
      </c>
      <c r="H1178" s="394">
        <v>435.78393171312365</v>
      </c>
      <c r="I1178" s="394"/>
      <c r="J1178" s="392"/>
      <c r="K1178" s="392"/>
      <c r="L1178" s="392"/>
      <c r="M1178" s="392"/>
      <c r="N1178" s="392">
        <f t="shared" si="29"/>
        <v>435.78393171312365</v>
      </c>
    </row>
    <row r="1179" spans="1:14" hidden="1" outlineLevel="2" x14ac:dyDescent="0.35">
      <c r="A1179" s="388" t="s">
        <v>4727</v>
      </c>
      <c r="B1179" s="389">
        <v>44316</v>
      </c>
      <c r="C1179" s="390" t="s">
        <v>4539</v>
      </c>
      <c r="D1179" s="391" t="s">
        <v>4540</v>
      </c>
      <c r="E1179" s="391" t="s">
        <v>4272</v>
      </c>
      <c r="F1179" s="392">
        <v>117117.117</v>
      </c>
      <c r="G1179" s="393" t="s">
        <v>3800</v>
      </c>
      <c r="H1179" s="394">
        <v>43.578393171312371</v>
      </c>
      <c r="I1179" s="394"/>
      <c r="J1179" s="392"/>
      <c r="K1179" s="392"/>
      <c r="L1179" s="392"/>
      <c r="M1179" s="392"/>
      <c r="N1179" s="392">
        <f t="shared" si="29"/>
        <v>43.578393171312371</v>
      </c>
    </row>
    <row r="1180" spans="1:14" hidden="1" outlineLevel="2" x14ac:dyDescent="0.35">
      <c r="A1180" s="388" t="s">
        <v>4727</v>
      </c>
      <c r="B1180" s="389">
        <v>44316</v>
      </c>
      <c r="C1180" s="390" t="s">
        <v>4541</v>
      </c>
      <c r="D1180" s="391" t="s">
        <v>4542</v>
      </c>
      <c r="E1180" s="391" t="s">
        <v>4042</v>
      </c>
      <c r="F1180" s="392">
        <v>11711.7117</v>
      </c>
      <c r="G1180" s="393" t="s">
        <v>3800</v>
      </c>
      <c r="H1180" s="394">
        <v>4.3578393171312371</v>
      </c>
      <c r="I1180" s="394"/>
      <c r="J1180" s="392"/>
      <c r="K1180" s="392"/>
      <c r="L1180" s="392"/>
      <c r="M1180" s="392"/>
      <c r="N1180" s="392">
        <f t="shared" si="29"/>
        <v>4.3578393171312371</v>
      </c>
    </row>
    <row r="1181" spans="1:14" hidden="1" outlineLevel="2" x14ac:dyDescent="0.35">
      <c r="A1181" s="388" t="s">
        <v>4727</v>
      </c>
      <c r="B1181" s="389">
        <v>44316</v>
      </c>
      <c r="C1181" s="390" t="s">
        <v>4537</v>
      </c>
      <c r="D1181" s="391" t="s">
        <v>4538</v>
      </c>
      <c r="E1181" s="391" t="s">
        <v>4729</v>
      </c>
      <c r="F1181" s="392">
        <v>1171171.17</v>
      </c>
      <c r="G1181" s="393" t="s">
        <v>3800</v>
      </c>
      <c r="H1181" s="394">
        <v>435.78393171312365</v>
      </c>
      <c r="I1181" s="394"/>
      <c r="J1181" s="392"/>
      <c r="K1181" s="392"/>
      <c r="L1181" s="392"/>
      <c r="M1181" s="392"/>
      <c r="N1181" s="392">
        <f t="shared" si="29"/>
        <v>435.78393171312365</v>
      </c>
    </row>
    <row r="1182" spans="1:14" hidden="1" outlineLevel="2" x14ac:dyDescent="0.35">
      <c r="A1182" s="388" t="s">
        <v>4727</v>
      </c>
      <c r="B1182" s="389">
        <v>44316</v>
      </c>
      <c r="C1182" s="390" t="s">
        <v>4539</v>
      </c>
      <c r="D1182" s="391" t="s">
        <v>4540</v>
      </c>
      <c r="E1182" s="391" t="s">
        <v>4272</v>
      </c>
      <c r="F1182" s="392">
        <v>117117.117</v>
      </c>
      <c r="G1182" s="393" t="s">
        <v>3800</v>
      </c>
      <c r="H1182" s="394">
        <v>43.578393171312371</v>
      </c>
      <c r="I1182" s="394"/>
      <c r="J1182" s="392"/>
      <c r="K1182" s="392"/>
      <c r="L1182" s="392"/>
      <c r="M1182" s="392"/>
      <c r="N1182" s="392">
        <f t="shared" si="29"/>
        <v>43.578393171312371</v>
      </c>
    </row>
    <row r="1183" spans="1:14" hidden="1" outlineLevel="2" x14ac:dyDescent="0.35">
      <c r="A1183" s="388" t="s">
        <v>4727</v>
      </c>
      <c r="B1183" s="389">
        <v>44316</v>
      </c>
      <c r="C1183" s="390" t="s">
        <v>4541</v>
      </c>
      <c r="D1183" s="391" t="s">
        <v>4542</v>
      </c>
      <c r="E1183" s="391" t="s">
        <v>4042</v>
      </c>
      <c r="F1183" s="392">
        <v>11711.7117</v>
      </c>
      <c r="G1183" s="393" t="s">
        <v>3800</v>
      </c>
      <c r="H1183" s="394">
        <v>4.3578393171312371</v>
      </c>
      <c r="I1183" s="394"/>
      <c r="J1183" s="392"/>
      <c r="K1183" s="392"/>
      <c r="L1183" s="392"/>
      <c r="M1183" s="392"/>
      <c r="N1183" s="392">
        <f t="shared" si="29"/>
        <v>4.3578393171312371</v>
      </c>
    </row>
    <row r="1184" spans="1:14" hidden="1" outlineLevel="2" x14ac:dyDescent="0.35">
      <c r="A1184" s="388" t="s">
        <v>4727</v>
      </c>
      <c r="B1184" s="389">
        <v>44343</v>
      </c>
      <c r="C1184" s="390" t="s">
        <v>4543</v>
      </c>
      <c r="D1184" s="391" t="s">
        <v>4544</v>
      </c>
      <c r="E1184" s="391" t="s">
        <v>4728</v>
      </c>
      <c r="F1184" s="392">
        <v>1171171.17</v>
      </c>
      <c r="G1184" s="393" t="s">
        <v>3800</v>
      </c>
      <c r="H1184" s="394">
        <v>435.78393171312365</v>
      </c>
      <c r="I1184" s="394"/>
      <c r="J1184" s="392"/>
      <c r="K1184" s="392"/>
      <c r="L1184" s="392"/>
      <c r="M1184" s="392"/>
      <c r="N1184" s="392">
        <f t="shared" si="29"/>
        <v>435.78393171312365</v>
      </c>
    </row>
    <row r="1185" spans="1:14" hidden="1" outlineLevel="2" x14ac:dyDescent="0.35">
      <c r="A1185" s="388" t="s">
        <v>4727</v>
      </c>
      <c r="B1185" s="389">
        <v>44343</v>
      </c>
      <c r="C1185" s="390" t="s">
        <v>4545</v>
      </c>
      <c r="D1185" s="391" t="s">
        <v>4546</v>
      </c>
      <c r="E1185" s="391" t="s">
        <v>4272</v>
      </c>
      <c r="F1185" s="392">
        <v>117117.117</v>
      </c>
      <c r="G1185" s="393" t="s">
        <v>3800</v>
      </c>
      <c r="H1185" s="394">
        <v>43.578393171312371</v>
      </c>
      <c r="I1185" s="394"/>
      <c r="J1185" s="392"/>
      <c r="K1185" s="392"/>
      <c r="L1185" s="392"/>
      <c r="M1185" s="392"/>
      <c r="N1185" s="392">
        <f t="shared" si="29"/>
        <v>43.578393171312371</v>
      </c>
    </row>
    <row r="1186" spans="1:14" hidden="1" outlineLevel="2" x14ac:dyDescent="0.35">
      <c r="A1186" s="388" t="s">
        <v>4727</v>
      </c>
      <c r="B1186" s="389">
        <v>44343</v>
      </c>
      <c r="C1186" s="390" t="s">
        <v>4547</v>
      </c>
      <c r="D1186" s="391" t="s">
        <v>4548</v>
      </c>
      <c r="E1186" s="391" t="s">
        <v>4042</v>
      </c>
      <c r="F1186" s="392">
        <v>11711.7117</v>
      </c>
      <c r="G1186" s="393" t="s">
        <v>3800</v>
      </c>
      <c r="H1186" s="394">
        <v>4.3578393171312371</v>
      </c>
      <c r="I1186" s="394"/>
      <c r="J1186" s="392"/>
      <c r="K1186" s="392"/>
      <c r="L1186" s="392"/>
      <c r="M1186" s="392"/>
      <c r="N1186" s="392">
        <f t="shared" si="29"/>
        <v>4.3578393171312371</v>
      </c>
    </row>
    <row r="1187" spans="1:14" hidden="1" outlineLevel="2" x14ac:dyDescent="0.35">
      <c r="A1187" s="388" t="s">
        <v>4727</v>
      </c>
      <c r="B1187" s="389">
        <v>44343</v>
      </c>
      <c r="C1187" s="390" t="s">
        <v>4543</v>
      </c>
      <c r="D1187" s="391" t="s">
        <v>4544</v>
      </c>
      <c r="E1187" s="391" t="s">
        <v>4729</v>
      </c>
      <c r="F1187" s="392">
        <v>1171171.17</v>
      </c>
      <c r="G1187" s="393" t="s">
        <v>3800</v>
      </c>
      <c r="H1187" s="394">
        <v>435.78393171312365</v>
      </c>
      <c r="I1187" s="394"/>
      <c r="J1187" s="392"/>
      <c r="K1187" s="392"/>
      <c r="L1187" s="392"/>
      <c r="M1187" s="392"/>
      <c r="N1187" s="392">
        <f t="shared" si="29"/>
        <v>435.78393171312365</v>
      </c>
    </row>
    <row r="1188" spans="1:14" hidden="1" outlineLevel="2" x14ac:dyDescent="0.35">
      <c r="A1188" s="388" t="s">
        <v>4727</v>
      </c>
      <c r="B1188" s="389">
        <v>44343</v>
      </c>
      <c r="C1188" s="390" t="s">
        <v>4545</v>
      </c>
      <c r="D1188" s="391" t="s">
        <v>4546</v>
      </c>
      <c r="E1188" s="391" t="s">
        <v>4272</v>
      </c>
      <c r="F1188" s="392">
        <v>117117.117</v>
      </c>
      <c r="G1188" s="393" t="s">
        <v>3800</v>
      </c>
      <c r="H1188" s="394">
        <v>43.578393171312371</v>
      </c>
      <c r="I1188" s="394"/>
      <c r="J1188" s="392"/>
      <c r="K1188" s="392"/>
      <c r="L1188" s="392"/>
      <c r="M1188" s="392"/>
      <c r="N1188" s="392">
        <f t="shared" si="29"/>
        <v>43.578393171312371</v>
      </c>
    </row>
    <row r="1189" spans="1:14" hidden="1" outlineLevel="2" x14ac:dyDescent="0.35">
      <c r="A1189" s="388" t="s">
        <v>4727</v>
      </c>
      <c r="B1189" s="389">
        <v>44343</v>
      </c>
      <c r="C1189" s="390" t="s">
        <v>4547</v>
      </c>
      <c r="D1189" s="391" t="s">
        <v>4548</v>
      </c>
      <c r="E1189" s="391" t="s">
        <v>4042</v>
      </c>
      <c r="F1189" s="392">
        <v>11711.7117</v>
      </c>
      <c r="G1189" s="393" t="s">
        <v>3800</v>
      </c>
      <c r="H1189" s="394">
        <v>4.3578393171312371</v>
      </c>
      <c r="I1189" s="394"/>
      <c r="J1189" s="392"/>
      <c r="K1189" s="392"/>
      <c r="L1189" s="392"/>
      <c r="M1189" s="392"/>
      <c r="N1189" s="392">
        <f t="shared" si="29"/>
        <v>4.3578393171312371</v>
      </c>
    </row>
    <row r="1190" spans="1:14" hidden="1" outlineLevel="2" x14ac:dyDescent="0.35">
      <c r="A1190" s="388" t="s">
        <v>4727</v>
      </c>
      <c r="B1190" s="389">
        <v>44376</v>
      </c>
      <c r="C1190" s="390" t="s">
        <v>4549</v>
      </c>
      <c r="D1190" s="391" t="s">
        <v>4550</v>
      </c>
      <c r="E1190" s="391" t="s">
        <v>4728</v>
      </c>
      <c r="F1190" s="392">
        <v>1171171.17</v>
      </c>
      <c r="G1190" s="393" t="s">
        <v>3800</v>
      </c>
      <c r="H1190" s="394">
        <v>435.78393171312365</v>
      </c>
      <c r="I1190" s="394"/>
      <c r="J1190" s="392"/>
      <c r="K1190" s="392"/>
      <c r="L1190" s="392"/>
      <c r="M1190" s="392"/>
      <c r="N1190" s="392">
        <f t="shared" si="29"/>
        <v>435.78393171312365</v>
      </c>
    </row>
    <row r="1191" spans="1:14" hidden="1" outlineLevel="2" x14ac:dyDescent="0.35">
      <c r="A1191" s="388" t="s">
        <v>4727</v>
      </c>
      <c r="B1191" s="389">
        <v>44376</v>
      </c>
      <c r="C1191" s="390" t="s">
        <v>4551</v>
      </c>
      <c r="D1191" s="391" t="s">
        <v>4552</v>
      </c>
      <c r="E1191" s="391" t="s">
        <v>4272</v>
      </c>
      <c r="F1191" s="392">
        <v>117117.117</v>
      </c>
      <c r="G1191" s="393" t="s">
        <v>3800</v>
      </c>
      <c r="H1191" s="394">
        <v>43.578393171312371</v>
      </c>
      <c r="I1191" s="394"/>
      <c r="J1191" s="392"/>
      <c r="K1191" s="392"/>
      <c r="L1191" s="392"/>
      <c r="M1191" s="392"/>
      <c r="N1191" s="392">
        <f t="shared" si="29"/>
        <v>43.578393171312371</v>
      </c>
    </row>
    <row r="1192" spans="1:14" hidden="1" outlineLevel="2" x14ac:dyDescent="0.35">
      <c r="A1192" s="388" t="s">
        <v>4727</v>
      </c>
      <c r="B1192" s="389">
        <v>44376</v>
      </c>
      <c r="C1192" s="390" t="s">
        <v>4553</v>
      </c>
      <c r="D1192" s="391" t="s">
        <v>4554</v>
      </c>
      <c r="E1192" s="391" t="s">
        <v>4042</v>
      </c>
      <c r="F1192" s="392">
        <v>11711.7117</v>
      </c>
      <c r="G1192" s="393" t="s">
        <v>3800</v>
      </c>
      <c r="H1192" s="394">
        <v>4.3578393171312371</v>
      </c>
      <c r="I1192" s="394"/>
      <c r="J1192" s="392"/>
      <c r="K1192" s="392"/>
      <c r="L1192" s="392"/>
      <c r="M1192" s="392"/>
      <c r="N1192" s="392">
        <f t="shared" si="29"/>
        <v>4.3578393171312371</v>
      </c>
    </row>
    <row r="1193" spans="1:14" hidden="1" outlineLevel="2" x14ac:dyDescent="0.35">
      <c r="A1193" s="388" t="s">
        <v>4727</v>
      </c>
      <c r="B1193" s="389">
        <v>44376</v>
      </c>
      <c r="C1193" s="390" t="s">
        <v>4549</v>
      </c>
      <c r="D1193" s="391" t="s">
        <v>4550</v>
      </c>
      <c r="E1193" s="391" t="s">
        <v>4729</v>
      </c>
      <c r="F1193" s="392">
        <v>1171171.17</v>
      </c>
      <c r="G1193" s="393" t="s">
        <v>3800</v>
      </c>
      <c r="H1193" s="394">
        <v>435.78393171312365</v>
      </c>
      <c r="I1193" s="394"/>
      <c r="J1193" s="392"/>
      <c r="K1193" s="392"/>
      <c r="L1193" s="392"/>
      <c r="M1193" s="392"/>
      <c r="N1193" s="392">
        <f t="shared" si="29"/>
        <v>435.78393171312365</v>
      </c>
    </row>
    <row r="1194" spans="1:14" hidden="1" outlineLevel="2" x14ac:dyDescent="0.35">
      <c r="A1194" s="388" t="s">
        <v>4727</v>
      </c>
      <c r="B1194" s="389">
        <v>44376</v>
      </c>
      <c r="C1194" s="390" t="s">
        <v>4551</v>
      </c>
      <c r="D1194" s="391" t="s">
        <v>4552</v>
      </c>
      <c r="E1194" s="391" t="s">
        <v>4272</v>
      </c>
      <c r="F1194" s="392">
        <v>117117.117</v>
      </c>
      <c r="G1194" s="393" t="s">
        <v>3800</v>
      </c>
      <c r="H1194" s="394">
        <v>43.578393171312371</v>
      </c>
      <c r="I1194" s="394"/>
      <c r="J1194" s="392"/>
      <c r="K1194" s="392"/>
      <c r="L1194" s="392"/>
      <c r="M1194" s="392"/>
      <c r="N1194" s="392">
        <f t="shared" si="29"/>
        <v>43.578393171312371</v>
      </c>
    </row>
    <row r="1195" spans="1:14" hidden="1" outlineLevel="2" x14ac:dyDescent="0.35">
      <c r="A1195" s="388" t="s">
        <v>4727</v>
      </c>
      <c r="B1195" s="389">
        <v>44376</v>
      </c>
      <c r="C1195" s="390" t="s">
        <v>4553</v>
      </c>
      <c r="D1195" s="391" t="s">
        <v>4554</v>
      </c>
      <c r="E1195" s="391" t="s">
        <v>4042</v>
      </c>
      <c r="F1195" s="392">
        <v>11711.7117</v>
      </c>
      <c r="G1195" s="393" t="s">
        <v>3800</v>
      </c>
      <c r="H1195" s="394">
        <v>4.3578393171312371</v>
      </c>
      <c r="I1195" s="394"/>
      <c r="J1195" s="392"/>
      <c r="K1195" s="392"/>
      <c r="L1195" s="392"/>
      <c r="M1195" s="392"/>
      <c r="N1195" s="392">
        <f t="shared" si="29"/>
        <v>4.3578393171312371</v>
      </c>
    </row>
    <row r="1196" spans="1:14" hidden="1" outlineLevel="2" x14ac:dyDescent="0.35">
      <c r="A1196" s="388" t="s">
        <v>4727</v>
      </c>
      <c r="B1196" s="389">
        <v>44407</v>
      </c>
      <c r="C1196" s="390" t="s">
        <v>4555</v>
      </c>
      <c r="D1196" s="391" t="s">
        <v>4556</v>
      </c>
      <c r="E1196" s="391" t="s">
        <v>4728</v>
      </c>
      <c r="F1196" s="392">
        <v>1171171.17</v>
      </c>
      <c r="G1196" s="393" t="s">
        <v>3800</v>
      </c>
      <c r="H1196" s="394">
        <v>435.78393171312365</v>
      </c>
      <c r="I1196" s="394"/>
      <c r="J1196" s="392"/>
      <c r="K1196" s="392"/>
      <c r="L1196" s="392"/>
      <c r="M1196" s="392"/>
      <c r="N1196" s="392">
        <f t="shared" si="29"/>
        <v>435.78393171312365</v>
      </c>
    </row>
    <row r="1197" spans="1:14" hidden="1" outlineLevel="2" x14ac:dyDescent="0.35">
      <c r="A1197" s="388" t="s">
        <v>4727</v>
      </c>
      <c r="B1197" s="389">
        <v>44407</v>
      </c>
      <c r="C1197" s="390" t="s">
        <v>4557</v>
      </c>
      <c r="D1197" s="391" t="s">
        <v>4558</v>
      </c>
      <c r="E1197" s="391" t="s">
        <v>4272</v>
      </c>
      <c r="F1197" s="392">
        <v>117117.117</v>
      </c>
      <c r="G1197" s="393" t="s">
        <v>3800</v>
      </c>
      <c r="H1197" s="394">
        <v>43.578393171312371</v>
      </c>
      <c r="I1197" s="394"/>
      <c r="J1197" s="392"/>
      <c r="K1197" s="392"/>
      <c r="L1197" s="392"/>
      <c r="M1197" s="392"/>
      <c r="N1197" s="392">
        <f t="shared" si="29"/>
        <v>43.578393171312371</v>
      </c>
    </row>
    <row r="1198" spans="1:14" hidden="1" outlineLevel="2" x14ac:dyDescent="0.35">
      <c r="A1198" s="388" t="s">
        <v>4727</v>
      </c>
      <c r="B1198" s="389">
        <v>44407</v>
      </c>
      <c r="C1198" s="390" t="s">
        <v>4559</v>
      </c>
      <c r="D1198" s="391" t="s">
        <v>4560</v>
      </c>
      <c r="E1198" s="391" t="s">
        <v>4042</v>
      </c>
      <c r="F1198" s="392">
        <v>7027.0270199999995</v>
      </c>
      <c r="G1198" s="393" t="s">
        <v>3800</v>
      </c>
      <c r="H1198" s="394">
        <v>2.6147035902787419</v>
      </c>
      <c r="I1198" s="394"/>
      <c r="J1198" s="392"/>
      <c r="K1198" s="392"/>
      <c r="L1198" s="392"/>
      <c r="M1198" s="392"/>
      <c r="N1198" s="392">
        <f t="shared" si="29"/>
        <v>2.6147035902787419</v>
      </c>
    </row>
    <row r="1199" spans="1:14" hidden="1" outlineLevel="2" x14ac:dyDescent="0.35">
      <c r="A1199" s="388" t="s">
        <v>4727</v>
      </c>
      <c r="B1199" s="389">
        <v>44407</v>
      </c>
      <c r="C1199" s="390" t="s">
        <v>4555</v>
      </c>
      <c r="D1199" s="391" t="s">
        <v>4556</v>
      </c>
      <c r="E1199" s="391" t="s">
        <v>4729</v>
      </c>
      <c r="F1199" s="392">
        <v>1171171.17</v>
      </c>
      <c r="G1199" s="393" t="s">
        <v>3800</v>
      </c>
      <c r="H1199" s="394">
        <v>435.78393171312365</v>
      </c>
      <c r="I1199" s="394"/>
      <c r="J1199" s="392"/>
      <c r="K1199" s="392"/>
      <c r="L1199" s="392"/>
      <c r="M1199" s="392"/>
      <c r="N1199" s="392">
        <f t="shared" si="29"/>
        <v>435.78393171312365</v>
      </c>
    </row>
    <row r="1200" spans="1:14" hidden="1" outlineLevel="2" x14ac:dyDescent="0.35">
      <c r="A1200" s="388" t="s">
        <v>4727</v>
      </c>
      <c r="B1200" s="389">
        <v>44407</v>
      </c>
      <c r="C1200" s="390" t="s">
        <v>4557</v>
      </c>
      <c r="D1200" s="391" t="s">
        <v>4558</v>
      </c>
      <c r="E1200" s="391" t="s">
        <v>4272</v>
      </c>
      <c r="F1200" s="392">
        <v>117117.117</v>
      </c>
      <c r="G1200" s="393" t="s">
        <v>3800</v>
      </c>
      <c r="H1200" s="394">
        <v>43.578393171312371</v>
      </c>
      <c r="I1200" s="394"/>
      <c r="J1200" s="392"/>
      <c r="K1200" s="392"/>
      <c r="L1200" s="392"/>
      <c r="M1200" s="392"/>
      <c r="N1200" s="392">
        <f t="shared" si="29"/>
        <v>43.578393171312371</v>
      </c>
    </row>
    <row r="1201" spans="1:14" hidden="1" outlineLevel="2" x14ac:dyDescent="0.35">
      <c r="A1201" s="388" t="s">
        <v>4727</v>
      </c>
      <c r="B1201" s="389">
        <v>44407</v>
      </c>
      <c r="C1201" s="390" t="s">
        <v>4559</v>
      </c>
      <c r="D1201" s="391" t="s">
        <v>4560</v>
      </c>
      <c r="E1201" s="391" t="s">
        <v>4042</v>
      </c>
      <c r="F1201" s="392">
        <v>7027.0270199999995</v>
      </c>
      <c r="G1201" s="393" t="s">
        <v>3800</v>
      </c>
      <c r="H1201" s="394">
        <v>2.6147035902787419</v>
      </c>
      <c r="I1201" s="394"/>
      <c r="J1201" s="392"/>
      <c r="K1201" s="392"/>
      <c r="L1201" s="392"/>
      <c r="M1201" s="392"/>
      <c r="N1201" s="392">
        <f t="shared" si="29"/>
        <v>2.6147035902787419</v>
      </c>
    </row>
    <row r="1202" spans="1:14" hidden="1" outlineLevel="2" x14ac:dyDescent="0.35">
      <c r="A1202" s="388" t="s">
        <v>4727</v>
      </c>
      <c r="B1202" s="389">
        <v>44438</v>
      </c>
      <c r="C1202" s="390" t="s">
        <v>4561</v>
      </c>
      <c r="D1202" s="391" t="s">
        <v>4562</v>
      </c>
      <c r="E1202" s="391" t="s">
        <v>4563</v>
      </c>
      <c r="F1202" s="392">
        <v>1171171.17</v>
      </c>
      <c r="G1202" s="393" t="s">
        <v>3800</v>
      </c>
      <c r="H1202" s="394">
        <v>435.78393171312365</v>
      </c>
      <c r="I1202" s="394"/>
      <c r="J1202" s="392"/>
      <c r="K1202" s="392"/>
      <c r="L1202" s="392"/>
      <c r="M1202" s="392"/>
      <c r="N1202" s="392">
        <f t="shared" si="29"/>
        <v>435.78393171312365</v>
      </c>
    </row>
    <row r="1203" spans="1:14" hidden="1" outlineLevel="2" x14ac:dyDescent="0.35">
      <c r="A1203" s="388" t="s">
        <v>4727</v>
      </c>
      <c r="B1203" s="389">
        <v>44438</v>
      </c>
      <c r="C1203" s="390" t="s">
        <v>4564</v>
      </c>
      <c r="D1203" s="391" t="s">
        <v>4565</v>
      </c>
      <c r="E1203" s="391" t="s">
        <v>4272</v>
      </c>
      <c r="F1203" s="392">
        <v>117117.117</v>
      </c>
      <c r="G1203" s="393" t="s">
        <v>3800</v>
      </c>
      <c r="H1203" s="394">
        <v>43.578393171312371</v>
      </c>
      <c r="I1203" s="394"/>
      <c r="J1203" s="392"/>
      <c r="K1203" s="392"/>
      <c r="L1203" s="392"/>
      <c r="M1203" s="392"/>
      <c r="N1203" s="392">
        <f t="shared" si="29"/>
        <v>43.578393171312371</v>
      </c>
    </row>
    <row r="1204" spans="1:14" hidden="1" outlineLevel="2" x14ac:dyDescent="0.35">
      <c r="A1204" s="388" t="s">
        <v>4727</v>
      </c>
      <c r="B1204" s="389">
        <v>44438</v>
      </c>
      <c r="C1204" s="390" t="s">
        <v>4566</v>
      </c>
      <c r="D1204" s="391" t="s">
        <v>4567</v>
      </c>
      <c r="E1204" s="391" t="s">
        <v>4042</v>
      </c>
      <c r="F1204" s="392">
        <v>7027.0270199999995</v>
      </c>
      <c r="G1204" s="393" t="s">
        <v>3800</v>
      </c>
      <c r="H1204" s="394">
        <v>2.6147035902787419</v>
      </c>
      <c r="I1204" s="394"/>
      <c r="J1204" s="392"/>
      <c r="K1204" s="392"/>
      <c r="L1204" s="392"/>
      <c r="M1204" s="392"/>
      <c r="N1204" s="392">
        <f t="shared" si="29"/>
        <v>2.6147035902787419</v>
      </c>
    </row>
    <row r="1205" spans="1:14" hidden="1" outlineLevel="2" x14ac:dyDescent="0.35">
      <c r="A1205" s="388" t="s">
        <v>4727</v>
      </c>
      <c r="B1205" s="389">
        <v>44438</v>
      </c>
      <c r="C1205" s="390" t="s">
        <v>4561</v>
      </c>
      <c r="D1205" s="391" t="s">
        <v>4562</v>
      </c>
      <c r="E1205" s="391" t="s">
        <v>4563</v>
      </c>
      <c r="F1205" s="392">
        <v>1171171.17</v>
      </c>
      <c r="G1205" s="393" t="s">
        <v>3800</v>
      </c>
      <c r="H1205" s="394">
        <v>435.78393171312365</v>
      </c>
      <c r="I1205" s="394"/>
      <c r="J1205" s="392"/>
      <c r="K1205" s="392"/>
      <c r="L1205" s="392"/>
      <c r="M1205" s="392"/>
      <c r="N1205" s="392">
        <f t="shared" si="29"/>
        <v>435.78393171312365</v>
      </c>
    </row>
    <row r="1206" spans="1:14" hidden="1" outlineLevel="2" x14ac:dyDescent="0.35">
      <c r="A1206" s="388" t="s">
        <v>4727</v>
      </c>
      <c r="B1206" s="389">
        <v>44438</v>
      </c>
      <c r="C1206" s="390" t="s">
        <v>4564</v>
      </c>
      <c r="D1206" s="391" t="s">
        <v>4565</v>
      </c>
      <c r="E1206" s="391" t="s">
        <v>4272</v>
      </c>
      <c r="F1206" s="392">
        <v>117117.117</v>
      </c>
      <c r="G1206" s="393" t="s">
        <v>3800</v>
      </c>
      <c r="H1206" s="394">
        <v>43.578393171312371</v>
      </c>
      <c r="I1206" s="394"/>
      <c r="J1206" s="392"/>
      <c r="K1206" s="392"/>
      <c r="L1206" s="392"/>
      <c r="M1206" s="392"/>
      <c r="N1206" s="392">
        <f t="shared" si="29"/>
        <v>43.578393171312371</v>
      </c>
    </row>
    <row r="1207" spans="1:14" hidden="1" outlineLevel="2" x14ac:dyDescent="0.35">
      <c r="A1207" s="388" t="s">
        <v>4727</v>
      </c>
      <c r="B1207" s="389">
        <v>44438</v>
      </c>
      <c r="C1207" s="390" t="s">
        <v>4566</v>
      </c>
      <c r="D1207" s="391" t="s">
        <v>4567</v>
      </c>
      <c r="E1207" s="391" t="s">
        <v>4042</v>
      </c>
      <c r="F1207" s="392">
        <v>7027.0270199999995</v>
      </c>
      <c r="G1207" s="393" t="s">
        <v>3800</v>
      </c>
      <c r="H1207" s="394">
        <v>2.6147035902787419</v>
      </c>
      <c r="I1207" s="394"/>
      <c r="J1207" s="392"/>
      <c r="K1207" s="392"/>
      <c r="L1207" s="392"/>
      <c r="M1207" s="392"/>
      <c r="N1207" s="392">
        <f t="shared" si="29"/>
        <v>2.6147035902787419</v>
      </c>
    </row>
    <row r="1208" spans="1:14" hidden="1" outlineLevel="2" x14ac:dyDescent="0.35">
      <c r="A1208" s="388" t="s">
        <v>4727</v>
      </c>
      <c r="B1208" s="389">
        <v>44467</v>
      </c>
      <c r="C1208" s="390" t="s">
        <v>4568</v>
      </c>
      <c r="D1208" s="391" t="s">
        <v>4569</v>
      </c>
      <c r="E1208" s="391" t="s">
        <v>4563</v>
      </c>
      <c r="F1208" s="392">
        <v>1171171.17</v>
      </c>
      <c r="G1208" s="393" t="s">
        <v>3800</v>
      </c>
      <c r="H1208" s="394">
        <v>435.78393171312365</v>
      </c>
      <c r="I1208" s="394"/>
      <c r="J1208" s="392"/>
      <c r="K1208" s="392"/>
      <c r="L1208" s="392"/>
      <c r="M1208" s="392"/>
      <c r="N1208" s="392">
        <f t="shared" si="29"/>
        <v>435.78393171312365</v>
      </c>
    </row>
    <row r="1209" spans="1:14" hidden="1" outlineLevel="2" x14ac:dyDescent="0.35">
      <c r="A1209" s="388" t="s">
        <v>4727</v>
      </c>
      <c r="B1209" s="389">
        <v>44467</v>
      </c>
      <c r="C1209" s="390" t="s">
        <v>4570</v>
      </c>
      <c r="D1209" s="391" t="s">
        <v>4571</v>
      </c>
      <c r="E1209" s="391" t="s">
        <v>4272</v>
      </c>
      <c r="F1209" s="392">
        <v>117117.117</v>
      </c>
      <c r="G1209" s="393" t="s">
        <v>3800</v>
      </c>
      <c r="H1209" s="394">
        <v>43.578393171312371</v>
      </c>
      <c r="I1209" s="394"/>
      <c r="J1209" s="392"/>
      <c r="K1209" s="392"/>
      <c r="L1209" s="392"/>
      <c r="M1209" s="392"/>
      <c r="N1209" s="392">
        <f t="shared" si="29"/>
        <v>43.578393171312371</v>
      </c>
    </row>
    <row r="1210" spans="1:14" hidden="1" outlineLevel="2" x14ac:dyDescent="0.35">
      <c r="A1210" s="388" t="s">
        <v>4727</v>
      </c>
      <c r="B1210" s="389">
        <v>44467</v>
      </c>
      <c r="C1210" s="390" t="s">
        <v>4572</v>
      </c>
      <c r="D1210" s="391" t="s">
        <v>4573</v>
      </c>
      <c r="E1210" s="391" t="s">
        <v>4042</v>
      </c>
      <c r="F1210" s="392">
        <v>7027.0270199999995</v>
      </c>
      <c r="G1210" s="393" t="s">
        <v>3800</v>
      </c>
      <c r="H1210" s="394">
        <v>2.6147035902787419</v>
      </c>
      <c r="I1210" s="394"/>
      <c r="J1210" s="392"/>
      <c r="K1210" s="392"/>
      <c r="L1210" s="392"/>
      <c r="M1210" s="392"/>
      <c r="N1210" s="392">
        <f t="shared" si="29"/>
        <v>2.6147035902787419</v>
      </c>
    </row>
    <row r="1211" spans="1:14" hidden="1" outlineLevel="2" x14ac:dyDescent="0.35">
      <c r="A1211" s="388" t="s">
        <v>4727</v>
      </c>
      <c r="B1211" s="389">
        <v>44467</v>
      </c>
      <c r="C1211" s="390" t="s">
        <v>4568</v>
      </c>
      <c r="D1211" s="391" t="s">
        <v>4569</v>
      </c>
      <c r="E1211" s="391" t="s">
        <v>4563</v>
      </c>
      <c r="F1211" s="392">
        <v>1171171.17</v>
      </c>
      <c r="G1211" s="393" t="s">
        <v>3800</v>
      </c>
      <c r="H1211" s="394">
        <v>435.78393171312365</v>
      </c>
      <c r="I1211" s="394"/>
      <c r="J1211" s="392"/>
      <c r="K1211" s="392"/>
      <c r="L1211" s="392"/>
      <c r="M1211" s="392"/>
      <c r="N1211" s="392">
        <f t="shared" si="29"/>
        <v>435.78393171312365</v>
      </c>
    </row>
    <row r="1212" spans="1:14" hidden="1" outlineLevel="2" x14ac:dyDescent="0.35">
      <c r="A1212" s="388" t="s">
        <v>4727</v>
      </c>
      <c r="B1212" s="389">
        <v>44467</v>
      </c>
      <c r="C1212" s="390" t="s">
        <v>4570</v>
      </c>
      <c r="D1212" s="391" t="s">
        <v>4571</v>
      </c>
      <c r="E1212" s="391" t="s">
        <v>4272</v>
      </c>
      <c r="F1212" s="392">
        <v>117117.117</v>
      </c>
      <c r="G1212" s="393" t="s">
        <v>3800</v>
      </c>
      <c r="H1212" s="394">
        <v>43.578393171312371</v>
      </c>
      <c r="I1212" s="394"/>
      <c r="J1212" s="392"/>
      <c r="K1212" s="392"/>
      <c r="L1212" s="392"/>
      <c r="M1212" s="392"/>
      <c r="N1212" s="392">
        <f t="shared" si="29"/>
        <v>43.578393171312371</v>
      </c>
    </row>
    <row r="1213" spans="1:14" hidden="1" outlineLevel="2" x14ac:dyDescent="0.35">
      <c r="A1213" s="388" t="s">
        <v>4727</v>
      </c>
      <c r="B1213" s="389">
        <v>44467</v>
      </c>
      <c r="C1213" s="390" t="s">
        <v>4572</v>
      </c>
      <c r="D1213" s="391" t="s">
        <v>4573</v>
      </c>
      <c r="E1213" s="391" t="s">
        <v>4042</v>
      </c>
      <c r="F1213" s="392">
        <v>7027.0270199999995</v>
      </c>
      <c r="G1213" s="393" t="s">
        <v>3800</v>
      </c>
      <c r="H1213" s="394">
        <v>2.6147035902787419</v>
      </c>
      <c r="I1213" s="394"/>
      <c r="J1213" s="392"/>
      <c r="K1213" s="392"/>
      <c r="L1213" s="392"/>
      <c r="M1213" s="392"/>
      <c r="N1213" s="392">
        <f t="shared" si="29"/>
        <v>2.6147035902787419</v>
      </c>
    </row>
    <row r="1214" spans="1:14" hidden="1" outlineLevel="2" x14ac:dyDescent="0.35">
      <c r="A1214" s="388" t="s">
        <v>4727</v>
      </c>
      <c r="B1214" s="389">
        <v>44497</v>
      </c>
      <c r="C1214" s="390" t="s">
        <v>4574</v>
      </c>
      <c r="D1214" s="391" t="s">
        <v>4575</v>
      </c>
      <c r="E1214" s="391" t="s">
        <v>4730</v>
      </c>
      <c r="F1214" s="392">
        <v>1171171.17</v>
      </c>
      <c r="G1214" s="393" t="s">
        <v>3800</v>
      </c>
      <c r="H1214" s="394">
        <v>435.78393171312365</v>
      </c>
      <c r="I1214" s="394"/>
      <c r="J1214" s="392"/>
      <c r="K1214" s="392"/>
      <c r="L1214" s="392"/>
      <c r="M1214" s="392"/>
      <c r="N1214" s="392">
        <f t="shared" si="29"/>
        <v>435.78393171312365</v>
      </c>
    </row>
    <row r="1215" spans="1:14" hidden="1" outlineLevel="2" x14ac:dyDescent="0.35">
      <c r="A1215" s="388" t="s">
        <v>4727</v>
      </c>
      <c r="B1215" s="389">
        <v>44497</v>
      </c>
      <c r="C1215" s="390" t="s">
        <v>4576</v>
      </c>
      <c r="D1215" s="391" t="s">
        <v>4577</v>
      </c>
      <c r="E1215" s="391" t="s">
        <v>4272</v>
      </c>
      <c r="F1215" s="392">
        <v>117117.117</v>
      </c>
      <c r="G1215" s="393" t="s">
        <v>3800</v>
      </c>
      <c r="H1215" s="394">
        <v>43.578393171312371</v>
      </c>
      <c r="I1215" s="394"/>
      <c r="J1215" s="392"/>
      <c r="K1215" s="392"/>
      <c r="L1215" s="392"/>
      <c r="M1215" s="392"/>
      <c r="N1215" s="392">
        <f t="shared" si="29"/>
        <v>43.578393171312371</v>
      </c>
    </row>
    <row r="1216" spans="1:14" hidden="1" outlineLevel="2" x14ac:dyDescent="0.35">
      <c r="A1216" s="388" t="s">
        <v>4727</v>
      </c>
      <c r="B1216" s="389">
        <v>44497</v>
      </c>
      <c r="C1216" s="390" t="s">
        <v>4578</v>
      </c>
      <c r="D1216" s="391" t="s">
        <v>4579</v>
      </c>
      <c r="E1216" s="391" t="s">
        <v>4042</v>
      </c>
      <c r="F1216" s="392">
        <v>7027.0270199999995</v>
      </c>
      <c r="G1216" s="393" t="s">
        <v>3800</v>
      </c>
      <c r="H1216" s="394">
        <v>2.6147035902787419</v>
      </c>
      <c r="I1216" s="394"/>
      <c r="J1216" s="392"/>
      <c r="K1216" s="392"/>
      <c r="L1216" s="392"/>
      <c r="M1216" s="392"/>
      <c r="N1216" s="392">
        <f t="shared" si="29"/>
        <v>2.6147035902787419</v>
      </c>
    </row>
    <row r="1217" spans="1:14" hidden="1" outlineLevel="2" x14ac:dyDescent="0.35">
      <c r="A1217" s="388" t="s">
        <v>4727</v>
      </c>
      <c r="B1217" s="389">
        <v>44497</v>
      </c>
      <c r="C1217" s="390" t="s">
        <v>4574</v>
      </c>
      <c r="D1217" s="391" t="s">
        <v>4575</v>
      </c>
      <c r="E1217" s="391"/>
      <c r="F1217" s="392">
        <v>1171171.17</v>
      </c>
      <c r="G1217" s="393" t="s">
        <v>3800</v>
      </c>
      <c r="H1217" s="394">
        <v>435.78393171312365</v>
      </c>
      <c r="I1217" s="394"/>
      <c r="J1217" s="392"/>
      <c r="K1217" s="392"/>
      <c r="L1217" s="392"/>
      <c r="M1217" s="392"/>
      <c r="N1217" s="392">
        <f t="shared" si="29"/>
        <v>435.78393171312365</v>
      </c>
    </row>
    <row r="1218" spans="1:14" hidden="1" outlineLevel="2" x14ac:dyDescent="0.35">
      <c r="A1218" s="388" t="s">
        <v>4727</v>
      </c>
      <c r="B1218" s="389">
        <v>44497</v>
      </c>
      <c r="C1218" s="390" t="s">
        <v>4576</v>
      </c>
      <c r="D1218" s="391" t="s">
        <v>4577</v>
      </c>
      <c r="E1218" s="391" t="s">
        <v>4272</v>
      </c>
      <c r="F1218" s="392">
        <v>117117.117</v>
      </c>
      <c r="G1218" s="393" t="s">
        <v>3800</v>
      </c>
      <c r="H1218" s="394">
        <v>43.578393171312371</v>
      </c>
      <c r="I1218" s="394"/>
      <c r="J1218" s="392"/>
      <c r="K1218" s="392"/>
      <c r="L1218" s="392"/>
      <c r="M1218" s="392"/>
      <c r="N1218" s="392">
        <f t="shared" si="29"/>
        <v>43.578393171312371</v>
      </c>
    </row>
    <row r="1219" spans="1:14" hidden="1" outlineLevel="2" x14ac:dyDescent="0.35">
      <c r="A1219" s="388" t="s">
        <v>4727</v>
      </c>
      <c r="B1219" s="389">
        <v>44497</v>
      </c>
      <c r="C1219" s="390" t="s">
        <v>4578</v>
      </c>
      <c r="D1219" s="391" t="s">
        <v>4579</v>
      </c>
      <c r="E1219" s="391" t="s">
        <v>4042</v>
      </c>
      <c r="F1219" s="392">
        <v>7027.0270199999995</v>
      </c>
      <c r="G1219" s="393" t="s">
        <v>3800</v>
      </c>
      <c r="H1219" s="394">
        <v>2.6147035902787419</v>
      </c>
      <c r="I1219" s="394"/>
      <c r="J1219" s="392"/>
      <c r="K1219" s="392"/>
      <c r="L1219" s="392"/>
      <c r="M1219" s="392"/>
      <c r="N1219" s="392">
        <f t="shared" si="29"/>
        <v>2.6147035902787419</v>
      </c>
    </row>
    <row r="1220" spans="1:14" hidden="1" outlineLevel="2" x14ac:dyDescent="0.35">
      <c r="A1220" s="388" t="s">
        <v>4727</v>
      </c>
      <c r="B1220" s="389">
        <v>44525</v>
      </c>
      <c r="C1220" s="390" t="s">
        <v>4580</v>
      </c>
      <c r="D1220" s="391" t="s">
        <v>4581</v>
      </c>
      <c r="E1220" s="391" t="s">
        <v>4730</v>
      </c>
      <c r="F1220" s="392">
        <v>1171171.17</v>
      </c>
      <c r="G1220" s="393" t="s">
        <v>3800</v>
      </c>
      <c r="H1220" s="394">
        <v>435.78393171312365</v>
      </c>
      <c r="I1220" s="394"/>
      <c r="J1220" s="392"/>
      <c r="K1220" s="392"/>
      <c r="L1220" s="392"/>
      <c r="M1220" s="392"/>
      <c r="N1220" s="392">
        <f t="shared" si="29"/>
        <v>435.78393171312365</v>
      </c>
    </row>
    <row r="1221" spans="1:14" hidden="1" outlineLevel="2" x14ac:dyDescent="0.35">
      <c r="A1221" s="388" t="s">
        <v>4727</v>
      </c>
      <c r="B1221" s="389">
        <v>44525</v>
      </c>
      <c r="C1221" s="390" t="s">
        <v>4582</v>
      </c>
      <c r="D1221" s="391" t="s">
        <v>4583</v>
      </c>
      <c r="E1221" s="391" t="s">
        <v>4272</v>
      </c>
      <c r="F1221" s="392">
        <v>117117.117</v>
      </c>
      <c r="G1221" s="393" t="s">
        <v>3800</v>
      </c>
      <c r="H1221" s="394">
        <v>43.578393171312371</v>
      </c>
      <c r="I1221" s="394"/>
      <c r="J1221" s="392"/>
      <c r="K1221" s="392"/>
      <c r="L1221" s="392"/>
      <c r="M1221" s="392"/>
      <c r="N1221" s="392">
        <f t="shared" si="29"/>
        <v>43.578393171312371</v>
      </c>
    </row>
    <row r="1222" spans="1:14" hidden="1" outlineLevel="2" x14ac:dyDescent="0.35">
      <c r="A1222" s="388" t="s">
        <v>4727</v>
      </c>
      <c r="B1222" s="389">
        <v>44525</v>
      </c>
      <c r="C1222" s="390" t="s">
        <v>4584</v>
      </c>
      <c r="D1222" s="391" t="s">
        <v>4585</v>
      </c>
      <c r="E1222" s="391" t="s">
        <v>4042</v>
      </c>
      <c r="F1222" s="392">
        <v>7027.0270199999995</v>
      </c>
      <c r="G1222" s="393" t="s">
        <v>3800</v>
      </c>
      <c r="H1222" s="394">
        <v>2.6147035902787419</v>
      </c>
      <c r="I1222" s="394"/>
      <c r="J1222" s="392"/>
      <c r="K1222" s="392"/>
      <c r="L1222" s="392"/>
      <c r="M1222" s="392"/>
      <c r="N1222" s="392">
        <f t="shared" si="29"/>
        <v>2.6147035902787419</v>
      </c>
    </row>
    <row r="1223" spans="1:14" hidden="1" outlineLevel="2" collapsed="1" x14ac:dyDescent="0.35">
      <c r="A1223" s="388" t="s">
        <v>4727</v>
      </c>
      <c r="B1223" s="389">
        <v>44525</v>
      </c>
      <c r="C1223" s="390" t="s">
        <v>4580</v>
      </c>
      <c r="D1223" s="391" t="s">
        <v>4581</v>
      </c>
      <c r="E1223" s="391" t="s">
        <v>4729</v>
      </c>
      <c r="F1223" s="392">
        <v>1171171.17</v>
      </c>
      <c r="G1223" s="393" t="s">
        <v>3800</v>
      </c>
      <c r="H1223" s="394">
        <v>435.78393171312365</v>
      </c>
      <c r="I1223" s="394"/>
      <c r="J1223" s="392"/>
      <c r="K1223" s="392"/>
      <c r="L1223" s="392"/>
      <c r="M1223" s="392"/>
      <c r="N1223" s="392">
        <f t="shared" si="29"/>
        <v>435.78393171312365</v>
      </c>
    </row>
    <row r="1224" spans="1:14" hidden="1" outlineLevel="2" x14ac:dyDescent="0.35">
      <c r="A1224" s="388" t="s">
        <v>4727</v>
      </c>
      <c r="B1224" s="389">
        <v>44525</v>
      </c>
      <c r="C1224" s="390" t="s">
        <v>4582</v>
      </c>
      <c r="D1224" s="391" t="s">
        <v>4583</v>
      </c>
      <c r="E1224" s="391" t="s">
        <v>4272</v>
      </c>
      <c r="F1224" s="392">
        <v>117117.117</v>
      </c>
      <c r="G1224" s="393" t="s">
        <v>3800</v>
      </c>
      <c r="H1224" s="394">
        <v>43.578393171312371</v>
      </c>
      <c r="I1224" s="394"/>
      <c r="J1224" s="392"/>
      <c r="K1224" s="392"/>
      <c r="L1224" s="392"/>
      <c r="M1224" s="392"/>
      <c r="N1224" s="392">
        <f t="shared" si="29"/>
        <v>43.578393171312371</v>
      </c>
    </row>
    <row r="1225" spans="1:14" hidden="1" outlineLevel="2" x14ac:dyDescent="0.35">
      <c r="A1225" s="388" t="s">
        <v>4727</v>
      </c>
      <c r="B1225" s="389">
        <v>44525</v>
      </c>
      <c r="C1225" s="390" t="s">
        <v>4584</v>
      </c>
      <c r="D1225" s="391" t="s">
        <v>4585</v>
      </c>
      <c r="E1225" s="391" t="s">
        <v>4042</v>
      </c>
      <c r="F1225" s="392">
        <v>7027.0270199999995</v>
      </c>
      <c r="G1225" s="393" t="s">
        <v>3800</v>
      </c>
      <c r="H1225" s="394">
        <v>2.6147035902787419</v>
      </c>
      <c r="I1225" s="394"/>
      <c r="J1225" s="392"/>
      <c r="K1225" s="392"/>
      <c r="L1225" s="392"/>
      <c r="M1225" s="392"/>
      <c r="N1225" s="392">
        <f t="shared" si="29"/>
        <v>2.6147035902787419</v>
      </c>
    </row>
    <row r="1226" spans="1:14" hidden="1" outlineLevel="2" x14ac:dyDescent="0.35">
      <c r="A1226" s="388" t="s">
        <v>4727</v>
      </c>
      <c r="B1226" s="389">
        <v>44547</v>
      </c>
      <c r="C1226" s="390" t="s">
        <v>4586</v>
      </c>
      <c r="D1226" s="391" t="s">
        <v>4587</v>
      </c>
      <c r="E1226" s="391" t="s">
        <v>4730</v>
      </c>
      <c r="F1226" s="392">
        <v>1171171.17</v>
      </c>
      <c r="G1226" s="393" t="s">
        <v>3800</v>
      </c>
      <c r="H1226" s="394">
        <v>435.78393171312365</v>
      </c>
      <c r="I1226" s="394"/>
      <c r="J1226" s="392"/>
      <c r="K1226" s="392"/>
      <c r="L1226" s="392"/>
      <c r="M1226" s="392"/>
      <c r="N1226" s="392">
        <f t="shared" si="29"/>
        <v>435.78393171312365</v>
      </c>
    </row>
    <row r="1227" spans="1:14" hidden="1" outlineLevel="2" x14ac:dyDescent="0.35">
      <c r="A1227" s="388" t="s">
        <v>4727</v>
      </c>
      <c r="B1227" s="389">
        <v>44547</v>
      </c>
      <c r="C1227" s="390" t="s">
        <v>4588</v>
      </c>
      <c r="D1227" s="391" t="s">
        <v>4589</v>
      </c>
      <c r="E1227" s="391" t="s">
        <v>4272</v>
      </c>
      <c r="F1227" s="392">
        <v>117117.117</v>
      </c>
      <c r="G1227" s="393" t="s">
        <v>3800</v>
      </c>
      <c r="H1227" s="394">
        <v>43.578393171312371</v>
      </c>
      <c r="I1227" s="394"/>
      <c r="J1227" s="392"/>
      <c r="K1227" s="392"/>
      <c r="L1227" s="392"/>
      <c r="M1227" s="392"/>
      <c r="N1227" s="392">
        <f t="shared" ref="N1227:N1231" si="30">H1227</f>
        <v>43.578393171312371</v>
      </c>
    </row>
    <row r="1228" spans="1:14" hidden="1" outlineLevel="2" x14ac:dyDescent="0.35">
      <c r="A1228" s="388" t="s">
        <v>4727</v>
      </c>
      <c r="B1228" s="389">
        <v>44547</v>
      </c>
      <c r="C1228" s="390" t="s">
        <v>4590</v>
      </c>
      <c r="D1228" s="391" t="s">
        <v>4591</v>
      </c>
      <c r="E1228" s="391" t="s">
        <v>4042</v>
      </c>
      <c r="F1228" s="392">
        <v>7027.0270199999995</v>
      </c>
      <c r="G1228" s="393" t="s">
        <v>3800</v>
      </c>
      <c r="H1228" s="394">
        <v>2.6147035902787419</v>
      </c>
      <c r="I1228" s="394"/>
      <c r="J1228" s="392"/>
      <c r="K1228" s="392"/>
      <c r="L1228" s="392"/>
      <c r="M1228" s="392"/>
      <c r="N1228" s="392">
        <f t="shared" si="30"/>
        <v>2.6147035902787419</v>
      </c>
    </row>
    <row r="1229" spans="1:14" hidden="1" outlineLevel="2" x14ac:dyDescent="0.35">
      <c r="A1229" s="388" t="s">
        <v>4727</v>
      </c>
      <c r="B1229" s="389">
        <v>44547</v>
      </c>
      <c r="C1229" s="390" t="s">
        <v>4586</v>
      </c>
      <c r="D1229" s="391" t="s">
        <v>4587</v>
      </c>
      <c r="E1229" s="391" t="s">
        <v>4729</v>
      </c>
      <c r="F1229" s="392">
        <v>1171171.17</v>
      </c>
      <c r="G1229" s="393" t="s">
        <v>3800</v>
      </c>
      <c r="H1229" s="394">
        <v>435.78393171312365</v>
      </c>
      <c r="I1229" s="394"/>
      <c r="J1229" s="392"/>
      <c r="K1229" s="392"/>
      <c r="L1229" s="392"/>
      <c r="M1229" s="392"/>
      <c r="N1229" s="392">
        <f t="shared" si="30"/>
        <v>435.78393171312365</v>
      </c>
    </row>
    <row r="1230" spans="1:14" hidden="1" outlineLevel="2" x14ac:dyDescent="0.35">
      <c r="A1230" s="388" t="s">
        <v>4727</v>
      </c>
      <c r="B1230" s="389">
        <v>44547</v>
      </c>
      <c r="C1230" s="390" t="s">
        <v>4588</v>
      </c>
      <c r="D1230" s="391" t="s">
        <v>4589</v>
      </c>
      <c r="E1230" s="391" t="s">
        <v>4272</v>
      </c>
      <c r="F1230" s="392">
        <v>117117.117</v>
      </c>
      <c r="G1230" s="393" t="s">
        <v>3800</v>
      </c>
      <c r="H1230" s="394">
        <v>43.578393171312371</v>
      </c>
      <c r="I1230" s="394"/>
      <c r="J1230" s="392"/>
      <c r="K1230" s="392"/>
      <c r="L1230" s="392"/>
      <c r="M1230" s="392"/>
      <c r="N1230" s="392">
        <f t="shared" si="30"/>
        <v>43.578393171312371</v>
      </c>
    </row>
    <row r="1231" spans="1:14" hidden="1" outlineLevel="2" x14ac:dyDescent="0.35">
      <c r="A1231" s="388" t="s">
        <v>4727</v>
      </c>
      <c r="B1231" s="389">
        <v>44547</v>
      </c>
      <c r="C1231" s="390" t="s">
        <v>4590</v>
      </c>
      <c r="D1231" s="391" t="s">
        <v>4591</v>
      </c>
      <c r="E1231" s="391" t="s">
        <v>4042</v>
      </c>
      <c r="F1231" s="392">
        <v>7027.0270199999995</v>
      </c>
      <c r="G1231" s="393" t="s">
        <v>3800</v>
      </c>
      <c r="H1231" s="394">
        <v>2.6147035902787419</v>
      </c>
      <c r="I1231" s="394"/>
      <c r="J1231" s="392"/>
      <c r="K1231" s="392"/>
      <c r="L1231" s="392"/>
      <c r="M1231" s="392"/>
      <c r="N1231" s="392">
        <f t="shared" si="30"/>
        <v>2.6147035902787419</v>
      </c>
    </row>
    <row r="1232" spans="1:14" hidden="1" outlineLevel="2" x14ac:dyDescent="0.35">
      <c r="A1232" s="388" t="s">
        <v>4727</v>
      </c>
      <c r="B1232" s="389">
        <v>44587</v>
      </c>
      <c r="C1232" s="390" t="s">
        <v>4592</v>
      </c>
      <c r="D1232" s="391" t="s">
        <v>4593</v>
      </c>
      <c r="E1232" s="391" t="s">
        <v>4730</v>
      </c>
      <c r="F1232" s="392">
        <v>1171171.17</v>
      </c>
      <c r="G1232" s="393" t="s">
        <v>3800</v>
      </c>
      <c r="H1232" s="394">
        <v>435.78393171312365</v>
      </c>
      <c r="I1232" s="394"/>
      <c r="J1232" s="392"/>
      <c r="K1232" s="392"/>
      <c r="L1232" s="392"/>
      <c r="M1232" s="392"/>
      <c r="N1232" s="392">
        <v>435.78393171312365</v>
      </c>
    </row>
    <row r="1233" spans="1:14" hidden="1" outlineLevel="2" x14ac:dyDescent="0.35">
      <c r="A1233" s="388" t="s">
        <v>4727</v>
      </c>
      <c r="B1233" s="389">
        <v>44587</v>
      </c>
      <c r="C1233" s="390" t="s">
        <v>4594</v>
      </c>
      <c r="D1233" s="391" t="s">
        <v>4595</v>
      </c>
      <c r="E1233" s="391" t="s">
        <v>4272</v>
      </c>
      <c r="F1233" s="392">
        <v>117117.117</v>
      </c>
      <c r="G1233" s="393" t="s">
        <v>3800</v>
      </c>
      <c r="H1233" s="394">
        <v>43.578393171312371</v>
      </c>
      <c r="I1233" s="394"/>
      <c r="J1233" s="392"/>
      <c r="K1233" s="392"/>
      <c r="L1233" s="392"/>
      <c r="M1233" s="392"/>
      <c r="N1233" s="392">
        <v>43.578393171312371</v>
      </c>
    </row>
    <row r="1234" spans="1:14" hidden="1" outlineLevel="2" collapsed="1" x14ac:dyDescent="0.35">
      <c r="A1234" s="388" t="s">
        <v>4727</v>
      </c>
      <c r="B1234" s="389">
        <v>44587</v>
      </c>
      <c r="C1234" s="390" t="s">
        <v>4596</v>
      </c>
      <c r="D1234" s="391" t="s">
        <v>4597</v>
      </c>
      <c r="E1234" s="391" t="s">
        <v>4042</v>
      </c>
      <c r="F1234" s="392">
        <v>7027.0270199999995</v>
      </c>
      <c r="G1234" s="393" t="s">
        <v>3800</v>
      </c>
      <c r="H1234" s="394">
        <v>2.6147035902787419</v>
      </c>
      <c r="I1234" s="394"/>
      <c r="J1234" s="392"/>
      <c r="K1234" s="392"/>
      <c r="L1234" s="392"/>
      <c r="M1234" s="392"/>
      <c r="N1234" s="392">
        <v>2.6147035902787419</v>
      </c>
    </row>
    <row r="1235" spans="1:14" hidden="1" outlineLevel="2" x14ac:dyDescent="0.35">
      <c r="A1235" s="388" t="s">
        <v>4727</v>
      </c>
      <c r="B1235" s="389">
        <v>44587</v>
      </c>
      <c r="C1235" s="390" t="s">
        <v>4592</v>
      </c>
      <c r="D1235" s="391" t="s">
        <v>4593</v>
      </c>
      <c r="E1235" s="391" t="s">
        <v>4729</v>
      </c>
      <c r="F1235" s="392">
        <v>1171171.17</v>
      </c>
      <c r="G1235" s="393" t="s">
        <v>3800</v>
      </c>
      <c r="H1235" s="394">
        <v>435.78393171312365</v>
      </c>
      <c r="I1235" s="394"/>
      <c r="J1235" s="392"/>
      <c r="K1235" s="392"/>
      <c r="L1235" s="392"/>
      <c r="M1235" s="392"/>
      <c r="N1235" s="392">
        <v>435.78393171312365</v>
      </c>
    </row>
    <row r="1236" spans="1:14" hidden="1" outlineLevel="2" x14ac:dyDescent="0.35">
      <c r="A1236" s="388" t="s">
        <v>4727</v>
      </c>
      <c r="B1236" s="389">
        <v>44587</v>
      </c>
      <c r="C1236" s="390" t="s">
        <v>4594</v>
      </c>
      <c r="D1236" s="391" t="s">
        <v>4595</v>
      </c>
      <c r="E1236" s="391" t="s">
        <v>4272</v>
      </c>
      <c r="F1236" s="392">
        <v>117117.117</v>
      </c>
      <c r="G1236" s="393" t="s">
        <v>3800</v>
      </c>
      <c r="H1236" s="394">
        <v>43.578393171312371</v>
      </c>
      <c r="I1236" s="394"/>
      <c r="J1236" s="392"/>
      <c r="K1236" s="392"/>
      <c r="L1236" s="392"/>
      <c r="M1236" s="392"/>
      <c r="N1236" s="392">
        <v>43.578393171312371</v>
      </c>
    </row>
    <row r="1237" spans="1:14" hidden="1" outlineLevel="2" x14ac:dyDescent="0.35">
      <c r="A1237" s="388" t="s">
        <v>4727</v>
      </c>
      <c r="B1237" s="389">
        <v>44587</v>
      </c>
      <c r="C1237" s="390" t="s">
        <v>4596</v>
      </c>
      <c r="D1237" s="391" t="s">
        <v>4597</v>
      </c>
      <c r="E1237" s="391" t="s">
        <v>4042</v>
      </c>
      <c r="F1237" s="392">
        <v>7027.0270199999995</v>
      </c>
      <c r="G1237" s="393" t="s">
        <v>3800</v>
      </c>
      <c r="H1237" s="394">
        <v>2.6147035902787419</v>
      </c>
      <c r="I1237" s="394"/>
      <c r="J1237" s="392"/>
      <c r="K1237" s="392"/>
      <c r="L1237" s="392"/>
      <c r="M1237" s="392"/>
      <c r="N1237" s="392">
        <v>2.6147035902787419</v>
      </c>
    </row>
    <row r="1238" spans="1:14" outlineLevel="1" collapsed="1" x14ac:dyDescent="0.35">
      <c r="A1238" s="395" t="s">
        <v>4731</v>
      </c>
      <c r="B1238" s="389"/>
      <c r="C1238" s="390"/>
      <c r="D1238" s="391"/>
      <c r="E1238" s="391"/>
      <c r="F1238" s="392"/>
      <c r="G1238" s="393"/>
      <c r="H1238" s="394">
        <f t="shared" ref="H1238:N1238" si="31">SUBTOTAL(9,H1163:H1237)</f>
        <v>11690.18220580327</v>
      </c>
      <c r="I1238" s="394"/>
      <c r="J1238" s="392">
        <f t="shared" si="31"/>
        <v>0</v>
      </c>
      <c r="K1238" s="392">
        <f t="shared" si="31"/>
        <v>0</v>
      </c>
      <c r="L1238" s="392">
        <f t="shared" si="31"/>
        <v>0</v>
      </c>
      <c r="M1238" s="392">
        <f t="shared" si="31"/>
        <v>0</v>
      </c>
      <c r="N1238" s="392">
        <f t="shared" si="31"/>
        <v>11690.18220580327</v>
      </c>
    </row>
    <row r="1239" spans="1:14" hidden="1" outlineLevel="2" x14ac:dyDescent="0.35">
      <c r="A1239" s="388" t="s">
        <v>3841</v>
      </c>
      <c r="B1239" s="389">
        <v>43843</v>
      </c>
      <c r="C1239" s="390" t="s">
        <v>4732</v>
      </c>
      <c r="D1239" s="391" t="s">
        <v>4733</v>
      </c>
      <c r="E1239" s="391" t="s">
        <v>4734</v>
      </c>
      <c r="F1239" s="392">
        <v>250000</v>
      </c>
      <c r="G1239" s="393" t="s">
        <v>3800</v>
      </c>
      <c r="H1239" s="394">
        <v>95.989143959685819</v>
      </c>
      <c r="I1239" s="394"/>
      <c r="J1239" s="392">
        <v>23.997285989921455</v>
      </c>
      <c r="K1239" s="392">
        <v>23.997285989921455</v>
      </c>
      <c r="L1239" s="392">
        <v>23.997285989921455</v>
      </c>
      <c r="M1239" s="392">
        <v>23.997285989921455</v>
      </c>
      <c r="N1239" s="392"/>
    </row>
    <row r="1240" spans="1:14" hidden="1" outlineLevel="2" x14ac:dyDescent="0.35">
      <c r="A1240" s="388" t="s">
        <v>3841</v>
      </c>
      <c r="B1240" s="389">
        <v>43868</v>
      </c>
      <c r="C1240" s="390" t="s">
        <v>4735</v>
      </c>
      <c r="D1240" s="391" t="s">
        <v>4736</v>
      </c>
      <c r="E1240" s="391" t="s">
        <v>4734</v>
      </c>
      <c r="F1240" s="392">
        <v>700000</v>
      </c>
      <c r="G1240" s="393" t="s">
        <v>3800</v>
      </c>
      <c r="H1240" s="394">
        <v>268.76960308712029</v>
      </c>
      <c r="I1240" s="394"/>
      <c r="J1240" s="392">
        <v>67.192400771780072</v>
      </c>
      <c r="K1240" s="392">
        <v>67.192400771780072</v>
      </c>
      <c r="L1240" s="392">
        <v>67.192400771780072</v>
      </c>
      <c r="M1240" s="392">
        <v>67.192400771780072</v>
      </c>
      <c r="N1240" s="392"/>
    </row>
    <row r="1241" spans="1:14" hidden="1" outlineLevel="2" x14ac:dyDescent="0.35">
      <c r="A1241" s="388" t="s">
        <v>3841</v>
      </c>
      <c r="B1241" s="389">
        <v>43895</v>
      </c>
      <c r="C1241" s="390" t="s">
        <v>4737</v>
      </c>
      <c r="D1241" s="391" t="s">
        <v>4738</v>
      </c>
      <c r="E1241" s="391" t="s">
        <v>4734</v>
      </c>
      <c r="F1241" s="392">
        <v>700000</v>
      </c>
      <c r="G1241" s="393" t="s">
        <v>3800</v>
      </c>
      <c r="H1241" s="394">
        <v>268.76960308712029</v>
      </c>
      <c r="I1241" s="394"/>
      <c r="J1241" s="392">
        <v>67.192400771780072</v>
      </c>
      <c r="K1241" s="392">
        <v>67.192400771780072</v>
      </c>
      <c r="L1241" s="392">
        <v>67.192400771780072</v>
      </c>
      <c r="M1241" s="392">
        <v>67.192400771780072</v>
      </c>
      <c r="N1241" s="392"/>
    </row>
    <row r="1242" spans="1:14" hidden="1" outlineLevel="2" x14ac:dyDescent="0.35">
      <c r="A1242" s="388" t="s">
        <v>3841</v>
      </c>
      <c r="B1242" s="389">
        <v>43913</v>
      </c>
      <c r="C1242" s="390" t="s">
        <v>4739</v>
      </c>
      <c r="D1242" s="391" t="s">
        <v>4740</v>
      </c>
      <c r="E1242" s="391" t="s">
        <v>4741</v>
      </c>
      <c r="F1242" s="392">
        <v>250000</v>
      </c>
      <c r="G1242" s="393" t="s">
        <v>3800</v>
      </c>
      <c r="H1242" s="394">
        <v>95.989143959685819</v>
      </c>
      <c r="I1242" s="394"/>
      <c r="J1242" s="392">
        <v>23.997285989921455</v>
      </c>
      <c r="K1242" s="392">
        <v>23.997285989921455</v>
      </c>
      <c r="L1242" s="392">
        <v>23.997285989921455</v>
      </c>
      <c r="M1242" s="392">
        <v>23.997285989921455</v>
      </c>
      <c r="N1242" s="392"/>
    </row>
    <row r="1243" spans="1:14" hidden="1" outlineLevel="2" x14ac:dyDescent="0.35">
      <c r="A1243" s="388" t="s">
        <v>3841</v>
      </c>
      <c r="B1243" s="389">
        <v>43923</v>
      </c>
      <c r="C1243" s="390" t="s">
        <v>4742</v>
      </c>
      <c r="D1243" s="391" t="s">
        <v>4743</v>
      </c>
      <c r="E1243" s="391" t="s">
        <v>4734</v>
      </c>
      <c r="F1243" s="392">
        <v>350000</v>
      </c>
      <c r="G1243" s="393" t="s">
        <v>3800</v>
      </c>
      <c r="H1243" s="394">
        <v>134.38480154356014</v>
      </c>
      <c r="I1243" s="394"/>
      <c r="J1243" s="392">
        <v>33.596200385890036</v>
      </c>
      <c r="K1243" s="392">
        <v>33.596200385890036</v>
      </c>
      <c r="L1243" s="392">
        <v>33.596200385890036</v>
      </c>
      <c r="M1243" s="392">
        <v>33.596200385890036</v>
      </c>
      <c r="N1243" s="392"/>
    </row>
    <row r="1244" spans="1:14" hidden="1" outlineLevel="2" x14ac:dyDescent="0.35">
      <c r="A1244" s="388" t="s">
        <v>3841</v>
      </c>
      <c r="B1244" s="389">
        <v>43963</v>
      </c>
      <c r="C1244" s="390" t="s">
        <v>4744</v>
      </c>
      <c r="D1244" s="391" t="s">
        <v>4745</v>
      </c>
      <c r="E1244" s="391" t="s">
        <v>4734</v>
      </c>
      <c r="F1244" s="392">
        <v>700000</v>
      </c>
      <c r="G1244" s="393" t="s">
        <v>3800</v>
      </c>
      <c r="H1244" s="394">
        <v>268.76960308712029</v>
      </c>
      <c r="I1244" s="394"/>
      <c r="J1244" s="392">
        <v>67.192400771780072</v>
      </c>
      <c r="K1244" s="392">
        <v>67.192400771780072</v>
      </c>
      <c r="L1244" s="392">
        <v>67.192400771780072</v>
      </c>
      <c r="M1244" s="392">
        <v>67.192400771780072</v>
      </c>
      <c r="N1244" s="392"/>
    </row>
    <row r="1245" spans="1:14" hidden="1" outlineLevel="2" collapsed="1" x14ac:dyDescent="0.35">
      <c r="A1245" s="388" t="s">
        <v>3841</v>
      </c>
      <c r="B1245" s="389">
        <v>43963</v>
      </c>
      <c r="C1245" s="390" t="s">
        <v>4192</v>
      </c>
      <c r="D1245" s="391" t="s">
        <v>4746</v>
      </c>
      <c r="E1245" s="391" t="s">
        <v>4734</v>
      </c>
      <c r="F1245" s="392">
        <v>700000</v>
      </c>
      <c r="G1245" s="393" t="s">
        <v>3800</v>
      </c>
      <c r="H1245" s="394">
        <v>268.76960308712029</v>
      </c>
      <c r="I1245" s="394"/>
      <c r="J1245" s="392">
        <v>67.192400771780072</v>
      </c>
      <c r="K1245" s="392">
        <v>67.192400771780072</v>
      </c>
      <c r="L1245" s="392">
        <v>67.192400771780072</v>
      </c>
      <c r="M1245" s="392">
        <v>67.192400771780072</v>
      </c>
      <c r="N1245" s="392"/>
    </row>
    <row r="1246" spans="1:14" hidden="1" outlineLevel="2" x14ac:dyDescent="0.35">
      <c r="A1246" s="388" t="s">
        <v>3841</v>
      </c>
      <c r="B1246" s="389">
        <v>44018</v>
      </c>
      <c r="C1246" s="390" t="s">
        <v>4747</v>
      </c>
      <c r="D1246" s="391" t="s">
        <v>4748</v>
      </c>
      <c r="E1246" s="391" t="s">
        <v>4749</v>
      </c>
      <c r="F1246" s="392">
        <v>700000</v>
      </c>
      <c r="G1246" s="393" t="s">
        <v>3800</v>
      </c>
      <c r="H1246" s="394">
        <v>268.76960308712029</v>
      </c>
      <c r="I1246" s="394"/>
      <c r="J1246" s="392">
        <v>67.192400771780072</v>
      </c>
      <c r="K1246" s="392">
        <v>67.192400771780072</v>
      </c>
      <c r="L1246" s="392">
        <v>67.192400771780072</v>
      </c>
      <c r="M1246" s="392">
        <v>67.192400771780072</v>
      </c>
      <c r="N1246" s="392"/>
    </row>
    <row r="1247" spans="1:14" hidden="1" outlineLevel="2" x14ac:dyDescent="0.35">
      <c r="A1247" s="388" t="s">
        <v>3841</v>
      </c>
      <c r="B1247" s="389">
        <v>44059</v>
      </c>
      <c r="C1247" s="390" t="s">
        <v>4750</v>
      </c>
      <c r="D1247" s="391" t="s">
        <v>4751</v>
      </c>
      <c r="E1247" s="391" t="s">
        <v>4749</v>
      </c>
      <c r="F1247" s="392">
        <v>700000</v>
      </c>
      <c r="G1247" s="393" t="s">
        <v>3800</v>
      </c>
      <c r="H1247" s="394">
        <v>268.76960308712029</v>
      </c>
      <c r="I1247" s="394"/>
      <c r="J1247" s="392">
        <v>67.192400771780072</v>
      </c>
      <c r="K1247" s="392">
        <v>67.192400771780072</v>
      </c>
      <c r="L1247" s="392">
        <v>67.192400771780072</v>
      </c>
      <c r="M1247" s="392">
        <v>67.192400771780072</v>
      </c>
      <c r="N1247" s="392"/>
    </row>
    <row r="1248" spans="1:14" hidden="1" outlineLevel="2" x14ac:dyDescent="0.35">
      <c r="A1248" s="388" t="s">
        <v>3841</v>
      </c>
      <c r="B1248" s="389">
        <v>44081</v>
      </c>
      <c r="C1248" s="390" t="s">
        <v>4752</v>
      </c>
      <c r="D1248" s="391" t="s">
        <v>4753</v>
      </c>
      <c r="E1248" s="391" t="s">
        <v>4749</v>
      </c>
      <c r="F1248" s="392">
        <v>700000</v>
      </c>
      <c r="G1248" s="393" t="s">
        <v>3800</v>
      </c>
      <c r="H1248" s="394">
        <v>268.76960308712029</v>
      </c>
      <c r="I1248" s="394"/>
      <c r="J1248" s="392">
        <v>67.192400771780072</v>
      </c>
      <c r="K1248" s="392">
        <v>67.192400771780072</v>
      </c>
      <c r="L1248" s="392">
        <v>67.192400771780072</v>
      </c>
      <c r="M1248" s="392">
        <v>67.192400771780072</v>
      </c>
      <c r="N1248" s="392"/>
    </row>
    <row r="1249" spans="1:14" hidden="1" outlineLevel="2" x14ac:dyDescent="0.35">
      <c r="A1249" s="388" t="s">
        <v>3841</v>
      </c>
      <c r="B1249" s="389">
        <v>44106</v>
      </c>
      <c r="C1249" s="390" t="s">
        <v>4754</v>
      </c>
      <c r="D1249" s="391" t="s">
        <v>4755</v>
      </c>
      <c r="E1249" s="391" t="s">
        <v>4749</v>
      </c>
      <c r="F1249" s="392">
        <v>700000</v>
      </c>
      <c r="G1249" s="393" t="s">
        <v>3800</v>
      </c>
      <c r="H1249" s="394">
        <v>268.76960308712029</v>
      </c>
      <c r="I1249" s="394"/>
      <c r="J1249" s="392">
        <v>67.192400771780072</v>
      </c>
      <c r="K1249" s="392">
        <v>67.192400771780072</v>
      </c>
      <c r="L1249" s="392">
        <v>67.192400771780072</v>
      </c>
      <c r="M1249" s="392">
        <v>67.192400771780072</v>
      </c>
      <c r="N1249" s="392"/>
    </row>
    <row r="1250" spans="1:14" hidden="1" outlineLevel="2" x14ac:dyDescent="0.35">
      <c r="A1250" s="388" t="s">
        <v>3841</v>
      </c>
      <c r="B1250" s="389">
        <v>44154</v>
      </c>
      <c r="C1250" s="390" t="s">
        <v>4756</v>
      </c>
      <c r="D1250" s="391" t="s">
        <v>4757</v>
      </c>
      <c r="E1250" s="391" t="s">
        <v>4749</v>
      </c>
      <c r="F1250" s="392">
        <v>700000</v>
      </c>
      <c r="G1250" s="393" t="s">
        <v>3800</v>
      </c>
      <c r="H1250" s="394">
        <v>268.76960308712029</v>
      </c>
      <c r="I1250" s="394"/>
      <c r="J1250" s="392">
        <v>67.192400771780072</v>
      </c>
      <c r="K1250" s="392">
        <v>67.192400771780072</v>
      </c>
      <c r="L1250" s="392">
        <v>67.192400771780072</v>
      </c>
      <c r="M1250" s="392">
        <v>67.192400771780072</v>
      </c>
      <c r="N1250" s="392"/>
    </row>
    <row r="1251" spans="1:14" hidden="1" outlineLevel="2" x14ac:dyDescent="0.35">
      <c r="A1251" s="388" t="s">
        <v>3841</v>
      </c>
      <c r="B1251" s="389">
        <v>44179</v>
      </c>
      <c r="C1251" s="390" t="s">
        <v>4758</v>
      </c>
      <c r="D1251" s="391" t="s">
        <v>4759</v>
      </c>
      <c r="E1251" s="391" t="s">
        <v>4749</v>
      </c>
      <c r="F1251" s="392">
        <v>700000</v>
      </c>
      <c r="G1251" s="393" t="s">
        <v>3800</v>
      </c>
      <c r="H1251" s="394">
        <v>268.76960308712029</v>
      </c>
      <c r="I1251" s="394"/>
      <c r="J1251" s="392">
        <v>67.192400771780072</v>
      </c>
      <c r="K1251" s="392">
        <v>67.192400771780072</v>
      </c>
      <c r="L1251" s="392">
        <v>67.192400771780072</v>
      </c>
      <c r="M1251" s="392">
        <v>67.192400771780072</v>
      </c>
      <c r="N1251" s="392"/>
    </row>
    <row r="1252" spans="1:14" hidden="1" outlineLevel="2" x14ac:dyDescent="0.35">
      <c r="A1252" s="388" t="s">
        <v>3841</v>
      </c>
      <c r="B1252" s="389">
        <v>44204</v>
      </c>
      <c r="C1252" s="390" t="s">
        <v>4760</v>
      </c>
      <c r="D1252" s="391" t="s">
        <v>4761</v>
      </c>
      <c r="E1252" s="391" t="s">
        <v>4734</v>
      </c>
      <c r="F1252" s="392">
        <v>700000</v>
      </c>
      <c r="G1252" s="393" t="s">
        <v>3800</v>
      </c>
      <c r="H1252" s="394">
        <v>260.46470406130862</v>
      </c>
      <c r="I1252" s="394"/>
      <c r="J1252" s="392">
        <v>65.116176015327156</v>
      </c>
      <c r="K1252" s="392">
        <v>65.116176015327156</v>
      </c>
      <c r="L1252" s="392">
        <v>65.116176015327156</v>
      </c>
      <c r="M1252" s="392">
        <v>65.116176015327156</v>
      </c>
      <c r="N1252" s="392"/>
    </row>
    <row r="1253" spans="1:14" hidden="1" outlineLevel="2" x14ac:dyDescent="0.35">
      <c r="A1253" s="388" t="s">
        <v>3841</v>
      </c>
      <c r="B1253" s="389">
        <v>44231</v>
      </c>
      <c r="C1253" s="390" t="s">
        <v>4762</v>
      </c>
      <c r="D1253" s="391" t="s">
        <v>4763</v>
      </c>
      <c r="E1253" s="391" t="s">
        <v>4734</v>
      </c>
      <c r="F1253" s="392">
        <v>700000</v>
      </c>
      <c r="G1253" s="393" t="s">
        <v>3800</v>
      </c>
      <c r="H1253" s="394">
        <v>260.46470406130862</v>
      </c>
      <c r="I1253" s="394"/>
      <c r="J1253" s="392">
        <v>65.116176015327156</v>
      </c>
      <c r="K1253" s="392">
        <v>65.116176015327156</v>
      </c>
      <c r="L1253" s="392">
        <v>65.116176015327156</v>
      </c>
      <c r="M1253" s="392">
        <v>65.116176015327156</v>
      </c>
      <c r="N1253" s="392"/>
    </row>
    <row r="1254" spans="1:14" hidden="1" outlineLevel="2" x14ac:dyDescent="0.35">
      <c r="A1254" s="388" t="s">
        <v>3841</v>
      </c>
      <c r="B1254" s="389">
        <v>44260</v>
      </c>
      <c r="C1254" s="390" t="s">
        <v>4764</v>
      </c>
      <c r="D1254" s="391" t="s">
        <v>4765</v>
      </c>
      <c r="E1254" s="391" t="s">
        <v>4734</v>
      </c>
      <c r="F1254" s="392">
        <v>700000</v>
      </c>
      <c r="G1254" s="393" t="s">
        <v>3800</v>
      </c>
      <c r="H1254" s="394">
        <v>260.46470406130862</v>
      </c>
      <c r="I1254" s="394"/>
      <c r="J1254" s="392">
        <v>65.116176015327156</v>
      </c>
      <c r="K1254" s="392">
        <v>65.116176015327156</v>
      </c>
      <c r="L1254" s="392">
        <v>65.116176015327156</v>
      </c>
      <c r="M1254" s="392">
        <v>65.116176015327156</v>
      </c>
      <c r="N1254" s="392"/>
    </row>
    <row r="1255" spans="1:14" hidden="1" outlineLevel="2" collapsed="1" x14ac:dyDescent="0.35">
      <c r="A1255" s="388" t="s">
        <v>3841</v>
      </c>
      <c r="B1255" s="389">
        <v>44305</v>
      </c>
      <c r="C1255" s="390" t="s">
        <v>4766</v>
      </c>
      <c r="D1255" s="391" t="s">
        <v>4767</v>
      </c>
      <c r="E1255" s="391" t="s">
        <v>4734</v>
      </c>
      <c r="F1255" s="392">
        <v>700000</v>
      </c>
      <c r="G1255" s="393" t="s">
        <v>3800</v>
      </c>
      <c r="H1255" s="394">
        <v>260.46470406130862</v>
      </c>
      <c r="I1255" s="394"/>
      <c r="J1255" s="392">
        <v>65.116176015327156</v>
      </c>
      <c r="K1255" s="392">
        <v>65.116176015327156</v>
      </c>
      <c r="L1255" s="392">
        <v>65.116176015327156</v>
      </c>
      <c r="M1255" s="392">
        <v>65.116176015327156</v>
      </c>
      <c r="N1255" s="392"/>
    </row>
    <row r="1256" spans="1:14" hidden="1" outlineLevel="2" x14ac:dyDescent="0.35">
      <c r="A1256" s="388" t="s">
        <v>3841</v>
      </c>
      <c r="B1256" s="389">
        <v>44342</v>
      </c>
      <c r="C1256" s="390" t="s">
        <v>4768</v>
      </c>
      <c r="D1256" s="391" t="s">
        <v>4769</v>
      </c>
      <c r="E1256" s="391" t="s">
        <v>4734</v>
      </c>
      <c r="F1256" s="392">
        <v>680000</v>
      </c>
      <c r="G1256" s="393" t="s">
        <v>3800</v>
      </c>
      <c r="H1256" s="394">
        <v>253.02285537384267</v>
      </c>
      <c r="I1256" s="394"/>
      <c r="J1256" s="392">
        <v>63.255713843460668</v>
      </c>
      <c r="K1256" s="392">
        <v>63.255713843460668</v>
      </c>
      <c r="L1256" s="392">
        <v>63.255713843460668</v>
      </c>
      <c r="M1256" s="392">
        <v>63.255713843460668</v>
      </c>
      <c r="N1256" s="392"/>
    </row>
    <row r="1257" spans="1:14" hidden="1" outlineLevel="2" x14ac:dyDescent="0.35">
      <c r="A1257" s="388" t="s">
        <v>3841</v>
      </c>
      <c r="B1257" s="389">
        <v>44365</v>
      </c>
      <c r="C1257" s="390" t="s">
        <v>4770</v>
      </c>
      <c r="D1257" s="391" t="s">
        <v>4771</v>
      </c>
      <c r="E1257" s="391" t="s">
        <v>4734</v>
      </c>
      <c r="F1257" s="392">
        <v>680000</v>
      </c>
      <c r="G1257" s="393" t="s">
        <v>3800</v>
      </c>
      <c r="H1257" s="394">
        <v>253.02285537384267</v>
      </c>
      <c r="I1257" s="394"/>
      <c r="J1257" s="392">
        <v>63.255713843460668</v>
      </c>
      <c r="K1257" s="392">
        <v>63.255713843460668</v>
      </c>
      <c r="L1257" s="392">
        <v>63.255713843460668</v>
      </c>
      <c r="M1257" s="392">
        <v>63.255713843460668</v>
      </c>
      <c r="N1257" s="392"/>
    </row>
    <row r="1258" spans="1:14" hidden="1" outlineLevel="2" x14ac:dyDescent="0.35">
      <c r="A1258" s="388" t="s">
        <v>3841</v>
      </c>
      <c r="B1258" s="389">
        <v>44305</v>
      </c>
      <c r="C1258" s="390" t="s">
        <v>4772</v>
      </c>
      <c r="D1258" s="391" t="s">
        <v>4773</v>
      </c>
      <c r="E1258" s="391" t="s">
        <v>4734</v>
      </c>
      <c r="F1258" s="392">
        <v>680000</v>
      </c>
      <c r="G1258" s="393" t="s">
        <v>3800</v>
      </c>
      <c r="H1258" s="394">
        <v>253.02285537384267</v>
      </c>
      <c r="I1258" s="394"/>
      <c r="J1258" s="392">
        <v>63.255713843460668</v>
      </c>
      <c r="K1258" s="392">
        <v>63.255713843460668</v>
      </c>
      <c r="L1258" s="392">
        <v>63.255713843460668</v>
      </c>
      <c r="M1258" s="392">
        <v>63.255713843460668</v>
      </c>
      <c r="N1258" s="392"/>
    </row>
    <row r="1259" spans="1:14" hidden="1" outlineLevel="2" x14ac:dyDescent="0.35">
      <c r="A1259" s="388" t="s">
        <v>3841</v>
      </c>
      <c r="B1259" s="389">
        <v>44489</v>
      </c>
      <c r="C1259" s="390" t="s">
        <v>4774</v>
      </c>
      <c r="D1259" s="391" t="s">
        <v>4775</v>
      </c>
      <c r="E1259" s="391" t="s">
        <v>4734</v>
      </c>
      <c r="F1259" s="392">
        <v>250000</v>
      </c>
      <c r="G1259" s="393" t="s">
        <v>3800</v>
      </c>
      <c r="H1259" s="394">
        <v>93.023108593324508</v>
      </c>
      <c r="I1259" s="394"/>
      <c r="J1259" s="392">
        <v>23.255777148331127</v>
      </c>
      <c r="K1259" s="392">
        <v>23.255777148331127</v>
      </c>
      <c r="L1259" s="392">
        <v>23.255777148331127</v>
      </c>
      <c r="M1259" s="392">
        <v>23.255777148331127</v>
      </c>
      <c r="N1259" s="392"/>
    </row>
    <row r="1260" spans="1:14" hidden="1" outlineLevel="2" collapsed="1" x14ac:dyDescent="0.35">
      <c r="A1260" s="388" t="s">
        <v>3841</v>
      </c>
      <c r="B1260" s="389">
        <v>44551</v>
      </c>
      <c r="C1260" s="390" t="s">
        <v>4776</v>
      </c>
      <c r="D1260" s="391" t="s">
        <v>4777</v>
      </c>
      <c r="E1260" s="391" t="s">
        <v>4778</v>
      </c>
      <c r="F1260" s="392">
        <v>2033956.53</v>
      </c>
      <c r="G1260" s="393" t="s">
        <v>3800</v>
      </c>
      <c r="H1260" s="394">
        <v>756.81983665716609</v>
      </c>
      <c r="I1260" s="394"/>
      <c r="J1260" s="392">
        <v>189.20495916429152</v>
      </c>
      <c r="K1260" s="392">
        <v>189.20495916429152</v>
      </c>
      <c r="L1260" s="392">
        <v>189.20495916429152</v>
      </c>
      <c r="M1260" s="392">
        <v>189.20495916429152</v>
      </c>
      <c r="N1260" s="392"/>
    </row>
    <row r="1261" spans="1:14" hidden="1" outlineLevel="2" x14ac:dyDescent="0.35">
      <c r="A1261" s="388" t="s">
        <v>3841</v>
      </c>
      <c r="B1261" s="389">
        <v>44551</v>
      </c>
      <c r="C1261" s="390" t="s">
        <v>4779</v>
      </c>
      <c r="D1261" s="391" t="s">
        <v>4777</v>
      </c>
      <c r="E1261" s="391" t="s">
        <v>4778</v>
      </c>
      <c r="F1261" s="392">
        <v>2034310.54</v>
      </c>
      <c r="G1261" s="393" t="s">
        <v>3800</v>
      </c>
      <c r="H1261" s="394">
        <v>756.95156109985851</v>
      </c>
      <c r="I1261" s="394"/>
      <c r="J1261" s="392">
        <v>189.23789027496463</v>
      </c>
      <c r="K1261" s="392">
        <v>189.23789027496463</v>
      </c>
      <c r="L1261" s="392">
        <v>189.23789027496463</v>
      </c>
      <c r="M1261" s="392">
        <v>189.23789027496463</v>
      </c>
      <c r="N1261" s="392"/>
    </row>
    <row r="1262" spans="1:14" hidden="1" outlineLevel="2" x14ac:dyDescent="0.35">
      <c r="A1262" s="388" t="s">
        <v>3841</v>
      </c>
      <c r="B1262" s="389">
        <v>44538</v>
      </c>
      <c r="C1262" s="390" t="s">
        <v>4780</v>
      </c>
      <c r="D1262" s="391" t="s">
        <v>4781</v>
      </c>
      <c r="E1262" s="391" t="s">
        <v>4268</v>
      </c>
      <c r="F1262" s="392">
        <v>600000</v>
      </c>
      <c r="G1262" s="393" t="s">
        <v>3800</v>
      </c>
      <c r="H1262" s="394">
        <v>223.25546062397882</v>
      </c>
      <c r="I1262" s="394"/>
      <c r="J1262" s="392">
        <v>55.813865155994705</v>
      </c>
      <c r="K1262" s="392">
        <v>55.813865155994705</v>
      </c>
      <c r="L1262" s="392">
        <v>55.813865155994705</v>
      </c>
      <c r="M1262" s="392">
        <v>55.813865155994705</v>
      </c>
      <c r="N1262" s="392"/>
    </row>
    <row r="1263" spans="1:14" outlineLevel="1" collapsed="1" x14ac:dyDescent="0.35">
      <c r="A1263" s="395" t="s">
        <v>4782</v>
      </c>
      <c r="B1263" s="389"/>
      <c r="C1263" s="390"/>
      <c r="D1263" s="391"/>
      <c r="E1263" s="391"/>
      <c r="F1263" s="392"/>
      <c r="G1263" s="393"/>
      <c r="H1263" s="394">
        <f t="shared" ref="H1263:N1263" si="32">SUBTOTAL(9,H1239:H1262)</f>
        <v>6645.0364696752249</v>
      </c>
      <c r="I1263" s="394"/>
      <c r="J1263" s="392">
        <f t="shared" si="32"/>
        <v>1661.2591174188062</v>
      </c>
      <c r="K1263" s="392">
        <f t="shared" si="32"/>
        <v>1661.2591174188062</v>
      </c>
      <c r="L1263" s="392">
        <f t="shared" si="32"/>
        <v>1661.2591174188062</v>
      </c>
      <c r="M1263" s="392">
        <f t="shared" si="32"/>
        <v>1661.2591174188062</v>
      </c>
      <c r="N1263" s="392">
        <f t="shared" si="32"/>
        <v>0</v>
      </c>
    </row>
    <row r="1264" spans="1:14" hidden="1" outlineLevel="2" x14ac:dyDescent="0.35">
      <c r="A1264" s="388" t="s">
        <v>3916</v>
      </c>
      <c r="B1264" s="389">
        <v>44329</v>
      </c>
      <c r="C1264" s="390" t="s">
        <v>4783</v>
      </c>
      <c r="D1264" s="391" t="s">
        <v>4784</v>
      </c>
      <c r="E1264" s="391" t="s">
        <v>4110</v>
      </c>
      <c r="F1264" s="392">
        <v>830000</v>
      </c>
      <c r="G1264" s="393" t="s">
        <v>3800</v>
      </c>
      <c r="H1264" s="394">
        <v>308.83672052983741</v>
      </c>
      <c r="I1264" s="394"/>
      <c r="J1264" s="392"/>
      <c r="K1264" s="392"/>
      <c r="L1264" s="392"/>
      <c r="M1264" s="392">
        <v>308.83672052983741</v>
      </c>
      <c r="N1264" s="392"/>
    </row>
    <row r="1265" spans="1:14" hidden="1" outlineLevel="2" x14ac:dyDescent="0.35">
      <c r="A1265" s="388" t="s">
        <v>3916</v>
      </c>
      <c r="B1265" s="389">
        <v>44329</v>
      </c>
      <c r="C1265" s="390" t="s">
        <v>4783</v>
      </c>
      <c r="D1265" s="391" t="s">
        <v>4785</v>
      </c>
      <c r="E1265" s="391" t="s">
        <v>4786</v>
      </c>
      <c r="F1265" s="392">
        <v>200000</v>
      </c>
      <c r="G1265" s="393" t="s">
        <v>3800</v>
      </c>
      <c r="H1265" s="394">
        <v>74.418486874659607</v>
      </c>
      <c r="I1265" s="394"/>
      <c r="J1265" s="392"/>
      <c r="K1265" s="392"/>
      <c r="L1265" s="392"/>
      <c r="M1265" s="392">
        <v>74.418486874659607</v>
      </c>
      <c r="N1265" s="392"/>
    </row>
    <row r="1266" spans="1:14" hidden="1" outlineLevel="2" x14ac:dyDescent="0.35">
      <c r="A1266" s="388" t="s">
        <v>3916</v>
      </c>
      <c r="B1266" s="389">
        <v>44329</v>
      </c>
      <c r="C1266" s="390" t="s">
        <v>4783</v>
      </c>
      <c r="D1266" s="391" t="s">
        <v>4787</v>
      </c>
      <c r="E1266" s="391" t="s">
        <v>4788</v>
      </c>
      <c r="F1266" s="392">
        <v>216000</v>
      </c>
      <c r="G1266" s="393" t="s">
        <v>3800</v>
      </c>
      <c r="H1266" s="394">
        <v>80.371965824632383</v>
      </c>
      <c r="I1266" s="394"/>
      <c r="J1266" s="392"/>
      <c r="K1266" s="392"/>
      <c r="L1266" s="392"/>
      <c r="M1266" s="392">
        <v>80.371965824632383</v>
      </c>
      <c r="N1266" s="392"/>
    </row>
    <row r="1267" spans="1:14" hidden="1" outlineLevel="2" x14ac:dyDescent="0.35">
      <c r="A1267" s="388" t="s">
        <v>3916</v>
      </c>
      <c r="B1267" s="389">
        <v>44329</v>
      </c>
      <c r="C1267" s="390" t="s">
        <v>4783</v>
      </c>
      <c r="D1267" s="391" t="s">
        <v>4789</v>
      </c>
      <c r="E1267" s="391" t="s">
        <v>4790</v>
      </c>
      <c r="F1267" s="392">
        <v>30000</v>
      </c>
      <c r="G1267" s="393" t="s">
        <v>3800</v>
      </c>
      <c r="H1267" s="394">
        <v>11.162773031198942</v>
      </c>
      <c r="I1267" s="394"/>
      <c r="J1267" s="392"/>
      <c r="K1267" s="392"/>
      <c r="L1267" s="392"/>
      <c r="M1267" s="392">
        <v>11.162773031198942</v>
      </c>
      <c r="N1267" s="392"/>
    </row>
    <row r="1268" spans="1:14" hidden="1" outlineLevel="2" x14ac:dyDescent="0.35">
      <c r="A1268" s="388" t="s">
        <v>3916</v>
      </c>
      <c r="B1268" s="389">
        <v>44329</v>
      </c>
      <c r="C1268" s="390" t="s">
        <v>4783</v>
      </c>
      <c r="D1268" s="391" t="s">
        <v>4791</v>
      </c>
      <c r="E1268" s="391" t="s">
        <v>4792</v>
      </c>
      <c r="F1268" s="392">
        <v>15000</v>
      </c>
      <c r="G1268" s="393" t="s">
        <v>3800</v>
      </c>
      <c r="H1268" s="394">
        <v>5.5813865155994709</v>
      </c>
      <c r="I1268" s="394"/>
      <c r="J1268" s="392"/>
      <c r="K1268" s="392"/>
      <c r="L1268" s="392"/>
      <c r="M1268" s="392">
        <v>5.5813865155994709</v>
      </c>
      <c r="N1268" s="392"/>
    </row>
    <row r="1269" spans="1:14" outlineLevel="1" collapsed="1" x14ac:dyDescent="0.35">
      <c r="A1269" s="395" t="s">
        <v>4793</v>
      </c>
      <c r="B1269" s="389"/>
      <c r="C1269" s="390"/>
      <c r="D1269" s="391"/>
      <c r="E1269" s="391"/>
      <c r="F1269" s="392"/>
      <c r="G1269" s="393"/>
      <c r="H1269" s="394">
        <f t="shared" ref="H1269:N1269" si="33">SUBTOTAL(9,H1264:H1268)</f>
        <v>480.37133277592784</v>
      </c>
      <c r="I1269" s="394"/>
      <c r="J1269" s="392">
        <f t="shared" si="33"/>
        <v>0</v>
      </c>
      <c r="K1269" s="392">
        <f t="shared" si="33"/>
        <v>0</v>
      </c>
      <c r="L1269" s="392">
        <f t="shared" si="33"/>
        <v>0</v>
      </c>
      <c r="M1269" s="392">
        <f t="shared" si="33"/>
        <v>480.37133277592784</v>
      </c>
      <c r="N1269" s="392">
        <f t="shared" si="33"/>
        <v>0</v>
      </c>
    </row>
    <row r="1270" spans="1:14" hidden="1" outlineLevel="2" x14ac:dyDescent="0.35">
      <c r="A1270" s="388" t="s">
        <v>3978</v>
      </c>
      <c r="B1270" s="389">
        <v>44315</v>
      </c>
      <c r="C1270" s="390" t="s">
        <v>4062</v>
      </c>
      <c r="D1270" s="391" t="s">
        <v>4063</v>
      </c>
      <c r="E1270" s="391" t="s">
        <v>4794</v>
      </c>
      <c r="F1270" s="392">
        <v>2500000</v>
      </c>
      <c r="G1270" s="393" t="s">
        <v>3800</v>
      </c>
      <c r="H1270" s="394">
        <v>930.23108593324514</v>
      </c>
      <c r="I1270" s="394"/>
      <c r="J1270" s="392">
        <v>232.55777148331129</v>
      </c>
      <c r="K1270" s="392">
        <v>232.55777148331129</v>
      </c>
      <c r="L1270" s="392">
        <v>232.55777148331129</v>
      </c>
      <c r="M1270" s="392">
        <v>232.55777148331129</v>
      </c>
      <c r="N1270" s="392"/>
    </row>
    <row r="1271" spans="1:14" hidden="1" outlineLevel="2" x14ac:dyDescent="0.35">
      <c r="A1271" s="388" t="s">
        <v>3978</v>
      </c>
      <c r="B1271" s="389">
        <v>44315</v>
      </c>
      <c r="C1271" s="390" t="s">
        <v>4062</v>
      </c>
      <c r="D1271" s="391" t="s">
        <v>4064</v>
      </c>
      <c r="E1271" s="391" t="s">
        <v>4794</v>
      </c>
      <c r="F1271" s="392">
        <v>375000</v>
      </c>
      <c r="G1271" s="393" t="s">
        <v>3800</v>
      </c>
      <c r="H1271" s="394">
        <v>139.53466288998678</v>
      </c>
      <c r="I1271" s="394"/>
      <c r="J1271" s="392">
        <v>34.883665722496694</v>
      </c>
      <c r="K1271" s="392">
        <v>34.883665722496694</v>
      </c>
      <c r="L1271" s="392">
        <v>34.883665722496694</v>
      </c>
      <c r="M1271" s="392">
        <v>34.883665722496694</v>
      </c>
      <c r="N1271" s="392"/>
    </row>
    <row r="1272" spans="1:14" hidden="1" outlineLevel="2" x14ac:dyDescent="0.35">
      <c r="A1272" s="388" t="s">
        <v>3978</v>
      </c>
      <c r="B1272" s="389">
        <v>44315</v>
      </c>
      <c r="C1272" s="390" t="s">
        <v>4065</v>
      </c>
      <c r="D1272" s="391" t="s">
        <v>4066</v>
      </c>
      <c r="E1272" s="391" t="s">
        <v>4272</v>
      </c>
      <c r="F1272" s="392">
        <v>312500</v>
      </c>
      <c r="G1272" s="393" t="s">
        <v>3800</v>
      </c>
      <c r="H1272" s="394">
        <v>116.27888574165564</v>
      </c>
      <c r="I1272" s="394"/>
      <c r="J1272" s="392">
        <v>29.069721435413911</v>
      </c>
      <c r="K1272" s="392">
        <v>29.069721435413911</v>
      </c>
      <c r="L1272" s="392">
        <v>29.069721435413911</v>
      </c>
      <c r="M1272" s="392">
        <v>29.069721435413911</v>
      </c>
      <c r="N1272" s="392"/>
    </row>
    <row r="1273" spans="1:14" hidden="1" outlineLevel="2" x14ac:dyDescent="0.35">
      <c r="A1273" s="388" t="s">
        <v>3978</v>
      </c>
      <c r="B1273" s="389">
        <v>44315</v>
      </c>
      <c r="C1273" s="390" t="s">
        <v>4062</v>
      </c>
      <c r="D1273" s="391" t="s">
        <v>4067</v>
      </c>
      <c r="E1273" s="391" t="s">
        <v>4794</v>
      </c>
      <c r="F1273" s="392">
        <v>125000</v>
      </c>
      <c r="G1273" s="393" t="s">
        <v>3800</v>
      </c>
      <c r="H1273" s="394">
        <v>46.511554296662254</v>
      </c>
      <c r="I1273" s="394"/>
      <c r="J1273" s="392">
        <v>11.627888574165564</v>
      </c>
      <c r="K1273" s="392">
        <v>11.627888574165564</v>
      </c>
      <c r="L1273" s="392">
        <v>11.627888574165564</v>
      </c>
      <c r="M1273" s="392">
        <v>11.627888574165564</v>
      </c>
      <c r="N1273" s="392"/>
    </row>
    <row r="1274" spans="1:14" hidden="1" outlineLevel="2" x14ac:dyDescent="0.35">
      <c r="A1274" s="388" t="s">
        <v>3978</v>
      </c>
      <c r="B1274" s="389">
        <v>44315</v>
      </c>
      <c r="C1274" s="390" t="s">
        <v>4068</v>
      </c>
      <c r="D1274" s="391" t="s">
        <v>4069</v>
      </c>
      <c r="E1274" s="391" t="s">
        <v>4039</v>
      </c>
      <c r="F1274" s="392">
        <v>125000</v>
      </c>
      <c r="G1274" s="393" t="s">
        <v>3800</v>
      </c>
      <c r="H1274" s="394">
        <v>46.511554296662254</v>
      </c>
      <c r="I1274" s="394"/>
      <c r="J1274" s="392">
        <v>11.627888574165564</v>
      </c>
      <c r="K1274" s="392">
        <v>11.627888574165564</v>
      </c>
      <c r="L1274" s="392">
        <v>11.627888574165564</v>
      </c>
      <c r="M1274" s="392">
        <v>11.627888574165564</v>
      </c>
      <c r="N1274" s="392"/>
    </row>
    <row r="1275" spans="1:14" hidden="1" outlineLevel="2" x14ac:dyDescent="0.35">
      <c r="A1275" s="388" t="s">
        <v>3978</v>
      </c>
      <c r="B1275" s="389">
        <v>44315</v>
      </c>
      <c r="C1275" s="390" t="s">
        <v>4070</v>
      </c>
      <c r="D1275" s="391" t="s">
        <v>4071</v>
      </c>
      <c r="E1275" s="391" t="s">
        <v>4042</v>
      </c>
      <c r="F1275" s="392">
        <v>31250</v>
      </c>
      <c r="G1275" s="393" t="s">
        <v>3800</v>
      </c>
      <c r="H1275" s="394">
        <v>11.627888574165564</v>
      </c>
      <c r="I1275" s="394"/>
      <c r="J1275" s="392">
        <v>2.9069721435413909</v>
      </c>
      <c r="K1275" s="392">
        <v>2.9069721435413909</v>
      </c>
      <c r="L1275" s="392">
        <v>2.9069721435413909</v>
      </c>
      <c r="M1275" s="392">
        <v>2.9069721435413909</v>
      </c>
      <c r="N1275" s="392"/>
    </row>
    <row r="1276" spans="1:14" hidden="1" outlineLevel="2" x14ac:dyDescent="0.35">
      <c r="A1276" s="388" t="s">
        <v>3978</v>
      </c>
      <c r="B1276" s="389">
        <v>44342</v>
      </c>
      <c r="C1276" s="390" t="s">
        <v>4072</v>
      </c>
      <c r="D1276" s="391" t="s">
        <v>4073</v>
      </c>
      <c r="E1276" s="391" t="s">
        <v>4794</v>
      </c>
      <c r="F1276" s="392">
        <v>2500000</v>
      </c>
      <c r="G1276" s="393" t="s">
        <v>3800</v>
      </c>
      <c r="H1276" s="394">
        <v>930.23108593324514</v>
      </c>
      <c r="I1276" s="394"/>
      <c r="J1276" s="392">
        <v>232.55777148331129</v>
      </c>
      <c r="K1276" s="392">
        <v>232.55777148331129</v>
      </c>
      <c r="L1276" s="392">
        <v>232.55777148331129</v>
      </c>
      <c r="M1276" s="392">
        <v>232.55777148331129</v>
      </c>
      <c r="N1276" s="392"/>
    </row>
    <row r="1277" spans="1:14" hidden="1" outlineLevel="2" x14ac:dyDescent="0.35">
      <c r="A1277" s="388" t="s">
        <v>3978</v>
      </c>
      <c r="B1277" s="389">
        <v>44342</v>
      </c>
      <c r="C1277" s="390" t="s">
        <v>4072</v>
      </c>
      <c r="D1277" s="391" t="s">
        <v>4074</v>
      </c>
      <c r="E1277" s="391" t="s">
        <v>4794</v>
      </c>
      <c r="F1277" s="392">
        <v>375000</v>
      </c>
      <c r="G1277" s="393" t="s">
        <v>3800</v>
      </c>
      <c r="H1277" s="394">
        <v>139.53466288998678</v>
      </c>
      <c r="I1277" s="394"/>
      <c r="J1277" s="392">
        <v>34.883665722496694</v>
      </c>
      <c r="K1277" s="392">
        <v>34.883665722496694</v>
      </c>
      <c r="L1277" s="392">
        <v>34.883665722496694</v>
      </c>
      <c r="M1277" s="392">
        <v>34.883665722496694</v>
      </c>
      <c r="N1277" s="392"/>
    </row>
    <row r="1278" spans="1:14" hidden="1" outlineLevel="2" x14ac:dyDescent="0.35">
      <c r="A1278" s="388" t="s">
        <v>3978</v>
      </c>
      <c r="B1278" s="389">
        <v>44342</v>
      </c>
      <c r="C1278" s="390" t="s">
        <v>4075</v>
      </c>
      <c r="D1278" s="391" t="s">
        <v>4076</v>
      </c>
      <c r="E1278" s="391" t="s">
        <v>4272</v>
      </c>
      <c r="F1278" s="392">
        <v>312500</v>
      </c>
      <c r="G1278" s="393" t="s">
        <v>3800</v>
      </c>
      <c r="H1278" s="394">
        <v>116.27888574165564</v>
      </c>
      <c r="I1278" s="394"/>
      <c r="J1278" s="392">
        <v>29.069721435413911</v>
      </c>
      <c r="K1278" s="392">
        <v>29.069721435413911</v>
      </c>
      <c r="L1278" s="392">
        <v>29.069721435413911</v>
      </c>
      <c r="M1278" s="392">
        <v>29.069721435413911</v>
      </c>
      <c r="N1278" s="392"/>
    </row>
    <row r="1279" spans="1:14" hidden="1" outlineLevel="2" x14ac:dyDescent="0.35">
      <c r="A1279" s="388" t="s">
        <v>3978</v>
      </c>
      <c r="B1279" s="389">
        <v>44342</v>
      </c>
      <c r="C1279" s="390" t="s">
        <v>4072</v>
      </c>
      <c r="D1279" s="391" t="s">
        <v>4077</v>
      </c>
      <c r="E1279" s="391" t="s">
        <v>4794</v>
      </c>
      <c r="F1279" s="392">
        <v>125000</v>
      </c>
      <c r="G1279" s="393" t="s">
        <v>3800</v>
      </c>
      <c r="H1279" s="394">
        <v>46.511554296662254</v>
      </c>
      <c r="I1279" s="394"/>
      <c r="J1279" s="392">
        <v>11.627888574165564</v>
      </c>
      <c r="K1279" s="392">
        <v>11.627888574165564</v>
      </c>
      <c r="L1279" s="392">
        <v>11.627888574165564</v>
      </c>
      <c r="M1279" s="392">
        <v>11.627888574165564</v>
      </c>
      <c r="N1279" s="392"/>
    </row>
    <row r="1280" spans="1:14" hidden="1" outlineLevel="2" x14ac:dyDescent="0.35">
      <c r="A1280" s="388" t="s">
        <v>3978</v>
      </c>
      <c r="B1280" s="389">
        <v>44342</v>
      </c>
      <c r="C1280" s="390" t="s">
        <v>4078</v>
      </c>
      <c r="D1280" s="391" t="s">
        <v>4079</v>
      </c>
      <c r="E1280" s="391" t="s">
        <v>4039</v>
      </c>
      <c r="F1280" s="392">
        <v>125000</v>
      </c>
      <c r="G1280" s="393" t="s">
        <v>3800</v>
      </c>
      <c r="H1280" s="394">
        <v>46.511554296662254</v>
      </c>
      <c r="I1280" s="394"/>
      <c r="J1280" s="392">
        <v>11.627888574165564</v>
      </c>
      <c r="K1280" s="392">
        <v>11.627888574165564</v>
      </c>
      <c r="L1280" s="392">
        <v>11.627888574165564</v>
      </c>
      <c r="M1280" s="392">
        <v>11.627888574165564</v>
      </c>
      <c r="N1280" s="392"/>
    </row>
    <row r="1281" spans="1:14" hidden="1" outlineLevel="2" x14ac:dyDescent="0.35">
      <c r="A1281" s="388" t="s">
        <v>3978</v>
      </c>
      <c r="B1281" s="389">
        <v>44342</v>
      </c>
      <c r="C1281" s="390" t="s">
        <v>4080</v>
      </c>
      <c r="D1281" s="391" t="s">
        <v>4081</v>
      </c>
      <c r="E1281" s="391" t="s">
        <v>4042</v>
      </c>
      <c r="F1281" s="392">
        <v>31250</v>
      </c>
      <c r="G1281" s="393" t="s">
        <v>3800</v>
      </c>
      <c r="H1281" s="394">
        <v>11.627888574165564</v>
      </c>
      <c r="I1281" s="394"/>
      <c r="J1281" s="392">
        <v>2.9069721435413909</v>
      </c>
      <c r="K1281" s="392">
        <v>2.9069721435413909</v>
      </c>
      <c r="L1281" s="392">
        <v>2.9069721435413909</v>
      </c>
      <c r="M1281" s="392">
        <v>2.9069721435413909</v>
      </c>
      <c r="N1281" s="392"/>
    </row>
    <row r="1282" spans="1:14" hidden="1" outlineLevel="2" x14ac:dyDescent="0.35">
      <c r="A1282" s="388" t="s">
        <v>3978</v>
      </c>
      <c r="B1282" s="389">
        <v>44376</v>
      </c>
      <c r="C1282" s="390" t="s">
        <v>4082</v>
      </c>
      <c r="D1282" s="391" t="s">
        <v>4083</v>
      </c>
      <c r="E1282" s="391" t="s">
        <v>4794</v>
      </c>
      <c r="F1282" s="392">
        <v>2500000</v>
      </c>
      <c r="G1282" s="393" t="s">
        <v>3800</v>
      </c>
      <c r="H1282" s="394">
        <v>930.23108593324514</v>
      </c>
      <c r="I1282" s="394"/>
      <c r="J1282" s="392">
        <v>232.55777148331129</v>
      </c>
      <c r="K1282" s="392">
        <v>232.55777148331129</v>
      </c>
      <c r="L1282" s="392">
        <v>232.55777148331129</v>
      </c>
      <c r="M1282" s="392">
        <v>232.55777148331129</v>
      </c>
      <c r="N1282" s="392"/>
    </row>
    <row r="1283" spans="1:14" hidden="1" outlineLevel="2" x14ac:dyDescent="0.35">
      <c r="A1283" s="388" t="s">
        <v>3978</v>
      </c>
      <c r="B1283" s="389">
        <v>44376</v>
      </c>
      <c r="C1283" s="390" t="s">
        <v>4082</v>
      </c>
      <c r="D1283" s="391" t="s">
        <v>4084</v>
      </c>
      <c r="E1283" s="391" t="s">
        <v>4794</v>
      </c>
      <c r="F1283" s="392">
        <v>375000</v>
      </c>
      <c r="G1283" s="393" t="s">
        <v>3800</v>
      </c>
      <c r="H1283" s="394">
        <v>139.53466288998678</v>
      </c>
      <c r="I1283" s="394"/>
      <c r="J1283" s="392">
        <v>34.883665722496694</v>
      </c>
      <c r="K1283" s="392">
        <v>34.883665722496694</v>
      </c>
      <c r="L1283" s="392">
        <v>34.883665722496694</v>
      </c>
      <c r="M1283" s="392">
        <v>34.883665722496694</v>
      </c>
      <c r="N1283" s="392"/>
    </row>
    <row r="1284" spans="1:14" hidden="1" outlineLevel="2" x14ac:dyDescent="0.35">
      <c r="A1284" s="388" t="s">
        <v>3978</v>
      </c>
      <c r="B1284" s="389">
        <v>44376</v>
      </c>
      <c r="C1284" s="390" t="s">
        <v>4085</v>
      </c>
      <c r="D1284" s="391" t="s">
        <v>4086</v>
      </c>
      <c r="E1284" s="391" t="s">
        <v>4272</v>
      </c>
      <c r="F1284" s="392">
        <v>312500</v>
      </c>
      <c r="G1284" s="393" t="s">
        <v>3800</v>
      </c>
      <c r="H1284" s="394">
        <v>116.27888574165564</v>
      </c>
      <c r="I1284" s="394"/>
      <c r="J1284" s="392">
        <v>29.069721435413911</v>
      </c>
      <c r="K1284" s="392">
        <v>29.069721435413911</v>
      </c>
      <c r="L1284" s="392">
        <v>29.069721435413911</v>
      </c>
      <c r="M1284" s="392">
        <v>29.069721435413911</v>
      </c>
      <c r="N1284" s="392"/>
    </row>
    <row r="1285" spans="1:14" hidden="1" outlineLevel="2" x14ac:dyDescent="0.35">
      <c r="A1285" s="388" t="s">
        <v>3978</v>
      </c>
      <c r="B1285" s="389">
        <v>44376</v>
      </c>
      <c r="C1285" s="390" t="s">
        <v>4082</v>
      </c>
      <c r="D1285" s="391" t="s">
        <v>4087</v>
      </c>
      <c r="E1285" s="391" t="s">
        <v>4794</v>
      </c>
      <c r="F1285" s="392">
        <v>125000</v>
      </c>
      <c r="G1285" s="393" t="s">
        <v>3800</v>
      </c>
      <c r="H1285" s="394">
        <v>46.511554296662254</v>
      </c>
      <c r="I1285" s="394"/>
      <c r="J1285" s="392">
        <v>11.627888574165564</v>
      </c>
      <c r="K1285" s="392">
        <v>11.627888574165564</v>
      </c>
      <c r="L1285" s="392">
        <v>11.627888574165564</v>
      </c>
      <c r="M1285" s="392">
        <v>11.627888574165564</v>
      </c>
      <c r="N1285" s="392"/>
    </row>
    <row r="1286" spans="1:14" hidden="1" outlineLevel="2" x14ac:dyDescent="0.35">
      <c r="A1286" s="388" t="s">
        <v>3978</v>
      </c>
      <c r="B1286" s="389">
        <v>44376</v>
      </c>
      <c r="C1286" s="390" t="s">
        <v>4088</v>
      </c>
      <c r="D1286" s="391" t="s">
        <v>4089</v>
      </c>
      <c r="E1286" s="391" t="s">
        <v>4039</v>
      </c>
      <c r="F1286" s="392">
        <v>125000</v>
      </c>
      <c r="G1286" s="393" t="s">
        <v>3800</v>
      </c>
      <c r="H1286" s="394">
        <v>46.511554296662254</v>
      </c>
      <c r="I1286" s="394"/>
      <c r="J1286" s="392">
        <v>11.627888574165564</v>
      </c>
      <c r="K1286" s="392">
        <v>11.627888574165564</v>
      </c>
      <c r="L1286" s="392">
        <v>11.627888574165564</v>
      </c>
      <c r="M1286" s="392">
        <v>11.627888574165564</v>
      </c>
      <c r="N1286" s="392"/>
    </row>
    <row r="1287" spans="1:14" hidden="1" outlineLevel="2" x14ac:dyDescent="0.35">
      <c r="A1287" s="388" t="s">
        <v>3978</v>
      </c>
      <c r="B1287" s="389">
        <v>44376</v>
      </c>
      <c r="C1287" s="390" t="s">
        <v>4090</v>
      </c>
      <c r="D1287" s="391" t="s">
        <v>4091</v>
      </c>
      <c r="E1287" s="391" t="s">
        <v>4042</v>
      </c>
      <c r="F1287" s="392">
        <v>31250</v>
      </c>
      <c r="G1287" s="393" t="s">
        <v>3800</v>
      </c>
      <c r="H1287" s="394">
        <v>11.627888574165564</v>
      </c>
      <c r="I1287" s="394"/>
      <c r="J1287" s="392">
        <v>2.9069721435413909</v>
      </c>
      <c r="K1287" s="392">
        <v>2.9069721435413909</v>
      </c>
      <c r="L1287" s="392">
        <v>2.9069721435413909</v>
      </c>
      <c r="M1287" s="392">
        <v>2.9069721435413909</v>
      </c>
      <c r="N1287" s="392"/>
    </row>
    <row r="1288" spans="1:14" hidden="1" outlineLevel="2" x14ac:dyDescent="0.35">
      <c r="A1288" s="388" t="s">
        <v>3978</v>
      </c>
      <c r="B1288" s="389">
        <v>44407</v>
      </c>
      <c r="C1288" s="390" t="s">
        <v>4092</v>
      </c>
      <c r="D1288" s="391" t="s">
        <v>4093</v>
      </c>
      <c r="E1288" s="391" t="s">
        <v>4794</v>
      </c>
      <c r="F1288" s="392">
        <v>2500000</v>
      </c>
      <c r="G1288" s="393" t="s">
        <v>3800</v>
      </c>
      <c r="H1288" s="394">
        <v>930.23108593324514</v>
      </c>
      <c r="I1288" s="394"/>
      <c r="J1288" s="392">
        <v>232.55777148331129</v>
      </c>
      <c r="K1288" s="392">
        <v>232.55777148331129</v>
      </c>
      <c r="L1288" s="392">
        <v>232.55777148331129</v>
      </c>
      <c r="M1288" s="392">
        <v>232.55777148331129</v>
      </c>
      <c r="N1288" s="392"/>
    </row>
    <row r="1289" spans="1:14" hidden="1" outlineLevel="2" x14ac:dyDescent="0.35">
      <c r="A1289" s="388" t="s">
        <v>3978</v>
      </c>
      <c r="B1289" s="389">
        <v>44407</v>
      </c>
      <c r="C1289" s="390" t="s">
        <v>4092</v>
      </c>
      <c r="D1289" s="391" t="s">
        <v>4094</v>
      </c>
      <c r="E1289" s="391" t="s">
        <v>4794</v>
      </c>
      <c r="F1289" s="392">
        <v>375000</v>
      </c>
      <c r="G1289" s="393" t="s">
        <v>3800</v>
      </c>
      <c r="H1289" s="394">
        <v>139.53466288998678</v>
      </c>
      <c r="I1289" s="394"/>
      <c r="J1289" s="392">
        <v>34.883665722496694</v>
      </c>
      <c r="K1289" s="392">
        <v>34.883665722496694</v>
      </c>
      <c r="L1289" s="392">
        <v>34.883665722496694</v>
      </c>
      <c r="M1289" s="392">
        <v>34.883665722496694</v>
      </c>
      <c r="N1289" s="392"/>
    </row>
    <row r="1290" spans="1:14" hidden="1" outlineLevel="2" x14ac:dyDescent="0.35">
      <c r="A1290" s="388" t="s">
        <v>3978</v>
      </c>
      <c r="B1290" s="389">
        <v>44407</v>
      </c>
      <c r="C1290" s="390" t="s">
        <v>4095</v>
      </c>
      <c r="D1290" s="391" t="s">
        <v>4096</v>
      </c>
      <c r="E1290" s="391" t="s">
        <v>4272</v>
      </c>
      <c r="F1290" s="392">
        <v>312500</v>
      </c>
      <c r="G1290" s="393" t="s">
        <v>3800</v>
      </c>
      <c r="H1290" s="394">
        <v>116.27888574165564</v>
      </c>
      <c r="I1290" s="394"/>
      <c r="J1290" s="392">
        <v>29.069721435413911</v>
      </c>
      <c r="K1290" s="392">
        <v>29.069721435413911</v>
      </c>
      <c r="L1290" s="392">
        <v>29.069721435413911</v>
      </c>
      <c r="M1290" s="392">
        <v>29.069721435413911</v>
      </c>
      <c r="N1290" s="392"/>
    </row>
    <row r="1291" spans="1:14" hidden="1" outlineLevel="2" x14ac:dyDescent="0.35">
      <c r="A1291" s="388" t="s">
        <v>3978</v>
      </c>
      <c r="B1291" s="389">
        <v>44407</v>
      </c>
      <c r="C1291" s="390" t="s">
        <v>4062</v>
      </c>
      <c r="D1291" s="391" t="s">
        <v>4097</v>
      </c>
      <c r="E1291" s="391" t="s">
        <v>4794</v>
      </c>
      <c r="F1291" s="392">
        <v>125000</v>
      </c>
      <c r="G1291" s="393" t="s">
        <v>3800</v>
      </c>
      <c r="H1291" s="394">
        <v>46.511554296662254</v>
      </c>
      <c r="I1291" s="394"/>
      <c r="J1291" s="392">
        <v>11.627888574165564</v>
      </c>
      <c r="K1291" s="392">
        <v>11.627888574165564</v>
      </c>
      <c r="L1291" s="392">
        <v>11.627888574165564</v>
      </c>
      <c r="M1291" s="392">
        <v>11.627888574165564</v>
      </c>
      <c r="N1291" s="392"/>
    </row>
    <row r="1292" spans="1:14" hidden="1" outlineLevel="2" x14ac:dyDescent="0.35">
      <c r="A1292" s="388" t="s">
        <v>3978</v>
      </c>
      <c r="B1292" s="389">
        <v>44407</v>
      </c>
      <c r="C1292" s="390" t="s">
        <v>4092</v>
      </c>
      <c r="D1292" s="391" t="s">
        <v>4098</v>
      </c>
      <c r="E1292" s="391" t="s">
        <v>4039</v>
      </c>
      <c r="F1292" s="392">
        <v>125000</v>
      </c>
      <c r="G1292" s="393" t="s">
        <v>3800</v>
      </c>
      <c r="H1292" s="394">
        <v>46.511554296662254</v>
      </c>
      <c r="I1292" s="394"/>
      <c r="J1292" s="392">
        <v>11.627888574165564</v>
      </c>
      <c r="K1292" s="392">
        <v>11.627888574165564</v>
      </c>
      <c r="L1292" s="392">
        <v>11.627888574165564</v>
      </c>
      <c r="M1292" s="392">
        <v>11.627888574165564</v>
      </c>
      <c r="N1292" s="392"/>
    </row>
    <row r="1293" spans="1:14" hidden="1" outlineLevel="2" x14ac:dyDescent="0.35">
      <c r="A1293" s="388" t="s">
        <v>3978</v>
      </c>
      <c r="B1293" s="389">
        <v>44407</v>
      </c>
      <c r="C1293" s="390" t="s">
        <v>4099</v>
      </c>
      <c r="D1293" s="391" t="s">
        <v>4100</v>
      </c>
      <c r="E1293" s="391" t="s">
        <v>4042</v>
      </c>
      <c r="F1293" s="392">
        <v>18750</v>
      </c>
      <c r="G1293" s="393" t="s">
        <v>3800</v>
      </c>
      <c r="H1293" s="394">
        <v>6.9767331444993381</v>
      </c>
      <c r="I1293" s="394"/>
      <c r="J1293" s="392">
        <v>1.7441832861248345</v>
      </c>
      <c r="K1293" s="392">
        <v>1.7441832861248345</v>
      </c>
      <c r="L1293" s="392">
        <v>1.7441832861248345</v>
      </c>
      <c r="M1293" s="392">
        <v>1.7441832861248345</v>
      </c>
      <c r="N1293" s="392"/>
    </row>
    <row r="1294" spans="1:14" outlineLevel="1" collapsed="1" x14ac:dyDescent="0.35">
      <c r="A1294" s="395" t="s">
        <v>4795</v>
      </c>
      <c r="B1294" s="389"/>
      <c r="C1294" s="390"/>
      <c r="D1294" s="391"/>
      <c r="E1294" s="391"/>
      <c r="F1294" s="392"/>
      <c r="G1294" s="393"/>
      <c r="H1294" s="394">
        <f t="shared" ref="H1294:N1294" si="34">SUBTOTAL(9,H1270:H1293)</f>
        <v>5158.131371499845</v>
      </c>
      <c r="I1294" s="394"/>
      <c r="J1294" s="392">
        <f t="shared" si="34"/>
        <v>1289.5328428749613</v>
      </c>
      <c r="K1294" s="392">
        <f t="shared" si="34"/>
        <v>1289.5328428749613</v>
      </c>
      <c r="L1294" s="392">
        <f t="shared" si="34"/>
        <v>1289.5328428749613</v>
      </c>
      <c r="M1294" s="392">
        <f t="shared" si="34"/>
        <v>1289.5328428749613</v>
      </c>
      <c r="N1294" s="392">
        <f t="shared" si="34"/>
        <v>0</v>
      </c>
    </row>
    <row r="1295" spans="1:14" ht="30" hidden="1" outlineLevel="2" x14ac:dyDescent="0.35">
      <c r="A1295" s="388" t="s">
        <v>4796</v>
      </c>
      <c r="B1295" s="389">
        <v>44432</v>
      </c>
      <c r="C1295" s="390" t="s">
        <v>4797</v>
      </c>
      <c r="D1295" s="391" t="s">
        <v>4798</v>
      </c>
      <c r="E1295" s="391" t="s">
        <v>4799</v>
      </c>
      <c r="F1295" s="392">
        <v>2960000</v>
      </c>
      <c r="G1295" s="393" t="s">
        <v>3800</v>
      </c>
      <c r="H1295" s="394">
        <v>1101.3936057449623</v>
      </c>
      <c r="I1295" s="394"/>
      <c r="J1295" s="392"/>
      <c r="K1295" s="392"/>
      <c r="L1295" s="392">
        <v>1101.3936057449623</v>
      </c>
      <c r="M1295" s="392"/>
      <c r="N1295" s="392"/>
    </row>
    <row r="1296" spans="1:14" hidden="1" outlineLevel="2" x14ac:dyDescent="0.35">
      <c r="A1296" s="388" t="s">
        <v>4796</v>
      </c>
      <c r="B1296" s="389">
        <v>44434</v>
      </c>
      <c r="C1296" s="390" t="s">
        <v>4800</v>
      </c>
      <c r="D1296" s="391" t="s">
        <v>4801</v>
      </c>
      <c r="E1296" s="391" t="s">
        <v>4110</v>
      </c>
      <c r="F1296" s="392">
        <v>1360000</v>
      </c>
      <c r="G1296" s="393" t="s">
        <v>3800</v>
      </c>
      <c r="H1296" s="394">
        <v>506.04571074768535</v>
      </c>
      <c r="I1296" s="394"/>
      <c r="J1296" s="392"/>
      <c r="K1296" s="392"/>
      <c r="L1296" s="392">
        <v>506.04571074768535</v>
      </c>
      <c r="M1296" s="392"/>
      <c r="N1296" s="392"/>
    </row>
    <row r="1297" spans="1:14" hidden="1" outlineLevel="2" collapsed="1" x14ac:dyDescent="0.35">
      <c r="A1297" s="388" t="s">
        <v>4796</v>
      </c>
      <c r="B1297" s="389">
        <v>44434</v>
      </c>
      <c r="C1297" s="390" t="s">
        <v>4802</v>
      </c>
      <c r="D1297" s="391" t="s">
        <v>4803</v>
      </c>
      <c r="E1297" s="391" t="s">
        <v>4804</v>
      </c>
      <c r="F1297" s="392">
        <v>130000</v>
      </c>
      <c r="G1297" s="393" t="s">
        <v>3800</v>
      </c>
      <c r="H1297" s="394">
        <v>48.372016468528749</v>
      </c>
      <c r="I1297" s="394"/>
      <c r="J1297" s="392"/>
      <c r="K1297" s="392"/>
      <c r="L1297" s="392">
        <v>48.372016468528749</v>
      </c>
      <c r="M1297" s="392"/>
      <c r="N1297" s="392"/>
    </row>
    <row r="1298" spans="1:14" hidden="1" outlineLevel="2" x14ac:dyDescent="0.35">
      <c r="A1298" s="388" t="s">
        <v>4796</v>
      </c>
      <c r="B1298" s="389">
        <v>44438</v>
      </c>
      <c r="C1298" s="390" t="s">
        <v>4805</v>
      </c>
      <c r="D1298" s="391" t="s">
        <v>4806</v>
      </c>
      <c r="E1298" s="391" t="s">
        <v>4433</v>
      </c>
      <c r="F1298" s="392">
        <v>787500</v>
      </c>
      <c r="G1298" s="393" t="s">
        <v>3800</v>
      </c>
      <c r="H1298" s="394">
        <v>293.02279206897219</v>
      </c>
      <c r="I1298" s="394"/>
      <c r="J1298" s="392"/>
      <c r="K1298" s="392"/>
      <c r="L1298" s="392">
        <v>293.02279206897219</v>
      </c>
      <c r="M1298" s="392"/>
      <c r="N1298" s="392"/>
    </row>
    <row r="1299" spans="1:14" hidden="1" outlineLevel="2" collapsed="1" x14ac:dyDescent="0.35">
      <c r="A1299" s="388" t="s">
        <v>4796</v>
      </c>
      <c r="B1299" s="389">
        <v>44438</v>
      </c>
      <c r="C1299" s="390" t="s">
        <v>4807</v>
      </c>
      <c r="D1299" s="391" t="s">
        <v>4806</v>
      </c>
      <c r="E1299" s="391" t="s">
        <v>4808</v>
      </c>
      <c r="F1299" s="392">
        <v>787500</v>
      </c>
      <c r="G1299" s="393" t="s">
        <v>3800</v>
      </c>
      <c r="H1299" s="394">
        <v>293.02279206897219</v>
      </c>
      <c r="I1299" s="394"/>
      <c r="J1299" s="392"/>
      <c r="K1299" s="392"/>
      <c r="L1299" s="392">
        <v>293.02279206897219</v>
      </c>
      <c r="M1299" s="392"/>
      <c r="N1299" s="392"/>
    </row>
    <row r="1300" spans="1:14" hidden="1" outlineLevel="2" x14ac:dyDescent="0.35">
      <c r="A1300" s="388" t="s">
        <v>4796</v>
      </c>
      <c r="B1300" s="389">
        <v>44438</v>
      </c>
      <c r="C1300" s="390" t="s">
        <v>4809</v>
      </c>
      <c r="D1300" s="391" t="s">
        <v>4810</v>
      </c>
      <c r="E1300" s="391" t="s">
        <v>4811</v>
      </c>
      <c r="F1300" s="392">
        <v>51000</v>
      </c>
      <c r="G1300" s="393" t="s">
        <v>3800</v>
      </c>
      <c r="H1300" s="394">
        <v>18.976714153038202</v>
      </c>
      <c r="I1300" s="394"/>
      <c r="J1300" s="392"/>
      <c r="K1300" s="392"/>
      <c r="L1300" s="392">
        <v>18.976714153038202</v>
      </c>
      <c r="M1300" s="392"/>
      <c r="N1300" s="392"/>
    </row>
    <row r="1301" spans="1:14" hidden="1" outlineLevel="2" x14ac:dyDescent="0.35">
      <c r="A1301" s="388" t="s">
        <v>4796</v>
      </c>
      <c r="B1301" s="389">
        <v>44438</v>
      </c>
      <c r="C1301" s="390" t="s">
        <v>4809</v>
      </c>
      <c r="D1301" s="391" t="s">
        <v>4812</v>
      </c>
      <c r="E1301" s="391" t="s">
        <v>4813</v>
      </c>
      <c r="F1301" s="392">
        <v>130000</v>
      </c>
      <c r="G1301" s="393" t="s">
        <v>3800</v>
      </c>
      <c r="H1301" s="394">
        <v>48.372016468528749</v>
      </c>
      <c r="I1301" s="394"/>
      <c r="J1301" s="392"/>
      <c r="K1301" s="392"/>
      <c r="L1301" s="392">
        <v>48.372016468528749</v>
      </c>
      <c r="M1301" s="392"/>
      <c r="N1301" s="392"/>
    </row>
    <row r="1302" spans="1:14" hidden="1" outlineLevel="2" x14ac:dyDescent="0.35">
      <c r="A1302" s="388" t="s">
        <v>4796</v>
      </c>
      <c r="B1302" s="389">
        <v>44438</v>
      </c>
      <c r="C1302" s="390" t="s">
        <v>4814</v>
      </c>
      <c r="D1302" s="391" t="s">
        <v>4815</v>
      </c>
      <c r="E1302" s="391" t="s">
        <v>4110</v>
      </c>
      <c r="F1302" s="392">
        <v>4380000</v>
      </c>
      <c r="G1302" s="393" t="s">
        <v>3800</v>
      </c>
      <c r="H1302" s="394">
        <v>1629.7648625550455</v>
      </c>
      <c r="I1302" s="394"/>
      <c r="J1302" s="392"/>
      <c r="K1302" s="392"/>
      <c r="L1302" s="392">
        <v>1629.7648625550455</v>
      </c>
      <c r="M1302" s="392"/>
      <c r="N1302" s="392"/>
    </row>
    <row r="1303" spans="1:14" hidden="1" outlineLevel="2" collapsed="1" x14ac:dyDescent="0.35">
      <c r="A1303" s="388" t="s">
        <v>4796</v>
      </c>
      <c r="B1303" s="389">
        <v>44456</v>
      </c>
      <c r="C1303" s="390" t="s">
        <v>4816</v>
      </c>
      <c r="D1303" s="391" t="s">
        <v>4817</v>
      </c>
      <c r="E1303" s="391" t="s">
        <v>4487</v>
      </c>
      <c r="F1303" s="392">
        <v>992800</v>
      </c>
      <c r="G1303" s="393" t="s">
        <v>3800</v>
      </c>
      <c r="H1303" s="394">
        <v>369.41336884581028</v>
      </c>
      <c r="I1303" s="394"/>
      <c r="J1303" s="392"/>
      <c r="K1303" s="392"/>
      <c r="L1303" s="392">
        <v>369.41336884581028</v>
      </c>
      <c r="M1303" s="392"/>
      <c r="N1303" s="392"/>
    </row>
    <row r="1304" spans="1:14" hidden="1" outlineLevel="2" x14ac:dyDescent="0.35">
      <c r="A1304" s="388" t="s">
        <v>4796</v>
      </c>
      <c r="B1304" s="389" t="s">
        <v>4818</v>
      </c>
      <c r="C1304" s="390" t="s">
        <v>4819</v>
      </c>
      <c r="D1304" s="391" t="s">
        <v>4820</v>
      </c>
      <c r="E1304" s="391" t="s">
        <v>4821</v>
      </c>
      <c r="F1304" s="392">
        <v>4375000</v>
      </c>
      <c r="G1304" s="393" t="s">
        <v>3800</v>
      </c>
      <c r="H1304" s="394">
        <v>1627.9044003831789</v>
      </c>
      <c r="I1304" s="394"/>
      <c r="J1304" s="392"/>
      <c r="K1304" s="392"/>
      <c r="L1304" s="392">
        <v>1627.9044003831789</v>
      </c>
      <c r="M1304" s="392"/>
      <c r="N1304" s="392"/>
    </row>
    <row r="1305" spans="1:14" hidden="1" outlineLevel="2" x14ac:dyDescent="0.35">
      <c r="A1305" s="388" t="s">
        <v>4796</v>
      </c>
      <c r="B1305" s="389">
        <v>44551</v>
      </c>
      <c r="C1305" s="390" t="s">
        <v>4822</v>
      </c>
      <c r="D1305" s="391" t="s">
        <v>4823</v>
      </c>
      <c r="E1305" s="391" t="s">
        <v>4824</v>
      </c>
      <c r="F1305" s="392">
        <v>613600</v>
      </c>
      <c r="G1305" s="393" t="s">
        <v>3800</v>
      </c>
      <c r="H1305" s="394">
        <v>228.31591773145567</v>
      </c>
      <c r="I1305" s="394"/>
      <c r="J1305" s="392"/>
      <c r="K1305" s="392"/>
      <c r="L1305" s="392">
        <v>228.31591773145567</v>
      </c>
      <c r="M1305" s="392"/>
      <c r="N1305" s="392"/>
    </row>
    <row r="1306" spans="1:14" hidden="1" outlineLevel="2" x14ac:dyDescent="0.35">
      <c r="A1306" s="388" t="s">
        <v>4796</v>
      </c>
      <c r="B1306" s="389">
        <v>44551</v>
      </c>
      <c r="C1306" s="390" t="s">
        <v>4825</v>
      </c>
      <c r="D1306" s="391" t="s">
        <v>4826</v>
      </c>
      <c r="E1306" s="391" t="s">
        <v>4827</v>
      </c>
      <c r="F1306" s="392">
        <v>118000</v>
      </c>
      <c r="G1306" s="393" t="s">
        <v>3800</v>
      </c>
      <c r="H1306" s="394">
        <v>43.906907256049173</v>
      </c>
      <c r="I1306" s="394"/>
      <c r="J1306" s="392"/>
      <c r="K1306" s="392"/>
      <c r="L1306" s="392">
        <v>43.906907256049173</v>
      </c>
      <c r="M1306" s="392"/>
      <c r="N1306" s="392"/>
    </row>
    <row r="1307" spans="1:14" hidden="1" outlineLevel="2" x14ac:dyDescent="0.35">
      <c r="A1307" s="388" t="s">
        <v>4796</v>
      </c>
      <c r="B1307" s="389">
        <v>44551</v>
      </c>
      <c r="C1307" s="390" t="s">
        <v>4828</v>
      </c>
      <c r="D1307" s="391" t="s">
        <v>4829</v>
      </c>
      <c r="E1307" s="391" t="s">
        <v>4830</v>
      </c>
      <c r="F1307" s="392">
        <v>1392400</v>
      </c>
      <c r="G1307" s="393" t="s">
        <v>3800</v>
      </c>
      <c r="H1307" s="394">
        <v>518.10150562138017</v>
      </c>
      <c r="I1307" s="394"/>
      <c r="J1307" s="392"/>
      <c r="K1307" s="392"/>
      <c r="L1307" s="392">
        <v>518.10150562138017</v>
      </c>
      <c r="M1307" s="392"/>
      <c r="N1307" s="392"/>
    </row>
    <row r="1308" spans="1:14" outlineLevel="1" collapsed="1" x14ac:dyDescent="0.35">
      <c r="A1308" s="395" t="s">
        <v>4831</v>
      </c>
      <c r="B1308" s="389"/>
      <c r="C1308" s="390"/>
      <c r="D1308" s="391"/>
      <c r="E1308" s="391"/>
      <c r="F1308" s="392"/>
      <c r="G1308" s="393"/>
      <c r="H1308" s="394">
        <f t="shared" ref="H1308:N1308" si="35">SUBTOTAL(9,H1295:H1307)</f>
        <v>6726.6126101136069</v>
      </c>
      <c r="I1308" s="394"/>
      <c r="J1308" s="392">
        <f t="shared" si="35"/>
        <v>0</v>
      </c>
      <c r="K1308" s="392">
        <f t="shared" si="35"/>
        <v>0</v>
      </c>
      <c r="L1308" s="392">
        <f t="shared" si="35"/>
        <v>6726.6126101136069</v>
      </c>
      <c r="M1308" s="392">
        <f t="shared" si="35"/>
        <v>0</v>
      </c>
      <c r="N1308" s="392">
        <f t="shared" si="35"/>
        <v>0</v>
      </c>
    </row>
    <row r="1309" spans="1:14" hidden="1" outlineLevel="2" x14ac:dyDescent="0.35">
      <c r="A1309" s="388" t="s">
        <v>3901</v>
      </c>
      <c r="B1309" s="389">
        <v>44043</v>
      </c>
      <c r="C1309" s="390" t="s">
        <v>4832</v>
      </c>
      <c r="D1309" s="391" t="s">
        <v>4833</v>
      </c>
      <c r="E1309" s="391" t="s">
        <v>4834</v>
      </c>
      <c r="F1309" s="392">
        <v>787500</v>
      </c>
      <c r="G1309" s="393" t="s">
        <v>3800</v>
      </c>
      <c r="H1309" s="394">
        <v>302.36580347301032</v>
      </c>
      <c r="I1309" s="394"/>
      <c r="J1309" s="392"/>
      <c r="K1309" s="392"/>
      <c r="L1309" s="392">
        <v>302.36580347301032</v>
      </c>
      <c r="M1309" s="392"/>
      <c r="N1309" s="392"/>
    </row>
    <row r="1310" spans="1:14" hidden="1" outlineLevel="2" x14ac:dyDescent="0.35">
      <c r="A1310" s="388" t="s">
        <v>3901</v>
      </c>
      <c r="B1310" s="389">
        <v>44043</v>
      </c>
      <c r="C1310" s="390" t="s">
        <v>4835</v>
      </c>
      <c r="D1310" s="391" t="s">
        <v>4833</v>
      </c>
      <c r="E1310" s="391" t="s">
        <v>4836</v>
      </c>
      <c r="F1310" s="392">
        <v>787500</v>
      </c>
      <c r="G1310" s="393" t="s">
        <v>3800</v>
      </c>
      <c r="H1310" s="394">
        <v>302.36580347301032</v>
      </c>
      <c r="I1310" s="394"/>
      <c r="J1310" s="392"/>
      <c r="K1310" s="392"/>
      <c r="L1310" s="392">
        <v>302.36580347301032</v>
      </c>
      <c r="M1310" s="392"/>
      <c r="N1310" s="392"/>
    </row>
    <row r="1311" spans="1:14" hidden="1" outlineLevel="2" x14ac:dyDescent="0.35">
      <c r="A1311" s="388" t="s">
        <v>3901</v>
      </c>
      <c r="B1311" s="389">
        <v>44043</v>
      </c>
      <c r="C1311" s="390" t="s">
        <v>4837</v>
      </c>
      <c r="D1311" s="391" t="s">
        <v>4833</v>
      </c>
      <c r="E1311" s="391" t="s">
        <v>4119</v>
      </c>
      <c r="F1311" s="392">
        <v>937500</v>
      </c>
      <c r="G1311" s="393" t="s">
        <v>3800</v>
      </c>
      <c r="H1311" s="394">
        <v>359.95928984882181</v>
      </c>
      <c r="I1311" s="394"/>
      <c r="J1311" s="392"/>
      <c r="K1311" s="392"/>
      <c r="L1311" s="392">
        <v>359.95928984882181</v>
      </c>
      <c r="M1311" s="392"/>
      <c r="N1311" s="392"/>
    </row>
    <row r="1312" spans="1:14" hidden="1" outlineLevel="2" x14ac:dyDescent="0.35">
      <c r="A1312" s="388" t="s">
        <v>3901</v>
      </c>
      <c r="B1312" s="389">
        <v>44043</v>
      </c>
      <c r="C1312" s="390" t="s">
        <v>4838</v>
      </c>
      <c r="D1312" s="391" t="s">
        <v>4833</v>
      </c>
      <c r="E1312" s="391" t="s">
        <v>4261</v>
      </c>
      <c r="F1312" s="392">
        <v>937500</v>
      </c>
      <c r="G1312" s="393" t="s">
        <v>3800</v>
      </c>
      <c r="H1312" s="394">
        <v>359.95928984882181</v>
      </c>
      <c r="I1312" s="394"/>
      <c r="J1312" s="392"/>
      <c r="K1312" s="392"/>
      <c r="L1312" s="392">
        <v>359.95928984882181</v>
      </c>
      <c r="M1312" s="392"/>
      <c r="N1312" s="392"/>
    </row>
    <row r="1313" spans="1:14" hidden="1" outlineLevel="2" x14ac:dyDescent="0.35">
      <c r="A1313" s="388" t="s">
        <v>3901</v>
      </c>
      <c r="B1313" s="389">
        <v>44043</v>
      </c>
      <c r="C1313" s="390" t="s">
        <v>4839</v>
      </c>
      <c r="D1313" s="391" t="s">
        <v>4833</v>
      </c>
      <c r="E1313" s="391" t="s">
        <v>4433</v>
      </c>
      <c r="F1313" s="392">
        <v>937500</v>
      </c>
      <c r="G1313" s="393" t="s">
        <v>3800</v>
      </c>
      <c r="H1313" s="394">
        <v>359.95928984882181</v>
      </c>
      <c r="I1313" s="394"/>
      <c r="J1313" s="392"/>
      <c r="K1313" s="392"/>
      <c r="L1313" s="392">
        <v>359.95928984882181</v>
      </c>
      <c r="M1313" s="392"/>
      <c r="N1313" s="392"/>
    </row>
    <row r="1314" spans="1:14" hidden="1" outlineLevel="2" x14ac:dyDescent="0.35">
      <c r="A1314" s="388" t="s">
        <v>3901</v>
      </c>
      <c r="B1314" s="389">
        <v>44043</v>
      </c>
      <c r="C1314" s="390" t="s">
        <v>4840</v>
      </c>
      <c r="D1314" s="391" t="s">
        <v>4833</v>
      </c>
      <c r="E1314" s="391" t="s">
        <v>4268</v>
      </c>
      <c r="F1314" s="392">
        <v>787500</v>
      </c>
      <c r="G1314" s="393" t="s">
        <v>3800</v>
      </c>
      <c r="H1314" s="394">
        <v>302.36580347301032</v>
      </c>
      <c r="I1314" s="394"/>
      <c r="J1314" s="392"/>
      <c r="K1314" s="392"/>
      <c r="L1314" s="392">
        <v>302.36580347301032</v>
      </c>
      <c r="M1314" s="392"/>
      <c r="N1314" s="392"/>
    </row>
    <row r="1315" spans="1:14" hidden="1" outlineLevel="2" x14ac:dyDescent="0.35">
      <c r="A1315" s="388" t="s">
        <v>3901</v>
      </c>
      <c r="B1315" s="389">
        <v>44043</v>
      </c>
      <c r="C1315" s="390" t="s">
        <v>4841</v>
      </c>
      <c r="D1315" s="391" t="s">
        <v>4833</v>
      </c>
      <c r="E1315" s="391" t="s">
        <v>4842</v>
      </c>
      <c r="F1315" s="392">
        <v>787500</v>
      </c>
      <c r="G1315" s="393" t="s">
        <v>3800</v>
      </c>
      <c r="H1315" s="394">
        <v>302.36580347301032</v>
      </c>
      <c r="I1315" s="394"/>
      <c r="J1315" s="392"/>
      <c r="K1315" s="392"/>
      <c r="L1315" s="392">
        <v>302.36580347301032</v>
      </c>
      <c r="M1315" s="392"/>
      <c r="N1315" s="392"/>
    </row>
    <row r="1316" spans="1:14" hidden="1" outlineLevel="2" x14ac:dyDescent="0.35">
      <c r="A1316" s="388" t="s">
        <v>3901</v>
      </c>
      <c r="B1316" s="389">
        <v>44043</v>
      </c>
      <c r="C1316" s="390" t="s">
        <v>4843</v>
      </c>
      <c r="D1316" s="391" t="s">
        <v>4833</v>
      </c>
      <c r="E1316" s="391" t="s">
        <v>4844</v>
      </c>
      <c r="F1316" s="392">
        <v>937500</v>
      </c>
      <c r="G1316" s="393" t="s">
        <v>3800</v>
      </c>
      <c r="H1316" s="394">
        <v>359.95928984882181</v>
      </c>
      <c r="I1316" s="394"/>
      <c r="J1316" s="392"/>
      <c r="K1316" s="392"/>
      <c r="L1316" s="392">
        <v>359.95928984882181</v>
      </c>
      <c r="M1316" s="392"/>
      <c r="N1316" s="392"/>
    </row>
    <row r="1317" spans="1:14" hidden="1" outlineLevel="2" x14ac:dyDescent="0.35">
      <c r="A1317" s="388" t="s">
        <v>3901</v>
      </c>
      <c r="B1317" s="389">
        <v>44043</v>
      </c>
      <c r="C1317" s="390" t="s">
        <v>4845</v>
      </c>
      <c r="D1317" s="391" t="s">
        <v>4833</v>
      </c>
      <c r="E1317" s="391" t="s">
        <v>4846</v>
      </c>
      <c r="F1317" s="392">
        <v>787500</v>
      </c>
      <c r="G1317" s="393" t="s">
        <v>3800</v>
      </c>
      <c r="H1317" s="394">
        <v>302.36580347301032</v>
      </c>
      <c r="I1317" s="394"/>
      <c r="J1317" s="392"/>
      <c r="K1317" s="392"/>
      <c r="L1317" s="392">
        <v>302.36580347301032</v>
      </c>
      <c r="M1317" s="392"/>
      <c r="N1317" s="392"/>
    </row>
    <row r="1318" spans="1:14" hidden="1" outlineLevel="2" x14ac:dyDescent="0.35">
      <c r="A1318" s="388" t="s">
        <v>3901</v>
      </c>
      <c r="B1318" s="389">
        <v>44043</v>
      </c>
      <c r="C1318" s="390" t="s">
        <v>4847</v>
      </c>
      <c r="D1318" s="391" t="s">
        <v>4833</v>
      </c>
      <c r="E1318" s="391" t="s">
        <v>4848</v>
      </c>
      <c r="F1318" s="392">
        <v>13625000</v>
      </c>
      <c r="G1318" s="393" t="s">
        <v>3800</v>
      </c>
      <c r="H1318" s="394">
        <v>5231.4083458028772</v>
      </c>
      <c r="I1318" s="394"/>
      <c r="J1318" s="392"/>
      <c r="K1318" s="392"/>
      <c r="L1318" s="392">
        <v>5231.4083458028772</v>
      </c>
      <c r="M1318" s="392"/>
      <c r="N1318" s="392"/>
    </row>
    <row r="1319" spans="1:14" hidden="1" outlineLevel="2" x14ac:dyDescent="0.35">
      <c r="A1319" s="388" t="s">
        <v>3901</v>
      </c>
      <c r="B1319" s="389">
        <v>44043</v>
      </c>
      <c r="C1319" s="390" t="s">
        <v>4847</v>
      </c>
      <c r="D1319" s="391" t="s">
        <v>4849</v>
      </c>
      <c r="E1319" s="391" t="s">
        <v>4110</v>
      </c>
      <c r="F1319" s="392">
        <v>5980000</v>
      </c>
      <c r="G1319" s="393" t="s">
        <v>3800</v>
      </c>
      <c r="H1319" s="394">
        <v>2296.060323515685</v>
      </c>
      <c r="I1319" s="394"/>
      <c r="J1319" s="392"/>
      <c r="K1319" s="392"/>
      <c r="L1319" s="392">
        <v>2296.060323515685</v>
      </c>
      <c r="M1319" s="392"/>
      <c r="N1319" s="392"/>
    </row>
    <row r="1320" spans="1:14" outlineLevel="1" collapsed="1" x14ac:dyDescent="0.35">
      <c r="A1320" s="395" t="s">
        <v>4850</v>
      </c>
      <c r="B1320" s="389"/>
      <c r="C1320" s="390"/>
      <c r="D1320" s="391"/>
      <c r="E1320" s="391"/>
      <c r="F1320" s="392"/>
      <c r="G1320" s="393"/>
      <c r="H1320" s="394">
        <f>SUBTOTAL(9,H1309:H1319)</f>
        <v>10479.134846078901</v>
      </c>
      <c r="I1320" s="394"/>
      <c r="J1320" s="392"/>
      <c r="K1320" s="392">
        <f>SUBTOTAL(9,K1309:K1319)</f>
        <v>0</v>
      </c>
      <c r="L1320" s="392">
        <f>SUBTOTAL(9,L1309:L1319)</f>
        <v>10479.134846078901</v>
      </c>
      <c r="M1320" s="392">
        <f>SUBTOTAL(9,M1309:M1319)</f>
        <v>0</v>
      </c>
      <c r="N1320" s="392">
        <f>SUBTOTAL(9,N1309:N1319)</f>
        <v>0</v>
      </c>
    </row>
    <row r="1321" spans="1:14" hidden="1" outlineLevel="2" x14ac:dyDescent="0.35">
      <c r="A1321" s="388" t="s">
        <v>3871</v>
      </c>
      <c r="B1321" s="389">
        <v>43861</v>
      </c>
      <c r="C1321" s="390" t="s">
        <v>4851</v>
      </c>
      <c r="D1321" s="391" t="s">
        <v>4852</v>
      </c>
      <c r="E1321" s="391" t="s">
        <v>4848</v>
      </c>
      <c r="F1321" s="392">
        <v>19975000</v>
      </c>
      <c r="G1321" s="393" t="s">
        <v>3800</v>
      </c>
      <c r="H1321" s="394">
        <v>7669.5326023788975</v>
      </c>
      <c r="I1321" s="394"/>
      <c r="J1321" s="392">
        <v>7669.5326023788975</v>
      </c>
      <c r="K1321" s="392"/>
      <c r="L1321" s="392"/>
      <c r="M1321" s="392"/>
      <c r="N1321" s="392"/>
    </row>
    <row r="1322" spans="1:14" hidden="1" outlineLevel="2" x14ac:dyDescent="0.35">
      <c r="A1322" s="388" t="s">
        <v>3871</v>
      </c>
      <c r="B1322" s="389">
        <v>43861</v>
      </c>
      <c r="C1322" s="390" t="s">
        <v>4851</v>
      </c>
      <c r="D1322" s="391" t="s">
        <v>4853</v>
      </c>
      <c r="E1322" s="391" t="s">
        <v>4848</v>
      </c>
      <c r="F1322" s="392">
        <v>2233000</v>
      </c>
      <c r="G1322" s="393" t="s">
        <v>3800</v>
      </c>
      <c r="H1322" s="394">
        <v>857.37503384791376</v>
      </c>
      <c r="I1322" s="394"/>
      <c r="J1322" s="392">
        <v>857.37503384791376</v>
      </c>
      <c r="K1322" s="392"/>
      <c r="L1322" s="392"/>
      <c r="M1322" s="392"/>
      <c r="N1322" s="392"/>
    </row>
    <row r="1323" spans="1:14" hidden="1" outlineLevel="2" x14ac:dyDescent="0.35">
      <c r="A1323" s="388" t="s">
        <v>3871</v>
      </c>
      <c r="B1323" s="389">
        <v>43861</v>
      </c>
      <c r="C1323" s="390" t="s">
        <v>4851</v>
      </c>
      <c r="D1323" s="391" t="s">
        <v>4785</v>
      </c>
      <c r="E1323" s="391" t="s">
        <v>4203</v>
      </c>
      <c r="F1323" s="392">
        <v>300000</v>
      </c>
      <c r="G1323" s="393" t="s">
        <v>3800</v>
      </c>
      <c r="H1323" s="394">
        <v>115.18697275162299</v>
      </c>
      <c r="I1323" s="394"/>
      <c r="J1323" s="392">
        <v>115.18697275162299</v>
      </c>
      <c r="K1323" s="392"/>
      <c r="L1323" s="392"/>
      <c r="M1323" s="392"/>
      <c r="N1323" s="392"/>
    </row>
    <row r="1324" spans="1:14" hidden="1" outlineLevel="2" x14ac:dyDescent="0.35">
      <c r="A1324" s="388" t="s">
        <v>3871</v>
      </c>
      <c r="B1324" s="389">
        <v>43861</v>
      </c>
      <c r="C1324" s="390" t="s">
        <v>4851</v>
      </c>
      <c r="D1324" s="391" t="s">
        <v>4854</v>
      </c>
      <c r="E1324" s="391" t="s">
        <v>4855</v>
      </c>
      <c r="F1324" s="392">
        <v>200000</v>
      </c>
      <c r="G1324" s="393" t="s">
        <v>3800</v>
      </c>
      <c r="H1324" s="394">
        <v>76.791315167748664</v>
      </c>
      <c r="I1324" s="394"/>
      <c r="J1324" s="392">
        <v>76.791315167748664</v>
      </c>
      <c r="K1324" s="392"/>
      <c r="L1324" s="392"/>
      <c r="M1324" s="392"/>
      <c r="N1324" s="392"/>
    </row>
    <row r="1325" spans="1:14" hidden="1" outlineLevel="2" x14ac:dyDescent="0.35">
      <c r="A1325" s="388" t="s">
        <v>3871</v>
      </c>
      <c r="B1325" s="389">
        <v>43861</v>
      </c>
      <c r="C1325" s="390" t="s">
        <v>4851</v>
      </c>
      <c r="D1325" s="391" t="s">
        <v>4791</v>
      </c>
      <c r="E1325" s="391" t="s">
        <v>4856</v>
      </c>
      <c r="F1325" s="392">
        <v>15000</v>
      </c>
      <c r="G1325" s="393" t="s">
        <v>3800</v>
      </c>
      <c r="H1325" s="394">
        <v>5.7593486375811489</v>
      </c>
      <c r="I1325" s="394"/>
      <c r="J1325" s="392">
        <v>5.7593486375811489</v>
      </c>
      <c r="K1325" s="392"/>
      <c r="L1325" s="392"/>
      <c r="M1325" s="392"/>
      <c r="N1325" s="392"/>
    </row>
    <row r="1326" spans="1:14" hidden="1" outlineLevel="2" x14ac:dyDescent="0.35">
      <c r="A1326" s="388" t="s">
        <v>3871</v>
      </c>
      <c r="B1326" s="389">
        <v>43861</v>
      </c>
      <c r="C1326" s="390" t="s">
        <v>4851</v>
      </c>
      <c r="D1326" s="391" t="s">
        <v>4857</v>
      </c>
      <c r="E1326" s="391" t="s">
        <v>4858</v>
      </c>
      <c r="F1326" s="392">
        <v>334500</v>
      </c>
      <c r="G1326" s="393" t="s">
        <v>3800</v>
      </c>
      <c r="H1326" s="394">
        <v>128.43347461805962</v>
      </c>
      <c r="I1326" s="394"/>
      <c r="J1326" s="392">
        <v>128.43347461805962</v>
      </c>
      <c r="K1326" s="392"/>
      <c r="L1326" s="392"/>
      <c r="M1326" s="392"/>
      <c r="N1326" s="392"/>
    </row>
    <row r="1327" spans="1:14" hidden="1" outlineLevel="2" x14ac:dyDescent="0.35">
      <c r="A1327" s="388" t="s">
        <v>3871</v>
      </c>
      <c r="B1327" s="389">
        <v>43861</v>
      </c>
      <c r="C1327" s="390" t="s">
        <v>4859</v>
      </c>
      <c r="D1327" s="391" t="s">
        <v>4852</v>
      </c>
      <c r="E1327" s="391" t="s">
        <v>4860</v>
      </c>
      <c r="F1327" s="392">
        <v>787500</v>
      </c>
      <c r="G1327" s="393" t="s">
        <v>3800</v>
      </c>
      <c r="H1327" s="394">
        <v>302.36580347301032</v>
      </c>
      <c r="I1327" s="394"/>
      <c r="J1327" s="392">
        <v>302.36580347301032</v>
      </c>
      <c r="K1327" s="392"/>
      <c r="L1327" s="392"/>
      <c r="M1327" s="392"/>
      <c r="N1327" s="392"/>
    </row>
    <row r="1328" spans="1:14" hidden="1" outlineLevel="2" collapsed="1" x14ac:dyDescent="0.35">
      <c r="A1328" s="388" t="s">
        <v>3871</v>
      </c>
      <c r="B1328" s="389">
        <v>43861</v>
      </c>
      <c r="C1328" s="390" t="s">
        <v>4861</v>
      </c>
      <c r="D1328" s="391" t="s">
        <v>4852</v>
      </c>
      <c r="E1328" s="391" t="s">
        <v>4862</v>
      </c>
      <c r="F1328" s="392">
        <v>787500</v>
      </c>
      <c r="G1328" s="393" t="s">
        <v>3800</v>
      </c>
      <c r="H1328" s="394">
        <v>302.36580347301032</v>
      </c>
      <c r="I1328" s="394"/>
      <c r="J1328" s="392">
        <v>302.36580347301032</v>
      </c>
      <c r="K1328" s="392"/>
      <c r="L1328" s="392"/>
      <c r="M1328" s="392"/>
      <c r="N1328" s="392"/>
    </row>
    <row r="1329" spans="1:14" hidden="1" outlineLevel="2" x14ac:dyDescent="0.35">
      <c r="A1329" s="388" t="s">
        <v>3871</v>
      </c>
      <c r="B1329" s="389">
        <v>43861</v>
      </c>
      <c r="C1329" s="390" t="s">
        <v>4863</v>
      </c>
      <c r="D1329" s="391" t="s">
        <v>4852</v>
      </c>
      <c r="E1329" s="391" t="s">
        <v>4864</v>
      </c>
      <c r="F1329" s="392">
        <v>787500</v>
      </c>
      <c r="G1329" s="393" t="s">
        <v>3800</v>
      </c>
      <c r="H1329" s="394">
        <v>302.36580347301032</v>
      </c>
      <c r="I1329" s="394"/>
      <c r="J1329" s="392">
        <v>302.36580347301032</v>
      </c>
      <c r="K1329" s="392"/>
      <c r="L1329" s="392"/>
      <c r="M1329" s="392"/>
      <c r="N1329" s="392"/>
    </row>
    <row r="1330" spans="1:14" hidden="1" outlineLevel="2" x14ac:dyDescent="0.35">
      <c r="A1330" s="388" t="s">
        <v>3871</v>
      </c>
      <c r="B1330" s="389">
        <v>43861</v>
      </c>
      <c r="C1330" s="390" t="s">
        <v>4865</v>
      </c>
      <c r="D1330" s="391" t="s">
        <v>4852</v>
      </c>
      <c r="E1330" s="391" t="s">
        <v>4866</v>
      </c>
      <c r="F1330" s="392">
        <v>787500</v>
      </c>
      <c r="G1330" s="393" t="s">
        <v>3800</v>
      </c>
      <c r="H1330" s="394">
        <v>302.36580347301032</v>
      </c>
      <c r="I1330" s="394"/>
      <c r="J1330" s="392">
        <v>302.36580347301032</v>
      </c>
      <c r="K1330" s="392"/>
      <c r="L1330" s="392"/>
      <c r="M1330" s="392"/>
      <c r="N1330" s="392"/>
    </row>
    <row r="1331" spans="1:14" hidden="1" outlineLevel="2" x14ac:dyDescent="0.35">
      <c r="A1331" s="388" t="s">
        <v>3871</v>
      </c>
      <c r="B1331" s="389">
        <v>43861</v>
      </c>
      <c r="C1331" s="390" t="s">
        <v>4867</v>
      </c>
      <c r="D1331" s="391" t="s">
        <v>4868</v>
      </c>
      <c r="E1331" s="391" t="s">
        <v>4869</v>
      </c>
      <c r="F1331" s="392">
        <v>15000</v>
      </c>
      <c r="G1331" s="393" t="s">
        <v>3800</v>
      </c>
      <c r="H1331" s="394">
        <v>5.7593486375811489</v>
      </c>
      <c r="I1331" s="394"/>
      <c r="J1331" s="392">
        <v>5.7593486375811489</v>
      </c>
      <c r="K1331" s="392"/>
      <c r="L1331" s="392"/>
      <c r="M1331" s="392"/>
      <c r="N1331" s="392"/>
    </row>
    <row r="1332" spans="1:14" hidden="1" outlineLevel="2" x14ac:dyDescent="0.35">
      <c r="A1332" s="388" t="s">
        <v>3871</v>
      </c>
      <c r="B1332" s="389">
        <v>43861</v>
      </c>
      <c r="C1332" s="390" t="s">
        <v>4867</v>
      </c>
      <c r="D1332" s="391" t="s">
        <v>4870</v>
      </c>
      <c r="E1332" s="391" t="s">
        <v>4871</v>
      </c>
      <c r="F1332" s="392">
        <v>934379.06</v>
      </c>
      <c r="G1332" s="393" t="s">
        <v>3800</v>
      </c>
      <c r="H1332" s="394">
        <v>358.76098441302366</v>
      </c>
      <c r="I1332" s="394"/>
      <c r="J1332" s="392">
        <v>358.76098441302366</v>
      </c>
      <c r="K1332" s="392"/>
      <c r="L1332" s="392"/>
      <c r="M1332" s="392"/>
      <c r="N1332" s="392"/>
    </row>
    <row r="1333" spans="1:14" hidden="1" outlineLevel="2" x14ac:dyDescent="0.35">
      <c r="A1333" s="388" t="s">
        <v>3871</v>
      </c>
      <c r="B1333" s="389">
        <v>43861</v>
      </c>
      <c r="C1333" s="390" t="s">
        <v>4867</v>
      </c>
      <c r="D1333" s="391" t="s">
        <v>4872</v>
      </c>
      <c r="E1333" s="391" t="s">
        <v>4873</v>
      </c>
      <c r="F1333" s="392">
        <v>721000</v>
      </c>
      <c r="G1333" s="393" t="s">
        <v>3800</v>
      </c>
      <c r="H1333" s="394">
        <v>276.8326911797339</v>
      </c>
      <c r="I1333" s="394"/>
      <c r="J1333" s="392">
        <v>276.8326911797339</v>
      </c>
      <c r="K1333" s="392"/>
      <c r="L1333" s="392"/>
      <c r="M1333" s="392"/>
      <c r="N1333" s="392"/>
    </row>
    <row r="1334" spans="1:14" hidden="1" outlineLevel="2" x14ac:dyDescent="0.35">
      <c r="A1334" s="388" t="s">
        <v>3871</v>
      </c>
      <c r="B1334" s="389">
        <v>43851</v>
      </c>
      <c r="C1334" s="390" t="s">
        <v>4867</v>
      </c>
      <c r="D1334" s="391" t="s">
        <v>4874</v>
      </c>
      <c r="E1334" s="391" t="s">
        <v>4873</v>
      </c>
      <c r="F1334" s="392">
        <v>8730000</v>
      </c>
      <c r="G1334" s="393" t="s">
        <v>3800</v>
      </c>
      <c r="H1334" s="394">
        <v>3351.940907072229</v>
      </c>
      <c r="I1334" s="394"/>
      <c r="J1334" s="392">
        <v>3351.940907072229</v>
      </c>
      <c r="K1334" s="392"/>
      <c r="L1334" s="392"/>
      <c r="M1334" s="392"/>
      <c r="N1334" s="392"/>
    </row>
    <row r="1335" spans="1:14" hidden="1" outlineLevel="2" x14ac:dyDescent="0.35">
      <c r="A1335" s="388" t="s">
        <v>3871</v>
      </c>
      <c r="B1335" s="389">
        <v>43858</v>
      </c>
      <c r="C1335" s="390" t="s">
        <v>4875</v>
      </c>
      <c r="D1335" s="391" t="s">
        <v>4876</v>
      </c>
      <c r="E1335" s="391" t="s">
        <v>4873</v>
      </c>
      <c r="F1335" s="392">
        <v>342750</v>
      </c>
      <c r="G1335" s="393" t="s">
        <v>3800</v>
      </c>
      <c r="H1335" s="394">
        <v>131.60111636872927</v>
      </c>
      <c r="I1335" s="394"/>
      <c r="J1335" s="392">
        <v>131.60111636872927</v>
      </c>
      <c r="K1335" s="392"/>
      <c r="L1335" s="392"/>
      <c r="M1335" s="392"/>
      <c r="N1335" s="392"/>
    </row>
    <row r="1336" spans="1:14" hidden="1" outlineLevel="2" collapsed="1" x14ac:dyDescent="0.35">
      <c r="A1336" s="388" t="s">
        <v>3871</v>
      </c>
      <c r="B1336" s="389">
        <v>43860</v>
      </c>
      <c r="C1336" s="390" t="s">
        <v>4877</v>
      </c>
      <c r="D1336" s="391" t="s">
        <v>4878</v>
      </c>
      <c r="E1336" s="391" t="s">
        <v>4879</v>
      </c>
      <c r="F1336" s="392">
        <v>3202500</v>
      </c>
      <c r="G1336" s="393" t="s">
        <v>3800</v>
      </c>
      <c r="H1336" s="394">
        <v>1229.6209341235754</v>
      </c>
      <c r="I1336" s="394"/>
      <c r="J1336" s="392">
        <v>1229.6209341235754</v>
      </c>
      <c r="K1336" s="392"/>
      <c r="L1336" s="392"/>
      <c r="M1336" s="392"/>
      <c r="N1336" s="392"/>
    </row>
    <row r="1337" spans="1:14" hidden="1" outlineLevel="2" x14ac:dyDescent="0.35">
      <c r="A1337" s="388" t="s">
        <v>3871</v>
      </c>
      <c r="B1337" s="389">
        <v>43868</v>
      </c>
      <c r="C1337" s="390" t="s">
        <v>4880</v>
      </c>
      <c r="D1337" s="391" t="s">
        <v>4852</v>
      </c>
      <c r="E1337" s="391" t="s">
        <v>4879</v>
      </c>
      <c r="F1337" s="392">
        <v>430000</v>
      </c>
      <c r="G1337" s="393" t="s">
        <v>3800</v>
      </c>
      <c r="H1337" s="394">
        <v>165.10132761065961</v>
      </c>
      <c r="I1337" s="394"/>
      <c r="J1337" s="392">
        <v>165.10132761065961</v>
      </c>
      <c r="K1337" s="392"/>
      <c r="L1337" s="392"/>
      <c r="M1337" s="392"/>
      <c r="N1337" s="392"/>
    </row>
    <row r="1338" spans="1:14" hidden="1" outlineLevel="2" x14ac:dyDescent="0.35">
      <c r="A1338" s="388" t="s">
        <v>3871</v>
      </c>
      <c r="B1338" s="389">
        <v>43895</v>
      </c>
      <c r="C1338" s="390" t="s">
        <v>4881</v>
      </c>
      <c r="D1338" s="391" t="s">
        <v>4882</v>
      </c>
      <c r="E1338" s="391" t="s">
        <v>4883</v>
      </c>
      <c r="F1338" s="392">
        <v>586200</v>
      </c>
      <c r="G1338" s="393" t="s">
        <v>3800</v>
      </c>
      <c r="H1338" s="394">
        <v>225.07534475667131</v>
      </c>
      <c r="I1338" s="394"/>
      <c r="J1338" s="392">
        <v>225.07534475667131</v>
      </c>
      <c r="K1338" s="392"/>
      <c r="L1338" s="392"/>
      <c r="M1338" s="392"/>
      <c r="N1338" s="392"/>
    </row>
    <row r="1339" spans="1:14" hidden="1" outlineLevel="2" x14ac:dyDescent="0.35">
      <c r="A1339" s="388" t="s">
        <v>3871</v>
      </c>
      <c r="B1339" s="389" t="s">
        <v>4884</v>
      </c>
      <c r="C1339" s="390" t="s">
        <v>4885</v>
      </c>
      <c r="D1339" s="391" t="s">
        <v>4886</v>
      </c>
      <c r="E1339" s="391" t="s">
        <v>4883</v>
      </c>
      <c r="F1339" s="392">
        <v>1173320</v>
      </c>
      <c r="G1339" s="393" t="s">
        <v>3800</v>
      </c>
      <c r="H1339" s="394">
        <v>450.5039295631143</v>
      </c>
      <c r="I1339" s="394"/>
      <c r="J1339" s="392">
        <v>450.5039295631143</v>
      </c>
      <c r="K1339" s="392"/>
      <c r="L1339" s="392"/>
      <c r="M1339" s="392"/>
      <c r="N1339" s="392"/>
    </row>
    <row r="1340" spans="1:14" outlineLevel="1" collapsed="1" x14ac:dyDescent="0.35">
      <c r="A1340" s="395" t="s">
        <v>4887</v>
      </c>
      <c r="B1340" s="389"/>
      <c r="C1340" s="390"/>
      <c r="D1340" s="391"/>
      <c r="E1340" s="391"/>
      <c r="F1340" s="392"/>
      <c r="G1340" s="393"/>
      <c r="H1340" s="394">
        <f t="shared" ref="H1340:N1340" si="36">SUBTOTAL(9,H1321:H1339)</f>
        <v>16257.738545019183</v>
      </c>
      <c r="I1340" s="394"/>
      <c r="J1340" s="392">
        <f t="shared" si="36"/>
        <v>16257.738545019183</v>
      </c>
      <c r="K1340" s="392">
        <f t="shared" si="36"/>
        <v>0</v>
      </c>
      <c r="L1340" s="392">
        <f t="shared" si="36"/>
        <v>0</v>
      </c>
      <c r="M1340" s="392">
        <f t="shared" si="36"/>
        <v>0</v>
      </c>
      <c r="N1340" s="392">
        <f t="shared" si="36"/>
        <v>0</v>
      </c>
    </row>
    <row r="1341" spans="1:14" hidden="1" outlineLevel="2" x14ac:dyDescent="0.35">
      <c r="A1341" s="388" t="s">
        <v>3803</v>
      </c>
      <c r="B1341" s="389">
        <v>44165</v>
      </c>
      <c r="C1341" s="390" t="s">
        <v>4888</v>
      </c>
      <c r="D1341" s="391" t="s">
        <v>4889</v>
      </c>
      <c r="E1341" s="391" t="s">
        <v>4848</v>
      </c>
      <c r="F1341" s="392">
        <v>1950000</v>
      </c>
      <c r="G1341" s="393" t="s">
        <v>3800</v>
      </c>
      <c r="H1341" s="394">
        <v>748.71532288554943</v>
      </c>
      <c r="I1341" s="394"/>
      <c r="J1341" s="392">
        <v>187.17883072138736</v>
      </c>
      <c r="K1341" s="392">
        <v>187.17883072138736</v>
      </c>
      <c r="L1341" s="392">
        <v>187.17883072138736</v>
      </c>
      <c r="M1341" s="392">
        <v>187.17883072138736</v>
      </c>
      <c r="N1341" s="392"/>
    </row>
    <row r="1342" spans="1:14" hidden="1" outlineLevel="2" x14ac:dyDescent="0.35">
      <c r="A1342" s="388" t="s">
        <v>3803</v>
      </c>
      <c r="B1342" s="389">
        <v>44165</v>
      </c>
      <c r="C1342" s="390" t="s">
        <v>4888</v>
      </c>
      <c r="D1342" s="391" t="s">
        <v>4785</v>
      </c>
      <c r="E1342" s="391" t="s">
        <v>4890</v>
      </c>
      <c r="F1342" s="392">
        <v>360000</v>
      </c>
      <c r="G1342" s="393" t="s">
        <v>3800</v>
      </c>
      <c r="H1342" s="394">
        <v>138.22436730194758</v>
      </c>
      <c r="I1342" s="394"/>
      <c r="J1342" s="392">
        <v>34.556091825486895</v>
      </c>
      <c r="K1342" s="392">
        <v>34.556091825486895</v>
      </c>
      <c r="L1342" s="392">
        <v>34.556091825486895</v>
      </c>
      <c r="M1342" s="392">
        <v>34.556091825486895</v>
      </c>
      <c r="N1342" s="392"/>
    </row>
    <row r="1343" spans="1:14" hidden="1" outlineLevel="2" x14ac:dyDescent="0.35">
      <c r="A1343" s="388" t="s">
        <v>3803</v>
      </c>
      <c r="B1343" s="389">
        <v>44165</v>
      </c>
      <c r="C1343" s="390" t="s">
        <v>4888</v>
      </c>
      <c r="D1343" s="391" t="s">
        <v>4891</v>
      </c>
      <c r="E1343" s="391" t="s">
        <v>4892</v>
      </c>
      <c r="F1343" s="392">
        <v>98000</v>
      </c>
      <c r="G1343" s="393" t="s">
        <v>3800</v>
      </c>
      <c r="H1343" s="394">
        <v>37.627744432196842</v>
      </c>
      <c r="I1343" s="394"/>
      <c r="J1343" s="392">
        <v>9.4069361080492104</v>
      </c>
      <c r="K1343" s="392">
        <v>9.4069361080492104</v>
      </c>
      <c r="L1343" s="392">
        <v>9.4069361080492104</v>
      </c>
      <c r="M1343" s="392">
        <v>9.4069361080492104</v>
      </c>
      <c r="N1343" s="392"/>
    </row>
    <row r="1344" spans="1:14" hidden="1" outlineLevel="2" x14ac:dyDescent="0.35">
      <c r="A1344" s="388" t="s">
        <v>3803</v>
      </c>
      <c r="B1344" s="389">
        <v>44165</v>
      </c>
      <c r="C1344" s="390" t="s">
        <v>4888</v>
      </c>
      <c r="D1344" s="391" t="s">
        <v>4791</v>
      </c>
      <c r="E1344" s="391" t="s">
        <v>4893</v>
      </c>
      <c r="F1344" s="392">
        <v>5000</v>
      </c>
      <c r="G1344" s="393" t="s">
        <v>3800</v>
      </c>
      <c r="H1344" s="394">
        <v>1.9197828791937164</v>
      </c>
      <c r="I1344" s="394"/>
      <c r="J1344" s="392">
        <v>0.47994571979842909</v>
      </c>
      <c r="K1344" s="392">
        <v>0.47994571979842909</v>
      </c>
      <c r="L1344" s="392">
        <v>0.47994571979842909</v>
      </c>
      <c r="M1344" s="392">
        <v>0.47994571979842909</v>
      </c>
      <c r="N1344" s="392"/>
    </row>
    <row r="1345" spans="1:14" hidden="1" outlineLevel="2" x14ac:dyDescent="0.35">
      <c r="A1345" s="388" t="s">
        <v>3803</v>
      </c>
      <c r="B1345" s="389">
        <v>44180</v>
      </c>
      <c r="C1345" s="390" t="s">
        <v>4894</v>
      </c>
      <c r="D1345" s="391" t="s">
        <v>4895</v>
      </c>
      <c r="E1345" s="391" t="s">
        <v>4896</v>
      </c>
      <c r="F1345" s="392">
        <v>3000000</v>
      </c>
      <c r="G1345" s="393" t="s">
        <v>3800</v>
      </c>
      <c r="H1345" s="394">
        <v>1151.8697275162299</v>
      </c>
      <c r="I1345" s="394"/>
      <c r="J1345" s="392">
        <v>287.96743187905747</v>
      </c>
      <c r="K1345" s="392">
        <v>287.96743187905747</v>
      </c>
      <c r="L1345" s="392">
        <v>287.96743187905747</v>
      </c>
      <c r="M1345" s="392">
        <v>287.96743187905747</v>
      </c>
      <c r="N1345" s="392"/>
    </row>
    <row r="1346" spans="1:14" hidden="1" outlineLevel="2" x14ac:dyDescent="0.35">
      <c r="A1346" s="388" t="s">
        <v>3803</v>
      </c>
      <c r="B1346" s="389">
        <v>44180</v>
      </c>
      <c r="C1346" s="390" t="s">
        <v>4897</v>
      </c>
      <c r="D1346" s="391" t="s">
        <v>4898</v>
      </c>
      <c r="E1346" s="391" t="s">
        <v>4899</v>
      </c>
      <c r="F1346" s="392">
        <v>3000000</v>
      </c>
      <c r="G1346" s="393" t="s">
        <v>3800</v>
      </c>
      <c r="H1346" s="394">
        <v>1151.8697275162299</v>
      </c>
      <c r="I1346" s="394"/>
      <c r="J1346" s="392">
        <v>287.96743187905747</v>
      </c>
      <c r="K1346" s="392">
        <v>287.96743187905747</v>
      </c>
      <c r="L1346" s="392">
        <v>287.96743187905747</v>
      </c>
      <c r="M1346" s="392">
        <v>287.96743187905747</v>
      </c>
      <c r="N1346" s="392"/>
    </row>
    <row r="1347" spans="1:14" hidden="1" outlineLevel="2" x14ac:dyDescent="0.35">
      <c r="A1347" s="388" t="s">
        <v>3803</v>
      </c>
      <c r="B1347" s="389">
        <v>44180</v>
      </c>
      <c r="C1347" s="390" t="s">
        <v>4900</v>
      </c>
      <c r="D1347" s="391" t="s">
        <v>4901</v>
      </c>
      <c r="E1347" s="391" t="s">
        <v>4902</v>
      </c>
      <c r="F1347" s="392">
        <v>4000000</v>
      </c>
      <c r="G1347" s="393" t="s">
        <v>3800</v>
      </c>
      <c r="H1347" s="394">
        <v>1535.8263033549731</v>
      </c>
      <c r="I1347" s="394"/>
      <c r="J1347" s="392">
        <v>383.95657583874328</v>
      </c>
      <c r="K1347" s="392">
        <v>383.95657583874328</v>
      </c>
      <c r="L1347" s="392">
        <v>383.95657583874328</v>
      </c>
      <c r="M1347" s="392">
        <v>383.95657583874328</v>
      </c>
      <c r="N1347" s="392"/>
    </row>
    <row r="1348" spans="1:14" hidden="1" outlineLevel="2" x14ac:dyDescent="0.35">
      <c r="A1348" s="388" t="s">
        <v>3803</v>
      </c>
      <c r="B1348" s="389">
        <v>44188</v>
      </c>
      <c r="C1348" s="390" t="s">
        <v>4903</v>
      </c>
      <c r="D1348" s="391" t="s">
        <v>4904</v>
      </c>
      <c r="E1348" s="391" t="s">
        <v>4905</v>
      </c>
      <c r="F1348" s="392">
        <v>1000000</v>
      </c>
      <c r="G1348" s="393" t="s">
        <v>3800</v>
      </c>
      <c r="H1348" s="394">
        <v>383.95657583874328</v>
      </c>
      <c r="I1348" s="394"/>
      <c r="J1348" s="392">
        <v>95.989143959685819</v>
      </c>
      <c r="K1348" s="392">
        <v>95.989143959685819</v>
      </c>
      <c r="L1348" s="392">
        <v>95.989143959685819</v>
      </c>
      <c r="M1348" s="392">
        <v>95.989143959685819</v>
      </c>
      <c r="N1348" s="392"/>
    </row>
    <row r="1349" spans="1:14" hidden="1" outlineLevel="2" x14ac:dyDescent="0.35">
      <c r="A1349" s="388" t="s">
        <v>3803</v>
      </c>
      <c r="B1349" s="389">
        <v>44326</v>
      </c>
      <c r="C1349" s="390" t="s">
        <v>4906</v>
      </c>
      <c r="D1349" s="391" t="s">
        <v>4907</v>
      </c>
      <c r="E1349" s="391" t="s">
        <v>4908</v>
      </c>
      <c r="F1349" s="392">
        <v>2500000</v>
      </c>
      <c r="G1349" s="393" t="s">
        <v>3800</v>
      </c>
      <c r="H1349" s="394">
        <v>930.23108593324514</v>
      </c>
      <c r="I1349" s="394"/>
      <c r="J1349" s="392">
        <v>232.55777148331129</v>
      </c>
      <c r="K1349" s="392">
        <v>232.55777148331129</v>
      </c>
      <c r="L1349" s="392">
        <v>232.55777148331129</v>
      </c>
      <c r="M1349" s="392">
        <v>232.55777148331129</v>
      </c>
      <c r="N1349" s="392"/>
    </row>
    <row r="1350" spans="1:14" hidden="1" outlineLevel="2" x14ac:dyDescent="0.35">
      <c r="A1350" s="388" t="s">
        <v>3803</v>
      </c>
      <c r="B1350" s="389">
        <v>44491</v>
      </c>
      <c r="C1350" s="390" t="s">
        <v>4909</v>
      </c>
      <c r="D1350" s="391" t="s">
        <v>4910</v>
      </c>
      <c r="E1350" s="391" t="s">
        <v>4911</v>
      </c>
      <c r="F1350" s="392">
        <v>29186674.170000002</v>
      </c>
      <c r="G1350" s="393" t="s">
        <v>3800</v>
      </c>
      <c r="H1350" s="394">
        <v>10860.140643175559</v>
      </c>
      <c r="I1350" s="394"/>
      <c r="J1350" s="392">
        <v>2715.0351607938896</v>
      </c>
      <c r="K1350" s="392">
        <v>2715.0351607938896</v>
      </c>
      <c r="L1350" s="392">
        <v>2715.0351607938896</v>
      </c>
      <c r="M1350" s="392">
        <v>2715.0351607938896</v>
      </c>
      <c r="N1350" s="392"/>
    </row>
    <row r="1351" spans="1:14" hidden="1" outlineLevel="2" x14ac:dyDescent="0.35">
      <c r="A1351" s="388" t="s">
        <v>3803</v>
      </c>
      <c r="B1351" s="389">
        <v>44491</v>
      </c>
      <c r="C1351" s="390" t="s">
        <v>4912</v>
      </c>
      <c r="D1351" s="391" t="s">
        <v>4913</v>
      </c>
      <c r="E1351" s="391" t="s">
        <v>4251</v>
      </c>
      <c r="F1351" s="392">
        <v>813565.83</v>
      </c>
      <c r="G1351" s="393" t="s">
        <v>3800</v>
      </c>
      <c r="H1351" s="394">
        <v>302.72169020763272</v>
      </c>
      <c r="I1351" s="394"/>
      <c r="J1351" s="392">
        <v>75.68042255190818</v>
      </c>
      <c r="K1351" s="392">
        <v>75.68042255190818</v>
      </c>
      <c r="L1351" s="392">
        <v>75.68042255190818</v>
      </c>
      <c r="M1351" s="392">
        <v>75.68042255190818</v>
      </c>
      <c r="N1351" s="392"/>
    </row>
    <row r="1352" spans="1:14" hidden="1" outlineLevel="2" x14ac:dyDescent="0.35">
      <c r="A1352" s="388" t="s">
        <v>3803</v>
      </c>
      <c r="B1352" s="389">
        <v>44588</v>
      </c>
      <c r="C1352" s="390" t="s">
        <v>4914</v>
      </c>
      <c r="D1352" s="391" t="s">
        <v>4915</v>
      </c>
      <c r="E1352" s="391" t="s">
        <v>4916</v>
      </c>
      <c r="F1352" s="392">
        <v>36969495.380000003</v>
      </c>
      <c r="G1352" s="393" t="s">
        <v>3800</v>
      </c>
      <c r="H1352" s="394">
        <v>13756.069533496597</v>
      </c>
      <c r="I1352" s="394"/>
      <c r="J1352" s="392">
        <v>3439.0173833741492</v>
      </c>
      <c r="K1352" s="392">
        <v>3439.0173833741492</v>
      </c>
      <c r="L1352" s="392">
        <v>3439.0173833741492</v>
      </c>
      <c r="M1352" s="392">
        <v>3439.0173833741492</v>
      </c>
      <c r="N1352" s="392"/>
    </row>
    <row r="1353" spans="1:14" hidden="1" outlineLevel="2" x14ac:dyDescent="0.35">
      <c r="A1353" s="388" t="s">
        <v>3803</v>
      </c>
      <c r="B1353" s="389">
        <v>44588</v>
      </c>
      <c r="C1353" s="390" t="s">
        <v>4917</v>
      </c>
      <c r="D1353" s="391" t="s">
        <v>4918</v>
      </c>
      <c r="E1353" s="391" t="s">
        <v>4919</v>
      </c>
      <c r="F1353" s="392">
        <v>1030508.58</v>
      </c>
      <c r="G1353" s="393" t="s">
        <v>3800</v>
      </c>
      <c r="H1353" s="394">
        <v>383.44444617477058</v>
      </c>
      <c r="I1353" s="394"/>
      <c r="J1353" s="392">
        <v>95.861111543692644</v>
      </c>
      <c r="K1353" s="392">
        <v>95.861111543692644</v>
      </c>
      <c r="L1353" s="392">
        <v>95.861111543692644</v>
      </c>
      <c r="M1353" s="392">
        <v>95.861111543692644</v>
      </c>
      <c r="N1353" s="392"/>
    </row>
    <row r="1354" spans="1:14" outlineLevel="1" collapsed="1" x14ac:dyDescent="0.35">
      <c r="A1354" s="395" t="s">
        <v>4920</v>
      </c>
      <c r="B1354" s="389"/>
      <c r="C1354" s="390"/>
      <c r="D1354" s="391"/>
      <c r="E1354" s="391"/>
      <c r="F1354" s="392"/>
      <c r="G1354" s="393"/>
      <c r="H1354" s="394">
        <f t="shared" ref="H1354:N1354" si="37">SUBTOTAL(9,H1341:H1353)</f>
        <v>31382.616950712869</v>
      </c>
      <c r="I1354" s="394"/>
      <c r="J1354" s="392">
        <f t="shared" si="37"/>
        <v>7845.6542376782172</v>
      </c>
      <c r="K1354" s="392">
        <f t="shared" si="37"/>
        <v>7845.6542376782172</v>
      </c>
      <c r="L1354" s="392">
        <f t="shared" si="37"/>
        <v>7845.6542376782172</v>
      </c>
      <c r="M1354" s="392">
        <f t="shared" si="37"/>
        <v>7845.6542376782172</v>
      </c>
      <c r="N1354" s="392">
        <f t="shared" si="37"/>
        <v>0</v>
      </c>
    </row>
    <row r="1355" spans="1:14" hidden="1" outlineLevel="2" x14ac:dyDescent="0.35">
      <c r="A1355" s="388" t="s">
        <v>3848</v>
      </c>
      <c r="B1355" s="389">
        <v>43875</v>
      </c>
      <c r="C1355" s="390" t="s">
        <v>4921</v>
      </c>
      <c r="D1355" s="391" t="s">
        <v>4922</v>
      </c>
      <c r="E1355" s="391" t="s">
        <v>4923</v>
      </c>
      <c r="F1355" s="392">
        <v>2322000</v>
      </c>
      <c r="G1355" s="393" t="s">
        <v>3800</v>
      </c>
      <c r="H1355" s="394">
        <v>891.54716909756189</v>
      </c>
      <c r="I1355" s="394"/>
      <c r="J1355" s="392">
        <v>222.88679227439047</v>
      </c>
      <c r="K1355" s="392">
        <v>222.88679227439047</v>
      </c>
      <c r="L1355" s="392">
        <v>222.88679227439047</v>
      </c>
      <c r="M1355" s="392">
        <v>222.88679227439047</v>
      </c>
      <c r="N1355" s="392"/>
    </row>
    <row r="1356" spans="1:14" hidden="1" outlineLevel="2" x14ac:dyDescent="0.35">
      <c r="A1356" s="388" t="s">
        <v>3848</v>
      </c>
      <c r="B1356" s="389">
        <v>43878</v>
      </c>
      <c r="C1356" s="390" t="s">
        <v>4924</v>
      </c>
      <c r="D1356" s="391" t="s">
        <v>4925</v>
      </c>
      <c r="E1356" s="391" t="s">
        <v>4923</v>
      </c>
      <c r="F1356" s="392">
        <v>258000</v>
      </c>
      <c r="G1356" s="393" t="s">
        <v>3800</v>
      </c>
      <c r="H1356" s="394">
        <v>99.060796566395766</v>
      </c>
      <c r="I1356" s="394"/>
      <c r="J1356" s="392">
        <v>24.765199141598941</v>
      </c>
      <c r="K1356" s="392">
        <v>24.765199141598941</v>
      </c>
      <c r="L1356" s="392">
        <v>24.765199141598941</v>
      </c>
      <c r="M1356" s="392">
        <v>24.765199141598941</v>
      </c>
      <c r="N1356" s="392"/>
    </row>
    <row r="1357" spans="1:14" hidden="1" outlineLevel="2" x14ac:dyDescent="0.35">
      <c r="A1357" s="388" t="s">
        <v>3848</v>
      </c>
      <c r="B1357" s="389">
        <v>43837</v>
      </c>
      <c r="C1357" s="390" t="s">
        <v>4926</v>
      </c>
      <c r="D1357" s="391" t="s">
        <v>4927</v>
      </c>
      <c r="E1357" s="391" t="s">
        <v>4928</v>
      </c>
      <c r="F1357" s="392">
        <v>2640000</v>
      </c>
      <c r="G1357" s="393" t="s">
        <v>3800</v>
      </c>
      <c r="H1357" s="394">
        <v>1013.6453602142823</v>
      </c>
      <c r="I1357" s="394"/>
      <c r="J1357" s="392">
        <v>253.41134005357057</v>
      </c>
      <c r="K1357" s="392">
        <v>253.41134005357057</v>
      </c>
      <c r="L1357" s="392">
        <v>253.41134005357057</v>
      </c>
      <c r="M1357" s="392">
        <v>253.41134005357057</v>
      </c>
      <c r="N1357" s="392"/>
    </row>
    <row r="1358" spans="1:14" hidden="1" outlineLevel="2" x14ac:dyDescent="0.35">
      <c r="A1358" s="388" t="s">
        <v>3848</v>
      </c>
      <c r="B1358" s="389">
        <v>43840</v>
      </c>
      <c r="C1358" s="390" t="s">
        <v>4929</v>
      </c>
      <c r="D1358" s="391" t="s">
        <v>4930</v>
      </c>
      <c r="E1358" s="391" t="s">
        <v>4931</v>
      </c>
      <c r="F1358" s="392">
        <v>2530500</v>
      </c>
      <c r="G1358" s="393" t="s">
        <v>3800</v>
      </c>
      <c r="H1358" s="394">
        <v>971.6021151599399</v>
      </c>
      <c r="I1358" s="394"/>
      <c r="J1358" s="392">
        <v>242.90052878998497</v>
      </c>
      <c r="K1358" s="392">
        <v>242.90052878998497</v>
      </c>
      <c r="L1358" s="392">
        <v>242.90052878998497</v>
      </c>
      <c r="M1358" s="392">
        <v>242.90052878998497</v>
      </c>
      <c r="N1358" s="392"/>
    </row>
    <row r="1359" spans="1:14" hidden="1" outlineLevel="2" x14ac:dyDescent="0.35">
      <c r="A1359" s="388" t="s">
        <v>3848</v>
      </c>
      <c r="B1359" s="389">
        <v>43843</v>
      </c>
      <c r="C1359" s="390" t="s">
        <v>4932</v>
      </c>
      <c r="D1359" s="391" t="s">
        <v>4933</v>
      </c>
      <c r="E1359" s="391" t="s">
        <v>4934</v>
      </c>
      <c r="F1359" s="392">
        <v>455000</v>
      </c>
      <c r="G1359" s="393" t="s">
        <v>3800</v>
      </c>
      <c r="H1359" s="394">
        <v>174.7002420066282</v>
      </c>
      <c r="I1359" s="394"/>
      <c r="J1359" s="392">
        <v>43.67506050165705</v>
      </c>
      <c r="K1359" s="392">
        <v>43.67506050165705</v>
      </c>
      <c r="L1359" s="392">
        <v>43.67506050165705</v>
      </c>
      <c r="M1359" s="392">
        <v>43.67506050165705</v>
      </c>
      <c r="N1359" s="392"/>
    </row>
    <row r="1360" spans="1:14" hidden="1" outlineLevel="2" x14ac:dyDescent="0.35">
      <c r="A1360" s="388" t="s">
        <v>3848</v>
      </c>
      <c r="B1360" s="389">
        <v>43871</v>
      </c>
      <c r="C1360" s="390" t="s">
        <v>4935</v>
      </c>
      <c r="D1360" s="391" t="s">
        <v>4936</v>
      </c>
      <c r="E1360" s="391" t="s">
        <v>2812</v>
      </c>
      <c r="F1360" s="392">
        <v>224200</v>
      </c>
      <c r="G1360" s="393" t="s">
        <v>3800</v>
      </c>
      <c r="H1360" s="394">
        <v>86.083064303046243</v>
      </c>
      <c r="I1360" s="394"/>
      <c r="J1360" s="392">
        <v>21.520766075761561</v>
      </c>
      <c r="K1360" s="392">
        <v>21.520766075761561</v>
      </c>
      <c r="L1360" s="392">
        <v>21.520766075761561</v>
      </c>
      <c r="M1360" s="392">
        <v>21.520766075761561</v>
      </c>
      <c r="N1360" s="392"/>
    </row>
    <row r="1361" spans="1:14" hidden="1" outlineLevel="2" x14ac:dyDescent="0.35">
      <c r="A1361" s="388" t="s">
        <v>3848</v>
      </c>
      <c r="B1361" s="389">
        <v>43871</v>
      </c>
      <c r="C1361" s="390" t="s">
        <v>4937</v>
      </c>
      <c r="D1361" s="391" t="s">
        <v>4936</v>
      </c>
      <c r="E1361" s="391" t="s">
        <v>4938</v>
      </c>
      <c r="F1361" s="392">
        <v>3798374.84</v>
      </c>
      <c r="G1361" s="393" t="s">
        <v>3800</v>
      </c>
      <c r="H1361" s="394">
        <v>1458.4109973184343</v>
      </c>
      <c r="I1361" s="394"/>
      <c r="J1361" s="392">
        <v>364.60274932960857</v>
      </c>
      <c r="K1361" s="392">
        <v>364.60274932960857</v>
      </c>
      <c r="L1361" s="392">
        <v>364.60274932960857</v>
      </c>
      <c r="M1361" s="392">
        <v>364.60274932960857</v>
      </c>
      <c r="N1361" s="392"/>
    </row>
    <row r="1362" spans="1:14" hidden="1" outlineLevel="2" x14ac:dyDescent="0.35">
      <c r="A1362" s="388" t="s">
        <v>3848</v>
      </c>
      <c r="B1362" s="389">
        <v>43875</v>
      </c>
      <c r="C1362" s="390" t="s">
        <v>4939</v>
      </c>
      <c r="D1362" s="391" t="s">
        <v>4940</v>
      </c>
      <c r="E1362" s="391" t="s">
        <v>4879</v>
      </c>
      <c r="F1362" s="392">
        <v>1470000</v>
      </c>
      <c r="G1362" s="393" t="s">
        <v>3800</v>
      </c>
      <c r="H1362" s="394">
        <v>564.41616648295269</v>
      </c>
      <c r="I1362" s="394"/>
      <c r="J1362" s="392">
        <v>141.10404162073817</v>
      </c>
      <c r="K1362" s="392">
        <v>141.10404162073817</v>
      </c>
      <c r="L1362" s="392">
        <v>141.10404162073817</v>
      </c>
      <c r="M1362" s="392">
        <v>141.10404162073817</v>
      </c>
      <c r="N1362" s="392"/>
    </row>
    <row r="1363" spans="1:14" hidden="1" outlineLevel="2" x14ac:dyDescent="0.35">
      <c r="A1363" s="388" t="s">
        <v>3848</v>
      </c>
      <c r="B1363" s="389">
        <v>43851</v>
      </c>
      <c r="C1363" s="390" t="s">
        <v>4941</v>
      </c>
      <c r="D1363" s="391" t="s">
        <v>4942</v>
      </c>
      <c r="E1363" s="391" t="s">
        <v>4943</v>
      </c>
      <c r="F1363" s="392">
        <v>2400000</v>
      </c>
      <c r="G1363" s="393" t="s">
        <v>3800</v>
      </c>
      <c r="H1363" s="394">
        <v>921.49578201298391</v>
      </c>
      <c r="I1363" s="394"/>
      <c r="J1363" s="392">
        <v>230.37394550324598</v>
      </c>
      <c r="K1363" s="392">
        <v>230.37394550324598</v>
      </c>
      <c r="L1363" s="392">
        <v>230.37394550324598</v>
      </c>
      <c r="M1363" s="392">
        <v>230.37394550324598</v>
      </c>
      <c r="N1363" s="392"/>
    </row>
    <row r="1364" spans="1:14" hidden="1" outlineLevel="2" x14ac:dyDescent="0.35">
      <c r="A1364" s="388" t="s">
        <v>3848</v>
      </c>
      <c r="B1364" s="389">
        <v>43879</v>
      </c>
      <c r="C1364" s="390" t="s">
        <v>4944</v>
      </c>
      <c r="D1364" s="391" t="s">
        <v>4940</v>
      </c>
      <c r="E1364" s="391" t="s">
        <v>4879</v>
      </c>
      <c r="F1364" s="392">
        <v>3202500</v>
      </c>
      <c r="G1364" s="393" t="s">
        <v>3800</v>
      </c>
      <c r="H1364" s="394">
        <v>1229.6209341235754</v>
      </c>
      <c r="I1364" s="394"/>
      <c r="J1364" s="392">
        <v>307.40523353089384</v>
      </c>
      <c r="K1364" s="392">
        <v>307.40523353089384</v>
      </c>
      <c r="L1364" s="392">
        <v>307.40523353089384</v>
      </c>
      <c r="M1364" s="392">
        <v>307.40523353089384</v>
      </c>
      <c r="N1364" s="392"/>
    </row>
    <row r="1365" spans="1:14" hidden="1" outlineLevel="2" x14ac:dyDescent="0.35">
      <c r="A1365" s="388" t="s">
        <v>3848</v>
      </c>
      <c r="B1365" s="389">
        <v>43951</v>
      </c>
      <c r="C1365" s="390" t="s">
        <v>4945</v>
      </c>
      <c r="D1365" s="391" t="s">
        <v>4946</v>
      </c>
      <c r="E1365" s="391" t="s">
        <v>4947</v>
      </c>
      <c r="F1365" s="392">
        <v>16953</v>
      </c>
      <c r="G1365" s="393" t="s">
        <v>3800</v>
      </c>
      <c r="H1365" s="394">
        <v>6.5092158301942149</v>
      </c>
      <c r="I1365" s="394"/>
      <c r="J1365" s="392">
        <v>1.6273039575485537</v>
      </c>
      <c r="K1365" s="392">
        <v>1.6273039575485537</v>
      </c>
      <c r="L1365" s="392">
        <v>1.6273039575485537</v>
      </c>
      <c r="M1365" s="392">
        <v>1.6273039575485537</v>
      </c>
      <c r="N1365" s="392"/>
    </row>
    <row r="1366" spans="1:14" hidden="1" outlineLevel="2" x14ac:dyDescent="0.35">
      <c r="A1366" s="388" t="s">
        <v>3848</v>
      </c>
      <c r="B1366" s="389">
        <v>43951</v>
      </c>
      <c r="C1366" s="390" t="s">
        <v>4945</v>
      </c>
      <c r="D1366" s="391" t="s">
        <v>4948</v>
      </c>
      <c r="E1366" s="391" t="s">
        <v>4949</v>
      </c>
      <c r="F1366" s="392">
        <v>690660</v>
      </c>
      <c r="G1366" s="393" t="s">
        <v>3800</v>
      </c>
      <c r="H1366" s="394">
        <v>265.18344866878647</v>
      </c>
      <c r="I1366" s="394"/>
      <c r="J1366" s="392">
        <v>66.295862167196617</v>
      </c>
      <c r="K1366" s="392">
        <v>66.295862167196617</v>
      </c>
      <c r="L1366" s="392">
        <v>66.295862167196617</v>
      </c>
      <c r="M1366" s="392">
        <v>66.295862167196617</v>
      </c>
      <c r="N1366" s="392"/>
    </row>
    <row r="1367" spans="1:14" hidden="1" outlineLevel="2" x14ac:dyDescent="0.35">
      <c r="A1367" s="388" t="s">
        <v>3848</v>
      </c>
      <c r="B1367" s="389">
        <v>43951</v>
      </c>
      <c r="C1367" s="390" t="s">
        <v>4945</v>
      </c>
      <c r="D1367" s="391" t="s">
        <v>4950</v>
      </c>
      <c r="E1367" s="391" t="s">
        <v>4951</v>
      </c>
      <c r="F1367" s="392">
        <v>2800000</v>
      </c>
      <c r="G1367" s="393" t="s">
        <v>3800</v>
      </c>
      <c r="H1367" s="394">
        <v>1075.0784123484812</v>
      </c>
      <c r="I1367" s="394"/>
      <c r="J1367" s="392">
        <v>268.76960308712029</v>
      </c>
      <c r="K1367" s="392">
        <v>268.76960308712029</v>
      </c>
      <c r="L1367" s="392">
        <v>268.76960308712029</v>
      </c>
      <c r="M1367" s="392">
        <v>268.76960308712029</v>
      </c>
      <c r="N1367" s="392"/>
    </row>
    <row r="1368" spans="1:14" hidden="1" outlineLevel="2" x14ac:dyDescent="0.35">
      <c r="A1368" s="388" t="s">
        <v>3848</v>
      </c>
      <c r="B1368" s="389">
        <v>43951</v>
      </c>
      <c r="C1368" s="390" t="s">
        <v>4945</v>
      </c>
      <c r="D1368" s="391" t="s">
        <v>4952</v>
      </c>
      <c r="E1368" s="391" t="s">
        <v>4951</v>
      </c>
      <c r="F1368" s="392">
        <v>480000</v>
      </c>
      <c r="G1368" s="393" t="s">
        <v>3800</v>
      </c>
      <c r="H1368" s="394">
        <v>184.29915640259676</v>
      </c>
      <c r="I1368" s="394"/>
      <c r="J1368" s="392">
        <v>46.074789100649191</v>
      </c>
      <c r="K1368" s="392">
        <v>46.074789100649191</v>
      </c>
      <c r="L1368" s="392">
        <v>46.074789100649191</v>
      </c>
      <c r="M1368" s="392">
        <v>46.074789100649191</v>
      </c>
      <c r="N1368" s="392"/>
    </row>
    <row r="1369" spans="1:14" hidden="1" outlineLevel="2" x14ac:dyDescent="0.35">
      <c r="A1369" s="388" t="s">
        <v>3848</v>
      </c>
      <c r="B1369" s="389">
        <v>43951</v>
      </c>
      <c r="C1369" s="390" t="s">
        <v>4945</v>
      </c>
      <c r="D1369" s="391" t="s">
        <v>4953</v>
      </c>
      <c r="E1369" s="391" t="s">
        <v>4951</v>
      </c>
      <c r="F1369" s="392">
        <v>600000</v>
      </c>
      <c r="G1369" s="393" t="s">
        <v>3800</v>
      </c>
      <c r="H1369" s="394">
        <v>230.37394550324598</v>
      </c>
      <c r="I1369" s="394"/>
      <c r="J1369" s="392">
        <v>57.593486375811494</v>
      </c>
      <c r="K1369" s="392">
        <v>57.593486375811494</v>
      </c>
      <c r="L1369" s="392">
        <v>57.593486375811494</v>
      </c>
      <c r="M1369" s="392">
        <v>57.593486375811494</v>
      </c>
      <c r="N1369" s="392"/>
    </row>
    <row r="1370" spans="1:14" hidden="1" outlineLevel="2" x14ac:dyDescent="0.35">
      <c r="A1370" s="388" t="s">
        <v>3848</v>
      </c>
      <c r="B1370" s="389">
        <v>43951</v>
      </c>
      <c r="C1370" s="390" t="s">
        <v>4945</v>
      </c>
      <c r="D1370" s="391" t="s">
        <v>4954</v>
      </c>
      <c r="E1370" s="391" t="s">
        <v>4951</v>
      </c>
      <c r="F1370" s="392">
        <v>5220000</v>
      </c>
      <c r="G1370" s="393" t="s">
        <v>3800</v>
      </c>
      <c r="H1370" s="394">
        <v>2004.25332587824</v>
      </c>
      <c r="I1370" s="394"/>
      <c r="J1370" s="392">
        <v>501.06333146956001</v>
      </c>
      <c r="K1370" s="392">
        <v>501.06333146956001</v>
      </c>
      <c r="L1370" s="392">
        <v>501.06333146956001</v>
      </c>
      <c r="M1370" s="392">
        <v>501.06333146956001</v>
      </c>
      <c r="N1370" s="392"/>
    </row>
    <row r="1371" spans="1:14" hidden="1" outlineLevel="2" x14ac:dyDescent="0.35">
      <c r="A1371" s="388" t="s">
        <v>3848</v>
      </c>
      <c r="B1371" s="389">
        <v>43951</v>
      </c>
      <c r="C1371" s="390" t="s">
        <v>4945</v>
      </c>
      <c r="D1371" s="391" t="s">
        <v>4955</v>
      </c>
      <c r="E1371" s="391" t="s">
        <v>4198</v>
      </c>
      <c r="F1371" s="392">
        <v>2917722</v>
      </c>
      <c r="G1371" s="393" t="s">
        <v>3800</v>
      </c>
      <c r="H1371" s="394">
        <v>1120.2785483693697</v>
      </c>
      <c r="I1371" s="394"/>
      <c r="J1371" s="392">
        <v>280.06963709234242</v>
      </c>
      <c r="K1371" s="392">
        <v>280.06963709234242</v>
      </c>
      <c r="L1371" s="392">
        <v>280.06963709234242</v>
      </c>
      <c r="M1371" s="392">
        <v>280.06963709234242</v>
      </c>
      <c r="N1371" s="392"/>
    </row>
    <row r="1372" spans="1:14" hidden="1" outlineLevel="2" x14ac:dyDescent="0.35">
      <c r="A1372" s="388" t="s">
        <v>3848</v>
      </c>
      <c r="B1372" s="389">
        <v>43951</v>
      </c>
      <c r="C1372" s="390" t="s">
        <v>4945</v>
      </c>
      <c r="D1372" s="391" t="s">
        <v>4956</v>
      </c>
      <c r="E1372" s="391" t="s">
        <v>4198</v>
      </c>
      <c r="F1372" s="392">
        <v>2264665</v>
      </c>
      <c r="G1372" s="393" t="s">
        <v>3800</v>
      </c>
      <c r="H1372" s="394">
        <v>869.53301882184758</v>
      </c>
      <c r="I1372" s="394"/>
      <c r="J1372" s="392">
        <v>217.38325470546189</v>
      </c>
      <c r="K1372" s="392">
        <v>217.38325470546189</v>
      </c>
      <c r="L1372" s="392">
        <v>217.38325470546189</v>
      </c>
      <c r="M1372" s="392">
        <v>217.38325470546189</v>
      </c>
      <c r="N1372" s="392"/>
    </row>
    <row r="1373" spans="1:14" hidden="1" outlineLevel="2" x14ac:dyDescent="0.35">
      <c r="A1373" s="388" t="s">
        <v>3848</v>
      </c>
      <c r="B1373" s="389">
        <v>43967</v>
      </c>
      <c r="C1373" s="390" t="s">
        <v>4957</v>
      </c>
      <c r="D1373" s="391" t="s">
        <v>4958</v>
      </c>
      <c r="E1373" s="391" t="s">
        <v>4959</v>
      </c>
      <c r="F1373" s="392">
        <v>4135900</v>
      </c>
      <c r="G1373" s="393" t="s">
        <v>3800</v>
      </c>
      <c r="H1373" s="394">
        <v>1588.0060020114583</v>
      </c>
      <c r="I1373" s="394"/>
      <c r="J1373" s="392">
        <v>397.00150050286459</v>
      </c>
      <c r="K1373" s="392">
        <v>397.00150050286459</v>
      </c>
      <c r="L1373" s="392">
        <v>397.00150050286459</v>
      </c>
      <c r="M1373" s="392">
        <v>397.00150050286459</v>
      </c>
      <c r="N1373" s="392"/>
    </row>
    <row r="1374" spans="1:14" hidden="1" outlineLevel="2" x14ac:dyDescent="0.35">
      <c r="A1374" s="388" t="s">
        <v>3848</v>
      </c>
      <c r="B1374" s="389">
        <v>44061</v>
      </c>
      <c r="C1374" s="390" t="s">
        <v>4960</v>
      </c>
      <c r="D1374" s="391" t="s">
        <v>4961</v>
      </c>
      <c r="E1374" s="391" t="s">
        <v>4962</v>
      </c>
      <c r="F1374" s="392">
        <v>511050.34</v>
      </c>
      <c r="G1374" s="393" t="s">
        <v>3800</v>
      </c>
      <c r="H1374" s="394">
        <v>196.22113862762555</v>
      </c>
      <c r="I1374" s="394"/>
      <c r="J1374" s="392">
        <v>49.055284656906387</v>
      </c>
      <c r="K1374" s="392">
        <v>49.055284656906387</v>
      </c>
      <c r="L1374" s="392">
        <v>49.055284656906387</v>
      </c>
      <c r="M1374" s="392">
        <v>49.055284656906387</v>
      </c>
      <c r="N1374" s="392"/>
    </row>
    <row r="1375" spans="1:14" hidden="1" outlineLevel="2" x14ac:dyDescent="0.35">
      <c r="A1375" s="388" t="s">
        <v>3848</v>
      </c>
      <c r="B1375" s="389">
        <v>44104</v>
      </c>
      <c r="C1375" s="390" t="s">
        <v>4963</v>
      </c>
      <c r="D1375" s="391" t="s">
        <v>4964</v>
      </c>
      <c r="E1375" s="391" t="s">
        <v>4965</v>
      </c>
      <c r="F1375" s="392">
        <v>944000</v>
      </c>
      <c r="G1375" s="393" t="s">
        <v>3800</v>
      </c>
      <c r="H1375" s="394">
        <v>362.45500759177366</v>
      </c>
      <c r="I1375" s="394"/>
      <c r="J1375" s="392">
        <v>90.613751897943416</v>
      </c>
      <c r="K1375" s="392">
        <v>90.613751897943416</v>
      </c>
      <c r="L1375" s="392">
        <v>90.613751897943416</v>
      </c>
      <c r="M1375" s="392">
        <v>90.613751897943416</v>
      </c>
      <c r="N1375" s="392"/>
    </row>
    <row r="1376" spans="1:14" hidden="1" outlineLevel="2" collapsed="1" x14ac:dyDescent="0.35">
      <c r="A1376" s="388" t="s">
        <v>3848</v>
      </c>
      <c r="B1376" s="389">
        <v>44104</v>
      </c>
      <c r="C1376" s="390" t="s">
        <v>4963</v>
      </c>
      <c r="D1376" s="391" t="s">
        <v>4966</v>
      </c>
      <c r="E1376" s="391" t="s">
        <v>4967</v>
      </c>
      <c r="F1376" s="392">
        <v>4438559.68</v>
      </c>
      <c r="G1376" s="393" t="s">
        <v>3800</v>
      </c>
      <c r="H1376" s="394">
        <v>1704.214176388708</v>
      </c>
      <c r="I1376" s="394"/>
      <c r="J1376" s="392">
        <v>426.053544097177</v>
      </c>
      <c r="K1376" s="392">
        <v>426.053544097177</v>
      </c>
      <c r="L1376" s="392">
        <v>426.053544097177</v>
      </c>
      <c r="M1376" s="392">
        <v>426.053544097177</v>
      </c>
      <c r="N1376" s="392"/>
    </row>
    <row r="1377" spans="1:14" hidden="1" outlineLevel="2" x14ac:dyDescent="0.35">
      <c r="A1377" s="388" t="s">
        <v>3848</v>
      </c>
      <c r="B1377" s="389">
        <v>44104</v>
      </c>
      <c r="C1377" s="390" t="s">
        <v>4963</v>
      </c>
      <c r="D1377" s="391" t="s">
        <v>4968</v>
      </c>
      <c r="E1377" s="391" t="s">
        <v>4969</v>
      </c>
      <c r="F1377" s="392">
        <v>243179.07</v>
      </c>
      <c r="G1377" s="393" t="s">
        <v>3800</v>
      </c>
      <c r="H1377" s="394">
        <v>93.370203032850071</v>
      </c>
      <c r="I1377" s="394"/>
      <c r="J1377" s="392">
        <v>23.342550758212518</v>
      </c>
      <c r="K1377" s="392">
        <v>23.342550758212518</v>
      </c>
      <c r="L1377" s="392">
        <v>23.342550758212518</v>
      </c>
      <c r="M1377" s="392">
        <v>23.342550758212518</v>
      </c>
      <c r="N1377" s="392"/>
    </row>
    <row r="1378" spans="1:14" hidden="1" outlineLevel="2" x14ac:dyDescent="0.35">
      <c r="A1378" s="388" t="s">
        <v>3848</v>
      </c>
      <c r="B1378" s="389">
        <v>44104</v>
      </c>
      <c r="C1378" s="390" t="s">
        <v>4963</v>
      </c>
      <c r="D1378" s="391" t="s">
        <v>4970</v>
      </c>
      <c r="E1378" s="391" t="s">
        <v>4969</v>
      </c>
      <c r="F1378" s="392">
        <v>407100</v>
      </c>
      <c r="G1378" s="393" t="s">
        <v>3800</v>
      </c>
      <c r="H1378" s="394">
        <v>156.30872202395238</v>
      </c>
      <c r="I1378" s="394"/>
      <c r="J1378" s="392">
        <v>39.077180505988096</v>
      </c>
      <c r="K1378" s="392">
        <v>39.077180505988096</v>
      </c>
      <c r="L1378" s="392">
        <v>39.077180505988096</v>
      </c>
      <c r="M1378" s="392">
        <v>39.077180505988096</v>
      </c>
      <c r="N1378" s="392"/>
    </row>
    <row r="1379" spans="1:14" hidden="1" outlineLevel="2" x14ac:dyDescent="0.35">
      <c r="A1379" s="388" t="s">
        <v>3848</v>
      </c>
      <c r="B1379" s="389">
        <v>44104</v>
      </c>
      <c r="C1379" s="390" t="s">
        <v>4963</v>
      </c>
      <c r="D1379" s="391" t="s">
        <v>4971</v>
      </c>
      <c r="E1379" s="391" t="s">
        <v>4972</v>
      </c>
      <c r="F1379" s="392">
        <v>50000</v>
      </c>
      <c r="G1379" s="393" t="s">
        <v>3800</v>
      </c>
      <c r="H1379" s="394">
        <v>19.197828791937166</v>
      </c>
      <c r="I1379" s="394"/>
      <c r="J1379" s="392">
        <v>4.7994571979842915</v>
      </c>
      <c r="K1379" s="392">
        <v>4.7994571979842915</v>
      </c>
      <c r="L1379" s="392">
        <v>4.7994571979842915</v>
      </c>
      <c r="M1379" s="392">
        <v>4.7994571979842915</v>
      </c>
      <c r="N1379" s="392"/>
    </row>
    <row r="1380" spans="1:14" hidden="1" outlineLevel="2" x14ac:dyDescent="0.35">
      <c r="A1380" s="388" t="s">
        <v>3848</v>
      </c>
      <c r="B1380" s="389">
        <v>44104</v>
      </c>
      <c r="C1380" s="390" t="s">
        <v>4963</v>
      </c>
      <c r="D1380" s="391" t="s">
        <v>4973</v>
      </c>
      <c r="E1380" s="391" t="s">
        <v>4974</v>
      </c>
      <c r="F1380" s="392">
        <v>70000</v>
      </c>
      <c r="G1380" s="393" t="s">
        <v>3800</v>
      </c>
      <c r="H1380" s="394">
        <v>26.876960308712029</v>
      </c>
      <c r="I1380" s="394"/>
      <c r="J1380" s="392">
        <v>6.7192400771780072</v>
      </c>
      <c r="K1380" s="392">
        <v>6.7192400771780072</v>
      </c>
      <c r="L1380" s="392">
        <v>6.7192400771780072</v>
      </c>
      <c r="M1380" s="392">
        <v>6.7192400771780072</v>
      </c>
      <c r="N1380" s="392"/>
    </row>
    <row r="1381" spans="1:14" hidden="1" outlineLevel="2" x14ac:dyDescent="0.35">
      <c r="A1381" s="388" t="s">
        <v>3848</v>
      </c>
      <c r="B1381" s="389">
        <v>44104</v>
      </c>
      <c r="C1381" s="390" t="s">
        <v>4963</v>
      </c>
      <c r="D1381" s="391" t="s">
        <v>4975</v>
      </c>
      <c r="E1381" s="391" t="s">
        <v>4976</v>
      </c>
      <c r="F1381" s="392">
        <v>1888000</v>
      </c>
      <c r="G1381" s="393" t="s">
        <v>3800</v>
      </c>
      <c r="H1381" s="394">
        <v>724.91001518354733</v>
      </c>
      <c r="I1381" s="394"/>
      <c r="J1381" s="392">
        <v>181.22750379588683</v>
      </c>
      <c r="K1381" s="392">
        <v>181.22750379588683</v>
      </c>
      <c r="L1381" s="392">
        <v>181.22750379588683</v>
      </c>
      <c r="M1381" s="392">
        <v>181.22750379588683</v>
      </c>
      <c r="N1381" s="392"/>
    </row>
    <row r="1382" spans="1:14" hidden="1" outlineLevel="2" x14ac:dyDescent="0.35">
      <c r="A1382" s="388" t="s">
        <v>3848</v>
      </c>
      <c r="B1382" s="389">
        <v>44104</v>
      </c>
      <c r="C1382" s="390" t="s">
        <v>4963</v>
      </c>
      <c r="D1382" s="391" t="s">
        <v>4977</v>
      </c>
      <c r="E1382" s="391" t="s">
        <v>4976</v>
      </c>
      <c r="F1382" s="392">
        <v>1888000</v>
      </c>
      <c r="G1382" s="393" t="s">
        <v>3800</v>
      </c>
      <c r="H1382" s="394">
        <v>724.91001518354733</v>
      </c>
      <c r="I1382" s="394"/>
      <c r="J1382" s="392">
        <v>181.22750379588683</v>
      </c>
      <c r="K1382" s="392">
        <v>181.22750379588683</v>
      </c>
      <c r="L1382" s="392">
        <v>181.22750379588683</v>
      </c>
      <c r="M1382" s="392">
        <v>181.22750379588683</v>
      </c>
      <c r="N1382" s="392"/>
    </row>
    <row r="1383" spans="1:14" hidden="1" outlineLevel="2" x14ac:dyDescent="0.35">
      <c r="A1383" s="388" t="s">
        <v>3848</v>
      </c>
      <c r="B1383" s="389">
        <v>44104</v>
      </c>
      <c r="C1383" s="390" t="s">
        <v>4963</v>
      </c>
      <c r="D1383" s="391" t="s">
        <v>4978</v>
      </c>
      <c r="E1383" s="391" t="s">
        <v>4976</v>
      </c>
      <c r="F1383" s="392">
        <v>1888000</v>
      </c>
      <c r="G1383" s="393" t="s">
        <v>3800</v>
      </c>
      <c r="H1383" s="394">
        <v>724.91001518354733</v>
      </c>
      <c r="I1383" s="394"/>
      <c r="J1383" s="392">
        <v>181.22750379588683</v>
      </c>
      <c r="K1383" s="392">
        <v>181.22750379588683</v>
      </c>
      <c r="L1383" s="392">
        <v>181.22750379588683</v>
      </c>
      <c r="M1383" s="392">
        <v>181.22750379588683</v>
      </c>
      <c r="N1383" s="392"/>
    </row>
    <row r="1384" spans="1:14" hidden="1" outlineLevel="2" x14ac:dyDescent="0.35">
      <c r="A1384" s="388" t="s">
        <v>3848</v>
      </c>
      <c r="B1384" s="389">
        <v>44104</v>
      </c>
      <c r="C1384" s="390" t="s">
        <v>4963</v>
      </c>
      <c r="D1384" s="391" t="s">
        <v>4979</v>
      </c>
      <c r="E1384" s="391" t="s">
        <v>4976</v>
      </c>
      <c r="F1384" s="392">
        <v>1888000</v>
      </c>
      <c r="G1384" s="393" t="s">
        <v>3800</v>
      </c>
      <c r="H1384" s="394">
        <v>724.91001518354733</v>
      </c>
      <c r="I1384" s="394"/>
      <c r="J1384" s="392">
        <v>181.22750379588683</v>
      </c>
      <c r="K1384" s="392">
        <v>181.22750379588683</v>
      </c>
      <c r="L1384" s="392">
        <v>181.22750379588683</v>
      </c>
      <c r="M1384" s="392">
        <v>181.22750379588683</v>
      </c>
      <c r="N1384" s="392"/>
    </row>
    <row r="1385" spans="1:14" hidden="1" outlineLevel="2" x14ac:dyDescent="0.35">
      <c r="A1385" s="388" t="s">
        <v>3848</v>
      </c>
      <c r="B1385" s="389">
        <v>44104</v>
      </c>
      <c r="C1385" s="390" t="s">
        <v>4963</v>
      </c>
      <c r="D1385" s="391" t="s">
        <v>4980</v>
      </c>
      <c r="E1385" s="391" t="s">
        <v>4981</v>
      </c>
      <c r="F1385" s="392">
        <v>2832000</v>
      </c>
      <c r="G1385" s="393" t="s">
        <v>3800</v>
      </c>
      <c r="H1385" s="394">
        <v>1087.365022775321</v>
      </c>
      <c r="I1385" s="394"/>
      <c r="J1385" s="392">
        <v>271.84125569383025</v>
      </c>
      <c r="K1385" s="392">
        <v>271.84125569383025</v>
      </c>
      <c r="L1385" s="392">
        <v>271.84125569383025</v>
      </c>
      <c r="M1385" s="392">
        <v>271.84125569383025</v>
      </c>
      <c r="N1385" s="392"/>
    </row>
    <row r="1386" spans="1:14" hidden="1" outlineLevel="2" x14ac:dyDescent="0.35">
      <c r="A1386" s="388" t="s">
        <v>3848</v>
      </c>
      <c r="B1386" s="389">
        <v>44170</v>
      </c>
      <c r="C1386" s="390" t="s">
        <v>4982</v>
      </c>
      <c r="D1386" s="391" t="s">
        <v>4983</v>
      </c>
      <c r="E1386" s="391" t="s">
        <v>4962</v>
      </c>
      <c r="F1386" s="392">
        <v>697543.54</v>
      </c>
      <c r="G1386" s="393" t="s">
        <v>3800</v>
      </c>
      <c r="H1386" s="394">
        <v>267.82642911683547</v>
      </c>
      <c r="I1386" s="394"/>
      <c r="J1386" s="392">
        <v>66.956607279208868</v>
      </c>
      <c r="K1386" s="392">
        <v>66.956607279208868</v>
      </c>
      <c r="L1386" s="392">
        <v>66.956607279208868</v>
      </c>
      <c r="M1386" s="392">
        <v>66.956607279208868</v>
      </c>
      <c r="N1386" s="392"/>
    </row>
    <row r="1387" spans="1:14" hidden="1" outlineLevel="2" x14ac:dyDescent="0.35">
      <c r="A1387" s="388" t="s">
        <v>3848</v>
      </c>
      <c r="B1387" s="389">
        <v>44231</v>
      </c>
      <c r="C1387" s="390" t="s">
        <v>4984</v>
      </c>
      <c r="D1387" s="391" t="s">
        <v>4922</v>
      </c>
      <c r="E1387" s="391" t="s">
        <v>4985</v>
      </c>
      <c r="F1387" s="392">
        <v>2580000</v>
      </c>
      <c r="G1387" s="393" t="s">
        <v>3800</v>
      </c>
      <c r="H1387" s="394">
        <v>959.99848068310894</v>
      </c>
      <c r="I1387" s="394"/>
      <c r="J1387" s="392">
        <v>239.99962017077723</v>
      </c>
      <c r="K1387" s="392">
        <v>239.99962017077723</v>
      </c>
      <c r="L1387" s="392">
        <v>239.99962017077723</v>
      </c>
      <c r="M1387" s="392">
        <v>239.99962017077723</v>
      </c>
      <c r="N1387" s="392"/>
    </row>
    <row r="1388" spans="1:14" hidden="1" outlineLevel="2" x14ac:dyDescent="0.35">
      <c r="A1388" s="388" t="s">
        <v>3848</v>
      </c>
      <c r="B1388" s="389">
        <v>44551</v>
      </c>
      <c r="C1388" s="390" t="s">
        <v>4986</v>
      </c>
      <c r="D1388" s="391" t="s">
        <v>4987</v>
      </c>
      <c r="E1388" s="391" t="s">
        <v>4988</v>
      </c>
      <c r="F1388" s="392">
        <v>23600</v>
      </c>
      <c r="G1388" s="393" t="s">
        <v>3800</v>
      </c>
      <c r="H1388" s="394">
        <v>8.7813814512098336</v>
      </c>
      <c r="I1388" s="394"/>
      <c r="J1388" s="392">
        <v>2.1953453628024584</v>
      </c>
      <c r="K1388" s="392">
        <v>2.1953453628024584</v>
      </c>
      <c r="L1388" s="392">
        <v>2.1953453628024584</v>
      </c>
      <c r="M1388" s="392">
        <v>2.1953453628024584</v>
      </c>
      <c r="N1388" s="392"/>
    </row>
    <row r="1389" spans="1:14" hidden="1" outlineLevel="2" x14ac:dyDescent="0.35">
      <c r="A1389" s="388" t="s">
        <v>3848</v>
      </c>
      <c r="B1389" s="389">
        <v>44551</v>
      </c>
      <c r="C1389" s="390" t="s">
        <v>4989</v>
      </c>
      <c r="D1389" s="391" t="s">
        <v>4987</v>
      </c>
      <c r="E1389" s="391" t="s">
        <v>4988</v>
      </c>
      <c r="F1389" s="392">
        <v>23600</v>
      </c>
      <c r="G1389" s="393" t="s">
        <v>3800</v>
      </c>
      <c r="H1389" s="394">
        <v>8.7813814512098336</v>
      </c>
      <c r="I1389" s="394"/>
      <c r="J1389" s="392">
        <v>2.1953453628024584</v>
      </c>
      <c r="K1389" s="392">
        <v>2.1953453628024584</v>
      </c>
      <c r="L1389" s="392">
        <v>2.1953453628024584</v>
      </c>
      <c r="M1389" s="392">
        <v>2.1953453628024584</v>
      </c>
      <c r="N1389" s="392"/>
    </row>
    <row r="1390" spans="1:14" hidden="1" outlineLevel="2" x14ac:dyDescent="0.35">
      <c r="A1390" s="388" t="s">
        <v>3848</v>
      </c>
      <c r="B1390" s="389">
        <v>44551</v>
      </c>
      <c r="C1390" s="390" t="s">
        <v>4990</v>
      </c>
      <c r="D1390" s="391" t="s">
        <v>4987</v>
      </c>
      <c r="E1390" s="391" t="s">
        <v>4988</v>
      </c>
      <c r="F1390" s="392">
        <v>23600</v>
      </c>
      <c r="G1390" s="393" t="s">
        <v>3800</v>
      </c>
      <c r="H1390" s="394">
        <v>8.7813814512098336</v>
      </c>
      <c r="I1390" s="394"/>
      <c r="J1390" s="392">
        <v>2.1953453628024584</v>
      </c>
      <c r="K1390" s="392">
        <v>2.1953453628024584</v>
      </c>
      <c r="L1390" s="392">
        <v>2.1953453628024584</v>
      </c>
      <c r="M1390" s="392">
        <v>2.1953453628024584</v>
      </c>
      <c r="N1390" s="392"/>
    </row>
    <row r="1391" spans="1:14" hidden="1" outlineLevel="2" x14ac:dyDescent="0.35">
      <c r="A1391" s="388" t="s">
        <v>3848</v>
      </c>
      <c r="B1391" s="389">
        <v>44551</v>
      </c>
      <c r="C1391" s="390" t="s">
        <v>4991</v>
      </c>
      <c r="D1391" s="391" t="s">
        <v>4987</v>
      </c>
      <c r="E1391" s="391" t="s">
        <v>4988</v>
      </c>
      <c r="F1391" s="392">
        <v>23600</v>
      </c>
      <c r="G1391" s="393" t="s">
        <v>3800</v>
      </c>
      <c r="H1391" s="394">
        <v>8.7813814512098336</v>
      </c>
      <c r="I1391" s="394"/>
      <c r="J1391" s="392">
        <v>2.1953453628024584</v>
      </c>
      <c r="K1391" s="392">
        <v>2.1953453628024584</v>
      </c>
      <c r="L1391" s="392">
        <v>2.1953453628024584</v>
      </c>
      <c r="M1391" s="392">
        <v>2.1953453628024584</v>
      </c>
      <c r="N1391" s="392"/>
    </row>
    <row r="1392" spans="1:14" hidden="1" outlineLevel="2" x14ac:dyDescent="0.35">
      <c r="A1392" s="388" t="s">
        <v>3848</v>
      </c>
      <c r="B1392" s="389">
        <v>44551</v>
      </c>
      <c r="C1392" s="390" t="s">
        <v>4992</v>
      </c>
      <c r="D1392" s="391" t="s">
        <v>4987</v>
      </c>
      <c r="E1392" s="391" t="s">
        <v>4988</v>
      </c>
      <c r="F1392" s="392">
        <v>23600</v>
      </c>
      <c r="G1392" s="393" t="s">
        <v>3800</v>
      </c>
      <c r="H1392" s="394">
        <v>8.7813814512098336</v>
      </c>
      <c r="I1392" s="394"/>
      <c r="J1392" s="392">
        <v>2.1953453628024584</v>
      </c>
      <c r="K1392" s="392">
        <v>2.1953453628024584</v>
      </c>
      <c r="L1392" s="392">
        <v>2.1953453628024584</v>
      </c>
      <c r="M1392" s="392">
        <v>2.1953453628024584</v>
      </c>
      <c r="N1392" s="392"/>
    </row>
    <row r="1393" spans="1:14" hidden="1" outlineLevel="2" x14ac:dyDescent="0.35">
      <c r="A1393" s="388" t="s">
        <v>3848</v>
      </c>
      <c r="B1393" s="389">
        <v>44551</v>
      </c>
      <c r="C1393" s="390" t="s">
        <v>4993</v>
      </c>
      <c r="D1393" s="391" t="s">
        <v>4987</v>
      </c>
      <c r="E1393" s="391" t="s">
        <v>4994</v>
      </c>
      <c r="F1393" s="392">
        <v>470000</v>
      </c>
      <c r="G1393" s="393" t="s">
        <v>3800</v>
      </c>
      <c r="H1393" s="394">
        <v>174.88344415545009</v>
      </c>
      <c r="I1393" s="394"/>
      <c r="J1393" s="392">
        <v>43.720861038862523</v>
      </c>
      <c r="K1393" s="392">
        <v>43.720861038862523</v>
      </c>
      <c r="L1393" s="392">
        <v>43.720861038862523</v>
      </c>
      <c r="M1393" s="392">
        <v>43.720861038862523</v>
      </c>
      <c r="N1393" s="392"/>
    </row>
    <row r="1394" spans="1:14" hidden="1" outlineLevel="2" x14ac:dyDescent="0.35">
      <c r="A1394" s="388" t="s">
        <v>3848</v>
      </c>
      <c r="B1394" s="389">
        <v>44551</v>
      </c>
      <c r="C1394" s="390" t="s">
        <v>4995</v>
      </c>
      <c r="D1394" s="391" t="s">
        <v>4987</v>
      </c>
      <c r="E1394" s="391" t="s">
        <v>4996</v>
      </c>
      <c r="F1394" s="392">
        <v>300000</v>
      </c>
      <c r="G1394" s="393" t="s">
        <v>3800</v>
      </c>
      <c r="H1394" s="394">
        <v>111.62773031198941</v>
      </c>
      <c r="I1394" s="394"/>
      <c r="J1394" s="392">
        <v>27.906932577997352</v>
      </c>
      <c r="K1394" s="392">
        <v>27.906932577997352</v>
      </c>
      <c r="L1394" s="392">
        <v>27.906932577997352</v>
      </c>
      <c r="M1394" s="392">
        <v>27.906932577997352</v>
      </c>
      <c r="N1394" s="392"/>
    </row>
    <row r="1395" spans="1:14" hidden="1" outlineLevel="2" x14ac:dyDescent="0.35">
      <c r="A1395" s="388" t="s">
        <v>3848</v>
      </c>
      <c r="B1395" s="389">
        <v>44552</v>
      </c>
      <c r="C1395" s="390" t="s">
        <v>4997</v>
      </c>
      <c r="D1395" s="391" t="s">
        <v>4998</v>
      </c>
      <c r="E1395" s="391" t="s">
        <v>4999</v>
      </c>
      <c r="F1395" s="392">
        <v>200000</v>
      </c>
      <c r="G1395" s="393" t="s">
        <v>3800</v>
      </c>
      <c r="H1395" s="394">
        <v>74.418486874659607</v>
      </c>
      <c r="I1395" s="394"/>
      <c r="J1395" s="392">
        <v>18.604621718664902</v>
      </c>
      <c r="K1395" s="392">
        <v>18.604621718664902</v>
      </c>
      <c r="L1395" s="392">
        <v>18.604621718664902</v>
      </c>
      <c r="M1395" s="392">
        <v>18.604621718664902</v>
      </c>
      <c r="N1395" s="392"/>
    </row>
    <row r="1396" spans="1:14" hidden="1" outlineLevel="2" x14ac:dyDescent="0.35">
      <c r="A1396" s="388" t="s">
        <v>3848</v>
      </c>
      <c r="B1396" s="389">
        <v>44552</v>
      </c>
      <c r="C1396" s="390" t="s">
        <v>5000</v>
      </c>
      <c r="D1396" s="391" t="s">
        <v>5001</v>
      </c>
      <c r="E1396" s="391" t="s">
        <v>4999</v>
      </c>
      <c r="F1396" s="392">
        <v>200000</v>
      </c>
      <c r="G1396" s="393" t="s">
        <v>3800</v>
      </c>
      <c r="H1396" s="394">
        <v>74.418486874659607</v>
      </c>
      <c r="I1396" s="394"/>
      <c r="J1396" s="392">
        <v>18.604621718664902</v>
      </c>
      <c r="K1396" s="392">
        <v>18.604621718664902</v>
      </c>
      <c r="L1396" s="392">
        <v>18.604621718664902</v>
      </c>
      <c r="M1396" s="392">
        <v>18.604621718664902</v>
      </c>
      <c r="N1396" s="392"/>
    </row>
    <row r="1397" spans="1:14" hidden="1" outlineLevel="2" x14ac:dyDescent="0.35">
      <c r="A1397" s="388" t="s">
        <v>3848</v>
      </c>
      <c r="B1397" s="389">
        <v>44553</v>
      </c>
      <c r="C1397" s="390" t="s">
        <v>5002</v>
      </c>
      <c r="D1397" s="391" t="s">
        <v>5003</v>
      </c>
      <c r="E1397" s="391" t="s">
        <v>5004</v>
      </c>
      <c r="F1397" s="392">
        <v>5019100.74</v>
      </c>
      <c r="G1397" s="393" t="s">
        <v>3800</v>
      </c>
      <c r="H1397" s="394">
        <v>1867.5694127114218</v>
      </c>
      <c r="I1397" s="394"/>
      <c r="J1397" s="392">
        <v>466.89235317785545</v>
      </c>
      <c r="K1397" s="392">
        <v>466.89235317785545</v>
      </c>
      <c r="L1397" s="392">
        <v>466.89235317785545</v>
      </c>
      <c r="M1397" s="392">
        <v>466.89235317785545</v>
      </c>
      <c r="N1397" s="392"/>
    </row>
    <row r="1398" spans="1:14" hidden="1" outlineLevel="2" x14ac:dyDescent="0.35">
      <c r="A1398" s="388" t="s">
        <v>3848</v>
      </c>
      <c r="B1398" s="389">
        <v>44551</v>
      </c>
      <c r="C1398" s="390" t="s">
        <v>5005</v>
      </c>
      <c r="D1398" s="391" t="s">
        <v>5006</v>
      </c>
      <c r="E1398" s="391" t="s">
        <v>5007</v>
      </c>
      <c r="F1398" s="392">
        <v>1808000</v>
      </c>
      <c r="G1398" s="393" t="s">
        <v>3800</v>
      </c>
      <c r="H1398" s="394">
        <v>672.74312134692286</v>
      </c>
      <c r="I1398" s="394"/>
      <c r="J1398" s="392">
        <v>168.18578033673072</v>
      </c>
      <c r="K1398" s="392">
        <v>168.18578033673072</v>
      </c>
      <c r="L1398" s="392">
        <v>168.18578033673072</v>
      </c>
      <c r="M1398" s="392">
        <v>168.18578033673072</v>
      </c>
      <c r="N1398" s="392"/>
    </row>
    <row r="1399" spans="1:14" hidden="1" outlineLevel="2" x14ac:dyDescent="0.35">
      <c r="A1399" s="388" t="s">
        <v>3848</v>
      </c>
      <c r="B1399" s="389">
        <v>44551</v>
      </c>
      <c r="C1399" s="390" t="s">
        <v>5008</v>
      </c>
      <c r="D1399" s="391" t="s">
        <v>5009</v>
      </c>
      <c r="E1399" s="391" t="s">
        <v>5007</v>
      </c>
      <c r="F1399" s="392">
        <v>1808000</v>
      </c>
      <c r="G1399" s="393" t="s">
        <v>3800</v>
      </c>
      <c r="H1399" s="394">
        <v>672.74312134692286</v>
      </c>
      <c r="I1399" s="394"/>
      <c r="J1399" s="392">
        <v>168.18578033673072</v>
      </c>
      <c r="K1399" s="392">
        <v>168.18578033673072</v>
      </c>
      <c r="L1399" s="392">
        <v>168.18578033673072</v>
      </c>
      <c r="M1399" s="392">
        <v>168.18578033673072</v>
      </c>
      <c r="N1399" s="392"/>
    </row>
    <row r="1400" spans="1:14" hidden="1" outlineLevel="2" x14ac:dyDescent="0.35">
      <c r="A1400" s="388" t="s">
        <v>3848</v>
      </c>
      <c r="B1400" s="389">
        <v>44551</v>
      </c>
      <c r="C1400" s="390" t="s">
        <v>5010</v>
      </c>
      <c r="D1400" s="391" t="s">
        <v>5011</v>
      </c>
      <c r="E1400" s="391" t="s">
        <v>5012</v>
      </c>
      <c r="F1400" s="392">
        <v>4022033.91</v>
      </c>
      <c r="G1400" s="393" t="s">
        <v>3800</v>
      </c>
      <c r="H1400" s="394">
        <v>1496.5683887038545</v>
      </c>
      <c r="I1400" s="394"/>
      <c r="J1400" s="392">
        <v>374.14209717596361</v>
      </c>
      <c r="K1400" s="392">
        <v>374.14209717596361</v>
      </c>
      <c r="L1400" s="392">
        <v>374.14209717596361</v>
      </c>
      <c r="M1400" s="392">
        <v>374.14209717596361</v>
      </c>
      <c r="N1400" s="392"/>
    </row>
    <row r="1401" spans="1:14" hidden="1" outlineLevel="2" x14ac:dyDescent="0.35">
      <c r="A1401" s="388" t="s">
        <v>3848</v>
      </c>
      <c r="B1401" s="389">
        <v>44552</v>
      </c>
      <c r="C1401" s="390" t="s">
        <v>5013</v>
      </c>
      <c r="D1401" s="391" t="s">
        <v>5014</v>
      </c>
      <c r="E1401" s="391" t="s">
        <v>5007</v>
      </c>
      <c r="F1401" s="392">
        <v>1808000</v>
      </c>
      <c r="G1401" s="393" t="s">
        <v>3800</v>
      </c>
      <c r="H1401" s="394">
        <v>672.74312134692286</v>
      </c>
      <c r="I1401" s="394"/>
      <c r="J1401" s="392">
        <v>168.18578033673072</v>
      </c>
      <c r="K1401" s="392">
        <v>168.18578033673072</v>
      </c>
      <c r="L1401" s="392">
        <v>168.18578033673072</v>
      </c>
      <c r="M1401" s="392">
        <v>168.18578033673072</v>
      </c>
      <c r="N1401" s="392"/>
    </row>
    <row r="1402" spans="1:14" hidden="1" outlineLevel="2" x14ac:dyDescent="0.35">
      <c r="A1402" s="388" t="s">
        <v>3848</v>
      </c>
      <c r="B1402" s="389">
        <v>44553</v>
      </c>
      <c r="C1402" s="390" t="s">
        <v>5015</v>
      </c>
      <c r="D1402" s="391" t="s">
        <v>5016</v>
      </c>
      <c r="E1402" s="391" t="s">
        <v>5017</v>
      </c>
      <c r="F1402" s="392">
        <v>80000</v>
      </c>
      <c r="G1402" s="393" t="s">
        <v>3800</v>
      </c>
      <c r="H1402" s="394">
        <v>29.767394749863843</v>
      </c>
      <c r="I1402" s="394"/>
      <c r="J1402" s="392">
        <v>7.4418486874659608</v>
      </c>
      <c r="K1402" s="392">
        <v>7.4418486874659608</v>
      </c>
      <c r="L1402" s="392">
        <v>7.4418486874659608</v>
      </c>
      <c r="M1402" s="392">
        <v>7.4418486874659608</v>
      </c>
      <c r="N1402" s="392"/>
    </row>
    <row r="1403" spans="1:14" hidden="1" outlineLevel="2" x14ac:dyDescent="0.35">
      <c r="A1403" s="388" t="s">
        <v>3848</v>
      </c>
      <c r="B1403" s="389">
        <v>44553</v>
      </c>
      <c r="C1403" s="390" t="s">
        <v>5018</v>
      </c>
      <c r="D1403" s="391" t="s">
        <v>5019</v>
      </c>
      <c r="E1403" s="391" t="s">
        <v>5017</v>
      </c>
      <c r="F1403" s="392">
        <v>177966.1</v>
      </c>
      <c r="G1403" s="393" t="s">
        <v>3800</v>
      </c>
      <c r="H1403" s="394">
        <v>66.219839384921798</v>
      </c>
      <c r="I1403" s="394"/>
      <c r="J1403" s="392">
        <v>16.554959846230449</v>
      </c>
      <c r="K1403" s="392">
        <v>16.554959846230449</v>
      </c>
      <c r="L1403" s="392">
        <v>16.554959846230449</v>
      </c>
      <c r="M1403" s="392">
        <v>16.554959846230449</v>
      </c>
      <c r="N1403" s="392"/>
    </row>
    <row r="1404" spans="1:14" hidden="1" outlineLevel="2" x14ac:dyDescent="0.35">
      <c r="A1404" s="388" t="s">
        <v>3848</v>
      </c>
      <c r="B1404" s="389">
        <v>44553</v>
      </c>
      <c r="C1404" s="390" t="s">
        <v>5020</v>
      </c>
      <c r="D1404" s="391" t="s">
        <v>5021</v>
      </c>
      <c r="E1404" s="391" t="s">
        <v>5017</v>
      </c>
      <c r="F1404" s="392">
        <v>80000</v>
      </c>
      <c r="G1404" s="393" t="s">
        <v>3800</v>
      </c>
      <c r="H1404" s="394">
        <v>29.767394749863843</v>
      </c>
      <c r="I1404" s="394"/>
      <c r="J1404" s="392">
        <v>7.4418486874659608</v>
      </c>
      <c r="K1404" s="392">
        <v>7.4418486874659608</v>
      </c>
      <c r="L1404" s="392">
        <v>7.4418486874659608</v>
      </c>
      <c r="M1404" s="392">
        <v>7.4418486874659608</v>
      </c>
      <c r="N1404" s="392"/>
    </row>
    <row r="1405" spans="1:14" hidden="1" outlineLevel="2" x14ac:dyDescent="0.35">
      <c r="A1405" s="388" t="s">
        <v>3848</v>
      </c>
      <c r="B1405" s="389">
        <v>44553</v>
      </c>
      <c r="C1405" s="390" t="s">
        <v>5022</v>
      </c>
      <c r="D1405" s="391" t="s">
        <v>5023</v>
      </c>
      <c r="E1405" s="391" t="s">
        <v>5017</v>
      </c>
      <c r="F1405" s="392">
        <v>80000</v>
      </c>
      <c r="G1405" s="393" t="s">
        <v>3800</v>
      </c>
      <c r="H1405" s="394">
        <v>29.767394749863843</v>
      </c>
      <c r="I1405" s="394"/>
      <c r="J1405" s="392">
        <v>7.4418486874659608</v>
      </c>
      <c r="K1405" s="392">
        <v>7.4418486874659608</v>
      </c>
      <c r="L1405" s="392">
        <v>7.4418486874659608</v>
      </c>
      <c r="M1405" s="392">
        <v>7.4418486874659608</v>
      </c>
      <c r="N1405" s="392"/>
    </row>
    <row r="1406" spans="1:14" outlineLevel="1" collapsed="1" x14ac:dyDescent="0.35">
      <c r="A1406" s="395" t="s">
        <v>5024</v>
      </c>
      <c r="B1406" s="389"/>
      <c r="C1406" s="390"/>
      <c r="D1406" s="391"/>
      <c r="E1406" s="391"/>
      <c r="F1406" s="392"/>
      <c r="G1406" s="393"/>
      <c r="H1406" s="394">
        <f t="shared" ref="H1406:N1406" si="38">SUBTOTAL(9,H1355:H1405)</f>
        <v>28544.715975758394</v>
      </c>
      <c r="I1406" s="394"/>
      <c r="J1406" s="392">
        <f t="shared" si="38"/>
        <v>7136.1789939395985</v>
      </c>
      <c r="K1406" s="392">
        <f t="shared" si="38"/>
        <v>7136.1789939395985</v>
      </c>
      <c r="L1406" s="392">
        <f t="shared" si="38"/>
        <v>7136.1789939395985</v>
      </c>
      <c r="M1406" s="392">
        <f t="shared" si="38"/>
        <v>7136.1789939395985</v>
      </c>
      <c r="N1406" s="392">
        <f t="shared" si="38"/>
        <v>0</v>
      </c>
    </row>
    <row r="1407" spans="1:14" hidden="1" outlineLevel="2" x14ac:dyDescent="0.35">
      <c r="A1407" s="388" t="s">
        <v>3868</v>
      </c>
      <c r="B1407" s="389">
        <v>43922</v>
      </c>
      <c r="C1407" s="390" t="s">
        <v>5025</v>
      </c>
      <c r="D1407" s="391" t="s">
        <v>5026</v>
      </c>
      <c r="E1407" s="391" t="s">
        <v>5027</v>
      </c>
      <c r="F1407" s="392">
        <v>819</v>
      </c>
      <c r="G1407" s="393" t="s">
        <v>805</v>
      </c>
      <c r="H1407" s="394">
        <v>747.54</v>
      </c>
      <c r="I1407" s="394"/>
      <c r="J1407" s="392">
        <f t="shared" ref="J1407:N1422" si="39">$H1407/5</f>
        <v>149.50799999999998</v>
      </c>
      <c r="K1407" s="392">
        <f t="shared" si="39"/>
        <v>149.50799999999998</v>
      </c>
      <c r="L1407" s="392">
        <f t="shared" si="39"/>
        <v>149.50799999999998</v>
      </c>
      <c r="M1407" s="392">
        <f t="shared" si="39"/>
        <v>149.50799999999998</v>
      </c>
      <c r="N1407" s="392">
        <f t="shared" si="39"/>
        <v>149.50799999999998</v>
      </c>
    </row>
    <row r="1408" spans="1:14" hidden="1" outlineLevel="2" x14ac:dyDescent="0.35">
      <c r="A1408" s="388" t="s">
        <v>3868</v>
      </c>
      <c r="B1408" s="389">
        <v>44029</v>
      </c>
      <c r="C1408" s="390" t="s">
        <v>5028</v>
      </c>
      <c r="D1408" s="391" t="s">
        <v>5029</v>
      </c>
      <c r="E1408" s="391" t="s">
        <v>5027</v>
      </c>
      <c r="F1408" s="392">
        <v>819</v>
      </c>
      <c r="G1408" s="393" t="s">
        <v>805</v>
      </c>
      <c r="H1408" s="394">
        <v>731.38</v>
      </c>
      <c r="I1408" s="394"/>
      <c r="J1408" s="392">
        <f t="shared" si="39"/>
        <v>146.27600000000001</v>
      </c>
      <c r="K1408" s="392">
        <f t="shared" si="39"/>
        <v>146.27600000000001</v>
      </c>
      <c r="L1408" s="392">
        <f t="shared" si="39"/>
        <v>146.27600000000001</v>
      </c>
      <c r="M1408" s="392">
        <f t="shared" si="39"/>
        <v>146.27600000000001</v>
      </c>
      <c r="N1408" s="392">
        <f t="shared" si="39"/>
        <v>146.27600000000001</v>
      </c>
    </row>
    <row r="1409" spans="1:14" hidden="1" outlineLevel="2" x14ac:dyDescent="0.35">
      <c r="A1409" s="388" t="s">
        <v>3868</v>
      </c>
      <c r="B1409" s="389">
        <v>44141</v>
      </c>
      <c r="C1409" s="390" t="s">
        <v>5030</v>
      </c>
      <c r="D1409" s="391" t="s">
        <v>5031</v>
      </c>
      <c r="E1409" s="391" t="s">
        <v>5027</v>
      </c>
      <c r="F1409" s="392">
        <v>819</v>
      </c>
      <c r="G1409" s="393" t="s">
        <v>805</v>
      </c>
      <c r="H1409" s="394">
        <v>699.52</v>
      </c>
      <c r="I1409" s="394"/>
      <c r="J1409" s="392">
        <f t="shared" si="39"/>
        <v>139.904</v>
      </c>
      <c r="K1409" s="392">
        <f t="shared" si="39"/>
        <v>139.904</v>
      </c>
      <c r="L1409" s="392">
        <f t="shared" si="39"/>
        <v>139.904</v>
      </c>
      <c r="M1409" s="392">
        <f t="shared" si="39"/>
        <v>139.904</v>
      </c>
      <c r="N1409" s="392">
        <f t="shared" si="39"/>
        <v>139.904</v>
      </c>
    </row>
    <row r="1410" spans="1:14" hidden="1" outlineLevel="2" x14ac:dyDescent="0.35">
      <c r="A1410" s="388" t="s">
        <v>3868</v>
      </c>
      <c r="B1410" s="389">
        <v>43908</v>
      </c>
      <c r="C1410" s="390" t="s">
        <v>5032</v>
      </c>
      <c r="D1410" s="391" t="s">
        <v>5033</v>
      </c>
      <c r="E1410" s="391" t="s">
        <v>5034</v>
      </c>
      <c r="F1410" s="392">
        <v>4500</v>
      </c>
      <c r="G1410" s="393" t="s">
        <v>805</v>
      </c>
      <c r="H1410" s="394">
        <v>4005.7</v>
      </c>
      <c r="I1410" s="394"/>
      <c r="J1410" s="392">
        <f t="shared" si="39"/>
        <v>801.14</v>
      </c>
      <c r="K1410" s="392">
        <f t="shared" si="39"/>
        <v>801.14</v>
      </c>
      <c r="L1410" s="392">
        <f t="shared" si="39"/>
        <v>801.14</v>
      </c>
      <c r="M1410" s="392">
        <f t="shared" si="39"/>
        <v>801.14</v>
      </c>
      <c r="N1410" s="392">
        <f t="shared" si="39"/>
        <v>801.14</v>
      </c>
    </row>
    <row r="1411" spans="1:14" hidden="1" outlineLevel="2" x14ac:dyDescent="0.35">
      <c r="A1411" s="388" t="s">
        <v>3868</v>
      </c>
      <c r="B1411" s="389">
        <v>43994</v>
      </c>
      <c r="C1411" s="390" t="s">
        <v>5035</v>
      </c>
      <c r="D1411" s="391" t="s">
        <v>5036</v>
      </c>
      <c r="E1411" s="391" t="s">
        <v>5034</v>
      </c>
      <c r="F1411" s="392">
        <v>4500</v>
      </c>
      <c r="G1411" s="393" t="s">
        <v>805</v>
      </c>
      <c r="H1411" s="394">
        <v>4040.95</v>
      </c>
      <c r="I1411" s="394"/>
      <c r="J1411" s="392">
        <f t="shared" si="39"/>
        <v>808.18999999999994</v>
      </c>
      <c r="K1411" s="392">
        <f t="shared" si="39"/>
        <v>808.18999999999994</v>
      </c>
      <c r="L1411" s="392">
        <f t="shared" si="39"/>
        <v>808.18999999999994</v>
      </c>
      <c r="M1411" s="392">
        <f t="shared" si="39"/>
        <v>808.18999999999994</v>
      </c>
      <c r="N1411" s="392">
        <f t="shared" si="39"/>
        <v>808.18999999999994</v>
      </c>
    </row>
    <row r="1412" spans="1:14" hidden="1" outlineLevel="2" x14ac:dyDescent="0.35">
      <c r="A1412" s="388" t="s">
        <v>3868</v>
      </c>
      <c r="B1412" s="389">
        <v>44067</v>
      </c>
      <c r="C1412" s="390" t="s">
        <v>5037</v>
      </c>
      <c r="D1412" s="391" t="s">
        <v>5038</v>
      </c>
      <c r="E1412" s="391" t="s">
        <v>5034</v>
      </c>
      <c r="F1412" s="392">
        <v>33.880000000000003</v>
      </c>
      <c r="G1412" s="393" t="s">
        <v>56</v>
      </c>
      <c r="H1412" s="394">
        <v>33.880000000000003</v>
      </c>
      <c r="I1412" s="394"/>
      <c r="J1412" s="392">
        <f t="shared" si="39"/>
        <v>6.7760000000000007</v>
      </c>
      <c r="K1412" s="392">
        <f t="shared" si="39"/>
        <v>6.7760000000000007</v>
      </c>
      <c r="L1412" s="392">
        <f t="shared" si="39"/>
        <v>6.7760000000000007</v>
      </c>
      <c r="M1412" s="392">
        <f t="shared" si="39"/>
        <v>6.7760000000000007</v>
      </c>
      <c r="N1412" s="392">
        <f t="shared" si="39"/>
        <v>6.7760000000000007</v>
      </c>
    </row>
    <row r="1413" spans="1:14" hidden="1" outlineLevel="2" x14ac:dyDescent="0.35">
      <c r="A1413" s="388" t="s">
        <v>3868</v>
      </c>
      <c r="B1413" s="389">
        <v>44067</v>
      </c>
      <c r="C1413" s="390" t="s">
        <v>5037</v>
      </c>
      <c r="D1413" s="391" t="s">
        <v>5039</v>
      </c>
      <c r="E1413" s="391" t="s">
        <v>5034</v>
      </c>
      <c r="F1413" s="392">
        <v>187.45</v>
      </c>
      <c r="G1413" s="393" t="s">
        <v>56</v>
      </c>
      <c r="H1413" s="394">
        <v>187.45</v>
      </c>
      <c r="I1413" s="394"/>
      <c r="J1413" s="392">
        <f t="shared" si="39"/>
        <v>37.489999999999995</v>
      </c>
      <c r="K1413" s="392">
        <f t="shared" si="39"/>
        <v>37.489999999999995</v>
      </c>
      <c r="L1413" s="392">
        <f t="shared" si="39"/>
        <v>37.489999999999995</v>
      </c>
      <c r="M1413" s="392">
        <f t="shared" si="39"/>
        <v>37.489999999999995</v>
      </c>
      <c r="N1413" s="392">
        <f t="shared" si="39"/>
        <v>37.489999999999995</v>
      </c>
    </row>
    <row r="1414" spans="1:14" hidden="1" outlineLevel="2" x14ac:dyDescent="0.35">
      <c r="A1414" s="388" t="s">
        <v>3868</v>
      </c>
      <c r="B1414" s="389">
        <v>44067</v>
      </c>
      <c r="C1414" s="390" t="s">
        <v>5040</v>
      </c>
      <c r="D1414" s="391" t="s">
        <v>5041</v>
      </c>
      <c r="E1414" s="391" t="s">
        <v>5034</v>
      </c>
      <c r="F1414" s="392">
        <v>1344.81</v>
      </c>
      <c r="G1414" s="393" t="s">
        <v>56</v>
      </c>
      <c r="H1414" s="394">
        <v>1344.81</v>
      </c>
      <c r="I1414" s="394"/>
      <c r="J1414" s="392">
        <f t="shared" si="39"/>
        <v>268.96199999999999</v>
      </c>
      <c r="K1414" s="392">
        <f t="shared" si="39"/>
        <v>268.96199999999999</v>
      </c>
      <c r="L1414" s="392">
        <f t="shared" si="39"/>
        <v>268.96199999999999</v>
      </c>
      <c r="M1414" s="392">
        <f t="shared" si="39"/>
        <v>268.96199999999999</v>
      </c>
      <c r="N1414" s="392">
        <f t="shared" si="39"/>
        <v>268.96199999999999</v>
      </c>
    </row>
    <row r="1415" spans="1:14" hidden="1" outlineLevel="2" x14ac:dyDescent="0.35">
      <c r="A1415" s="388" t="s">
        <v>3868</v>
      </c>
      <c r="B1415" s="389">
        <v>44067</v>
      </c>
      <c r="C1415" s="390" t="s">
        <v>5042</v>
      </c>
      <c r="D1415" s="391" t="s">
        <v>5041</v>
      </c>
      <c r="E1415" s="391" t="s">
        <v>5034</v>
      </c>
      <c r="F1415" s="392">
        <v>1344.81</v>
      </c>
      <c r="G1415" s="393" t="s">
        <v>56</v>
      </c>
      <c r="H1415" s="394">
        <v>1344.81</v>
      </c>
      <c r="I1415" s="394"/>
      <c r="J1415" s="392">
        <f t="shared" si="39"/>
        <v>268.96199999999999</v>
      </c>
      <c r="K1415" s="392">
        <f t="shared" si="39"/>
        <v>268.96199999999999</v>
      </c>
      <c r="L1415" s="392">
        <f t="shared" si="39"/>
        <v>268.96199999999999</v>
      </c>
      <c r="M1415" s="392">
        <f t="shared" si="39"/>
        <v>268.96199999999999</v>
      </c>
      <c r="N1415" s="392">
        <f t="shared" si="39"/>
        <v>268.96199999999999</v>
      </c>
    </row>
    <row r="1416" spans="1:14" hidden="1" outlineLevel="2" x14ac:dyDescent="0.35">
      <c r="A1416" s="388" t="s">
        <v>3868</v>
      </c>
      <c r="B1416" s="389">
        <v>44067</v>
      </c>
      <c r="C1416" s="390" t="s">
        <v>5042</v>
      </c>
      <c r="D1416" s="391" t="s">
        <v>5041</v>
      </c>
      <c r="E1416" s="391" t="s">
        <v>5034</v>
      </c>
      <c r="F1416" s="392">
        <v>1344.81</v>
      </c>
      <c r="G1416" s="393" t="s">
        <v>56</v>
      </c>
      <c r="H1416" s="394">
        <v>1344.81</v>
      </c>
      <c r="I1416" s="394"/>
      <c r="J1416" s="392">
        <f t="shared" si="39"/>
        <v>268.96199999999999</v>
      </c>
      <c r="K1416" s="392">
        <f t="shared" si="39"/>
        <v>268.96199999999999</v>
      </c>
      <c r="L1416" s="392">
        <f t="shared" si="39"/>
        <v>268.96199999999999</v>
      </c>
      <c r="M1416" s="392">
        <f t="shared" si="39"/>
        <v>268.96199999999999</v>
      </c>
      <c r="N1416" s="392">
        <f t="shared" si="39"/>
        <v>268.96199999999999</v>
      </c>
    </row>
    <row r="1417" spans="1:14" hidden="1" outlineLevel="2" x14ac:dyDescent="0.35">
      <c r="A1417" s="388" t="s">
        <v>3868</v>
      </c>
      <c r="B1417" s="389">
        <v>44067</v>
      </c>
      <c r="C1417" s="390" t="s">
        <v>5042</v>
      </c>
      <c r="D1417" s="391" t="s">
        <v>5043</v>
      </c>
      <c r="E1417" s="391" t="s">
        <v>5034</v>
      </c>
      <c r="F1417" s="392">
        <v>99.66</v>
      </c>
      <c r="G1417" s="393" t="s">
        <v>56</v>
      </c>
      <c r="H1417" s="394">
        <v>99.66</v>
      </c>
      <c r="I1417" s="394"/>
      <c r="J1417" s="392">
        <f t="shared" si="39"/>
        <v>19.931999999999999</v>
      </c>
      <c r="K1417" s="392">
        <f t="shared" si="39"/>
        <v>19.931999999999999</v>
      </c>
      <c r="L1417" s="392">
        <f t="shared" si="39"/>
        <v>19.931999999999999</v>
      </c>
      <c r="M1417" s="392">
        <f t="shared" si="39"/>
        <v>19.931999999999999</v>
      </c>
      <c r="N1417" s="392">
        <f t="shared" si="39"/>
        <v>19.931999999999999</v>
      </c>
    </row>
    <row r="1418" spans="1:14" hidden="1" outlineLevel="2" x14ac:dyDescent="0.35">
      <c r="A1418" s="388" t="s">
        <v>3868</v>
      </c>
      <c r="B1418" s="389">
        <v>44067</v>
      </c>
      <c r="C1418" s="390" t="s">
        <v>5042</v>
      </c>
      <c r="D1418" s="391" t="s">
        <v>5044</v>
      </c>
      <c r="E1418" s="391" t="s">
        <v>5034</v>
      </c>
      <c r="F1418" s="392">
        <v>33.880000000000003</v>
      </c>
      <c r="G1418" s="393" t="s">
        <v>56</v>
      </c>
      <c r="H1418" s="394">
        <v>33.880000000000003</v>
      </c>
      <c r="I1418" s="394"/>
      <c r="J1418" s="392">
        <f t="shared" si="39"/>
        <v>6.7760000000000007</v>
      </c>
      <c r="K1418" s="392">
        <f t="shared" si="39"/>
        <v>6.7760000000000007</v>
      </c>
      <c r="L1418" s="392">
        <f t="shared" si="39"/>
        <v>6.7760000000000007</v>
      </c>
      <c r="M1418" s="392">
        <f t="shared" si="39"/>
        <v>6.7760000000000007</v>
      </c>
      <c r="N1418" s="392">
        <f t="shared" si="39"/>
        <v>6.7760000000000007</v>
      </c>
    </row>
    <row r="1419" spans="1:14" hidden="1" outlineLevel="2" x14ac:dyDescent="0.35">
      <c r="A1419" s="388" t="s">
        <v>3868</v>
      </c>
      <c r="B1419" s="389">
        <v>44138</v>
      </c>
      <c r="C1419" s="390" t="s">
        <v>5045</v>
      </c>
      <c r="D1419" s="391" t="s">
        <v>5046</v>
      </c>
      <c r="E1419" s="391" t="s">
        <v>5034</v>
      </c>
      <c r="F1419" s="392">
        <v>4500</v>
      </c>
      <c r="G1419" s="393" t="s">
        <v>805</v>
      </c>
      <c r="H1419" s="394">
        <v>3843.53</v>
      </c>
      <c r="I1419" s="394"/>
      <c r="J1419" s="392">
        <f t="shared" si="39"/>
        <v>768.70600000000002</v>
      </c>
      <c r="K1419" s="392">
        <f t="shared" si="39"/>
        <v>768.70600000000002</v>
      </c>
      <c r="L1419" s="392">
        <f t="shared" si="39"/>
        <v>768.70600000000002</v>
      </c>
      <c r="M1419" s="392">
        <f t="shared" si="39"/>
        <v>768.70600000000002</v>
      </c>
      <c r="N1419" s="392">
        <f t="shared" si="39"/>
        <v>768.70600000000002</v>
      </c>
    </row>
    <row r="1420" spans="1:14" hidden="1" outlineLevel="2" x14ac:dyDescent="0.35">
      <c r="A1420" s="388" t="s">
        <v>3868</v>
      </c>
      <c r="B1420" s="389">
        <v>44196</v>
      </c>
      <c r="C1420" s="390" t="s">
        <v>5047</v>
      </c>
      <c r="D1420" s="391" t="s">
        <v>5048</v>
      </c>
      <c r="E1420" s="391" t="s">
        <v>5027</v>
      </c>
      <c r="F1420" s="392">
        <v>33.880000000000003</v>
      </c>
      <c r="G1420" s="393" t="s">
        <v>56</v>
      </c>
      <c r="H1420" s="394">
        <v>33.880000000000003</v>
      </c>
      <c r="I1420" s="394"/>
      <c r="J1420" s="392">
        <f t="shared" si="39"/>
        <v>6.7760000000000007</v>
      </c>
      <c r="K1420" s="392">
        <f t="shared" si="39"/>
        <v>6.7760000000000007</v>
      </c>
      <c r="L1420" s="392">
        <f t="shared" si="39"/>
        <v>6.7760000000000007</v>
      </c>
      <c r="M1420" s="392">
        <f t="shared" si="39"/>
        <v>6.7760000000000007</v>
      </c>
      <c r="N1420" s="392">
        <f t="shared" si="39"/>
        <v>6.7760000000000007</v>
      </c>
    </row>
    <row r="1421" spans="1:14" hidden="1" outlineLevel="2" x14ac:dyDescent="0.35">
      <c r="A1421" s="388" t="s">
        <v>3868</v>
      </c>
      <c r="B1421" s="389">
        <v>44196</v>
      </c>
      <c r="C1421" s="390" t="s">
        <v>5047</v>
      </c>
      <c r="D1421" s="391" t="s">
        <v>5049</v>
      </c>
      <c r="E1421" s="391" t="s">
        <v>5027</v>
      </c>
      <c r="F1421" s="392">
        <v>33.880000000000003</v>
      </c>
      <c r="G1421" s="393" t="s">
        <v>56</v>
      </c>
      <c r="H1421" s="394">
        <v>33.880000000000003</v>
      </c>
      <c r="I1421" s="394"/>
      <c r="J1421" s="392">
        <f t="shared" si="39"/>
        <v>6.7760000000000007</v>
      </c>
      <c r="K1421" s="392">
        <f t="shared" si="39"/>
        <v>6.7760000000000007</v>
      </c>
      <c r="L1421" s="392">
        <f t="shared" si="39"/>
        <v>6.7760000000000007</v>
      </c>
      <c r="M1421" s="392">
        <f t="shared" si="39"/>
        <v>6.7760000000000007</v>
      </c>
      <c r="N1421" s="392">
        <f t="shared" si="39"/>
        <v>6.7760000000000007</v>
      </c>
    </row>
    <row r="1422" spans="1:14" hidden="1" outlineLevel="2" x14ac:dyDescent="0.35">
      <c r="A1422" s="388" t="s">
        <v>3868</v>
      </c>
      <c r="B1422" s="389">
        <v>44056</v>
      </c>
      <c r="C1422" s="390" t="s">
        <v>5050</v>
      </c>
      <c r="D1422" s="391" t="s">
        <v>5051</v>
      </c>
      <c r="E1422" s="391" t="s">
        <v>5027</v>
      </c>
      <c r="F1422" s="392">
        <v>-27.76</v>
      </c>
      <c r="G1422" s="393" t="s">
        <v>56</v>
      </c>
      <c r="H1422" s="394">
        <v>-27.76</v>
      </c>
      <c r="I1422" s="394"/>
      <c r="J1422" s="392">
        <f t="shared" si="39"/>
        <v>-5.5520000000000005</v>
      </c>
      <c r="K1422" s="392">
        <f t="shared" si="39"/>
        <v>-5.5520000000000005</v>
      </c>
      <c r="L1422" s="392">
        <f t="shared" si="39"/>
        <v>-5.5520000000000005</v>
      </c>
      <c r="M1422" s="392">
        <f t="shared" si="39"/>
        <v>-5.5520000000000005</v>
      </c>
      <c r="N1422" s="392">
        <f t="shared" si="39"/>
        <v>-5.5520000000000005</v>
      </c>
    </row>
    <row r="1423" spans="1:14" hidden="1" outlineLevel="2" x14ac:dyDescent="0.35">
      <c r="A1423" s="388" t="s">
        <v>3868</v>
      </c>
      <c r="B1423" s="389">
        <v>44056</v>
      </c>
      <c r="C1423" s="390" t="s">
        <v>5050</v>
      </c>
      <c r="D1423" s="391" t="s">
        <v>5052</v>
      </c>
      <c r="E1423" s="391" t="s">
        <v>5027</v>
      </c>
      <c r="F1423" s="392">
        <v>33.880000000000003</v>
      </c>
      <c r="G1423" s="393" t="s">
        <v>56</v>
      </c>
      <c r="H1423" s="394">
        <v>33.880000000000003</v>
      </c>
      <c r="I1423" s="394"/>
      <c r="J1423" s="392">
        <f t="shared" ref="J1423:N1438" si="40">$H1423/5</f>
        <v>6.7760000000000007</v>
      </c>
      <c r="K1423" s="392">
        <f t="shared" si="40"/>
        <v>6.7760000000000007</v>
      </c>
      <c r="L1423" s="392">
        <f t="shared" si="40"/>
        <v>6.7760000000000007</v>
      </c>
      <c r="M1423" s="392">
        <f t="shared" si="40"/>
        <v>6.7760000000000007</v>
      </c>
      <c r="N1423" s="392">
        <f t="shared" si="40"/>
        <v>6.7760000000000007</v>
      </c>
    </row>
    <row r="1424" spans="1:14" hidden="1" outlineLevel="2" x14ac:dyDescent="0.35">
      <c r="A1424" s="388" t="s">
        <v>3868</v>
      </c>
      <c r="B1424" s="389">
        <v>44164</v>
      </c>
      <c r="C1424" s="390" t="s">
        <v>5053</v>
      </c>
      <c r="D1424" s="391" t="s">
        <v>5027</v>
      </c>
      <c r="E1424" s="391" t="s">
        <v>5027</v>
      </c>
      <c r="F1424" s="392">
        <v>-3.54</v>
      </c>
      <c r="G1424" s="393" t="s">
        <v>56</v>
      </c>
      <c r="H1424" s="394">
        <v>-3.54</v>
      </c>
      <c r="I1424" s="394"/>
      <c r="J1424" s="392">
        <f t="shared" si="40"/>
        <v>-0.70799999999999996</v>
      </c>
      <c r="K1424" s="392">
        <f t="shared" si="40"/>
        <v>-0.70799999999999996</v>
      </c>
      <c r="L1424" s="392">
        <f t="shared" si="40"/>
        <v>-0.70799999999999996</v>
      </c>
      <c r="M1424" s="392">
        <f t="shared" si="40"/>
        <v>-0.70799999999999996</v>
      </c>
      <c r="N1424" s="392">
        <f t="shared" si="40"/>
        <v>-0.70799999999999996</v>
      </c>
    </row>
    <row r="1425" spans="1:14" hidden="1" outlineLevel="2" x14ac:dyDescent="0.35">
      <c r="A1425" s="388" t="s">
        <v>3868</v>
      </c>
      <c r="B1425" s="389">
        <v>44167</v>
      </c>
      <c r="C1425" s="390" t="s">
        <v>5054</v>
      </c>
      <c r="D1425" s="391" t="s">
        <v>5055</v>
      </c>
      <c r="E1425" s="391" t="s">
        <v>5027</v>
      </c>
      <c r="F1425" s="392">
        <v>-1.34</v>
      </c>
      <c r="G1425" s="393" t="s">
        <v>56</v>
      </c>
      <c r="H1425" s="394">
        <v>-1.34</v>
      </c>
      <c r="I1425" s="394"/>
      <c r="J1425" s="392">
        <f t="shared" si="40"/>
        <v>-0.26800000000000002</v>
      </c>
      <c r="K1425" s="392">
        <f t="shared" si="40"/>
        <v>-0.26800000000000002</v>
      </c>
      <c r="L1425" s="392">
        <f t="shared" si="40"/>
        <v>-0.26800000000000002</v>
      </c>
      <c r="M1425" s="392">
        <f t="shared" si="40"/>
        <v>-0.26800000000000002</v>
      </c>
      <c r="N1425" s="392">
        <f t="shared" si="40"/>
        <v>-0.26800000000000002</v>
      </c>
    </row>
    <row r="1426" spans="1:14" hidden="1" outlineLevel="2" x14ac:dyDescent="0.35">
      <c r="A1426" s="388" t="s">
        <v>3868</v>
      </c>
      <c r="B1426" s="389">
        <v>43956</v>
      </c>
      <c r="C1426" s="390" t="s">
        <v>5056</v>
      </c>
      <c r="D1426" s="391" t="s">
        <v>5057</v>
      </c>
      <c r="E1426" s="391" t="s">
        <v>5058</v>
      </c>
      <c r="F1426" s="392">
        <v>566.70000000000005</v>
      </c>
      <c r="G1426" s="393" t="s">
        <v>56</v>
      </c>
      <c r="H1426" s="394">
        <v>566.70000000000005</v>
      </c>
      <c r="I1426" s="394"/>
      <c r="J1426" s="392">
        <f t="shared" si="40"/>
        <v>113.34</v>
      </c>
      <c r="K1426" s="392">
        <f t="shared" si="40"/>
        <v>113.34</v>
      </c>
      <c r="L1426" s="392">
        <f t="shared" si="40"/>
        <v>113.34</v>
      </c>
      <c r="M1426" s="392">
        <f t="shared" si="40"/>
        <v>113.34</v>
      </c>
      <c r="N1426" s="392">
        <f t="shared" si="40"/>
        <v>113.34</v>
      </c>
    </row>
    <row r="1427" spans="1:14" hidden="1" outlineLevel="2" x14ac:dyDescent="0.35">
      <c r="A1427" s="388" t="s">
        <v>3868</v>
      </c>
      <c r="B1427" s="389">
        <v>44221</v>
      </c>
      <c r="C1427" s="390" t="s">
        <v>5059</v>
      </c>
      <c r="D1427" s="391" t="s">
        <v>5060</v>
      </c>
      <c r="E1427" s="391" t="s">
        <v>2708</v>
      </c>
      <c r="F1427" s="392">
        <v>194.63</v>
      </c>
      <c r="G1427" s="393" t="s">
        <v>56</v>
      </c>
      <c r="H1427" s="394">
        <v>194.63</v>
      </c>
      <c r="I1427" s="394"/>
      <c r="J1427" s="392">
        <f t="shared" si="40"/>
        <v>38.926000000000002</v>
      </c>
      <c r="K1427" s="392">
        <f t="shared" si="40"/>
        <v>38.926000000000002</v>
      </c>
      <c r="L1427" s="392">
        <f t="shared" si="40"/>
        <v>38.926000000000002</v>
      </c>
      <c r="M1427" s="392">
        <f t="shared" si="40"/>
        <v>38.926000000000002</v>
      </c>
      <c r="N1427" s="392">
        <f t="shared" si="40"/>
        <v>38.926000000000002</v>
      </c>
    </row>
    <row r="1428" spans="1:14" hidden="1" outlineLevel="2" x14ac:dyDescent="0.35">
      <c r="A1428" s="388" t="s">
        <v>3868</v>
      </c>
      <c r="B1428" s="389">
        <v>44067</v>
      </c>
      <c r="C1428" s="390" t="s">
        <v>5042</v>
      </c>
      <c r="D1428" s="391" t="s">
        <v>5061</v>
      </c>
      <c r="E1428" s="391" t="s">
        <v>2708</v>
      </c>
      <c r="F1428" s="392">
        <v>38.31</v>
      </c>
      <c r="G1428" s="393" t="s">
        <v>56</v>
      </c>
      <c r="H1428" s="394">
        <v>38.31</v>
      </c>
      <c r="I1428" s="394"/>
      <c r="J1428" s="392">
        <f t="shared" si="40"/>
        <v>7.6620000000000008</v>
      </c>
      <c r="K1428" s="392">
        <f t="shared" si="40"/>
        <v>7.6620000000000008</v>
      </c>
      <c r="L1428" s="392">
        <f t="shared" si="40"/>
        <v>7.6620000000000008</v>
      </c>
      <c r="M1428" s="392">
        <f t="shared" si="40"/>
        <v>7.6620000000000008</v>
      </c>
      <c r="N1428" s="392">
        <f t="shared" si="40"/>
        <v>7.6620000000000008</v>
      </c>
    </row>
    <row r="1429" spans="1:14" ht="30" hidden="1" outlineLevel="2" x14ac:dyDescent="0.35">
      <c r="A1429" s="388" t="s">
        <v>3868</v>
      </c>
      <c r="B1429" s="389">
        <v>44089</v>
      </c>
      <c r="C1429" s="390" t="s">
        <v>5062</v>
      </c>
      <c r="D1429" s="391" t="s">
        <v>5063</v>
      </c>
      <c r="E1429" s="391" t="s">
        <v>5064</v>
      </c>
      <c r="F1429" s="392">
        <v>56.7</v>
      </c>
      <c r="G1429" s="393" t="s">
        <v>56</v>
      </c>
      <c r="H1429" s="394">
        <v>56.7</v>
      </c>
      <c r="I1429" s="394"/>
      <c r="J1429" s="392">
        <f t="shared" si="40"/>
        <v>11.34</v>
      </c>
      <c r="K1429" s="392">
        <f t="shared" si="40"/>
        <v>11.34</v>
      </c>
      <c r="L1429" s="392">
        <f t="shared" si="40"/>
        <v>11.34</v>
      </c>
      <c r="M1429" s="392">
        <f t="shared" si="40"/>
        <v>11.34</v>
      </c>
      <c r="N1429" s="392">
        <f t="shared" si="40"/>
        <v>11.34</v>
      </c>
    </row>
    <row r="1430" spans="1:14" hidden="1" outlineLevel="2" x14ac:dyDescent="0.35">
      <c r="A1430" s="388" t="s">
        <v>3868</v>
      </c>
      <c r="B1430" s="389">
        <v>43815</v>
      </c>
      <c r="C1430" s="390" t="s">
        <v>5065</v>
      </c>
      <c r="D1430" s="391" t="s">
        <v>5066</v>
      </c>
      <c r="E1430" s="391" t="s">
        <v>5058</v>
      </c>
      <c r="F1430" s="392">
        <v>73.290000000000006</v>
      </c>
      <c r="G1430" s="393" t="s">
        <v>56</v>
      </c>
      <c r="H1430" s="394">
        <v>73.290000000000006</v>
      </c>
      <c r="I1430" s="394"/>
      <c r="J1430" s="392">
        <f t="shared" si="40"/>
        <v>14.658000000000001</v>
      </c>
      <c r="K1430" s="392">
        <f t="shared" si="40"/>
        <v>14.658000000000001</v>
      </c>
      <c r="L1430" s="392">
        <f t="shared" si="40"/>
        <v>14.658000000000001</v>
      </c>
      <c r="M1430" s="392">
        <f t="shared" si="40"/>
        <v>14.658000000000001</v>
      </c>
      <c r="N1430" s="392">
        <f t="shared" si="40"/>
        <v>14.658000000000001</v>
      </c>
    </row>
    <row r="1431" spans="1:14" hidden="1" outlineLevel="2" x14ac:dyDescent="0.35">
      <c r="A1431" s="388" t="s">
        <v>3868</v>
      </c>
      <c r="B1431" s="389">
        <v>43830</v>
      </c>
      <c r="C1431" s="390" t="s">
        <v>5067</v>
      </c>
      <c r="D1431" s="391" t="s">
        <v>5068</v>
      </c>
      <c r="E1431" s="391" t="s">
        <v>5058</v>
      </c>
      <c r="F1431" s="392">
        <v>45.01</v>
      </c>
      <c r="G1431" s="393" t="s">
        <v>56</v>
      </c>
      <c r="H1431" s="394">
        <v>45.01</v>
      </c>
      <c r="I1431" s="394"/>
      <c r="J1431" s="392">
        <f t="shared" si="40"/>
        <v>9.0019999999999989</v>
      </c>
      <c r="K1431" s="392">
        <f t="shared" si="40"/>
        <v>9.0019999999999989</v>
      </c>
      <c r="L1431" s="392">
        <f t="shared" si="40"/>
        <v>9.0019999999999989</v>
      </c>
      <c r="M1431" s="392">
        <f t="shared" si="40"/>
        <v>9.0019999999999989</v>
      </c>
      <c r="N1431" s="392">
        <f t="shared" si="40"/>
        <v>9.0019999999999989</v>
      </c>
    </row>
    <row r="1432" spans="1:14" hidden="1" outlineLevel="2" x14ac:dyDescent="0.35">
      <c r="A1432" s="388" t="s">
        <v>3868</v>
      </c>
      <c r="B1432" s="389">
        <v>43679</v>
      </c>
      <c r="C1432" s="390" t="s">
        <v>5069</v>
      </c>
      <c r="D1432" s="391" t="s">
        <v>5070</v>
      </c>
      <c r="E1432" s="391" t="s">
        <v>798</v>
      </c>
      <c r="F1432" s="392">
        <v>262.39999999999998</v>
      </c>
      <c r="G1432" s="393" t="s">
        <v>56</v>
      </c>
      <c r="H1432" s="394">
        <v>262.39999999999998</v>
      </c>
      <c r="I1432" s="394"/>
      <c r="J1432" s="392">
        <f t="shared" si="40"/>
        <v>52.48</v>
      </c>
      <c r="K1432" s="392">
        <f t="shared" si="40"/>
        <v>52.48</v>
      </c>
      <c r="L1432" s="392">
        <f t="shared" si="40"/>
        <v>52.48</v>
      </c>
      <c r="M1432" s="392">
        <f t="shared" si="40"/>
        <v>52.48</v>
      </c>
      <c r="N1432" s="392">
        <f t="shared" si="40"/>
        <v>52.48</v>
      </c>
    </row>
    <row r="1433" spans="1:14" hidden="1" outlineLevel="2" x14ac:dyDescent="0.35">
      <c r="A1433" s="388" t="s">
        <v>3868</v>
      </c>
      <c r="B1433" s="389">
        <v>43679</v>
      </c>
      <c r="C1433" s="390" t="s">
        <v>5071</v>
      </c>
      <c r="D1433" s="391" t="s">
        <v>5072</v>
      </c>
      <c r="E1433" s="391" t="s">
        <v>798</v>
      </c>
      <c r="F1433" s="392">
        <v>614.79999999999995</v>
      </c>
      <c r="G1433" s="393" t="s">
        <v>56</v>
      </c>
      <c r="H1433" s="394">
        <v>614.79999999999995</v>
      </c>
      <c r="I1433" s="394"/>
      <c r="J1433" s="392">
        <f t="shared" si="40"/>
        <v>122.96</v>
      </c>
      <c r="K1433" s="392">
        <f t="shared" si="40"/>
        <v>122.96</v>
      </c>
      <c r="L1433" s="392">
        <f t="shared" si="40"/>
        <v>122.96</v>
      </c>
      <c r="M1433" s="392">
        <f t="shared" si="40"/>
        <v>122.96</v>
      </c>
      <c r="N1433" s="392">
        <f t="shared" si="40"/>
        <v>122.96</v>
      </c>
    </row>
    <row r="1434" spans="1:14" hidden="1" outlineLevel="2" x14ac:dyDescent="0.35">
      <c r="A1434" s="388" t="s">
        <v>3868</v>
      </c>
      <c r="B1434" s="389">
        <v>43693</v>
      </c>
      <c r="C1434" s="390" t="s">
        <v>5073</v>
      </c>
      <c r="D1434" s="391" t="s">
        <v>5074</v>
      </c>
      <c r="E1434" s="391" t="s">
        <v>798</v>
      </c>
      <c r="F1434" s="392">
        <v>347.03</v>
      </c>
      <c r="G1434" s="393" t="s">
        <v>56</v>
      </c>
      <c r="H1434" s="394">
        <v>347.03</v>
      </c>
      <c r="I1434" s="394"/>
      <c r="J1434" s="392">
        <f t="shared" si="40"/>
        <v>69.405999999999992</v>
      </c>
      <c r="K1434" s="392">
        <f t="shared" si="40"/>
        <v>69.405999999999992</v>
      </c>
      <c r="L1434" s="392">
        <f t="shared" si="40"/>
        <v>69.405999999999992</v>
      </c>
      <c r="M1434" s="392">
        <f t="shared" si="40"/>
        <v>69.405999999999992</v>
      </c>
      <c r="N1434" s="392">
        <f t="shared" si="40"/>
        <v>69.405999999999992</v>
      </c>
    </row>
    <row r="1435" spans="1:14" hidden="1" outlineLevel="2" x14ac:dyDescent="0.35">
      <c r="A1435" s="388" t="s">
        <v>3868</v>
      </c>
      <c r="B1435" s="389">
        <v>43752</v>
      </c>
      <c r="C1435" s="390" t="s">
        <v>5075</v>
      </c>
      <c r="D1435" s="391" t="s">
        <v>5076</v>
      </c>
      <c r="E1435" s="391" t="s">
        <v>5058</v>
      </c>
      <c r="F1435" s="392">
        <v>73.650000000000006</v>
      </c>
      <c r="G1435" s="393" t="s">
        <v>56</v>
      </c>
      <c r="H1435" s="394">
        <v>73.650000000000006</v>
      </c>
      <c r="I1435" s="394"/>
      <c r="J1435" s="392">
        <f t="shared" si="40"/>
        <v>14.73</v>
      </c>
      <c r="K1435" s="392">
        <f t="shared" si="40"/>
        <v>14.73</v>
      </c>
      <c r="L1435" s="392">
        <f t="shared" si="40"/>
        <v>14.73</v>
      </c>
      <c r="M1435" s="392">
        <f t="shared" si="40"/>
        <v>14.73</v>
      </c>
      <c r="N1435" s="392">
        <f t="shared" si="40"/>
        <v>14.73</v>
      </c>
    </row>
    <row r="1436" spans="1:14" hidden="1" outlineLevel="2" x14ac:dyDescent="0.35">
      <c r="A1436" s="388" t="s">
        <v>3868</v>
      </c>
      <c r="B1436" s="389">
        <v>43754</v>
      </c>
      <c r="C1436" s="390" t="s">
        <v>5077</v>
      </c>
      <c r="D1436" s="391" t="s">
        <v>5078</v>
      </c>
      <c r="E1436" s="391" t="s">
        <v>5058</v>
      </c>
      <c r="F1436" s="392">
        <v>201.65</v>
      </c>
      <c r="G1436" s="393" t="s">
        <v>56</v>
      </c>
      <c r="H1436" s="394">
        <v>201.65</v>
      </c>
      <c r="I1436" s="394"/>
      <c r="J1436" s="392">
        <f t="shared" si="40"/>
        <v>40.33</v>
      </c>
      <c r="K1436" s="392">
        <f t="shared" si="40"/>
        <v>40.33</v>
      </c>
      <c r="L1436" s="392">
        <f t="shared" si="40"/>
        <v>40.33</v>
      </c>
      <c r="M1436" s="392">
        <f t="shared" si="40"/>
        <v>40.33</v>
      </c>
      <c r="N1436" s="392">
        <f t="shared" si="40"/>
        <v>40.33</v>
      </c>
    </row>
    <row r="1437" spans="1:14" hidden="1" outlineLevel="2" collapsed="1" x14ac:dyDescent="0.35">
      <c r="A1437" s="388" t="s">
        <v>3868</v>
      </c>
      <c r="B1437" s="389">
        <v>43766</v>
      </c>
      <c r="C1437" s="390" t="s">
        <v>5079</v>
      </c>
      <c r="D1437" s="391" t="s">
        <v>5080</v>
      </c>
      <c r="E1437" s="391" t="s">
        <v>798</v>
      </c>
      <c r="F1437" s="392">
        <v>580.34</v>
      </c>
      <c r="G1437" s="393" t="s">
        <v>56</v>
      </c>
      <c r="H1437" s="394">
        <v>580.34</v>
      </c>
      <c r="I1437" s="394"/>
      <c r="J1437" s="392">
        <f t="shared" si="40"/>
        <v>116.06800000000001</v>
      </c>
      <c r="K1437" s="392">
        <f t="shared" si="40"/>
        <v>116.06800000000001</v>
      </c>
      <c r="L1437" s="392">
        <f t="shared" si="40"/>
        <v>116.06800000000001</v>
      </c>
      <c r="M1437" s="392">
        <f t="shared" si="40"/>
        <v>116.06800000000001</v>
      </c>
      <c r="N1437" s="392">
        <f t="shared" si="40"/>
        <v>116.06800000000001</v>
      </c>
    </row>
    <row r="1438" spans="1:14" hidden="1" outlineLevel="2" x14ac:dyDescent="0.35">
      <c r="A1438" s="388" t="s">
        <v>3868</v>
      </c>
      <c r="B1438" s="389">
        <v>43781</v>
      </c>
      <c r="C1438" s="390" t="s">
        <v>5081</v>
      </c>
      <c r="D1438" s="391" t="s">
        <v>5082</v>
      </c>
      <c r="E1438" s="391" t="s">
        <v>798</v>
      </c>
      <c r="F1438" s="392">
        <v>256.19</v>
      </c>
      <c r="G1438" s="393" t="s">
        <v>56</v>
      </c>
      <c r="H1438" s="394">
        <v>256.19</v>
      </c>
      <c r="I1438" s="394"/>
      <c r="J1438" s="392">
        <f t="shared" si="40"/>
        <v>51.238</v>
      </c>
      <c r="K1438" s="392">
        <f t="shared" si="40"/>
        <v>51.238</v>
      </c>
      <c r="L1438" s="392">
        <f t="shared" si="40"/>
        <v>51.238</v>
      </c>
      <c r="M1438" s="392">
        <f t="shared" si="40"/>
        <v>51.238</v>
      </c>
      <c r="N1438" s="392">
        <f t="shared" si="40"/>
        <v>51.238</v>
      </c>
    </row>
    <row r="1439" spans="1:14" hidden="1" outlineLevel="2" x14ac:dyDescent="0.35">
      <c r="A1439" s="388" t="s">
        <v>3868</v>
      </c>
      <c r="B1439" s="389">
        <v>43781</v>
      </c>
      <c r="C1439" s="390" t="s">
        <v>5083</v>
      </c>
      <c r="D1439" s="391" t="s">
        <v>5084</v>
      </c>
      <c r="E1439" s="391" t="s">
        <v>798</v>
      </c>
      <c r="F1439" s="392">
        <v>264.75</v>
      </c>
      <c r="G1439" s="393" t="s">
        <v>56</v>
      </c>
      <c r="H1439" s="394">
        <v>264.75</v>
      </c>
      <c r="I1439" s="394"/>
      <c r="J1439" s="392">
        <f t="shared" ref="J1439:N1454" si="41">$H1439/5</f>
        <v>52.95</v>
      </c>
      <c r="K1439" s="392">
        <f t="shared" si="41"/>
        <v>52.95</v>
      </c>
      <c r="L1439" s="392">
        <f t="shared" si="41"/>
        <v>52.95</v>
      </c>
      <c r="M1439" s="392">
        <f t="shared" si="41"/>
        <v>52.95</v>
      </c>
      <c r="N1439" s="392">
        <f t="shared" si="41"/>
        <v>52.95</v>
      </c>
    </row>
    <row r="1440" spans="1:14" hidden="1" outlineLevel="2" collapsed="1" x14ac:dyDescent="0.35">
      <c r="A1440" s="388" t="s">
        <v>3868</v>
      </c>
      <c r="B1440" s="389">
        <v>43784</v>
      </c>
      <c r="C1440" s="390" t="s">
        <v>5085</v>
      </c>
      <c r="D1440" s="391" t="s">
        <v>5086</v>
      </c>
      <c r="E1440" s="391" t="s">
        <v>798</v>
      </c>
      <c r="F1440" s="392">
        <v>296.83999999999997</v>
      </c>
      <c r="G1440" s="393" t="s">
        <v>56</v>
      </c>
      <c r="H1440" s="394">
        <v>296.83999999999997</v>
      </c>
      <c r="I1440" s="394"/>
      <c r="J1440" s="392">
        <f t="shared" si="41"/>
        <v>59.367999999999995</v>
      </c>
      <c r="K1440" s="392">
        <f t="shared" si="41"/>
        <v>59.367999999999995</v>
      </c>
      <c r="L1440" s="392">
        <f t="shared" si="41"/>
        <v>59.367999999999995</v>
      </c>
      <c r="M1440" s="392">
        <f t="shared" si="41"/>
        <v>59.367999999999995</v>
      </c>
      <c r="N1440" s="392">
        <f t="shared" si="41"/>
        <v>59.367999999999995</v>
      </c>
    </row>
    <row r="1441" spans="1:14" hidden="1" outlineLevel="2" x14ac:dyDescent="0.35">
      <c r="A1441" s="388" t="s">
        <v>3868</v>
      </c>
      <c r="B1441" s="389">
        <v>43789</v>
      </c>
      <c r="C1441" s="390" t="s">
        <v>5087</v>
      </c>
      <c r="D1441" s="391" t="s">
        <v>5088</v>
      </c>
      <c r="E1441" s="391" t="s">
        <v>798</v>
      </c>
      <c r="F1441" s="392">
        <v>441.98</v>
      </c>
      <c r="G1441" s="393" t="s">
        <v>56</v>
      </c>
      <c r="H1441" s="394">
        <v>441.98</v>
      </c>
      <c r="I1441" s="394"/>
      <c r="J1441" s="392">
        <f t="shared" si="41"/>
        <v>88.396000000000001</v>
      </c>
      <c r="K1441" s="392">
        <f t="shared" si="41"/>
        <v>88.396000000000001</v>
      </c>
      <c r="L1441" s="392">
        <f t="shared" si="41"/>
        <v>88.396000000000001</v>
      </c>
      <c r="M1441" s="392">
        <f t="shared" si="41"/>
        <v>88.396000000000001</v>
      </c>
      <c r="N1441" s="392">
        <f t="shared" si="41"/>
        <v>88.396000000000001</v>
      </c>
    </row>
    <row r="1442" spans="1:14" hidden="1" outlineLevel="2" x14ac:dyDescent="0.35">
      <c r="A1442" s="388" t="s">
        <v>3868</v>
      </c>
      <c r="B1442" s="389">
        <v>43789</v>
      </c>
      <c r="C1442" s="390" t="s">
        <v>5089</v>
      </c>
      <c r="D1442" s="391" t="s">
        <v>5090</v>
      </c>
      <c r="E1442" s="391" t="s">
        <v>798</v>
      </c>
      <c r="F1442" s="392">
        <v>356.38</v>
      </c>
      <c r="G1442" s="393" t="s">
        <v>56</v>
      </c>
      <c r="H1442" s="394">
        <v>356.38</v>
      </c>
      <c r="I1442" s="394"/>
      <c r="J1442" s="392">
        <f t="shared" si="41"/>
        <v>71.275999999999996</v>
      </c>
      <c r="K1442" s="392">
        <f t="shared" si="41"/>
        <v>71.275999999999996</v>
      </c>
      <c r="L1442" s="392">
        <f t="shared" si="41"/>
        <v>71.275999999999996</v>
      </c>
      <c r="M1442" s="392">
        <f t="shared" si="41"/>
        <v>71.275999999999996</v>
      </c>
      <c r="N1442" s="392">
        <f t="shared" si="41"/>
        <v>71.275999999999996</v>
      </c>
    </row>
    <row r="1443" spans="1:14" hidden="1" outlineLevel="2" x14ac:dyDescent="0.35">
      <c r="A1443" s="388" t="s">
        <v>3868</v>
      </c>
      <c r="B1443" s="389">
        <v>43791</v>
      </c>
      <c r="C1443" s="390" t="s">
        <v>5091</v>
      </c>
      <c r="D1443" s="391" t="s">
        <v>5092</v>
      </c>
      <c r="E1443" s="391" t="s">
        <v>798</v>
      </c>
      <c r="F1443" s="392">
        <v>-44.43</v>
      </c>
      <c r="G1443" s="393" t="s">
        <v>56</v>
      </c>
      <c r="H1443" s="394">
        <v>-44.43</v>
      </c>
      <c r="I1443" s="394"/>
      <c r="J1443" s="392">
        <f t="shared" si="41"/>
        <v>-8.8859999999999992</v>
      </c>
      <c r="K1443" s="392">
        <f t="shared" si="41"/>
        <v>-8.8859999999999992</v>
      </c>
      <c r="L1443" s="392">
        <f t="shared" si="41"/>
        <v>-8.8859999999999992</v>
      </c>
      <c r="M1443" s="392">
        <f t="shared" si="41"/>
        <v>-8.8859999999999992</v>
      </c>
      <c r="N1443" s="392">
        <f t="shared" si="41"/>
        <v>-8.8859999999999992</v>
      </c>
    </row>
    <row r="1444" spans="1:14" hidden="1" outlineLevel="2" x14ac:dyDescent="0.35">
      <c r="A1444" s="388" t="s">
        <v>3868</v>
      </c>
      <c r="B1444" s="389">
        <v>43815</v>
      </c>
      <c r="C1444" s="390" t="s">
        <v>5065</v>
      </c>
      <c r="D1444" s="391" t="s">
        <v>5066</v>
      </c>
      <c r="E1444" s="391" t="s">
        <v>5058</v>
      </c>
      <c r="F1444" s="392">
        <v>364.14</v>
      </c>
      <c r="G1444" s="393" t="s">
        <v>56</v>
      </c>
      <c r="H1444" s="394">
        <v>364.14</v>
      </c>
      <c r="I1444" s="394"/>
      <c r="J1444" s="392">
        <f t="shared" si="41"/>
        <v>72.828000000000003</v>
      </c>
      <c r="K1444" s="392">
        <f t="shared" si="41"/>
        <v>72.828000000000003</v>
      </c>
      <c r="L1444" s="392">
        <f t="shared" si="41"/>
        <v>72.828000000000003</v>
      </c>
      <c r="M1444" s="392">
        <f t="shared" si="41"/>
        <v>72.828000000000003</v>
      </c>
      <c r="N1444" s="392">
        <f t="shared" si="41"/>
        <v>72.828000000000003</v>
      </c>
    </row>
    <row r="1445" spans="1:14" hidden="1" outlineLevel="2" x14ac:dyDescent="0.35">
      <c r="A1445" s="388" t="s">
        <v>3868</v>
      </c>
      <c r="B1445" s="389">
        <v>43830</v>
      </c>
      <c r="C1445" s="390" t="s">
        <v>5067</v>
      </c>
      <c r="D1445" s="391" t="s">
        <v>5093</v>
      </c>
      <c r="E1445" s="391" t="s">
        <v>5058</v>
      </c>
      <c r="F1445" s="392">
        <v>194.87</v>
      </c>
      <c r="G1445" s="393" t="s">
        <v>56</v>
      </c>
      <c r="H1445" s="394">
        <v>194.87</v>
      </c>
      <c r="I1445" s="394"/>
      <c r="J1445" s="392">
        <f t="shared" si="41"/>
        <v>38.974000000000004</v>
      </c>
      <c r="K1445" s="392">
        <f t="shared" si="41"/>
        <v>38.974000000000004</v>
      </c>
      <c r="L1445" s="392">
        <f t="shared" si="41"/>
        <v>38.974000000000004</v>
      </c>
      <c r="M1445" s="392">
        <f t="shared" si="41"/>
        <v>38.974000000000004</v>
      </c>
      <c r="N1445" s="392">
        <f t="shared" si="41"/>
        <v>38.974000000000004</v>
      </c>
    </row>
    <row r="1446" spans="1:14" hidden="1" outlineLevel="2" x14ac:dyDescent="0.35">
      <c r="A1446" s="388" t="s">
        <v>3868</v>
      </c>
      <c r="B1446" s="389">
        <v>43830</v>
      </c>
      <c r="C1446" s="390" t="s">
        <v>5094</v>
      </c>
      <c r="D1446" s="391" t="s">
        <v>5095</v>
      </c>
      <c r="E1446" s="391" t="s">
        <v>5058</v>
      </c>
      <c r="F1446" s="392">
        <v>260.27999999999997</v>
      </c>
      <c r="G1446" s="393" t="s">
        <v>56</v>
      </c>
      <c r="H1446" s="394">
        <v>260.27999999999997</v>
      </c>
      <c r="I1446" s="394"/>
      <c r="J1446" s="392">
        <f t="shared" si="41"/>
        <v>52.055999999999997</v>
      </c>
      <c r="K1446" s="392">
        <f t="shared" si="41"/>
        <v>52.055999999999997</v>
      </c>
      <c r="L1446" s="392">
        <f t="shared" si="41"/>
        <v>52.055999999999997</v>
      </c>
      <c r="M1446" s="392">
        <f t="shared" si="41"/>
        <v>52.055999999999997</v>
      </c>
      <c r="N1446" s="392">
        <f t="shared" si="41"/>
        <v>52.055999999999997</v>
      </c>
    </row>
    <row r="1447" spans="1:14" hidden="1" outlineLevel="2" x14ac:dyDescent="0.35">
      <c r="A1447" s="388" t="s">
        <v>3868</v>
      </c>
      <c r="B1447" s="389">
        <v>43845</v>
      </c>
      <c r="C1447" s="390" t="s">
        <v>5096</v>
      </c>
      <c r="D1447" s="391" t="s">
        <v>5090</v>
      </c>
      <c r="E1447" s="391" t="s">
        <v>798</v>
      </c>
      <c r="F1447" s="392">
        <v>255.7</v>
      </c>
      <c r="G1447" s="393" t="s">
        <v>56</v>
      </c>
      <c r="H1447" s="394">
        <v>255.7</v>
      </c>
      <c r="I1447" s="394"/>
      <c r="J1447" s="392">
        <f t="shared" si="41"/>
        <v>51.14</v>
      </c>
      <c r="K1447" s="392">
        <f t="shared" si="41"/>
        <v>51.14</v>
      </c>
      <c r="L1447" s="392">
        <f t="shared" si="41"/>
        <v>51.14</v>
      </c>
      <c r="M1447" s="392">
        <f t="shared" si="41"/>
        <v>51.14</v>
      </c>
      <c r="N1447" s="392">
        <f t="shared" si="41"/>
        <v>51.14</v>
      </c>
    </row>
    <row r="1448" spans="1:14" hidden="1" outlineLevel="2" x14ac:dyDescent="0.35">
      <c r="A1448" s="388" t="s">
        <v>3868</v>
      </c>
      <c r="B1448" s="389">
        <v>43887</v>
      </c>
      <c r="C1448" s="390" t="s">
        <v>5097</v>
      </c>
      <c r="D1448" s="391" t="s">
        <v>5098</v>
      </c>
      <c r="E1448" s="391" t="s">
        <v>5058</v>
      </c>
      <c r="F1448" s="392">
        <v>182.86</v>
      </c>
      <c r="G1448" s="393" t="s">
        <v>56</v>
      </c>
      <c r="H1448" s="394">
        <v>182.86</v>
      </c>
      <c r="I1448" s="394"/>
      <c r="J1448" s="392">
        <f t="shared" si="41"/>
        <v>36.572000000000003</v>
      </c>
      <c r="K1448" s="392">
        <f t="shared" si="41"/>
        <v>36.572000000000003</v>
      </c>
      <c r="L1448" s="392">
        <f t="shared" si="41"/>
        <v>36.572000000000003</v>
      </c>
      <c r="M1448" s="392">
        <f t="shared" si="41"/>
        <v>36.572000000000003</v>
      </c>
      <c r="N1448" s="392">
        <f t="shared" si="41"/>
        <v>36.572000000000003</v>
      </c>
    </row>
    <row r="1449" spans="1:14" hidden="1" outlineLevel="2" x14ac:dyDescent="0.35">
      <c r="A1449" s="388" t="s">
        <v>3868</v>
      </c>
      <c r="B1449" s="389">
        <v>43909</v>
      </c>
      <c r="C1449" s="390" t="s">
        <v>5099</v>
      </c>
      <c r="D1449" s="391" t="s">
        <v>5090</v>
      </c>
      <c r="E1449" s="391" t="s">
        <v>798</v>
      </c>
      <c r="F1449" s="392">
        <v>236.84</v>
      </c>
      <c r="G1449" s="393" t="s">
        <v>56</v>
      </c>
      <c r="H1449" s="394">
        <v>236.84</v>
      </c>
      <c r="I1449" s="394"/>
      <c r="J1449" s="392">
        <f t="shared" si="41"/>
        <v>47.368000000000002</v>
      </c>
      <c r="K1449" s="392">
        <f t="shared" si="41"/>
        <v>47.368000000000002</v>
      </c>
      <c r="L1449" s="392">
        <f t="shared" si="41"/>
        <v>47.368000000000002</v>
      </c>
      <c r="M1449" s="392">
        <f t="shared" si="41"/>
        <v>47.368000000000002</v>
      </c>
      <c r="N1449" s="392">
        <f t="shared" si="41"/>
        <v>47.368000000000002</v>
      </c>
    </row>
    <row r="1450" spans="1:14" hidden="1" outlineLevel="2" x14ac:dyDescent="0.35">
      <c r="A1450" s="388" t="s">
        <v>3868</v>
      </c>
      <c r="B1450" s="389">
        <v>43956</v>
      </c>
      <c r="C1450" s="390" t="s">
        <v>5056</v>
      </c>
      <c r="D1450" s="391" t="s">
        <v>5100</v>
      </c>
      <c r="E1450" s="391" t="s">
        <v>5058</v>
      </c>
      <c r="F1450" s="392">
        <v>331.85</v>
      </c>
      <c r="G1450" s="393" t="s">
        <v>56</v>
      </c>
      <c r="H1450" s="394">
        <v>331.85</v>
      </c>
      <c r="I1450" s="394"/>
      <c r="J1450" s="392">
        <f t="shared" si="41"/>
        <v>66.37</v>
      </c>
      <c r="K1450" s="392">
        <f t="shared" si="41"/>
        <v>66.37</v>
      </c>
      <c r="L1450" s="392">
        <f t="shared" si="41"/>
        <v>66.37</v>
      </c>
      <c r="M1450" s="392">
        <f t="shared" si="41"/>
        <v>66.37</v>
      </c>
      <c r="N1450" s="392">
        <f t="shared" si="41"/>
        <v>66.37</v>
      </c>
    </row>
    <row r="1451" spans="1:14" hidden="1" outlineLevel="2" x14ac:dyDescent="0.35">
      <c r="A1451" s="388" t="s">
        <v>3868</v>
      </c>
      <c r="B1451" s="389">
        <v>44179</v>
      </c>
      <c r="C1451" s="390" t="s">
        <v>5101</v>
      </c>
      <c r="D1451" s="391" t="s">
        <v>5102</v>
      </c>
      <c r="E1451" s="391" t="s">
        <v>798</v>
      </c>
      <c r="F1451" s="392">
        <v>361.89</v>
      </c>
      <c r="G1451" s="393" t="s">
        <v>56</v>
      </c>
      <c r="H1451" s="394">
        <v>361.89</v>
      </c>
      <c r="I1451" s="394"/>
      <c r="J1451" s="392">
        <f t="shared" si="41"/>
        <v>72.378</v>
      </c>
      <c r="K1451" s="392">
        <f t="shared" si="41"/>
        <v>72.378</v>
      </c>
      <c r="L1451" s="392">
        <f t="shared" si="41"/>
        <v>72.378</v>
      </c>
      <c r="M1451" s="392">
        <f t="shared" si="41"/>
        <v>72.378</v>
      </c>
      <c r="N1451" s="392">
        <f t="shared" si="41"/>
        <v>72.378</v>
      </c>
    </row>
    <row r="1452" spans="1:14" hidden="1" outlineLevel="2" x14ac:dyDescent="0.35">
      <c r="A1452" s="388" t="s">
        <v>3868</v>
      </c>
      <c r="B1452" s="389">
        <v>44243</v>
      </c>
      <c r="C1452" s="390" t="s">
        <v>5103</v>
      </c>
      <c r="D1452" s="391" t="s">
        <v>5104</v>
      </c>
      <c r="E1452" s="391" t="s">
        <v>798</v>
      </c>
      <c r="F1452" s="392">
        <v>678.12</v>
      </c>
      <c r="G1452" s="393" t="s">
        <v>56</v>
      </c>
      <c r="H1452" s="394">
        <v>678.12</v>
      </c>
      <c r="I1452" s="394"/>
      <c r="J1452" s="392">
        <f t="shared" si="41"/>
        <v>135.624</v>
      </c>
      <c r="K1452" s="392">
        <f t="shared" si="41"/>
        <v>135.624</v>
      </c>
      <c r="L1452" s="392">
        <f t="shared" si="41"/>
        <v>135.624</v>
      </c>
      <c r="M1452" s="392">
        <f t="shared" si="41"/>
        <v>135.624</v>
      </c>
      <c r="N1452" s="392">
        <f t="shared" si="41"/>
        <v>135.624</v>
      </c>
    </row>
    <row r="1453" spans="1:14" hidden="1" outlineLevel="2" x14ac:dyDescent="0.35">
      <c r="A1453" s="388" t="s">
        <v>3868</v>
      </c>
      <c r="B1453" s="389">
        <v>44270</v>
      </c>
      <c r="C1453" s="390" t="s">
        <v>5105</v>
      </c>
      <c r="D1453" s="391" t="s">
        <v>5104</v>
      </c>
      <c r="E1453" s="391" t="s">
        <v>798</v>
      </c>
      <c r="F1453" s="392">
        <v>735.94</v>
      </c>
      <c r="G1453" s="393" t="s">
        <v>56</v>
      </c>
      <c r="H1453" s="394">
        <v>735.94</v>
      </c>
      <c r="I1453" s="394"/>
      <c r="J1453" s="392">
        <f t="shared" si="41"/>
        <v>147.18800000000002</v>
      </c>
      <c r="K1453" s="392">
        <f t="shared" si="41"/>
        <v>147.18800000000002</v>
      </c>
      <c r="L1453" s="392">
        <f t="shared" si="41"/>
        <v>147.18800000000002</v>
      </c>
      <c r="M1453" s="392">
        <f t="shared" si="41"/>
        <v>147.18800000000002</v>
      </c>
      <c r="N1453" s="392">
        <f t="shared" si="41"/>
        <v>147.18800000000002</v>
      </c>
    </row>
    <row r="1454" spans="1:14" hidden="1" outlineLevel="2" x14ac:dyDescent="0.35">
      <c r="A1454" s="388" t="s">
        <v>3868</v>
      </c>
      <c r="B1454" s="389">
        <v>44286</v>
      </c>
      <c r="C1454" s="390" t="s">
        <v>5106</v>
      </c>
      <c r="D1454" s="391" t="s">
        <v>5107</v>
      </c>
      <c r="E1454" s="391" t="s">
        <v>798</v>
      </c>
      <c r="F1454" s="392">
        <v>-653.12</v>
      </c>
      <c r="G1454" s="393" t="s">
        <v>56</v>
      </c>
      <c r="H1454" s="394">
        <v>-653.12</v>
      </c>
      <c r="I1454" s="394"/>
      <c r="J1454" s="392">
        <f t="shared" si="41"/>
        <v>-130.624</v>
      </c>
      <c r="K1454" s="392">
        <f t="shared" si="41"/>
        <v>-130.624</v>
      </c>
      <c r="L1454" s="392">
        <f t="shared" si="41"/>
        <v>-130.624</v>
      </c>
      <c r="M1454" s="392">
        <f t="shared" si="41"/>
        <v>-130.624</v>
      </c>
      <c r="N1454" s="392">
        <f t="shared" si="41"/>
        <v>-130.624</v>
      </c>
    </row>
    <row r="1455" spans="1:14" hidden="1" outlineLevel="2" x14ac:dyDescent="0.35">
      <c r="A1455" s="388" t="s">
        <v>3868</v>
      </c>
      <c r="B1455" s="389">
        <v>44449</v>
      </c>
      <c r="C1455" s="390" t="s">
        <v>5108</v>
      </c>
      <c r="D1455" s="391" t="s">
        <v>5109</v>
      </c>
      <c r="E1455" s="391" t="s">
        <v>798</v>
      </c>
      <c r="F1455" s="392">
        <v>865.71</v>
      </c>
      <c r="G1455" s="393" t="s">
        <v>56</v>
      </c>
      <c r="H1455" s="394">
        <v>865.71</v>
      </c>
      <c r="I1455" s="394"/>
      <c r="J1455" s="392">
        <f t="shared" ref="J1455:N1470" si="42">$H1455/5</f>
        <v>173.142</v>
      </c>
      <c r="K1455" s="392">
        <f t="shared" si="42"/>
        <v>173.142</v>
      </c>
      <c r="L1455" s="392">
        <f t="shared" si="42"/>
        <v>173.142</v>
      </c>
      <c r="M1455" s="392">
        <f t="shared" si="42"/>
        <v>173.142</v>
      </c>
      <c r="N1455" s="392">
        <f t="shared" si="42"/>
        <v>173.142</v>
      </c>
    </row>
    <row r="1456" spans="1:14" hidden="1" outlineLevel="2" x14ac:dyDescent="0.35">
      <c r="A1456" s="388" t="s">
        <v>3868</v>
      </c>
      <c r="B1456" s="389">
        <v>44292</v>
      </c>
      <c r="C1456" s="390" t="s">
        <v>5110</v>
      </c>
      <c r="D1456" s="391" t="s">
        <v>5111</v>
      </c>
      <c r="E1456" s="391" t="s">
        <v>798</v>
      </c>
      <c r="F1456" s="392">
        <v>45</v>
      </c>
      <c r="G1456" s="393" t="s">
        <v>56</v>
      </c>
      <c r="H1456" s="394">
        <v>45</v>
      </c>
      <c r="I1456" s="394"/>
      <c r="J1456" s="392">
        <f t="shared" si="42"/>
        <v>9</v>
      </c>
      <c r="K1456" s="392">
        <f t="shared" si="42"/>
        <v>9</v>
      </c>
      <c r="L1456" s="392">
        <f t="shared" si="42"/>
        <v>9</v>
      </c>
      <c r="M1456" s="392">
        <f t="shared" si="42"/>
        <v>9</v>
      </c>
      <c r="N1456" s="392">
        <f t="shared" si="42"/>
        <v>9</v>
      </c>
    </row>
    <row r="1457" spans="1:14" hidden="1" outlineLevel="2" x14ac:dyDescent="0.35">
      <c r="A1457" s="388" t="s">
        <v>3868</v>
      </c>
      <c r="B1457" s="389">
        <v>44383</v>
      </c>
      <c r="C1457" s="390" t="s">
        <v>5112</v>
      </c>
      <c r="D1457" s="391" t="s">
        <v>5113</v>
      </c>
      <c r="E1457" s="391" t="s">
        <v>798</v>
      </c>
      <c r="F1457" s="392">
        <v>1001.97</v>
      </c>
      <c r="G1457" s="393" t="s">
        <v>56</v>
      </c>
      <c r="H1457" s="394">
        <v>1001.97</v>
      </c>
      <c r="I1457" s="394"/>
      <c r="J1457" s="392">
        <f t="shared" si="42"/>
        <v>200.39400000000001</v>
      </c>
      <c r="K1457" s="392">
        <f t="shared" si="42"/>
        <v>200.39400000000001</v>
      </c>
      <c r="L1457" s="392">
        <f t="shared" si="42"/>
        <v>200.39400000000001</v>
      </c>
      <c r="M1457" s="392">
        <f t="shared" si="42"/>
        <v>200.39400000000001</v>
      </c>
      <c r="N1457" s="392">
        <f t="shared" si="42"/>
        <v>200.39400000000001</v>
      </c>
    </row>
    <row r="1458" spans="1:14" hidden="1" outlineLevel="2" x14ac:dyDescent="0.35">
      <c r="A1458" s="388" t="s">
        <v>3868</v>
      </c>
      <c r="B1458" s="389">
        <v>44519</v>
      </c>
      <c r="C1458" s="390" t="s">
        <v>5114</v>
      </c>
      <c r="D1458" s="391" t="s">
        <v>5113</v>
      </c>
      <c r="E1458" s="391" t="s">
        <v>798</v>
      </c>
      <c r="F1458" s="392">
        <v>1247.28</v>
      </c>
      <c r="G1458" s="393" t="s">
        <v>56</v>
      </c>
      <c r="H1458" s="394">
        <v>1247.28</v>
      </c>
      <c r="I1458" s="394"/>
      <c r="J1458" s="392">
        <f t="shared" si="42"/>
        <v>249.45599999999999</v>
      </c>
      <c r="K1458" s="392">
        <f t="shared" si="42"/>
        <v>249.45599999999999</v>
      </c>
      <c r="L1458" s="392">
        <f t="shared" si="42"/>
        <v>249.45599999999999</v>
      </c>
      <c r="M1458" s="392">
        <f t="shared" si="42"/>
        <v>249.45599999999999</v>
      </c>
      <c r="N1458" s="392">
        <f t="shared" si="42"/>
        <v>249.45599999999999</v>
      </c>
    </row>
    <row r="1459" spans="1:14" hidden="1" outlineLevel="2" collapsed="1" x14ac:dyDescent="0.35">
      <c r="A1459" s="388" t="s">
        <v>3868</v>
      </c>
      <c r="B1459" s="389">
        <v>44519</v>
      </c>
      <c r="C1459" s="390" t="s">
        <v>5115</v>
      </c>
      <c r="D1459" s="391" t="s">
        <v>5113</v>
      </c>
      <c r="E1459" s="391" t="s">
        <v>798</v>
      </c>
      <c r="F1459" s="392">
        <v>979.48</v>
      </c>
      <c r="G1459" s="393" t="s">
        <v>56</v>
      </c>
      <c r="H1459" s="394">
        <v>979.48</v>
      </c>
      <c r="I1459" s="394"/>
      <c r="J1459" s="392">
        <f t="shared" si="42"/>
        <v>195.89600000000002</v>
      </c>
      <c r="K1459" s="392">
        <f t="shared" si="42"/>
        <v>195.89600000000002</v>
      </c>
      <c r="L1459" s="392">
        <f t="shared" si="42"/>
        <v>195.89600000000002</v>
      </c>
      <c r="M1459" s="392">
        <f t="shared" si="42"/>
        <v>195.89600000000002</v>
      </c>
      <c r="N1459" s="392">
        <f t="shared" si="42"/>
        <v>195.89600000000002</v>
      </c>
    </row>
    <row r="1460" spans="1:14" hidden="1" outlineLevel="2" x14ac:dyDescent="0.35">
      <c r="A1460" s="388" t="s">
        <v>3868</v>
      </c>
      <c r="B1460" s="389">
        <v>44538</v>
      </c>
      <c r="C1460" s="390" t="s">
        <v>5116</v>
      </c>
      <c r="D1460" s="391" t="s">
        <v>5117</v>
      </c>
      <c r="E1460" s="391" t="s">
        <v>798</v>
      </c>
      <c r="F1460" s="392">
        <v>-915.38</v>
      </c>
      <c r="G1460" s="393" t="s">
        <v>56</v>
      </c>
      <c r="H1460" s="394">
        <v>-915.38</v>
      </c>
      <c r="I1460" s="394"/>
      <c r="J1460" s="392">
        <f t="shared" si="42"/>
        <v>-183.07599999999999</v>
      </c>
      <c r="K1460" s="392">
        <f t="shared" si="42"/>
        <v>-183.07599999999999</v>
      </c>
      <c r="L1460" s="392">
        <f t="shared" si="42"/>
        <v>-183.07599999999999</v>
      </c>
      <c r="M1460" s="392">
        <f t="shared" si="42"/>
        <v>-183.07599999999999</v>
      </c>
      <c r="N1460" s="392">
        <f t="shared" si="42"/>
        <v>-183.07599999999999</v>
      </c>
    </row>
    <row r="1461" spans="1:14" hidden="1" outlineLevel="2" x14ac:dyDescent="0.35">
      <c r="A1461" s="388" t="s">
        <v>3868</v>
      </c>
      <c r="B1461" s="389">
        <v>44587</v>
      </c>
      <c r="C1461" s="390" t="s">
        <v>5118</v>
      </c>
      <c r="D1461" s="391" t="s">
        <v>5119</v>
      </c>
      <c r="E1461" s="391" t="s">
        <v>798</v>
      </c>
      <c r="F1461" s="392">
        <v>25</v>
      </c>
      <c r="G1461" s="393" t="s">
        <v>56</v>
      </c>
      <c r="H1461" s="394">
        <v>25</v>
      </c>
      <c r="I1461" s="394"/>
      <c r="J1461" s="392">
        <f t="shared" si="42"/>
        <v>5</v>
      </c>
      <c r="K1461" s="392">
        <f t="shared" si="42"/>
        <v>5</v>
      </c>
      <c r="L1461" s="392">
        <f t="shared" si="42"/>
        <v>5</v>
      </c>
      <c r="M1461" s="392">
        <f t="shared" si="42"/>
        <v>5</v>
      </c>
      <c r="N1461" s="392">
        <f t="shared" si="42"/>
        <v>5</v>
      </c>
    </row>
    <row r="1462" spans="1:14" hidden="1" outlineLevel="2" x14ac:dyDescent="0.35">
      <c r="A1462" s="388" t="s">
        <v>3868</v>
      </c>
      <c r="B1462" s="389">
        <v>44067</v>
      </c>
      <c r="C1462" s="390" t="s">
        <v>5042</v>
      </c>
      <c r="D1462" s="391" t="s">
        <v>5120</v>
      </c>
      <c r="E1462" s="391" t="s">
        <v>798</v>
      </c>
      <c r="F1462" s="392">
        <v>350.68</v>
      </c>
      <c r="G1462" s="393" t="s">
        <v>56</v>
      </c>
      <c r="H1462" s="394">
        <v>350.68</v>
      </c>
      <c r="I1462" s="394"/>
      <c r="J1462" s="392">
        <f t="shared" si="42"/>
        <v>70.135999999999996</v>
      </c>
      <c r="K1462" s="392">
        <f t="shared" si="42"/>
        <v>70.135999999999996</v>
      </c>
      <c r="L1462" s="392">
        <f t="shared" si="42"/>
        <v>70.135999999999996</v>
      </c>
      <c r="M1462" s="392">
        <f t="shared" si="42"/>
        <v>70.135999999999996</v>
      </c>
      <c r="N1462" s="392">
        <f t="shared" si="42"/>
        <v>70.135999999999996</v>
      </c>
    </row>
    <row r="1463" spans="1:14" hidden="1" outlineLevel="2" x14ac:dyDescent="0.35">
      <c r="A1463" s="388" t="s">
        <v>3868</v>
      </c>
      <c r="B1463" s="389">
        <v>44067</v>
      </c>
      <c r="C1463" s="390" t="s">
        <v>5121</v>
      </c>
      <c r="D1463" s="391" t="s">
        <v>5122</v>
      </c>
      <c r="E1463" s="391" t="s">
        <v>798</v>
      </c>
      <c r="F1463" s="392">
        <v>2521.9899999999998</v>
      </c>
      <c r="G1463" s="393" t="s">
        <v>56</v>
      </c>
      <c r="H1463" s="394">
        <v>2521.9899999999998</v>
      </c>
      <c r="I1463" s="394"/>
      <c r="J1463" s="392">
        <f t="shared" si="42"/>
        <v>504.39799999999997</v>
      </c>
      <c r="K1463" s="392">
        <f t="shared" si="42"/>
        <v>504.39799999999997</v>
      </c>
      <c r="L1463" s="392">
        <f t="shared" si="42"/>
        <v>504.39799999999997</v>
      </c>
      <c r="M1463" s="392">
        <f t="shared" si="42"/>
        <v>504.39799999999997</v>
      </c>
      <c r="N1463" s="392">
        <f t="shared" si="42"/>
        <v>504.39799999999997</v>
      </c>
    </row>
    <row r="1464" spans="1:14" hidden="1" outlineLevel="2" x14ac:dyDescent="0.35">
      <c r="A1464" s="388" t="s">
        <v>3868</v>
      </c>
      <c r="B1464" s="389">
        <v>44196</v>
      </c>
      <c r="C1464" s="390" t="s">
        <v>5123</v>
      </c>
      <c r="D1464" s="391" t="s">
        <v>5124</v>
      </c>
      <c r="E1464" s="391" t="s">
        <v>5064</v>
      </c>
      <c r="F1464" s="392">
        <v>47.2</v>
      </c>
      <c r="G1464" s="393" t="s">
        <v>56</v>
      </c>
      <c r="H1464" s="394">
        <v>47.2</v>
      </c>
      <c r="I1464" s="394"/>
      <c r="J1464" s="392">
        <f t="shared" si="42"/>
        <v>9.4400000000000013</v>
      </c>
      <c r="K1464" s="392">
        <f t="shared" si="42"/>
        <v>9.4400000000000013</v>
      </c>
      <c r="L1464" s="392">
        <f t="shared" si="42"/>
        <v>9.4400000000000013</v>
      </c>
      <c r="M1464" s="392">
        <f t="shared" si="42"/>
        <v>9.4400000000000013</v>
      </c>
      <c r="N1464" s="392">
        <f t="shared" si="42"/>
        <v>9.4400000000000013</v>
      </c>
    </row>
    <row r="1465" spans="1:14" hidden="1" outlineLevel="2" x14ac:dyDescent="0.35">
      <c r="A1465" s="388" t="s">
        <v>3868</v>
      </c>
      <c r="B1465" s="389">
        <v>44293</v>
      </c>
      <c r="C1465" s="390" t="s">
        <v>5125</v>
      </c>
      <c r="D1465" s="391" t="s">
        <v>5126</v>
      </c>
      <c r="E1465" s="391" t="s">
        <v>2068</v>
      </c>
      <c r="F1465" s="392">
        <v>-45</v>
      </c>
      <c r="G1465" s="393" t="s">
        <v>56</v>
      </c>
      <c r="H1465" s="394">
        <v>-45</v>
      </c>
      <c r="I1465" s="394"/>
      <c r="J1465" s="392">
        <f t="shared" si="42"/>
        <v>-9</v>
      </c>
      <c r="K1465" s="392">
        <f t="shared" si="42"/>
        <v>-9</v>
      </c>
      <c r="L1465" s="392">
        <f t="shared" si="42"/>
        <v>-9</v>
      </c>
      <c r="M1465" s="392">
        <f t="shared" si="42"/>
        <v>-9</v>
      </c>
      <c r="N1465" s="392">
        <f t="shared" si="42"/>
        <v>-9</v>
      </c>
    </row>
    <row r="1466" spans="1:14" ht="45" hidden="1" outlineLevel="2" x14ac:dyDescent="0.35">
      <c r="A1466" s="388" t="s">
        <v>3868</v>
      </c>
      <c r="B1466" s="389">
        <v>44587</v>
      </c>
      <c r="C1466" s="390" t="s">
        <v>5127</v>
      </c>
      <c r="D1466" s="391" t="s">
        <v>5128</v>
      </c>
      <c r="E1466" s="391" t="s">
        <v>2068</v>
      </c>
      <c r="F1466" s="392">
        <v>-25</v>
      </c>
      <c r="G1466" s="393" t="s">
        <v>56</v>
      </c>
      <c r="H1466" s="394">
        <v>-25</v>
      </c>
      <c r="I1466" s="394"/>
      <c r="J1466" s="392">
        <f t="shared" si="42"/>
        <v>-5</v>
      </c>
      <c r="K1466" s="392">
        <f t="shared" si="42"/>
        <v>-5</v>
      </c>
      <c r="L1466" s="392">
        <f t="shared" si="42"/>
        <v>-5</v>
      </c>
      <c r="M1466" s="392">
        <f t="shared" si="42"/>
        <v>-5</v>
      </c>
      <c r="N1466" s="392">
        <f t="shared" si="42"/>
        <v>-5</v>
      </c>
    </row>
    <row r="1467" spans="1:14" ht="30" hidden="1" outlineLevel="2" x14ac:dyDescent="0.35">
      <c r="A1467" s="388" t="s">
        <v>3868</v>
      </c>
      <c r="B1467" s="389">
        <v>44244</v>
      </c>
      <c r="C1467" s="390" t="s">
        <v>5129</v>
      </c>
      <c r="D1467" s="391" t="s">
        <v>5130</v>
      </c>
      <c r="E1467" s="391" t="s">
        <v>5058</v>
      </c>
      <c r="F1467" s="392">
        <v>203.03</v>
      </c>
      <c r="G1467" s="393" t="s">
        <v>56</v>
      </c>
      <c r="H1467" s="394">
        <v>203.03</v>
      </c>
      <c r="I1467" s="394"/>
      <c r="J1467" s="392">
        <f t="shared" si="42"/>
        <v>40.606000000000002</v>
      </c>
      <c r="K1467" s="392">
        <f t="shared" si="42"/>
        <v>40.606000000000002</v>
      </c>
      <c r="L1467" s="392">
        <f t="shared" si="42"/>
        <v>40.606000000000002</v>
      </c>
      <c r="M1467" s="392">
        <f t="shared" si="42"/>
        <v>40.606000000000002</v>
      </c>
      <c r="N1467" s="392">
        <f t="shared" si="42"/>
        <v>40.606000000000002</v>
      </c>
    </row>
    <row r="1468" spans="1:14" hidden="1" outlineLevel="2" x14ac:dyDescent="0.35">
      <c r="A1468" s="388" t="s">
        <v>3868</v>
      </c>
      <c r="B1468" s="389">
        <v>44272</v>
      </c>
      <c r="C1468" s="390" t="s">
        <v>5131</v>
      </c>
      <c r="D1468" s="391" t="s">
        <v>5132</v>
      </c>
      <c r="E1468" s="391" t="s">
        <v>2068</v>
      </c>
      <c r="F1468" s="392">
        <v>31</v>
      </c>
      <c r="G1468" s="393" t="s">
        <v>56</v>
      </c>
      <c r="H1468" s="394">
        <v>31</v>
      </c>
      <c r="I1468" s="394"/>
      <c r="J1468" s="392">
        <f t="shared" si="42"/>
        <v>6.2</v>
      </c>
      <c r="K1468" s="392">
        <f t="shared" si="42"/>
        <v>6.2</v>
      </c>
      <c r="L1468" s="392">
        <f t="shared" si="42"/>
        <v>6.2</v>
      </c>
      <c r="M1468" s="392">
        <f t="shared" si="42"/>
        <v>6.2</v>
      </c>
      <c r="N1468" s="392">
        <f t="shared" si="42"/>
        <v>6.2</v>
      </c>
    </row>
    <row r="1469" spans="1:14" hidden="1" outlineLevel="2" x14ac:dyDescent="0.35">
      <c r="A1469" s="388" t="s">
        <v>3868</v>
      </c>
      <c r="B1469" s="389">
        <v>44273</v>
      </c>
      <c r="C1469" s="390" t="s">
        <v>5133</v>
      </c>
      <c r="D1469" s="391" t="s">
        <v>5134</v>
      </c>
      <c r="E1469" s="391" t="s">
        <v>2068</v>
      </c>
      <c r="F1469" s="392">
        <v>62</v>
      </c>
      <c r="G1469" s="393" t="s">
        <v>56</v>
      </c>
      <c r="H1469" s="394">
        <v>62</v>
      </c>
      <c r="I1469" s="394"/>
      <c r="J1469" s="392">
        <f t="shared" si="42"/>
        <v>12.4</v>
      </c>
      <c r="K1469" s="392">
        <f t="shared" si="42"/>
        <v>12.4</v>
      </c>
      <c r="L1469" s="392">
        <f t="shared" si="42"/>
        <v>12.4</v>
      </c>
      <c r="M1469" s="392">
        <f t="shared" si="42"/>
        <v>12.4</v>
      </c>
      <c r="N1469" s="392">
        <f t="shared" si="42"/>
        <v>12.4</v>
      </c>
    </row>
    <row r="1470" spans="1:14" hidden="1" outlineLevel="2" collapsed="1" x14ac:dyDescent="0.35">
      <c r="A1470" s="388" t="s">
        <v>3868</v>
      </c>
      <c r="B1470" s="389">
        <v>44276</v>
      </c>
      <c r="C1470" s="390" t="s">
        <v>5135</v>
      </c>
      <c r="D1470" s="391" t="s">
        <v>5136</v>
      </c>
      <c r="E1470" s="391" t="s">
        <v>2068</v>
      </c>
      <c r="F1470" s="392">
        <v>58.9</v>
      </c>
      <c r="G1470" s="393" t="s">
        <v>56</v>
      </c>
      <c r="H1470" s="394">
        <v>58.9</v>
      </c>
      <c r="I1470" s="394"/>
      <c r="J1470" s="392">
        <f t="shared" si="42"/>
        <v>11.78</v>
      </c>
      <c r="K1470" s="392">
        <f t="shared" si="42"/>
        <v>11.78</v>
      </c>
      <c r="L1470" s="392">
        <f t="shared" si="42"/>
        <v>11.78</v>
      </c>
      <c r="M1470" s="392">
        <f t="shared" si="42"/>
        <v>11.78</v>
      </c>
      <c r="N1470" s="392">
        <f t="shared" si="42"/>
        <v>11.78</v>
      </c>
    </row>
    <row r="1471" spans="1:14" hidden="1" outlineLevel="2" x14ac:dyDescent="0.35">
      <c r="A1471" s="388" t="s">
        <v>3868</v>
      </c>
      <c r="B1471" s="389">
        <v>44277</v>
      </c>
      <c r="C1471" s="390" t="s">
        <v>5137</v>
      </c>
      <c r="D1471" s="391" t="s">
        <v>5138</v>
      </c>
      <c r="E1471" s="391" t="s">
        <v>2068</v>
      </c>
      <c r="F1471" s="392">
        <v>52.7</v>
      </c>
      <c r="G1471" s="393" t="s">
        <v>56</v>
      </c>
      <c r="H1471" s="394">
        <v>52.7</v>
      </c>
      <c r="I1471" s="394"/>
      <c r="J1471" s="392">
        <f t="shared" ref="J1471:N1486" si="43">$H1471/5</f>
        <v>10.540000000000001</v>
      </c>
      <c r="K1471" s="392">
        <f t="shared" si="43"/>
        <v>10.540000000000001</v>
      </c>
      <c r="L1471" s="392">
        <f t="shared" si="43"/>
        <v>10.540000000000001</v>
      </c>
      <c r="M1471" s="392">
        <f t="shared" si="43"/>
        <v>10.540000000000001</v>
      </c>
      <c r="N1471" s="392">
        <f t="shared" si="43"/>
        <v>10.540000000000001</v>
      </c>
    </row>
    <row r="1472" spans="1:14" hidden="1" outlineLevel="2" x14ac:dyDescent="0.35">
      <c r="A1472" s="388" t="s">
        <v>3868</v>
      </c>
      <c r="B1472" s="389">
        <v>44280</v>
      </c>
      <c r="C1472" s="390" t="s">
        <v>5139</v>
      </c>
      <c r="D1472" s="391" t="s">
        <v>5140</v>
      </c>
      <c r="E1472" s="391" t="s">
        <v>2068</v>
      </c>
      <c r="F1472" s="392">
        <v>52.7</v>
      </c>
      <c r="G1472" s="393" t="s">
        <v>56</v>
      </c>
      <c r="H1472" s="394">
        <v>52.7</v>
      </c>
      <c r="I1472" s="394"/>
      <c r="J1472" s="392">
        <f t="shared" si="43"/>
        <v>10.540000000000001</v>
      </c>
      <c r="K1472" s="392">
        <f t="shared" si="43"/>
        <v>10.540000000000001</v>
      </c>
      <c r="L1472" s="392">
        <f t="shared" si="43"/>
        <v>10.540000000000001</v>
      </c>
      <c r="M1472" s="392">
        <f t="shared" si="43"/>
        <v>10.540000000000001</v>
      </c>
      <c r="N1472" s="392">
        <f t="shared" si="43"/>
        <v>10.540000000000001</v>
      </c>
    </row>
    <row r="1473" spans="1:14" hidden="1" outlineLevel="2" x14ac:dyDescent="0.35">
      <c r="A1473" s="388" t="s">
        <v>3868</v>
      </c>
      <c r="B1473" s="389">
        <v>44278</v>
      </c>
      <c r="C1473" s="390" t="s">
        <v>5141</v>
      </c>
      <c r="D1473" s="391" t="s">
        <v>5142</v>
      </c>
      <c r="E1473" s="391" t="s">
        <v>2068</v>
      </c>
      <c r="F1473" s="392">
        <v>52.7</v>
      </c>
      <c r="G1473" s="393" t="s">
        <v>56</v>
      </c>
      <c r="H1473" s="394">
        <v>52.7</v>
      </c>
      <c r="I1473" s="394"/>
      <c r="J1473" s="392">
        <f t="shared" si="43"/>
        <v>10.540000000000001</v>
      </c>
      <c r="K1473" s="392">
        <f t="shared" si="43"/>
        <v>10.540000000000001</v>
      </c>
      <c r="L1473" s="392">
        <f t="shared" si="43"/>
        <v>10.540000000000001</v>
      </c>
      <c r="M1473" s="392">
        <f t="shared" si="43"/>
        <v>10.540000000000001</v>
      </c>
      <c r="N1473" s="392">
        <f t="shared" si="43"/>
        <v>10.540000000000001</v>
      </c>
    </row>
    <row r="1474" spans="1:14" hidden="1" outlineLevel="2" x14ac:dyDescent="0.35">
      <c r="A1474" s="388" t="s">
        <v>3868</v>
      </c>
      <c r="B1474" s="389">
        <v>44279</v>
      </c>
      <c r="C1474" s="390" t="s">
        <v>5143</v>
      </c>
      <c r="D1474" s="391" t="s">
        <v>5144</v>
      </c>
      <c r="E1474" s="391" t="s">
        <v>2068</v>
      </c>
      <c r="F1474" s="392">
        <v>52.7</v>
      </c>
      <c r="G1474" s="393" t="s">
        <v>56</v>
      </c>
      <c r="H1474" s="394">
        <v>52.7</v>
      </c>
      <c r="I1474" s="394"/>
      <c r="J1474" s="392">
        <f t="shared" si="43"/>
        <v>10.540000000000001</v>
      </c>
      <c r="K1474" s="392">
        <f t="shared" si="43"/>
        <v>10.540000000000001</v>
      </c>
      <c r="L1474" s="392">
        <f t="shared" si="43"/>
        <v>10.540000000000001</v>
      </c>
      <c r="M1474" s="392">
        <f t="shared" si="43"/>
        <v>10.540000000000001</v>
      </c>
      <c r="N1474" s="392">
        <f t="shared" si="43"/>
        <v>10.540000000000001</v>
      </c>
    </row>
    <row r="1475" spans="1:14" hidden="1" outlineLevel="2" x14ac:dyDescent="0.35">
      <c r="A1475" s="388" t="s">
        <v>3868</v>
      </c>
      <c r="B1475" s="389">
        <v>44274</v>
      </c>
      <c r="C1475" s="390" t="s">
        <v>5145</v>
      </c>
      <c r="D1475" s="391" t="s">
        <v>5146</v>
      </c>
      <c r="E1475" s="391" t="s">
        <v>2068</v>
      </c>
      <c r="F1475" s="392">
        <v>62</v>
      </c>
      <c r="G1475" s="393" t="s">
        <v>56</v>
      </c>
      <c r="H1475" s="394">
        <v>62</v>
      </c>
      <c r="I1475" s="394"/>
      <c r="J1475" s="392">
        <f t="shared" si="43"/>
        <v>12.4</v>
      </c>
      <c r="K1475" s="392">
        <f t="shared" si="43"/>
        <v>12.4</v>
      </c>
      <c r="L1475" s="392">
        <f t="shared" si="43"/>
        <v>12.4</v>
      </c>
      <c r="M1475" s="392">
        <f t="shared" si="43"/>
        <v>12.4</v>
      </c>
      <c r="N1475" s="392">
        <f t="shared" si="43"/>
        <v>12.4</v>
      </c>
    </row>
    <row r="1476" spans="1:14" hidden="1" outlineLevel="2" x14ac:dyDescent="0.35">
      <c r="A1476" s="388" t="s">
        <v>3868</v>
      </c>
      <c r="B1476" s="389">
        <v>44286</v>
      </c>
      <c r="C1476" s="390" t="s">
        <v>5147</v>
      </c>
      <c r="D1476" s="391" t="s">
        <v>5148</v>
      </c>
      <c r="E1476" s="391" t="s">
        <v>2068</v>
      </c>
      <c r="F1476" s="392">
        <v>52.7</v>
      </c>
      <c r="G1476" s="393" t="s">
        <v>56</v>
      </c>
      <c r="H1476" s="394">
        <v>52.7</v>
      </c>
      <c r="I1476" s="394"/>
      <c r="J1476" s="392">
        <f t="shared" si="43"/>
        <v>10.540000000000001</v>
      </c>
      <c r="K1476" s="392">
        <f t="shared" si="43"/>
        <v>10.540000000000001</v>
      </c>
      <c r="L1476" s="392">
        <f t="shared" si="43"/>
        <v>10.540000000000001</v>
      </c>
      <c r="M1476" s="392">
        <f t="shared" si="43"/>
        <v>10.540000000000001</v>
      </c>
      <c r="N1476" s="392">
        <f t="shared" si="43"/>
        <v>10.540000000000001</v>
      </c>
    </row>
    <row r="1477" spans="1:14" hidden="1" outlineLevel="2" x14ac:dyDescent="0.35">
      <c r="A1477" s="388" t="s">
        <v>3868</v>
      </c>
      <c r="B1477" s="389">
        <v>44275</v>
      </c>
      <c r="C1477" s="390" t="s">
        <v>5149</v>
      </c>
      <c r="D1477" s="391" t="s">
        <v>5150</v>
      </c>
      <c r="E1477" s="391" t="s">
        <v>2068</v>
      </c>
      <c r="F1477" s="392">
        <v>58.9</v>
      </c>
      <c r="G1477" s="393" t="s">
        <v>56</v>
      </c>
      <c r="H1477" s="394">
        <v>58.9</v>
      </c>
      <c r="I1477" s="394"/>
      <c r="J1477" s="392">
        <f t="shared" si="43"/>
        <v>11.78</v>
      </c>
      <c r="K1477" s="392">
        <f t="shared" si="43"/>
        <v>11.78</v>
      </c>
      <c r="L1477" s="392">
        <f t="shared" si="43"/>
        <v>11.78</v>
      </c>
      <c r="M1477" s="392">
        <f t="shared" si="43"/>
        <v>11.78</v>
      </c>
      <c r="N1477" s="392">
        <f t="shared" si="43"/>
        <v>11.78</v>
      </c>
    </row>
    <row r="1478" spans="1:14" hidden="1" outlineLevel="2" x14ac:dyDescent="0.35">
      <c r="A1478" s="388" t="s">
        <v>3868</v>
      </c>
      <c r="B1478" s="389">
        <v>44282</v>
      </c>
      <c r="C1478" s="390" t="s">
        <v>5151</v>
      </c>
      <c r="D1478" s="391" t="s">
        <v>5152</v>
      </c>
      <c r="E1478" s="391" t="s">
        <v>2068</v>
      </c>
      <c r="F1478" s="392">
        <v>52.7</v>
      </c>
      <c r="G1478" s="393" t="s">
        <v>56</v>
      </c>
      <c r="H1478" s="394">
        <v>52.7</v>
      </c>
      <c r="I1478" s="394"/>
      <c r="J1478" s="392">
        <f t="shared" si="43"/>
        <v>10.540000000000001</v>
      </c>
      <c r="K1478" s="392">
        <f t="shared" si="43"/>
        <v>10.540000000000001</v>
      </c>
      <c r="L1478" s="392">
        <f t="shared" si="43"/>
        <v>10.540000000000001</v>
      </c>
      <c r="M1478" s="392">
        <f t="shared" si="43"/>
        <v>10.540000000000001</v>
      </c>
      <c r="N1478" s="392">
        <f t="shared" si="43"/>
        <v>10.540000000000001</v>
      </c>
    </row>
    <row r="1479" spans="1:14" hidden="1" outlineLevel="2" x14ac:dyDescent="0.35">
      <c r="A1479" s="388" t="s">
        <v>3868</v>
      </c>
      <c r="B1479" s="389">
        <v>44281</v>
      </c>
      <c r="C1479" s="390" t="s">
        <v>5153</v>
      </c>
      <c r="D1479" s="391" t="s">
        <v>5154</v>
      </c>
      <c r="E1479" s="391" t="s">
        <v>2068</v>
      </c>
      <c r="F1479" s="392">
        <v>52.7</v>
      </c>
      <c r="G1479" s="393" t="s">
        <v>56</v>
      </c>
      <c r="H1479" s="394">
        <v>52.7</v>
      </c>
      <c r="I1479" s="394"/>
      <c r="J1479" s="392">
        <f t="shared" si="43"/>
        <v>10.540000000000001</v>
      </c>
      <c r="K1479" s="392">
        <f t="shared" si="43"/>
        <v>10.540000000000001</v>
      </c>
      <c r="L1479" s="392">
        <f t="shared" si="43"/>
        <v>10.540000000000001</v>
      </c>
      <c r="M1479" s="392">
        <f t="shared" si="43"/>
        <v>10.540000000000001</v>
      </c>
      <c r="N1479" s="392">
        <f t="shared" si="43"/>
        <v>10.540000000000001</v>
      </c>
    </row>
    <row r="1480" spans="1:14" hidden="1" outlineLevel="2" x14ac:dyDescent="0.35">
      <c r="A1480" s="388" t="s">
        <v>3868</v>
      </c>
      <c r="B1480" s="389">
        <v>44292</v>
      </c>
      <c r="C1480" s="390" t="s">
        <v>5155</v>
      </c>
      <c r="D1480" s="391" t="s">
        <v>5156</v>
      </c>
      <c r="E1480" s="391" t="s">
        <v>2068</v>
      </c>
      <c r="F1480" s="392">
        <v>62</v>
      </c>
      <c r="G1480" s="393" t="s">
        <v>56</v>
      </c>
      <c r="H1480" s="394">
        <v>62</v>
      </c>
      <c r="I1480" s="394"/>
      <c r="J1480" s="392">
        <f t="shared" si="43"/>
        <v>12.4</v>
      </c>
      <c r="K1480" s="392">
        <f t="shared" si="43"/>
        <v>12.4</v>
      </c>
      <c r="L1480" s="392">
        <f t="shared" si="43"/>
        <v>12.4</v>
      </c>
      <c r="M1480" s="392">
        <f t="shared" si="43"/>
        <v>12.4</v>
      </c>
      <c r="N1480" s="392">
        <f t="shared" si="43"/>
        <v>12.4</v>
      </c>
    </row>
    <row r="1481" spans="1:14" hidden="1" outlineLevel="2" collapsed="1" x14ac:dyDescent="0.35">
      <c r="A1481" s="388" t="s">
        <v>3868</v>
      </c>
      <c r="B1481" s="389">
        <v>44283</v>
      </c>
      <c r="C1481" s="390" t="s">
        <v>5157</v>
      </c>
      <c r="D1481" s="391" t="s">
        <v>5158</v>
      </c>
      <c r="E1481" s="391" t="s">
        <v>2068</v>
      </c>
      <c r="F1481" s="392">
        <v>52.7</v>
      </c>
      <c r="G1481" s="393" t="s">
        <v>56</v>
      </c>
      <c r="H1481" s="394">
        <v>52.7</v>
      </c>
      <c r="I1481" s="394"/>
      <c r="J1481" s="392">
        <f t="shared" si="43"/>
        <v>10.540000000000001</v>
      </c>
      <c r="K1481" s="392">
        <f t="shared" si="43"/>
        <v>10.540000000000001</v>
      </c>
      <c r="L1481" s="392">
        <f t="shared" si="43"/>
        <v>10.540000000000001</v>
      </c>
      <c r="M1481" s="392">
        <f t="shared" si="43"/>
        <v>10.540000000000001</v>
      </c>
      <c r="N1481" s="392">
        <f t="shared" si="43"/>
        <v>10.540000000000001</v>
      </c>
    </row>
    <row r="1482" spans="1:14" hidden="1" outlineLevel="2" x14ac:dyDescent="0.35">
      <c r="A1482" s="388" t="s">
        <v>3868</v>
      </c>
      <c r="B1482" s="389">
        <v>44291</v>
      </c>
      <c r="C1482" s="390" t="s">
        <v>5159</v>
      </c>
      <c r="D1482" s="391" t="s">
        <v>5160</v>
      </c>
      <c r="E1482" s="391" t="s">
        <v>2068</v>
      </c>
      <c r="F1482" s="392">
        <v>58.9</v>
      </c>
      <c r="G1482" s="393" t="s">
        <v>56</v>
      </c>
      <c r="H1482" s="394">
        <v>58.9</v>
      </c>
      <c r="I1482" s="394"/>
      <c r="J1482" s="392">
        <f t="shared" si="43"/>
        <v>11.78</v>
      </c>
      <c r="K1482" s="392">
        <f t="shared" si="43"/>
        <v>11.78</v>
      </c>
      <c r="L1482" s="392">
        <f t="shared" si="43"/>
        <v>11.78</v>
      </c>
      <c r="M1482" s="392">
        <f t="shared" si="43"/>
        <v>11.78</v>
      </c>
      <c r="N1482" s="392">
        <f t="shared" si="43"/>
        <v>11.78</v>
      </c>
    </row>
    <row r="1483" spans="1:14" hidden="1" outlineLevel="2" x14ac:dyDescent="0.35">
      <c r="A1483" s="388" t="s">
        <v>3868</v>
      </c>
      <c r="B1483" s="389">
        <v>44290</v>
      </c>
      <c r="C1483" s="390" t="s">
        <v>5161</v>
      </c>
      <c r="D1483" s="391" t="s">
        <v>5162</v>
      </c>
      <c r="E1483" s="391" t="s">
        <v>2068</v>
      </c>
      <c r="F1483" s="392">
        <v>58.9</v>
      </c>
      <c r="G1483" s="393" t="s">
        <v>56</v>
      </c>
      <c r="H1483" s="394">
        <v>58.9</v>
      </c>
      <c r="I1483" s="394"/>
      <c r="J1483" s="392">
        <f t="shared" si="43"/>
        <v>11.78</v>
      </c>
      <c r="K1483" s="392">
        <f t="shared" si="43"/>
        <v>11.78</v>
      </c>
      <c r="L1483" s="392">
        <f t="shared" si="43"/>
        <v>11.78</v>
      </c>
      <c r="M1483" s="392">
        <f t="shared" si="43"/>
        <v>11.78</v>
      </c>
      <c r="N1483" s="392">
        <f t="shared" si="43"/>
        <v>11.78</v>
      </c>
    </row>
    <row r="1484" spans="1:14" hidden="1" outlineLevel="2" x14ac:dyDescent="0.35">
      <c r="A1484" s="388" t="s">
        <v>3868</v>
      </c>
      <c r="B1484" s="389">
        <v>44293</v>
      </c>
      <c r="C1484" s="390" t="s">
        <v>5163</v>
      </c>
      <c r="D1484" s="391" t="s">
        <v>5164</v>
      </c>
      <c r="E1484" s="391" t="s">
        <v>2068</v>
      </c>
      <c r="F1484" s="392">
        <v>62</v>
      </c>
      <c r="G1484" s="393" t="s">
        <v>56</v>
      </c>
      <c r="H1484" s="394">
        <v>62</v>
      </c>
      <c r="I1484" s="394"/>
      <c r="J1484" s="392">
        <f t="shared" si="43"/>
        <v>12.4</v>
      </c>
      <c r="K1484" s="392">
        <f t="shared" si="43"/>
        <v>12.4</v>
      </c>
      <c r="L1484" s="392">
        <f t="shared" si="43"/>
        <v>12.4</v>
      </c>
      <c r="M1484" s="392">
        <f t="shared" si="43"/>
        <v>12.4</v>
      </c>
      <c r="N1484" s="392">
        <f t="shared" si="43"/>
        <v>12.4</v>
      </c>
    </row>
    <row r="1485" spans="1:14" hidden="1" outlineLevel="2" x14ac:dyDescent="0.35">
      <c r="A1485" s="388" t="s">
        <v>3868</v>
      </c>
      <c r="B1485" s="389">
        <v>44284</v>
      </c>
      <c r="C1485" s="390" t="s">
        <v>5165</v>
      </c>
      <c r="D1485" s="391" t="s">
        <v>5166</v>
      </c>
      <c r="E1485" s="391" t="s">
        <v>2068</v>
      </c>
      <c r="F1485" s="392">
        <v>52.7</v>
      </c>
      <c r="G1485" s="393" t="s">
        <v>56</v>
      </c>
      <c r="H1485" s="394">
        <v>52.7</v>
      </c>
      <c r="I1485" s="394"/>
      <c r="J1485" s="392">
        <f t="shared" si="43"/>
        <v>10.540000000000001</v>
      </c>
      <c r="K1485" s="392">
        <f t="shared" si="43"/>
        <v>10.540000000000001</v>
      </c>
      <c r="L1485" s="392">
        <f t="shared" si="43"/>
        <v>10.540000000000001</v>
      </c>
      <c r="M1485" s="392">
        <f t="shared" si="43"/>
        <v>10.540000000000001</v>
      </c>
      <c r="N1485" s="392">
        <f t="shared" si="43"/>
        <v>10.540000000000001</v>
      </c>
    </row>
    <row r="1486" spans="1:14" hidden="1" outlineLevel="2" x14ac:dyDescent="0.35">
      <c r="A1486" s="388" t="s">
        <v>3868</v>
      </c>
      <c r="B1486" s="389">
        <v>44287</v>
      </c>
      <c r="C1486" s="390" t="s">
        <v>5167</v>
      </c>
      <c r="D1486" s="391" t="s">
        <v>5168</v>
      </c>
      <c r="E1486" s="391" t="s">
        <v>2068</v>
      </c>
      <c r="F1486" s="392">
        <v>62</v>
      </c>
      <c r="G1486" s="393" t="s">
        <v>56</v>
      </c>
      <c r="H1486" s="394">
        <v>62</v>
      </c>
      <c r="I1486" s="394"/>
      <c r="J1486" s="392">
        <f t="shared" si="43"/>
        <v>12.4</v>
      </c>
      <c r="K1486" s="392">
        <f t="shared" si="43"/>
        <v>12.4</v>
      </c>
      <c r="L1486" s="392">
        <f t="shared" si="43"/>
        <v>12.4</v>
      </c>
      <c r="M1486" s="392">
        <f t="shared" si="43"/>
        <v>12.4</v>
      </c>
      <c r="N1486" s="392">
        <f t="shared" si="43"/>
        <v>12.4</v>
      </c>
    </row>
    <row r="1487" spans="1:14" hidden="1" outlineLevel="2" x14ac:dyDescent="0.35">
      <c r="A1487" s="388" t="s">
        <v>3868</v>
      </c>
      <c r="B1487" s="389">
        <v>44294</v>
      </c>
      <c r="C1487" s="390" t="s">
        <v>5169</v>
      </c>
      <c r="D1487" s="391" t="s">
        <v>5170</v>
      </c>
      <c r="E1487" s="391" t="s">
        <v>2068</v>
      </c>
      <c r="F1487" s="392">
        <v>31</v>
      </c>
      <c r="G1487" s="393" t="s">
        <v>56</v>
      </c>
      <c r="H1487" s="394">
        <v>31</v>
      </c>
      <c r="I1487" s="394"/>
      <c r="J1487" s="392">
        <f t="shared" ref="J1487:N1502" si="44">$H1487/5</f>
        <v>6.2</v>
      </c>
      <c r="K1487" s="392">
        <f t="shared" si="44"/>
        <v>6.2</v>
      </c>
      <c r="L1487" s="392">
        <f t="shared" si="44"/>
        <v>6.2</v>
      </c>
      <c r="M1487" s="392">
        <f t="shared" si="44"/>
        <v>6.2</v>
      </c>
      <c r="N1487" s="392">
        <f t="shared" si="44"/>
        <v>6.2</v>
      </c>
    </row>
    <row r="1488" spans="1:14" hidden="1" outlineLevel="2" x14ac:dyDescent="0.35">
      <c r="A1488" s="388" t="s">
        <v>3868</v>
      </c>
      <c r="B1488" s="389">
        <v>44288</v>
      </c>
      <c r="C1488" s="390" t="s">
        <v>5171</v>
      </c>
      <c r="D1488" s="391" t="s">
        <v>5172</v>
      </c>
      <c r="E1488" s="391" t="s">
        <v>2068</v>
      </c>
      <c r="F1488" s="392">
        <v>62</v>
      </c>
      <c r="G1488" s="393" t="s">
        <v>56</v>
      </c>
      <c r="H1488" s="394">
        <v>62</v>
      </c>
      <c r="I1488" s="394"/>
      <c r="J1488" s="392">
        <f t="shared" si="44"/>
        <v>12.4</v>
      </c>
      <c r="K1488" s="392">
        <f t="shared" si="44"/>
        <v>12.4</v>
      </c>
      <c r="L1488" s="392">
        <f t="shared" si="44"/>
        <v>12.4</v>
      </c>
      <c r="M1488" s="392">
        <f t="shared" si="44"/>
        <v>12.4</v>
      </c>
      <c r="N1488" s="392">
        <f t="shared" si="44"/>
        <v>12.4</v>
      </c>
    </row>
    <row r="1489" spans="1:14" hidden="1" outlineLevel="2" x14ac:dyDescent="0.35">
      <c r="A1489" s="388" t="s">
        <v>3868</v>
      </c>
      <c r="B1489" s="389">
        <v>44289</v>
      </c>
      <c r="C1489" s="390" t="s">
        <v>5173</v>
      </c>
      <c r="D1489" s="391" t="s">
        <v>5174</v>
      </c>
      <c r="E1489" s="391" t="s">
        <v>2068</v>
      </c>
      <c r="F1489" s="392">
        <v>58.9</v>
      </c>
      <c r="G1489" s="393" t="s">
        <v>56</v>
      </c>
      <c r="H1489" s="394">
        <v>58.9</v>
      </c>
      <c r="I1489" s="394"/>
      <c r="J1489" s="392">
        <f t="shared" si="44"/>
        <v>11.78</v>
      </c>
      <c r="K1489" s="392">
        <f t="shared" si="44"/>
        <v>11.78</v>
      </c>
      <c r="L1489" s="392">
        <f t="shared" si="44"/>
        <v>11.78</v>
      </c>
      <c r="M1489" s="392">
        <f t="shared" si="44"/>
        <v>11.78</v>
      </c>
      <c r="N1489" s="392">
        <f t="shared" si="44"/>
        <v>11.78</v>
      </c>
    </row>
    <row r="1490" spans="1:14" hidden="1" outlineLevel="2" x14ac:dyDescent="0.35">
      <c r="A1490" s="388" t="s">
        <v>3868</v>
      </c>
      <c r="B1490" s="389">
        <v>44285</v>
      </c>
      <c r="C1490" s="390" t="s">
        <v>5175</v>
      </c>
      <c r="D1490" s="391" t="s">
        <v>5176</v>
      </c>
      <c r="E1490" s="391" t="s">
        <v>2068</v>
      </c>
      <c r="F1490" s="392">
        <v>52.7</v>
      </c>
      <c r="G1490" s="393" t="s">
        <v>56</v>
      </c>
      <c r="H1490" s="394">
        <v>52.7</v>
      </c>
      <c r="I1490" s="394"/>
      <c r="J1490" s="392">
        <f t="shared" si="44"/>
        <v>10.540000000000001</v>
      </c>
      <c r="K1490" s="392">
        <f t="shared" si="44"/>
        <v>10.540000000000001</v>
      </c>
      <c r="L1490" s="392">
        <f t="shared" si="44"/>
        <v>10.540000000000001</v>
      </c>
      <c r="M1490" s="392">
        <f t="shared" si="44"/>
        <v>10.540000000000001</v>
      </c>
      <c r="N1490" s="392">
        <f t="shared" si="44"/>
        <v>10.540000000000001</v>
      </c>
    </row>
    <row r="1491" spans="1:14" hidden="1" outlineLevel="2" x14ac:dyDescent="0.35">
      <c r="A1491" s="388" t="s">
        <v>3868</v>
      </c>
      <c r="B1491" s="389">
        <v>44407</v>
      </c>
      <c r="C1491" s="390" t="s">
        <v>5177</v>
      </c>
      <c r="D1491" s="391" t="s">
        <v>5178</v>
      </c>
      <c r="E1491" s="391" t="s">
        <v>2068</v>
      </c>
      <c r="F1491" s="392">
        <v>62</v>
      </c>
      <c r="G1491" s="393" t="s">
        <v>56</v>
      </c>
      <c r="H1491" s="394">
        <v>62</v>
      </c>
      <c r="I1491" s="394"/>
      <c r="J1491" s="392">
        <f t="shared" si="44"/>
        <v>12.4</v>
      </c>
      <c r="K1491" s="392">
        <f t="shared" si="44"/>
        <v>12.4</v>
      </c>
      <c r="L1491" s="392">
        <f t="shared" si="44"/>
        <v>12.4</v>
      </c>
      <c r="M1491" s="392">
        <f t="shared" si="44"/>
        <v>12.4</v>
      </c>
      <c r="N1491" s="392">
        <f t="shared" si="44"/>
        <v>12.4</v>
      </c>
    </row>
    <row r="1492" spans="1:14" hidden="1" outlineLevel="2" x14ac:dyDescent="0.35">
      <c r="A1492" s="388" t="s">
        <v>3868</v>
      </c>
      <c r="B1492" s="389">
        <v>44409</v>
      </c>
      <c r="C1492" s="390" t="s">
        <v>5179</v>
      </c>
      <c r="D1492" s="391" t="s">
        <v>5180</v>
      </c>
      <c r="E1492" s="391" t="s">
        <v>2068</v>
      </c>
      <c r="F1492" s="392">
        <v>49.6</v>
      </c>
      <c r="G1492" s="393" t="s">
        <v>56</v>
      </c>
      <c r="H1492" s="394">
        <v>49.6</v>
      </c>
      <c r="I1492" s="394"/>
      <c r="J1492" s="392">
        <f t="shared" si="44"/>
        <v>9.92</v>
      </c>
      <c r="K1492" s="392">
        <f t="shared" si="44"/>
        <v>9.92</v>
      </c>
      <c r="L1492" s="392">
        <f t="shared" si="44"/>
        <v>9.92</v>
      </c>
      <c r="M1492" s="392">
        <f t="shared" si="44"/>
        <v>9.92</v>
      </c>
      <c r="N1492" s="392">
        <f t="shared" si="44"/>
        <v>9.92</v>
      </c>
    </row>
    <row r="1493" spans="1:14" hidden="1" outlineLevel="2" x14ac:dyDescent="0.35">
      <c r="A1493" s="388" t="s">
        <v>3868</v>
      </c>
      <c r="B1493" s="389">
        <v>44408</v>
      </c>
      <c r="C1493" s="390" t="s">
        <v>5181</v>
      </c>
      <c r="D1493" s="391" t="s">
        <v>5182</v>
      </c>
      <c r="E1493" s="391" t="s">
        <v>2068</v>
      </c>
      <c r="F1493" s="392">
        <v>37.200000000000003</v>
      </c>
      <c r="G1493" s="393" t="s">
        <v>56</v>
      </c>
      <c r="H1493" s="394">
        <v>37.200000000000003</v>
      </c>
      <c r="I1493" s="394"/>
      <c r="J1493" s="392">
        <f t="shared" si="44"/>
        <v>7.44</v>
      </c>
      <c r="K1493" s="392">
        <f t="shared" si="44"/>
        <v>7.44</v>
      </c>
      <c r="L1493" s="392">
        <f t="shared" si="44"/>
        <v>7.44</v>
      </c>
      <c r="M1493" s="392">
        <f t="shared" si="44"/>
        <v>7.44</v>
      </c>
      <c r="N1493" s="392">
        <f t="shared" si="44"/>
        <v>7.44</v>
      </c>
    </row>
    <row r="1494" spans="1:14" hidden="1" outlineLevel="2" collapsed="1" x14ac:dyDescent="0.35">
      <c r="A1494" s="388" t="s">
        <v>3868</v>
      </c>
      <c r="B1494" s="389">
        <v>44398</v>
      </c>
      <c r="C1494" s="390" t="s">
        <v>5183</v>
      </c>
      <c r="D1494" s="391" t="s">
        <v>5184</v>
      </c>
      <c r="E1494" s="391" t="s">
        <v>2068</v>
      </c>
      <c r="F1494" s="392">
        <v>62</v>
      </c>
      <c r="G1494" s="393" t="s">
        <v>56</v>
      </c>
      <c r="H1494" s="394">
        <v>62</v>
      </c>
      <c r="I1494" s="394"/>
      <c r="J1494" s="392">
        <f t="shared" si="44"/>
        <v>12.4</v>
      </c>
      <c r="K1494" s="392">
        <f t="shared" si="44"/>
        <v>12.4</v>
      </c>
      <c r="L1494" s="392">
        <f t="shared" si="44"/>
        <v>12.4</v>
      </c>
      <c r="M1494" s="392">
        <f t="shared" si="44"/>
        <v>12.4</v>
      </c>
      <c r="N1494" s="392">
        <f t="shared" si="44"/>
        <v>12.4</v>
      </c>
    </row>
    <row r="1495" spans="1:14" hidden="1" outlineLevel="2" x14ac:dyDescent="0.35">
      <c r="A1495" s="388" t="s">
        <v>3868</v>
      </c>
      <c r="B1495" s="389">
        <v>44413</v>
      </c>
      <c r="C1495" s="390" t="s">
        <v>5185</v>
      </c>
      <c r="D1495" s="391" t="s">
        <v>5186</v>
      </c>
      <c r="E1495" s="391" t="s">
        <v>2068</v>
      </c>
      <c r="F1495" s="392">
        <v>26.35</v>
      </c>
      <c r="G1495" s="393" t="s">
        <v>56</v>
      </c>
      <c r="H1495" s="394">
        <v>26.35</v>
      </c>
      <c r="I1495" s="394"/>
      <c r="J1495" s="392">
        <f t="shared" si="44"/>
        <v>5.2700000000000005</v>
      </c>
      <c r="K1495" s="392">
        <f t="shared" si="44"/>
        <v>5.2700000000000005</v>
      </c>
      <c r="L1495" s="392">
        <f t="shared" si="44"/>
        <v>5.2700000000000005</v>
      </c>
      <c r="M1495" s="392">
        <f t="shared" si="44"/>
        <v>5.2700000000000005</v>
      </c>
      <c r="N1495" s="392">
        <f t="shared" si="44"/>
        <v>5.2700000000000005</v>
      </c>
    </row>
    <row r="1496" spans="1:14" hidden="1" outlineLevel="2" x14ac:dyDescent="0.35">
      <c r="A1496" s="388" t="s">
        <v>3868</v>
      </c>
      <c r="B1496" s="389">
        <v>44402</v>
      </c>
      <c r="C1496" s="390" t="s">
        <v>5187</v>
      </c>
      <c r="D1496" s="391" t="s">
        <v>5188</v>
      </c>
      <c r="E1496" s="391" t="s">
        <v>2068</v>
      </c>
      <c r="F1496" s="392">
        <v>62</v>
      </c>
      <c r="G1496" s="393" t="s">
        <v>56</v>
      </c>
      <c r="H1496" s="394">
        <v>62</v>
      </c>
      <c r="I1496" s="394"/>
      <c r="J1496" s="392">
        <f t="shared" si="44"/>
        <v>12.4</v>
      </c>
      <c r="K1496" s="392">
        <f t="shared" si="44"/>
        <v>12.4</v>
      </c>
      <c r="L1496" s="392">
        <f t="shared" si="44"/>
        <v>12.4</v>
      </c>
      <c r="M1496" s="392">
        <f t="shared" si="44"/>
        <v>12.4</v>
      </c>
      <c r="N1496" s="392">
        <f t="shared" si="44"/>
        <v>12.4</v>
      </c>
    </row>
    <row r="1497" spans="1:14" hidden="1" outlineLevel="2" x14ac:dyDescent="0.35">
      <c r="A1497" s="388" t="s">
        <v>3868</v>
      </c>
      <c r="B1497" s="389">
        <v>44396</v>
      </c>
      <c r="C1497" s="390" t="s">
        <v>5189</v>
      </c>
      <c r="D1497" s="391" t="s">
        <v>5190</v>
      </c>
      <c r="E1497" s="391" t="s">
        <v>2068</v>
      </c>
      <c r="F1497" s="392">
        <v>62</v>
      </c>
      <c r="G1497" s="393" t="s">
        <v>56</v>
      </c>
      <c r="H1497" s="394">
        <v>62</v>
      </c>
      <c r="I1497" s="394"/>
      <c r="J1497" s="392">
        <f t="shared" si="44"/>
        <v>12.4</v>
      </c>
      <c r="K1497" s="392">
        <f t="shared" si="44"/>
        <v>12.4</v>
      </c>
      <c r="L1497" s="392">
        <f t="shared" si="44"/>
        <v>12.4</v>
      </c>
      <c r="M1497" s="392">
        <f t="shared" si="44"/>
        <v>12.4</v>
      </c>
      <c r="N1497" s="392">
        <f t="shared" si="44"/>
        <v>12.4</v>
      </c>
    </row>
    <row r="1498" spans="1:14" hidden="1" outlineLevel="2" x14ac:dyDescent="0.35">
      <c r="A1498" s="388" t="s">
        <v>3868</v>
      </c>
      <c r="B1498" s="389">
        <v>44395</v>
      </c>
      <c r="C1498" s="390" t="s">
        <v>5191</v>
      </c>
      <c r="D1498" s="391" t="s">
        <v>5192</v>
      </c>
      <c r="E1498" s="391" t="s">
        <v>2068</v>
      </c>
      <c r="F1498" s="392">
        <v>31</v>
      </c>
      <c r="G1498" s="393" t="s">
        <v>56</v>
      </c>
      <c r="H1498" s="394">
        <v>31</v>
      </c>
      <c r="I1498" s="394"/>
      <c r="J1498" s="392">
        <f t="shared" si="44"/>
        <v>6.2</v>
      </c>
      <c r="K1498" s="392">
        <f t="shared" si="44"/>
        <v>6.2</v>
      </c>
      <c r="L1498" s="392">
        <f t="shared" si="44"/>
        <v>6.2</v>
      </c>
      <c r="M1498" s="392">
        <f t="shared" si="44"/>
        <v>6.2</v>
      </c>
      <c r="N1498" s="392">
        <f t="shared" si="44"/>
        <v>6.2</v>
      </c>
    </row>
    <row r="1499" spans="1:14" hidden="1" outlineLevel="2" x14ac:dyDescent="0.35">
      <c r="A1499" s="388" t="s">
        <v>3868</v>
      </c>
      <c r="B1499" s="389">
        <v>44405</v>
      </c>
      <c r="C1499" s="390" t="s">
        <v>5193</v>
      </c>
      <c r="D1499" s="391" t="s">
        <v>5194</v>
      </c>
      <c r="E1499" s="391" t="s">
        <v>2068</v>
      </c>
      <c r="F1499" s="392">
        <v>62</v>
      </c>
      <c r="G1499" s="393" t="s">
        <v>56</v>
      </c>
      <c r="H1499" s="394">
        <v>62</v>
      </c>
      <c r="I1499" s="394"/>
      <c r="J1499" s="392">
        <f t="shared" si="44"/>
        <v>12.4</v>
      </c>
      <c r="K1499" s="392">
        <f t="shared" si="44"/>
        <v>12.4</v>
      </c>
      <c r="L1499" s="392">
        <f t="shared" si="44"/>
        <v>12.4</v>
      </c>
      <c r="M1499" s="392">
        <f t="shared" si="44"/>
        <v>12.4</v>
      </c>
      <c r="N1499" s="392">
        <f t="shared" si="44"/>
        <v>12.4</v>
      </c>
    </row>
    <row r="1500" spans="1:14" hidden="1" outlineLevel="2" x14ac:dyDescent="0.35">
      <c r="A1500" s="388" t="s">
        <v>3868</v>
      </c>
      <c r="B1500" s="389">
        <v>44412</v>
      </c>
      <c r="C1500" s="390" t="s">
        <v>5195</v>
      </c>
      <c r="D1500" s="391" t="s">
        <v>5196</v>
      </c>
      <c r="E1500" s="391" t="s">
        <v>2068</v>
      </c>
      <c r="F1500" s="392">
        <v>52.7</v>
      </c>
      <c r="G1500" s="393" t="s">
        <v>56</v>
      </c>
      <c r="H1500" s="394">
        <v>52.7</v>
      </c>
      <c r="I1500" s="394"/>
      <c r="J1500" s="392">
        <f t="shared" si="44"/>
        <v>10.540000000000001</v>
      </c>
      <c r="K1500" s="392">
        <f t="shared" si="44"/>
        <v>10.540000000000001</v>
      </c>
      <c r="L1500" s="392">
        <f t="shared" si="44"/>
        <v>10.540000000000001</v>
      </c>
      <c r="M1500" s="392">
        <f t="shared" si="44"/>
        <v>10.540000000000001</v>
      </c>
      <c r="N1500" s="392">
        <f t="shared" si="44"/>
        <v>10.540000000000001</v>
      </c>
    </row>
    <row r="1501" spans="1:14" hidden="1" outlineLevel="2" x14ac:dyDescent="0.35">
      <c r="A1501" s="388" t="s">
        <v>3868</v>
      </c>
      <c r="B1501" s="389">
        <v>44404</v>
      </c>
      <c r="C1501" s="390" t="s">
        <v>5197</v>
      </c>
      <c r="D1501" s="391" t="s">
        <v>5198</v>
      </c>
      <c r="E1501" s="391" t="s">
        <v>2068</v>
      </c>
      <c r="F1501" s="392">
        <v>62</v>
      </c>
      <c r="G1501" s="393" t="s">
        <v>56</v>
      </c>
      <c r="H1501" s="394">
        <v>62</v>
      </c>
      <c r="I1501" s="394"/>
      <c r="J1501" s="392">
        <f t="shared" si="44"/>
        <v>12.4</v>
      </c>
      <c r="K1501" s="392">
        <f t="shared" si="44"/>
        <v>12.4</v>
      </c>
      <c r="L1501" s="392">
        <f t="shared" si="44"/>
        <v>12.4</v>
      </c>
      <c r="M1501" s="392">
        <f t="shared" si="44"/>
        <v>12.4</v>
      </c>
      <c r="N1501" s="392">
        <f t="shared" si="44"/>
        <v>12.4</v>
      </c>
    </row>
    <row r="1502" spans="1:14" hidden="1" outlineLevel="2" x14ac:dyDescent="0.35">
      <c r="A1502" s="388" t="s">
        <v>3868</v>
      </c>
      <c r="B1502" s="389">
        <v>44403</v>
      </c>
      <c r="C1502" s="390" t="s">
        <v>5199</v>
      </c>
      <c r="D1502" s="391" t="s">
        <v>5200</v>
      </c>
      <c r="E1502" s="391" t="s">
        <v>2068</v>
      </c>
      <c r="F1502" s="392">
        <v>62</v>
      </c>
      <c r="G1502" s="393" t="s">
        <v>56</v>
      </c>
      <c r="H1502" s="394">
        <v>62</v>
      </c>
      <c r="I1502" s="394"/>
      <c r="J1502" s="392">
        <f t="shared" si="44"/>
        <v>12.4</v>
      </c>
      <c r="K1502" s="392">
        <f t="shared" si="44"/>
        <v>12.4</v>
      </c>
      <c r="L1502" s="392">
        <f t="shared" si="44"/>
        <v>12.4</v>
      </c>
      <c r="M1502" s="392">
        <f t="shared" si="44"/>
        <v>12.4</v>
      </c>
      <c r="N1502" s="392">
        <f t="shared" si="44"/>
        <v>12.4</v>
      </c>
    </row>
    <row r="1503" spans="1:14" hidden="1" outlineLevel="2" collapsed="1" x14ac:dyDescent="0.35">
      <c r="A1503" s="388" t="s">
        <v>3868</v>
      </c>
      <c r="B1503" s="389">
        <v>44397</v>
      </c>
      <c r="C1503" s="390" t="s">
        <v>5201</v>
      </c>
      <c r="D1503" s="391" t="s">
        <v>5202</v>
      </c>
      <c r="E1503" s="391" t="s">
        <v>2068</v>
      </c>
      <c r="F1503" s="392">
        <v>62</v>
      </c>
      <c r="G1503" s="393" t="s">
        <v>56</v>
      </c>
      <c r="H1503" s="394">
        <v>62</v>
      </c>
      <c r="I1503" s="394"/>
      <c r="J1503" s="392">
        <f t="shared" ref="J1503:N1518" si="45">$H1503/5</f>
        <v>12.4</v>
      </c>
      <c r="K1503" s="392">
        <f t="shared" si="45"/>
        <v>12.4</v>
      </c>
      <c r="L1503" s="392">
        <f t="shared" si="45"/>
        <v>12.4</v>
      </c>
      <c r="M1503" s="392">
        <f t="shared" si="45"/>
        <v>12.4</v>
      </c>
      <c r="N1503" s="392">
        <f t="shared" si="45"/>
        <v>12.4</v>
      </c>
    </row>
    <row r="1504" spans="1:14" hidden="1" outlineLevel="2" x14ac:dyDescent="0.35">
      <c r="A1504" s="388" t="s">
        <v>3868</v>
      </c>
      <c r="B1504" s="389">
        <v>44410</v>
      </c>
      <c r="C1504" s="390" t="s">
        <v>5203</v>
      </c>
      <c r="D1504" s="391" t="s">
        <v>5204</v>
      </c>
      <c r="E1504" s="391" t="s">
        <v>2068</v>
      </c>
      <c r="F1504" s="392">
        <v>52.7</v>
      </c>
      <c r="G1504" s="393" t="s">
        <v>56</v>
      </c>
      <c r="H1504" s="394">
        <v>52.7</v>
      </c>
      <c r="I1504" s="394"/>
      <c r="J1504" s="392">
        <f t="shared" si="45"/>
        <v>10.540000000000001</v>
      </c>
      <c r="K1504" s="392">
        <f t="shared" si="45"/>
        <v>10.540000000000001</v>
      </c>
      <c r="L1504" s="392">
        <f t="shared" si="45"/>
        <v>10.540000000000001</v>
      </c>
      <c r="M1504" s="392">
        <f t="shared" si="45"/>
        <v>10.540000000000001</v>
      </c>
      <c r="N1504" s="392">
        <f t="shared" si="45"/>
        <v>10.540000000000001</v>
      </c>
    </row>
    <row r="1505" spans="1:14" hidden="1" outlineLevel="2" x14ac:dyDescent="0.35">
      <c r="A1505" s="388" t="s">
        <v>3868</v>
      </c>
      <c r="B1505" s="389">
        <v>44399</v>
      </c>
      <c r="C1505" s="390" t="s">
        <v>5205</v>
      </c>
      <c r="D1505" s="391" t="s">
        <v>5206</v>
      </c>
      <c r="E1505" s="391" t="s">
        <v>2068</v>
      </c>
      <c r="F1505" s="392">
        <v>62</v>
      </c>
      <c r="G1505" s="393" t="s">
        <v>56</v>
      </c>
      <c r="H1505" s="394">
        <v>62</v>
      </c>
      <c r="I1505" s="394"/>
      <c r="J1505" s="392">
        <f t="shared" si="45"/>
        <v>12.4</v>
      </c>
      <c r="K1505" s="392">
        <f t="shared" si="45"/>
        <v>12.4</v>
      </c>
      <c r="L1505" s="392">
        <f t="shared" si="45"/>
        <v>12.4</v>
      </c>
      <c r="M1505" s="392">
        <f t="shared" si="45"/>
        <v>12.4</v>
      </c>
      <c r="N1505" s="392">
        <f t="shared" si="45"/>
        <v>12.4</v>
      </c>
    </row>
    <row r="1506" spans="1:14" hidden="1" outlineLevel="2" x14ac:dyDescent="0.35">
      <c r="A1506" s="388" t="s">
        <v>3868</v>
      </c>
      <c r="B1506" s="389">
        <v>44400</v>
      </c>
      <c r="C1506" s="390" t="s">
        <v>5207</v>
      </c>
      <c r="D1506" s="391" t="s">
        <v>5208</v>
      </c>
      <c r="E1506" s="391" t="s">
        <v>2068</v>
      </c>
      <c r="F1506" s="392">
        <v>62</v>
      </c>
      <c r="G1506" s="393" t="s">
        <v>56</v>
      </c>
      <c r="H1506" s="394">
        <v>62</v>
      </c>
      <c r="I1506" s="394"/>
      <c r="J1506" s="392">
        <f t="shared" si="45"/>
        <v>12.4</v>
      </c>
      <c r="K1506" s="392">
        <f t="shared" si="45"/>
        <v>12.4</v>
      </c>
      <c r="L1506" s="392">
        <f t="shared" si="45"/>
        <v>12.4</v>
      </c>
      <c r="M1506" s="392">
        <f t="shared" si="45"/>
        <v>12.4</v>
      </c>
      <c r="N1506" s="392">
        <f t="shared" si="45"/>
        <v>12.4</v>
      </c>
    </row>
    <row r="1507" spans="1:14" hidden="1" outlineLevel="2" x14ac:dyDescent="0.35">
      <c r="A1507" s="388" t="s">
        <v>3868</v>
      </c>
      <c r="B1507" s="389">
        <v>44406</v>
      </c>
      <c r="C1507" s="390" t="s">
        <v>5209</v>
      </c>
      <c r="D1507" s="391" t="s">
        <v>5210</v>
      </c>
      <c r="E1507" s="391" t="s">
        <v>2068</v>
      </c>
      <c r="F1507" s="392">
        <v>62</v>
      </c>
      <c r="G1507" s="393" t="s">
        <v>56</v>
      </c>
      <c r="H1507" s="394">
        <v>62</v>
      </c>
      <c r="I1507" s="394"/>
      <c r="J1507" s="392">
        <f t="shared" si="45"/>
        <v>12.4</v>
      </c>
      <c r="K1507" s="392">
        <f t="shared" si="45"/>
        <v>12.4</v>
      </c>
      <c r="L1507" s="392">
        <f t="shared" si="45"/>
        <v>12.4</v>
      </c>
      <c r="M1507" s="392">
        <f t="shared" si="45"/>
        <v>12.4</v>
      </c>
      <c r="N1507" s="392">
        <f t="shared" si="45"/>
        <v>12.4</v>
      </c>
    </row>
    <row r="1508" spans="1:14" hidden="1" outlineLevel="2" x14ac:dyDescent="0.35">
      <c r="A1508" s="388" t="s">
        <v>3868</v>
      </c>
      <c r="B1508" s="389">
        <v>44401</v>
      </c>
      <c r="C1508" s="390" t="s">
        <v>5211</v>
      </c>
      <c r="D1508" s="391" t="s">
        <v>5212</v>
      </c>
      <c r="E1508" s="391" t="s">
        <v>2068</v>
      </c>
      <c r="F1508" s="392">
        <v>62</v>
      </c>
      <c r="G1508" s="393" t="s">
        <v>56</v>
      </c>
      <c r="H1508" s="394">
        <v>62</v>
      </c>
      <c r="I1508" s="394"/>
      <c r="J1508" s="392">
        <f t="shared" si="45"/>
        <v>12.4</v>
      </c>
      <c r="K1508" s="392">
        <f t="shared" si="45"/>
        <v>12.4</v>
      </c>
      <c r="L1508" s="392">
        <f t="shared" si="45"/>
        <v>12.4</v>
      </c>
      <c r="M1508" s="392">
        <f t="shared" si="45"/>
        <v>12.4</v>
      </c>
      <c r="N1508" s="392">
        <f t="shared" si="45"/>
        <v>12.4</v>
      </c>
    </row>
    <row r="1509" spans="1:14" hidden="1" outlineLevel="2" x14ac:dyDescent="0.35">
      <c r="A1509" s="388" t="s">
        <v>3868</v>
      </c>
      <c r="B1509" s="389">
        <v>44411</v>
      </c>
      <c r="C1509" s="390" t="s">
        <v>5213</v>
      </c>
      <c r="D1509" s="391" t="s">
        <v>5214</v>
      </c>
      <c r="E1509" s="391" t="s">
        <v>2068</v>
      </c>
      <c r="F1509" s="392">
        <v>52.7</v>
      </c>
      <c r="G1509" s="393" t="s">
        <v>56</v>
      </c>
      <c r="H1509" s="394">
        <v>52.7</v>
      </c>
      <c r="I1509" s="394"/>
      <c r="J1509" s="392">
        <f t="shared" si="45"/>
        <v>10.540000000000001</v>
      </c>
      <c r="K1509" s="392">
        <f t="shared" si="45"/>
        <v>10.540000000000001</v>
      </c>
      <c r="L1509" s="392">
        <f t="shared" si="45"/>
        <v>10.540000000000001</v>
      </c>
      <c r="M1509" s="392">
        <f t="shared" si="45"/>
        <v>10.540000000000001</v>
      </c>
      <c r="N1509" s="392">
        <f t="shared" si="45"/>
        <v>10.540000000000001</v>
      </c>
    </row>
    <row r="1510" spans="1:14" hidden="1" outlineLevel="2" x14ac:dyDescent="0.35">
      <c r="A1510" s="388" t="s">
        <v>3868</v>
      </c>
      <c r="B1510" s="389">
        <v>44470</v>
      </c>
      <c r="C1510" s="390" t="s">
        <v>5215</v>
      </c>
      <c r="D1510" s="391" t="s">
        <v>5216</v>
      </c>
      <c r="E1510" s="391" t="s">
        <v>2068</v>
      </c>
      <c r="F1510" s="392">
        <v>62</v>
      </c>
      <c r="G1510" s="393" t="s">
        <v>56</v>
      </c>
      <c r="H1510" s="394">
        <v>62</v>
      </c>
      <c r="I1510" s="394"/>
      <c r="J1510" s="392">
        <f t="shared" si="45"/>
        <v>12.4</v>
      </c>
      <c r="K1510" s="392">
        <f t="shared" si="45"/>
        <v>12.4</v>
      </c>
      <c r="L1510" s="392">
        <f t="shared" si="45"/>
        <v>12.4</v>
      </c>
      <c r="M1510" s="392">
        <f t="shared" si="45"/>
        <v>12.4</v>
      </c>
      <c r="N1510" s="392">
        <f t="shared" si="45"/>
        <v>12.4</v>
      </c>
    </row>
    <row r="1511" spans="1:14" hidden="1" outlineLevel="2" x14ac:dyDescent="0.35">
      <c r="A1511" s="388" t="s">
        <v>3868</v>
      </c>
      <c r="B1511" s="389">
        <v>44469</v>
      </c>
      <c r="C1511" s="390" t="s">
        <v>5217</v>
      </c>
      <c r="D1511" s="391" t="s">
        <v>5218</v>
      </c>
      <c r="E1511" s="391" t="s">
        <v>2068</v>
      </c>
      <c r="F1511" s="392">
        <v>62</v>
      </c>
      <c r="G1511" s="393" t="s">
        <v>56</v>
      </c>
      <c r="H1511" s="394">
        <v>62</v>
      </c>
      <c r="I1511" s="394"/>
      <c r="J1511" s="392">
        <f t="shared" si="45"/>
        <v>12.4</v>
      </c>
      <c r="K1511" s="392">
        <f t="shared" si="45"/>
        <v>12.4</v>
      </c>
      <c r="L1511" s="392">
        <f t="shared" si="45"/>
        <v>12.4</v>
      </c>
      <c r="M1511" s="392">
        <f t="shared" si="45"/>
        <v>12.4</v>
      </c>
      <c r="N1511" s="392">
        <f t="shared" si="45"/>
        <v>12.4</v>
      </c>
    </row>
    <row r="1512" spans="1:14" hidden="1" outlineLevel="2" x14ac:dyDescent="0.35">
      <c r="A1512" s="388" t="s">
        <v>3868</v>
      </c>
      <c r="B1512" s="389">
        <v>44459</v>
      </c>
      <c r="C1512" s="390" t="s">
        <v>5219</v>
      </c>
      <c r="D1512" s="391" t="s">
        <v>5220</v>
      </c>
      <c r="E1512" s="391" t="s">
        <v>2068</v>
      </c>
      <c r="F1512" s="392">
        <v>31</v>
      </c>
      <c r="G1512" s="393" t="s">
        <v>56</v>
      </c>
      <c r="H1512" s="394">
        <v>31</v>
      </c>
      <c r="I1512" s="394"/>
      <c r="J1512" s="392">
        <f t="shared" si="45"/>
        <v>6.2</v>
      </c>
      <c r="K1512" s="392">
        <f t="shared" si="45"/>
        <v>6.2</v>
      </c>
      <c r="L1512" s="392">
        <f t="shared" si="45"/>
        <v>6.2</v>
      </c>
      <c r="M1512" s="392">
        <f t="shared" si="45"/>
        <v>6.2</v>
      </c>
      <c r="N1512" s="392">
        <f t="shared" si="45"/>
        <v>6.2</v>
      </c>
    </row>
    <row r="1513" spans="1:14" hidden="1" outlineLevel="2" x14ac:dyDescent="0.35">
      <c r="A1513" s="388" t="s">
        <v>3868</v>
      </c>
      <c r="B1513" s="389">
        <v>44460</v>
      </c>
      <c r="C1513" s="390" t="s">
        <v>5221</v>
      </c>
      <c r="D1513" s="391" t="s">
        <v>5222</v>
      </c>
      <c r="E1513" s="391" t="s">
        <v>2068</v>
      </c>
      <c r="F1513" s="392">
        <v>52.7</v>
      </c>
      <c r="G1513" s="393" t="s">
        <v>56</v>
      </c>
      <c r="H1513" s="394">
        <v>52.7</v>
      </c>
      <c r="I1513" s="394"/>
      <c r="J1513" s="392">
        <f t="shared" si="45"/>
        <v>10.540000000000001</v>
      </c>
      <c r="K1513" s="392">
        <f t="shared" si="45"/>
        <v>10.540000000000001</v>
      </c>
      <c r="L1513" s="392">
        <f t="shared" si="45"/>
        <v>10.540000000000001</v>
      </c>
      <c r="M1513" s="392">
        <f t="shared" si="45"/>
        <v>10.540000000000001</v>
      </c>
      <c r="N1513" s="392">
        <f t="shared" si="45"/>
        <v>10.540000000000001</v>
      </c>
    </row>
    <row r="1514" spans="1:14" hidden="1" outlineLevel="2" collapsed="1" x14ac:dyDescent="0.35">
      <c r="A1514" s="388" t="s">
        <v>3868</v>
      </c>
      <c r="B1514" s="389">
        <v>44461</v>
      </c>
      <c r="C1514" s="390" t="s">
        <v>5223</v>
      </c>
      <c r="D1514" s="391" t="s">
        <v>5224</v>
      </c>
      <c r="E1514" s="391" t="s">
        <v>2068</v>
      </c>
      <c r="F1514" s="392">
        <v>52.7</v>
      </c>
      <c r="G1514" s="393" t="s">
        <v>56</v>
      </c>
      <c r="H1514" s="394">
        <v>52.7</v>
      </c>
      <c r="I1514" s="394"/>
      <c r="J1514" s="392">
        <f t="shared" si="45"/>
        <v>10.540000000000001</v>
      </c>
      <c r="K1514" s="392">
        <f t="shared" si="45"/>
        <v>10.540000000000001</v>
      </c>
      <c r="L1514" s="392">
        <f t="shared" si="45"/>
        <v>10.540000000000001</v>
      </c>
      <c r="M1514" s="392">
        <f t="shared" si="45"/>
        <v>10.540000000000001</v>
      </c>
      <c r="N1514" s="392">
        <f t="shared" si="45"/>
        <v>10.540000000000001</v>
      </c>
    </row>
    <row r="1515" spans="1:14" hidden="1" outlineLevel="2" x14ac:dyDescent="0.35">
      <c r="A1515" s="388" t="s">
        <v>3868</v>
      </c>
      <c r="B1515" s="389">
        <v>44464</v>
      </c>
      <c r="C1515" s="390" t="s">
        <v>5225</v>
      </c>
      <c r="D1515" s="391" t="s">
        <v>5226</v>
      </c>
      <c r="E1515" s="391" t="s">
        <v>2068</v>
      </c>
      <c r="F1515" s="392">
        <v>49.6</v>
      </c>
      <c r="G1515" s="393" t="s">
        <v>56</v>
      </c>
      <c r="H1515" s="394">
        <v>49.6</v>
      </c>
      <c r="I1515" s="394"/>
      <c r="J1515" s="392">
        <f t="shared" si="45"/>
        <v>9.92</v>
      </c>
      <c r="K1515" s="392">
        <f t="shared" si="45"/>
        <v>9.92</v>
      </c>
      <c r="L1515" s="392">
        <f t="shared" si="45"/>
        <v>9.92</v>
      </c>
      <c r="M1515" s="392">
        <f t="shared" si="45"/>
        <v>9.92</v>
      </c>
      <c r="N1515" s="392">
        <f t="shared" si="45"/>
        <v>9.92</v>
      </c>
    </row>
    <row r="1516" spans="1:14" hidden="1" outlineLevel="2" x14ac:dyDescent="0.35">
      <c r="A1516" s="388" t="s">
        <v>3868</v>
      </c>
      <c r="B1516" s="389">
        <v>44462</v>
      </c>
      <c r="C1516" s="390" t="s">
        <v>5227</v>
      </c>
      <c r="D1516" s="391" t="s">
        <v>5228</v>
      </c>
      <c r="E1516" s="391" t="s">
        <v>2068</v>
      </c>
      <c r="F1516" s="392">
        <v>52.7</v>
      </c>
      <c r="G1516" s="393" t="s">
        <v>56</v>
      </c>
      <c r="H1516" s="394">
        <v>52.7</v>
      </c>
      <c r="I1516" s="394"/>
      <c r="J1516" s="392">
        <f t="shared" si="45"/>
        <v>10.540000000000001</v>
      </c>
      <c r="K1516" s="392">
        <f t="shared" si="45"/>
        <v>10.540000000000001</v>
      </c>
      <c r="L1516" s="392">
        <f t="shared" si="45"/>
        <v>10.540000000000001</v>
      </c>
      <c r="M1516" s="392">
        <f t="shared" si="45"/>
        <v>10.540000000000001</v>
      </c>
      <c r="N1516" s="392">
        <f t="shared" si="45"/>
        <v>10.540000000000001</v>
      </c>
    </row>
    <row r="1517" spans="1:14" hidden="1" outlineLevel="2" x14ac:dyDescent="0.35">
      <c r="A1517" s="388" t="s">
        <v>3868</v>
      </c>
      <c r="B1517" s="389">
        <v>44463</v>
      </c>
      <c r="C1517" s="390" t="s">
        <v>5229</v>
      </c>
      <c r="D1517" s="391" t="s">
        <v>5230</v>
      </c>
      <c r="E1517" s="391" t="s">
        <v>2068</v>
      </c>
      <c r="F1517" s="392">
        <v>52.7</v>
      </c>
      <c r="G1517" s="393" t="s">
        <v>56</v>
      </c>
      <c r="H1517" s="394">
        <v>52.7</v>
      </c>
      <c r="I1517" s="394"/>
      <c r="J1517" s="392">
        <f t="shared" si="45"/>
        <v>10.540000000000001</v>
      </c>
      <c r="K1517" s="392">
        <f t="shared" si="45"/>
        <v>10.540000000000001</v>
      </c>
      <c r="L1517" s="392">
        <f t="shared" si="45"/>
        <v>10.540000000000001</v>
      </c>
      <c r="M1517" s="392">
        <f t="shared" si="45"/>
        <v>10.540000000000001</v>
      </c>
      <c r="N1517" s="392">
        <f t="shared" si="45"/>
        <v>10.540000000000001</v>
      </c>
    </row>
    <row r="1518" spans="1:14" hidden="1" outlineLevel="2" x14ac:dyDescent="0.35">
      <c r="A1518" s="388" t="s">
        <v>3868</v>
      </c>
      <c r="B1518" s="389">
        <v>44465</v>
      </c>
      <c r="C1518" s="390" t="s">
        <v>5231</v>
      </c>
      <c r="D1518" s="391" t="s">
        <v>5232</v>
      </c>
      <c r="E1518" s="391" t="s">
        <v>2068</v>
      </c>
      <c r="F1518" s="392">
        <v>49.6</v>
      </c>
      <c r="G1518" s="393" t="s">
        <v>56</v>
      </c>
      <c r="H1518" s="394">
        <v>49.6</v>
      </c>
      <c r="I1518" s="394"/>
      <c r="J1518" s="392">
        <f t="shared" si="45"/>
        <v>9.92</v>
      </c>
      <c r="K1518" s="392">
        <f t="shared" si="45"/>
        <v>9.92</v>
      </c>
      <c r="L1518" s="392">
        <f t="shared" si="45"/>
        <v>9.92</v>
      </c>
      <c r="M1518" s="392">
        <f t="shared" si="45"/>
        <v>9.92</v>
      </c>
      <c r="N1518" s="392">
        <f t="shared" si="45"/>
        <v>9.92</v>
      </c>
    </row>
    <row r="1519" spans="1:14" hidden="1" outlineLevel="2" x14ac:dyDescent="0.35">
      <c r="A1519" s="388" t="s">
        <v>3868</v>
      </c>
      <c r="B1519" s="389">
        <v>44467</v>
      </c>
      <c r="C1519" s="390" t="s">
        <v>5233</v>
      </c>
      <c r="D1519" s="391" t="s">
        <v>5234</v>
      </c>
      <c r="E1519" s="391" t="s">
        <v>2068</v>
      </c>
      <c r="F1519" s="392">
        <v>62</v>
      </c>
      <c r="G1519" s="393" t="s">
        <v>56</v>
      </c>
      <c r="H1519" s="394">
        <v>62</v>
      </c>
      <c r="I1519" s="394"/>
      <c r="J1519" s="392">
        <f t="shared" ref="J1519:N1534" si="46">$H1519/5</f>
        <v>12.4</v>
      </c>
      <c r="K1519" s="392">
        <f t="shared" si="46"/>
        <v>12.4</v>
      </c>
      <c r="L1519" s="392">
        <f t="shared" si="46"/>
        <v>12.4</v>
      </c>
      <c r="M1519" s="392">
        <f t="shared" si="46"/>
        <v>12.4</v>
      </c>
      <c r="N1519" s="392">
        <f t="shared" si="46"/>
        <v>12.4</v>
      </c>
    </row>
    <row r="1520" spans="1:14" hidden="1" outlineLevel="2" collapsed="1" x14ac:dyDescent="0.35">
      <c r="A1520" s="388" t="s">
        <v>3868</v>
      </c>
      <c r="B1520" s="389">
        <v>44466</v>
      </c>
      <c r="C1520" s="390" t="s">
        <v>5235</v>
      </c>
      <c r="D1520" s="391" t="s">
        <v>5236</v>
      </c>
      <c r="E1520" s="391" t="s">
        <v>2068</v>
      </c>
      <c r="F1520" s="392">
        <v>52.7</v>
      </c>
      <c r="G1520" s="393" t="s">
        <v>56</v>
      </c>
      <c r="H1520" s="394">
        <v>52.7</v>
      </c>
      <c r="I1520" s="394"/>
      <c r="J1520" s="392">
        <f t="shared" si="46"/>
        <v>10.540000000000001</v>
      </c>
      <c r="K1520" s="392">
        <f t="shared" si="46"/>
        <v>10.540000000000001</v>
      </c>
      <c r="L1520" s="392">
        <f t="shared" si="46"/>
        <v>10.540000000000001</v>
      </c>
      <c r="M1520" s="392">
        <f t="shared" si="46"/>
        <v>10.540000000000001</v>
      </c>
      <c r="N1520" s="392">
        <f t="shared" si="46"/>
        <v>10.540000000000001</v>
      </c>
    </row>
    <row r="1521" spans="1:14" hidden="1" outlineLevel="2" x14ac:dyDescent="0.35">
      <c r="A1521" s="388" t="s">
        <v>3868</v>
      </c>
      <c r="B1521" s="389">
        <v>44468</v>
      </c>
      <c r="C1521" s="390" t="s">
        <v>5237</v>
      </c>
      <c r="D1521" s="391" t="s">
        <v>5238</v>
      </c>
      <c r="E1521" s="391" t="s">
        <v>2068</v>
      </c>
      <c r="F1521" s="392">
        <v>62</v>
      </c>
      <c r="G1521" s="393" t="s">
        <v>56</v>
      </c>
      <c r="H1521" s="394">
        <v>62</v>
      </c>
      <c r="I1521" s="394"/>
      <c r="J1521" s="392">
        <f t="shared" si="46"/>
        <v>12.4</v>
      </c>
      <c r="K1521" s="392">
        <f t="shared" si="46"/>
        <v>12.4</v>
      </c>
      <c r="L1521" s="392">
        <f t="shared" si="46"/>
        <v>12.4</v>
      </c>
      <c r="M1521" s="392">
        <f t="shared" si="46"/>
        <v>12.4</v>
      </c>
      <c r="N1521" s="392">
        <f t="shared" si="46"/>
        <v>12.4</v>
      </c>
    </row>
    <row r="1522" spans="1:14" hidden="1" outlineLevel="2" x14ac:dyDescent="0.35">
      <c r="A1522" s="388" t="s">
        <v>3868</v>
      </c>
      <c r="B1522" s="389">
        <v>44471</v>
      </c>
      <c r="C1522" s="390" t="s">
        <v>5239</v>
      </c>
      <c r="D1522" s="391" t="s">
        <v>5240</v>
      </c>
      <c r="E1522" s="391" t="s">
        <v>2068</v>
      </c>
      <c r="F1522" s="392">
        <v>62</v>
      </c>
      <c r="G1522" s="393" t="s">
        <v>56</v>
      </c>
      <c r="H1522" s="394">
        <v>62</v>
      </c>
      <c r="I1522" s="394"/>
      <c r="J1522" s="392">
        <f t="shared" si="46"/>
        <v>12.4</v>
      </c>
      <c r="K1522" s="392">
        <f t="shared" si="46"/>
        <v>12.4</v>
      </c>
      <c r="L1522" s="392">
        <f t="shared" si="46"/>
        <v>12.4</v>
      </c>
      <c r="M1522" s="392">
        <f t="shared" si="46"/>
        <v>12.4</v>
      </c>
      <c r="N1522" s="392">
        <f t="shared" si="46"/>
        <v>12.4</v>
      </c>
    </row>
    <row r="1523" spans="1:14" hidden="1" outlineLevel="2" x14ac:dyDescent="0.35">
      <c r="A1523" s="388" t="s">
        <v>3868</v>
      </c>
      <c r="B1523" s="389">
        <v>44474</v>
      </c>
      <c r="C1523" s="390" t="s">
        <v>5241</v>
      </c>
      <c r="D1523" s="391" t="s">
        <v>5242</v>
      </c>
      <c r="E1523" s="391" t="s">
        <v>2068</v>
      </c>
      <c r="F1523" s="392">
        <v>52.7</v>
      </c>
      <c r="G1523" s="393" t="s">
        <v>56</v>
      </c>
      <c r="H1523" s="394">
        <v>52.7</v>
      </c>
      <c r="I1523" s="394"/>
      <c r="J1523" s="392">
        <f t="shared" si="46"/>
        <v>10.540000000000001</v>
      </c>
      <c r="K1523" s="392">
        <f t="shared" si="46"/>
        <v>10.540000000000001</v>
      </c>
      <c r="L1523" s="392">
        <f t="shared" si="46"/>
        <v>10.540000000000001</v>
      </c>
      <c r="M1523" s="392">
        <f t="shared" si="46"/>
        <v>10.540000000000001</v>
      </c>
      <c r="N1523" s="392">
        <f t="shared" si="46"/>
        <v>10.540000000000001</v>
      </c>
    </row>
    <row r="1524" spans="1:14" hidden="1" outlineLevel="2" x14ac:dyDescent="0.35">
      <c r="A1524" s="388" t="s">
        <v>3868</v>
      </c>
      <c r="B1524" s="389">
        <v>44472</v>
      </c>
      <c r="C1524" s="390" t="s">
        <v>5243</v>
      </c>
      <c r="D1524" s="391" t="s">
        <v>5244</v>
      </c>
      <c r="E1524" s="391" t="s">
        <v>2068</v>
      </c>
      <c r="F1524" s="392">
        <v>62</v>
      </c>
      <c r="G1524" s="393" t="s">
        <v>56</v>
      </c>
      <c r="H1524" s="394">
        <v>62</v>
      </c>
      <c r="I1524" s="394"/>
      <c r="J1524" s="392">
        <f t="shared" si="46"/>
        <v>12.4</v>
      </c>
      <c r="K1524" s="392">
        <f t="shared" si="46"/>
        <v>12.4</v>
      </c>
      <c r="L1524" s="392">
        <f t="shared" si="46"/>
        <v>12.4</v>
      </c>
      <c r="M1524" s="392">
        <f t="shared" si="46"/>
        <v>12.4</v>
      </c>
      <c r="N1524" s="392">
        <f t="shared" si="46"/>
        <v>12.4</v>
      </c>
    </row>
    <row r="1525" spans="1:14" hidden="1" outlineLevel="2" x14ac:dyDescent="0.35">
      <c r="A1525" s="388" t="s">
        <v>3868</v>
      </c>
      <c r="B1525" s="389">
        <v>44473</v>
      </c>
      <c r="C1525" s="390" t="s">
        <v>5245</v>
      </c>
      <c r="D1525" s="391" t="s">
        <v>5246</v>
      </c>
      <c r="E1525" s="391" t="s">
        <v>2068</v>
      </c>
      <c r="F1525" s="392">
        <v>62</v>
      </c>
      <c r="G1525" s="393" t="s">
        <v>56</v>
      </c>
      <c r="H1525" s="394">
        <v>62</v>
      </c>
      <c r="I1525" s="394"/>
      <c r="J1525" s="392">
        <f t="shared" si="46"/>
        <v>12.4</v>
      </c>
      <c r="K1525" s="392">
        <f t="shared" si="46"/>
        <v>12.4</v>
      </c>
      <c r="L1525" s="392">
        <f t="shared" si="46"/>
        <v>12.4</v>
      </c>
      <c r="M1525" s="392">
        <f t="shared" si="46"/>
        <v>12.4</v>
      </c>
      <c r="N1525" s="392">
        <f t="shared" si="46"/>
        <v>12.4</v>
      </c>
    </row>
    <row r="1526" spans="1:14" hidden="1" outlineLevel="2" collapsed="1" x14ac:dyDescent="0.35">
      <c r="A1526" s="388" t="s">
        <v>3868</v>
      </c>
      <c r="B1526" s="389">
        <v>44476</v>
      </c>
      <c r="C1526" s="390" t="s">
        <v>5247</v>
      </c>
      <c r="D1526" s="391" t="s">
        <v>5248</v>
      </c>
      <c r="E1526" s="391" t="s">
        <v>2068</v>
      </c>
      <c r="F1526" s="392">
        <v>52.7</v>
      </c>
      <c r="G1526" s="393" t="s">
        <v>56</v>
      </c>
      <c r="H1526" s="394">
        <v>52.7</v>
      </c>
      <c r="I1526" s="394"/>
      <c r="J1526" s="392">
        <f t="shared" si="46"/>
        <v>10.540000000000001</v>
      </c>
      <c r="K1526" s="392">
        <f t="shared" si="46"/>
        <v>10.540000000000001</v>
      </c>
      <c r="L1526" s="392">
        <f t="shared" si="46"/>
        <v>10.540000000000001</v>
      </c>
      <c r="M1526" s="392">
        <f t="shared" si="46"/>
        <v>10.540000000000001</v>
      </c>
      <c r="N1526" s="392">
        <f t="shared" si="46"/>
        <v>10.540000000000001</v>
      </c>
    </row>
    <row r="1527" spans="1:14" hidden="1" outlineLevel="2" x14ac:dyDescent="0.35">
      <c r="A1527" s="388" t="s">
        <v>3868</v>
      </c>
      <c r="B1527" s="389">
        <v>44475</v>
      </c>
      <c r="C1527" s="390" t="s">
        <v>5249</v>
      </c>
      <c r="D1527" s="391" t="s">
        <v>5250</v>
      </c>
      <c r="E1527" s="391" t="s">
        <v>2068</v>
      </c>
      <c r="F1527" s="392">
        <v>52.7</v>
      </c>
      <c r="G1527" s="393" t="s">
        <v>56</v>
      </c>
      <c r="H1527" s="394">
        <v>52.7</v>
      </c>
      <c r="I1527" s="394"/>
      <c r="J1527" s="392">
        <f t="shared" si="46"/>
        <v>10.540000000000001</v>
      </c>
      <c r="K1527" s="392">
        <f t="shared" si="46"/>
        <v>10.540000000000001</v>
      </c>
      <c r="L1527" s="392">
        <f t="shared" si="46"/>
        <v>10.540000000000001</v>
      </c>
      <c r="M1527" s="392">
        <f t="shared" si="46"/>
        <v>10.540000000000001</v>
      </c>
      <c r="N1527" s="392">
        <f t="shared" si="46"/>
        <v>10.540000000000001</v>
      </c>
    </row>
    <row r="1528" spans="1:14" hidden="1" outlineLevel="2" x14ac:dyDescent="0.35">
      <c r="A1528" s="388" t="s">
        <v>3868</v>
      </c>
      <c r="B1528" s="389">
        <v>44477</v>
      </c>
      <c r="C1528" s="390" t="s">
        <v>5251</v>
      </c>
      <c r="D1528" s="391" t="s">
        <v>5252</v>
      </c>
      <c r="E1528" s="391" t="s">
        <v>2068</v>
      </c>
      <c r="F1528" s="392">
        <v>26.35</v>
      </c>
      <c r="G1528" s="393" t="s">
        <v>56</v>
      </c>
      <c r="H1528" s="394">
        <v>26.35</v>
      </c>
      <c r="I1528" s="394"/>
      <c r="J1528" s="392">
        <f t="shared" si="46"/>
        <v>5.2700000000000005</v>
      </c>
      <c r="K1528" s="392">
        <f t="shared" si="46"/>
        <v>5.2700000000000005</v>
      </c>
      <c r="L1528" s="392">
        <f t="shared" si="46"/>
        <v>5.2700000000000005</v>
      </c>
      <c r="M1528" s="392">
        <f t="shared" si="46"/>
        <v>5.2700000000000005</v>
      </c>
      <c r="N1528" s="392">
        <f t="shared" si="46"/>
        <v>5.2700000000000005</v>
      </c>
    </row>
    <row r="1529" spans="1:14" ht="30" hidden="1" outlineLevel="2" x14ac:dyDescent="0.35">
      <c r="A1529" s="388" t="s">
        <v>3868</v>
      </c>
      <c r="B1529" s="389">
        <v>44558</v>
      </c>
      <c r="C1529" s="390" t="s">
        <v>5253</v>
      </c>
      <c r="D1529" s="391" t="s">
        <v>5254</v>
      </c>
      <c r="E1529" s="391" t="s">
        <v>5255</v>
      </c>
      <c r="F1529" s="392">
        <v>168.18</v>
      </c>
      <c r="G1529" s="393" t="s">
        <v>56</v>
      </c>
      <c r="H1529" s="394">
        <v>168.18</v>
      </c>
      <c r="I1529" s="394"/>
      <c r="J1529" s="392">
        <f t="shared" si="46"/>
        <v>33.636000000000003</v>
      </c>
      <c r="K1529" s="392">
        <f t="shared" si="46"/>
        <v>33.636000000000003</v>
      </c>
      <c r="L1529" s="392">
        <f t="shared" si="46"/>
        <v>33.636000000000003</v>
      </c>
      <c r="M1529" s="392">
        <f t="shared" si="46"/>
        <v>33.636000000000003</v>
      </c>
      <c r="N1529" s="392">
        <f t="shared" si="46"/>
        <v>33.636000000000003</v>
      </c>
    </row>
    <row r="1530" spans="1:14" ht="30" hidden="1" outlineLevel="2" x14ac:dyDescent="0.35">
      <c r="A1530" s="388" t="s">
        <v>3868</v>
      </c>
      <c r="B1530" s="389">
        <v>44558</v>
      </c>
      <c r="C1530" s="390" t="s">
        <v>5256</v>
      </c>
      <c r="D1530" s="391" t="s">
        <v>5257</v>
      </c>
      <c r="E1530" s="391" t="s">
        <v>5255</v>
      </c>
      <c r="F1530" s="392">
        <v>657.16</v>
      </c>
      <c r="G1530" s="393" t="s">
        <v>56</v>
      </c>
      <c r="H1530" s="394">
        <v>657.16</v>
      </c>
      <c r="I1530" s="394"/>
      <c r="J1530" s="392">
        <f t="shared" si="46"/>
        <v>131.43199999999999</v>
      </c>
      <c r="K1530" s="392">
        <f t="shared" si="46"/>
        <v>131.43199999999999</v>
      </c>
      <c r="L1530" s="392">
        <f t="shared" si="46"/>
        <v>131.43199999999999</v>
      </c>
      <c r="M1530" s="392">
        <f t="shared" si="46"/>
        <v>131.43199999999999</v>
      </c>
      <c r="N1530" s="392">
        <f t="shared" si="46"/>
        <v>131.43199999999999</v>
      </c>
    </row>
    <row r="1531" spans="1:14" ht="30" hidden="1" outlineLevel="2" x14ac:dyDescent="0.35">
      <c r="A1531" s="388" t="s">
        <v>3868</v>
      </c>
      <c r="B1531" s="389">
        <v>44568</v>
      </c>
      <c r="C1531" s="390" t="s">
        <v>5258</v>
      </c>
      <c r="D1531" s="391" t="s">
        <v>5259</v>
      </c>
      <c r="E1531" s="391" t="s">
        <v>5255</v>
      </c>
      <c r="F1531" s="392">
        <v>429.9</v>
      </c>
      <c r="G1531" s="393" t="s">
        <v>56</v>
      </c>
      <c r="H1531" s="394">
        <v>429.9</v>
      </c>
      <c r="I1531" s="394"/>
      <c r="J1531" s="392">
        <f t="shared" si="46"/>
        <v>85.97999999999999</v>
      </c>
      <c r="K1531" s="392">
        <f t="shared" si="46"/>
        <v>85.97999999999999</v>
      </c>
      <c r="L1531" s="392">
        <f t="shared" si="46"/>
        <v>85.97999999999999</v>
      </c>
      <c r="M1531" s="392">
        <f t="shared" si="46"/>
        <v>85.97999999999999</v>
      </c>
      <c r="N1531" s="392">
        <f t="shared" si="46"/>
        <v>85.97999999999999</v>
      </c>
    </row>
    <row r="1532" spans="1:14" ht="30" hidden="1" outlineLevel="2" x14ac:dyDescent="0.35">
      <c r="A1532" s="388" t="s">
        <v>3868</v>
      </c>
      <c r="B1532" s="389">
        <v>44583</v>
      </c>
      <c r="C1532" s="390" t="s">
        <v>5260</v>
      </c>
      <c r="D1532" s="391" t="s">
        <v>5261</v>
      </c>
      <c r="E1532" s="391" t="s">
        <v>2068</v>
      </c>
      <c r="F1532" s="392">
        <v>52.7</v>
      </c>
      <c r="G1532" s="393" t="s">
        <v>56</v>
      </c>
      <c r="H1532" s="394">
        <v>52.7</v>
      </c>
      <c r="I1532" s="394"/>
      <c r="J1532" s="392">
        <f t="shared" si="46"/>
        <v>10.540000000000001</v>
      </c>
      <c r="K1532" s="392">
        <f t="shared" si="46"/>
        <v>10.540000000000001</v>
      </c>
      <c r="L1532" s="392">
        <f t="shared" si="46"/>
        <v>10.540000000000001</v>
      </c>
      <c r="M1532" s="392">
        <f t="shared" si="46"/>
        <v>10.540000000000001</v>
      </c>
      <c r="N1532" s="392">
        <f t="shared" si="46"/>
        <v>10.540000000000001</v>
      </c>
    </row>
    <row r="1533" spans="1:14" hidden="1" outlineLevel="2" x14ac:dyDescent="0.35">
      <c r="A1533" s="388" t="s">
        <v>3868</v>
      </c>
      <c r="B1533" s="389">
        <v>44581</v>
      </c>
      <c r="C1533" s="390" t="s">
        <v>5262</v>
      </c>
      <c r="D1533" s="391" t="s">
        <v>5263</v>
      </c>
      <c r="E1533" s="391" t="s">
        <v>2068</v>
      </c>
      <c r="F1533" s="392">
        <v>52.7</v>
      </c>
      <c r="G1533" s="393" t="s">
        <v>56</v>
      </c>
      <c r="H1533" s="394">
        <v>52.7</v>
      </c>
      <c r="I1533" s="394"/>
      <c r="J1533" s="392">
        <f t="shared" si="46"/>
        <v>10.540000000000001</v>
      </c>
      <c r="K1533" s="392">
        <f t="shared" si="46"/>
        <v>10.540000000000001</v>
      </c>
      <c r="L1533" s="392">
        <f t="shared" si="46"/>
        <v>10.540000000000001</v>
      </c>
      <c r="M1533" s="392">
        <f t="shared" si="46"/>
        <v>10.540000000000001</v>
      </c>
      <c r="N1533" s="392">
        <f t="shared" si="46"/>
        <v>10.540000000000001</v>
      </c>
    </row>
    <row r="1534" spans="1:14" hidden="1" outlineLevel="2" x14ac:dyDescent="0.35">
      <c r="A1534" s="388" t="s">
        <v>3868</v>
      </c>
      <c r="B1534" s="389">
        <v>44585</v>
      </c>
      <c r="C1534" s="390" t="s">
        <v>5264</v>
      </c>
      <c r="D1534" s="391" t="s">
        <v>5265</v>
      </c>
      <c r="E1534" s="391" t="s">
        <v>2068</v>
      </c>
      <c r="F1534" s="392">
        <v>52.7</v>
      </c>
      <c r="G1534" s="393" t="s">
        <v>56</v>
      </c>
      <c r="H1534" s="394">
        <v>52.7</v>
      </c>
      <c r="I1534" s="394"/>
      <c r="J1534" s="392">
        <f t="shared" si="46"/>
        <v>10.540000000000001</v>
      </c>
      <c r="K1534" s="392">
        <f t="shared" si="46"/>
        <v>10.540000000000001</v>
      </c>
      <c r="L1534" s="392">
        <f t="shared" si="46"/>
        <v>10.540000000000001</v>
      </c>
      <c r="M1534" s="392">
        <f t="shared" si="46"/>
        <v>10.540000000000001</v>
      </c>
      <c r="N1534" s="392">
        <f t="shared" si="46"/>
        <v>10.540000000000001</v>
      </c>
    </row>
    <row r="1535" spans="1:14" hidden="1" outlineLevel="2" x14ac:dyDescent="0.35">
      <c r="A1535" s="388" t="s">
        <v>3868</v>
      </c>
      <c r="B1535" s="389">
        <v>44584</v>
      </c>
      <c r="C1535" s="390" t="s">
        <v>5266</v>
      </c>
      <c r="D1535" s="391" t="s">
        <v>5267</v>
      </c>
      <c r="E1535" s="391" t="s">
        <v>2068</v>
      </c>
      <c r="F1535" s="392">
        <v>49.6</v>
      </c>
      <c r="G1535" s="393" t="s">
        <v>56</v>
      </c>
      <c r="H1535" s="394">
        <v>49.6</v>
      </c>
      <c r="I1535" s="394"/>
      <c r="J1535" s="392">
        <f t="shared" ref="J1535:N1550" si="47">$H1535/5</f>
        <v>9.92</v>
      </c>
      <c r="K1535" s="392">
        <f t="shared" si="47"/>
        <v>9.92</v>
      </c>
      <c r="L1535" s="392">
        <f t="shared" si="47"/>
        <v>9.92</v>
      </c>
      <c r="M1535" s="392">
        <f t="shared" si="47"/>
        <v>9.92</v>
      </c>
      <c r="N1535" s="392">
        <f t="shared" si="47"/>
        <v>9.92</v>
      </c>
    </row>
    <row r="1536" spans="1:14" hidden="1" outlineLevel="2" x14ac:dyDescent="0.35">
      <c r="A1536" s="388" t="s">
        <v>3868</v>
      </c>
      <c r="B1536" s="389">
        <v>44582</v>
      </c>
      <c r="C1536" s="390" t="s">
        <v>5268</v>
      </c>
      <c r="D1536" s="391" t="s">
        <v>5269</v>
      </c>
      <c r="E1536" s="391" t="s">
        <v>2068</v>
      </c>
      <c r="F1536" s="392">
        <v>52.7</v>
      </c>
      <c r="G1536" s="393" t="s">
        <v>56</v>
      </c>
      <c r="H1536" s="394">
        <v>52.7</v>
      </c>
      <c r="I1536" s="394"/>
      <c r="J1536" s="392">
        <f t="shared" si="47"/>
        <v>10.540000000000001</v>
      </c>
      <c r="K1536" s="392">
        <f t="shared" si="47"/>
        <v>10.540000000000001</v>
      </c>
      <c r="L1536" s="392">
        <f t="shared" si="47"/>
        <v>10.540000000000001</v>
      </c>
      <c r="M1536" s="392">
        <f t="shared" si="47"/>
        <v>10.540000000000001</v>
      </c>
      <c r="N1536" s="392">
        <f t="shared" si="47"/>
        <v>10.540000000000001</v>
      </c>
    </row>
    <row r="1537" spans="1:14" hidden="1" outlineLevel="2" x14ac:dyDescent="0.35">
      <c r="A1537" s="388" t="s">
        <v>3868</v>
      </c>
      <c r="B1537" s="389">
        <v>44587</v>
      </c>
      <c r="C1537" s="390" t="s">
        <v>5270</v>
      </c>
      <c r="D1537" s="391" t="s">
        <v>5271</v>
      </c>
      <c r="E1537" s="391" t="s">
        <v>2068</v>
      </c>
      <c r="F1537" s="392">
        <v>52.7</v>
      </c>
      <c r="G1537" s="393" t="s">
        <v>56</v>
      </c>
      <c r="H1537" s="394">
        <v>52.7</v>
      </c>
      <c r="I1537" s="394"/>
      <c r="J1537" s="392">
        <f t="shared" si="47"/>
        <v>10.540000000000001</v>
      </c>
      <c r="K1537" s="392">
        <f t="shared" si="47"/>
        <v>10.540000000000001</v>
      </c>
      <c r="L1537" s="392">
        <f t="shared" si="47"/>
        <v>10.540000000000001</v>
      </c>
      <c r="M1537" s="392">
        <f t="shared" si="47"/>
        <v>10.540000000000001</v>
      </c>
      <c r="N1537" s="392">
        <f t="shared" si="47"/>
        <v>10.540000000000001</v>
      </c>
    </row>
    <row r="1538" spans="1:14" hidden="1" outlineLevel="2" x14ac:dyDescent="0.35">
      <c r="A1538" s="388" t="s">
        <v>3868</v>
      </c>
      <c r="B1538" s="389">
        <v>44586</v>
      </c>
      <c r="C1538" s="390" t="s">
        <v>5272</v>
      </c>
      <c r="D1538" s="391" t="s">
        <v>5273</v>
      </c>
      <c r="E1538" s="391" t="s">
        <v>2068</v>
      </c>
      <c r="F1538" s="392">
        <v>52.7</v>
      </c>
      <c r="G1538" s="393" t="s">
        <v>56</v>
      </c>
      <c r="H1538" s="394">
        <v>52.7</v>
      </c>
      <c r="I1538" s="394"/>
      <c r="J1538" s="392">
        <f t="shared" si="47"/>
        <v>10.540000000000001</v>
      </c>
      <c r="K1538" s="392">
        <f t="shared" si="47"/>
        <v>10.540000000000001</v>
      </c>
      <c r="L1538" s="392">
        <f t="shared" si="47"/>
        <v>10.540000000000001</v>
      </c>
      <c r="M1538" s="392">
        <f t="shared" si="47"/>
        <v>10.540000000000001</v>
      </c>
      <c r="N1538" s="392">
        <f t="shared" si="47"/>
        <v>10.540000000000001</v>
      </c>
    </row>
    <row r="1539" spans="1:14" hidden="1" outlineLevel="2" x14ac:dyDescent="0.35">
      <c r="A1539" s="388" t="s">
        <v>3868</v>
      </c>
      <c r="B1539" s="389">
        <v>44566</v>
      </c>
      <c r="C1539" s="390" t="s">
        <v>5274</v>
      </c>
      <c r="D1539" s="391" t="s">
        <v>5275</v>
      </c>
      <c r="E1539" s="391" t="s">
        <v>2068</v>
      </c>
      <c r="F1539" s="392">
        <v>52.7</v>
      </c>
      <c r="G1539" s="393" t="s">
        <v>56</v>
      </c>
      <c r="H1539" s="394">
        <v>52.7</v>
      </c>
      <c r="I1539" s="394"/>
      <c r="J1539" s="392">
        <f t="shared" si="47"/>
        <v>10.540000000000001</v>
      </c>
      <c r="K1539" s="392">
        <f t="shared" si="47"/>
        <v>10.540000000000001</v>
      </c>
      <c r="L1539" s="392">
        <f t="shared" si="47"/>
        <v>10.540000000000001</v>
      </c>
      <c r="M1539" s="392">
        <f t="shared" si="47"/>
        <v>10.540000000000001</v>
      </c>
      <c r="N1539" s="392">
        <f t="shared" si="47"/>
        <v>10.540000000000001</v>
      </c>
    </row>
    <row r="1540" spans="1:14" hidden="1" outlineLevel="2" x14ac:dyDescent="0.35">
      <c r="A1540" s="388" t="s">
        <v>3868</v>
      </c>
      <c r="B1540" s="389">
        <v>44568</v>
      </c>
      <c r="C1540" s="390" t="s">
        <v>5276</v>
      </c>
      <c r="D1540" s="391" t="s">
        <v>5277</v>
      </c>
      <c r="E1540" s="391" t="s">
        <v>2068</v>
      </c>
      <c r="F1540" s="392">
        <v>52.7</v>
      </c>
      <c r="G1540" s="393" t="s">
        <v>56</v>
      </c>
      <c r="H1540" s="394">
        <v>52.7</v>
      </c>
      <c r="I1540" s="394"/>
      <c r="J1540" s="392">
        <f t="shared" si="47"/>
        <v>10.540000000000001</v>
      </c>
      <c r="K1540" s="392">
        <f t="shared" si="47"/>
        <v>10.540000000000001</v>
      </c>
      <c r="L1540" s="392">
        <f t="shared" si="47"/>
        <v>10.540000000000001</v>
      </c>
      <c r="M1540" s="392">
        <f t="shared" si="47"/>
        <v>10.540000000000001</v>
      </c>
      <c r="N1540" s="392">
        <f t="shared" si="47"/>
        <v>10.540000000000001</v>
      </c>
    </row>
    <row r="1541" spans="1:14" hidden="1" outlineLevel="2" x14ac:dyDescent="0.35">
      <c r="A1541" s="388" t="s">
        <v>3868</v>
      </c>
      <c r="B1541" s="389">
        <v>44565</v>
      </c>
      <c r="C1541" s="390" t="s">
        <v>5278</v>
      </c>
      <c r="D1541" s="391" t="s">
        <v>5279</v>
      </c>
      <c r="E1541" s="391" t="s">
        <v>2068</v>
      </c>
      <c r="F1541" s="392">
        <v>31</v>
      </c>
      <c r="G1541" s="393" t="s">
        <v>56</v>
      </c>
      <c r="H1541" s="394">
        <v>31</v>
      </c>
      <c r="I1541" s="394"/>
      <c r="J1541" s="392">
        <f t="shared" si="47"/>
        <v>6.2</v>
      </c>
      <c r="K1541" s="392">
        <f t="shared" si="47"/>
        <v>6.2</v>
      </c>
      <c r="L1541" s="392">
        <f t="shared" si="47"/>
        <v>6.2</v>
      </c>
      <c r="M1541" s="392">
        <f t="shared" si="47"/>
        <v>6.2</v>
      </c>
      <c r="N1541" s="392">
        <f t="shared" si="47"/>
        <v>6.2</v>
      </c>
    </row>
    <row r="1542" spans="1:14" hidden="1" outlineLevel="2" x14ac:dyDescent="0.35">
      <c r="A1542" s="388" t="s">
        <v>3868</v>
      </c>
      <c r="B1542" s="389">
        <v>44567</v>
      </c>
      <c r="C1542" s="390" t="s">
        <v>5280</v>
      </c>
      <c r="D1542" s="391" t="s">
        <v>5281</v>
      </c>
      <c r="E1542" s="391" t="s">
        <v>2068</v>
      </c>
      <c r="F1542" s="392">
        <v>52.7</v>
      </c>
      <c r="G1542" s="393" t="s">
        <v>56</v>
      </c>
      <c r="H1542" s="394">
        <v>52.7</v>
      </c>
      <c r="I1542" s="394"/>
      <c r="J1542" s="392">
        <f t="shared" si="47"/>
        <v>10.540000000000001</v>
      </c>
      <c r="K1542" s="392">
        <f t="shared" si="47"/>
        <v>10.540000000000001</v>
      </c>
      <c r="L1542" s="392">
        <f t="shared" si="47"/>
        <v>10.540000000000001</v>
      </c>
      <c r="M1542" s="392">
        <f t="shared" si="47"/>
        <v>10.540000000000001</v>
      </c>
      <c r="N1542" s="392">
        <f t="shared" si="47"/>
        <v>10.540000000000001</v>
      </c>
    </row>
    <row r="1543" spans="1:14" ht="30" hidden="1" outlineLevel="2" x14ac:dyDescent="0.35">
      <c r="A1543" s="388" t="s">
        <v>3868</v>
      </c>
      <c r="B1543" s="389">
        <v>44569</v>
      </c>
      <c r="C1543" s="390" t="s">
        <v>5282</v>
      </c>
      <c r="D1543" s="391" t="s">
        <v>5283</v>
      </c>
      <c r="E1543" s="391" t="s">
        <v>2068</v>
      </c>
      <c r="F1543" s="392">
        <v>52.7</v>
      </c>
      <c r="G1543" s="393" t="s">
        <v>56</v>
      </c>
      <c r="H1543" s="394">
        <v>52.7</v>
      </c>
      <c r="I1543" s="394"/>
      <c r="J1543" s="392">
        <f t="shared" si="47"/>
        <v>10.540000000000001</v>
      </c>
      <c r="K1543" s="392">
        <f t="shared" si="47"/>
        <v>10.540000000000001</v>
      </c>
      <c r="L1543" s="392">
        <f t="shared" si="47"/>
        <v>10.540000000000001</v>
      </c>
      <c r="M1543" s="392">
        <f t="shared" si="47"/>
        <v>10.540000000000001</v>
      </c>
      <c r="N1543" s="392">
        <f t="shared" si="47"/>
        <v>10.540000000000001</v>
      </c>
    </row>
    <row r="1544" spans="1:14" ht="30" hidden="1" outlineLevel="2" x14ac:dyDescent="0.35">
      <c r="A1544" s="388" t="s">
        <v>3868</v>
      </c>
      <c r="B1544" s="389">
        <v>44570</v>
      </c>
      <c r="C1544" s="390" t="s">
        <v>5284</v>
      </c>
      <c r="D1544" s="391" t="s">
        <v>5285</v>
      </c>
      <c r="E1544" s="391" t="s">
        <v>2068</v>
      </c>
      <c r="F1544" s="392">
        <v>52.7</v>
      </c>
      <c r="G1544" s="393" t="s">
        <v>56</v>
      </c>
      <c r="H1544" s="394">
        <v>52.7</v>
      </c>
      <c r="I1544" s="394"/>
      <c r="J1544" s="392">
        <f t="shared" si="47"/>
        <v>10.540000000000001</v>
      </c>
      <c r="K1544" s="392">
        <f t="shared" si="47"/>
        <v>10.540000000000001</v>
      </c>
      <c r="L1544" s="392">
        <f t="shared" si="47"/>
        <v>10.540000000000001</v>
      </c>
      <c r="M1544" s="392">
        <f t="shared" si="47"/>
        <v>10.540000000000001</v>
      </c>
      <c r="N1544" s="392">
        <f t="shared" si="47"/>
        <v>10.540000000000001</v>
      </c>
    </row>
    <row r="1545" spans="1:14" hidden="1" outlineLevel="2" x14ac:dyDescent="0.35">
      <c r="A1545" s="388" t="s">
        <v>3868</v>
      </c>
      <c r="B1545" s="389">
        <v>44573</v>
      </c>
      <c r="C1545" s="390" t="s">
        <v>5286</v>
      </c>
      <c r="D1545" s="391" t="s">
        <v>5287</v>
      </c>
      <c r="E1545" s="391" t="s">
        <v>2068</v>
      </c>
      <c r="F1545" s="392">
        <v>52.7</v>
      </c>
      <c r="G1545" s="393" t="s">
        <v>56</v>
      </c>
      <c r="H1545" s="394">
        <v>52.7</v>
      </c>
      <c r="I1545" s="394"/>
      <c r="J1545" s="392">
        <f t="shared" si="47"/>
        <v>10.540000000000001</v>
      </c>
      <c r="K1545" s="392">
        <f t="shared" si="47"/>
        <v>10.540000000000001</v>
      </c>
      <c r="L1545" s="392">
        <f t="shared" si="47"/>
        <v>10.540000000000001</v>
      </c>
      <c r="M1545" s="392">
        <f t="shared" si="47"/>
        <v>10.540000000000001</v>
      </c>
      <c r="N1545" s="392">
        <f t="shared" si="47"/>
        <v>10.540000000000001</v>
      </c>
    </row>
    <row r="1546" spans="1:14" hidden="1" outlineLevel="2" x14ac:dyDescent="0.35">
      <c r="A1546" s="388" t="s">
        <v>3868</v>
      </c>
      <c r="B1546" s="389">
        <v>44578</v>
      </c>
      <c r="C1546" s="390" t="s">
        <v>5288</v>
      </c>
      <c r="D1546" s="391" t="s">
        <v>5289</v>
      </c>
      <c r="E1546" s="391" t="s">
        <v>2068</v>
      </c>
      <c r="F1546" s="392">
        <v>52.7</v>
      </c>
      <c r="G1546" s="393" t="s">
        <v>56</v>
      </c>
      <c r="H1546" s="394">
        <v>52.7</v>
      </c>
      <c r="I1546" s="394"/>
      <c r="J1546" s="392">
        <f t="shared" si="47"/>
        <v>10.540000000000001</v>
      </c>
      <c r="K1546" s="392">
        <f t="shared" si="47"/>
        <v>10.540000000000001</v>
      </c>
      <c r="L1546" s="392">
        <f t="shared" si="47"/>
        <v>10.540000000000001</v>
      </c>
      <c r="M1546" s="392">
        <f t="shared" si="47"/>
        <v>10.540000000000001</v>
      </c>
      <c r="N1546" s="392">
        <f t="shared" si="47"/>
        <v>10.540000000000001</v>
      </c>
    </row>
    <row r="1547" spans="1:14" hidden="1" outlineLevel="2" x14ac:dyDescent="0.35">
      <c r="A1547" s="388" t="s">
        <v>3868</v>
      </c>
      <c r="B1547" s="389">
        <v>44577</v>
      </c>
      <c r="C1547" s="390" t="s">
        <v>5290</v>
      </c>
      <c r="D1547" s="391" t="s">
        <v>5291</v>
      </c>
      <c r="E1547" s="391" t="s">
        <v>2068</v>
      </c>
      <c r="F1547" s="392">
        <v>49.6</v>
      </c>
      <c r="G1547" s="393" t="s">
        <v>56</v>
      </c>
      <c r="H1547" s="394">
        <v>49.6</v>
      </c>
      <c r="I1547" s="394"/>
      <c r="J1547" s="392">
        <f t="shared" si="47"/>
        <v>9.92</v>
      </c>
      <c r="K1547" s="392">
        <f t="shared" si="47"/>
        <v>9.92</v>
      </c>
      <c r="L1547" s="392">
        <f t="shared" si="47"/>
        <v>9.92</v>
      </c>
      <c r="M1547" s="392">
        <f t="shared" si="47"/>
        <v>9.92</v>
      </c>
      <c r="N1547" s="392">
        <f t="shared" si="47"/>
        <v>9.92</v>
      </c>
    </row>
    <row r="1548" spans="1:14" hidden="1" outlineLevel="2" x14ac:dyDescent="0.35">
      <c r="A1548" s="388" t="s">
        <v>3868</v>
      </c>
      <c r="B1548" s="389">
        <v>44574</v>
      </c>
      <c r="C1548" s="390" t="s">
        <v>5292</v>
      </c>
      <c r="D1548" s="391" t="s">
        <v>5293</v>
      </c>
      <c r="E1548" s="391" t="s">
        <v>2068</v>
      </c>
      <c r="F1548" s="392">
        <v>52.7</v>
      </c>
      <c r="G1548" s="393" t="s">
        <v>56</v>
      </c>
      <c r="H1548" s="394">
        <v>52.7</v>
      </c>
      <c r="I1548" s="394"/>
      <c r="J1548" s="392">
        <f t="shared" si="47"/>
        <v>10.540000000000001</v>
      </c>
      <c r="K1548" s="392">
        <f t="shared" si="47"/>
        <v>10.540000000000001</v>
      </c>
      <c r="L1548" s="392">
        <f t="shared" si="47"/>
        <v>10.540000000000001</v>
      </c>
      <c r="M1548" s="392">
        <f t="shared" si="47"/>
        <v>10.540000000000001</v>
      </c>
      <c r="N1548" s="392">
        <f t="shared" si="47"/>
        <v>10.540000000000001</v>
      </c>
    </row>
    <row r="1549" spans="1:14" hidden="1" outlineLevel="2" x14ac:dyDescent="0.35">
      <c r="A1549" s="388" t="s">
        <v>3868</v>
      </c>
      <c r="B1549" s="389">
        <v>44575</v>
      </c>
      <c r="C1549" s="390" t="s">
        <v>5294</v>
      </c>
      <c r="D1549" s="391" t="s">
        <v>5295</v>
      </c>
      <c r="E1549" s="391" t="s">
        <v>2068</v>
      </c>
      <c r="F1549" s="392">
        <v>52.7</v>
      </c>
      <c r="G1549" s="393" t="s">
        <v>56</v>
      </c>
      <c r="H1549" s="394">
        <v>52.7</v>
      </c>
      <c r="I1549" s="394"/>
      <c r="J1549" s="392">
        <f t="shared" si="47"/>
        <v>10.540000000000001</v>
      </c>
      <c r="K1549" s="392">
        <f t="shared" si="47"/>
        <v>10.540000000000001</v>
      </c>
      <c r="L1549" s="392">
        <f t="shared" si="47"/>
        <v>10.540000000000001</v>
      </c>
      <c r="M1549" s="392">
        <f t="shared" si="47"/>
        <v>10.540000000000001</v>
      </c>
      <c r="N1549" s="392">
        <f t="shared" si="47"/>
        <v>10.540000000000001</v>
      </c>
    </row>
    <row r="1550" spans="1:14" hidden="1" outlineLevel="2" x14ac:dyDescent="0.35">
      <c r="A1550" s="388" t="s">
        <v>3868</v>
      </c>
      <c r="B1550" s="389">
        <v>44580</v>
      </c>
      <c r="C1550" s="390" t="s">
        <v>5296</v>
      </c>
      <c r="D1550" s="391" t="s">
        <v>5297</v>
      </c>
      <c r="E1550" s="391" t="s">
        <v>2068</v>
      </c>
      <c r="F1550" s="392">
        <v>52.7</v>
      </c>
      <c r="G1550" s="393" t="s">
        <v>56</v>
      </c>
      <c r="H1550" s="394">
        <v>52.7</v>
      </c>
      <c r="I1550" s="394"/>
      <c r="J1550" s="392">
        <f t="shared" si="47"/>
        <v>10.540000000000001</v>
      </c>
      <c r="K1550" s="392">
        <f t="shared" si="47"/>
        <v>10.540000000000001</v>
      </c>
      <c r="L1550" s="392">
        <f t="shared" si="47"/>
        <v>10.540000000000001</v>
      </c>
      <c r="M1550" s="392">
        <f t="shared" si="47"/>
        <v>10.540000000000001</v>
      </c>
      <c r="N1550" s="392">
        <f t="shared" si="47"/>
        <v>10.540000000000001</v>
      </c>
    </row>
    <row r="1551" spans="1:14" hidden="1" outlineLevel="2" x14ac:dyDescent="0.35">
      <c r="A1551" s="388" t="s">
        <v>3868</v>
      </c>
      <c r="B1551" s="389">
        <v>44572</v>
      </c>
      <c r="C1551" s="390" t="s">
        <v>5298</v>
      </c>
      <c r="D1551" s="391" t="s">
        <v>5299</v>
      </c>
      <c r="E1551" s="391" t="s">
        <v>2068</v>
      </c>
      <c r="F1551" s="392">
        <v>52.7</v>
      </c>
      <c r="G1551" s="393" t="s">
        <v>56</v>
      </c>
      <c r="H1551" s="394">
        <v>52.7</v>
      </c>
      <c r="I1551" s="394"/>
      <c r="J1551" s="392">
        <f t="shared" ref="J1551:N1566" si="48">$H1551/5</f>
        <v>10.540000000000001</v>
      </c>
      <c r="K1551" s="392">
        <f t="shared" si="48"/>
        <v>10.540000000000001</v>
      </c>
      <c r="L1551" s="392">
        <f t="shared" si="48"/>
        <v>10.540000000000001</v>
      </c>
      <c r="M1551" s="392">
        <f t="shared" si="48"/>
        <v>10.540000000000001</v>
      </c>
      <c r="N1551" s="392">
        <f t="shared" si="48"/>
        <v>10.540000000000001</v>
      </c>
    </row>
    <row r="1552" spans="1:14" hidden="1" outlineLevel="2" x14ac:dyDescent="0.35">
      <c r="A1552" s="388" t="s">
        <v>3868</v>
      </c>
      <c r="B1552" s="389">
        <v>44571</v>
      </c>
      <c r="C1552" s="390" t="s">
        <v>5300</v>
      </c>
      <c r="D1552" s="391" t="s">
        <v>5301</v>
      </c>
      <c r="E1552" s="391" t="s">
        <v>2068</v>
      </c>
      <c r="F1552" s="392">
        <v>52.7</v>
      </c>
      <c r="G1552" s="393" t="s">
        <v>56</v>
      </c>
      <c r="H1552" s="394">
        <v>52.7</v>
      </c>
      <c r="I1552" s="394"/>
      <c r="J1552" s="392">
        <f t="shared" si="48"/>
        <v>10.540000000000001</v>
      </c>
      <c r="K1552" s="392">
        <f t="shared" si="48"/>
        <v>10.540000000000001</v>
      </c>
      <c r="L1552" s="392">
        <f t="shared" si="48"/>
        <v>10.540000000000001</v>
      </c>
      <c r="M1552" s="392">
        <f t="shared" si="48"/>
        <v>10.540000000000001</v>
      </c>
      <c r="N1552" s="392">
        <f t="shared" si="48"/>
        <v>10.540000000000001</v>
      </c>
    </row>
    <row r="1553" spans="1:14" hidden="1" outlineLevel="2" x14ac:dyDescent="0.35">
      <c r="A1553" s="388" t="s">
        <v>3868</v>
      </c>
      <c r="B1553" s="389">
        <v>44576</v>
      </c>
      <c r="C1553" s="390" t="s">
        <v>5302</v>
      </c>
      <c r="D1553" s="391" t="s">
        <v>5303</v>
      </c>
      <c r="E1553" s="391" t="s">
        <v>2068</v>
      </c>
      <c r="F1553" s="392">
        <v>49.6</v>
      </c>
      <c r="G1553" s="393" t="s">
        <v>56</v>
      </c>
      <c r="H1553" s="394">
        <v>49.6</v>
      </c>
      <c r="I1553" s="394"/>
      <c r="J1553" s="392">
        <f t="shared" si="48"/>
        <v>9.92</v>
      </c>
      <c r="K1553" s="392">
        <f t="shared" si="48"/>
        <v>9.92</v>
      </c>
      <c r="L1553" s="392">
        <f t="shared" si="48"/>
        <v>9.92</v>
      </c>
      <c r="M1553" s="392">
        <f t="shared" si="48"/>
        <v>9.92</v>
      </c>
      <c r="N1553" s="392">
        <f t="shared" si="48"/>
        <v>9.92</v>
      </c>
    </row>
    <row r="1554" spans="1:14" hidden="1" outlineLevel="2" x14ac:dyDescent="0.35">
      <c r="A1554" s="388" t="s">
        <v>3868</v>
      </c>
      <c r="B1554" s="389">
        <v>44579</v>
      </c>
      <c r="C1554" s="390" t="s">
        <v>5304</v>
      </c>
      <c r="D1554" s="391" t="s">
        <v>5305</v>
      </c>
      <c r="E1554" s="391" t="s">
        <v>2068</v>
      </c>
      <c r="F1554" s="392">
        <v>52.7</v>
      </c>
      <c r="G1554" s="393" t="s">
        <v>56</v>
      </c>
      <c r="H1554" s="394">
        <v>52.7</v>
      </c>
      <c r="I1554" s="394"/>
      <c r="J1554" s="392">
        <f t="shared" si="48"/>
        <v>10.540000000000001</v>
      </c>
      <c r="K1554" s="392">
        <f t="shared" si="48"/>
        <v>10.540000000000001</v>
      </c>
      <c r="L1554" s="392">
        <f t="shared" si="48"/>
        <v>10.540000000000001</v>
      </c>
      <c r="M1554" s="392">
        <f t="shared" si="48"/>
        <v>10.540000000000001</v>
      </c>
      <c r="N1554" s="392">
        <f t="shared" si="48"/>
        <v>10.540000000000001</v>
      </c>
    </row>
    <row r="1555" spans="1:14" hidden="1" outlineLevel="2" x14ac:dyDescent="0.35">
      <c r="A1555" s="388" t="s">
        <v>3868</v>
      </c>
      <c r="B1555" s="389">
        <v>44588</v>
      </c>
      <c r="C1555" s="390" t="s">
        <v>5306</v>
      </c>
      <c r="D1555" s="391" t="s">
        <v>5307</v>
      </c>
      <c r="E1555" s="391" t="s">
        <v>2068</v>
      </c>
      <c r="F1555" s="392">
        <v>52.7</v>
      </c>
      <c r="G1555" s="393" t="s">
        <v>56</v>
      </c>
      <c r="H1555" s="394">
        <v>52.7</v>
      </c>
      <c r="I1555" s="394"/>
      <c r="J1555" s="392">
        <f t="shared" si="48"/>
        <v>10.540000000000001</v>
      </c>
      <c r="K1555" s="392">
        <f t="shared" si="48"/>
        <v>10.540000000000001</v>
      </c>
      <c r="L1555" s="392">
        <f t="shared" si="48"/>
        <v>10.540000000000001</v>
      </c>
      <c r="M1555" s="392">
        <f t="shared" si="48"/>
        <v>10.540000000000001</v>
      </c>
      <c r="N1555" s="392">
        <f t="shared" si="48"/>
        <v>10.540000000000001</v>
      </c>
    </row>
    <row r="1556" spans="1:14" hidden="1" outlineLevel="2" x14ac:dyDescent="0.35">
      <c r="A1556" s="388" t="s">
        <v>3868</v>
      </c>
      <c r="B1556" s="389">
        <v>44589</v>
      </c>
      <c r="C1556" s="390" t="s">
        <v>5308</v>
      </c>
      <c r="D1556" s="391" t="s">
        <v>5309</v>
      </c>
      <c r="E1556" s="391" t="s">
        <v>2068</v>
      </c>
      <c r="F1556" s="392">
        <v>26.35</v>
      </c>
      <c r="G1556" s="393" t="s">
        <v>56</v>
      </c>
      <c r="H1556" s="394">
        <v>26.35</v>
      </c>
      <c r="I1556" s="394"/>
      <c r="J1556" s="392">
        <f t="shared" si="48"/>
        <v>5.2700000000000005</v>
      </c>
      <c r="K1556" s="392">
        <f t="shared" si="48"/>
        <v>5.2700000000000005</v>
      </c>
      <c r="L1556" s="392">
        <f t="shared" si="48"/>
        <v>5.2700000000000005</v>
      </c>
      <c r="M1556" s="392">
        <f t="shared" si="48"/>
        <v>5.2700000000000005</v>
      </c>
      <c r="N1556" s="392">
        <f t="shared" si="48"/>
        <v>5.2700000000000005</v>
      </c>
    </row>
    <row r="1557" spans="1:14" hidden="1" outlineLevel="2" x14ac:dyDescent="0.35">
      <c r="A1557" s="388" t="s">
        <v>3868</v>
      </c>
      <c r="B1557" s="389">
        <v>43752</v>
      </c>
      <c r="C1557" s="390" t="s">
        <v>5075</v>
      </c>
      <c r="D1557" s="391" t="s">
        <v>5310</v>
      </c>
      <c r="E1557" s="391" t="s">
        <v>5058</v>
      </c>
      <c r="F1557" s="392">
        <v>1173.79</v>
      </c>
      <c r="G1557" s="393" t="s">
        <v>56</v>
      </c>
      <c r="H1557" s="394">
        <v>1173.79</v>
      </c>
      <c r="I1557" s="394"/>
      <c r="J1557" s="392">
        <f t="shared" si="48"/>
        <v>234.75799999999998</v>
      </c>
      <c r="K1557" s="392">
        <f t="shared" si="48"/>
        <v>234.75799999999998</v>
      </c>
      <c r="L1557" s="392">
        <f t="shared" si="48"/>
        <v>234.75799999999998</v>
      </c>
      <c r="M1557" s="392">
        <f t="shared" si="48"/>
        <v>234.75799999999998</v>
      </c>
      <c r="N1557" s="392">
        <f t="shared" si="48"/>
        <v>234.75799999999998</v>
      </c>
    </row>
    <row r="1558" spans="1:14" hidden="1" outlineLevel="2" x14ac:dyDescent="0.35">
      <c r="A1558" s="388" t="s">
        <v>3868</v>
      </c>
      <c r="B1558" s="389">
        <v>43754</v>
      </c>
      <c r="C1558" s="390" t="s">
        <v>5077</v>
      </c>
      <c r="D1558" s="391" t="s">
        <v>5311</v>
      </c>
      <c r="E1558" s="391" t="s">
        <v>5058</v>
      </c>
      <c r="F1558" s="392">
        <v>156.30000000000001</v>
      </c>
      <c r="G1558" s="393" t="s">
        <v>56</v>
      </c>
      <c r="H1558" s="394">
        <v>156.30000000000001</v>
      </c>
      <c r="I1558" s="394"/>
      <c r="J1558" s="392">
        <f t="shared" si="48"/>
        <v>31.26</v>
      </c>
      <c r="K1558" s="392">
        <f t="shared" si="48"/>
        <v>31.26</v>
      </c>
      <c r="L1558" s="392">
        <f t="shared" si="48"/>
        <v>31.26</v>
      </c>
      <c r="M1558" s="392">
        <f t="shared" si="48"/>
        <v>31.26</v>
      </c>
      <c r="N1558" s="392">
        <f t="shared" si="48"/>
        <v>31.26</v>
      </c>
    </row>
    <row r="1559" spans="1:14" hidden="1" outlineLevel="2" x14ac:dyDescent="0.35">
      <c r="A1559" s="388" t="s">
        <v>3868</v>
      </c>
      <c r="B1559" s="389">
        <v>43815</v>
      </c>
      <c r="C1559" s="390" t="s">
        <v>5065</v>
      </c>
      <c r="D1559" s="391" t="s">
        <v>5066</v>
      </c>
      <c r="E1559" s="391" t="s">
        <v>5058</v>
      </c>
      <c r="F1559" s="392">
        <v>667.92</v>
      </c>
      <c r="G1559" s="393" t="s">
        <v>56</v>
      </c>
      <c r="H1559" s="394">
        <v>667.92</v>
      </c>
      <c r="I1559" s="394"/>
      <c r="J1559" s="392">
        <f t="shared" si="48"/>
        <v>133.584</v>
      </c>
      <c r="K1559" s="392">
        <f t="shared" si="48"/>
        <v>133.584</v>
      </c>
      <c r="L1559" s="392">
        <f t="shared" si="48"/>
        <v>133.584</v>
      </c>
      <c r="M1559" s="392">
        <f t="shared" si="48"/>
        <v>133.584</v>
      </c>
      <c r="N1559" s="392">
        <f t="shared" si="48"/>
        <v>133.584</v>
      </c>
    </row>
    <row r="1560" spans="1:14" hidden="1" outlineLevel="2" x14ac:dyDescent="0.35">
      <c r="A1560" s="388" t="s">
        <v>3868</v>
      </c>
      <c r="B1560" s="389">
        <v>43830</v>
      </c>
      <c r="C1560" s="390" t="s">
        <v>5067</v>
      </c>
      <c r="D1560" s="391" t="s">
        <v>5312</v>
      </c>
      <c r="E1560" s="391" t="s">
        <v>5058</v>
      </c>
      <c r="F1560" s="392">
        <v>367.52</v>
      </c>
      <c r="G1560" s="393" t="s">
        <v>56</v>
      </c>
      <c r="H1560" s="394">
        <v>367.52</v>
      </c>
      <c r="I1560" s="394"/>
      <c r="J1560" s="392">
        <f t="shared" si="48"/>
        <v>73.503999999999991</v>
      </c>
      <c r="K1560" s="392">
        <f t="shared" si="48"/>
        <v>73.503999999999991</v>
      </c>
      <c r="L1560" s="392">
        <f t="shared" si="48"/>
        <v>73.503999999999991</v>
      </c>
      <c r="M1560" s="392">
        <f t="shared" si="48"/>
        <v>73.503999999999991</v>
      </c>
      <c r="N1560" s="392">
        <f t="shared" si="48"/>
        <v>73.503999999999991</v>
      </c>
    </row>
    <row r="1561" spans="1:14" hidden="1" outlineLevel="2" x14ac:dyDescent="0.35">
      <c r="A1561" s="388" t="s">
        <v>3868</v>
      </c>
      <c r="B1561" s="389">
        <v>43887</v>
      </c>
      <c r="C1561" s="390" t="s">
        <v>5097</v>
      </c>
      <c r="D1561" s="391" t="s">
        <v>5098</v>
      </c>
      <c r="E1561" s="391" t="s">
        <v>5058</v>
      </c>
      <c r="F1561" s="392">
        <v>172.27</v>
      </c>
      <c r="G1561" s="393" t="s">
        <v>56</v>
      </c>
      <c r="H1561" s="394">
        <v>172.27</v>
      </c>
      <c r="I1561" s="394"/>
      <c r="J1561" s="392">
        <f t="shared" si="48"/>
        <v>34.454000000000001</v>
      </c>
      <c r="K1561" s="392">
        <f t="shared" si="48"/>
        <v>34.454000000000001</v>
      </c>
      <c r="L1561" s="392">
        <f t="shared" si="48"/>
        <v>34.454000000000001</v>
      </c>
      <c r="M1561" s="392">
        <f t="shared" si="48"/>
        <v>34.454000000000001</v>
      </c>
      <c r="N1561" s="392">
        <f t="shared" si="48"/>
        <v>34.454000000000001</v>
      </c>
    </row>
    <row r="1562" spans="1:14" hidden="1" outlineLevel="2" x14ac:dyDescent="0.35">
      <c r="A1562" s="388" t="s">
        <v>3868</v>
      </c>
      <c r="B1562" s="389">
        <v>44272</v>
      </c>
      <c r="C1562" s="390" t="s">
        <v>5313</v>
      </c>
      <c r="D1562" s="391" t="s">
        <v>5314</v>
      </c>
      <c r="E1562" s="391" t="s">
        <v>5315</v>
      </c>
      <c r="F1562" s="392">
        <v>33.880000000000003</v>
      </c>
      <c r="G1562" s="393" t="s">
        <v>56</v>
      </c>
      <c r="H1562" s="394">
        <v>33.880000000000003</v>
      </c>
      <c r="I1562" s="394"/>
      <c r="J1562" s="392">
        <f t="shared" si="48"/>
        <v>6.7760000000000007</v>
      </c>
      <c r="K1562" s="392">
        <f t="shared" si="48"/>
        <v>6.7760000000000007</v>
      </c>
      <c r="L1562" s="392">
        <f t="shared" si="48"/>
        <v>6.7760000000000007</v>
      </c>
      <c r="M1562" s="392">
        <f t="shared" si="48"/>
        <v>6.7760000000000007</v>
      </c>
      <c r="N1562" s="392">
        <f t="shared" si="48"/>
        <v>6.7760000000000007</v>
      </c>
    </row>
    <row r="1563" spans="1:14" ht="30" hidden="1" outlineLevel="2" x14ac:dyDescent="0.35">
      <c r="A1563" s="388" t="s">
        <v>3868</v>
      </c>
      <c r="B1563" s="389">
        <v>44272</v>
      </c>
      <c r="C1563" s="390" t="s">
        <v>5316</v>
      </c>
      <c r="D1563" s="391" t="s">
        <v>5317</v>
      </c>
      <c r="E1563" s="391" t="s">
        <v>5315</v>
      </c>
      <c r="F1563" s="392">
        <v>33.880000000000003</v>
      </c>
      <c r="G1563" s="393" t="s">
        <v>56</v>
      </c>
      <c r="H1563" s="394">
        <v>33.880000000000003</v>
      </c>
      <c r="I1563" s="394"/>
      <c r="J1563" s="392">
        <f t="shared" si="48"/>
        <v>6.7760000000000007</v>
      </c>
      <c r="K1563" s="392">
        <f t="shared" si="48"/>
        <v>6.7760000000000007</v>
      </c>
      <c r="L1563" s="392">
        <f t="shared" si="48"/>
        <v>6.7760000000000007</v>
      </c>
      <c r="M1563" s="392">
        <f t="shared" si="48"/>
        <v>6.7760000000000007</v>
      </c>
      <c r="N1563" s="392">
        <f t="shared" si="48"/>
        <v>6.7760000000000007</v>
      </c>
    </row>
    <row r="1564" spans="1:14" ht="30" hidden="1" outlineLevel="2" x14ac:dyDescent="0.35">
      <c r="A1564" s="388" t="s">
        <v>3868</v>
      </c>
      <c r="B1564" s="389">
        <v>44272</v>
      </c>
      <c r="C1564" s="390" t="s">
        <v>5318</v>
      </c>
      <c r="D1564" s="391" t="s">
        <v>5319</v>
      </c>
      <c r="E1564" s="391" t="s">
        <v>5315</v>
      </c>
      <c r="F1564" s="392">
        <v>33.880000000000003</v>
      </c>
      <c r="G1564" s="393" t="s">
        <v>56</v>
      </c>
      <c r="H1564" s="394">
        <v>33.880000000000003</v>
      </c>
      <c r="I1564" s="394"/>
      <c r="J1564" s="392">
        <f t="shared" si="48"/>
        <v>6.7760000000000007</v>
      </c>
      <c r="K1564" s="392">
        <f t="shared" si="48"/>
        <v>6.7760000000000007</v>
      </c>
      <c r="L1564" s="392">
        <f t="shared" si="48"/>
        <v>6.7760000000000007</v>
      </c>
      <c r="M1564" s="392">
        <f t="shared" si="48"/>
        <v>6.7760000000000007</v>
      </c>
      <c r="N1564" s="392">
        <f t="shared" si="48"/>
        <v>6.7760000000000007</v>
      </c>
    </row>
    <row r="1565" spans="1:14" ht="30" hidden="1" outlineLevel="2" x14ac:dyDescent="0.35">
      <c r="A1565" s="388" t="s">
        <v>3868</v>
      </c>
      <c r="B1565" s="389">
        <v>44198</v>
      </c>
      <c r="C1565" s="390" t="s">
        <v>5320</v>
      </c>
      <c r="D1565" s="391" t="s">
        <v>5321</v>
      </c>
      <c r="E1565" s="391" t="s">
        <v>5315</v>
      </c>
      <c r="F1565" s="392">
        <v>45.17</v>
      </c>
      <c r="G1565" s="393" t="s">
        <v>56</v>
      </c>
      <c r="H1565" s="394">
        <v>45.17</v>
      </c>
      <c r="I1565" s="394"/>
      <c r="J1565" s="392">
        <f t="shared" si="48"/>
        <v>9.0340000000000007</v>
      </c>
      <c r="K1565" s="392">
        <f t="shared" si="48"/>
        <v>9.0340000000000007</v>
      </c>
      <c r="L1565" s="392">
        <f t="shared" si="48"/>
        <v>9.0340000000000007</v>
      </c>
      <c r="M1565" s="392">
        <f t="shared" si="48"/>
        <v>9.0340000000000007</v>
      </c>
      <c r="N1565" s="392">
        <f t="shared" si="48"/>
        <v>9.0340000000000007</v>
      </c>
    </row>
    <row r="1566" spans="1:14" ht="30" hidden="1" outlineLevel="2" x14ac:dyDescent="0.35">
      <c r="A1566" s="388" t="s">
        <v>3868</v>
      </c>
      <c r="B1566" s="389">
        <v>44198</v>
      </c>
      <c r="C1566" s="390" t="s">
        <v>5322</v>
      </c>
      <c r="D1566" s="391" t="s">
        <v>5323</v>
      </c>
      <c r="E1566" s="391" t="s">
        <v>5315</v>
      </c>
      <c r="F1566" s="392">
        <v>45.17</v>
      </c>
      <c r="G1566" s="393" t="s">
        <v>56</v>
      </c>
      <c r="H1566" s="394">
        <v>45.17</v>
      </c>
      <c r="I1566" s="394"/>
      <c r="J1566" s="392">
        <f t="shared" si="48"/>
        <v>9.0340000000000007</v>
      </c>
      <c r="K1566" s="392">
        <f t="shared" si="48"/>
        <v>9.0340000000000007</v>
      </c>
      <c r="L1566" s="392">
        <f t="shared" si="48"/>
        <v>9.0340000000000007</v>
      </c>
      <c r="M1566" s="392">
        <f t="shared" si="48"/>
        <v>9.0340000000000007</v>
      </c>
      <c r="N1566" s="392">
        <f t="shared" si="48"/>
        <v>9.0340000000000007</v>
      </c>
    </row>
    <row r="1567" spans="1:14" ht="30" hidden="1" outlineLevel="2" x14ac:dyDescent="0.35">
      <c r="A1567" s="388" t="s">
        <v>3868</v>
      </c>
      <c r="B1567" s="389">
        <v>44263</v>
      </c>
      <c r="C1567" s="390" t="s">
        <v>5324</v>
      </c>
      <c r="D1567" s="391" t="s">
        <v>5325</v>
      </c>
      <c r="E1567" s="391" t="s">
        <v>5315</v>
      </c>
      <c r="F1567" s="392">
        <v>45.17</v>
      </c>
      <c r="G1567" s="393" t="s">
        <v>56</v>
      </c>
      <c r="H1567" s="394">
        <v>45.17</v>
      </c>
      <c r="I1567" s="394"/>
      <c r="J1567" s="392">
        <f t="shared" ref="J1567:N1582" si="49">$H1567/5</f>
        <v>9.0340000000000007</v>
      </c>
      <c r="K1567" s="392">
        <f t="shared" si="49"/>
        <v>9.0340000000000007</v>
      </c>
      <c r="L1567" s="392">
        <f t="shared" si="49"/>
        <v>9.0340000000000007</v>
      </c>
      <c r="M1567" s="392">
        <f t="shared" si="49"/>
        <v>9.0340000000000007</v>
      </c>
      <c r="N1567" s="392">
        <f t="shared" si="49"/>
        <v>9.0340000000000007</v>
      </c>
    </row>
    <row r="1568" spans="1:14" hidden="1" outlineLevel="2" x14ac:dyDescent="0.35">
      <c r="A1568" s="388" t="s">
        <v>3868</v>
      </c>
      <c r="B1568" s="389">
        <v>44270</v>
      </c>
      <c r="C1568" s="390" t="s">
        <v>5326</v>
      </c>
      <c r="D1568" s="391" t="s">
        <v>5327</v>
      </c>
      <c r="E1568" s="391" t="s">
        <v>5328</v>
      </c>
      <c r="F1568" s="392">
        <v>39.200000000000003</v>
      </c>
      <c r="G1568" s="393" t="s">
        <v>56</v>
      </c>
      <c r="H1568" s="394">
        <v>39.200000000000003</v>
      </c>
      <c r="I1568" s="394"/>
      <c r="J1568" s="392">
        <f t="shared" si="49"/>
        <v>7.8400000000000007</v>
      </c>
      <c r="K1568" s="392">
        <f t="shared" si="49"/>
        <v>7.8400000000000007</v>
      </c>
      <c r="L1568" s="392">
        <f t="shared" si="49"/>
        <v>7.8400000000000007</v>
      </c>
      <c r="M1568" s="392">
        <f t="shared" si="49"/>
        <v>7.8400000000000007</v>
      </c>
      <c r="N1568" s="392">
        <f t="shared" si="49"/>
        <v>7.8400000000000007</v>
      </c>
    </row>
    <row r="1569" spans="1:14" ht="30" hidden="1" outlineLevel="2" x14ac:dyDescent="0.35">
      <c r="A1569" s="388" t="s">
        <v>3868</v>
      </c>
      <c r="B1569" s="389">
        <v>44270</v>
      </c>
      <c r="C1569" s="390" t="s">
        <v>5329</v>
      </c>
      <c r="D1569" s="391" t="s">
        <v>5330</v>
      </c>
      <c r="E1569" s="391" t="s">
        <v>5328</v>
      </c>
      <c r="F1569" s="392">
        <v>79.599999999999994</v>
      </c>
      <c r="G1569" s="393" t="s">
        <v>56</v>
      </c>
      <c r="H1569" s="394">
        <v>79.599999999999994</v>
      </c>
      <c r="I1569" s="394"/>
      <c r="J1569" s="392">
        <f t="shared" si="49"/>
        <v>15.919999999999998</v>
      </c>
      <c r="K1569" s="392">
        <f t="shared" si="49"/>
        <v>15.919999999999998</v>
      </c>
      <c r="L1569" s="392">
        <f t="shared" si="49"/>
        <v>15.919999999999998</v>
      </c>
      <c r="M1569" s="392">
        <f t="shared" si="49"/>
        <v>15.919999999999998</v>
      </c>
      <c r="N1569" s="392">
        <f t="shared" si="49"/>
        <v>15.919999999999998</v>
      </c>
    </row>
    <row r="1570" spans="1:14" hidden="1" outlineLevel="2" x14ac:dyDescent="0.35">
      <c r="A1570" s="388" t="s">
        <v>3868</v>
      </c>
      <c r="B1570" s="389">
        <v>44286</v>
      </c>
      <c r="C1570" s="390" t="s">
        <v>5331</v>
      </c>
      <c r="D1570" s="391" t="s">
        <v>5332</v>
      </c>
      <c r="E1570" s="391" t="s">
        <v>5333</v>
      </c>
      <c r="F1570" s="392">
        <v>18.07</v>
      </c>
      <c r="G1570" s="393" t="s">
        <v>56</v>
      </c>
      <c r="H1570" s="394">
        <v>18.07</v>
      </c>
      <c r="I1570" s="394"/>
      <c r="J1570" s="392">
        <f t="shared" si="49"/>
        <v>3.6139999999999999</v>
      </c>
      <c r="K1570" s="392">
        <f t="shared" si="49"/>
        <v>3.6139999999999999</v>
      </c>
      <c r="L1570" s="392">
        <f t="shared" si="49"/>
        <v>3.6139999999999999</v>
      </c>
      <c r="M1570" s="392">
        <f t="shared" si="49"/>
        <v>3.6139999999999999</v>
      </c>
      <c r="N1570" s="392">
        <f t="shared" si="49"/>
        <v>3.6139999999999999</v>
      </c>
    </row>
    <row r="1571" spans="1:14" hidden="1" outlineLevel="2" x14ac:dyDescent="0.35">
      <c r="A1571" s="388" t="s">
        <v>3868</v>
      </c>
      <c r="B1571" s="389">
        <v>44288</v>
      </c>
      <c r="C1571" s="390" t="s">
        <v>5334</v>
      </c>
      <c r="D1571" s="391" t="s">
        <v>5335</v>
      </c>
      <c r="E1571" s="391" t="s">
        <v>5336</v>
      </c>
      <c r="F1571" s="392">
        <v>83.15</v>
      </c>
      <c r="G1571" s="393" t="s">
        <v>56</v>
      </c>
      <c r="H1571" s="394">
        <v>83.15</v>
      </c>
      <c r="I1571" s="394"/>
      <c r="J1571" s="392">
        <f t="shared" si="49"/>
        <v>16.630000000000003</v>
      </c>
      <c r="K1571" s="392">
        <f t="shared" si="49"/>
        <v>16.630000000000003</v>
      </c>
      <c r="L1571" s="392">
        <f t="shared" si="49"/>
        <v>16.630000000000003</v>
      </c>
      <c r="M1571" s="392">
        <f t="shared" si="49"/>
        <v>16.630000000000003</v>
      </c>
      <c r="N1571" s="392">
        <f t="shared" si="49"/>
        <v>16.630000000000003</v>
      </c>
    </row>
    <row r="1572" spans="1:14" hidden="1" outlineLevel="2" x14ac:dyDescent="0.35">
      <c r="A1572" s="388" t="s">
        <v>3868</v>
      </c>
      <c r="B1572" s="389">
        <v>44292</v>
      </c>
      <c r="C1572" s="390" t="s">
        <v>5337</v>
      </c>
      <c r="D1572" s="391" t="s">
        <v>5338</v>
      </c>
      <c r="E1572" s="391" t="s">
        <v>5339</v>
      </c>
      <c r="F1572" s="392">
        <v>48.52</v>
      </c>
      <c r="G1572" s="393" t="s">
        <v>56</v>
      </c>
      <c r="H1572" s="394">
        <v>48.52</v>
      </c>
      <c r="I1572" s="394"/>
      <c r="J1572" s="392">
        <f t="shared" si="49"/>
        <v>9.7040000000000006</v>
      </c>
      <c r="K1572" s="392">
        <f t="shared" si="49"/>
        <v>9.7040000000000006</v>
      </c>
      <c r="L1572" s="392">
        <f t="shared" si="49"/>
        <v>9.7040000000000006</v>
      </c>
      <c r="M1572" s="392">
        <f t="shared" si="49"/>
        <v>9.7040000000000006</v>
      </c>
      <c r="N1572" s="392">
        <f t="shared" si="49"/>
        <v>9.7040000000000006</v>
      </c>
    </row>
    <row r="1573" spans="1:14" ht="30" hidden="1" outlineLevel="2" collapsed="1" x14ac:dyDescent="0.35">
      <c r="A1573" s="388" t="s">
        <v>3868</v>
      </c>
      <c r="B1573" s="389">
        <v>44249</v>
      </c>
      <c r="C1573" s="390" t="s">
        <v>5340</v>
      </c>
      <c r="D1573" s="391" t="s">
        <v>5341</v>
      </c>
      <c r="E1573" s="391" t="s">
        <v>5342</v>
      </c>
      <c r="F1573" s="392">
        <v>83.74</v>
      </c>
      <c r="G1573" s="393" t="s">
        <v>56</v>
      </c>
      <c r="H1573" s="394">
        <v>83.74</v>
      </c>
      <c r="I1573" s="394"/>
      <c r="J1573" s="392">
        <f t="shared" si="49"/>
        <v>16.747999999999998</v>
      </c>
      <c r="K1573" s="392">
        <f t="shared" si="49"/>
        <v>16.747999999999998</v>
      </c>
      <c r="L1573" s="392">
        <f t="shared" si="49"/>
        <v>16.747999999999998</v>
      </c>
      <c r="M1573" s="392">
        <f t="shared" si="49"/>
        <v>16.747999999999998</v>
      </c>
      <c r="N1573" s="392">
        <f t="shared" si="49"/>
        <v>16.747999999999998</v>
      </c>
    </row>
    <row r="1574" spans="1:14" ht="30" hidden="1" outlineLevel="2" x14ac:dyDescent="0.35">
      <c r="A1574" s="388" t="s">
        <v>3868</v>
      </c>
      <c r="B1574" s="389">
        <v>44284</v>
      </c>
      <c r="C1574" s="390" t="s">
        <v>5343</v>
      </c>
      <c r="D1574" s="391" t="s">
        <v>5344</v>
      </c>
      <c r="E1574" s="391" t="s">
        <v>5345</v>
      </c>
      <c r="F1574" s="392">
        <v>130.16</v>
      </c>
      <c r="G1574" s="393" t="s">
        <v>56</v>
      </c>
      <c r="H1574" s="394">
        <v>130.16</v>
      </c>
      <c r="I1574" s="394"/>
      <c r="J1574" s="392">
        <f t="shared" si="49"/>
        <v>26.032</v>
      </c>
      <c r="K1574" s="392">
        <f t="shared" si="49"/>
        <v>26.032</v>
      </c>
      <c r="L1574" s="392">
        <f t="shared" si="49"/>
        <v>26.032</v>
      </c>
      <c r="M1574" s="392">
        <f t="shared" si="49"/>
        <v>26.032</v>
      </c>
      <c r="N1574" s="392">
        <f t="shared" si="49"/>
        <v>26.032</v>
      </c>
    </row>
    <row r="1575" spans="1:14" ht="30" hidden="1" outlineLevel="2" collapsed="1" x14ac:dyDescent="0.35">
      <c r="A1575" s="388" t="s">
        <v>3868</v>
      </c>
      <c r="B1575" s="389">
        <v>44294</v>
      </c>
      <c r="C1575" s="390" t="s">
        <v>5346</v>
      </c>
      <c r="D1575" s="391" t="s">
        <v>5347</v>
      </c>
      <c r="E1575" s="391" t="s">
        <v>2068</v>
      </c>
      <c r="F1575" s="392">
        <v>20.97</v>
      </c>
      <c r="G1575" s="393" t="s">
        <v>56</v>
      </c>
      <c r="H1575" s="394">
        <v>20.97</v>
      </c>
      <c r="I1575" s="394"/>
      <c r="J1575" s="392">
        <f t="shared" si="49"/>
        <v>4.194</v>
      </c>
      <c r="K1575" s="392">
        <f t="shared" si="49"/>
        <v>4.194</v>
      </c>
      <c r="L1575" s="392">
        <f t="shared" si="49"/>
        <v>4.194</v>
      </c>
      <c r="M1575" s="392">
        <f t="shared" si="49"/>
        <v>4.194</v>
      </c>
      <c r="N1575" s="392">
        <f t="shared" si="49"/>
        <v>4.194</v>
      </c>
    </row>
    <row r="1576" spans="1:14" ht="30" hidden="1" outlineLevel="2" x14ac:dyDescent="0.35">
      <c r="A1576" s="388" t="s">
        <v>3868</v>
      </c>
      <c r="B1576" s="389">
        <v>44273</v>
      </c>
      <c r="C1576" s="390" t="s">
        <v>5348</v>
      </c>
      <c r="D1576" s="391" t="s">
        <v>5349</v>
      </c>
      <c r="E1576" s="391" t="s">
        <v>5255</v>
      </c>
      <c r="F1576" s="392">
        <v>723.36</v>
      </c>
      <c r="G1576" s="393" t="s">
        <v>56</v>
      </c>
      <c r="H1576" s="394">
        <v>723.36</v>
      </c>
      <c r="I1576" s="394"/>
      <c r="J1576" s="392">
        <f t="shared" si="49"/>
        <v>144.672</v>
      </c>
      <c r="K1576" s="392">
        <f t="shared" si="49"/>
        <v>144.672</v>
      </c>
      <c r="L1576" s="392">
        <f t="shared" si="49"/>
        <v>144.672</v>
      </c>
      <c r="M1576" s="392">
        <f t="shared" si="49"/>
        <v>144.672</v>
      </c>
      <c r="N1576" s="392">
        <f t="shared" si="49"/>
        <v>144.672</v>
      </c>
    </row>
    <row r="1577" spans="1:14" hidden="1" outlineLevel="2" x14ac:dyDescent="0.35">
      <c r="A1577" s="388" t="s">
        <v>3868</v>
      </c>
      <c r="B1577" s="389">
        <v>44249</v>
      </c>
      <c r="C1577" s="390" t="s">
        <v>5350</v>
      </c>
      <c r="D1577" s="391" t="s">
        <v>5351</v>
      </c>
      <c r="E1577" s="391" t="s">
        <v>5352</v>
      </c>
      <c r="F1577" s="392">
        <v>14</v>
      </c>
      <c r="G1577" s="393" t="s">
        <v>56</v>
      </c>
      <c r="H1577" s="394">
        <v>14</v>
      </c>
      <c r="I1577" s="394"/>
      <c r="J1577" s="392">
        <f t="shared" si="49"/>
        <v>2.8</v>
      </c>
      <c r="K1577" s="392">
        <f t="shared" si="49"/>
        <v>2.8</v>
      </c>
      <c r="L1577" s="392">
        <f t="shared" si="49"/>
        <v>2.8</v>
      </c>
      <c r="M1577" s="392">
        <f t="shared" si="49"/>
        <v>2.8</v>
      </c>
      <c r="N1577" s="392">
        <f t="shared" si="49"/>
        <v>2.8</v>
      </c>
    </row>
    <row r="1578" spans="1:14" ht="30" hidden="1" outlineLevel="2" x14ac:dyDescent="0.35">
      <c r="A1578" s="388" t="s">
        <v>3868</v>
      </c>
      <c r="B1578" s="389">
        <v>44394</v>
      </c>
      <c r="C1578" s="390" t="s">
        <v>5353</v>
      </c>
      <c r="D1578" s="391" t="s">
        <v>5354</v>
      </c>
      <c r="E1578" s="391" t="s">
        <v>5255</v>
      </c>
      <c r="F1578" s="392">
        <v>139.71</v>
      </c>
      <c r="G1578" s="393" t="s">
        <v>56</v>
      </c>
      <c r="H1578" s="394">
        <v>139.71</v>
      </c>
      <c r="I1578" s="394"/>
      <c r="J1578" s="392">
        <f t="shared" si="49"/>
        <v>27.942</v>
      </c>
      <c r="K1578" s="392">
        <f t="shared" si="49"/>
        <v>27.942</v>
      </c>
      <c r="L1578" s="392">
        <f t="shared" si="49"/>
        <v>27.942</v>
      </c>
      <c r="M1578" s="392">
        <f t="shared" si="49"/>
        <v>27.942</v>
      </c>
      <c r="N1578" s="392">
        <f t="shared" si="49"/>
        <v>27.942</v>
      </c>
    </row>
    <row r="1579" spans="1:14" ht="30" hidden="1" outlineLevel="2" collapsed="1" x14ac:dyDescent="0.35">
      <c r="A1579" s="388" t="s">
        <v>3868</v>
      </c>
      <c r="B1579" s="389">
        <v>44404</v>
      </c>
      <c r="C1579" s="390" t="s">
        <v>5355</v>
      </c>
      <c r="D1579" s="391" t="s">
        <v>5356</v>
      </c>
      <c r="E1579" s="391" t="s">
        <v>5255</v>
      </c>
      <c r="F1579" s="392">
        <v>129.63999999999999</v>
      </c>
      <c r="G1579" s="393" t="s">
        <v>56</v>
      </c>
      <c r="H1579" s="394">
        <v>129.63999999999999</v>
      </c>
      <c r="I1579" s="394"/>
      <c r="J1579" s="392">
        <f t="shared" si="49"/>
        <v>25.927999999999997</v>
      </c>
      <c r="K1579" s="392">
        <f t="shared" si="49"/>
        <v>25.927999999999997</v>
      </c>
      <c r="L1579" s="392">
        <f t="shared" si="49"/>
        <v>25.927999999999997</v>
      </c>
      <c r="M1579" s="392">
        <f t="shared" si="49"/>
        <v>25.927999999999997</v>
      </c>
      <c r="N1579" s="392">
        <f t="shared" si="49"/>
        <v>25.927999999999997</v>
      </c>
    </row>
    <row r="1580" spans="1:14" ht="30" hidden="1" outlineLevel="2" x14ac:dyDescent="0.35">
      <c r="A1580" s="388" t="s">
        <v>3868</v>
      </c>
      <c r="B1580" s="389">
        <v>44413</v>
      </c>
      <c r="C1580" s="390" t="s">
        <v>5357</v>
      </c>
      <c r="D1580" s="391" t="s">
        <v>5358</v>
      </c>
      <c r="E1580" s="391" t="s">
        <v>5359</v>
      </c>
      <c r="F1580" s="392">
        <v>21.79</v>
      </c>
      <c r="G1580" s="393" t="s">
        <v>56</v>
      </c>
      <c r="H1580" s="394">
        <v>21.79</v>
      </c>
      <c r="I1580" s="394"/>
      <c r="J1580" s="392">
        <f t="shared" si="49"/>
        <v>4.3579999999999997</v>
      </c>
      <c r="K1580" s="392">
        <f t="shared" si="49"/>
        <v>4.3579999999999997</v>
      </c>
      <c r="L1580" s="392">
        <f t="shared" si="49"/>
        <v>4.3579999999999997</v>
      </c>
      <c r="M1580" s="392">
        <f t="shared" si="49"/>
        <v>4.3579999999999997</v>
      </c>
      <c r="N1580" s="392">
        <f t="shared" si="49"/>
        <v>4.3579999999999997</v>
      </c>
    </row>
    <row r="1581" spans="1:14" ht="30" hidden="1" outlineLevel="2" x14ac:dyDescent="0.35">
      <c r="A1581" s="388" t="s">
        <v>3868</v>
      </c>
      <c r="B1581" s="389">
        <v>44394</v>
      </c>
      <c r="C1581" s="390" t="s">
        <v>5360</v>
      </c>
      <c r="D1581" s="391" t="s">
        <v>5361</v>
      </c>
      <c r="E1581" s="391" t="s">
        <v>5362</v>
      </c>
      <c r="F1581" s="392">
        <v>77.55</v>
      </c>
      <c r="G1581" s="393" t="s">
        <v>56</v>
      </c>
      <c r="H1581" s="394">
        <v>77.55</v>
      </c>
      <c r="I1581" s="394"/>
      <c r="J1581" s="392">
        <f t="shared" si="49"/>
        <v>15.51</v>
      </c>
      <c r="K1581" s="392">
        <f t="shared" si="49"/>
        <v>15.51</v>
      </c>
      <c r="L1581" s="392">
        <f t="shared" si="49"/>
        <v>15.51</v>
      </c>
      <c r="M1581" s="392">
        <f t="shared" si="49"/>
        <v>15.51</v>
      </c>
      <c r="N1581" s="392">
        <f t="shared" si="49"/>
        <v>15.51</v>
      </c>
    </row>
    <row r="1582" spans="1:14" hidden="1" outlineLevel="2" collapsed="1" x14ac:dyDescent="0.35">
      <c r="A1582" s="388" t="s">
        <v>3868</v>
      </c>
      <c r="B1582" s="389">
        <v>44408</v>
      </c>
      <c r="C1582" s="390" t="s">
        <v>5363</v>
      </c>
      <c r="D1582" s="391" t="s">
        <v>5364</v>
      </c>
      <c r="E1582" s="391" t="s">
        <v>5365</v>
      </c>
      <c r="F1582" s="392">
        <v>259.75</v>
      </c>
      <c r="G1582" s="393" t="s">
        <v>56</v>
      </c>
      <c r="H1582" s="394">
        <v>259.75</v>
      </c>
      <c r="I1582" s="394"/>
      <c r="J1582" s="392">
        <f t="shared" si="49"/>
        <v>51.95</v>
      </c>
      <c r="K1582" s="392">
        <f t="shared" si="49"/>
        <v>51.95</v>
      </c>
      <c r="L1582" s="392">
        <f t="shared" si="49"/>
        <v>51.95</v>
      </c>
      <c r="M1582" s="392">
        <f t="shared" si="49"/>
        <v>51.95</v>
      </c>
      <c r="N1582" s="392">
        <f t="shared" si="49"/>
        <v>51.95</v>
      </c>
    </row>
    <row r="1583" spans="1:14" ht="30" hidden="1" outlineLevel="2" x14ac:dyDescent="0.35">
      <c r="A1583" s="388" t="s">
        <v>3868</v>
      </c>
      <c r="B1583" s="389">
        <v>44460</v>
      </c>
      <c r="C1583" s="390" t="s">
        <v>5366</v>
      </c>
      <c r="D1583" s="391" t="s">
        <v>5367</v>
      </c>
      <c r="E1583" s="391" t="s">
        <v>5368</v>
      </c>
      <c r="F1583" s="392">
        <v>18.39</v>
      </c>
      <c r="G1583" s="393" t="s">
        <v>56</v>
      </c>
      <c r="H1583" s="394">
        <v>18.39</v>
      </c>
      <c r="I1583" s="394"/>
      <c r="J1583" s="392">
        <f t="shared" ref="J1583:N1598" si="50">$H1583/5</f>
        <v>3.6779999999999999</v>
      </c>
      <c r="K1583" s="392">
        <f t="shared" si="50"/>
        <v>3.6779999999999999</v>
      </c>
      <c r="L1583" s="392">
        <f t="shared" si="50"/>
        <v>3.6779999999999999</v>
      </c>
      <c r="M1583" s="392">
        <f t="shared" si="50"/>
        <v>3.6779999999999999</v>
      </c>
      <c r="N1583" s="392">
        <f t="shared" si="50"/>
        <v>3.6779999999999999</v>
      </c>
    </row>
    <row r="1584" spans="1:14" ht="30" hidden="1" outlineLevel="2" x14ac:dyDescent="0.35">
      <c r="A1584" s="388" t="s">
        <v>3868</v>
      </c>
      <c r="B1584" s="389">
        <v>44394</v>
      </c>
      <c r="C1584" s="390" t="s">
        <v>5369</v>
      </c>
      <c r="D1584" s="391" t="s">
        <v>5370</v>
      </c>
      <c r="E1584" s="391" t="s">
        <v>5058</v>
      </c>
      <c r="F1584" s="392">
        <v>21.54</v>
      </c>
      <c r="G1584" s="393" t="s">
        <v>56</v>
      </c>
      <c r="H1584" s="394">
        <v>21.54</v>
      </c>
      <c r="I1584" s="394"/>
      <c r="J1584" s="392">
        <f t="shared" si="50"/>
        <v>4.3079999999999998</v>
      </c>
      <c r="K1584" s="392">
        <f t="shared" si="50"/>
        <v>4.3079999999999998</v>
      </c>
      <c r="L1584" s="392">
        <f t="shared" si="50"/>
        <v>4.3079999999999998</v>
      </c>
      <c r="M1584" s="392">
        <f t="shared" si="50"/>
        <v>4.3079999999999998</v>
      </c>
      <c r="N1584" s="392">
        <f t="shared" si="50"/>
        <v>4.3079999999999998</v>
      </c>
    </row>
    <row r="1585" spans="1:14" ht="30" hidden="1" outlineLevel="2" collapsed="1" x14ac:dyDescent="0.35">
      <c r="A1585" s="388" t="s">
        <v>3868</v>
      </c>
      <c r="B1585" s="389">
        <v>44473</v>
      </c>
      <c r="C1585" s="390" t="s">
        <v>5371</v>
      </c>
      <c r="D1585" s="391" t="s">
        <v>5372</v>
      </c>
      <c r="E1585" s="391" t="s">
        <v>5365</v>
      </c>
      <c r="F1585" s="392">
        <v>214.24</v>
      </c>
      <c r="G1585" s="393" t="s">
        <v>56</v>
      </c>
      <c r="H1585" s="394">
        <v>214.24</v>
      </c>
      <c r="I1585" s="394"/>
      <c r="J1585" s="392">
        <f t="shared" si="50"/>
        <v>42.847999999999999</v>
      </c>
      <c r="K1585" s="392">
        <f t="shared" si="50"/>
        <v>42.847999999999999</v>
      </c>
      <c r="L1585" s="392">
        <f t="shared" si="50"/>
        <v>42.847999999999999</v>
      </c>
      <c r="M1585" s="392">
        <f t="shared" si="50"/>
        <v>42.847999999999999</v>
      </c>
      <c r="N1585" s="392">
        <f t="shared" si="50"/>
        <v>42.847999999999999</v>
      </c>
    </row>
    <row r="1586" spans="1:14" ht="30" hidden="1" outlineLevel="2" x14ac:dyDescent="0.35">
      <c r="A1586" s="388" t="s">
        <v>3868</v>
      </c>
      <c r="B1586" s="389">
        <v>44393</v>
      </c>
      <c r="C1586" s="390" t="s">
        <v>5373</v>
      </c>
      <c r="D1586" s="391" t="s">
        <v>5374</v>
      </c>
      <c r="E1586" s="391" t="s">
        <v>2836</v>
      </c>
      <c r="F1586" s="392">
        <v>50</v>
      </c>
      <c r="G1586" s="393" t="s">
        <v>56</v>
      </c>
      <c r="H1586" s="394">
        <v>50</v>
      </c>
      <c r="I1586" s="394"/>
      <c r="J1586" s="392">
        <f t="shared" si="50"/>
        <v>10</v>
      </c>
      <c r="K1586" s="392">
        <f t="shared" si="50"/>
        <v>10</v>
      </c>
      <c r="L1586" s="392">
        <f t="shared" si="50"/>
        <v>10</v>
      </c>
      <c r="M1586" s="392">
        <f t="shared" si="50"/>
        <v>10</v>
      </c>
      <c r="N1586" s="392">
        <f t="shared" si="50"/>
        <v>10</v>
      </c>
    </row>
    <row r="1587" spans="1:14" ht="30" hidden="1" outlineLevel="2" x14ac:dyDescent="0.35">
      <c r="A1587" s="388" t="s">
        <v>3868</v>
      </c>
      <c r="B1587" s="389">
        <v>44523</v>
      </c>
      <c r="C1587" s="390" t="s">
        <v>5375</v>
      </c>
      <c r="D1587" s="391" t="s">
        <v>5376</v>
      </c>
      <c r="E1587" s="391" t="s">
        <v>5377</v>
      </c>
      <c r="F1587" s="392">
        <v>108.62</v>
      </c>
      <c r="G1587" s="393" t="s">
        <v>56</v>
      </c>
      <c r="H1587" s="394">
        <v>108.62</v>
      </c>
      <c r="I1587" s="394"/>
      <c r="J1587" s="392">
        <f t="shared" si="50"/>
        <v>21.724</v>
      </c>
      <c r="K1587" s="392">
        <f t="shared" si="50"/>
        <v>21.724</v>
      </c>
      <c r="L1587" s="392">
        <f t="shared" si="50"/>
        <v>21.724</v>
      </c>
      <c r="M1587" s="392">
        <f t="shared" si="50"/>
        <v>21.724</v>
      </c>
      <c r="N1587" s="392">
        <f t="shared" si="50"/>
        <v>21.724</v>
      </c>
    </row>
    <row r="1588" spans="1:14" ht="30" hidden="1" outlineLevel="2" x14ac:dyDescent="0.35">
      <c r="A1588" s="388" t="s">
        <v>3868</v>
      </c>
      <c r="B1588" s="389">
        <v>44465</v>
      </c>
      <c r="C1588" s="390" t="s">
        <v>5378</v>
      </c>
      <c r="D1588" s="391" t="s">
        <v>5379</v>
      </c>
      <c r="E1588" s="391" t="s">
        <v>5365</v>
      </c>
      <c r="F1588" s="392">
        <v>368.94</v>
      </c>
      <c r="G1588" s="393" t="s">
        <v>56</v>
      </c>
      <c r="H1588" s="394">
        <v>368.94</v>
      </c>
      <c r="I1588" s="394"/>
      <c r="J1588" s="392">
        <f t="shared" si="50"/>
        <v>73.787999999999997</v>
      </c>
      <c r="K1588" s="392">
        <f t="shared" si="50"/>
        <v>73.787999999999997</v>
      </c>
      <c r="L1588" s="392">
        <f t="shared" si="50"/>
        <v>73.787999999999997</v>
      </c>
      <c r="M1588" s="392">
        <f t="shared" si="50"/>
        <v>73.787999999999997</v>
      </c>
      <c r="N1588" s="392">
        <f t="shared" si="50"/>
        <v>73.787999999999997</v>
      </c>
    </row>
    <row r="1589" spans="1:14" ht="30" hidden="1" outlineLevel="2" x14ac:dyDescent="0.35">
      <c r="A1589" s="388" t="s">
        <v>3868</v>
      </c>
      <c r="B1589" s="389">
        <v>44537</v>
      </c>
      <c r="C1589" s="390" t="s">
        <v>5380</v>
      </c>
      <c r="D1589" s="391" t="s">
        <v>5381</v>
      </c>
      <c r="E1589" s="391" t="s">
        <v>5255</v>
      </c>
      <c r="F1589" s="392">
        <v>261.19</v>
      </c>
      <c r="G1589" s="393" t="s">
        <v>56</v>
      </c>
      <c r="H1589" s="394">
        <v>261.19</v>
      </c>
      <c r="I1589" s="394"/>
      <c r="J1589" s="392">
        <f t="shared" si="50"/>
        <v>52.238</v>
      </c>
      <c r="K1589" s="392">
        <f t="shared" si="50"/>
        <v>52.238</v>
      </c>
      <c r="L1589" s="392">
        <f t="shared" si="50"/>
        <v>52.238</v>
      </c>
      <c r="M1589" s="392">
        <f t="shared" si="50"/>
        <v>52.238</v>
      </c>
      <c r="N1589" s="392">
        <f t="shared" si="50"/>
        <v>52.238</v>
      </c>
    </row>
    <row r="1590" spans="1:14" ht="30" hidden="1" outlineLevel="2" x14ac:dyDescent="0.35">
      <c r="A1590" s="388" t="s">
        <v>3868</v>
      </c>
      <c r="B1590" s="389">
        <v>44545</v>
      </c>
      <c r="C1590" s="390" t="s">
        <v>5382</v>
      </c>
      <c r="D1590" s="391" t="s">
        <v>5383</v>
      </c>
      <c r="E1590" s="391" t="s">
        <v>5384</v>
      </c>
      <c r="F1590" s="392">
        <v>117.07</v>
      </c>
      <c r="G1590" s="393" t="s">
        <v>56</v>
      </c>
      <c r="H1590" s="394">
        <v>117.07</v>
      </c>
      <c r="I1590" s="394"/>
      <c r="J1590" s="392">
        <f t="shared" si="50"/>
        <v>23.413999999999998</v>
      </c>
      <c r="K1590" s="392">
        <f t="shared" si="50"/>
        <v>23.413999999999998</v>
      </c>
      <c r="L1590" s="392">
        <f t="shared" si="50"/>
        <v>23.413999999999998</v>
      </c>
      <c r="M1590" s="392">
        <f t="shared" si="50"/>
        <v>23.413999999999998</v>
      </c>
      <c r="N1590" s="392">
        <f t="shared" si="50"/>
        <v>23.413999999999998</v>
      </c>
    </row>
    <row r="1591" spans="1:14" ht="30" hidden="1" outlineLevel="2" x14ac:dyDescent="0.35">
      <c r="A1591" s="388" t="s">
        <v>3868</v>
      </c>
      <c r="B1591" s="389">
        <v>44558</v>
      </c>
      <c r="C1591" s="390" t="s">
        <v>5385</v>
      </c>
      <c r="D1591" s="391" t="s">
        <v>5386</v>
      </c>
      <c r="E1591" s="391" t="s">
        <v>5387</v>
      </c>
      <c r="F1591" s="392">
        <v>324.01</v>
      </c>
      <c r="G1591" s="393" t="s">
        <v>56</v>
      </c>
      <c r="H1591" s="394">
        <v>324.01</v>
      </c>
      <c r="I1591" s="394"/>
      <c r="J1591" s="392">
        <f t="shared" si="50"/>
        <v>64.801999999999992</v>
      </c>
      <c r="K1591" s="392">
        <f t="shared" si="50"/>
        <v>64.801999999999992</v>
      </c>
      <c r="L1591" s="392">
        <f t="shared" si="50"/>
        <v>64.801999999999992</v>
      </c>
      <c r="M1591" s="392">
        <f t="shared" si="50"/>
        <v>64.801999999999992</v>
      </c>
      <c r="N1591" s="392">
        <f t="shared" si="50"/>
        <v>64.801999999999992</v>
      </c>
    </row>
    <row r="1592" spans="1:14" ht="30" hidden="1" outlineLevel="2" x14ac:dyDescent="0.35">
      <c r="A1592" s="388" t="s">
        <v>3868</v>
      </c>
      <c r="B1592" s="389">
        <v>44568</v>
      </c>
      <c r="C1592" s="390" t="s">
        <v>5388</v>
      </c>
      <c r="D1592" s="391" t="s">
        <v>5389</v>
      </c>
      <c r="E1592" s="391" t="s">
        <v>5377</v>
      </c>
      <c r="F1592" s="392">
        <v>108.04</v>
      </c>
      <c r="G1592" s="393" t="s">
        <v>56</v>
      </c>
      <c r="H1592" s="394">
        <v>108.04</v>
      </c>
      <c r="I1592" s="394"/>
      <c r="J1592" s="392">
        <f t="shared" si="50"/>
        <v>21.608000000000001</v>
      </c>
      <c r="K1592" s="392">
        <f t="shared" si="50"/>
        <v>21.608000000000001</v>
      </c>
      <c r="L1592" s="392">
        <f t="shared" si="50"/>
        <v>21.608000000000001</v>
      </c>
      <c r="M1592" s="392">
        <f t="shared" si="50"/>
        <v>21.608000000000001</v>
      </c>
      <c r="N1592" s="392">
        <f t="shared" si="50"/>
        <v>21.608000000000001</v>
      </c>
    </row>
    <row r="1593" spans="1:14" hidden="1" outlineLevel="2" x14ac:dyDescent="0.35">
      <c r="A1593" s="388" t="s">
        <v>3868</v>
      </c>
      <c r="B1593" s="389">
        <v>44582</v>
      </c>
      <c r="C1593" s="390" t="s">
        <v>5390</v>
      </c>
      <c r="D1593" s="391" t="s">
        <v>5391</v>
      </c>
      <c r="E1593" s="391" t="s">
        <v>5392</v>
      </c>
      <c r="F1593" s="392">
        <v>11.48</v>
      </c>
      <c r="G1593" s="393" t="s">
        <v>56</v>
      </c>
      <c r="H1593" s="394">
        <v>11.48</v>
      </c>
      <c r="I1593" s="394"/>
      <c r="J1593" s="392">
        <f t="shared" si="50"/>
        <v>2.2960000000000003</v>
      </c>
      <c r="K1593" s="392">
        <f t="shared" si="50"/>
        <v>2.2960000000000003</v>
      </c>
      <c r="L1593" s="392">
        <f t="shared" si="50"/>
        <v>2.2960000000000003</v>
      </c>
      <c r="M1593" s="392">
        <f t="shared" si="50"/>
        <v>2.2960000000000003</v>
      </c>
      <c r="N1593" s="392">
        <f t="shared" si="50"/>
        <v>2.2960000000000003</v>
      </c>
    </row>
    <row r="1594" spans="1:14" hidden="1" outlineLevel="2" x14ac:dyDescent="0.35">
      <c r="A1594" s="388" t="s">
        <v>3868</v>
      </c>
      <c r="B1594" s="389">
        <v>44458</v>
      </c>
      <c r="C1594" s="390" t="s">
        <v>5393</v>
      </c>
      <c r="D1594" s="391" t="s">
        <v>5394</v>
      </c>
      <c r="E1594" s="391" t="s">
        <v>5395</v>
      </c>
      <c r="F1594" s="392">
        <v>54.98</v>
      </c>
      <c r="G1594" s="393" t="s">
        <v>56</v>
      </c>
      <c r="H1594" s="394">
        <v>54.98</v>
      </c>
      <c r="I1594" s="394"/>
      <c r="J1594" s="392">
        <f t="shared" si="50"/>
        <v>10.995999999999999</v>
      </c>
      <c r="K1594" s="392">
        <f t="shared" si="50"/>
        <v>10.995999999999999</v>
      </c>
      <c r="L1594" s="392">
        <f t="shared" si="50"/>
        <v>10.995999999999999</v>
      </c>
      <c r="M1594" s="392">
        <f t="shared" si="50"/>
        <v>10.995999999999999</v>
      </c>
      <c r="N1594" s="392">
        <f t="shared" si="50"/>
        <v>10.995999999999999</v>
      </c>
    </row>
    <row r="1595" spans="1:14" ht="30" hidden="1" outlineLevel="2" x14ac:dyDescent="0.35">
      <c r="A1595" s="388" t="s">
        <v>3868</v>
      </c>
      <c r="B1595" s="389">
        <v>44396</v>
      </c>
      <c r="C1595" s="390" t="s">
        <v>5396</v>
      </c>
      <c r="D1595" s="391" t="s">
        <v>5397</v>
      </c>
      <c r="E1595" s="391" t="s">
        <v>5384</v>
      </c>
      <c r="F1595" s="392">
        <v>118.16</v>
      </c>
      <c r="G1595" s="393" t="s">
        <v>56</v>
      </c>
      <c r="H1595" s="394">
        <v>118.16</v>
      </c>
      <c r="I1595" s="394"/>
      <c r="J1595" s="392">
        <f t="shared" si="50"/>
        <v>23.631999999999998</v>
      </c>
      <c r="K1595" s="392">
        <f t="shared" si="50"/>
        <v>23.631999999999998</v>
      </c>
      <c r="L1595" s="392">
        <f t="shared" si="50"/>
        <v>23.631999999999998</v>
      </c>
      <c r="M1595" s="392">
        <f t="shared" si="50"/>
        <v>23.631999999999998</v>
      </c>
      <c r="N1595" s="392">
        <f t="shared" si="50"/>
        <v>23.631999999999998</v>
      </c>
    </row>
    <row r="1596" spans="1:14" ht="30" hidden="1" outlineLevel="2" x14ac:dyDescent="0.35">
      <c r="A1596" s="388" t="s">
        <v>3868</v>
      </c>
      <c r="B1596" s="389">
        <v>44471</v>
      </c>
      <c r="C1596" s="390" t="s">
        <v>5398</v>
      </c>
      <c r="D1596" s="391" t="s">
        <v>5399</v>
      </c>
      <c r="E1596" s="391" t="s">
        <v>5384</v>
      </c>
      <c r="F1596" s="392">
        <v>80.75</v>
      </c>
      <c r="G1596" s="393" t="s">
        <v>56</v>
      </c>
      <c r="H1596" s="394">
        <v>80.75</v>
      </c>
      <c r="I1596" s="394"/>
      <c r="J1596" s="392">
        <f t="shared" si="50"/>
        <v>16.149999999999999</v>
      </c>
      <c r="K1596" s="392">
        <f t="shared" si="50"/>
        <v>16.149999999999999</v>
      </c>
      <c r="L1596" s="392">
        <f t="shared" si="50"/>
        <v>16.149999999999999</v>
      </c>
      <c r="M1596" s="392">
        <f t="shared" si="50"/>
        <v>16.149999999999999</v>
      </c>
      <c r="N1596" s="392">
        <f t="shared" si="50"/>
        <v>16.149999999999999</v>
      </c>
    </row>
    <row r="1597" spans="1:14" hidden="1" outlineLevel="2" x14ac:dyDescent="0.35">
      <c r="A1597" s="388" t="s">
        <v>3868</v>
      </c>
      <c r="B1597" s="389">
        <v>44561</v>
      </c>
      <c r="C1597" s="390" t="s">
        <v>5400</v>
      </c>
      <c r="D1597" s="391" t="s">
        <v>5401</v>
      </c>
      <c r="E1597" s="391" t="s">
        <v>5402</v>
      </c>
      <c r="F1597" s="392">
        <v>60605.81</v>
      </c>
      <c r="G1597" s="393" t="s">
        <v>56</v>
      </c>
      <c r="H1597" s="394">
        <v>60605.81</v>
      </c>
      <c r="I1597" s="394"/>
      <c r="J1597" s="392">
        <f t="shared" si="50"/>
        <v>12121.162</v>
      </c>
      <c r="K1597" s="392">
        <f t="shared" si="50"/>
        <v>12121.162</v>
      </c>
      <c r="L1597" s="392">
        <f t="shared" si="50"/>
        <v>12121.162</v>
      </c>
      <c r="M1597" s="392">
        <f t="shared" si="50"/>
        <v>12121.162</v>
      </c>
      <c r="N1597" s="392">
        <f t="shared" si="50"/>
        <v>12121.162</v>
      </c>
    </row>
    <row r="1598" spans="1:14" hidden="1" outlineLevel="2" x14ac:dyDescent="0.35">
      <c r="A1598" s="388" t="s">
        <v>3868</v>
      </c>
      <c r="B1598" s="389">
        <v>44561</v>
      </c>
      <c r="C1598" s="390" t="s">
        <v>5403</v>
      </c>
      <c r="D1598" s="391" t="s">
        <v>5404</v>
      </c>
      <c r="E1598" s="391" t="s">
        <v>5058</v>
      </c>
      <c r="F1598" s="392">
        <v>5</v>
      </c>
      <c r="G1598" s="393" t="s">
        <v>56</v>
      </c>
      <c r="H1598" s="394">
        <v>5</v>
      </c>
      <c r="I1598" s="394"/>
      <c r="J1598" s="392">
        <f t="shared" si="50"/>
        <v>1</v>
      </c>
      <c r="K1598" s="392">
        <f t="shared" si="50"/>
        <v>1</v>
      </c>
      <c r="L1598" s="392">
        <f t="shared" si="50"/>
        <v>1</v>
      </c>
      <c r="M1598" s="392">
        <f t="shared" si="50"/>
        <v>1</v>
      </c>
      <c r="N1598" s="392">
        <f t="shared" si="50"/>
        <v>1</v>
      </c>
    </row>
    <row r="1599" spans="1:14" hidden="1" outlineLevel="2" x14ac:dyDescent="0.35">
      <c r="A1599" s="388" t="s">
        <v>3868</v>
      </c>
      <c r="B1599" s="389">
        <v>44561</v>
      </c>
      <c r="C1599" s="390" t="s">
        <v>5405</v>
      </c>
      <c r="D1599" s="391" t="s">
        <v>5406</v>
      </c>
      <c r="E1599" s="391" t="s">
        <v>5058</v>
      </c>
      <c r="F1599" s="392">
        <v>5</v>
      </c>
      <c r="G1599" s="393" t="s">
        <v>56</v>
      </c>
      <c r="H1599" s="394">
        <v>5</v>
      </c>
      <c r="I1599" s="394"/>
      <c r="J1599" s="392">
        <f t="shared" ref="J1599:N1614" si="51">$H1599/5</f>
        <v>1</v>
      </c>
      <c r="K1599" s="392">
        <f t="shared" si="51"/>
        <v>1</v>
      </c>
      <c r="L1599" s="392">
        <f t="shared" si="51"/>
        <v>1</v>
      </c>
      <c r="M1599" s="392">
        <f t="shared" si="51"/>
        <v>1</v>
      </c>
      <c r="N1599" s="392">
        <f t="shared" si="51"/>
        <v>1</v>
      </c>
    </row>
    <row r="1600" spans="1:14" hidden="1" outlineLevel="2" x14ac:dyDescent="0.35">
      <c r="A1600" s="388" t="s">
        <v>3868</v>
      </c>
      <c r="B1600" s="389">
        <v>44561</v>
      </c>
      <c r="C1600" s="390" t="s">
        <v>5407</v>
      </c>
      <c r="D1600" s="391" t="s">
        <v>5408</v>
      </c>
      <c r="E1600" s="391" t="s">
        <v>5058</v>
      </c>
      <c r="F1600" s="392">
        <v>5</v>
      </c>
      <c r="G1600" s="393" t="s">
        <v>56</v>
      </c>
      <c r="H1600" s="394">
        <v>5</v>
      </c>
      <c r="I1600" s="394"/>
      <c r="J1600" s="392">
        <f t="shared" si="51"/>
        <v>1</v>
      </c>
      <c r="K1600" s="392">
        <f t="shared" si="51"/>
        <v>1</v>
      </c>
      <c r="L1600" s="392">
        <f t="shared" si="51"/>
        <v>1</v>
      </c>
      <c r="M1600" s="392">
        <f t="shared" si="51"/>
        <v>1</v>
      </c>
      <c r="N1600" s="392">
        <f t="shared" si="51"/>
        <v>1</v>
      </c>
    </row>
    <row r="1601" spans="1:14" hidden="1" outlineLevel="2" collapsed="1" x14ac:dyDescent="0.35">
      <c r="A1601" s="388" t="s">
        <v>3868</v>
      </c>
      <c r="B1601" s="389">
        <v>44561</v>
      </c>
      <c r="C1601" s="390" t="s">
        <v>5409</v>
      </c>
      <c r="D1601" s="391" t="s">
        <v>5410</v>
      </c>
      <c r="E1601" s="391" t="s">
        <v>5058</v>
      </c>
      <c r="F1601" s="392">
        <v>5</v>
      </c>
      <c r="G1601" s="393" t="s">
        <v>56</v>
      </c>
      <c r="H1601" s="394">
        <v>5</v>
      </c>
      <c r="I1601" s="394"/>
      <c r="J1601" s="392">
        <f t="shared" si="51"/>
        <v>1</v>
      </c>
      <c r="K1601" s="392">
        <f t="shared" si="51"/>
        <v>1</v>
      </c>
      <c r="L1601" s="392">
        <f t="shared" si="51"/>
        <v>1</v>
      </c>
      <c r="M1601" s="392">
        <f t="shared" si="51"/>
        <v>1</v>
      </c>
      <c r="N1601" s="392">
        <f t="shared" si="51"/>
        <v>1</v>
      </c>
    </row>
    <row r="1602" spans="1:14" hidden="1" outlineLevel="2" x14ac:dyDescent="0.35">
      <c r="A1602" s="388" t="s">
        <v>3868</v>
      </c>
      <c r="B1602" s="389">
        <v>44209</v>
      </c>
      <c r="C1602" s="390" t="s">
        <v>5411</v>
      </c>
      <c r="D1602" s="391" t="s">
        <v>5412</v>
      </c>
      <c r="E1602" s="391" t="s">
        <v>5413</v>
      </c>
      <c r="F1602" s="392">
        <v>150000</v>
      </c>
      <c r="G1602" s="393" t="s">
        <v>3800</v>
      </c>
      <c r="H1602" s="394">
        <f>F1602/'[5]Income + exchange rates'!$G$84</f>
        <v>55.813865155994705</v>
      </c>
      <c r="I1602" s="394"/>
      <c r="J1602" s="392">
        <f t="shared" si="51"/>
        <v>11.162773031198942</v>
      </c>
      <c r="K1602" s="392">
        <f t="shared" si="51"/>
        <v>11.162773031198942</v>
      </c>
      <c r="L1602" s="392">
        <f t="shared" si="51"/>
        <v>11.162773031198942</v>
      </c>
      <c r="M1602" s="392">
        <f t="shared" si="51"/>
        <v>11.162773031198942</v>
      </c>
      <c r="N1602" s="392">
        <f t="shared" si="51"/>
        <v>11.162773031198942</v>
      </c>
    </row>
    <row r="1603" spans="1:14" hidden="1" outlineLevel="2" collapsed="1" x14ac:dyDescent="0.35">
      <c r="A1603" s="388" t="s">
        <v>3868</v>
      </c>
      <c r="B1603" s="389">
        <v>44211</v>
      </c>
      <c r="C1603" s="390" t="s">
        <v>5414</v>
      </c>
      <c r="D1603" s="391" t="s">
        <v>5415</v>
      </c>
      <c r="E1603" s="391" t="s">
        <v>5416</v>
      </c>
      <c r="F1603" s="392">
        <v>60000</v>
      </c>
      <c r="G1603" s="393" t="s">
        <v>3800</v>
      </c>
      <c r="H1603" s="394">
        <f>F1603/'[5]Income + exchange rates'!$G$84</f>
        <v>22.325546062397883</v>
      </c>
      <c r="I1603" s="394"/>
      <c r="J1603" s="392">
        <f t="shared" si="51"/>
        <v>4.465109212479577</v>
      </c>
      <c r="K1603" s="392">
        <f t="shared" si="51"/>
        <v>4.465109212479577</v>
      </c>
      <c r="L1603" s="392">
        <f t="shared" si="51"/>
        <v>4.465109212479577</v>
      </c>
      <c r="M1603" s="392">
        <f t="shared" si="51"/>
        <v>4.465109212479577</v>
      </c>
      <c r="N1603" s="392">
        <f t="shared" si="51"/>
        <v>4.465109212479577</v>
      </c>
    </row>
    <row r="1604" spans="1:14" hidden="1" outlineLevel="2" x14ac:dyDescent="0.35">
      <c r="A1604" s="388" t="s">
        <v>3868</v>
      </c>
      <c r="B1604" s="389">
        <v>43833</v>
      </c>
      <c r="C1604" s="390" t="s">
        <v>5417</v>
      </c>
      <c r="D1604" s="391" t="s">
        <v>5418</v>
      </c>
      <c r="E1604" s="391" t="s">
        <v>5419</v>
      </c>
      <c r="F1604" s="392">
        <v>7000</v>
      </c>
      <c r="G1604" s="393" t="s">
        <v>3800</v>
      </c>
      <c r="H1604" s="394">
        <f>F1604/'[5]Income + exchange rates'!$G$60</f>
        <v>2.6876960308712032</v>
      </c>
      <c r="I1604" s="394"/>
      <c r="J1604" s="392">
        <f t="shared" si="51"/>
        <v>0.53753920617424067</v>
      </c>
      <c r="K1604" s="392">
        <f t="shared" si="51"/>
        <v>0.53753920617424067</v>
      </c>
      <c r="L1604" s="392">
        <f t="shared" si="51"/>
        <v>0.53753920617424067</v>
      </c>
      <c r="M1604" s="392">
        <f t="shared" si="51"/>
        <v>0.53753920617424067</v>
      </c>
      <c r="N1604" s="392">
        <f t="shared" si="51"/>
        <v>0.53753920617424067</v>
      </c>
    </row>
    <row r="1605" spans="1:14" hidden="1" outlineLevel="2" x14ac:dyDescent="0.35">
      <c r="A1605" s="388" t="s">
        <v>3868</v>
      </c>
      <c r="B1605" s="389">
        <v>43834</v>
      </c>
      <c r="C1605" s="390" t="s">
        <v>5420</v>
      </c>
      <c r="D1605" s="391" t="s">
        <v>5421</v>
      </c>
      <c r="E1605" s="391" t="s">
        <v>5419</v>
      </c>
      <c r="F1605" s="392">
        <v>3000</v>
      </c>
      <c r="G1605" s="393" t="s">
        <v>3800</v>
      </c>
      <c r="H1605" s="394">
        <f>F1605/'[5]Income + exchange rates'!$G$60</f>
        <v>1.15186972751623</v>
      </c>
      <c r="I1605" s="394"/>
      <c r="J1605" s="392">
        <f t="shared" si="51"/>
        <v>0.230373945503246</v>
      </c>
      <c r="K1605" s="392">
        <f t="shared" si="51"/>
        <v>0.230373945503246</v>
      </c>
      <c r="L1605" s="392">
        <f t="shared" si="51"/>
        <v>0.230373945503246</v>
      </c>
      <c r="M1605" s="392">
        <f t="shared" si="51"/>
        <v>0.230373945503246</v>
      </c>
      <c r="N1605" s="392">
        <f t="shared" si="51"/>
        <v>0.230373945503246</v>
      </c>
    </row>
    <row r="1606" spans="1:14" hidden="1" outlineLevel="2" x14ac:dyDescent="0.35">
      <c r="A1606" s="388" t="s">
        <v>3868</v>
      </c>
      <c r="B1606" s="389">
        <v>43839</v>
      </c>
      <c r="C1606" s="390" t="s">
        <v>5422</v>
      </c>
      <c r="D1606" s="391" t="s">
        <v>5423</v>
      </c>
      <c r="E1606" s="391" t="s">
        <v>5424</v>
      </c>
      <c r="F1606" s="392">
        <v>55000</v>
      </c>
      <c r="G1606" s="393" t="s">
        <v>3800</v>
      </c>
      <c r="H1606" s="394">
        <f>F1606/'[5]Income + exchange rates'!$G$60</f>
        <v>21.117611671130881</v>
      </c>
      <c r="I1606" s="394"/>
      <c r="J1606" s="392">
        <f t="shared" si="51"/>
        <v>4.2235223342261765</v>
      </c>
      <c r="K1606" s="392">
        <f t="shared" si="51"/>
        <v>4.2235223342261765</v>
      </c>
      <c r="L1606" s="392">
        <f t="shared" si="51"/>
        <v>4.2235223342261765</v>
      </c>
      <c r="M1606" s="392">
        <f t="shared" si="51"/>
        <v>4.2235223342261765</v>
      </c>
      <c r="N1606" s="392">
        <f t="shared" si="51"/>
        <v>4.2235223342261765</v>
      </c>
    </row>
    <row r="1607" spans="1:14" hidden="1" outlineLevel="2" x14ac:dyDescent="0.35">
      <c r="A1607" s="388" t="s">
        <v>3868</v>
      </c>
      <c r="B1607" s="389">
        <v>43841</v>
      </c>
      <c r="C1607" s="390" t="s">
        <v>5425</v>
      </c>
      <c r="D1607" s="391" t="s">
        <v>5426</v>
      </c>
      <c r="E1607" s="391" t="s">
        <v>5419</v>
      </c>
      <c r="F1607" s="392">
        <v>2000</v>
      </c>
      <c r="G1607" s="393" t="s">
        <v>3800</v>
      </c>
      <c r="H1607" s="394">
        <f>F1607/'[5]Income + exchange rates'!$G$60</f>
        <v>0.76791315167748653</v>
      </c>
      <c r="I1607" s="394"/>
      <c r="J1607" s="392">
        <f t="shared" si="51"/>
        <v>0.15358263033549729</v>
      </c>
      <c r="K1607" s="392">
        <f t="shared" si="51"/>
        <v>0.15358263033549729</v>
      </c>
      <c r="L1607" s="392">
        <f t="shared" si="51"/>
        <v>0.15358263033549729</v>
      </c>
      <c r="M1607" s="392">
        <f t="shared" si="51"/>
        <v>0.15358263033549729</v>
      </c>
      <c r="N1607" s="392">
        <f t="shared" si="51"/>
        <v>0.15358263033549729</v>
      </c>
    </row>
    <row r="1608" spans="1:14" hidden="1" outlineLevel="2" x14ac:dyDescent="0.35">
      <c r="A1608" s="388" t="s">
        <v>3868</v>
      </c>
      <c r="B1608" s="389">
        <v>43842</v>
      </c>
      <c r="C1608" s="390" t="s">
        <v>5427</v>
      </c>
      <c r="D1608" s="391" t="s">
        <v>5428</v>
      </c>
      <c r="E1608" s="391" t="s">
        <v>5419</v>
      </c>
      <c r="F1608" s="392">
        <v>3000</v>
      </c>
      <c r="G1608" s="393" t="s">
        <v>3800</v>
      </c>
      <c r="H1608" s="394">
        <f>F1608/'[5]Income + exchange rates'!$G$60</f>
        <v>1.15186972751623</v>
      </c>
      <c r="I1608" s="394"/>
      <c r="J1608" s="392">
        <f t="shared" si="51"/>
        <v>0.230373945503246</v>
      </c>
      <c r="K1608" s="392">
        <f t="shared" si="51"/>
        <v>0.230373945503246</v>
      </c>
      <c r="L1608" s="392">
        <f t="shared" si="51"/>
        <v>0.230373945503246</v>
      </c>
      <c r="M1608" s="392">
        <f t="shared" si="51"/>
        <v>0.230373945503246</v>
      </c>
      <c r="N1608" s="392">
        <f t="shared" si="51"/>
        <v>0.230373945503246</v>
      </c>
    </row>
    <row r="1609" spans="1:14" hidden="1" outlineLevel="2" x14ac:dyDescent="0.35">
      <c r="A1609" s="388" t="s">
        <v>3868</v>
      </c>
      <c r="B1609" s="389">
        <v>43842</v>
      </c>
      <c r="C1609" s="390" t="s">
        <v>5429</v>
      </c>
      <c r="D1609" s="391" t="s">
        <v>5428</v>
      </c>
      <c r="E1609" s="391" t="s">
        <v>5419</v>
      </c>
      <c r="F1609" s="392">
        <v>3000</v>
      </c>
      <c r="G1609" s="393" t="s">
        <v>3800</v>
      </c>
      <c r="H1609" s="394">
        <f>F1609/'[5]Income + exchange rates'!$G$60</f>
        <v>1.15186972751623</v>
      </c>
      <c r="I1609" s="394"/>
      <c r="J1609" s="392">
        <f t="shared" si="51"/>
        <v>0.230373945503246</v>
      </c>
      <c r="K1609" s="392">
        <f t="shared" si="51"/>
        <v>0.230373945503246</v>
      </c>
      <c r="L1609" s="392">
        <f t="shared" si="51"/>
        <v>0.230373945503246</v>
      </c>
      <c r="M1609" s="392">
        <f t="shared" si="51"/>
        <v>0.230373945503246</v>
      </c>
      <c r="N1609" s="392">
        <f t="shared" si="51"/>
        <v>0.230373945503246</v>
      </c>
    </row>
    <row r="1610" spans="1:14" hidden="1" outlineLevel="2" collapsed="1" x14ac:dyDescent="0.35">
      <c r="A1610" s="388" t="s">
        <v>3868</v>
      </c>
      <c r="B1610" s="389">
        <v>43842</v>
      </c>
      <c r="C1610" s="390" t="s">
        <v>5430</v>
      </c>
      <c r="D1610" s="391" t="s">
        <v>5431</v>
      </c>
      <c r="E1610" s="391" t="s">
        <v>5432</v>
      </c>
      <c r="F1610" s="392">
        <v>95000</v>
      </c>
      <c r="G1610" s="393" t="s">
        <v>3800</v>
      </c>
      <c r="H1610" s="394">
        <f>F1610/'[5]Income + exchange rates'!$G$60</f>
        <v>36.475874704680614</v>
      </c>
      <c r="I1610" s="394"/>
      <c r="J1610" s="392">
        <f t="shared" si="51"/>
        <v>7.2951749409361231</v>
      </c>
      <c r="K1610" s="392">
        <f t="shared" si="51"/>
        <v>7.2951749409361231</v>
      </c>
      <c r="L1610" s="392">
        <f t="shared" si="51"/>
        <v>7.2951749409361231</v>
      </c>
      <c r="M1610" s="392">
        <f t="shared" si="51"/>
        <v>7.2951749409361231</v>
      </c>
      <c r="N1610" s="392">
        <f t="shared" si="51"/>
        <v>7.2951749409361231</v>
      </c>
    </row>
    <row r="1611" spans="1:14" hidden="1" outlineLevel="2" x14ac:dyDescent="0.35">
      <c r="A1611" s="388" t="s">
        <v>3868</v>
      </c>
      <c r="B1611" s="389">
        <v>43842</v>
      </c>
      <c r="C1611" s="390" t="s">
        <v>5433</v>
      </c>
      <c r="D1611" s="391" t="s">
        <v>5434</v>
      </c>
      <c r="E1611" s="391" t="s">
        <v>5432</v>
      </c>
      <c r="F1611" s="392">
        <v>70000</v>
      </c>
      <c r="G1611" s="393" t="s">
        <v>3800</v>
      </c>
      <c r="H1611" s="394">
        <f>F1611/'[5]Income + exchange rates'!$G$60</f>
        <v>26.876960308712029</v>
      </c>
      <c r="I1611" s="394"/>
      <c r="J1611" s="392">
        <f t="shared" si="51"/>
        <v>5.3753920617424056</v>
      </c>
      <c r="K1611" s="392">
        <f t="shared" si="51"/>
        <v>5.3753920617424056</v>
      </c>
      <c r="L1611" s="392">
        <f t="shared" si="51"/>
        <v>5.3753920617424056</v>
      </c>
      <c r="M1611" s="392">
        <f t="shared" si="51"/>
        <v>5.3753920617424056</v>
      </c>
      <c r="N1611" s="392">
        <f t="shared" si="51"/>
        <v>5.3753920617424056</v>
      </c>
    </row>
    <row r="1612" spans="1:14" hidden="1" outlineLevel="2" x14ac:dyDescent="0.35">
      <c r="A1612" s="388" t="s">
        <v>3868</v>
      </c>
      <c r="B1612" s="389">
        <v>43843</v>
      </c>
      <c r="C1612" s="390" t="s">
        <v>5435</v>
      </c>
      <c r="D1612" s="391" t="s">
        <v>5436</v>
      </c>
      <c r="E1612" s="391" t="s">
        <v>5437</v>
      </c>
      <c r="F1612" s="392">
        <v>160000</v>
      </c>
      <c r="G1612" s="393" t="s">
        <v>3800</v>
      </c>
      <c r="H1612" s="394">
        <f>F1612/'[5]Income + exchange rates'!$G$60</f>
        <v>61.433052134198924</v>
      </c>
      <c r="I1612" s="394"/>
      <c r="J1612" s="392">
        <f t="shared" si="51"/>
        <v>12.286610426839784</v>
      </c>
      <c r="K1612" s="392">
        <f t="shared" si="51"/>
        <v>12.286610426839784</v>
      </c>
      <c r="L1612" s="392">
        <f t="shared" si="51"/>
        <v>12.286610426839784</v>
      </c>
      <c r="M1612" s="392">
        <f t="shared" si="51"/>
        <v>12.286610426839784</v>
      </c>
      <c r="N1612" s="392">
        <f t="shared" si="51"/>
        <v>12.286610426839784</v>
      </c>
    </row>
    <row r="1613" spans="1:14" hidden="1" outlineLevel="2" x14ac:dyDescent="0.35">
      <c r="A1613" s="388" t="s">
        <v>3868</v>
      </c>
      <c r="B1613" s="389">
        <v>43843</v>
      </c>
      <c r="C1613" s="390" t="s">
        <v>5438</v>
      </c>
      <c r="D1613" s="391" t="s">
        <v>5439</v>
      </c>
      <c r="E1613" s="391" t="s">
        <v>5419</v>
      </c>
      <c r="F1613" s="392">
        <v>2000</v>
      </c>
      <c r="G1613" s="393" t="s">
        <v>3800</v>
      </c>
      <c r="H1613" s="394">
        <f>F1613/'[5]Income + exchange rates'!$G$60</f>
        <v>0.76791315167748653</v>
      </c>
      <c r="I1613" s="394"/>
      <c r="J1613" s="392">
        <f t="shared" si="51"/>
        <v>0.15358263033549729</v>
      </c>
      <c r="K1613" s="392">
        <f t="shared" si="51"/>
        <v>0.15358263033549729</v>
      </c>
      <c r="L1613" s="392">
        <f t="shared" si="51"/>
        <v>0.15358263033549729</v>
      </c>
      <c r="M1613" s="392">
        <f t="shared" si="51"/>
        <v>0.15358263033549729</v>
      </c>
      <c r="N1613" s="392">
        <f t="shared" si="51"/>
        <v>0.15358263033549729</v>
      </c>
    </row>
    <row r="1614" spans="1:14" hidden="1" outlineLevel="2" x14ac:dyDescent="0.35">
      <c r="A1614" s="388" t="s">
        <v>3868</v>
      </c>
      <c r="B1614" s="389">
        <v>43843</v>
      </c>
      <c r="C1614" s="390" t="s">
        <v>5440</v>
      </c>
      <c r="D1614" s="391" t="s">
        <v>5441</v>
      </c>
      <c r="E1614" s="391" t="s">
        <v>5419</v>
      </c>
      <c r="F1614" s="392">
        <v>2000</v>
      </c>
      <c r="G1614" s="393" t="s">
        <v>3800</v>
      </c>
      <c r="H1614" s="394">
        <f>F1614/'[5]Income + exchange rates'!$G$60</f>
        <v>0.76791315167748653</v>
      </c>
      <c r="I1614" s="394"/>
      <c r="J1614" s="392">
        <f t="shared" si="51"/>
        <v>0.15358263033549729</v>
      </c>
      <c r="K1614" s="392">
        <f t="shared" si="51"/>
        <v>0.15358263033549729</v>
      </c>
      <c r="L1614" s="392">
        <f t="shared" si="51"/>
        <v>0.15358263033549729</v>
      </c>
      <c r="M1614" s="392">
        <f t="shared" si="51"/>
        <v>0.15358263033549729</v>
      </c>
      <c r="N1614" s="392">
        <f t="shared" si="51"/>
        <v>0.15358263033549729</v>
      </c>
    </row>
    <row r="1615" spans="1:14" hidden="1" outlineLevel="2" x14ac:dyDescent="0.35">
      <c r="A1615" s="388" t="s">
        <v>3868</v>
      </c>
      <c r="B1615" s="389">
        <v>43844</v>
      </c>
      <c r="C1615" s="390" t="s">
        <v>5442</v>
      </c>
      <c r="D1615" s="391" t="s">
        <v>5443</v>
      </c>
      <c r="E1615" s="391" t="s">
        <v>5419</v>
      </c>
      <c r="F1615" s="392">
        <v>11000</v>
      </c>
      <c r="G1615" s="393" t="s">
        <v>3800</v>
      </c>
      <c r="H1615" s="394">
        <f>F1615/'[5]Income + exchange rates'!$G$60</f>
        <v>4.2235223342261765</v>
      </c>
      <c r="I1615" s="394"/>
      <c r="J1615" s="392">
        <f t="shared" ref="J1615:N1630" si="52">$H1615/5</f>
        <v>0.84470446684523526</v>
      </c>
      <c r="K1615" s="392">
        <f t="shared" si="52"/>
        <v>0.84470446684523526</v>
      </c>
      <c r="L1615" s="392">
        <f t="shared" si="52"/>
        <v>0.84470446684523526</v>
      </c>
      <c r="M1615" s="392">
        <f t="shared" si="52"/>
        <v>0.84470446684523526</v>
      </c>
      <c r="N1615" s="392">
        <f t="shared" si="52"/>
        <v>0.84470446684523526</v>
      </c>
    </row>
    <row r="1616" spans="1:14" hidden="1" outlineLevel="2" x14ac:dyDescent="0.35">
      <c r="A1616" s="388" t="s">
        <v>3868</v>
      </c>
      <c r="B1616" s="389">
        <v>43844</v>
      </c>
      <c r="C1616" s="390" t="s">
        <v>5444</v>
      </c>
      <c r="D1616" s="391" t="s">
        <v>5445</v>
      </c>
      <c r="E1616" s="391" t="s">
        <v>5419</v>
      </c>
      <c r="F1616" s="392">
        <v>12000</v>
      </c>
      <c r="G1616" s="393" t="s">
        <v>3800</v>
      </c>
      <c r="H1616" s="394">
        <f>F1616/'[5]Income + exchange rates'!$G$60</f>
        <v>4.6074789100649198</v>
      </c>
      <c r="I1616" s="394"/>
      <c r="J1616" s="392">
        <f t="shared" si="52"/>
        <v>0.92149578201298399</v>
      </c>
      <c r="K1616" s="392">
        <f t="shared" si="52"/>
        <v>0.92149578201298399</v>
      </c>
      <c r="L1616" s="392">
        <f t="shared" si="52"/>
        <v>0.92149578201298399</v>
      </c>
      <c r="M1616" s="392">
        <f t="shared" si="52"/>
        <v>0.92149578201298399</v>
      </c>
      <c r="N1616" s="392">
        <f t="shared" si="52"/>
        <v>0.92149578201298399</v>
      </c>
    </row>
    <row r="1617" spans="1:14" hidden="1" outlineLevel="2" x14ac:dyDescent="0.35">
      <c r="A1617" s="388" t="s">
        <v>3868</v>
      </c>
      <c r="B1617" s="389">
        <v>43845</v>
      </c>
      <c r="C1617" s="390" t="s">
        <v>5446</v>
      </c>
      <c r="D1617" s="391" t="s">
        <v>5447</v>
      </c>
      <c r="E1617" s="391" t="s">
        <v>5448</v>
      </c>
      <c r="F1617" s="392">
        <v>106042</v>
      </c>
      <c r="G1617" s="393" t="s">
        <v>3800</v>
      </c>
      <c r="H1617" s="394">
        <f>F1617/'[5]Income + exchange rates'!$G$60</f>
        <v>40.715523215092013</v>
      </c>
      <c r="I1617" s="394"/>
      <c r="J1617" s="392">
        <f t="shared" si="52"/>
        <v>8.1431046430184022</v>
      </c>
      <c r="K1617" s="392">
        <f t="shared" si="52"/>
        <v>8.1431046430184022</v>
      </c>
      <c r="L1617" s="392">
        <f t="shared" si="52"/>
        <v>8.1431046430184022</v>
      </c>
      <c r="M1617" s="392">
        <f t="shared" si="52"/>
        <v>8.1431046430184022</v>
      </c>
      <c r="N1617" s="392">
        <f t="shared" si="52"/>
        <v>8.1431046430184022</v>
      </c>
    </row>
    <row r="1618" spans="1:14" hidden="1" outlineLevel="2" x14ac:dyDescent="0.35">
      <c r="A1618" s="388" t="s">
        <v>3868</v>
      </c>
      <c r="B1618" s="389">
        <v>43847</v>
      </c>
      <c r="C1618" s="390" t="s">
        <v>5449</v>
      </c>
      <c r="D1618" s="391" t="s">
        <v>5450</v>
      </c>
      <c r="E1618" s="391" t="s">
        <v>5419</v>
      </c>
      <c r="F1618" s="392">
        <v>15000</v>
      </c>
      <c r="G1618" s="393" t="s">
        <v>3800</v>
      </c>
      <c r="H1618" s="394">
        <f>F1618/'[5]Income + exchange rates'!$G$60</f>
        <v>5.7593486375811489</v>
      </c>
      <c r="I1618" s="394"/>
      <c r="J1618" s="392">
        <f t="shared" si="52"/>
        <v>1.1518697275162297</v>
      </c>
      <c r="K1618" s="392">
        <f t="shared" si="52"/>
        <v>1.1518697275162297</v>
      </c>
      <c r="L1618" s="392">
        <f t="shared" si="52"/>
        <v>1.1518697275162297</v>
      </c>
      <c r="M1618" s="392">
        <f t="shared" si="52"/>
        <v>1.1518697275162297</v>
      </c>
      <c r="N1618" s="392">
        <f t="shared" si="52"/>
        <v>1.1518697275162297</v>
      </c>
    </row>
    <row r="1619" spans="1:14" hidden="1" outlineLevel="2" x14ac:dyDescent="0.35">
      <c r="A1619" s="388" t="s">
        <v>3868</v>
      </c>
      <c r="B1619" s="389">
        <v>43867</v>
      </c>
      <c r="C1619" s="390" t="s">
        <v>5451</v>
      </c>
      <c r="D1619" s="391" t="s">
        <v>5452</v>
      </c>
      <c r="E1619" s="391" t="s">
        <v>5419</v>
      </c>
      <c r="F1619" s="392">
        <v>20000</v>
      </c>
      <c r="G1619" s="393" t="s">
        <v>3800</v>
      </c>
      <c r="H1619" s="394">
        <f>F1619/'[5]Income + exchange rates'!$G$60</f>
        <v>7.6791315167748655</v>
      </c>
      <c r="I1619" s="394"/>
      <c r="J1619" s="392">
        <f t="shared" si="52"/>
        <v>1.5358263033549731</v>
      </c>
      <c r="K1619" s="392">
        <f t="shared" si="52"/>
        <v>1.5358263033549731</v>
      </c>
      <c r="L1619" s="392">
        <f t="shared" si="52"/>
        <v>1.5358263033549731</v>
      </c>
      <c r="M1619" s="392">
        <f t="shared" si="52"/>
        <v>1.5358263033549731</v>
      </c>
      <c r="N1619" s="392">
        <f t="shared" si="52"/>
        <v>1.5358263033549731</v>
      </c>
    </row>
    <row r="1620" spans="1:14" hidden="1" outlineLevel="2" x14ac:dyDescent="0.35">
      <c r="A1620" s="388" t="s">
        <v>3868</v>
      </c>
      <c r="B1620" s="389">
        <v>43867</v>
      </c>
      <c r="C1620" s="390" t="s">
        <v>5453</v>
      </c>
      <c r="D1620" s="391" t="s">
        <v>5454</v>
      </c>
      <c r="E1620" s="391" t="s">
        <v>5419</v>
      </c>
      <c r="F1620" s="392">
        <v>10000</v>
      </c>
      <c r="G1620" s="393" t="s">
        <v>3800</v>
      </c>
      <c r="H1620" s="394">
        <f>F1620/'[5]Income + exchange rates'!$G$60</f>
        <v>3.8395657583874327</v>
      </c>
      <c r="I1620" s="394"/>
      <c r="J1620" s="392">
        <f t="shared" si="52"/>
        <v>0.76791315167748653</v>
      </c>
      <c r="K1620" s="392">
        <f t="shared" si="52"/>
        <v>0.76791315167748653</v>
      </c>
      <c r="L1620" s="392">
        <f t="shared" si="52"/>
        <v>0.76791315167748653</v>
      </c>
      <c r="M1620" s="392">
        <f t="shared" si="52"/>
        <v>0.76791315167748653</v>
      </c>
      <c r="N1620" s="392">
        <f t="shared" si="52"/>
        <v>0.76791315167748653</v>
      </c>
    </row>
    <row r="1621" spans="1:14" hidden="1" outlineLevel="2" x14ac:dyDescent="0.35">
      <c r="A1621" s="388" t="s">
        <v>3868</v>
      </c>
      <c r="B1621" s="389">
        <v>43868</v>
      </c>
      <c r="C1621" s="390" t="s">
        <v>5455</v>
      </c>
      <c r="D1621" s="391" t="s">
        <v>5456</v>
      </c>
      <c r="E1621" s="391" t="s">
        <v>5419</v>
      </c>
      <c r="F1621" s="392">
        <v>2000</v>
      </c>
      <c r="G1621" s="393" t="s">
        <v>3800</v>
      </c>
      <c r="H1621" s="394">
        <f>F1621/'[5]Income + exchange rates'!$G$60</f>
        <v>0.76791315167748653</v>
      </c>
      <c r="I1621" s="394"/>
      <c r="J1621" s="392">
        <f t="shared" si="52"/>
        <v>0.15358263033549729</v>
      </c>
      <c r="K1621" s="392">
        <f t="shared" si="52"/>
        <v>0.15358263033549729</v>
      </c>
      <c r="L1621" s="392">
        <f t="shared" si="52"/>
        <v>0.15358263033549729</v>
      </c>
      <c r="M1621" s="392">
        <f t="shared" si="52"/>
        <v>0.15358263033549729</v>
      </c>
      <c r="N1621" s="392">
        <f t="shared" si="52"/>
        <v>0.15358263033549729</v>
      </c>
    </row>
    <row r="1622" spans="1:14" hidden="1" outlineLevel="2" x14ac:dyDescent="0.35">
      <c r="A1622" s="388" t="s">
        <v>3868</v>
      </c>
      <c r="B1622" s="389">
        <v>43868</v>
      </c>
      <c r="C1622" s="390" t="s">
        <v>5457</v>
      </c>
      <c r="D1622" s="391" t="s">
        <v>5458</v>
      </c>
      <c r="E1622" s="391" t="s">
        <v>5419</v>
      </c>
      <c r="F1622" s="392">
        <v>4000</v>
      </c>
      <c r="G1622" s="393" t="s">
        <v>3800</v>
      </c>
      <c r="H1622" s="394">
        <f>F1622/'[5]Income + exchange rates'!$G$60</f>
        <v>1.5358263033549731</v>
      </c>
      <c r="I1622" s="394"/>
      <c r="J1622" s="392">
        <f t="shared" si="52"/>
        <v>0.30716526067099459</v>
      </c>
      <c r="K1622" s="392">
        <f t="shared" si="52"/>
        <v>0.30716526067099459</v>
      </c>
      <c r="L1622" s="392">
        <f t="shared" si="52"/>
        <v>0.30716526067099459</v>
      </c>
      <c r="M1622" s="392">
        <f t="shared" si="52"/>
        <v>0.30716526067099459</v>
      </c>
      <c r="N1622" s="392">
        <f t="shared" si="52"/>
        <v>0.30716526067099459</v>
      </c>
    </row>
    <row r="1623" spans="1:14" hidden="1" outlineLevel="2" x14ac:dyDescent="0.35">
      <c r="A1623" s="388" t="s">
        <v>3868</v>
      </c>
      <c r="B1623" s="389">
        <v>43868</v>
      </c>
      <c r="C1623" s="390" t="s">
        <v>5459</v>
      </c>
      <c r="D1623" s="391" t="s">
        <v>5460</v>
      </c>
      <c r="E1623" s="391" t="s">
        <v>5419</v>
      </c>
      <c r="F1623" s="392">
        <v>4000</v>
      </c>
      <c r="G1623" s="393" t="s">
        <v>3800</v>
      </c>
      <c r="H1623" s="394">
        <f>F1623/'[5]Income + exchange rates'!$G$60</f>
        <v>1.5358263033549731</v>
      </c>
      <c r="I1623" s="394"/>
      <c r="J1623" s="392">
        <f t="shared" si="52"/>
        <v>0.30716526067099459</v>
      </c>
      <c r="K1623" s="392">
        <f t="shared" si="52"/>
        <v>0.30716526067099459</v>
      </c>
      <c r="L1623" s="392">
        <f t="shared" si="52"/>
        <v>0.30716526067099459</v>
      </c>
      <c r="M1623" s="392">
        <f t="shared" si="52"/>
        <v>0.30716526067099459</v>
      </c>
      <c r="N1623" s="392">
        <f t="shared" si="52"/>
        <v>0.30716526067099459</v>
      </c>
    </row>
    <row r="1624" spans="1:14" hidden="1" outlineLevel="2" x14ac:dyDescent="0.35">
      <c r="A1624" s="388" t="s">
        <v>3868</v>
      </c>
      <c r="B1624" s="389">
        <v>43868</v>
      </c>
      <c r="C1624" s="390" t="s">
        <v>5461</v>
      </c>
      <c r="D1624" s="391" t="s">
        <v>5462</v>
      </c>
      <c r="E1624" s="391" t="s">
        <v>5419</v>
      </c>
      <c r="F1624" s="392">
        <v>6000</v>
      </c>
      <c r="G1624" s="393" t="s">
        <v>3800</v>
      </c>
      <c r="H1624" s="394">
        <f>F1624/'[5]Income + exchange rates'!$G$60</f>
        <v>2.3037394550324599</v>
      </c>
      <c r="I1624" s="394"/>
      <c r="J1624" s="392">
        <f t="shared" si="52"/>
        <v>0.46074789100649199</v>
      </c>
      <c r="K1624" s="392">
        <f t="shared" si="52"/>
        <v>0.46074789100649199</v>
      </c>
      <c r="L1624" s="392">
        <f t="shared" si="52"/>
        <v>0.46074789100649199</v>
      </c>
      <c r="M1624" s="392">
        <f t="shared" si="52"/>
        <v>0.46074789100649199</v>
      </c>
      <c r="N1624" s="392">
        <f t="shared" si="52"/>
        <v>0.46074789100649199</v>
      </c>
    </row>
    <row r="1625" spans="1:14" hidden="1" outlineLevel="2" x14ac:dyDescent="0.35">
      <c r="A1625" s="388" t="s">
        <v>3868</v>
      </c>
      <c r="B1625" s="389">
        <v>43868</v>
      </c>
      <c r="C1625" s="390" t="s">
        <v>5463</v>
      </c>
      <c r="D1625" s="391" t="s">
        <v>5464</v>
      </c>
      <c r="E1625" s="391" t="s">
        <v>5419</v>
      </c>
      <c r="F1625" s="392">
        <v>4000</v>
      </c>
      <c r="G1625" s="393" t="s">
        <v>3800</v>
      </c>
      <c r="H1625" s="394">
        <f>F1625/'[5]Income + exchange rates'!$G$60</f>
        <v>1.5358263033549731</v>
      </c>
      <c r="I1625" s="394"/>
      <c r="J1625" s="392">
        <f t="shared" si="52"/>
        <v>0.30716526067099459</v>
      </c>
      <c r="K1625" s="392">
        <f t="shared" si="52"/>
        <v>0.30716526067099459</v>
      </c>
      <c r="L1625" s="392">
        <f t="shared" si="52"/>
        <v>0.30716526067099459</v>
      </c>
      <c r="M1625" s="392">
        <f t="shared" si="52"/>
        <v>0.30716526067099459</v>
      </c>
      <c r="N1625" s="392">
        <f t="shared" si="52"/>
        <v>0.30716526067099459</v>
      </c>
    </row>
    <row r="1626" spans="1:14" ht="30" hidden="1" outlineLevel="2" collapsed="1" x14ac:dyDescent="0.35">
      <c r="A1626" s="388" t="s">
        <v>3868</v>
      </c>
      <c r="B1626" s="389">
        <v>43868</v>
      </c>
      <c r="C1626" s="390" t="s">
        <v>5465</v>
      </c>
      <c r="D1626" s="391" t="s">
        <v>5466</v>
      </c>
      <c r="E1626" s="391" t="s">
        <v>5467</v>
      </c>
      <c r="F1626" s="392">
        <v>563610.81999999995</v>
      </c>
      <c r="G1626" s="393" t="s">
        <v>3800</v>
      </c>
      <c r="H1626" s="394">
        <f>F1626/'[5]Income + exchange rates'!$G$60</f>
        <v>216.40208055286627</v>
      </c>
      <c r="I1626" s="394"/>
      <c r="J1626" s="392">
        <f t="shared" si="52"/>
        <v>43.280416110573256</v>
      </c>
      <c r="K1626" s="392">
        <f t="shared" si="52"/>
        <v>43.280416110573256</v>
      </c>
      <c r="L1626" s="392">
        <f t="shared" si="52"/>
        <v>43.280416110573256</v>
      </c>
      <c r="M1626" s="392">
        <f t="shared" si="52"/>
        <v>43.280416110573256</v>
      </c>
      <c r="N1626" s="392">
        <f t="shared" si="52"/>
        <v>43.280416110573256</v>
      </c>
    </row>
    <row r="1627" spans="1:14" hidden="1" outlineLevel="2" x14ac:dyDescent="0.35">
      <c r="A1627" s="388" t="s">
        <v>3868</v>
      </c>
      <c r="B1627" s="389">
        <v>43869</v>
      </c>
      <c r="C1627" s="390" t="s">
        <v>5468</v>
      </c>
      <c r="D1627" s="391" t="s">
        <v>5456</v>
      </c>
      <c r="E1627" s="391" t="s">
        <v>5419</v>
      </c>
      <c r="F1627" s="392">
        <v>2000</v>
      </c>
      <c r="G1627" s="393" t="s">
        <v>3800</v>
      </c>
      <c r="H1627" s="394">
        <f>F1627/'[5]Income + exchange rates'!$G$60</f>
        <v>0.76791315167748653</v>
      </c>
      <c r="I1627" s="394"/>
      <c r="J1627" s="392">
        <f t="shared" si="52"/>
        <v>0.15358263033549729</v>
      </c>
      <c r="K1627" s="392">
        <f t="shared" si="52"/>
        <v>0.15358263033549729</v>
      </c>
      <c r="L1627" s="392">
        <f t="shared" si="52"/>
        <v>0.15358263033549729</v>
      </c>
      <c r="M1627" s="392">
        <f t="shared" si="52"/>
        <v>0.15358263033549729</v>
      </c>
      <c r="N1627" s="392">
        <f t="shared" si="52"/>
        <v>0.15358263033549729</v>
      </c>
    </row>
    <row r="1628" spans="1:14" hidden="1" outlineLevel="2" collapsed="1" x14ac:dyDescent="0.35">
      <c r="A1628" s="388" t="s">
        <v>3868</v>
      </c>
      <c r="B1628" s="389">
        <v>43869</v>
      </c>
      <c r="C1628" s="390" t="s">
        <v>5469</v>
      </c>
      <c r="D1628" s="391" t="s">
        <v>5470</v>
      </c>
      <c r="E1628" s="391" t="s">
        <v>5419</v>
      </c>
      <c r="F1628" s="392">
        <v>2000</v>
      </c>
      <c r="G1628" s="393" t="s">
        <v>3800</v>
      </c>
      <c r="H1628" s="394">
        <f>F1628/'[5]Income + exchange rates'!$G$60</f>
        <v>0.76791315167748653</v>
      </c>
      <c r="I1628" s="394"/>
      <c r="J1628" s="392">
        <f t="shared" si="52"/>
        <v>0.15358263033549729</v>
      </c>
      <c r="K1628" s="392">
        <f t="shared" si="52"/>
        <v>0.15358263033549729</v>
      </c>
      <c r="L1628" s="392">
        <f t="shared" si="52"/>
        <v>0.15358263033549729</v>
      </c>
      <c r="M1628" s="392">
        <f t="shared" si="52"/>
        <v>0.15358263033549729</v>
      </c>
      <c r="N1628" s="392">
        <f t="shared" si="52"/>
        <v>0.15358263033549729</v>
      </c>
    </row>
    <row r="1629" spans="1:14" hidden="1" outlineLevel="2" x14ac:dyDescent="0.35">
      <c r="A1629" s="388" t="s">
        <v>3868</v>
      </c>
      <c r="B1629" s="389">
        <v>43870</v>
      </c>
      <c r="C1629" s="390" t="s">
        <v>5471</v>
      </c>
      <c r="D1629" s="391" t="s">
        <v>5472</v>
      </c>
      <c r="E1629" s="391" t="s">
        <v>5419</v>
      </c>
      <c r="F1629" s="392">
        <v>5000</v>
      </c>
      <c r="G1629" s="393" t="s">
        <v>3800</v>
      </c>
      <c r="H1629" s="394">
        <f>F1629/'[5]Income + exchange rates'!$G$60</f>
        <v>1.9197828791937164</v>
      </c>
      <c r="I1629" s="394"/>
      <c r="J1629" s="392">
        <f t="shared" si="52"/>
        <v>0.38395657583874326</v>
      </c>
      <c r="K1629" s="392">
        <f t="shared" si="52"/>
        <v>0.38395657583874326</v>
      </c>
      <c r="L1629" s="392">
        <f t="shared" si="52"/>
        <v>0.38395657583874326</v>
      </c>
      <c r="M1629" s="392">
        <f t="shared" si="52"/>
        <v>0.38395657583874326</v>
      </c>
      <c r="N1629" s="392">
        <f t="shared" si="52"/>
        <v>0.38395657583874326</v>
      </c>
    </row>
    <row r="1630" spans="1:14" hidden="1" outlineLevel="2" x14ac:dyDescent="0.35">
      <c r="A1630" s="388" t="s">
        <v>3868</v>
      </c>
      <c r="B1630" s="389">
        <v>43870</v>
      </c>
      <c r="C1630" s="390" t="s">
        <v>5473</v>
      </c>
      <c r="D1630" s="391" t="s">
        <v>5474</v>
      </c>
      <c r="E1630" s="391" t="s">
        <v>5419</v>
      </c>
      <c r="F1630" s="392">
        <v>4000</v>
      </c>
      <c r="G1630" s="393" t="s">
        <v>3800</v>
      </c>
      <c r="H1630" s="394">
        <f>F1630/'[5]Income + exchange rates'!$G$60</f>
        <v>1.5358263033549731</v>
      </c>
      <c r="I1630" s="394"/>
      <c r="J1630" s="392">
        <f t="shared" si="52"/>
        <v>0.30716526067099459</v>
      </c>
      <c r="K1630" s="392">
        <f t="shared" si="52"/>
        <v>0.30716526067099459</v>
      </c>
      <c r="L1630" s="392">
        <f t="shared" si="52"/>
        <v>0.30716526067099459</v>
      </c>
      <c r="M1630" s="392">
        <f t="shared" si="52"/>
        <v>0.30716526067099459</v>
      </c>
      <c r="N1630" s="392">
        <f t="shared" si="52"/>
        <v>0.30716526067099459</v>
      </c>
    </row>
    <row r="1631" spans="1:14" hidden="1" outlineLevel="2" x14ac:dyDescent="0.35">
      <c r="A1631" s="388" t="s">
        <v>3868</v>
      </c>
      <c r="B1631" s="389">
        <v>43870</v>
      </c>
      <c r="C1631" s="390" t="s">
        <v>5475</v>
      </c>
      <c r="D1631" s="391" t="s">
        <v>5476</v>
      </c>
      <c r="E1631" s="391" t="s">
        <v>5419</v>
      </c>
      <c r="F1631" s="392">
        <v>3000</v>
      </c>
      <c r="G1631" s="393" t="s">
        <v>3800</v>
      </c>
      <c r="H1631" s="394">
        <f>F1631/'[5]Income + exchange rates'!$G$60</f>
        <v>1.15186972751623</v>
      </c>
      <c r="I1631" s="394"/>
      <c r="J1631" s="392">
        <f t="shared" ref="J1631:N1646" si="53">$H1631/5</f>
        <v>0.230373945503246</v>
      </c>
      <c r="K1631" s="392">
        <f t="shared" si="53"/>
        <v>0.230373945503246</v>
      </c>
      <c r="L1631" s="392">
        <f t="shared" si="53"/>
        <v>0.230373945503246</v>
      </c>
      <c r="M1631" s="392">
        <f t="shared" si="53"/>
        <v>0.230373945503246</v>
      </c>
      <c r="N1631" s="392">
        <f t="shared" si="53"/>
        <v>0.230373945503246</v>
      </c>
    </row>
    <row r="1632" spans="1:14" hidden="1" outlineLevel="2" x14ac:dyDescent="0.35">
      <c r="A1632" s="388" t="s">
        <v>3868</v>
      </c>
      <c r="B1632" s="389">
        <v>43870</v>
      </c>
      <c r="C1632" s="390" t="s">
        <v>5477</v>
      </c>
      <c r="D1632" s="391" t="s">
        <v>5478</v>
      </c>
      <c r="E1632" s="391" t="s">
        <v>5419</v>
      </c>
      <c r="F1632" s="392">
        <v>2000</v>
      </c>
      <c r="G1632" s="393" t="s">
        <v>3800</v>
      </c>
      <c r="H1632" s="394">
        <f>F1632/'[5]Income + exchange rates'!$G$60</f>
        <v>0.76791315167748653</v>
      </c>
      <c r="I1632" s="394"/>
      <c r="J1632" s="392">
        <f t="shared" si="53"/>
        <v>0.15358263033549729</v>
      </c>
      <c r="K1632" s="392">
        <f t="shared" si="53"/>
        <v>0.15358263033549729</v>
      </c>
      <c r="L1632" s="392">
        <f t="shared" si="53"/>
        <v>0.15358263033549729</v>
      </c>
      <c r="M1632" s="392">
        <f t="shared" si="53"/>
        <v>0.15358263033549729</v>
      </c>
      <c r="N1632" s="392">
        <f t="shared" si="53"/>
        <v>0.15358263033549729</v>
      </c>
    </row>
    <row r="1633" spans="1:14" hidden="1" outlineLevel="2" x14ac:dyDescent="0.35">
      <c r="A1633" s="388" t="s">
        <v>3868</v>
      </c>
      <c r="B1633" s="389">
        <v>43871</v>
      </c>
      <c r="C1633" s="390" t="s">
        <v>5479</v>
      </c>
      <c r="D1633" s="391" t="s">
        <v>5456</v>
      </c>
      <c r="E1633" s="391" t="s">
        <v>5419</v>
      </c>
      <c r="F1633" s="392">
        <v>3000</v>
      </c>
      <c r="G1633" s="393" t="s">
        <v>3800</v>
      </c>
      <c r="H1633" s="394">
        <f>F1633/'[5]Income + exchange rates'!$G$60</f>
        <v>1.15186972751623</v>
      </c>
      <c r="I1633" s="394"/>
      <c r="J1633" s="392">
        <f t="shared" si="53"/>
        <v>0.230373945503246</v>
      </c>
      <c r="K1633" s="392">
        <f t="shared" si="53"/>
        <v>0.230373945503246</v>
      </c>
      <c r="L1633" s="392">
        <f t="shared" si="53"/>
        <v>0.230373945503246</v>
      </c>
      <c r="M1633" s="392">
        <f t="shared" si="53"/>
        <v>0.230373945503246</v>
      </c>
      <c r="N1633" s="392">
        <f t="shared" si="53"/>
        <v>0.230373945503246</v>
      </c>
    </row>
    <row r="1634" spans="1:14" hidden="1" outlineLevel="2" x14ac:dyDescent="0.35">
      <c r="A1634" s="388" t="s">
        <v>3868</v>
      </c>
      <c r="B1634" s="389">
        <v>43871</v>
      </c>
      <c r="C1634" s="390" t="s">
        <v>5480</v>
      </c>
      <c r="D1634" s="391" t="s">
        <v>5470</v>
      </c>
      <c r="E1634" s="391" t="s">
        <v>5419</v>
      </c>
      <c r="F1634" s="392">
        <v>3000</v>
      </c>
      <c r="G1634" s="393" t="s">
        <v>3800</v>
      </c>
      <c r="H1634" s="394">
        <f>F1634/'[5]Income + exchange rates'!$G$60</f>
        <v>1.15186972751623</v>
      </c>
      <c r="I1634" s="394"/>
      <c r="J1634" s="392">
        <f t="shared" si="53"/>
        <v>0.230373945503246</v>
      </c>
      <c r="K1634" s="392">
        <f t="shared" si="53"/>
        <v>0.230373945503246</v>
      </c>
      <c r="L1634" s="392">
        <f t="shared" si="53"/>
        <v>0.230373945503246</v>
      </c>
      <c r="M1634" s="392">
        <f t="shared" si="53"/>
        <v>0.230373945503246</v>
      </c>
      <c r="N1634" s="392">
        <f t="shared" si="53"/>
        <v>0.230373945503246</v>
      </c>
    </row>
    <row r="1635" spans="1:14" hidden="1" outlineLevel="2" x14ac:dyDescent="0.35">
      <c r="A1635" s="388" t="s">
        <v>3868</v>
      </c>
      <c r="B1635" s="389">
        <v>43871</v>
      </c>
      <c r="C1635" s="390" t="s">
        <v>5481</v>
      </c>
      <c r="D1635" s="391" t="s">
        <v>5456</v>
      </c>
      <c r="E1635" s="391" t="s">
        <v>5419</v>
      </c>
      <c r="F1635" s="392">
        <v>4000</v>
      </c>
      <c r="G1635" s="393" t="s">
        <v>3800</v>
      </c>
      <c r="H1635" s="394">
        <f>F1635/'[5]Income + exchange rates'!$G$60</f>
        <v>1.5358263033549731</v>
      </c>
      <c r="I1635" s="394"/>
      <c r="J1635" s="392">
        <f t="shared" si="53"/>
        <v>0.30716526067099459</v>
      </c>
      <c r="K1635" s="392">
        <f t="shared" si="53"/>
        <v>0.30716526067099459</v>
      </c>
      <c r="L1635" s="392">
        <f t="shared" si="53"/>
        <v>0.30716526067099459</v>
      </c>
      <c r="M1635" s="392">
        <f t="shared" si="53"/>
        <v>0.30716526067099459</v>
      </c>
      <c r="N1635" s="392">
        <f t="shared" si="53"/>
        <v>0.30716526067099459</v>
      </c>
    </row>
    <row r="1636" spans="1:14" hidden="1" outlineLevel="2" x14ac:dyDescent="0.35">
      <c r="A1636" s="388" t="s">
        <v>3868</v>
      </c>
      <c r="B1636" s="389">
        <v>43871</v>
      </c>
      <c r="C1636" s="390" t="s">
        <v>5482</v>
      </c>
      <c r="D1636" s="391" t="s">
        <v>5470</v>
      </c>
      <c r="E1636" s="391" t="s">
        <v>5419</v>
      </c>
      <c r="F1636" s="392">
        <v>2000</v>
      </c>
      <c r="G1636" s="393" t="s">
        <v>3800</v>
      </c>
      <c r="H1636" s="394">
        <f>F1636/'[5]Income + exchange rates'!$G$60</f>
        <v>0.76791315167748653</v>
      </c>
      <c r="I1636" s="394"/>
      <c r="J1636" s="392">
        <f t="shared" si="53"/>
        <v>0.15358263033549729</v>
      </c>
      <c r="K1636" s="392">
        <f t="shared" si="53"/>
        <v>0.15358263033549729</v>
      </c>
      <c r="L1636" s="392">
        <f t="shared" si="53"/>
        <v>0.15358263033549729</v>
      </c>
      <c r="M1636" s="392">
        <f t="shared" si="53"/>
        <v>0.15358263033549729</v>
      </c>
      <c r="N1636" s="392">
        <f t="shared" si="53"/>
        <v>0.15358263033549729</v>
      </c>
    </row>
    <row r="1637" spans="1:14" hidden="1" outlineLevel="2" x14ac:dyDescent="0.35">
      <c r="A1637" s="388" t="s">
        <v>3868</v>
      </c>
      <c r="B1637" s="389">
        <v>43871</v>
      </c>
      <c r="C1637" s="390" t="s">
        <v>5483</v>
      </c>
      <c r="D1637" s="391" t="s">
        <v>5484</v>
      </c>
      <c r="E1637" s="391" t="s">
        <v>5419</v>
      </c>
      <c r="F1637" s="392">
        <v>4000</v>
      </c>
      <c r="G1637" s="393" t="s">
        <v>3800</v>
      </c>
      <c r="H1637" s="394">
        <f>F1637/'[5]Income + exchange rates'!$G$60</f>
        <v>1.5358263033549731</v>
      </c>
      <c r="I1637" s="394"/>
      <c r="J1637" s="392">
        <f t="shared" si="53"/>
        <v>0.30716526067099459</v>
      </c>
      <c r="K1637" s="392">
        <f t="shared" si="53"/>
        <v>0.30716526067099459</v>
      </c>
      <c r="L1637" s="392">
        <f t="shared" si="53"/>
        <v>0.30716526067099459</v>
      </c>
      <c r="M1637" s="392">
        <f t="shared" si="53"/>
        <v>0.30716526067099459</v>
      </c>
      <c r="N1637" s="392">
        <f t="shared" si="53"/>
        <v>0.30716526067099459</v>
      </c>
    </row>
    <row r="1638" spans="1:14" hidden="1" outlineLevel="2" x14ac:dyDescent="0.35">
      <c r="A1638" s="388" t="s">
        <v>3868</v>
      </c>
      <c r="B1638" s="389">
        <v>43871</v>
      </c>
      <c r="C1638" s="390" t="s">
        <v>5485</v>
      </c>
      <c r="D1638" s="391" t="s">
        <v>5454</v>
      </c>
      <c r="E1638" s="391" t="s">
        <v>5419</v>
      </c>
      <c r="F1638" s="392">
        <v>5000</v>
      </c>
      <c r="G1638" s="393" t="s">
        <v>3800</v>
      </c>
      <c r="H1638" s="394">
        <f>F1638/'[5]Income + exchange rates'!$G$60</f>
        <v>1.9197828791937164</v>
      </c>
      <c r="I1638" s="394"/>
      <c r="J1638" s="392">
        <f t="shared" si="53"/>
        <v>0.38395657583874326</v>
      </c>
      <c r="K1638" s="392">
        <f t="shared" si="53"/>
        <v>0.38395657583874326</v>
      </c>
      <c r="L1638" s="392">
        <f t="shared" si="53"/>
        <v>0.38395657583874326</v>
      </c>
      <c r="M1638" s="392">
        <f t="shared" si="53"/>
        <v>0.38395657583874326</v>
      </c>
      <c r="N1638" s="392">
        <f t="shared" si="53"/>
        <v>0.38395657583874326</v>
      </c>
    </row>
    <row r="1639" spans="1:14" hidden="1" outlineLevel="2" x14ac:dyDescent="0.35">
      <c r="A1639" s="388" t="s">
        <v>3868</v>
      </c>
      <c r="B1639" s="389">
        <v>43872</v>
      </c>
      <c r="C1639" s="390" t="s">
        <v>5486</v>
      </c>
      <c r="D1639" s="391" t="s">
        <v>5456</v>
      </c>
      <c r="E1639" s="391" t="s">
        <v>5419</v>
      </c>
      <c r="F1639" s="392">
        <v>3000</v>
      </c>
      <c r="G1639" s="393" t="s">
        <v>3800</v>
      </c>
      <c r="H1639" s="394">
        <f>F1639/'[5]Income + exchange rates'!$G$60</f>
        <v>1.15186972751623</v>
      </c>
      <c r="I1639" s="394"/>
      <c r="J1639" s="392">
        <f t="shared" si="53"/>
        <v>0.230373945503246</v>
      </c>
      <c r="K1639" s="392">
        <f t="shared" si="53"/>
        <v>0.230373945503246</v>
      </c>
      <c r="L1639" s="392">
        <f t="shared" si="53"/>
        <v>0.230373945503246</v>
      </c>
      <c r="M1639" s="392">
        <f t="shared" si="53"/>
        <v>0.230373945503246</v>
      </c>
      <c r="N1639" s="392">
        <f t="shared" si="53"/>
        <v>0.230373945503246</v>
      </c>
    </row>
    <row r="1640" spans="1:14" hidden="1" outlineLevel="2" x14ac:dyDescent="0.35">
      <c r="A1640" s="388" t="s">
        <v>3868</v>
      </c>
      <c r="B1640" s="389">
        <v>43874</v>
      </c>
      <c r="C1640" s="390" t="s">
        <v>5487</v>
      </c>
      <c r="D1640" s="391" t="s">
        <v>5431</v>
      </c>
      <c r="E1640" s="391" t="s">
        <v>5432</v>
      </c>
      <c r="F1640" s="392">
        <v>50000</v>
      </c>
      <c r="G1640" s="393" t="s">
        <v>3800</v>
      </c>
      <c r="H1640" s="394">
        <f>F1640/'[5]Income + exchange rates'!$G$60</f>
        <v>19.197828791937166</v>
      </c>
      <c r="I1640" s="394"/>
      <c r="J1640" s="392">
        <f t="shared" si="53"/>
        <v>3.8395657583874332</v>
      </c>
      <c r="K1640" s="392">
        <f t="shared" si="53"/>
        <v>3.8395657583874332</v>
      </c>
      <c r="L1640" s="392">
        <f t="shared" si="53"/>
        <v>3.8395657583874332</v>
      </c>
      <c r="M1640" s="392">
        <f t="shared" si="53"/>
        <v>3.8395657583874332</v>
      </c>
      <c r="N1640" s="392">
        <f t="shared" si="53"/>
        <v>3.8395657583874332</v>
      </c>
    </row>
    <row r="1641" spans="1:14" hidden="1" outlineLevel="2" collapsed="1" x14ac:dyDescent="0.35">
      <c r="A1641" s="388" t="s">
        <v>3868</v>
      </c>
      <c r="B1641" s="389">
        <v>43874</v>
      </c>
      <c r="C1641" s="390" t="s">
        <v>5488</v>
      </c>
      <c r="D1641" s="391" t="s">
        <v>5489</v>
      </c>
      <c r="E1641" s="391" t="s">
        <v>5432</v>
      </c>
      <c r="F1641" s="392">
        <v>30000</v>
      </c>
      <c r="G1641" s="393" t="s">
        <v>3800</v>
      </c>
      <c r="H1641" s="394">
        <f>F1641/'[5]Income + exchange rates'!$G$60</f>
        <v>11.518697275162298</v>
      </c>
      <c r="I1641" s="394"/>
      <c r="J1641" s="392">
        <f t="shared" si="53"/>
        <v>2.3037394550324595</v>
      </c>
      <c r="K1641" s="392">
        <f t="shared" si="53"/>
        <v>2.3037394550324595</v>
      </c>
      <c r="L1641" s="392">
        <f t="shared" si="53"/>
        <v>2.3037394550324595</v>
      </c>
      <c r="M1641" s="392">
        <f t="shared" si="53"/>
        <v>2.3037394550324595</v>
      </c>
      <c r="N1641" s="392">
        <f t="shared" si="53"/>
        <v>2.3037394550324595</v>
      </c>
    </row>
    <row r="1642" spans="1:14" hidden="1" outlineLevel="2" x14ac:dyDescent="0.35">
      <c r="A1642" s="388" t="s">
        <v>3868</v>
      </c>
      <c r="B1642" s="389">
        <v>43874</v>
      </c>
      <c r="C1642" s="390" t="s">
        <v>5490</v>
      </c>
      <c r="D1642" s="391" t="s">
        <v>5456</v>
      </c>
      <c r="E1642" s="391" t="s">
        <v>5419</v>
      </c>
      <c r="F1642" s="392">
        <v>2000</v>
      </c>
      <c r="G1642" s="393" t="s">
        <v>3800</v>
      </c>
      <c r="H1642" s="394">
        <f>F1642/'[5]Income + exchange rates'!$G$60</f>
        <v>0.76791315167748653</v>
      </c>
      <c r="I1642" s="394"/>
      <c r="J1642" s="392">
        <f t="shared" si="53"/>
        <v>0.15358263033549729</v>
      </c>
      <c r="K1642" s="392">
        <f t="shared" si="53"/>
        <v>0.15358263033549729</v>
      </c>
      <c r="L1642" s="392">
        <f t="shared" si="53"/>
        <v>0.15358263033549729</v>
      </c>
      <c r="M1642" s="392">
        <f t="shared" si="53"/>
        <v>0.15358263033549729</v>
      </c>
      <c r="N1642" s="392">
        <f t="shared" si="53"/>
        <v>0.15358263033549729</v>
      </c>
    </row>
    <row r="1643" spans="1:14" hidden="1" outlineLevel="2" x14ac:dyDescent="0.35">
      <c r="A1643" s="388" t="s">
        <v>3868</v>
      </c>
      <c r="B1643" s="389">
        <v>43874</v>
      </c>
      <c r="C1643" s="390" t="s">
        <v>5491</v>
      </c>
      <c r="D1643" s="391" t="s">
        <v>5462</v>
      </c>
      <c r="E1643" s="391" t="s">
        <v>5419</v>
      </c>
      <c r="F1643" s="392">
        <v>4000</v>
      </c>
      <c r="G1643" s="393" t="s">
        <v>3800</v>
      </c>
      <c r="H1643" s="394">
        <f>F1643/'[5]Income + exchange rates'!$G$60</f>
        <v>1.5358263033549731</v>
      </c>
      <c r="I1643" s="394"/>
      <c r="J1643" s="392">
        <f t="shared" si="53"/>
        <v>0.30716526067099459</v>
      </c>
      <c r="K1643" s="392">
        <f t="shared" si="53"/>
        <v>0.30716526067099459</v>
      </c>
      <c r="L1643" s="392">
        <f t="shared" si="53"/>
        <v>0.30716526067099459</v>
      </c>
      <c r="M1643" s="392">
        <f t="shared" si="53"/>
        <v>0.30716526067099459</v>
      </c>
      <c r="N1643" s="392">
        <f t="shared" si="53"/>
        <v>0.30716526067099459</v>
      </c>
    </row>
    <row r="1644" spans="1:14" hidden="1" outlineLevel="2" x14ac:dyDescent="0.35">
      <c r="A1644" s="388" t="s">
        <v>3868</v>
      </c>
      <c r="B1644" s="389">
        <v>43874</v>
      </c>
      <c r="C1644" s="390" t="s">
        <v>5492</v>
      </c>
      <c r="D1644" s="391" t="s">
        <v>5454</v>
      </c>
      <c r="E1644" s="391" t="s">
        <v>5419</v>
      </c>
      <c r="F1644" s="392">
        <v>5000</v>
      </c>
      <c r="G1644" s="393" t="s">
        <v>3800</v>
      </c>
      <c r="H1644" s="394">
        <f>F1644/'[5]Income + exchange rates'!$G$60</f>
        <v>1.9197828791937164</v>
      </c>
      <c r="I1644" s="394"/>
      <c r="J1644" s="392">
        <f t="shared" si="53"/>
        <v>0.38395657583874326</v>
      </c>
      <c r="K1644" s="392">
        <f t="shared" si="53"/>
        <v>0.38395657583874326</v>
      </c>
      <c r="L1644" s="392">
        <f t="shared" si="53"/>
        <v>0.38395657583874326</v>
      </c>
      <c r="M1644" s="392">
        <f t="shared" si="53"/>
        <v>0.38395657583874326</v>
      </c>
      <c r="N1644" s="392">
        <f t="shared" si="53"/>
        <v>0.38395657583874326</v>
      </c>
    </row>
    <row r="1645" spans="1:14" hidden="1" outlineLevel="2" x14ac:dyDescent="0.35">
      <c r="A1645" s="388" t="s">
        <v>3868</v>
      </c>
      <c r="B1645" s="389">
        <v>43874</v>
      </c>
      <c r="C1645" s="390" t="s">
        <v>5493</v>
      </c>
      <c r="D1645" s="391" t="s">
        <v>5494</v>
      </c>
      <c r="E1645" s="391" t="s">
        <v>5419</v>
      </c>
      <c r="F1645" s="392">
        <v>4000</v>
      </c>
      <c r="G1645" s="393" t="s">
        <v>3800</v>
      </c>
      <c r="H1645" s="394">
        <f>F1645/'[5]Income + exchange rates'!$G$60</f>
        <v>1.5358263033549731</v>
      </c>
      <c r="I1645" s="394"/>
      <c r="J1645" s="392">
        <f t="shared" si="53"/>
        <v>0.30716526067099459</v>
      </c>
      <c r="K1645" s="392">
        <f t="shared" si="53"/>
        <v>0.30716526067099459</v>
      </c>
      <c r="L1645" s="392">
        <f t="shared" si="53"/>
        <v>0.30716526067099459</v>
      </c>
      <c r="M1645" s="392">
        <f t="shared" si="53"/>
        <v>0.30716526067099459</v>
      </c>
      <c r="N1645" s="392">
        <f t="shared" si="53"/>
        <v>0.30716526067099459</v>
      </c>
    </row>
    <row r="1646" spans="1:14" hidden="1" outlineLevel="2" collapsed="1" x14ac:dyDescent="0.35">
      <c r="A1646" s="388" t="s">
        <v>3868</v>
      </c>
      <c r="B1646" s="389">
        <v>43874</v>
      </c>
      <c r="C1646" s="390" t="s">
        <v>5495</v>
      </c>
      <c r="D1646" s="391" t="s">
        <v>5470</v>
      </c>
      <c r="E1646" s="391" t="s">
        <v>5419</v>
      </c>
      <c r="F1646" s="392">
        <v>3000</v>
      </c>
      <c r="G1646" s="393" t="s">
        <v>3800</v>
      </c>
      <c r="H1646" s="394">
        <f>F1646/'[5]Income + exchange rates'!$G$60</f>
        <v>1.15186972751623</v>
      </c>
      <c r="I1646" s="394"/>
      <c r="J1646" s="392">
        <f t="shared" si="53"/>
        <v>0.230373945503246</v>
      </c>
      <c r="K1646" s="392">
        <f t="shared" si="53"/>
        <v>0.230373945503246</v>
      </c>
      <c r="L1646" s="392">
        <f t="shared" si="53"/>
        <v>0.230373945503246</v>
      </c>
      <c r="M1646" s="392">
        <f t="shared" si="53"/>
        <v>0.230373945503246</v>
      </c>
      <c r="N1646" s="392">
        <f t="shared" si="53"/>
        <v>0.230373945503246</v>
      </c>
    </row>
    <row r="1647" spans="1:14" hidden="1" outlineLevel="2" x14ac:dyDescent="0.35">
      <c r="A1647" s="388" t="s">
        <v>3868</v>
      </c>
      <c r="B1647" s="389">
        <v>43875</v>
      </c>
      <c r="C1647" s="390" t="s">
        <v>5496</v>
      </c>
      <c r="D1647" s="391" t="s">
        <v>5497</v>
      </c>
      <c r="E1647" s="391" t="s">
        <v>5419</v>
      </c>
      <c r="F1647" s="392">
        <v>2000</v>
      </c>
      <c r="G1647" s="393" t="s">
        <v>3800</v>
      </c>
      <c r="H1647" s="394">
        <f>F1647/'[5]Income + exchange rates'!$G$60</f>
        <v>0.76791315167748653</v>
      </c>
      <c r="I1647" s="394"/>
      <c r="J1647" s="392">
        <f t="shared" ref="J1647:N1662" si="54">$H1647/5</f>
        <v>0.15358263033549729</v>
      </c>
      <c r="K1647" s="392">
        <f t="shared" si="54"/>
        <v>0.15358263033549729</v>
      </c>
      <c r="L1647" s="392">
        <f t="shared" si="54"/>
        <v>0.15358263033549729</v>
      </c>
      <c r="M1647" s="392">
        <f t="shared" si="54"/>
        <v>0.15358263033549729</v>
      </c>
      <c r="N1647" s="392">
        <f t="shared" si="54"/>
        <v>0.15358263033549729</v>
      </c>
    </row>
    <row r="1648" spans="1:14" hidden="1" outlineLevel="2" x14ac:dyDescent="0.35">
      <c r="A1648" s="388" t="s">
        <v>3868</v>
      </c>
      <c r="B1648" s="389">
        <v>43875</v>
      </c>
      <c r="C1648" s="390" t="s">
        <v>5498</v>
      </c>
      <c r="D1648" s="391" t="s">
        <v>5470</v>
      </c>
      <c r="E1648" s="391" t="s">
        <v>5419</v>
      </c>
      <c r="F1648" s="392">
        <v>2000</v>
      </c>
      <c r="G1648" s="393" t="s">
        <v>3800</v>
      </c>
      <c r="H1648" s="394">
        <f>F1648/'[5]Income + exchange rates'!$G$60</f>
        <v>0.76791315167748653</v>
      </c>
      <c r="I1648" s="394"/>
      <c r="J1648" s="392">
        <f t="shared" si="54"/>
        <v>0.15358263033549729</v>
      </c>
      <c r="K1648" s="392">
        <f t="shared" si="54"/>
        <v>0.15358263033549729</v>
      </c>
      <c r="L1648" s="392">
        <f t="shared" si="54"/>
        <v>0.15358263033549729</v>
      </c>
      <c r="M1648" s="392">
        <f t="shared" si="54"/>
        <v>0.15358263033549729</v>
      </c>
      <c r="N1648" s="392">
        <f t="shared" si="54"/>
        <v>0.15358263033549729</v>
      </c>
    </row>
    <row r="1649" spans="1:14" hidden="1" outlineLevel="2" collapsed="1" x14ac:dyDescent="0.35">
      <c r="A1649" s="388" t="s">
        <v>3868</v>
      </c>
      <c r="B1649" s="389">
        <v>43876</v>
      </c>
      <c r="C1649" s="390" t="s">
        <v>5499</v>
      </c>
      <c r="D1649" s="391" t="s">
        <v>5500</v>
      </c>
      <c r="E1649" s="391" t="s">
        <v>5419</v>
      </c>
      <c r="F1649" s="392">
        <v>5000</v>
      </c>
      <c r="G1649" s="393" t="s">
        <v>3800</v>
      </c>
      <c r="H1649" s="394">
        <f>F1649/'[5]Income + exchange rates'!$G$60</f>
        <v>1.9197828791937164</v>
      </c>
      <c r="I1649" s="394"/>
      <c r="J1649" s="392">
        <f t="shared" si="54"/>
        <v>0.38395657583874326</v>
      </c>
      <c r="K1649" s="392">
        <f t="shared" si="54"/>
        <v>0.38395657583874326</v>
      </c>
      <c r="L1649" s="392">
        <f t="shared" si="54"/>
        <v>0.38395657583874326</v>
      </c>
      <c r="M1649" s="392">
        <f t="shared" si="54"/>
        <v>0.38395657583874326</v>
      </c>
      <c r="N1649" s="392">
        <f t="shared" si="54"/>
        <v>0.38395657583874326</v>
      </c>
    </row>
    <row r="1650" spans="1:14" hidden="1" outlineLevel="2" x14ac:dyDescent="0.35">
      <c r="A1650" s="388" t="s">
        <v>3868</v>
      </c>
      <c r="B1650" s="389">
        <v>43876</v>
      </c>
      <c r="C1650" s="390" t="s">
        <v>5501</v>
      </c>
      <c r="D1650" s="391" t="s">
        <v>5502</v>
      </c>
      <c r="E1650" s="391" t="s">
        <v>5419</v>
      </c>
      <c r="F1650" s="392">
        <v>4000</v>
      </c>
      <c r="G1650" s="393" t="s">
        <v>3800</v>
      </c>
      <c r="H1650" s="394">
        <f>F1650/'[5]Income + exchange rates'!$G$60</f>
        <v>1.5358263033549731</v>
      </c>
      <c r="I1650" s="394"/>
      <c r="J1650" s="392">
        <f t="shared" si="54"/>
        <v>0.30716526067099459</v>
      </c>
      <c r="K1650" s="392">
        <f t="shared" si="54"/>
        <v>0.30716526067099459</v>
      </c>
      <c r="L1650" s="392">
        <f t="shared" si="54"/>
        <v>0.30716526067099459</v>
      </c>
      <c r="M1650" s="392">
        <f t="shared" si="54"/>
        <v>0.30716526067099459</v>
      </c>
      <c r="N1650" s="392">
        <f t="shared" si="54"/>
        <v>0.30716526067099459</v>
      </c>
    </row>
    <row r="1651" spans="1:14" hidden="1" outlineLevel="2" collapsed="1" x14ac:dyDescent="0.35">
      <c r="A1651" s="388" t="s">
        <v>3868</v>
      </c>
      <c r="B1651" s="389">
        <v>43877</v>
      </c>
      <c r="C1651" s="390" t="s">
        <v>5503</v>
      </c>
      <c r="D1651" s="391" t="s">
        <v>5504</v>
      </c>
      <c r="E1651" s="391" t="s">
        <v>5419</v>
      </c>
      <c r="F1651" s="392">
        <v>5000</v>
      </c>
      <c r="G1651" s="393" t="s">
        <v>3800</v>
      </c>
      <c r="H1651" s="394">
        <f>F1651/'[5]Income + exchange rates'!$G$60</f>
        <v>1.9197828791937164</v>
      </c>
      <c r="I1651" s="394"/>
      <c r="J1651" s="392">
        <f t="shared" si="54"/>
        <v>0.38395657583874326</v>
      </c>
      <c r="K1651" s="392">
        <f t="shared" si="54"/>
        <v>0.38395657583874326</v>
      </c>
      <c r="L1651" s="392">
        <f t="shared" si="54"/>
        <v>0.38395657583874326</v>
      </c>
      <c r="M1651" s="392">
        <f t="shared" si="54"/>
        <v>0.38395657583874326</v>
      </c>
      <c r="N1651" s="392">
        <f t="shared" si="54"/>
        <v>0.38395657583874326</v>
      </c>
    </row>
    <row r="1652" spans="1:14" hidden="1" outlineLevel="2" x14ac:dyDescent="0.35">
      <c r="A1652" s="388" t="s">
        <v>3868</v>
      </c>
      <c r="B1652" s="389">
        <v>43877</v>
      </c>
      <c r="C1652" s="390" t="s">
        <v>5505</v>
      </c>
      <c r="D1652" s="391" t="s">
        <v>5506</v>
      </c>
      <c r="E1652" s="391" t="s">
        <v>5419</v>
      </c>
      <c r="F1652" s="392">
        <v>4000</v>
      </c>
      <c r="G1652" s="393" t="s">
        <v>3800</v>
      </c>
      <c r="H1652" s="394">
        <f>F1652/'[5]Income + exchange rates'!$G$60</f>
        <v>1.5358263033549731</v>
      </c>
      <c r="I1652" s="394"/>
      <c r="J1652" s="392">
        <f t="shared" si="54"/>
        <v>0.30716526067099459</v>
      </c>
      <c r="K1652" s="392">
        <f t="shared" si="54"/>
        <v>0.30716526067099459</v>
      </c>
      <c r="L1652" s="392">
        <f t="shared" si="54"/>
        <v>0.30716526067099459</v>
      </c>
      <c r="M1652" s="392">
        <f t="shared" si="54"/>
        <v>0.30716526067099459</v>
      </c>
      <c r="N1652" s="392">
        <f t="shared" si="54"/>
        <v>0.30716526067099459</v>
      </c>
    </row>
    <row r="1653" spans="1:14" hidden="1" outlineLevel="2" collapsed="1" x14ac:dyDescent="0.35">
      <c r="A1653" s="388" t="s">
        <v>3868</v>
      </c>
      <c r="B1653" s="389">
        <v>43877</v>
      </c>
      <c r="C1653" s="390" t="s">
        <v>5507</v>
      </c>
      <c r="D1653" s="391" t="s">
        <v>5508</v>
      </c>
      <c r="E1653" s="391" t="s">
        <v>5509</v>
      </c>
      <c r="F1653" s="392">
        <v>85000</v>
      </c>
      <c r="G1653" s="393" t="s">
        <v>3800</v>
      </c>
      <c r="H1653" s="394">
        <f>F1653/'[5]Income + exchange rates'!$G$60</f>
        <v>32.636308946293177</v>
      </c>
      <c r="I1653" s="394"/>
      <c r="J1653" s="392">
        <f t="shared" si="54"/>
        <v>6.5272617892586355</v>
      </c>
      <c r="K1653" s="392">
        <f t="shared" si="54"/>
        <v>6.5272617892586355</v>
      </c>
      <c r="L1653" s="392">
        <f t="shared" si="54"/>
        <v>6.5272617892586355</v>
      </c>
      <c r="M1653" s="392">
        <f t="shared" si="54"/>
        <v>6.5272617892586355</v>
      </c>
      <c r="N1653" s="392">
        <f t="shared" si="54"/>
        <v>6.5272617892586355</v>
      </c>
    </row>
    <row r="1654" spans="1:14" hidden="1" outlineLevel="2" x14ac:dyDescent="0.35">
      <c r="A1654" s="388" t="s">
        <v>3868</v>
      </c>
      <c r="B1654" s="389">
        <v>43878</v>
      </c>
      <c r="C1654" s="390" t="s">
        <v>5510</v>
      </c>
      <c r="D1654" s="391" t="s">
        <v>5456</v>
      </c>
      <c r="E1654" s="391" t="s">
        <v>5419</v>
      </c>
      <c r="F1654" s="392">
        <v>2000</v>
      </c>
      <c r="G1654" s="393" t="s">
        <v>3800</v>
      </c>
      <c r="H1654" s="394">
        <f>F1654/'[5]Income + exchange rates'!$G$60</f>
        <v>0.76791315167748653</v>
      </c>
      <c r="I1654" s="394"/>
      <c r="J1654" s="392">
        <f t="shared" si="54"/>
        <v>0.15358263033549729</v>
      </c>
      <c r="K1654" s="392">
        <f t="shared" si="54"/>
        <v>0.15358263033549729</v>
      </c>
      <c r="L1654" s="392">
        <f t="shared" si="54"/>
        <v>0.15358263033549729</v>
      </c>
      <c r="M1654" s="392">
        <f t="shared" si="54"/>
        <v>0.15358263033549729</v>
      </c>
      <c r="N1654" s="392">
        <f t="shared" si="54"/>
        <v>0.15358263033549729</v>
      </c>
    </row>
    <row r="1655" spans="1:14" hidden="1" outlineLevel="2" x14ac:dyDescent="0.35">
      <c r="A1655" s="388" t="s">
        <v>3868</v>
      </c>
      <c r="B1655" s="389">
        <v>43879</v>
      </c>
      <c r="C1655" s="390" t="s">
        <v>5511</v>
      </c>
      <c r="D1655" s="391" t="s">
        <v>5456</v>
      </c>
      <c r="E1655" s="391" t="s">
        <v>5419</v>
      </c>
      <c r="F1655" s="392">
        <v>2000</v>
      </c>
      <c r="G1655" s="393" t="s">
        <v>3800</v>
      </c>
      <c r="H1655" s="394">
        <f>F1655/'[5]Income + exchange rates'!$G$60</f>
        <v>0.76791315167748653</v>
      </c>
      <c r="I1655" s="394"/>
      <c r="J1655" s="392">
        <f t="shared" si="54"/>
        <v>0.15358263033549729</v>
      </c>
      <c r="K1655" s="392">
        <f t="shared" si="54"/>
        <v>0.15358263033549729</v>
      </c>
      <c r="L1655" s="392">
        <f t="shared" si="54"/>
        <v>0.15358263033549729</v>
      </c>
      <c r="M1655" s="392">
        <f t="shared" si="54"/>
        <v>0.15358263033549729</v>
      </c>
      <c r="N1655" s="392">
        <f t="shared" si="54"/>
        <v>0.15358263033549729</v>
      </c>
    </row>
    <row r="1656" spans="1:14" hidden="1" outlineLevel="2" x14ac:dyDescent="0.35">
      <c r="A1656" s="388" t="s">
        <v>3868</v>
      </c>
      <c r="B1656" s="389">
        <v>43879</v>
      </c>
      <c r="C1656" s="390" t="s">
        <v>5512</v>
      </c>
      <c r="D1656" s="391" t="s">
        <v>5470</v>
      </c>
      <c r="E1656" s="391" t="s">
        <v>5419</v>
      </c>
      <c r="F1656" s="392">
        <v>2000</v>
      </c>
      <c r="G1656" s="393" t="s">
        <v>3800</v>
      </c>
      <c r="H1656" s="394">
        <f>F1656/'[5]Income + exchange rates'!$G$60</f>
        <v>0.76791315167748653</v>
      </c>
      <c r="I1656" s="394"/>
      <c r="J1656" s="392">
        <f t="shared" si="54"/>
        <v>0.15358263033549729</v>
      </c>
      <c r="K1656" s="392">
        <f t="shared" si="54"/>
        <v>0.15358263033549729</v>
      </c>
      <c r="L1656" s="392">
        <f t="shared" si="54"/>
        <v>0.15358263033549729</v>
      </c>
      <c r="M1656" s="392">
        <f t="shared" si="54"/>
        <v>0.15358263033549729</v>
      </c>
      <c r="N1656" s="392">
        <f t="shared" si="54"/>
        <v>0.15358263033549729</v>
      </c>
    </row>
    <row r="1657" spans="1:14" hidden="1" outlineLevel="2" x14ac:dyDescent="0.35">
      <c r="A1657" s="388" t="s">
        <v>3868</v>
      </c>
      <c r="B1657" s="389">
        <v>43881</v>
      </c>
      <c r="C1657" s="390" t="s">
        <v>5513</v>
      </c>
      <c r="D1657" s="391" t="s">
        <v>5456</v>
      </c>
      <c r="E1657" s="391" t="s">
        <v>5419</v>
      </c>
      <c r="F1657" s="392">
        <v>3000</v>
      </c>
      <c r="G1657" s="393" t="s">
        <v>3800</v>
      </c>
      <c r="H1657" s="394">
        <f>F1657/'[5]Income + exchange rates'!$G$60</f>
        <v>1.15186972751623</v>
      </c>
      <c r="I1657" s="394"/>
      <c r="J1657" s="392">
        <f t="shared" si="54"/>
        <v>0.230373945503246</v>
      </c>
      <c r="K1657" s="392">
        <f t="shared" si="54"/>
        <v>0.230373945503246</v>
      </c>
      <c r="L1657" s="392">
        <f t="shared" si="54"/>
        <v>0.230373945503246</v>
      </c>
      <c r="M1657" s="392">
        <f t="shared" si="54"/>
        <v>0.230373945503246</v>
      </c>
      <c r="N1657" s="392">
        <f t="shared" si="54"/>
        <v>0.230373945503246</v>
      </c>
    </row>
    <row r="1658" spans="1:14" hidden="1" outlineLevel="2" x14ac:dyDescent="0.35">
      <c r="A1658" s="388" t="s">
        <v>3868</v>
      </c>
      <c r="B1658" s="389">
        <v>43882</v>
      </c>
      <c r="C1658" s="390" t="s">
        <v>5514</v>
      </c>
      <c r="D1658" s="391" t="s">
        <v>5456</v>
      </c>
      <c r="E1658" s="391" t="s">
        <v>5419</v>
      </c>
      <c r="F1658" s="392">
        <v>3000</v>
      </c>
      <c r="G1658" s="393" t="s">
        <v>3800</v>
      </c>
      <c r="H1658" s="394">
        <f>F1658/'[5]Income + exchange rates'!$G$60</f>
        <v>1.15186972751623</v>
      </c>
      <c r="I1658" s="394"/>
      <c r="J1658" s="392">
        <f t="shared" si="54"/>
        <v>0.230373945503246</v>
      </c>
      <c r="K1658" s="392">
        <f t="shared" si="54"/>
        <v>0.230373945503246</v>
      </c>
      <c r="L1658" s="392">
        <f t="shared" si="54"/>
        <v>0.230373945503246</v>
      </c>
      <c r="M1658" s="392">
        <f t="shared" si="54"/>
        <v>0.230373945503246</v>
      </c>
      <c r="N1658" s="392">
        <f t="shared" si="54"/>
        <v>0.230373945503246</v>
      </c>
    </row>
    <row r="1659" spans="1:14" hidden="1" outlineLevel="2" x14ac:dyDescent="0.35">
      <c r="A1659" s="388" t="s">
        <v>3868</v>
      </c>
      <c r="B1659" s="389">
        <v>43882</v>
      </c>
      <c r="C1659" s="390" t="s">
        <v>5515</v>
      </c>
      <c r="D1659" s="391" t="s">
        <v>5470</v>
      </c>
      <c r="E1659" s="391" t="s">
        <v>5419</v>
      </c>
      <c r="F1659" s="392">
        <v>3000</v>
      </c>
      <c r="G1659" s="393" t="s">
        <v>3800</v>
      </c>
      <c r="H1659" s="394">
        <f>F1659/'[5]Income + exchange rates'!$G$60</f>
        <v>1.15186972751623</v>
      </c>
      <c r="I1659" s="394"/>
      <c r="J1659" s="392">
        <f t="shared" si="54"/>
        <v>0.230373945503246</v>
      </c>
      <c r="K1659" s="392">
        <f t="shared" si="54"/>
        <v>0.230373945503246</v>
      </c>
      <c r="L1659" s="392">
        <f t="shared" si="54"/>
        <v>0.230373945503246</v>
      </c>
      <c r="M1659" s="392">
        <f t="shared" si="54"/>
        <v>0.230373945503246</v>
      </c>
      <c r="N1659" s="392">
        <f t="shared" si="54"/>
        <v>0.230373945503246</v>
      </c>
    </row>
    <row r="1660" spans="1:14" hidden="1" outlineLevel="2" x14ac:dyDescent="0.35">
      <c r="A1660" s="388" t="s">
        <v>3868</v>
      </c>
      <c r="B1660" s="389">
        <v>43882</v>
      </c>
      <c r="C1660" s="390" t="s">
        <v>5516</v>
      </c>
      <c r="D1660" s="391" t="s">
        <v>5484</v>
      </c>
      <c r="E1660" s="391" t="s">
        <v>5419</v>
      </c>
      <c r="F1660" s="392">
        <v>5000</v>
      </c>
      <c r="G1660" s="393" t="s">
        <v>3800</v>
      </c>
      <c r="H1660" s="394">
        <f>F1660/'[5]Income + exchange rates'!$G$60</f>
        <v>1.9197828791937164</v>
      </c>
      <c r="I1660" s="394"/>
      <c r="J1660" s="392">
        <f t="shared" si="54"/>
        <v>0.38395657583874326</v>
      </c>
      <c r="K1660" s="392">
        <f t="shared" si="54"/>
        <v>0.38395657583874326</v>
      </c>
      <c r="L1660" s="392">
        <f t="shared" si="54"/>
        <v>0.38395657583874326</v>
      </c>
      <c r="M1660" s="392">
        <f t="shared" si="54"/>
        <v>0.38395657583874326</v>
      </c>
      <c r="N1660" s="392">
        <f t="shared" si="54"/>
        <v>0.38395657583874326</v>
      </c>
    </row>
    <row r="1661" spans="1:14" hidden="1" outlineLevel="2" x14ac:dyDescent="0.35">
      <c r="A1661" s="388" t="s">
        <v>3868</v>
      </c>
      <c r="B1661" s="389">
        <v>43882</v>
      </c>
      <c r="C1661" s="390" t="s">
        <v>5517</v>
      </c>
      <c r="D1661" s="391" t="s">
        <v>5454</v>
      </c>
      <c r="E1661" s="391" t="s">
        <v>5419</v>
      </c>
      <c r="F1661" s="392">
        <v>5000</v>
      </c>
      <c r="G1661" s="393" t="s">
        <v>3800</v>
      </c>
      <c r="H1661" s="394">
        <f>F1661/'[5]Income + exchange rates'!$G$60</f>
        <v>1.9197828791937164</v>
      </c>
      <c r="I1661" s="394"/>
      <c r="J1661" s="392">
        <f t="shared" si="54"/>
        <v>0.38395657583874326</v>
      </c>
      <c r="K1661" s="392">
        <f t="shared" si="54"/>
        <v>0.38395657583874326</v>
      </c>
      <c r="L1661" s="392">
        <f t="shared" si="54"/>
        <v>0.38395657583874326</v>
      </c>
      <c r="M1661" s="392">
        <f t="shared" si="54"/>
        <v>0.38395657583874326</v>
      </c>
      <c r="N1661" s="392">
        <f t="shared" si="54"/>
        <v>0.38395657583874326</v>
      </c>
    </row>
    <row r="1662" spans="1:14" hidden="1" outlineLevel="2" x14ac:dyDescent="0.35">
      <c r="A1662" s="388" t="s">
        <v>3868</v>
      </c>
      <c r="B1662" s="389">
        <v>43882</v>
      </c>
      <c r="C1662" s="390" t="s">
        <v>5518</v>
      </c>
      <c r="D1662" s="391" t="s">
        <v>5519</v>
      </c>
      <c r="E1662" s="391" t="s">
        <v>5419</v>
      </c>
      <c r="F1662" s="392">
        <v>7000</v>
      </c>
      <c r="G1662" s="393" t="s">
        <v>3800</v>
      </c>
      <c r="H1662" s="394">
        <f>F1662/'[5]Income + exchange rates'!$G$60</f>
        <v>2.6876960308712032</v>
      </c>
      <c r="I1662" s="394"/>
      <c r="J1662" s="392">
        <f t="shared" si="54"/>
        <v>0.53753920617424067</v>
      </c>
      <c r="K1662" s="392">
        <f t="shared" si="54"/>
        <v>0.53753920617424067</v>
      </c>
      <c r="L1662" s="392">
        <f t="shared" si="54"/>
        <v>0.53753920617424067</v>
      </c>
      <c r="M1662" s="392">
        <f t="shared" si="54"/>
        <v>0.53753920617424067</v>
      </c>
      <c r="N1662" s="392">
        <f t="shared" si="54"/>
        <v>0.53753920617424067</v>
      </c>
    </row>
    <row r="1663" spans="1:14" hidden="1" outlineLevel="2" x14ac:dyDescent="0.35">
      <c r="A1663" s="388" t="s">
        <v>3868</v>
      </c>
      <c r="B1663" s="389">
        <v>43883</v>
      </c>
      <c r="C1663" s="390" t="s">
        <v>5520</v>
      </c>
      <c r="D1663" s="391" t="s">
        <v>5445</v>
      </c>
      <c r="E1663" s="391" t="s">
        <v>5419</v>
      </c>
      <c r="F1663" s="392">
        <v>7000</v>
      </c>
      <c r="G1663" s="393" t="s">
        <v>3800</v>
      </c>
      <c r="H1663" s="394">
        <f>F1663/'[5]Income + exchange rates'!$G$60</f>
        <v>2.6876960308712032</v>
      </c>
      <c r="I1663" s="394"/>
      <c r="J1663" s="392">
        <f t="shared" ref="J1663:N1678" si="55">$H1663/5</f>
        <v>0.53753920617424067</v>
      </c>
      <c r="K1663" s="392">
        <f t="shared" si="55"/>
        <v>0.53753920617424067</v>
      </c>
      <c r="L1663" s="392">
        <f t="shared" si="55"/>
        <v>0.53753920617424067</v>
      </c>
      <c r="M1663" s="392">
        <f t="shared" si="55"/>
        <v>0.53753920617424067</v>
      </c>
      <c r="N1663" s="392">
        <f t="shared" si="55"/>
        <v>0.53753920617424067</v>
      </c>
    </row>
    <row r="1664" spans="1:14" hidden="1" outlineLevel="2" x14ac:dyDescent="0.35">
      <c r="A1664" s="388" t="s">
        <v>3868</v>
      </c>
      <c r="B1664" s="389">
        <v>43885</v>
      </c>
      <c r="C1664" s="390" t="s">
        <v>5521</v>
      </c>
      <c r="D1664" s="391" t="s">
        <v>5456</v>
      </c>
      <c r="E1664" s="391" t="s">
        <v>5419</v>
      </c>
      <c r="F1664" s="392">
        <v>3000</v>
      </c>
      <c r="G1664" s="393" t="s">
        <v>3800</v>
      </c>
      <c r="H1664" s="394">
        <f>F1664/'[5]Income + exchange rates'!$G$60</f>
        <v>1.15186972751623</v>
      </c>
      <c r="I1664" s="394"/>
      <c r="J1664" s="392">
        <f t="shared" si="55"/>
        <v>0.230373945503246</v>
      </c>
      <c r="K1664" s="392">
        <f t="shared" si="55"/>
        <v>0.230373945503246</v>
      </c>
      <c r="L1664" s="392">
        <f t="shared" si="55"/>
        <v>0.230373945503246</v>
      </c>
      <c r="M1664" s="392">
        <f t="shared" si="55"/>
        <v>0.230373945503246</v>
      </c>
      <c r="N1664" s="392">
        <f t="shared" si="55"/>
        <v>0.230373945503246</v>
      </c>
    </row>
    <row r="1665" spans="1:14" hidden="1" outlineLevel="2" collapsed="1" x14ac:dyDescent="0.35">
      <c r="A1665" s="388" t="s">
        <v>3868</v>
      </c>
      <c r="B1665" s="389">
        <v>43886</v>
      </c>
      <c r="C1665" s="390" t="s">
        <v>5522</v>
      </c>
      <c r="D1665" s="391" t="s">
        <v>5456</v>
      </c>
      <c r="E1665" s="391" t="s">
        <v>5419</v>
      </c>
      <c r="F1665" s="392">
        <v>3000</v>
      </c>
      <c r="G1665" s="393" t="s">
        <v>3800</v>
      </c>
      <c r="H1665" s="394">
        <f>F1665/'[5]Income + exchange rates'!$G$60</f>
        <v>1.15186972751623</v>
      </c>
      <c r="I1665" s="394"/>
      <c r="J1665" s="392">
        <f t="shared" si="55"/>
        <v>0.230373945503246</v>
      </c>
      <c r="K1665" s="392">
        <f t="shared" si="55"/>
        <v>0.230373945503246</v>
      </c>
      <c r="L1665" s="392">
        <f t="shared" si="55"/>
        <v>0.230373945503246</v>
      </c>
      <c r="M1665" s="392">
        <f t="shared" si="55"/>
        <v>0.230373945503246</v>
      </c>
      <c r="N1665" s="392">
        <f t="shared" si="55"/>
        <v>0.230373945503246</v>
      </c>
    </row>
    <row r="1666" spans="1:14" hidden="1" outlineLevel="2" x14ac:dyDescent="0.35">
      <c r="A1666" s="388" t="s">
        <v>3868</v>
      </c>
      <c r="B1666" s="389">
        <v>43886</v>
      </c>
      <c r="C1666" s="390" t="s">
        <v>5523</v>
      </c>
      <c r="D1666" s="391" t="s">
        <v>5470</v>
      </c>
      <c r="E1666" s="391" t="s">
        <v>5419</v>
      </c>
      <c r="F1666" s="392">
        <v>3000</v>
      </c>
      <c r="G1666" s="393" t="s">
        <v>3800</v>
      </c>
      <c r="H1666" s="394">
        <f>F1666/'[5]Income + exchange rates'!$G$60</f>
        <v>1.15186972751623</v>
      </c>
      <c r="I1666" s="394"/>
      <c r="J1666" s="392">
        <f t="shared" si="55"/>
        <v>0.230373945503246</v>
      </c>
      <c r="K1666" s="392">
        <f t="shared" si="55"/>
        <v>0.230373945503246</v>
      </c>
      <c r="L1666" s="392">
        <f t="shared" si="55"/>
        <v>0.230373945503246</v>
      </c>
      <c r="M1666" s="392">
        <f t="shared" si="55"/>
        <v>0.230373945503246</v>
      </c>
      <c r="N1666" s="392">
        <f t="shared" si="55"/>
        <v>0.230373945503246</v>
      </c>
    </row>
    <row r="1667" spans="1:14" hidden="1" outlineLevel="2" x14ac:dyDescent="0.35">
      <c r="A1667" s="388" t="s">
        <v>3868</v>
      </c>
      <c r="B1667" s="389">
        <v>43886</v>
      </c>
      <c r="C1667" s="390" t="s">
        <v>5524</v>
      </c>
      <c r="D1667" s="391" t="s">
        <v>5470</v>
      </c>
      <c r="E1667" s="391" t="s">
        <v>5419</v>
      </c>
      <c r="F1667" s="392">
        <v>3000</v>
      </c>
      <c r="G1667" s="393" t="s">
        <v>3800</v>
      </c>
      <c r="H1667" s="394">
        <f>F1667/'[5]Income + exchange rates'!$G$60</f>
        <v>1.15186972751623</v>
      </c>
      <c r="I1667" s="394"/>
      <c r="J1667" s="392">
        <f t="shared" si="55"/>
        <v>0.230373945503246</v>
      </c>
      <c r="K1667" s="392">
        <f t="shared" si="55"/>
        <v>0.230373945503246</v>
      </c>
      <c r="L1667" s="392">
        <f t="shared" si="55"/>
        <v>0.230373945503246</v>
      </c>
      <c r="M1667" s="392">
        <f t="shared" si="55"/>
        <v>0.230373945503246</v>
      </c>
      <c r="N1667" s="392">
        <f t="shared" si="55"/>
        <v>0.230373945503246</v>
      </c>
    </row>
    <row r="1668" spans="1:14" hidden="1" outlineLevel="2" x14ac:dyDescent="0.35">
      <c r="A1668" s="388" t="s">
        <v>3868</v>
      </c>
      <c r="B1668" s="389">
        <v>43887</v>
      </c>
      <c r="C1668" s="390" t="s">
        <v>5525</v>
      </c>
      <c r="D1668" s="391" t="s">
        <v>5484</v>
      </c>
      <c r="E1668" s="391" t="s">
        <v>5419</v>
      </c>
      <c r="F1668" s="392">
        <v>5000</v>
      </c>
      <c r="G1668" s="393" t="s">
        <v>3800</v>
      </c>
      <c r="H1668" s="394">
        <f>F1668/'[5]Income + exchange rates'!$G$60</f>
        <v>1.9197828791937164</v>
      </c>
      <c r="I1668" s="394"/>
      <c r="J1668" s="392">
        <f t="shared" si="55"/>
        <v>0.38395657583874326</v>
      </c>
      <c r="K1668" s="392">
        <f t="shared" si="55"/>
        <v>0.38395657583874326</v>
      </c>
      <c r="L1668" s="392">
        <f t="shared" si="55"/>
        <v>0.38395657583874326</v>
      </c>
      <c r="M1668" s="392">
        <f t="shared" si="55"/>
        <v>0.38395657583874326</v>
      </c>
      <c r="N1668" s="392">
        <f t="shared" si="55"/>
        <v>0.38395657583874326</v>
      </c>
    </row>
    <row r="1669" spans="1:14" hidden="1" outlineLevel="2" x14ac:dyDescent="0.35">
      <c r="A1669" s="388" t="s">
        <v>3868</v>
      </c>
      <c r="B1669" s="389">
        <v>43887</v>
      </c>
      <c r="C1669" s="390" t="s">
        <v>5526</v>
      </c>
      <c r="D1669" s="391" t="s">
        <v>5454</v>
      </c>
      <c r="E1669" s="391" t="s">
        <v>5419</v>
      </c>
      <c r="F1669" s="392">
        <v>6000</v>
      </c>
      <c r="G1669" s="393" t="s">
        <v>3800</v>
      </c>
      <c r="H1669" s="394">
        <f>F1669/'[5]Income + exchange rates'!$G$60</f>
        <v>2.3037394550324599</v>
      </c>
      <c r="I1669" s="394"/>
      <c r="J1669" s="392">
        <f t="shared" si="55"/>
        <v>0.46074789100649199</v>
      </c>
      <c r="K1669" s="392">
        <f t="shared" si="55"/>
        <v>0.46074789100649199</v>
      </c>
      <c r="L1669" s="392">
        <f t="shared" si="55"/>
        <v>0.46074789100649199</v>
      </c>
      <c r="M1669" s="392">
        <f t="shared" si="55"/>
        <v>0.46074789100649199</v>
      </c>
      <c r="N1669" s="392">
        <f t="shared" si="55"/>
        <v>0.46074789100649199</v>
      </c>
    </row>
    <row r="1670" spans="1:14" hidden="1" outlineLevel="2" x14ac:dyDescent="0.35">
      <c r="A1670" s="388" t="s">
        <v>3868</v>
      </c>
      <c r="B1670" s="389">
        <v>43887</v>
      </c>
      <c r="C1670" s="390" t="s">
        <v>5527</v>
      </c>
      <c r="D1670" s="391" t="s">
        <v>5528</v>
      </c>
      <c r="E1670" s="391" t="s">
        <v>5529</v>
      </c>
      <c r="F1670" s="392">
        <v>16000</v>
      </c>
      <c r="G1670" s="393" t="s">
        <v>3800</v>
      </c>
      <c r="H1670" s="394">
        <f>F1670/'[5]Income + exchange rates'!$G$60</f>
        <v>6.1433052134198922</v>
      </c>
      <c r="I1670" s="394"/>
      <c r="J1670" s="392">
        <f t="shared" si="55"/>
        <v>1.2286610426839784</v>
      </c>
      <c r="K1670" s="392">
        <f t="shared" si="55"/>
        <v>1.2286610426839784</v>
      </c>
      <c r="L1670" s="392">
        <f t="shared" si="55"/>
        <v>1.2286610426839784</v>
      </c>
      <c r="M1670" s="392">
        <f t="shared" si="55"/>
        <v>1.2286610426839784</v>
      </c>
      <c r="N1670" s="392">
        <f t="shared" si="55"/>
        <v>1.2286610426839784</v>
      </c>
    </row>
    <row r="1671" spans="1:14" hidden="1" outlineLevel="2" x14ac:dyDescent="0.35">
      <c r="A1671" s="388" t="s">
        <v>3868</v>
      </c>
      <c r="B1671" s="389">
        <v>43887</v>
      </c>
      <c r="C1671" s="390" t="s">
        <v>5530</v>
      </c>
      <c r="D1671" s="391" t="s">
        <v>5531</v>
      </c>
      <c r="E1671" s="391" t="s">
        <v>5532</v>
      </c>
      <c r="F1671" s="392">
        <v>15300</v>
      </c>
      <c r="G1671" s="393" t="s">
        <v>3800</v>
      </c>
      <c r="H1671" s="394">
        <f>F1671/'[5]Income + exchange rates'!$G$60</f>
        <v>5.8745356103327726</v>
      </c>
      <c r="I1671" s="394"/>
      <c r="J1671" s="392">
        <f t="shared" si="55"/>
        <v>1.1749071220665546</v>
      </c>
      <c r="K1671" s="392">
        <f t="shared" si="55"/>
        <v>1.1749071220665546</v>
      </c>
      <c r="L1671" s="392">
        <f t="shared" si="55"/>
        <v>1.1749071220665546</v>
      </c>
      <c r="M1671" s="392">
        <f t="shared" si="55"/>
        <v>1.1749071220665546</v>
      </c>
      <c r="N1671" s="392">
        <f t="shared" si="55"/>
        <v>1.1749071220665546</v>
      </c>
    </row>
    <row r="1672" spans="1:14" hidden="1" outlineLevel="2" collapsed="1" x14ac:dyDescent="0.35">
      <c r="A1672" s="388" t="s">
        <v>3868</v>
      </c>
      <c r="B1672" s="389">
        <v>43888</v>
      </c>
      <c r="C1672" s="390" t="s">
        <v>5533</v>
      </c>
      <c r="D1672" s="391" t="s">
        <v>5456</v>
      </c>
      <c r="E1672" s="391" t="s">
        <v>5419</v>
      </c>
      <c r="F1672" s="392">
        <v>5000</v>
      </c>
      <c r="G1672" s="393" t="s">
        <v>3800</v>
      </c>
      <c r="H1672" s="394">
        <f>F1672/'[5]Income + exchange rates'!$G$60</f>
        <v>1.9197828791937164</v>
      </c>
      <c r="I1672" s="394"/>
      <c r="J1672" s="392">
        <f t="shared" si="55"/>
        <v>0.38395657583874326</v>
      </c>
      <c r="K1672" s="392">
        <f t="shared" si="55"/>
        <v>0.38395657583874326</v>
      </c>
      <c r="L1672" s="392">
        <f t="shared" si="55"/>
        <v>0.38395657583874326</v>
      </c>
      <c r="M1672" s="392">
        <f t="shared" si="55"/>
        <v>0.38395657583874326</v>
      </c>
      <c r="N1672" s="392">
        <f t="shared" si="55"/>
        <v>0.38395657583874326</v>
      </c>
    </row>
    <row r="1673" spans="1:14" hidden="1" outlineLevel="2" x14ac:dyDescent="0.35">
      <c r="A1673" s="388" t="s">
        <v>3868</v>
      </c>
      <c r="B1673" s="389">
        <v>43888</v>
      </c>
      <c r="C1673" s="390" t="s">
        <v>5534</v>
      </c>
      <c r="D1673" s="391" t="s">
        <v>5470</v>
      </c>
      <c r="E1673" s="391" t="s">
        <v>5419</v>
      </c>
      <c r="F1673" s="392">
        <v>3000</v>
      </c>
      <c r="G1673" s="393" t="s">
        <v>3800</v>
      </c>
      <c r="H1673" s="394">
        <f>F1673/'[5]Income + exchange rates'!$G$60</f>
        <v>1.15186972751623</v>
      </c>
      <c r="I1673" s="394"/>
      <c r="J1673" s="392">
        <f t="shared" si="55"/>
        <v>0.230373945503246</v>
      </c>
      <c r="K1673" s="392">
        <f t="shared" si="55"/>
        <v>0.230373945503246</v>
      </c>
      <c r="L1673" s="392">
        <f t="shared" si="55"/>
        <v>0.230373945503246</v>
      </c>
      <c r="M1673" s="392">
        <f t="shared" si="55"/>
        <v>0.230373945503246</v>
      </c>
      <c r="N1673" s="392">
        <f t="shared" si="55"/>
        <v>0.230373945503246</v>
      </c>
    </row>
    <row r="1674" spans="1:14" hidden="1" outlineLevel="2" x14ac:dyDescent="0.35">
      <c r="A1674" s="388" t="s">
        <v>3868</v>
      </c>
      <c r="B1674" s="389">
        <v>43889</v>
      </c>
      <c r="C1674" s="390" t="s">
        <v>5535</v>
      </c>
      <c r="D1674" s="391" t="s">
        <v>5519</v>
      </c>
      <c r="E1674" s="391" t="s">
        <v>5419</v>
      </c>
      <c r="F1674" s="392">
        <v>8000</v>
      </c>
      <c r="G1674" s="393" t="s">
        <v>3800</v>
      </c>
      <c r="H1674" s="394">
        <f>F1674/'[5]Income + exchange rates'!$G$60</f>
        <v>3.0716526067099461</v>
      </c>
      <c r="I1674" s="394"/>
      <c r="J1674" s="392">
        <f t="shared" si="55"/>
        <v>0.61433052134198918</v>
      </c>
      <c r="K1674" s="392">
        <f t="shared" si="55"/>
        <v>0.61433052134198918</v>
      </c>
      <c r="L1674" s="392">
        <f t="shared" si="55"/>
        <v>0.61433052134198918</v>
      </c>
      <c r="M1674" s="392">
        <f t="shared" si="55"/>
        <v>0.61433052134198918</v>
      </c>
      <c r="N1674" s="392">
        <f t="shared" si="55"/>
        <v>0.61433052134198918</v>
      </c>
    </row>
    <row r="1675" spans="1:14" hidden="1" outlineLevel="2" x14ac:dyDescent="0.35">
      <c r="A1675" s="388" t="s">
        <v>3868</v>
      </c>
      <c r="B1675" s="389">
        <v>43889</v>
      </c>
      <c r="C1675" s="390" t="s">
        <v>5536</v>
      </c>
      <c r="D1675" s="391" t="s">
        <v>5445</v>
      </c>
      <c r="E1675" s="391" t="s">
        <v>5419</v>
      </c>
      <c r="F1675" s="392">
        <v>10000</v>
      </c>
      <c r="G1675" s="393" t="s">
        <v>3800</v>
      </c>
      <c r="H1675" s="394">
        <f>F1675/'[5]Income + exchange rates'!$G$60</f>
        <v>3.8395657583874327</v>
      </c>
      <c r="I1675" s="394"/>
      <c r="J1675" s="392">
        <f t="shared" si="55"/>
        <v>0.76791315167748653</v>
      </c>
      <c r="K1675" s="392">
        <f t="shared" si="55"/>
        <v>0.76791315167748653</v>
      </c>
      <c r="L1675" s="392">
        <f t="shared" si="55"/>
        <v>0.76791315167748653</v>
      </c>
      <c r="M1675" s="392">
        <f t="shared" si="55"/>
        <v>0.76791315167748653</v>
      </c>
      <c r="N1675" s="392">
        <f t="shared" si="55"/>
        <v>0.76791315167748653</v>
      </c>
    </row>
    <row r="1676" spans="1:14" hidden="1" outlineLevel="2" collapsed="1" x14ac:dyDescent="0.35">
      <c r="A1676" s="388" t="s">
        <v>3868</v>
      </c>
      <c r="B1676" s="389">
        <v>43891</v>
      </c>
      <c r="C1676" s="390" t="s">
        <v>5537</v>
      </c>
      <c r="D1676" s="391" t="s">
        <v>5538</v>
      </c>
      <c r="E1676" s="391" t="s">
        <v>5419</v>
      </c>
      <c r="F1676" s="392">
        <v>5000</v>
      </c>
      <c r="G1676" s="393" t="s">
        <v>3800</v>
      </c>
      <c r="H1676" s="394">
        <f>F1676/'[5]Income + exchange rates'!$G$60</f>
        <v>1.9197828791937164</v>
      </c>
      <c r="I1676" s="394"/>
      <c r="J1676" s="392">
        <f t="shared" si="55"/>
        <v>0.38395657583874326</v>
      </c>
      <c r="K1676" s="392">
        <f t="shared" si="55"/>
        <v>0.38395657583874326</v>
      </c>
      <c r="L1676" s="392">
        <f t="shared" si="55"/>
        <v>0.38395657583874326</v>
      </c>
      <c r="M1676" s="392">
        <f t="shared" si="55"/>
        <v>0.38395657583874326</v>
      </c>
      <c r="N1676" s="392">
        <f t="shared" si="55"/>
        <v>0.38395657583874326</v>
      </c>
    </row>
    <row r="1677" spans="1:14" hidden="1" outlineLevel="2" x14ac:dyDescent="0.35">
      <c r="A1677" s="388" t="s">
        <v>3868</v>
      </c>
      <c r="B1677" s="389">
        <v>43891</v>
      </c>
      <c r="C1677" s="390" t="s">
        <v>5539</v>
      </c>
      <c r="D1677" s="391" t="s">
        <v>5540</v>
      </c>
      <c r="E1677" s="391" t="s">
        <v>5419</v>
      </c>
      <c r="F1677" s="392">
        <v>7000</v>
      </c>
      <c r="G1677" s="393" t="s">
        <v>3800</v>
      </c>
      <c r="H1677" s="394">
        <f>F1677/'[5]Income + exchange rates'!$G$60</f>
        <v>2.6876960308712032</v>
      </c>
      <c r="I1677" s="394"/>
      <c r="J1677" s="392">
        <f t="shared" si="55"/>
        <v>0.53753920617424067</v>
      </c>
      <c r="K1677" s="392">
        <f t="shared" si="55"/>
        <v>0.53753920617424067</v>
      </c>
      <c r="L1677" s="392">
        <f t="shared" si="55"/>
        <v>0.53753920617424067</v>
      </c>
      <c r="M1677" s="392">
        <f t="shared" si="55"/>
        <v>0.53753920617424067</v>
      </c>
      <c r="N1677" s="392">
        <f t="shared" si="55"/>
        <v>0.53753920617424067</v>
      </c>
    </row>
    <row r="1678" spans="1:14" hidden="1" outlineLevel="2" x14ac:dyDescent="0.35">
      <c r="A1678" s="388" t="s">
        <v>3868</v>
      </c>
      <c r="B1678" s="389">
        <v>43891</v>
      </c>
      <c r="C1678" s="390" t="s">
        <v>5541</v>
      </c>
      <c r="D1678" s="391" t="s">
        <v>5542</v>
      </c>
      <c r="E1678" s="391" t="s">
        <v>5419</v>
      </c>
      <c r="F1678" s="392">
        <v>3000</v>
      </c>
      <c r="G1678" s="393" t="s">
        <v>3800</v>
      </c>
      <c r="H1678" s="394">
        <f>F1678/'[5]Income + exchange rates'!$G$60</f>
        <v>1.15186972751623</v>
      </c>
      <c r="I1678" s="394"/>
      <c r="J1678" s="392">
        <f t="shared" si="55"/>
        <v>0.230373945503246</v>
      </c>
      <c r="K1678" s="392">
        <f t="shared" si="55"/>
        <v>0.230373945503246</v>
      </c>
      <c r="L1678" s="392">
        <f t="shared" si="55"/>
        <v>0.230373945503246</v>
      </c>
      <c r="M1678" s="392">
        <f t="shared" si="55"/>
        <v>0.230373945503246</v>
      </c>
      <c r="N1678" s="392">
        <f t="shared" si="55"/>
        <v>0.230373945503246</v>
      </c>
    </row>
    <row r="1679" spans="1:14" hidden="1" outlineLevel="2" x14ac:dyDescent="0.35">
      <c r="A1679" s="388" t="s">
        <v>3868</v>
      </c>
      <c r="B1679" s="389">
        <v>43891</v>
      </c>
      <c r="C1679" s="390" t="s">
        <v>5543</v>
      </c>
      <c r="D1679" s="391" t="s">
        <v>5544</v>
      </c>
      <c r="E1679" s="391" t="s">
        <v>5419</v>
      </c>
      <c r="F1679" s="392">
        <v>10000</v>
      </c>
      <c r="G1679" s="393" t="s">
        <v>3800</v>
      </c>
      <c r="H1679" s="394">
        <f>F1679/'[5]Income + exchange rates'!$G$60</f>
        <v>3.8395657583874327</v>
      </c>
      <c r="I1679" s="394"/>
      <c r="J1679" s="392">
        <f t="shared" ref="J1679:N1694" si="56">$H1679/5</f>
        <v>0.76791315167748653</v>
      </c>
      <c r="K1679" s="392">
        <f t="shared" si="56"/>
        <v>0.76791315167748653</v>
      </c>
      <c r="L1679" s="392">
        <f t="shared" si="56"/>
        <v>0.76791315167748653</v>
      </c>
      <c r="M1679" s="392">
        <f t="shared" si="56"/>
        <v>0.76791315167748653</v>
      </c>
      <c r="N1679" s="392">
        <f t="shared" si="56"/>
        <v>0.76791315167748653</v>
      </c>
    </row>
    <row r="1680" spans="1:14" hidden="1" outlineLevel="2" x14ac:dyDescent="0.35">
      <c r="A1680" s="388" t="s">
        <v>3868</v>
      </c>
      <c r="B1680" s="389">
        <v>43892</v>
      </c>
      <c r="C1680" s="390" t="s">
        <v>5545</v>
      </c>
      <c r="D1680" s="391" t="s">
        <v>5546</v>
      </c>
      <c r="E1680" s="391" t="s">
        <v>5419</v>
      </c>
      <c r="F1680" s="392">
        <v>3000</v>
      </c>
      <c r="G1680" s="393" t="s">
        <v>3800</v>
      </c>
      <c r="H1680" s="394">
        <f>F1680/'[5]Income + exchange rates'!$G$60</f>
        <v>1.15186972751623</v>
      </c>
      <c r="I1680" s="394"/>
      <c r="J1680" s="392">
        <f t="shared" si="56"/>
        <v>0.230373945503246</v>
      </c>
      <c r="K1680" s="392">
        <f t="shared" si="56"/>
        <v>0.230373945503246</v>
      </c>
      <c r="L1680" s="392">
        <f t="shared" si="56"/>
        <v>0.230373945503246</v>
      </c>
      <c r="M1680" s="392">
        <f t="shared" si="56"/>
        <v>0.230373945503246</v>
      </c>
      <c r="N1680" s="392">
        <f t="shared" si="56"/>
        <v>0.230373945503246</v>
      </c>
    </row>
    <row r="1681" spans="1:14" hidden="1" outlineLevel="2" x14ac:dyDescent="0.35">
      <c r="A1681" s="388" t="s">
        <v>3868</v>
      </c>
      <c r="B1681" s="389">
        <v>43892</v>
      </c>
      <c r="C1681" s="390" t="s">
        <v>5547</v>
      </c>
      <c r="D1681" s="391" t="s">
        <v>5548</v>
      </c>
      <c r="E1681" s="391" t="s">
        <v>5419</v>
      </c>
      <c r="F1681" s="392">
        <v>8000</v>
      </c>
      <c r="G1681" s="393" t="s">
        <v>3800</v>
      </c>
      <c r="H1681" s="394">
        <f>F1681/'[5]Income + exchange rates'!$G$60</f>
        <v>3.0716526067099461</v>
      </c>
      <c r="I1681" s="394"/>
      <c r="J1681" s="392">
        <f t="shared" si="56"/>
        <v>0.61433052134198918</v>
      </c>
      <c r="K1681" s="392">
        <f t="shared" si="56"/>
        <v>0.61433052134198918</v>
      </c>
      <c r="L1681" s="392">
        <f t="shared" si="56"/>
        <v>0.61433052134198918</v>
      </c>
      <c r="M1681" s="392">
        <f t="shared" si="56"/>
        <v>0.61433052134198918</v>
      </c>
      <c r="N1681" s="392">
        <f t="shared" si="56"/>
        <v>0.61433052134198918</v>
      </c>
    </row>
    <row r="1682" spans="1:14" hidden="1" outlineLevel="2" x14ac:dyDescent="0.35">
      <c r="A1682" s="388" t="s">
        <v>3868</v>
      </c>
      <c r="B1682" s="389">
        <v>43892</v>
      </c>
      <c r="C1682" s="390" t="s">
        <v>5549</v>
      </c>
      <c r="D1682" s="391" t="s">
        <v>5550</v>
      </c>
      <c r="E1682" s="391" t="s">
        <v>5419</v>
      </c>
      <c r="F1682" s="392">
        <v>4000</v>
      </c>
      <c r="G1682" s="393" t="s">
        <v>3800</v>
      </c>
      <c r="H1682" s="394">
        <f>F1682/'[5]Income + exchange rates'!$G$60</f>
        <v>1.5358263033549731</v>
      </c>
      <c r="I1682" s="394"/>
      <c r="J1682" s="392">
        <f t="shared" si="56"/>
        <v>0.30716526067099459</v>
      </c>
      <c r="K1682" s="392">
        <f t="shared" si="56"/>
        <v>0.30716526067099459</v>
      </c>
      <c r="L1682" s="392">
        <f t="shared" si="56"/>
        <v>0.30716526067099459</v>
      </c>
      <c r="M1682" s="392">
        <f t="shared" si="56"/>
        <v>0.30716526067099459</v>
      </c>
      <c r="N1682" s="392">
        <f t="shared" si="56"/>
        <v>0.30716526067099459</v>
      </c>
    </row>
    <row r="1683" spans="1:14" hidden="1" outlineLevel="2" x14ac:dyDescent="0.35">
      <c r="A1683" s="388" t="s">
        <v>3868</v>
      </c>
      <c r="B1683" s="389">
        <v>43894</v>
      </c>
      <c r="C1683" s="390" t="s">
        <v>5551</v>
      </c>
      <c r="D1683" s="391" t="s">
        <v>5552</v>
      </c>
      <c r="E1683" s="391" t="s">
        <v>5419</v>
      </c>
      <c r="F1683" s="392">
        <v>4000</v>
      </c>
      <c r="G1683" s="393" t="s">
        <v>3800</v>
      </c>
      <c r="H1683" s="394">
        <f>F1683/'[5]Income + exchange rates'!$G$60</f>
        <v>1.5358263033549731</v>
      </c>
      <c r="I1683" s="394"/>
      <c r="J1683" s="392">
        <f t="shared" si="56"/>
        <v>0.30716526067099459</v>
      </c>
      <c r="K1683" s="392">
        <f t="shared" si="56"/>
        <v>0.30716526067099459</v>
      </c>
      <c r="L1683" s="392">
        <f t="shared" si="56"/>
        <v>0.30716526067099459</v>
      </c>
      <c r="M1683" s="392">
        <f t="shared" si="56"/>
        <v>0.30716526067099459</v>
      </c>
      <c r="N1683" s="392">
        <f t="shared" si="56"/>
        <v>0.30716526067099459</v>
      </c>
    </row>
    <row r="1684" spans="1:14" hidden="1" outlineLevel="2" x14ac:dyDescent="0.35">
      <c r="A1684" s="388" t="s">
        <v>3868</v>
      </c>
      <c r="B1684" s="389">
        <v>43894</v>
      </c>
      <c r="C1684" s="390" t="s">
        <v>5553</v>
      </c>
      <c r="D1684" s="391" t="s">
        <v>5454</v>
      </c>
      <c r="E1684" s="391" t="s">
        <v>5419</v>
      </c>
      <c r="F1684" s="392">
        <v>5000</v>
      </c>
      <c r="G1684" s="393" t="s">
        <v>3800</v>
      </c>
      <c r="H1684" s="394">
        <f>F1684/'[5]Income + exchange rates'!$G$60</f>
        <v>1.9197828791937164</v>
      </c>
      <c r="I1684" s="394"/>
      <c r="J1684" s="392">
        <f t="shared" si="56"/>
        <v>0.38395657583874326</v>
      </c>
      <c r="K1684" s="392">
        <f t="shared" si="56"/>
        <v>0.38395657583874326</v>
      </c>
      <c r="L1684" s="392">
        <f t="shared" si="56"/>
        <v>0.38395657583874326</v>
      </c>
      <c r="M1684" s="392">
        <f t="shared" si="56"/>
        <v>0.38395657583874326</v>
      </c>
      <c r="N1684" s="392">
        <f t="shared" si="56"/>
        <v>0.38395657583874326</v>
      </c>
    </row>
    <row r="1685" spans="1:14" hidden="1" outlineLevel="2" x14ac:dyDescent="0.35">
      <c r="A1685" s="388" t="s">
        <v>3868</v>
      </c>
      <c r="B1685" s="389">
        <v>43894</v>
      </c>
      <c r="C1685" s="390" t="s">
        <v>5554</v>
      </c>
      <c r="D1685" s="391" t="s">
        <v>5456</v>
      </c>
      <c r="E1685" s="391" t="s">
        <v>5419</v>
      </c>
      <c r="F1685" s="392">
        <v>3000</v>
      </c>
      <c r="G1685" s="393" t="s">
        <v>3800</v>
      </c>
      <c r="H1685" s="394">
        <f>F1685/'[5]Income + exchange rates'!$G$60</f>
        <v>1.15186972751623</v>
      </c>
      <c r="I1685" s="394"/>
      <c r="J1685" s="392">
        <f t="shared" si="56"/>
        <v>0.230373945503246</v>
      </c>
      <c r="K1685" s="392">
        <f t="shared" si="56"/>
        <v>0.230373945503246</v>
      </c>
      <c r="L1685" s="392">
        <f t="shared" si="56"/>
        <v>0.230373945503246</v>
      </c>
      <c r="M1685" s="392">
        <f t="shared" si="56"/>
        <v>0.230373945503246</v>
      </c>
      <c r="N1685" s="392">
        <f t="shared" si="56"/>
        <v>0.230373945503246</v>
      </c>
    </row>
    <row r="1686" spans="1:14" hidden="1" outlineLevel="2" x14ac:dyDescent="0.35">
      <c r="A1686" s="388" t="s">
        <v>3868</v>
      </c>
      <c r="B1686" s="389">
        <v>43895</v>
      </c>
      <c r="C1686" s="390" t="s">
        <v>5555</v>
      </c>
      <c r="D1686" s="391" t="s">
        <v>5456</v>
      </c>
      <c r="E1686" s="391" t="s">
        <v>5419</v>
      </c>
      <c r="F1686" s="392">
        <v>3000</v>
      </c>
      <c r="G1686" s="393" t="s">
        <v>3800</v>
      </c>
      <c r="H1686" s="394">
        <f>F1686/'[5]Income + exchange rates'!$G$60</f>
        <v>1.15186972751623</v>
      </c>
      <c r="I1686" s="394"/>
      <c r="J1686" s="392">
        <f t="shared" si="56"/>
        <v>0.230373945503246</v>
      </c>
      <c r="K1686" s="392">
        <f t="shared" si="56"/>
        <v>0.230373945503246</v>
      </c>
      <c r="L1686" s="392">
        <f t="shared" si="56"/>
        <v>0.230373945503246</v>
      </c>
      <c r="M1686" s="392">
        <f t="shared" si="56"/>
        <v>0.230373945503246</v>
      </c>
      <c r="N1686" s="392">
        <f t="shared" si="56"/>
        <v>0.230373945503246</v>
      </c>
    </row>
    <row r="1687" spans="1:14" hidden="1" outlineLevel="2" collapsed="1" x14ac:dyDescent="0.35">
      <c r="A1687" s="388" t="s">
        <v>3868</v>
      </c>
      <c r="B1687" s="389">
        <v>43896</v>
      </c>
      <c r="C1687" s="390" t="s">
        <v>5556</v>
      </c>
      <c r="D1687" s="391" t="s">
        <v>5456</v>
      </c>
      <c r="E1687" s="391" t="s">
        <v>5419</v>
      </c>
      <c r="F1687" s="392">
        <v>2000</v>
      </c>
      <c r="G1687" s="393" t="s">
        <v>3800</v>
      </c>
      <c r="H1687" s="394">
        <f>F1687/'[5]Income + exchange rates'!$G$60</f>
        <v>0.76791315167748653</v>
      </c>
      <c r="I1687" s="394"/>
      <c r="J1687" s="392">
        <f t="shared" si="56"/>
        <v>0.15358263033549729</v>
      </c>
      <c r="K1687" s="392">
        <f t="shared" si="56"/>
        <v>0.15358263033549729</v>
      </c>
      <c r="L1687" s="392">
        <f t="shared" si="56"/>
        <v>0.15358263033549729</v>
      </c>
      <c r="M1687" s="392">
        <f t="shared" si="56"/>
        <v>0.15358263033549729</v>
      </c>
      <c r="N1687" s="392">
        <f t="shared" si="56"/>
        <v>0.15358263033549729</v>
      </c>
    </row>
    <row r="1688" spans="1:14" hidden="1" outlineLevel="2" x14ac:dyDescent="0.35">
      <c r="A1688" s="388" t="s">
        <v>3868</v>
      </c>
      <c r="B1688" s="389">
        <v>43896</v>
      </c>
      <c r="C1688" s="390" t="s">
        <v>5557</v>
      </c>
      <c r="D1688" s="391" t="s">
        <v>5470</v>
      </c>
      <c r="E1688" s="391" t="s">
        <v>5419</v>
      </c>
      <c r="F1688" s="392">
        <v>3000</v>
      </c>
      <c r="G1688" s="393" t="s">
        <v>3800</v>
      </c>
      <c r="H1688" s="394">
        <f>F1688/'[5]Income + exchange rates'!$G$60</f>
        <v>1.15186972751623</v>
      </c>
      <c r="I1688" s="394"/>
      <c r="J1688" s="392">
        <f t="shared" si="56"/>
        <v>0.230373945503246</v>
      </c>
      <c r="K1688" s="392">
        <f t="shared" si="56"/>
        <v>0.230373945503246</v>
      </c>
      <c r="L1688" s="392">
        <f t="shared" si="56"/>
        <v>0.230373945503246</v>
      </c>
      <c r="M1688" s="392">
        <f t="shared" si="56"/>
        <v>0.230373945503246</v>
      </c>
      <c r="N1688" s="392">
        <f t="shared" si="56"/>
        <v>0.230373945503246</v>
      </c>
    </row>
    <row r="1689" spans="1:14" hidden="1" outlineLevel="2" collapsed="1" x14ac:dyDescent="0.35">
      <c r="A1689" s="388" t="s">
        <v>3868</v>
      </c>
      <c r="B1689" s="389">
        <v>43897</v>
      </c>
      <c r="C1689" s="390" t="s">
        <v>5558</v>
      </c>
      <c r="D1689" s="391" t="s">
        <v>5519</v>
      </c>
      <c r="E1689" s="391" t="s">
        <v>5419</v>
      </c>
      <c r="F1689" s="392">
        <v>7000</v>
      </c>
      <c r="G1689" s="393" t="s">
        <v>3800</v>
      </c>
      <c r="H1689" s="394">
        <f>F1689/'[5]Income + exchange rates'!$G$60</f>
        <v>2.6876960308712032</v>
      </c>
      <c r="I1689" s="394"/>
      <c r="J1689" s="392">
        <f t="shared" si="56"/>
        <v>0.53753920617424067</v>
      </c>
      <c r="K1689" s="392">
        <f t="shared" si="56"/>
        <v>0.53753920617424067</v>
      </c>
      <c r="L1689" s="392">
        <f t="shared" si="56"/>
        <v>0.53753920617424067</v>
      </c>
      <c r="M1689" s="392">
        <f t="shared" si="56"/>
        <v>0.53753920617424067</v>
      </c>
      <c r="N1689" s="392">
        <f t="shared" si="56"/>
        <v>0.53753920617424067</v>
      </c>
    </row>
    <row r="1690" spans="1:14" hidden="1" outlineLevel="2" x14ac:dyDescent="0.35">
      <c r="A1690" s="388" t="s">
        <v>3868</v>
      </c>
      <c r="B1690" s="389">
        <v>43897</v>
      </c>
      <c r="C1690" s="390" t="s">
        <v>5559</v>
      </c>
      <c r="D1690" s="391" t="s">
        <v>5560</v>
      </c>
      <c r="E1690" s="391" t="s">
        <v>5419</v>
      </c>
      <c r="F1690" s="392">
        <v>5000</v>
      </c>
      <c r="G1690" s="393" t="s">
        <v>3800</v>
      </c>
      <c r="H1690" s="394">
        <f>F1690/'[5]Income + exchange rates'!$G$60</f>
        <v>1.9197828791937164</v>
      </c>
      <c r="I1690" s="394"/>
      <c r="J1690" s="392">
        <f t="shared" si="56"/>
        <v>0.38395657583874326</v>
      </c>
      <c r="K1690" s="392">
        <f t="shared" si="56"/>
        <v>0.38395657583874326</v>
      </c>
      <c r="L1690" s="392">
        <f t="shared" si="56"/>
        <v>0.38395657583874326</v>
      </c>
      <c r="M1690" s="392">
        <f t="shared" si="56"/>
        <v>0.38395657583874326</v>
      </c>
      <c r="N1690" s="392">
        <f t="shared" si="56"/>
        <v>0.38395657583874326</v>
      </c>
    </row>
    <row r="1691" spans="1:14" hidden="1" outlineLevel="2" collapsed="1" x14ac:dyDescent="0.35">
      <c r="A1691" s="388" t="s">
        <v>3868</v>
      </c>
      <c r="B1691" s="389">
        <v>43898</v>
      </c>
      <c r="C1691" s="390" t="s">
        <v>5561</v>
      </c>
      <c r="D1691" s="391" t="s">
        <v>5562</v>
      </c>
      <c r="E1691" s="391" t="s">
        <v>5419</v>
      </c>
      <c r="F1691" s="392">
        <v>5000</v>
      </c>
      <c r="G1691" s="393" t="s">
        <v>3800</v>
      </c>
      <c r="H1691" s="394">
        <f>F1691/'[5]Income + exchange rates'!$G$60</f>
        <v>1.9197828791937164</v>
      </c>
      <c r="I1691" s="394"/>
      <c r="J1691" s="392">
        <f t="shared" si="56"/>
        <v>0.38395657583874326</v>
      </c>
      <c r="K1691" s="392">
        <f t="shared" si="56"/>
        <v>0.38395657583874326</v>
      </c>
      <c r="L1691" s="392">
        <f t="shared" si="56"/>
        <v>0.38395657583874326</v>
      </c>
      <c r="M1691" s="392">
        <f t="shared" si="56"/>
        <v>0.38395657583874326</v>
      </c>
      <c r="N1691" s="392">
        <f t="shared" si="56"/>
        <v>0.38395657583874326</v>
      </c>
    </row>
    <row r="1692" spans="1:14" hidden="1" outlineLevel="2" x14ac:dyDescent="0.35">
      <c r="A1692" s="388" t="s">
        <v>3868</v>
      </c>
      <c r="B1692" s="389">
        <v>43898</v>
      </c>
      <c r="C1692" s="390" t="s">
        <v>5563</v>
      </c>
      <c r="D1692" s="391" t="s">
        <v>5562</v>
      </c>
      <c r="E1692" s="391" t="s">
        <v>5419</v>
      </c>
      <c r="F1692" s="392">
        <v>5000</v>
      </c>
      <c r="G1692" s="393" t="s">
        <v>3800</v>
      </c>
      <c r="H1692" s="394">
        <f>F1692/'[5]Income + exchange rates'!$G$60</f>
        <v>1.9197828791937164</v>
      </c>
      <c r="I1692" s="394"/>
      <c r="J1692" s="392">
        <f t="shared" si="56"/>
        <v>0.38395657583874326</v>
      </c>
      <c r="K1692" s="392">
        <f t="shared" si="56"/>
        <v>0.38395657583874326</v>
      </c>
      <c r="L1692" s="392">
        <f t="shared" si="56"/>
        <v>0.38395657583874326</v>
      </c>
      <c r="M1692" s="392">
        <f t="shared" si="56"/>
        <v>0.38395657583874326</v>
      </c>
      <c r="N1692" s="392">
        <f t="shared" si="56"/>
        <v>0.38395657583874326</v>
      </c>
    </row>
    <row r="1693" spans="1:14" hidden="1" outlineLevel="2" x14ac:dyDescent="0.35">
      <c r="A1693" s="388" t="s">
        <v>3868</v>
      </c>
      <c r="B1693" s="389">
        <v>43899</v>
      </c>
      <c r="C1693" s="390" t="s">
        <v>5564</v>
      </c>
      <c r="D1693" s="391" t="s">
        <v>5562</v>
      </c>
      <c r="E1693" s="391" t="s">
        <v>5419</v>
      </c>
      <c r="F1693" s="392">
        <v>4000</v>
      </c>
      <c r="G1693" s="393" t="s">
        <v>3800</v>
      </c>
      <c r="H1693" s="394">
        <f>F1693/'[5]Income + exchange rates'!$G$60</f>
        <v>1.5358263033549731</v>
      </c>
      <c r="I1693" s="394"/>
      <c r="J1693" s="392">
        <f t="shared" si="56"/>
        <v>0.30716526067099459</v>
      </c>
      <c r="K1693" s="392">
        <f t="shared" si="56"/>
        <v>0.30716526067099459</v>
      </c>
      <c r="L1693" s="392">
        <f t="shared" si="56"/>
        <v>0.30716526067099459</v>
      </c>
      <c r="M1693" s="392">
        <f t="shared" si="56"/>
        <v>0.30716526067099459</v>
      </c>
      <c r="N1693" s="392">
        <f t="shared" si="56"/>
        <v>0.30716526067099459</v>
      </c>
    </row>
    <row r="1694" spans="1:14" hidden="1" outlineLevel="2" x14ac:dyDescent="0.35">
      <c r="A1694" s="388" t="s">
        <v>3868</v>
      </c>
      <c r="B1694" s="389">
        <v>43899</v>
      </c>
      <c r="C1694" s="390" t="s">
        <v>5565</v>
      </c>
      <c r="D1694" s="391" t="s">
        <v>5456</v>
      </c>
      <c r="E1694" s="391" t="s">
        <v>5419</v>
      </c>
      <c r="F1694" s="392">
        <v>3000</v>
      </c>
      <c r="G1694" s="393" t="s">
        <v>3800</v>
      </c>
      <c r="H1694" s="394">
        <f>F1694/'[5]Income + exchange rates'!$G$60</f>
        <v>1.15186972751623</v>
      </c>
      <c r="I1694" s="394"/>
      <c r="J1694" s="392">
        <f t="shared" si="56"/>
        <v>0.230373945503246</v>
      </c>
      <c r="K1694" s="392">
        <f t="shared" si="56"/>
        <v>0.230373945503246</v>
      </c>
      <c r="L1694" s="392">
        <f t="shared" si="56"/>
        <v>0.230373945503246</v>
      </c>
      <c r="M1694" s="392">
        <f t="shared" si="56"/>
        <v>0.230373945503246</v>
      </c>
      <c r="N1694" s="392">
        <f t="shared" si="56"/>
        <v>0.230373945503246</v>
      </c>
    </row>
    <row r="1695" spans="1:14" hidden="1" outlineLevel="2" x14ac:dyDescent="0.35">
      <c r="A1695" s="388" t="s">
        <v>3868</v>
      </c>
      <c r="B1695" s="389">
        <v>43899</v>
      </c>
      <c r="C1695" s="390" t="s">
        <v>5566</v>
      </c>
      <c r="D1695" s="391" t="s">
        <v>5567</v>
      </c>
      <c r="E1695" s="391" t="s">
        <v>5419</v>
      </c>
      <c r="F1695" s="392">
        <v>2000</v>
      </c>
      <c r="G1695" s="393" t="s">
        <v>3800</v>
      </c>
      <c r="H1695" s="394">
        <f>F1695/'[5]Income + exchange rates'!$G$60</f>
        <v>0.76791315167748653</v>
      </c>
      <c r="I1695" s="394"/>
      <c r="J1695" s="392">
        <f t="shared" ref="J1695:N1710" si="57">$H1695/5</f>
        <v>0.15358263033549729</v>
      </c>
      <c r="K1695" s="392">
        <f t="shared" si="57"/>
        <v>0.15358263033549729</v>
      </c>
      <c r="L1695" s="392">
        <f t="shared" si="57"/>
        <v>0.15358263033549729</v>
      </c>
      <c r="M1695" s="392">
        <f t="shared" si="57"/>
        <v>0.15358263033549729</v>
      </c>
      <c r="N1695" s="392">
        <f t="shared" si="57"/>
        <v>0.15358263033549729</v>
      </c>
    </row>
    <row r="1696" spans="1:14" hidden="1" outlineLevel="2" x14ac:dyDescent="0.35">
      <c r="A1696" s="388" t="s">
        <v>3868</v>
      </c>
      <c r="B1696" s="389">
        <v>43900</v>
      </c>
      <c r="C1696" s="390" t="s">
        <v>5568</v>
      </c>
      <c r="D1696" s="391" t="s">
        <v>5443</v>
      </c>
      <c r="E1696" s="391" t="s">
        <v>5419</v>
      </c>
      <c r="F1696" s="392">
        <v>7000</v>
      </c>
      <c r="G1696" s="393" t="s">
        <v>3800</v>
      </c>
      <c r="H1696" s="394">
        <f>F1696/'[5]Income + exchange rates'!$G$60</f>
        <v>2.6876960308712032</v>
      </c>
      <c r="I1696" s="394"/>
      <c r="J1696" s="392">
        <f t="shared" si="57"/>
        <v>0.53753920617424067</v>
      </c>
      <c r="K1696" s="392">
        <f t="shared" si="57"/>
        <v>0.53753920617424067</v>
      </c>
      <c r="L1696" s="392">
        <f t="shared" si="57"/>
        <v>0.53753920617424067</v>
      </c>
      <c r="M1696" s="392">
        <f t="shared" si="57"/>
        <v>0.53753920617424067</v>
      </c>
      <c r="N1696" s="392">
        <f t="shared" si="57"/>
        <v>0.53753920617424067</v>
      </c>
    </row>
    <row r="1697" spans="1:14" hidden="1" outlineLevel="2" x14ac:dyDescent="0.35">
      <c r="A1697" s="388" t="s">
        <v>3868</v>
      </c>
      <c r="B1697" s="389">
        <v>43900</v>
      </c>
      <c r="C1697" s="390" t="s">
        <v>5569</v>
      </c>
      <c r="D1697" s="391" t="s">
        <v>5570</v>
      </c>
      <c r="E1697" s="391" t="s">
        <v>5419</v>
      </c>
      <c r="F1697" s="392">
        <v>3000</v>
      </c>
      <c r="G1697" s="393" t="s">
        <v>3800</v>
      </c>
      <c r="H1697" s="394">
        <f>F1697/'[5]Income + exchange rates'!$G$60</f>
        <v>1.15186972751623</v>
      </c>
      <c r="I1697" s="394"/>
      <c r="J1697" s="392">
        <f t="shared" si="57"/>
        <v>0.230373945503246</v>
      </c>
      <c r="K1697" s="392">
        <f t="shared" si="57"/>
        <v>0.230373945503246</v>
      </c>
      <c r="L1697" s="392">
        <f t="shared" si="57"/>
        <v>0.230373945503246</v>
      </c>
      <c r="M1697" s="392">
        <f t="shared" si="57"/>
        <v>0.230373945503246</v>
      </c>
      <c r="N1697" s="392">
        <f t="shared" si="57"/>
        <v>0.230373945503246</v>
      </c>
    </row>
    <row r="1698" spans="1:14" hidden="1" outlineLevel="2" x14ac:dyDescent="0.35">
      <c r="A1698" s="388" t="s">
        <v>3868</v>
      </c>
      <c r="B1698" s="389">
        <v>43900</v>
      </c>
      <c r="C1698" s="390" t="s">
        <v>5571</v>
      </c>
      <c r="D1698" s="391" t="s">
        <v>5572</v>
      </c>
      <c r="E1698" s="391" t="s">
        <v>5419</v>
      </c>
      <c r="F1698" s="392">
        <v>9000</v>
      </c>
      <c r="G1698" s="393" t="s">
        <v>3800</v>
      </c>
      <c r="H1698" s="394">
        <f>F1698/'[5]Income + exchange rates'!$G$60</f>
        <v>3.4556091825486894</v>
      </c>
      <c r="I1698" s="394"/>
      <c r="J1698" s="392">
        <f t="shared" si="57"/>
        <v>0.69112183650973791</v>
      </c>
      <c r="K1698" s="392">
        <f t="shared" si="57"/>
        <v>0.69112183650973791</v>
      </c>
      <c r="L1698" s="392">
        <f t="shared" si="57"/>
        <v>0.69112183650973791</v>
      </c>
      <c r="M1698" s="392">
        <f t="shared" si="57"/>
        <v>0.69112183650973791</v>
      </c>
      <c r="N1698" s="392">
        <f t="shared" si="57"/>
        <v>0.69112183650973791</v>
      </c>
    </row>
    <row r="1699" spans="1:14" hidden="1" outlineLevel="2" x14ac:dyDescent="0.35">
      <c r="A1699" s="388" t="s">
        <v>3868</v>
      </c>
      <c r="B1699" s="389">
        <v>43901</v>
      </c>
      <c r="C1699" s="390" t="s">
        <v>5573</v>
      </c>
      <c r="D1699" s="391" t="s">
        <v>5423</v>
      </c>
      <c r="E1699" s="391" t="s">
        <v>5424</v>
      </c>
      <c r="F1699" s="392">
        <v>55000</v>
      </c>
      <c r="G1699" s="393" t="s">
        <v>3800</v>
      </c>
      <c r="H1699" s="394">
        <f>F1699/'[5]Income + exchange rates'!$G$60</f>
        <v>21.117611671130881</v>
      </c>
      <c r="I1699" s="394"/>
      <c r="J1699" s="392">
        <f t="shared" si="57"/>
        <v>4.2235223342261765</v>
      </c>
      <c r="K1699" s="392">
        <f t="shared" si="57"/>
        <v>4.2235223342261765</v>
      </c>
      <c r="L1699" s="392">
        <f t="shared" si="57"/>
        <v>4.2235223342261765</v>
      </c>
      <c r="M1699" s="392">
        <f t="shared" si="57"/>
        <v>4.2235223342261765</v>
      </c>
      <c r="N1699" s="392">
        <f t="shared" si="57"/>
        <v>4.2235223342261765</v>
      </c>
    </row>
    <row r="1700" spans="1:14" hidden="1" outlineLevel="2" x14ac:dyDescent="0.35">
      <c r="A1700" s="388" t="s">
        <v>3868</v>
      </c>
      <c r="B1700" s="389">
        <v>43902</v>
      </c>
      <c r="C1700" s="390" t="s">
        <v>5574</v>
      </c>
      <c r="D1700" s="391" t="s">
        <v>5575</v>
      </c>
      <c r="E1700" s="391" t="s">
        <v>5419</v>
      </c>
      <c r="F1700" s="392">
        <v>5000</v>
      </c>
      <c r="G1700" s="393" t="s">
        <v>3800</v>
      </c>
      <c r="H1700" s="394">
        <f>F1700/'[5]Income + exchange rates'!$G$60</f>
        <v>1.9197828791937164</v>
      </c>
      <c r="I1700" s="394"/>
      <c r="J1700" s="392">
        <f t="shared" si="57"/>
        <v>0.38395657583874326</v>
      </c>
      <c r="K1700" s="392">
        <f t="shared" si="57"/>
        <v>0.38395657583874326</v>
      </c>
      <c r="L1700" s="392">
        <f t="shared" si="57"/>
        <v>0.38395657583874326</v>
      </c>
      <c r="M1700" s="392">
        <f t="shared" si="57"/>
        <v>0.38395657583874326</v>
      </c>
      <c r="N1700" s="392">
        <f t="shared" si="57"/>
        <v>0.38395657583874326</v>
      </c>
    </row>
    <row r="1701" spans="1:14" hidden="1" outlineLevel="2" x14ac:dyDescent="0.35">
      <c r="A1701" s="388" t="s">
        <v>3868</v>
      </c>
      <c r="B1701" s="389">
        <v>43902</v>
      </c>
      <c r="C1701" s="390" t="s">
        <v>5576</v>
      </c>
      <c r="D1701" s="391" t="s">
        <v>5428</v>
      </c>
      <c r="E1701" s="391" t="s">
        <v>5419</v>
      </c>
      <c r="F1701" s="392">
        <v>15000</v>
      </c>
      <c r="G1701" s="393" t="s">
        <v>3800</v>
      </c>
      <c r="H1701" s="394">
        <f>F1701/'[5]Income + exchange rates'!$G$60</f>
        <v>5.7593486375811489</v>
      </c>
      <c r="I1701" s="394"/>
      <c r="J1701" s="392">
        <f t="shared" si="57"/>
        <v>1.1518697275162297</v>
      </c>
      <c r="K1701" s="392">
        <f t="shared" si="57"/>
        <v>1.1518697275162297</v>
      </c>
      <c r="L1701" s="392">
        <f t="shared" si="57"/>
        <v>1.1518697275162297</v>
      </c>
      <c r="M1701" s="392">
        <f t="shared" si="57"/>
        <v>1.1518697275162297</v>
      </c>
      <c r="N1701" s="392">
        <f t="shared" si="57"/>
        <v>1.1518697275162297</v>
      </c>
    </row>
    <row r="1702" spans="1:14" hidden="1" outlineLevel="2" x14ac:dyDescent="0.35">
      <c r="A1702" s="388" t="s">
        <v>3868</v>
      </c>
      <c r="B1702" s="389">
        <v>43902</v>
      </c>
      <c r="C1702" s="390" t="s">
        <v>5577</v>
      </c>
      <c r="D1702" s="391" t="s">
        <v>5578</v>
      </c>
      <c r="E1702" s="391" t="s">
        <v>5419</v>
      </c>
      <c r="F1702" s="392">
        <v>10000</v>
      </c>
      <c r="G1702" s="393" t="s">
        <v>3800</v>
      </c>
      <c r="H1702" s="394">
        <f>F1702/'[5]Income + exchange rates'!$G$60</f>
        <v>3.8395657583874327</v>
      </c>
      <c r="I1702" s="394"/>
      <c r="J1702" s="392">
        <f t="shared" si="57"/>
        <v>0.76791315167748653</v>
      </c>
      <c r="K1702" s="392">
        <f t="shared" si="57"/>
        <v>0.76791315167748653</v>
      </c>
      <c r="L1702" s="392">
        <f t="shared" si="57"/>
        <v>0.76791315167748653</v>
      </c>
      <c r="M1702" s="392">
        <f t="shared" si="57"/>
        <v>0.76791315167748653</v>
      </c>
      <c r="N1702" s="392">
        <f t="shared" si="57"/>
        <v>0.76791315167748653</v>
      </c>
    </row>
    <row r="1703" spans="1:14" ht="30" hidden="1" outlineLevel="2" collapsed="1" x14ac:dyDescent="0.35">
      <c r="A1703" s="388" t="s">
        <v>3868</v>
      </c>
      <c r="B1703" s="389">
        <v>43903</v>
      </c>
      <c r="C1703" s="390" t="s">
        <v>5579</v>
      </c>
      <c r="D1703" s="391" t="s">
        <v>5580</v>
      </c>
      <c r="E1703" s="391" t="s">
        <v>5419</v>
      </c>
      <c r="F1703" s="392">
        <v>5000</v>
      </c>
      <c r="G1703" s="393" t="s">
        <v>3800</v>
      </c>
      <c r="H1703" s="394">
        <f>F1703/'[5]Income + exchange rates'!$G$60</f>
        <v>1.9197828791937164</v>
      </c>
      <c r="I1703" s="394"/>
      <c r="J1703" s="392">
        <f t="shared" si="57"/>
        <v>0.38395657583874326</v>
      </c>
      <c r="K1703" s="392">
        <f t="shared" si="57"/>
        <v>0.38395657583874326</v>
      </c>
      <c r="L1703" s="392">
        <f t="shared" si="57"/>
        <v>0.38395657583874326</v>
      </c>
      <c r="M1703" s="392">
        <f t="shared" si="57"/>
        <v>0.38395657583874326</v>
      </c>
      <c r="N1703" s="392">
        <f t="shared" si="57"/>
        <v>0.38395657583874326</v>
      </c>
    </row>
    <row r="1704" spans="1:14" ht="30" hidden="1" outlineLevel="2" x14ac:dyDescent="0.35">
      <c r="A1704" s="388" t="s">
        <v>3868</v>
      </c>
      <c r="B1704" s="389">
        <v>43903</v>
      </c>
      <c r="C1704" s="390" t="s">
        <v>5581</v>
      </c>
      <c r="D1704" s="391" t="s">
        <v>5582</v>
      </c>
      <c r="E1704" s="391" t="s">
        <v>5419</v>
      </c>
      <c r="F1704" s="392">
        <v>4000</v>
      </c>
      <c r="G1704" s="393" t="s">
        <v>3800</v>
      </c>
      <c r="H1704" s="394">
        <f>F1704/'[5]Income + exchange rates'!$G$60</f>
        <v>1.5358263033549731</v>
      </c>
      <c r="I1704" s="394"/>
      <c r="J1704" s="392">
        <f t="shared" si="57"/>
        <v>0.30716526067099459</v>
      </c>
      <c r="K1704" s="392">
        <f t="shared" si="57"/>
        <v>0.30716526067099459</v>
      </c>
      <c r="L1704" s="392">
        <f t="shared" si="57"/>
        <v>0.30716526067099459</v>
      </c>
      <c r="M1704" s="392">
        <f t="shared" si="57"/>
        <v>0.30716526067099459</v>
      </c>
      <c r="N1704" s="392">
        <f t="shared" si="57"/>
        <v>0.30716526067099459</v>
      </c>
    </row>
    <row r="1705" spans="1:14" hidden="1" outlineLevel="2" x14ac:dyDescent="0.35">
      <c r="A1705" s="388" t="s">
        <v>3868</v>
      </c>
      <c r="B1705" s="389">
        <v>43903</v>
      </c>
      <c r="C1705" s="390" t="s">
        <v>5583</v>
      </c>
      <c r="D1705" s="391" t="s">
        <v>5584</v>
      </c>
      <c r="E1705" s="391" t="s">
        <v>5419</v>
      </c>
      <c r="F1705" s="392">
        <v>6000</v>
      </c>
      <c r="G1705" s="393" t="s">
        <v>3800</v>
      </c>
      <c r="H1705" s="394">
        <f>F1705/'[5]Income + exchange rates'!$G$60</f>
        <v>2.3037394550324599</v>
      </c>
      <c r="I1705" s="394"/>
      <c r="J1705" s="392">
        <f t="shared" si="57"/>
        <v>0.46074789100649199</v>
      </c>
      <c r="K1705" s="392">
        <f t="shared" si="57"/>
        <v>0.46074789100649199</v>
      </c>
      <c r="L1705" s="392">
        <f t="shared" si="57"/>
        <v>0.46074789100649199</v>
      </c>
      <c r="M1705" s="392">
        <f t="shared" si="57"/>
        <v>0.46074789100649199</v>
      </c>
      <c r="N1705" s="392">
        <f t="shared" si="57"/>
        <v>0.46074789100649199</v>
      </c>
    </row>
    <row r="1706" spans="1:14" hidden="1" outlineLevel="2" x14ac:dyDescent="0.35">
      <c r="A1706" s="388" t="s">
        <v>3868</v>
      </c>
      <c r="B1706" s="389">
        <v>43903</v>
      </c>
      <c r="C1706" s="390" t="s">
        <v>5585</v>
      </c>
      <c r="D1706" s="391" t="s">
        <v>5562</v>
      </c>
      <c r="E1706" s="391" t="s">
        <v>5419</v>
      </c>
      <c r="F1706" s="392">
        <v>3000</v>
      </c>
      <c r="G1706" s="393" t="s">
        <v>3800</v>
      </c>
      <c r="H1706" s="394">
        <f>F1706/'[5]Income + exchange rates'!$G$60</f>
        <v>1.15186972751623</v>
      </c>
      <c r="I1706" s="394"/>
      <c r="J1706" s="392">
        <f t="shared" si="57"/>
        <v>0.230373945503246</v>
      </c>
      <c r="K1706" s="392">
        <f t="shared" si="57"/>
        <v>0.230373945503246</v>
      </c>
      <c r="L1706" s="392">
        <f t="shared" si="57"/>
        <v>0.230373945503246</v>
      </c>
      <c r="M1706" s="392">
        <f t="shared" si="57"/>
        <v>0.230373945503246</v>
      </c>
      <c r="N1706" s="392">
        <f t="shared" si="57"/>
        <v>0.230373945503246</v>
      </c>
    </row>
    <row r="1707" spans="1:14" hidden="1" outlineLevel="2" x14ac:dyDescent="0.35">
      <c r="A1707" s="388" t="s">
        <v>3868</v>
      </c>
      <c r="B1707" s="389">
        <v>43904</v>
      </c>
      <c r="C1707" s="390" t="s">
        <v>5586</v>
      </c>
      <c r="D1707" s="391" t="s">
        <v>5426</v>
      </c>
      <c r="E1707" s="391" t="s">
        <v>5419</v>
      </c>
      <c r="F1707" s="392">
        <v>2000</v>
      </c>
      <c r="G1707" s="393" t="s">
        <v>3800</v>
      </c>
      <c r="H1707" s="394">
        <f>F1707/'[5]Income + exchange rates'!$G$60</f>
        <v>0.76791315167748653</v>
      </c>
      <c r="I1707" s="394"/>
      <c r="J1707" s="392">
        <f t="shared" si="57"/>
        <v>0.15358263033549729</v>
      </c>
      <c r="K1707" s="392">
        <f t="shared" si="57"/>
        <v>0.15358263033549729</v>
      </c>
      <c r="L1707" s="392">
        <f t="shared" si="57"/>
        <v>0.15358263033549729</v>
      </c>
      <c r="M1707" s="392">
        <f t="shared" si="57"/>
        <v>0.15358263033549729</v>
      </c>
      <c r="N1707" s="392">
        <f t="shared" si="57"/>
        <v>0.15358263033549729</v>
      </c>
    </row>
    <row r="1708" spans="1:14" hidden="1" outlineLevel="2" x14ac:dyDescent="0.35">
      <c r="A1708" s="388" t="s">
        <v>3868</v>
      </c>
      <c r="B1708" s="389">
        <v>43905</v>
      </c>
      <c r="C1708" s="390" t="s">
        <v>5587</v>
      </c>
      <c r="D1708" s="391" t="s">
        <v>5562</v>
      </c>
      <c r="E1708" s="391" t="s">
        <v>5419</v>
      </c>
      <c r="F1708" s="392">
        <v>5000</v>
      </c>
      <c r="G1708" s="393" t="s">
        <v>3800</v>
      </c>
      <c r="H1708" s="394">
        <f>F1708/'[5]Income + exchange rates'!$G$60</f>
        <v>1.9197828791937164</v>
      </c>
      <c r="I1708" s="394"/>
      <c r="J1708" s="392">
        <f t="shared" si="57"/>
        <v>0.38395657583874326</v>
      </c>
      <c r="K1708" s="392">
        <f t="shared" si="57"/>
        <v>0.38395657583874326</v>
      </c>
      <c r="L1708" s="392">
        <f t="shared" si="57"/>
        <v>0.38395657583874326</v>
      </c>
      <c r="M1708" s="392">
        <f t="shared" si="57"/>
        <v>0.38395657583874326</v>
      </c>
      <c r="N1708" s="392">
        <f t="shared" si="57"/>
        <v>0.38395657583874326</v>
      </c>
    </row>
    <row r="1709" spans="1:14" hidden="1" outlineLevel="2" x14ac:dyDescent="0.35">
      <c r="A1709" s="388" t="s">
        <v>3868</v>
      </c>
      <c r="B1709" s="389">
        <v>43905</v>
      </c>
      <c r="C1709" s="390" t="s">
        <v>5588</v>
      </c>
      <c r="D1709" s="391" t="s">
        <v>5589</v>
      </c>
      <c r="E1709" s="391" t="s">
        <v>5419</v>
      </c>
      <c r="F1709" s="392">
        <v>5000</v>
      </c>
      <c r="G1709" s="393" t="s">
        <v>3800</v>
      </c>
      <c r="H1709" s="394">
        <f>F1709/'[5]Income + exchange rates'!$G$60</f>
        <v>1.9197828791937164</v>
      </c>
      <c r="I1709" s="394"/>
      <c r="J1709" s="392">
        <f t="shared" si="57"/>
        <v>0.38395657583874326</v>
      </c>
      <c r="K1709" s="392">
        <f t="shared" si="57"/>
        <v>0.38395657583874326</v>
      </c>
      <c r="L1709" s="392">
        <f t="shared" si="57"/>
        <v>0.38395657583874326</v>
      </c>
      <c r="M1709" s="392">
        <f t="shared" si="57"/>
        <v>0.38395657583874326</v>
      </c>
      <c r="N1709" s="392">
        <f t="shared" si="57"/>
        <v>0.38395657583874326</v>
      </c>
    </row>
    <row r="1710" spans="1:14" hidden="1" outlineLevel="2" x14ac:dyDescent="0.35">
      <c r="A1710" s="388" t="s">
        <v>3868</v>
      </c>
      <c r="B1710" s="389">
        <v>43905</v>
      </c>
      <c r="C1710" s="390" t="s">
        <v>5590</v>
      </c>
      <c r="D1710" s="391" t="s">
        <v>5591</v>
      </c>
      <c r="E1710" s="391" t="s">
        <v>5419</v>
      </c>
      <c r="F1710" s="392">
        <v>4000</v>
      </c>
      <c r="G1710" s="393" t="s">
        <v>3800</v>
      </c>
      <c r="H1710" s="394">
        <f>F1710/'[5]Income + exchange rates'!$G$60</f>
        <v>1.5358263033549731</v>
      </c>
      <c r="I1710" s="394"/>
      <c r="J1710" s="392">
        <f t="shared" si="57"/>
        <v>0.30716526067099459</v>
      </c>
      <c r="K1710" s="392">
        <f t="shared" si="57"/>
        <v>0.30716526067099459</v>
      </c>
      <c r="L1710" s="392">
        <f t="shared" si="57"/>
        <v>0.30716526067099459</v>
      </c>
      <c r="M1710" s="392">
        <f t="shared" si="57"/>
        <v>0.30716526067099459</v>
      </c>
      <c r="N1710" s="392">
        <f t="shared" si="57"/>
        <v>0.30716526067099459</v>
      </c>
    </row>
    <row r="1711" spans="1:14" hidden="1" outlineLevel="2" x14ac:dyDescent="0.35">
      <c r="A1711" s="388" t="s">
        <v>3868</v>
      </c>
      <c r="B1711" s="389">
        <v>43905</v>
      </c>
      <c r="C1711" s="390" t="s">
        <v>5592</v>
      </c>
      <c r="D1711" s="391" t="s">
        <v>5593</v>
      </c>
      <c r="E1711" s="391" t="s">
        <v>5419</v>
      </c>
      <c r="F1711" s="392">
        <v>5000</v>
      </c>
      <c r="G1711" s="393" t="s">
        <v>3800</v>
      </c>
      <c r="H1711" s="394">
        <f>F1711/'[5]Income + exchange rates'!$G$60</f>
        <v>1.9197828791937164</v>
      </c>
      <c r="I1711" s="394"/>
      <c r="J1711" s="392">
        <f t="shared" ref="J1711:N1726" si="58">$H1711/5</f>
        <v>0.38395657583874326</v>
      </c>
      <c r="K1711" s="392">
        <f t="shared" si="58"/>
        <v>0.38395657583874326</v>
      </c>
      <c r="L1711" s="392">
        <f t="shared" si="58"/>
        <v>0.38395657583874326</v>
      </c>
      <c r="M1711" s="392">
        <f t="shared" si="58"/>
        <v>0.38395657583874326</v>
      </c>
      <c r="N1711" s="392">
        <f t="shared" si="58"/>
        <v>0.38395657583874326</v>
      </c>
    </row>
    <row r="1712" spans="1:14" hidden="1" outlineLevel="2" x14ac:dyDescent="0.35">
      <c r="A1712" s="388" t="s">
        <v>3868</v>
      </c>
      <c r="B1712" s="389">
        <v>43906</v>
      </c>
      <c r="C1712" s="390" t="s">
        <v>5594</v>
      </c>
      <c r="D1712" s="391" t="s">
        <v>5595</v>
      </c>
      <c r="E1712" s="391" t="s">
        <v>5432</v>
      </c>
      <c r="F1712" s="392">
        <v>20000</v>
      </c>
      <c r="G1712" s="393" t="s">
        <v>3800</v>
      </c>
      <c r="H1712" s="394">
        <f>F1712/'[5]Income + exchange rates'!$G$60</f>
        <v>7.6791315167748655</v>
      </c>
      <c r="I1712" s="394"/>
      <c r="J1712" s="392">
        <f t="shared" si="58"/>
        <v>1.5358263033549731</v>
      </c>
      <c r="K1712" s="392">
        <f t="shared" si="58"/>
        <v>1.5358263033549731</v>
      </c>
      <c r="L1712" s="392">
        <f t="shared" si="58"/>
        <v>1.5358263033549731</v>
      </c>
      <c r="M1712" s="392">
        <f t="shared" si="58"/>
        <v>1.5358263033549731</v>
      </c>
      <c r="N1712" s="392">
        <f t="shared" si="58"/>
        <v>1.5358263033549731</v>
      </c>
    </row>
    <row r="1713" spans="1:14" hidden="1" outlineLevel="2" x14ac:dyDescent="0.35">
      <c r="A1713" s="388" t="s">
        <v>3868</v>
      </c>
      <c r="B1713" s="389">
        <v>43906</v>
      </c>
      <c r="C1713" s="390" t="s">
        <v>5596</v>
      </c>
      <c r="D1713" s="391" t="s">
        <v>5597</v>
      </c>
      <c r="E1713" s="391" t="s">
        <v>5432</v>
      </c>
      <c r="F1713" s="392">
        <v>85000</v>
      </c>
      <c r="G1713" s="393" t="s">
        <v>3800</v>
      </c>
      <c r="H1713" s="394">
        <f>F1713/'[5]Income + exchange rates'!$G$60</f>
        <v>32.636308946293177</v>
      </c>
      <c r="I1713" s="394"/>
      <c r="J1713" s="392">
        <f t="shared" si="58"/>
        <v>6.5272617892586355</v>
      </c>
      <c r="K1713" s="392">
        <f t="shared" si="58"/>
        <v>6.5272617892586355</v>
      </c>
      <c r="L1713" s="392">
        <f t="shared" si="58"/>
        <v>6.5272617892586355</v>
      </c>
      <c r="M1713" s="392">
        <f t="shared" si="58"/>
        <v>6.5272617892586355</v>
      </c>
      <c r="N1713" s="392">
        <f t="shared" si="58"/>
        <v>6.5272617892586355</v>
      </c>
    </row>
    <row r="1714" spans="1:14" hidden="1" outlineLevel="2" x14ac:dyDescent="0.35">
      <c r="A1714" s="388" t="s">
        <v>3868</v>
      </c>
      <c r="B1714" s="389">
        <v>43906</v>
      </c>
      <c r="C1714" s="390" t="s">
        <v>5598</v>
      </c>
      <c r="D1714" s="391" t="s">
        <v>5599</v>
      </c>
      <c r="E1714" s="391" t="s">
        <v>5432</v>
      </c>
      <c r="F1714" s="392">
        <v>50000</v>
      </c>
      <c r="G1714" s="393" t="s">
        <v>3800</v>
      </c>
      <c r="H1714" s="394">
        <f>F1714/'[5]Income + exchange rates'!$G$60</f>
        <v>19.197828791937166</v>
      </c>
      <c r="I1714" s="394"/>
      <c r="J1714" s="392">
        <f t="shared" si="58"/>
        <v>3.8395657583874332</v>
      </c>
      <c r="K1714" s="392">
        <f t="shared" si="58"/>
        <v>3.8395657583874332</v>
      </c>
      <c r="L1714" s="392">
        <f t="shared" si="58"/>
        <v>3.8395657583874332</v>
      </c>
      <c r="M1714" s="392">
        <f t="shared" si="58"/>
        <v>3.8395657583874332</v>
      </c>
      <c r="N1714" s="392">
        <f t="shared" si="58"/>
        <v>3.8395657583874332</v>
      </c>
    </row>
    <row r="1715" spans="1:14" hidden="1" outlineLevel="2" collapsed="1" x14ac:dyDescent="0.35">
      <c r="A1715" s="388" t="s">
        <v>3868</v>
      </c>
      <c r="B1715" s="389">
        <v>43906</v>
      </c>
      <c r="C1715" s="390" t="s">
        <v>5600</v>
      </c>
      <c r="D1715" s="391" t="s">
        <v>5601</v>
      </c>
      <c r="E1715" s="391" t="s">
        <v>5532</v>
      </c>
      <c r="F1715" s="392">
        <v>15300</v>
      </c>
      <c r="G1715" s="393" t="s">
        <v>3800</v>
      </c>
      <c r="H1715" s="394">
        <f>F1715/'[5]Income + exchange rates'!$G$60</f>
        <v>5.8745356103327726</v>
      </c>
      <c r="I1715" s="394"/>
      <c r="J1715" s="392">
        <f t="shared" si="58"/>
        <v>1.1749071220665546</v>
      </c>
      <c r="K1715" s="392">
        <f t="shared" si="58"/>
        <v>1.1749071220665546</v>
      </c>
      <c r="L1715" s="392">
        <f t="shared" si="58"/>
        <v>1.1749071220665546</v>
      </c>
      <c r="M1715" s="392">
        <f t="shared" si="58"/>
        <v>1.1749071220665546</v>
      </c>
      <c r="N1715" s="392">
        <f t="shared" si="58"/>
        <v>1.1749071220665546</v>
      </c>
    </row>
    <row r="1716" spans="1:14" hidden="1" outlineLevel="2" x14ac:dyDescent="0.35">
      <c r="A1716" s="388" t="s">
        <v>3868</v>
      </c>
      <c r="B1716" s="389">
        <v>43909</v>
      </c>
      <c r="C1716" s="390" t="s">
        <v>5602</v>
      </c>
      <c r="D1716" s="391" t="s">
        <v>5603</v>
      </c>
      <c r="E1716" s="391" t="s">
        <v>5424</v>
      </c>
      <c r="F1716" s="392">
        <v>55000</v>
      </c>
      <c r="G1716" s="393" t="s">
        <v>3800</v>
      </c>
      <c r="H1716" s="394">
        <f>F1716/'[5]Income + exchange rates'!$G$60</f>
        <v>21.117611671130881</v>
      </c>
      <c r="I1716" s="394"/>
      <c r="J1716" s="392">
        <f t="shared" si="58"/>
        <v>4.2235223342261765</v>
      </c>
      <c r="K1716" s="392">
        <f t="shared" si="58"/>
        <v>4.2235223342261765</v>
      </c>
      <c r="L1716" s="392">
        <f t="shared" si="58"/>
        <v>4.2235223342261765</v>
      </c>
      <c r="M1716" s="392">
        <f t="shared" si="58"/>
        <v>4.2235223342261765</v>
      </c>
      <c r="N1716" s="392">
        <f t="shared" si="58"/>
        <v>4.2235223342261765</v>
      </c>
    </row>
    <row r="1717" spans="1:14" hidden="1" outlineLevel="2" x14ac:dyDescent="0.35">
      <c r="A1717" s="388" t="s">
        <v>3868</v>
      </c>
      <c r="B1717" s="389">
        <v>43909</v>
      </c>
      <c r="C1717" s="390" t="s">
        <v>5604</v>
      </c>
      <c r="D1717" s="391" t="s">
        <v>5605</v>
      </c>
      <c r="E1717" s="391" t="s">
        <v>5424</v>
      </c>
      <c r="F1717" s="392">
        <v>100000</v>
      </c>
      <c r="G1717" s="393" t="s">
        <v>3800</v>
      </c>
      <c r="H1717" s="394">
        <f>F1717/'[5]Income + exchange rates'!$G$60</f>
        <v>38.395657583874332</v>
      </c>
      <c r="I1717" s="394"/>
      <c r="J1717" s="392">
        <f t="shared" si="58"/>
        <v>7.6791315167748664</v>
      </c>
      <c r="K1717" s="392">
        <f t="shared" si="58"/>
        <v>7.6791315167748664</v>
      </c>
      <c r="L1717" s="392">
        <f t="shared" si="58"/>
        <v>7.6791315167748664</v>
      </c>
      <c r="M1717" s="392">
        <f t="shared" si="58"/>
        <v>7.6791315167748664</v>
      </c>
      <c r="N1717" s="392">
        <f t="shared" si="58"/>
        <v>7.6791315167748664</v>
      </c>
    </row>
    <row r="1718" spans="1:14" hidden="1" outlineLevel="2" x14ac:dyDescent="0.35">
      <c r="A1718" s="388" t="s">
        <v>3868</v>
      </c>
      <c r="B1718" s="389">
        <v>43911</v>
      </c>
      <c r="C1718" s="390" t="s">
        <v>5606</v>
      </c>
      <c r="D1718" s="391" t="s">
        <v>5607</v>
      </c>
      <c r="E1718" s="391" t="s">
        <v>5437</v>
      </c>
      <c r="F1718" s="392">
        <v>113000</v>
      </c>
      <c r="G1718" s="393" t="s">
        <v>3800</v>
      </c>
      <c r="H1718" s="394">
        <f>F1718/'[5]Income + exchange rates'!$G$60</f>
        <v>43.38709306977799</v>
      </c>
      <c r="I1718" s="394"/>
      <c r="J1718" s="392">
        <f t="shared" si="58"/>
        <v>8.6774186139555987</v>
      </c>
      <c r="K1718" s="392">
        <f t="shared" si="58"/>
        <v>8.6774186139555987</v>
      </c>
      <c r="L1718" s="392">
        <f t="shared" si="58"/>
        <v>8.6774186139555987</v>
      </c>
      <c r="M1718" s="392">
        <f t="shared" si="58"/>
        <v>8.6774186139555987</v>
      </c>
      <c r="N1718" s="392">
        <f t="shared" si="58"/>
        <v>8.6774186139555987</v>
      </c>
    </row>
    <row r="1719" spans="1:14" hidden="1" outlineLevel="2" x14ac:dyDescent="0.35">
      <c r="A1719" s="388" t="s">
        <v>3868</v>
      </c>
      <c r="B1719" s="389">
        <v>44114</v>
      </c>
      <c r="C1719" s="390" t="s">
        <v>5608</v>
      </c>
      <c r="D1719" s="391" t="s">
        <v>5609</v>
      </c>
      <c r="E1719" s="391" t="s">
        <v>5610</v>
      </c>
      <c r="F1719" s="392">
        <v>50000</v>
      </c>
      <c r="G1719" s="393" t="s">
        <v>3800</v>
      </c>
      <c r="H1719" s="394">
        <f>F1719/'[5]Income + exchange rates'!$G$60</f>
        <v>19.197828791937166</v>
      </c>
      <c r="I1719" s="394"/>
      <c r="J1719" s="392">
        <f t="shared" si="58"/>
        <v>3.8395657583874332</v>
      </c>
      <c r="K1719" s="392">
        <f t="shared" si="58"/>
        <v>3.8395657583874332</v>
      </c>
      <c r="L1719" s="392">
        <f t="shared" si="58"/>
        <v>3.8395657583874332</v>
      </c>
      <c r="M1719" s="392">
        <f t="shared" si="58"/>
        <v>3.8395657583874332</v>
      </c>
      <c r="N1719" s="392">
        <f t="shared" si="58"/>
        <v>3.8395657583874332</v>
      </c>
    </row>
    <row r="1720" spans="1:14" hidden="1" outlineLevel="2" x14ac:dyDescent="0.35">
      <c r="A1720" s="388" t="s">
        <v>3868</v>
      </c>
      <c r="B1720" s="389">
        <v>44114</v>
      </c>
      <c r="C1720" s="390" t="s">
        <v>5611</v>
      </c>
      <c r="D1720" s="391" t="s">
        <v>5612</v>
      </c>
      <c r="E1720" s="391" t="s">
        <v>5610</v>
      </c>
      <c r="F1720" s="392">
        <v>20000</v>
      </c>
      <c r="G1720" s="393" t="s">
        <v>3800</v>
      </c>
      <c r="H1720" s="394">
        <f>F1720/'[5]Income + exchange rates'!$G$60</f>
        <v>7.6791315167748655</v>
      </c>
      <c r="I1720" s="394"/>
      <c r="J1720" s="392">
        <f t="shared" si="58"/>
        <v>1.5358263033549731</v>
      </c>
      <c r="K1720" s="392">
        <f t="shared" si="58"/>
        <v>1.5358263033549731</v>
      </c>
      <c r="L1720" s="392">
        <f t="shared" si="58"/>
        <v>1.5358263033549731</v>
      </c>
      <c r="M1720" s="392">
        <f t="shared" si="58"/>
        <v>1.5358263033549731</v>
      </c>
      <c r="N1720" s="392">
        <f t="shared" si="58"/>
        <v>1.5358263033549731</v>
      </c>
    </row>
    <row r="1721" spans="1:14" hidden="1" outlineLevel="2" x14ac:dyDescent="0.35">
      <c r="A1721" s="388" t="s">
        <v>3868</v>
      </c>
      <c r="B1721" s="389">
        <v>44115</v>
      </c>
      <c r="C1721" s="390" t="s">
        <v>5613</v>
      </c>
      <c r="D1721" s="391" t="s">
        <v>5431</v>
      </c>
      <c r="E1721" s="391" t="s">
        <v>5614</v>
      </c>
      <c r="F1721" s="392">
        <v>85000</v>
      </c>
      <c r="G1721" s="393" t="s">
        <v>3800</v>
      </c>
      <c r="H1721" s="394">
        <f>F1721/'[5]Income + exchange rates'!$G$60</f>
        <v>32.636308946293177</v>
      </c>
      <c r="I1721" s="394"/>
      <c r="J1721" s="392">
        <f t="shared" si="58"/>
        <v>6.5272617892586355</v>
      </c>
      <c r="K1721" s="392">
        <f t="shared" si="58"/>
        <v>6.5272617892586355</v>
      </c>
      <c r="L1721" s="392">
        <f t="shared" si="58"/>
        <v>6.5272617892586355</v>
      </c>
      <c r="M1721" s="392">
        <f t="shared" si="58"/>
        <v>6.5272617892586355</v>
      </c>
      <c r="N1721" s="392">
        <f t="shared" si="58"/>
        <v>6.5272617892586355</v>
      </c>
    </row>
    <row r="1722" spans="1:14" hidden="1" outlineLevel="2" x14ac:dyDescent="0.35">
      <c r="A1722" s="388" t="s">
        <v>3868</v>
      </c>
      <c r="B1722" s="389">
        <v>44125</v>
      </c>
      <c r="C1722" s="390" t="s">
        <v>5615</v>
      </c>
      <c r="D1722" s="391" t="s">
        <v>5616</v>
      </c>
      <c r="E1722" s="391" t="s">
        <v>5424</v>
      </c>
      <c r="F1722" s="392">
        <v>55000</v>
      </c>
      <c r="G1722" s="393" t="s">
        <v>3800</v>
      </c>
      <c r="H1722" s="394">
        <f>F1722/'[5]Income + exchange rates'!$G$60</f>
        <v>21.117611671130881</v>
      </c>
      <c r="I1722" s="394"/>
      <c r="J1722" s="392">
        <f t="shared" si="58"/>
        <v>4.2235223342261765</v>
      </c>
      <c r="K1722" s="392">
        <f t="shared" si="58"/>
        <v>4.2235223342261765</v>
      </c>
      <c r="L1722" s="392">
        <f t="shared" si="58"/>
        <v>4.2235223342261765</v>
      </c>
      <c r="M1722" s="392">
        <f t="shared" si="58"/>
        <v>4.2235223342261765</v>
      </c>
      <c r="N1722" s="392">
        <f t="shared" si="58"/>
        <v>4.2235223342261765</v>
      </c>
    </row>
    <row r="1723" spans="1:14" hidden="1" outlineLevel="2" x14ac:dyDescent="0.35">
      <c r="A1723" s="388" t="s">
        <v>3868</v>
      </c>
      <c r="B1723" s="389">
        <v>44131</v>
      </c>
      <c r="C1723" s="390" t="s">
        <v>5617</v>
      </c>
      <c r="D1723" s="391" t="s">
        <v>5618</v>
      </c>
      <c r="E1723" s="391" t="s">
        <v>5419</v>
      </c>
      <c r="F1723" s="392">
        <v>14000</v>
      </c>
      <c r="G1723" s="393" t="s">
        <v>3800</v>
      </c>
      <c r="H1723" s="394">
        <f>F1723/'[5]Income + exchange rates'!$G$60</f>
        <v>5.3753920617424065</v>
      </c>
      <c r="I1723" s="394"/>
      <c r="J1723" s="392">
        <f t="shared" si="58"/>
        <v>1.0750784123484813</v>
      </c>
      <c r="K1723" s="392">
        <f t="shared" si="58"/>
        <v>1.0750784123484813</v>
      </c>
      <c r="L1723" s="392">
        <f t="shared" si="58"/>
        <v>1.0750784123484813</v>
      </c>
      <c r="M1723" s="392">
        <f t="shared" si="58"/>
        <v>1.0750784123484813</v>
      </c>
      <c r="N1723" s="392">
        <f t="shared" si="58"/>
        <v>1.0750784123484813</v>
      </c>
    </row>
    <row r="1724" spans="1:14" hidden="1" outlineLevel="2" x14ac:dyDescent="0.35">
      <c r="A1724" s="388" t="s">
        <v>3868</v>
      </c>
      <c r="B1724" s="389">
        <v>44131</v>
      </c>
      <c r="C1724" s="390" t="s">
        <v>5619</v>
      </c>
      <c r="D1724" s="391" t="s">
        <v>5620</v>
      </c>
      <c r="E1724" s="391" t="s">
        <v>5419</v>
      </c>
      <c r="F1724" s="392">
        <v>9000</v>
      </c>
      <c r="G1724" s="393" t="s">
        <v>3800</v>
      </c>
      <c r="H1724" s="394">
        <f>F1724/'[5]Income + exchange rates'!$G$60</f>
        <v>3.4556091825486894</v>
      </c>
      <c r="I1724" s="394"/>
      <c r="J1724" s="392">
        <f t="shared" si="58"/>
        <v>0.69112183650973791</v>
      </c>
      <c r="K1724" s="392">
        <f t="shared" si="58"/>
        <v>0.69112183650973791</v>
      </c>
      <c r="L1724" s="392">
        <f t="shared" si="58"/>
        <v>0.69112183650973791</v>
      </c>
      <c r="M1724" s="392">
        <f t="shared" si="58"/>
        <v>0.69112183650973791</v>
      </c>
      <c r="N1724" s="392">
        <f t="shared" si="58"/>
        <v>0.69112183650973791</v>
      </c>
    </row>
    <row r="1725" spans="1:14" hidden="1" outlineLevel="2" x14ac:dyDescent="0.35">
      <c r="A1725" s="388" t="s">
        <v>3868</v>
      </c>
      <c r="B1725" s="389">
        <v>44137</v>
      </c>
      <c r="C1725" s="390" t="s">
        <v>5621</v>
      </c>
      <c r="D1725" s="391" t="s">
        <v>5494</v>
      </c>
      <c r="E1725" s="391" t="s">
        <v>5419</v>
      </c>
      <c r="F1725" s="392">
        <v>7000</v>
      </c>
      <c r="G1725" s="393" t="s">
        <v>3800</v>
      </c>
      <c r="H1725" s="394">
        <f>F1725/'[5]Income + exchange rates'!$G$60</f>
        <v>2.6876960308712032</v>
      </c>
      <c r="I1725" s="394"/>
      <c r="J1725" s="392">
        <f t="shared" si="58"/>
        <v>0.53753920617424067</v>
      </c>
      <c r="K1725" s="392">
        <f t="shared" si="58"/>
        <v>0.53753920617424067</v>
      </c>
      <c r="L1725" s="392">
        <f t="shared" si="58"/>
        <v>0.53753920617424067</v>
      </c>
      <c r="M1725" s="392">
        <f t="shared" si="58"/>
        <v>0.53753920617424067</v>
      </c>
      <c r="N1725" s="392">
        <f t="shared" si="58"/>
        <v>0.53753920617424067</v>
      </c>
    </row>
    <row r="1726" spans="1:14" hidden="1" outlineLevel="2" x14ac:dyDescent="0.35">
      <c r="A1726" s="388" t="s">
        <v>3868</v>
      </c>
      <c r="B1726" s="389">
        <v>44139</v>
      </c>
      <c r="C1726" s="390" t="s">
        <v>5622</v>
      </c>
      <c r="D1726" s="391" t="s">
        <v>5605</v>
      </c>
      <c r="E1726" s="391" t="s">
        <v>5424</v>
      </c>
      <c r="F1726" s="392">
        <v>100000</v>
      </c>
      <c r="G1726" s="393" t="s">
        <v>3800</v>
      </c>
      <c r="H1726" s="394">
        <f>F1726/'[5]Income + exchange rates'!$G$60</f>
        <v>38.395657583874332</v>
      </c>
      <c r="I1726" s="394"/>
      <c r="J1726" s="392">
        <f t="shared" si="58"/>
        <v>7.6791315167748664</v>
      </c>
      <c r="K1726" s="392">
        <f t="shared" si="58"/>
        <v>7.6791315167748664</v>
      </c>
      <c r="L1726" s="392">
        <f t="shared" si="58"/>
        <v>7.6791315167748664</v>
      </c>
      <c r="M1726" s="392">
        <f t="shared" si="58"/>
        <v>7.6791315167748664</v>
      </c>
      <c r="N1726" s="392">
        <f t="shared" si="58"/>
        <v>7.6791315167748664</v>
      </c>
    </row>
    <row r="1727" spans="1:14" hidden="1" outlineLevel="2" collapsed="1" x14ac:dyDescent="0.35">
      <c r="A1727" s="388" t="s">
        <v>3868</v>
      </c>
      <c r="B1727" s="389">
        <v>44142</v>
      </c>
      <c r="C1727" s="390" t="s">
        <v>5623</v>
      </c>
      <c r="D1727" s="391" t="s">
        <v>5624</v>
      </c>
      <c r="E1727" s="391" t="s">
        <v>5419</v>
      </c>
      <c r="F1727" s="392">
        <v>8000</v>
      </c>
      <c r="G1727" s="393" t="s">
        <v>3800</v>
      </c>
      <c r="H1727" s="394">
        <f>F1727/'[5]Income + exchange rates'!$G$60</f>
        <v>3.0716526067099461</v>
      </c>
      <c r="I1727" s="394"/>
      <c r="J1727" s="392">
        <f t="shared" ref="J1727:N1742" si="59">$H1727/5</f>
        <v>0.61433052134198918</v>
      </c>
      <c r="K1727" s="392">
        <f t="shared" si="59"/>
        <v>0.61433052134198918</v>
      </c>
      <c r="L1727" s="392">
        <f t="shared" si="59"/>
        <v>0.61433052134198918</v>
      </c>
      <c r="M1727" s="392">
        <f t="shared" si="59"/>
        <v>0.61433052134198918</v>
      </c>
      <c r="N1727" s="392">
        <f t="shared" si="59"/>
        <v>0.61433052134198918</v>
      </c>
    </row>
    <row r="1728" spans="1:14" hidden="1" outlineLevel="2" x14ac:dyDescent="0.35">
      <c r="A1728" s="388" t="s">
        <v>3868</v>
      </c>
      <c r="B1728" s="389">
        <v>44140</v>
      </c>
      <c r="C1728" s="390" t="s">
        <v>5625</v>
      </c>
      <c r="D1728" s="391" t="s">
        <v>5626</v>
      </c>
      <c r="E1728" s="391" t="s">
        <v>5627</v>
      </c>
      <c r="F1728" s="392">
        <v>115000</v>
      </c>
      <c r="G1728" s="393" t="s">
        <v>3800</v>
      </c>
      <c r="H1728" s="394">
        <f>F1728/'[5]Income + exchange rates'!$G$60</f>
        <v>44.15500622145548</v>
      </c>
      <c r="I1728" s="394"/>
      <c r="J1728" s="392">
        <f t="shared" si="59"/>
        <v>8.8310012442910963</v>
      </c>
      <c r="K1728" s="392">
        <f t="shared" si="59"/>
        <v>8.8310012442910963</v>
      </c>
      <c r="L1728" s="392">
        <f t="shared" si="59"/>
        <v>8.8310012442910963</v>
      </c>
      <c r="M1728" s="392">
        <f t="shared" si="59"/>
        <v>8.8310012442910963</v>
      </c>
      <c r="N1728" s="392">
        <f t="shared" si="59"/>
        <v>8.8310012442910963</v>
      </c>
    </row>
    <row r="1729" spans="1:14" hidden="1" outlineLevel="2" x14ac:dyDescent="0.35">
      <c r="A1729" s="388" t="s">
        <v>3868</v>
      </c>
      <c r="B1729" s="389">
        <v>44140</v>
      </c>
      <c r="C1729" s="390" t="s">
        <v>5628</v>
      </c>
      <c r="D1729" s="391" t="s">
        <v>5601</v>
      </c>
      <c r="E1729" s="391" t="s">
        <v>5629</v>
      </c>
      <c r="F1729" s="392">
        <v>20000</v>
      </c>
      <c r="G1729" s="393" t="s">
        <v>3800</v>
      </c>
      <c r="H1729" s="394">
        <f>F1729/'[5]Income + exchange rates'!$G$60</f>
        <v>7.6791315167748655</v>
      </c>
      <c r="I1729" s="394"/>
      <c r="J1729" s="392">
        <f t="shared" si="59"/>
        <v>1.5358263033549731</v>
      </c>
      <c r="K1729" s="392">
        <f t="shared" si="59"/>
        <v>1.5358263033549731</v>
      </c>
      <c r="L1729" s="392">
        <f t="shared" si="59"/>
        <v>1.5358263033549731</v>
      </c>
      <c r="M1729" s="392">
        <f t="shared" si="59"/>
        <v>1.5358263033549731</v>
      </c>
      <c r="N1729" s="392">
        <f t="shared" si="59"/>
        <v>1.5358263033549731</v>
      </c>
    </row>
    <row r="1730" spans="1:14" hidden="1" outlineLevel="2" x14ac:dyDescent="0.35">
      <c r="A1730" s="388" t="s">
        <v>3868</v>
      </c>
      <c r="B1730" s="389">
        <v>44143</v>
      </c>
      <c r="C1730" s="390" t="s">
        <v>5630</v>
      </c>
      <c r="D1730" s="391" t="s">
        <v>5631</v>
      </c>
      <c r="E1730" s="391" t="s">
        <v>5610</v>
      </c>
      <c r="F1730" s="392">
        <v>40000</v>
      </c>
      <c r="G1730" s="393" t="s">
        <v>3800</v>
      </c>
      <c r="H1730" s="394">
        <f>F1730/'[5]Income + exchange rates'!$G$60</f>
        <v>15.358263033549731</v>
      </c>
      <c r="I1730" s="394"/>
      <c r="J1730" s="392">
        <f t="shared" si="59"/>
        <v>3.0716526067099461</v>
      </c>
      <c r="K1730" s="392">
        <f t="shared" si="59"/>
        <v>3.0716526067099461</v>
      </c>
      <c r="L1730" s="392">
        <f t="shared" si="59"/>
        <v>3.0716526067099461</v>
      </c>
      <c r="M1730" s="392">
        <f t="shared" si="59"/>
        <v>3.0716526067099461</v>
      </c>
      <c r="N1730" s="392">
        <f t="shared" si="59"/>
        <v>3.0716526067099461</v>
      </c>
    </row>
    <row r="1731" spans="1:14" hidden="1" outlineLevel="2" x14ac:dyDescent="0.35">
      <c r="A1731" s="388" t="s">
        <v>3868</v>
      </c>
      <c r="B1731" s="389">
        <v>44143</v>
      </c>
      <c r="C1731" s="390" t="s">
        <v>5632</v>
      </c>
      <c r="D1731" s="391" t="s">
        <v>5609</v>
      </c>
      <c r="E1731" s="391" t="s">
        <v>5610</v>
      </c>
      <c r="F1731" s="392">
        <v>70000</v>
      </c>
      <c r="G1731" s="393" t="s">
        <v>3800</v>
      </c>
      <c r="H1731" s="394">
        <f>F1731/'[5]Income + exchange rates'!$G$60</f>
        <v>26.876960308712029</v>
      </c>
      <c r="I1731" s="394"/>
      <c r="J1731" s="392">
        <f t="shared" si="59"/>
        <v>5.3753920617424056</v>
      </c>
      <c r="K1731" s="392">
        <f t="shared" si="59"/>
        <v>5.3753920617424056</v>
      </c>
      <c r="L1731" s="392">
        <f t="shared" si="59"/>
        <v>5.3753920617424056</v>
      </c>
      <c r="M1731" s="392">
        <f t="shared" si="59"/>
        <v>5.3753920617424056</v>
      </c>
      <c r="N1731" s="392">
        <f t="shared" si="59"/>
        <v>5.3753920617424056</v>
      </c>
    </row>
    <row r="1732" spans="1:14" hidden="1" outlineLevel="2" x14ac:dyDescent="0.35">
      <c r="A1732" s="388" t="s">
        <v>3868</v>
      </c>
      <c r="B1732" s="389">
        <v>44145</v>
      </c>
      <c r="C1732" s="390" t="s">
        <v>5633</v>
      </c>
      <c r="D1732" s="391" t="s">
        <v>5423</v>
      </c>
      <c r="E1732" s="391" t="s">
        <v>5424</v>
      </c>
      <c r="F1732" s="392">
        <v>55000</v>
      </c>
      <c r="G1732" s="393" t="s">
        <v>3800</v>
      </c>
      <c r="H1732" s="394">
        <f>F1732/'[5]Income + exchange rates'!$G$60</f>
        <v>21.117611671130881</v>
      </c>
      <c r="I1732" s="394"/>
      <c r="J1732" s="392">
        <f t="shared" si="59"/>
        <v>4.2235223342261765</v>
      </c>
      <c r="K1732" s="392">
        <f t="shared" si="59"/>
        <v>4.2235223342261765</v>
      </c>
      <c r="L1732" s="392">
        <f t="shared" si="59"/>
        <v>4.2235223342261765</v>
      </c>
      <c r="M1732" s="392">
        <f t="shared" si="59"/>
        <v>4.2235223342261765</v>
      </c>
      <c r="N1732" s="392">
        <f t="shared" si="59"/>
        <v>4.2235223342261765</v>
      </c>
    </row>
    <row r="1733" spans="1:14" hidden="1" outlineLevel="2" x14ac:dyDescent="0.35">
      <c r="A1733" s="388" t="s">
        <v>3868</v>
      </c>
      <c r="B1733" s="389">
        <v>44148</v>
      </c>
      <c r="C1733" s="390" t="s">
        <v>5634</v>
      </c>
      <c r="D1733" s="391" t="s">
        <v>5431</v>
      </c>
      <c r="E1733" s="391" t="s">
        <v>5610</v>
      </c>
      <c r="F1733" s="392">
        <v>85000</v>
      </c>
      <c r="G1733" s="393" t="s">
        <v>3800</v>
      </c>
      <c r="H1733" s="394">
        <f>F1733/'[5]Income + exchange rates'!$G$60</f>
        <v>32.636308946293177</v>
      </c>
      <c r="I1733" s="394"/>
      <c r="J1733" s="392">
        <f t="shared" si="59"/>
        <v>6.5272617892586355</v>
      </c>
      <c r="K1733" s="392">
        <f t="shared" si="59"/>
        <v>6.5272617892586355</v>
      </c>
      <c r="L1733" s="392">
        <f t="shared" si="59"/>
        <v>6.5272617892586355</v>
      </c>
      <c r="M1733" s="392">
        <f t="shared" si="59"/>
        <v>6.5272617892586355</v>
      </c>
      <c r="N1733" s="392">
        <f t="shared" si="59"/>
        <v>6.5272617892586355</v>
      </c>
    </row>
    <row r="1734" spans="1:14" hidden="1" outlineLevel="2" x14ac:dyDescent="0.35">
      <c r="A1734" s="388" t="s">
        <v>3868</v>
      </c>
      <c r="B1734" s="389">
        <v>44149</v>
      </c>
      <c r="C1734" s="390" t="s">
        <v>5635</v>
      </c>
      <c r="D1734" s="391" t="s">
        <v>5636</v>
      </c>
      <c r="E1734" s="391" t="s">
        <v>5637</v>
      </c>
      <c r="F1734" s="392">
        <v>124500</v>
      </c>
      <c r="G1734" s="393" t="s">
        <v>3800</v>
      </c>
      <c r="H1734" s="394">
        <f>F1734/'[5]Income + exchange rates'!$G$60</f>
        <v>47.802593691923541</v>
      </c>
      <c r="I1734" s="394"/>
      <c r="J1734" s="392">
        <f t="shared" si="59"/>
        <v>9.5605187383847081</v>
      </c>
      <c r="K1734" s="392">
        <f t="shared" si="59"/>
        <v>9.5605187383847081</v>
      </c>
      <c r="L1734" s="392">
        <f t="shared" si="59"/>
        <v>9.5605187383847081</v>
      </c>
      <c r="M1734" s="392">
        <f t="shared" si="59"/>
        <v>9.5605187383847081</v>
      </c>
      <c r="N1734" s="392">
        <f t="shared" si="59"/>
        <v>9.5605187383847081</v>
      </c>
    </row>
    <row r="1735" spans="1:14" hidden="1" outlineLevel="2" x14ac:dyDescent="0.35">
      <c r="A1735" s="388" t="s">
        <v>3868</v>
      </c>
      <c r="B1735" s="389">
        <v>44161</v>
      </c>
      <c r="C1735" s="390" t="s">
        <v>5638</v>
      </c>
      <c r="D1735" s="391" t="s">
        <v>5639</v>
      </c>
      <c r="E1735" s="391" t="s">
        <v>5637</v>
      </c>
      <c r="F1735" s="392">
        <v>290000</v>
      </c>
      <c r="G1735" s="393" t="s">
        <v>3800</v>
      </c>
      <c r="H1735" s="394">
        <f>F1735/'[5]Income + exchange rates'!$G$60</f>
        <v>111.34740699323555</v>
      </c>
      <c r="I1735" s="394"/>
      <c r="J1735" s="392">
        <f t="shared" si="59"/>
        <v>22.269481398647109</v>
      </c>
      <c r="K1735" s="392">
        <f t="shared" si="59"/>
        <v>22.269481398647109</v>
      </c>
      <c r="L1735" s="392">
        <f t="shared" si="59"/>
        <v>22.269481398647109</v>
      </c>
      <c r="M1735" s="392">
        <f t="shared" si="59"/>
        <v>22.269481398647109</v>
      </c>
      <c r="N1735" s="392">
        <f t="shared" si="59"/>
        <v>22.269481398647109</v>
      </c>
    </row>
    <row r="1736" spans="1:14" hidden="1" outlineLevel="2" x14ac:dyDescent="0.35">
      <c r="A1736" s="388" t="s">
        <v>3868</v>
      </c>
      <c r="B1736" s="389">
        <v>44137</v>
      </c>
      <c r="C1736" s="390" t="s">
        <v>5640</v>
      </c>
      <c r="D1736" s="391" t="s">
        <v>5423</v>
      </c>
      <c r="E1736" s="391" t="s">
        <v>5424</v>
      </c>
      <c r="F1736" s="392">
        <v>55000</v>
      </c>
      <c r="G1736" s="393" t="s">
        <v>3800</v>
      </c>
      <c r="H1736" s="394">
        <f>F1736/'[5]Income + exchange rates'!$G$60</f>
        <v>21.117611671130881</v>
      </c>
      <c r="I1736" s="394"/>
      <c r="J1736" s="392">
        <f t="shared" si="59"/>
        <v>4.2235223342261765</v>
      </c>
      <c r="K1736" s="392">
        <f t="shared" si="59"/>
        <v>4.2235223342261765</v>
      </c>
      <c r="L1736" s="392">
        <f t="shared" si="59"/>
        <v>4.2235223342261765</v>
      </c>
      <c r="M1736" s="392">
        <f t="shared" si="59"/>
        <v>4.2235223342261765</v>
      </c>
      <c r="N1736" s="392">
        <f t="shared" si="59"/>
        <v>4.2235223342261765</v>
      </c>
    </row>
    <row r="1737" spans="1:14" hidden="1" outlineLevel="2" x14ac:dyDescent="0.35">
      <c r="A1737" s="388" t="s">
        <v>3868</v>
      </c>
      <c r="B1737" s="389">
        <v>44137</v>
      </c>
      <c r="C1737" s="390" t="s">
        <v>5641</v>
      </c>
      <c r="D1737" s="391" t="s">
        <v>5605</v>
      </c>
      <c r="E1737" s="391" t="s">
        <v>5642</v>
      </c>
      <c r="F1737" s="392">
        <v>100000</v>
      </c>
      <c r="G1737" s="393" t="s">
        <v>3800</v>
      </c>
      <c r="H1737" s="394">
        <f>F1737/'[5]Income + exchange rates'!$G$60</f>
        <v>38.395657583874332</v>
      </c>
      <c r="I1737" s="394"/>
      <c r="J1737" s="392">
        <f t="shared" si="59"/>
        <v>7.6791315167748664</v>
      </c>
      <c r="K1737" s="392">
        <f t="shared" si="59"/>
        <v>7.6791315167748664</v>
      </c>
      <c r="L1737" s="392">
        <f t="shared" si="59"/>
        <v>7.6791315167748664</v>
      </c>
      <c r="M1737" s="392">
        <f t="shared" si="59"/>
        <v>7.6791315167748664</v>
      </c>
      <c r="N1737" s="392">
        <f t="shared" si="59"/>
        <v>7.6791315167748664</v>
      </c>
    </row>
    <row r="1738" spans="1:14" hidden="1" outlineLevel="2" x14ac:dyDescent="0.35">
      <c r="A1738" s="388" t="s">
        <v>3868</v>
      </c>
      <c r="B1738" s="389">
        <v>44175</v>
      </c>
      <c r="C1738" s="390" t="s">
        <v>5643</v>
      </c>
      <c r="D1738" s="391" t="s">
        <v>5644</v>
      </c>
      <c r="E1738" s="391" t="s">
        <v>5614</v>
      </c>
      <c r="F1738" s="392">
        <v>80000</v>
      </c>
      <c r="G1738" s="393" t="s">
        <v>3800</v>
      </c>
      <c r="H1738" s="394">
        <f>F1738/'[5]Income + exchange rates'!$G$60</f>
        <v>30.716526067099462</v>
      </c>
      <c r="I1738" s="394"/>
      <c r="J1738" s="392">
        <f t="shared" si="59"/>
        <v>6.1433052134198922</v>
      </c>
      <c r="K1738" s="392">
        <f t="shared" si="59"/>
        <v>6.1433052134198922</v>
      </c>
      <c r="L1738" s="392">
        <f t="shared" si="59"/>
        <v>6.1433052134198922</v>
      </c>
      <c r="M1738" s="392">
        <f t="shared" si="59"/>
        <v>6.1433052134198922</v>
      </c>
      <c r="N1738" s="392">
        <f t="shared" si="59"/>
        <v>6.1433052134198922</v>
      </c>
    </row>
    <row r="1739" spans="1:14" hidden="1" outlineLevel="2" x14ac:dyDescent="0.35">
      <c r="A1739" s="388" t="s">
        <v>3868</v>
      </c>
      <c r="B1739" s="389">
        <v>44176</v>
      </c>
      <c r="C1739" s="390" t="s">
        <v>5645</v>
      </c>
      <c r="D1739" s="391" t="s">
        <v>5626</v>
      </c>
      <c r="E1739" s="391" t="s">
        <v>5627</v>
      </c>
      <c r="F1739" s="392">
        <v>255000</v>
      </c>
      <c r="G1739" s="393" t="s">
        <v>3800</v>
      </c>
      <c r="H1739" s="394">
        <f>F1739/'[5]Income + exchange rates'!$G$60</f>
        <v>97.908926838879538</v>
      </c>
      <c r="I1739" s="394"/>
      <c r="J1739" s="392">
        <f t="shared" si="59"/>
        <v>19.581785367775908</v>
      </c>
      <c r="K1739" s="392">
        <f t="shared" si="59"/>
        <v>19.581785367775908</v>
      </c>
      <c r="L1739" s="392">
        <f t="shared" si="59"/>
        <v>19.581785367775908</v>
      </c>
      <c r="M1739" s="392">
        <f t="shared" si="59"/>
        <v>19.581785367775908</v>
      </c>
      <c r="N1739" s="392">
        <f t="shared" si="59"/>
        <v>19.581785367775908</v>
      </c>
    </row>
    <row r="1740" spans="1:14" hidden="1" outlineLevel="2" x14ac:dyDescent="0.35">
      <c r="A1740" s="388" t="s">
        <v>3868</v>
      </c>
      <c r="B1740" s="389">
        <v>44176</v>
      </c>
      <c r="C1740" s="390" t="s">
        <v>5646</v>
      </c>
      <c r="D1740" s="391" t="s">
        <v>5531</v>
      </c>
      <c r="E1740" s="391" t="s">
        <v>5647</v>
      </c>
      <c r="F1740" s="392">
        <v>20000</v>
      </c>
      <c r="G1740" s="393" t="s">
        <v>3800</v>
      </c>
      <c r="H1740" s="394">
        <f>F1740/'[5]Income + exchange rates'!$G$60</f>
        <v>7.6791315167748655</v>
      </c>
      <c r="I1740" s="394"/>
      <c r="J1740" s="392">
        <f t="shared" si="59"/>
        <v>1.5358263033549731</v>
      </c>
      <c r="K1740" s="392">
        <f t="shared" si="59"/>
        <v>1.5358263033549731</v>
      </c>
      <c r="L1740" s="392">
        <f t="shared" si="59"/>
        <v>1.5358263033549731</v>
      </c>
      <c r="M1740" s="392">
        <f t="shared" si="59"/>
        <v>1.5358263033549731</v>
      </c>
      <c r="N1740" s="392">
        <f t="shared" si="59"/>
        <v>1.5358263033549731</v>
      </c>
    </row>
    <row r="1741" spans="1:14" hidden="1" outlineLevel="2" x14ac:dyDescent="0.35">
      <c r="A1741" s="388" t="s">
        <v>3868</v>
      </c>
      <c r="B1741" s="389">
        <v>44179</v>
      </c>
      <c r="C1741" s="390" t="s">
        <v>5648</v>
      </c>
      <c r="D1741" s="391" t="s">
        <v>5649</v>
      </c>
      <c r="E1741" s="391" t="s">
        <v>5650</v>
      </c>
      <c r="F1741" s="392">
        <v>150000</v>
      </c>
      <c r="G1741" s="393" t="s">
        <v>3800</v>
      </c>
      <c r="H1741" s="394">
        <f>F1741/'[5]Income + exchange rates'!$G$60</f>
        <v>57.593486375811494</v>
      </c>
      <c r="I1741" s="394"/>
      <c r="J1741" s="392">
        <f t="shared" si="59"/>
        <v>11.5186972751623</v>
      </c>
      <c r="K1741" s="392">
        <f t="shared" si="59"/>
        <v>11.5186972751623</v>
      </c>
      <c r="L1741" s="392">
        <f t="shared" si="59"/>
        <v>11.5186972751623</v>
      </c>
      <c r="M1741" s="392">
        <f t="shared" si="59"/>
        <v>11.5186972751623</v>
      </c>
      <c r="N1741" s="392">
        <f t="shared" si="59"/>
        <v>11.5186972751623</v>
      </c>
    </row>
    <row r="1742" spans="1:14" ht="30" hidden="1" outlineLevel="2" x14ac:dyDescent="0.35">
      <c r="A1742" s="388" t="s">
        <v>3868</v>
      </c>
      <c r="B1742" s="389">
        <v>44183</v>
      </c>
      <c r="C1742" s="390" t="s">
        <v>5651</v>
      </c>
      <c r="D1742" s="391" t="s">
        <v>5652</v>
      </c>
      <c r="E1742" s="391" t="s">
        <v>5653</v>
      </c>
      <c r="F1742" s="392">
        <v>612000</v>
      </c>
      <c r="G1742" s="393" t="s">
        <v>3800</v>
      </c>
      <c r="H1742" s="394">
        <f>F1742/'[5]Income + exchange rates'!$G$60</f>
        <v>234.98142441331089</v>
      </c>
      <c r="I1742" s="394"/>
      <c r="J1742" s="392">
        <f t="shared" si="59"/>
        <v>46.996284882662181</v>
      </c>
      <c r="K1742" s="392">
        <f t="shared" si="59"/>
        <v>46.996284882662181</v>
      </c>
      <c r="L1742" s="392">
        <f t="shared" si="59"/>
        <v>46.996284882662181</v>
      </c>
      <c r="M1742" s="392">
        <f t="shared" si="59"/>
        <v>46.996284882662181</v>
      </c>
      <c r="N1742" s="392">
        <f t="shared" si="59"/>
        <v>46.996284882662181</v>
      </c>
    </row>
    <row r="1743" spans="1:14" hidden="1" outlineLevel="2" x14ac:dyDescent="0.35">
      <c r="A1743" s="388" t="s">
        <v>3868</v>
      </c>
      <c r="B1743" s="389">
        <v>43887</v>
      </c>
      <c r="C1743" s="390" t="s">
        <v>5654</v>
      </c>
      <c r="D1743" s="391" t="s">
        <v>5655</v>
      </c>
      <c r="E1743" s="391" t="s">
        <v>5656</v>
      </c>
      <c r="F1743" s="392">
        <v>14300</v>
      </c>
      <c r="G1743" s="393" t="s">
        <v>5657</v>
      </c>
      <c r="H1743" s="394">
        <f>F1743/121.7</f>
        <v>117.50205423171734</v>
      </c>
      <c r="I1743" s="394"/>
      <c r="J1743" s="392">
        <f t="shared" ref="J1743:N1758" si="60">$H1743/5</f>
        <v>23.500410846343467</v>
      </c>
      <c r="K1743" s="392">
        <f t="shared" si="60"/>
        <v>23.500410846343467</v>
      </c>
      <c r="L1743" s="392">
        <f t="shared" si="60"/>
        <v>23.500410846343467</v>
      </c>
      <c r="M1743" s="392">
        <f t="shared" si="60"/>
        <v>23.500410846343467</v>
      </c>
      <c r="N1743" s="392">
        <f t="shared" si="60"/>
        <v>23.500410846343467</v>
      </c>
    </row>
    <row r="1744" spans="1:14" hidden="1" outlineLevel="2" x14ac:dyDescent="0.35">
      <c r="A1744" s="388" t="s">
        <v>3868</v>
      </c>
      <c r="B1744" s="389">
        <v>43887</v>
      </c>
      <c r="C1744" s="390" t="s">
        <v>5658</v>
      </c>
      <c r="D1744" s="391" t="s">
        <v>5659</v>
      </c>
      <c r="E1744" s="391" t="s">
        <v>5660</v>
      </c>
      <c r="F1744" s="392">
        <v>2560</v>
      </c>
      <c r="G1744" s="393" t="s">
        <v>5657</v>
      </c>
      <c r="H1744" s="394">
        <f>F1744/121.7</f>
        <v>21.035332785538209</v>
      </c>
      <c r="I1744" s="394"/>
      <c r="J1744" s="392">
        <f t="shared" si="60"/>
        <v>4.207066557107642</v>
      </c>
      <c r="K1744" s="392">
        <f t="shared" si="60"/>
        <v>4.207066557107642</v>
      </c>
      <c r="L1744" s="392">
        <f t="shared" si="60"/>
        <v>4.207066557107642</v>
      </c>
      <c r="M1744" s="392">
        <f t="shared" si="60"/>
        <v>4.207066557107642</v>
      </c>
      <c r="N1744" s="392">
        <f t="shared" si="60"/>
        <v>4.207066557107642</v>
      </c>
    </row>
    <row r="1745" spans="1:14" hidden="1" outlineLevel="2" x14ac:dyDescent="0.35">
      <c r="A1745" s="388" t="s">
        <v>3868</v>
      </c>
      <c r="B1745" s="389">
        <v>43914</v>
      </c>
      <c r="C1745" s="390" t="s">
        <v>5661</v>
      </c>
      <c r="D1745" s="391" t="s">
        <v>5662</v>
      </c>
      <c r="E1745" s="391" t="s">
        <v>5660</v>
      </c>
      <c r="F1745" s="392">
        <v>7441</v>
      </c>
      <c r="G1745" s="393" t="s">
        <v>5657</v>
      </c>
      <c r="H1745" s="394">
        <f>F1745/121.7</f>
        <v>61.14215283483977</v>
      </c>
      <c r="I1745" s="394"/>
      <c r="J1745" s="392">
        <f t="shared" si="60"/>
        <v>12.228430566967955</v>
      </c>
      <c r="K1745" s="392">
        <f t="shared" si="60"/>
        <v>12.228430566967955</v>
      </c>
      <c r="L1745" s="392">
        <f t="shared" si="60"/>
        <v>12.228430566967955</v>
      </c>
      <c r="M1745" s="392">
        <f t="shared" si="60"/>
        <v>12.228430566967955</v>
      </c>
      <c r="N1745" s="392">
        <f t="shared" si="60"/>
        <v>12.228430566967955</v>
      </c>
    </row>
    <row r="1746" spans="1:14" ht="30" hidden="1" outlineLevel="2" x14ac:dyDescent="0.35">
      <c r="A1746" s="388" t="s">
        <v>3868</v>
      </c>
      <c r="B1746" s="389">
        <v>43853</v>
      </c>
      <c r="C1746" s="390" t="s">
        <v>5663</v>
      </c>
      <c r="D1746" s="391" t="s">
        <v>5664</v>
      </c>
      <c r="E1746" s="391" t="s">
        <v>5665</v>
      </c>
      <c r="F1746" s="392">
        <v>413000</v>
      </c>
      <c r="G1746" s="393" t="s">
        <v>3800</v>
      </c>
      <c r="H1746" s="394">
        <f>F1746/'[5]Income + exchange rates'!$G$60</f>
        <v>158.57406582140098</v>
      </c>
      <c r="I1746" s="394"/>
      <c r="J1746" s="392">
        <f t="shared" si="60"/>
        <v>31.714813164280194</v>
      </c>
      <c r="K1746" s="392">
        <f t="shared" si="60"/>
        <v>31.714813164280194</v>
      </c>
      <c r="L1746" s="392">
        <f t="shared" si="60"/>
        <v>31.714813164280194</v>
      </c>
      <c r="M1746" s="392">
        <f t="shared" si="60"/>
        <v>31.714813164280194</v>
      </c>
      <c r="N1746" s="392">
        <f t="shared" si="60"/>
        <v>31.714813164280194</v>
      </c>
    </row>
    <row r="1747" spans="1:14" hidden="1" outlineLevel="2" x14ac:dyDescent="0.35">
      <c r="A1747" s="388" t="s">
        <v>3868</v>
      </c>
      <c r="B1747" s="389">
        <v>43890</v>
      </c>
      <c r="C1747" s="390" t="s">
        <v>5666</v>
      </c>
      <c r="D1747" s="391" t="s">
        <v>5667</v>
      </c>
      <c r="E1747" s="391" t="s">
        <v>5668</v>
      </c>
      <c r="F1747" s="392">
        <v>11016.95</v>
      </c>
      <c r="G1747" s="393" t="s">
        <v>3800</v>
      </c>
      <c r="H1747" s="394">
        <f>F1747/'[5]Income + exchange rates'!$G$60</f>
        <v>4.2300303981866429</v>
      </c>
      <c r="I1747" s="394"/>
      <c r="J1747" s="392">
        <f t="shared" si="60"/>
        <v>0.84600607963732855</v>
      </c>
      <c r="K1747" s="392">
        <f t="shared" si="60"/>
        <v>0.84600607963732855</v>
      </c>
      <c r="L1747" s="392">
        <f t="shared" si="60"/>
        <v>0.84600607963732855</v>
      </c>
      <c r="M1747" s="392">
        <f t="shared" si="60"/>
        <v>0.84600607963732855</v>
      </c>
      <c r="N1747" s="392">
        <f t="shared" si="60"/>
        <v>0.84600607963732855</v>
      </c>
    </row>
    <row r="1748" spans="1:14" hidden="1" outlineLevel="2" x14ac:dyDescent="0.35">
      <c r="A1748" s="388" t="s">
        <v>3868</v>
      </c>
      <c r="B1748" s="389">
        <v>43890</v>
      </c>
      <c r="C1748" s="390" t="s">
        <v>5669</v>
      </c>
      <c r="D1748" s="391" t="s">
        <v>5670</v>
      </c>
      <c r="E1748" s="391" t="s">
        <v>5668</v>
      </c>
      <c r="F1748" s="392">
        <v>1983.05</v>
      </c>
      <c r="G1748" s="393" t="s">
        <v>3800</v>
      </c>
      <c r="H1748" s="394">
        <f>F1748/'[5]Income + exchange rates'!$G$60</f>
        <v>0.76140508771701987</v>
      </c>
      <c r="I1748" s="394"/>
      <c r="J1748" s="392">
        <f t="shared" si="60"/>
        <v>0.15228101754340398</v>
      </c>
      <c r="K1748" s="392">
        <f t="shared" si="60"/>
        <v>0.15228101754340398</v>
      </c>
      <c r="L1748" s="392">
        <f t="shared" si="60"/>
        <v>0.15228101754340398</v>
      </c>
      <c r="M1748" s="392">
        <f t="shared" si="60"/>
        <v>0.15228101754340398</v>
      </c>
      <c r="N1748" s="392">
        <f t="shared" si="60"/>
        <v>0.15228101754340398</v>
      </c>
    </row>
    <row r="1749" spans="1:14" hidden="1" outlineLevel="2" collapsed="1" x14ac:dyDescent="0.35">
      <c r="A1749" s="388" t="s">
        <v>3868</v>
      </c>
      <c r="B1749" s="389">
        <v>44173</v>
      </c>
      <c r="C1749" s="390" t="s">
        <v>5671</v>
      </c>
      <c r="D1749" s="391" t="s">
        <v>5672</v>
      </c>
      <c r="E1749" s="391" t="s">
        <v>5673</v>
      </c>
      <c r="F1749" s="392">
        <v>1744470.03</v>
      </c>
      <c r="G1749" s="393" t="s">
        <v>3800</v>
      </c>
      <c r="H1749" s="394">
        <f>F1749/'[5]Income + exchange rates'!$G$60</f>
        <v>669.80073937210977</v>
      </c>
      <c r="I1749" s="394"/>
      <c r="J1749" s="392">
        <f t="shared" si="60"/>
        <v>133.96014787442195</v>
      </c>
      <c r="K1749" s="392">
        <f t="shared" si="60"/>
        <v>133.96014787442195</v>
      </c>
      <c r="L1749" s="392">
        <f t="shared" si="60"/>
        <v>133.96014787442195</v>
      </c>
      <c r="M1749" s="392">
        <f t="shared" si="60"/>
        <v>133.96014787442195</v>
      </c>
      <c r="N1749" s="392">
        <f t="shared" si="60"/>
        <v>133.96014787442195</v>
      </c>
    </row>
    <row r="1750" spans="1:14" hidden="1" outlineLevel="2" x14ac:dyDescent="0.35">
      <c r="A1750" s="388" t="s">
        <v>3868</v>
      </c>
      <c r="B1750" s="389">
        <v>44175</v>
      </c>
      <c r="C1750" s="390" t="s">
        <v>5674</v>
      </c>
      <c r="D1750" s="391" t="s">
        <v>5675</v>
      </c>
      <c r="E1750" s="391" t="s">
        <v>5668</v>
      </c>
      <c r="F1750" s="392">
        <v>991.52</v>
      </c>
      <c r="G1750" s="393" t="s">
        <v>3800</v>
      </c>
      <c r="H1750" s="394">
        <f>F1750/'[5]Income + exchange rates'!$G$60</f>
        <v>0.38070062407563077</v>
      </c>
      <c r="I1750" s="394"/>
      <c r="J1750" s="392">
        <f t="shared" si="60"/>
        <v>7.6140124815126151E-2</v>
      </c>
      <c r="K1750" s="392">
        <f t="shared" si="60"/>
        <v>7.6140124815126151E-2</v>
      </c>
      <c r="L1750" s="392">
        <f t="shared" si="60"/>
        <v>7.6140124815126151E-2</v>
      </c>
      <c r="M1750" s="392">
        <f t="shared" si="60"/>
        <v>7.6140124815126151E-2</v>
      </c>
      <c r="N1750" s="392">
        <f t="shared" si="60"/>
        <v>7.6140124815126151E-2</v>
      </c>
    </row>
    <row r="1751" spans="1:14" hidden="1" outlineLevel="2" x14ac:dyDescent="0.35">
      <c r="A1751" s="388" t="s">
        <v>3868</v>
      </c>
      <c r="B1751" s="389">
        <v>44175</v>
      </c>
      <c r="C1751" s="390" t="s">
        <v>5676</v>
      </c>
      <c r="D1751" s="391" t="s">
        <v>5677</v>
      </c>
      <c r="E1751" s="391" t="s">
        <v>5668</v>
      </c>
      <c r="F1751" s="392">
        <v>5508.47</v>
      </c>
      <c r="G1751" s="393" t="s">
        <v>3800</v>
      </c>
      <c r="H1751" s="394">
        <f>F1751/'[5]Income + exchange rates'!$G$60</f>
        <v>2.1150132793104421</v>
      </c>
      <c r="I1751" s="394"/>
      <c r="J1751" s="392">
        <f t="shared" si="60"/>
        <v>0.42300265586208841</v>
      </c>
      <c r="K1751" s="392">
        <f t="shared" si="60"/>
        <v>0.42300265586208841</v>
      </c>
      <c r="L1751" s="392">
        <f t="shared" si="60"/>
        <v>0.42300265586208841</v>
      </c>
      <c r="M1751" s="392">
        <f t="shared" si="60"/>
        <v>0.42300265586208841</v>
      </c>
      <c r="N1751" s="392">
        <f t="shared" si="60"/>
        <v>0.42300265586208841</v>
      </c>
    </row>
    <row r="1752" spans="1:14" hidden="1" outlineLevel="2" x14ac:dyDescent="0.35">
      <c r="A1752" s="388" t="s">
        <v>3868</v>
      </c>
      <c r="B1752" s="389">
        <v>44176</v>
      </c>
      <c r="C1752" s="390" t="s">
        <v>5678</v>
      </c>
      <c r="D1752" s="391" t="s">
        <v>5679</v>
      </c>
      <c r="E1752" s="391" t="s">
        <v>5680</v>
      </c>
      <c r="F1752" s="392">
        <v>5150400</v>
      </c>
      <c r="G1752" s="393" t="s">
        <v>3800</v>
      </c>
      <c r="H1752" s="394">
        <f>F1752/'[5]Income + exchange rates'!$G$60</f>
        <v>1977.5299481998634</v>
      </c>
      <c r="I1752" s="394"/>
      <c r="J1752" s="392">
        <f t="shared" si="60"/>
        <v>395.50598963997265</v>
      </c>
      <c r="K1752" s="392">
        <f t="shared" si="60"/>
        <v>395.50598963997265</v>
      </c>
      <c r="L1752" s="392">
        <f t="shared" si="60"/>
        <v>395.50598963997265</v>
      </c>
      <c r="M1752" s="392">
        <f t="shared" si="60"/>
        <v>395.50598963997265</v>
      </c>
      <c r="N1752" s="392">
        <f t="shared" si="60"/>
        <v>395.50598963997265</v>
      </c>
    </row>
    <row r="1753" spans="1:14" hidden="1" outlineLevel="2" x14ac:dyDescent="0.35">
      <c r="A1753" s="388" t="s">
        <v>3868</v>
      </c>
      <c r="B1753" s="389">
        <v>44177</v>
      </c>
      <c r="C1753" s="390" t="s">
        <v>5681</v>
      </c>
      <c r="D1753" s="391" t="s">
        <v>5682</v>
      </c>
      <c r="E1753" s="391" t="s">
        <v>5668</v>
      </c>
      <c r="F1753" s="392">
        <v>991.52</v>
      </c>
      <c r="G1753" s="393" t="s">
        <v>3800</v>
      </c>
      <c r="H1753" s="394">
        <f>F1753/'[5]Income + exchange rates'!$G$60</f>
        <v>0.38070062407563077</v>
      </c>
      <c r="I1753" s="394"/>
      <c r="J1753" s="392">
        <f t="shared" si="60"/>
        <v>7.6140124815126151E-2</v>
      </c>
      <c r="K1753" s="392">
        <f t="shared" si="60"/>
        <v>7.6140124815126151E-2</v>
      </c>
      <c r="L1753" s="392">
        <f t="shared" si="60"/>
        <v>7.6140124815126151E-2</v>
      </c>
      <c r="M1753" s="392">
        <f t="shared" si="60"/>
        <v>7.6140124815126151E-2</v>
      </c>
      <c r="N1753" s="392">
        <f t="shared" si="60"/>
        <v>7.6140124815126151E-2</v>
      </c>
    </row>
    <row r="1754" spans="1:14" hidden="1" outlineLevel="2" x14ac:dyDescent="0.35">
      <c r="A1754" s="388" t="s">
        <v>3868</v>
      </c>
      <c r="B1754" s="389">
        <v>44177</v>
      </c>
      <c r="C1754" s="390" t="s">
        <v>5683</v>
      </c>
      <c r="D1754" s="391" t="s">
        <v>5684</v>
      </c>
      <c r="E1754" s="391" t="s">
        <v>5668</v>
      </c>
      <c r="F1754" s="392">
        <v>5508.47</v>
      </c>
      <c r="G1754" s="393" t="s">
        <v>3800</v>
      </c>
      <c r="H1754" s="394">
        <f>F1754/'[5]Income + exchange rates'!$G$60</f>
        <v>2.1150132793104421</v>
      </c>
      <c r="I1754" s="394"/>
      <c r="J1754" s="392">
        <f t="shared" si="60"/>
        <v>0.42300265586208841</v>
      </c>
      <c r="K1754" s="392">
        <f t="shared" si="60"/>
        <v>0.42300265586208841</v>
      </c>
      <c r="L1754" s="392">
        <f t="shared" si="60"/>
        <v>0.42300265586208841</v>
      </c>
      <c r="M1754" s="392">
        <f t="shared" si="60"/>
        <v>0.42300265586208841</v>
      </c>
      <c r="N1754" s="392">
        <f t="shared" si="60"/>
        <v>0.42300265586208841</v>
      </c>
    </row>
    <row r="1755" spans="1:14" hidden="1" outlineLevel="2" x14ac:dyDescent="0.35">
      <c r="A1755" s="388" t="s">
        <v>3868</v>
      </c>
      <c r="B1755" s="389">
        <v>44196</v>
      </c>
      <c r="C1755" s="390" t="s">
        <v>5685</v>
      </c>
      <c r="D1755" s="391" t="s">
        <v>5670</v>
      </c>
      <c r="E1755" s="391" t="s">
        <v>5668</v>
      </c>
      <c r="F1755" s="392">
        <v>1983.05</v>
      </c>
      <c r="G1755" s="393" t="s">
        <v>3800</v>
      </c>
      <c r="H1755" s="394">
        <f>F1755/'[5]Income + exchange rates'!$G$60</f>
        <v>0.76140508771701987</v>
      </c>
      <c r="I1755" s="394"/>
      <c r="J1755" s="392">
        <f t="shared" si="60"/>
        <v>0.15228101754340398</v>
      </c>
      <c r="K1755" s="392">
        <f t="shared" si="60"/>
        <v>0.15228101754340398</v>
      </c>
      <c r="L1755" s="392">
        <f t="shared" si="60"/>
        <v>0.15228101754340398</v>
      </c>
      <c r="M1755" s="392">
        <f t="shared" si="60"/>
        <v>0.15228101754340398</v>
      </c>
      <c r="N1755" s="392">
        <f t="shared" si="60"/>
        <v>0.15228101754340398</v>
      </c>
    </row>
    <row r="1756" spans="1:14" hidden="1" outlineLevel="2" x14ac:dyDescent="0.35">
      <c r="A1756" s="388" t="s">
        <v>3868</v>
      </c>
      <c r="B1756" s="389">
        <v>44196</v>
      </c>
      <c r="C1756" s="390" t="s">
        <v>5686</v>
      </c>
      <c r="D1756" s="391" t="s">
        <v>5667</v>
      </c>
      <c r="E1756" s="391" t="s">
        <v>5668</v>
      </c>
      <c r="F1756" s="392">
        <v>11016.95</v>
      </c>
      <c r="G1756" s="393" t="s">
        <v>3800</v>
      </c>
      <c r="H1756" s="394">
        <f>F1756/'[5]Income + exchange rates'!$G$60</f>
        <v>4.2300303981866429</v>
      </c>
      <c r="I1756" s="394"/>
      <c r="J1756" s="392">
        <f t="shared" si="60"/>
        <v>0.84600607963732855</v>
      </c>
      <c r="K1756" s="392">
        <f t="shared" si="60"/>
        <v>0.84600607963732855</v>
      </c>
      <c r="L1756" s="392">
        <f t="shared" si="60"/>
        <v>0.84600607963732855</v>
      </c>
      <c r="M1756" s="392">
        <f t="shared" si="60"/>
        <v>0.84600607963732855</v>
      </c>
      <c r="N1756" s="392">
        <f t="shared" si="60"/>
        <v>0.84600607963732855</v>
      </c>
    </row>
    <row r="1757" spans="1:14" hidden="1" outlineLevel="2" collapsed="1" x14ac:dyDescent="0.35">
      <c r="A1757" s="388" t="s">
        <v>3868</v>
      </c>
      <c r="B1757" s="389">
        <v>44196</v>
      </c>
      <c r="C1757" s="390"/>
      <c r="D1757" s="391" t="s">
        <v>5687</v>
      </c>
      <c r="E1757" s="391" t="s">
        <v>5668</v>
      </c>
      <c r="F1757" s="392">
        <v>205.44</v>
      </c>
      <c r="G1757" s="393" t="s">
        <v>56</v>
      </c>
      <c r="H1757" s="394">
        <f>F1757</f>
        <v>205.44</v>
      </c>
      <c r="I1757" s="394"/>
      <c r="J1757" s="392">
        <f t="shared" si="60"/>
        <v>41.088000000000001</v>
      </c>
      <c r="K1757" s="392">
        <f t="shared" si="60"/>
        <v>41.088000000000001</v>
      </c>
      <c r="L1757" s="392">
        <f t="shared" si="60"/>
        <v>41.088000000000001</v>
      </c>
      <c r="M1757" s="392">
        <f t="shared" si="60"/>
        <v>41.088000000000001</v>
      </c>
      <c r="N1757" s="392">
        <f t="shared" si="60"/>
        <v>41.088000000000001</v>
      </c>
    </row>
    <row r="1758" spans="1:14" hidden="1" outlineLevel="2" x14ac:dyDescent="0.35">
      <c r="A1758" s="388" t="s">
        <v>3868</v>
      </c>
      <c r="B1758" s="389">
        <v>43697</v>
      </c>
      <c r="C1758" s="390" t="s">
        <v>5688</v>
      </c>
      <c r="D1758" s="391" t="s">
        <v>5689</v>
      </c>
      <c r="E1758" s="391" t="s">
        <v>2839</v>
      </c>
      <c r="F1758" s="392">
        <v>5</v>
      </c>
      <c r="G1758" s="393" t="s">
        <v>56</v>
      </c>
      <c r="H1758" s="394">
        <v>5</v>
      </c>
      <c r="I1758" s="394"/>
      <c r="J1758" s="392">
        <f t="shared" si="60"/>
        <v>1</v>
      </c>
      <c r="K1758" s="392">
        <f t="shared" si="60"/>
        <v>1</v>
      </c>
      <c r="L1758" s="392">
        <f t="shared" si="60"/>
        <v>1</v>
      </c>
      <c r="M1758" s="392">
        <f t="shared" si="60"/>
        <v>1</v>
      </c>
      <c r="N1758" s="392">
        <f t="shared" si="60"/>
        <v>1</v>
      </c>
    </row>
    <row r="1759" spans="1:14" hidden="1" outlineLevel="2" x14ac:dyDescent="0.35">
      <c r="A1759" s="388" t="s">
        <v>3868</v>
      </c>
      <c r="B1759" s="389">
        <v>43721</v>
      </c>
      <c r="C1759" s="390" t="s">
        <v>5690</v>
      </c>
      <c r="D1759" s="391" t="s">
        <v>5691</v>
      </c>
      <c r="E1759" s="391" t="s">
        <v>5692</v>
      </c>
      <c r="F1759" s="392">
        <v>55000</v>
      </c>
      <c r="G1759" s="393" t="s">
        <v>3800</v>
      </c>
      <c r="H1759" s="394">
        <v>21.318931669796363</v>
      </c>
      <c r="I1759" s="394"/>
      <c r="J1759" s="392">
        <f t="shared" ref="J1759:N1774" si="61">$H1759/5</f>
        <v>4.2637863339592723</v>
      </c>
      <c r="K1759" s="392">
        <f t="shared" si="61"/>
        <v>4.2637863339592723</v>
      </c>
      <c r="L1759" s="392">
        <f t="shared" si="61"/>
        <v>4.2637863339592723</v>
      </c>
      <c r="M1759" s="392">
        <f t="shared" si="61"/>
        <v>4.2637863339592723</v>
      </c>
      <c r="N1759" s="392">
        <f t="shared" si="61"/>
        <v>4.2637863339592723</v>
      </c>
    </row>
    <row r="1760" spans="1:14" hidden="1" outlineLevel="2" x14ac:dyDescent="0.35">
      <c r="A1760" s="388" t="s">
        <v>3868</v>
      </c>
      <c r="B1760" s="389">
        <v>43766</v>
      </c>
      <c r="C1760" s="390" t="s">
        <v>5693</v>
      </c>
      <c r="D1760" s="391" t="s">
        <v>5694</v>
      </c>
      <c r="E1760" s="391" t="s">
        <v>5695</v>
      </c>
      <c r="F1760" s="392">
        <v>100000</v>
      </c>
      <c r="G1760" s="393" t="s">
        <v>3800</v>
      </c>
      <c r="H1760" s="394">
        <v>38.761693945084296</v>
      </c>
      <c r="I1760" s="394"/>
      <c r="J1760" s="392">
        <f t="shared" si="61"/>
        <v>7.7523387890168589</v>
      </c>
      <c r="K1760" s="392">
        <f t="shared" si="61"/>
        <v>7.7523387890168589</v>
      </c>
      <c r="L1760" s="392">
        <f t="shared" si="61"/>
        <v>7.7523387890168589</v>
      </c>
      <c r="M1760" s="392">
        <f t="shared" si="61"/>
        <v>7.7523387890168589</v>
      </c>
      <c r="N1760" s="392">
        <f t="shared" si="61"/>
        <v>7.7523387890168589</v>
      </c>
    </row>
    <row r="1761" spans="1:14" hidden="1" outlineLevel="2" collapsed="1" x14ac:dyDescent="0.35">
      <c r="A1761" s="388" t="s">
        <v>3868</v>
      </c>
      <c r="B1761" s="389">
        <v>43777</v>
      </c>
      <c r="C1761" s="390" t="s">
        <v>5696</v>
      </c>
      <c r="D1761" s="391" t="s">
        <v>5697</v>
      </c>
      <c r="E1761" s="391" t="s">
        <v>5698</v>
      </c>
      <c r="F1761" s="392">
        <v>85000</v>
      </c>
      <c r="G1761" s="393" t="s">
        <v>3800</v>
      </c>
      <c r="H1761" s="394">
        <v>32.947439853321654</v>
      </c>
      <c r="I1761" s="394"/>
      <c r="J1761" s="392">
        <f t="shared" si="61"/>
        <v>6.5894879706643312</v>
      </c>
      <c r="K1761" s="392">
        <f t="shared" si="61"/>
        <v>6.5894879706643312</v>
      </c>
      <c r="L1761" s="392">
        <f t="shared" si="61"/>
        <v>6.5894879706643312</v>
      </c>
      <c r="M1761" s="392">
        <f t="shared" si="61"/>
        <v>6.5894879706643312</v>
      </c>
      <c r="N1761" s="392">
        <f t="shared" si="61"/>
        <v>6.5894879706643312</v>
      </c>
    </row>
    <row r="1762" spans="1:14" hidden="1" outlineLevel="2" x14ac:dyDescent="0.35">
      <c r="A1762" s="388" t="s">
        <v>3868</v>
      </c>
      <c r="B1762" s="389">
        <v>43810</v>
      </c>
      <c r="C1762" s="390" t="s">
        <v>5699</v>
      </c>
      <c r="D1762" s="391" t="s">
        <v>5700</v>
      </c>
      <c r="E1762" s="391" t="s">
        <v>5701</v>
      </c>
      <c r="F1762" s="392">
        <v>70000</v>
      </c>
      <c r="G1762" s="393" t="s">
        <v>3800</v>
      </c>
      <c r="H1762" s="394">
        <v>27.133185761559009</v>
      </c>
      <c r="I1762" s="394"/>
      <c r="J1762" s="392">
        <f t="shared" si="61"/>
        <v>5.4266371523118018</v>
      </c>
      <c r="K1762" s="392">
        <f t="shared" si="61"/>
        <v>5.4266371523118018</v>
      </c>
      <c r="L1762" s="392">
        <f t="shared" si="61"/>
        <v>5.4266371523118018</v>
      </c>
      <c r="M1762" s="392">
        <f t="shared" si="61"/>
        <v>5.4266371523118018</v>
      </c>
      <c r="N1762" s="392">
        <f t="shared" si="61"/>
        <v>5.4266371523118018</v>
      </c>
    </row>
    <row r="1763" spans="1:14" hidden="1" outlineLevel="2" x14ac:dyDescent="0.35">
      <c r="A1763" s="388" t="s">
        <v>3868</v>
      </c>
      <c r="B1763" s="389">
        <v>43811</v>
      </c>
      <c r="C1763" s="390" t="s">
        <v>5702</v>
      </c>
      <c r="D1763" s="391" t="s">
        <v>5703</v>
      </c>
      <c r="E1763" s="391" t="s">
        <v>5419</v>
      </c>
      <c r="F1763" s="392">
        <v>105000</v>
      </c>
      <c r="G1763" s="393" t="s">
        <v>3800</v>
      </c>
      <c r="H1763" s="394">
        <v>40.699778642338515</v>
      </c>
      <c r="I1763" s="394"/>
      <c r="J1763" s="392">
        <f t="shared" si="61"/>
        <v>8.1399557284677027</v>
      </c>
      <c r="K1763" s="392">
        <f t="shared" si="61"/>
        <v>8.1399557284677027</v>
      </c>
      <c r="L1763" s="392">
        <f t="shared" si="61"/>
        <v>8.1399557284677027</v>
      </c>
      <c r="M1763" s="392">
        <f t="shared" si="61"/>
        <v>8.1399557284677027</v>
      </c>
      <c r="N1763" s="392">
        <f t="shared" si="61"/>
        <v>8.1399557284677027</v>
      </c>
    </row>
    <row r="1764" spans="1:14" hidden="1" outlineLevel="2" x14ac:dyDescent="0.35">
      <c r="A1764" s="388" t="s">
        <v>3868</v>
      </c>
      <c r="B1764" s="389">
        <v>43682</v>
      </c>
      <c r="C1764" s="390" t="s">
        <v>5704</v>
      </c>
      <c r="D1764" s="391" t="s">
        <v>5705</v>
      </c>
      <c r="E1764" s="391" t="s">
        <v>5706</v>
      </c>
      <c r="F1764" s="392">
        <v>10000</v>
      </c>
      <c r="G1764" s="393" t="s">
        <v>3800</v>
      </c>
      <c r="H1764" s="394">
        <v>3.8761693945084299</v>
      </c>
      <c r="I1764" s="394"/>
      <c r="J1764" s="392">
        <f t="shared" si="61"/>
        <v>0.77523387890168594</v>
      </c>
      <c r="K1764" s="392">
        <f t="shared" si="61"/>
        <v>0.77523387890168594</v>
      </c>
      <c r="L1764" s="392">
        <f t="shared" si="61"/>
        <v>0.77523387890168594</v>
      </c>
      <c r="M1764" s="392">
        <f t="shared" si="61"/>
        <v>0.77523387890168594</v>
      </c>
      <c r="N1764" s="392">
        <f t="shared" si="61"/>
        <v>0.77523387890168594</v>
      </c>
    </row>
    <row r="1765" spans="1:14" hidden="1" outlineLevel="2" x14ac:dyDescent="0.35">
      <c r="A1765" s="388" t="s">
        <v>3868</v>
      </c>
      <c r="B1765" s="389">
        <v>43690</v>
      </c>
      <c r="C1765" s="390" t="s">
        <v>5707</v>
      </c>
      <c r="D1765" s="391" t="s">
        <v>5708</v>
      </c>
      <c r="E1765" s="391" t="s">
        <v>5709</v>
      </c>
      <c r="F1765" s="392">
        <v>2000</v>
      </c>
      <c r="G1765" s="393" t="s">
        <v>3800</v>
      </c>
      <c r="H1765" s="394">
        <v>0.77523387890168594</v>
      </c>
      <c r="I1765" s="394"/>
      <c r="J1765" s="392">
        <f t="shared" si="61"/>
        <v>0.15504677578033718</v>
      </c>
      <c r="K1765" s="392">
        <f t="shared" si="61"/>
        <v>0.15504677578033718</v>
      </c>
      <c r="L1765" s="392">
        <f t="shared" si="61"/>
        <v>0.15504677578033718</v>
      </c>
      <c r="M1765" s="392">
        <f t="shared" si="61"/>
        <v>0.15504677578033718</v>
      </c>
      <c r="N1765" s="392">
        <f t="shared" si="61"/>
        <v>0.15504677578033718</v>
      </c>
    </row>
    <row r="1766" spans="1:14" hidden="1" outlineLevel="2" x14ac:dyDescent="0.35">
      <c r="A1766" s="388" t="s">
        <v>3868</v>
      </c>
      <c r="B1766" s="389">
        <v>43690</v>
      </c>
      <c r="C1766" s="390" t="s">
        <v>5710</v>
      </c>
      <c r="D1766" s="391" t="s">
        <v>5711</v>
      </c>
      <c r="E1766" s="391" t="s">
        <v>5709</v>
      </c>
      <c r="F1766" s="392">
        <v>60000</v>
      </c>
      <c r="G1766" s="393" t="s">
        <v>3800</v>
      </c>
      <c r="H1766" s="394">
        <v>23.257016367050579</v>
      </c>
      <c r="I1766" s="394"/>
      <c r="J1766" s="392">
        <f t="shared" si="61"/>
        <v>4.6514032734101161</v>
      </c>
      <c r="K1766" s="392">
        <f t="shared" si="61"/>
        <v>4.6514032734101161</v>
      </c>
      <c r="L1766" s="392">
        <f t="shared" si="61"/>
        <v>4.6514032734101161</v>
      </c>
      <c r="M1766" s="392">
        <f t="shared" si="61"/>
        <v>4.6514032734101161</v>
      </c>
      <c r="N1766" s="392">
        <f t="shared" si="61"/>
        <v>4.6514032734101161</v>
      </c>
    </row>
    <row r="1767" spans="1:14" hidden="1" outlineLevel="2" x14ac:dyDescent="0.35">
      <c r="A1767" s="388" t="s">
        <v>3868</v>
      </c>
      <c r="B1767" s="389">
        <v>43698</v>
      </c>
      <c r="C1767" s="390" t="s">
        <v>5712</v>
      </c>
      <c r="D1767" s="391" t="s">
        <v>5713</v>
      </c>
      <c r="E1767" s="391" t="s">
        <v>5698</v>
      </c>
      <c r="F1767" s="392">
        <v>170000</v>
      </c>
      <c r="G1767" s="393" t="s">
        <v>3800</v>
      </c>
      <c r="H1767" s="394">
        <v>65.894879706643309</v>
      </c>
      <c r="I1767" s="394"/>
      <c r="J1767" s="392">
        <f t="shared" si="61"/>
        <v>13.178975941328662</v>
      </c>
      <c r="K1767" s="392">
        <f t="shared" si="61"/>
        <v>13.178975941328662</v>
      </c>
      <c r="L1767" s="392">
        <f t="shared" si="61"/>
        <v>13.178975941328662</v>
      </c>
      <c r="M1767" s="392">
        <f t="shared" si="61"/>
        <v>13.178975941328662</v>
      </c>
      <c r="N1767" s="392">
        <f t="shared" si="61"/>
        <v>13.178975941328662</v>
      </c>
    </row>
    <row r="1768" spans="1:14" hidden="1" outlineLevel="2" x14ac:dyDescent="0.35">
      <c r="A1768" s="388" t="s">
        <v>3868</v>
      </c>
      <c r="B1768" s="389">
        <v>43699</v>
      </c>
      <c r="C1768" s="390" t="s">
        <v>5714</v>
      </c>
      <c r="D1768" s="391" t="s">
        <v>5715</v>
      </c>
      <c r="E1768" s="391" t="s">
        <v>5709</v>
      </c>
      <c r="F1768" s="392">
        <v>120000</v>
      </c>
      <c r="G1768" s="393" t="s">
        <v>3800</v>
      </c>
      <c r="H1768" s="394">
        <v>46.514032734101157</v>
      </c>
      <c r="I1768" s="394"/>
      <c r="J1768" s="392">
        <f t="shared" si="61"/>
        <v>9.3028065468202321</v>
      </c>
      <c r="K1768" s="392">
        <f t="shared" si="61"/>
        <v>9.3028065468202321</v>
      </c>
      <c r="L1768" s="392">
        <f t="shared" si="61"/>
        <v>9.3028065468202321</v>
      </c>
      <c r="M1768" s="392">
        <f t="shared" si="61"/>
        <v>9.3028065468202321</v>
      </c>
      <c r="N1768" s="392">
        <f t="shared" si="61"/>
        <v>9.3028065468202321</v>
      </c>
    </row>
    <row r="1769" spans="1:14" hidden="1" outlineLevel="2" collapsed="1" x14ac:dyDescent="0.35">
      <c r="A1769" s="388" t="s">
        <v>3868</v>
      </c>
      <c r="B1769" s="389">
        <v>43701</v>
      </c>
      <c r="C1769" s="390" t="s">
        <v>5716</v>
      </c>
      <c r="D1769" s="391" t="s">
        <v>5717</v>
      </c>
      <c r="E1769" s="391" t="s">
        <v>5709</v>
      </c>
      <c r="F1769" s="392">
        <v>32500</v>
      </c>
      <c r="G1769" s="393" t="s">
        <v>3800</v>
      </c>
      <c r="H1769" s="394">
        <v>12.597550532152397</v>
      </c>
      <c r="I1769" s="394"/>
      <c r="J1769" s="392">
        <f t="shared" si="61"/>
        <v>2.5195101064304795</v>
      </c>
      <c r="K1769" s="392">
        <f t="shared" si="61"/>
        <v>2.5195101064304795</v>
      </c>
      <c r="L1769" s="392">
        <f t="shared" si="61"/>
        <v>2.5195101064304795</v>
      </c>
      <c r="M1769" s="392">
        <f t="shared" si="61"/>
        <v>2.5195101064304795</v>
      </c>
      <c r="N1769" s="392">
        <f t="shared" si="61"/>
        <v>2.5195101064304795</v>
      </c>
    </row>
    <row r="1770" spans="1:14" hidden="1" outlineLevel="2" x14ac:dyDescent="0.35">
      <c r="A1770" s="388" t="s">
        <v>3868</v>
      </c>
      <c r="B1770" s="389">
        <v>43768</v>
      </c>
      <c r="C1770" s="390" t="s">
        <v>5718</v>
      </c>
      <c r="D1770" s="391" t="s">
        <v>5719</v>
      </c>
      <c r="E1770" s="391" t="s">
        <v>5432</v>
      </c>
      <c r="F1770" s="392">
        <v>50000</v>
      </c>
      <c r="G1770" s="393" t="s">
        <v>3800</v>
      </c>
      <c r="H1770" s="394">
        <v>19.380846972542148</v>
      </c>
      <c r="I1770" s="394"/>
      <c r="J1770" s="392">
        <f t="shared" si="61"/>
        <v>3.8761693945084295</v>
      </c>
      <c r="K1770" s="392">
        <f t="shared" si="61"/>
        <v>3.8761693945084295</v>
      </c>
      <c r="L1770" s="392">
        <f t="shared" si="61"/>
        <v>3.8761693945084295</v>
      </c>
      <c r="M1770" s="392">
        <f t="shared" si="61"/>
        <v>3.8761693945084295</v>
      </c>
      <c r="N1770" s="392">
        <f t="shared" si="61"/>
        <v>3.8761693945084295</v>
      </c>
    </row>
    <row r="1771" spans="1:14" hidden="1" outlineLevel="2" x14ac:dyDescent="0.35">
      <c r="A1771" s="388" t="s">
        <v>3868</v>
      </c>
      <c r="B1771" s="389">
        <v>43755</v>
      </c>
      <c r="C1771" s="390" t="s">
        <v>5720</v>
      </c>
      <c r="D1771" s="391" t="s">
        <v>5719</v>
      </c>
      <c r="E1771" s="391" t="s">
        <v>5432</v>
      </c>
      <c r="F1771" s="392">
        <v>50000</v>
      </c>
      <c r="G1771" s="393" t="s">
        <v>3800</v>
      </c>
      <c r="H1771" s="394">
        <v>19.380846972542148</v>
      </c>
      <c r="I1771" s="394"/>
      <c r="J1771" s="392">
        <f t="shared" si="61"/>
        <v>3.8761693945084295</v>
      </c>
      <c r="K1771" s="392">
        <f t="shared" si="61"/>
        <v>3.8761693945084295</v>
      </c>
      <c r="L1771" s="392">
        <f t="shared" si="61"/>
        <v>3.8761693945084295</v>
      </c>
      <c r="M1771" s="392">
        <f t="shared" si="61"/>
        <v>3.8761693945084295</v>
      </c>
      <c r="N1771" s="392">
        <f t="shared" si="61"/>
        <v>3.8761693945084295</v>
      </c>
    </row>
    <row r="1772" spans="1:14" hidden="1" outlineLevel="2" x14ac:dyDescent="0.35">
      <c r="A1772" s="388" t="s">
        <v>3868</v>
      </c>
      <c r="B1772" s="389">
        <v>43801</v>
      </c>
      <c r="C1772" s="390" t="s">
        <v>5721</v>
      </c>
      <c r="D1772" s="391" t="s">
        <v>5691</v>
      </c>
      <c r="E1772" s="391" t="s">
        <v>5692</v>
      </c>
      <c r="F1772" s="392">
        <v>55000</v>
      </c>
      <c r="G1772" s="393" t="s">
        <v>3800</v>
      </c>
      <c r="H1772" s="394">
        <v>21.318931669796363</v>
      </c>
      <c r="I1772" s="394"/>
      <c r="J1772" s="392">
        <f t="shared" si="61"/>
        <v>4.2637863339592723</v>
      </c>
      <c r="K1772" s="392">
        <f t="shared" si="61"/>
        <v>4.2637863339592723</v>
      </c>
      <c r="L1772" s="392">
        <f t="shared" si="61"/>
        <v>4.2637863339592723</v>
      </c>
      <c r="M1772" s="392">
        <f t="shared" si="61"/>
        <v>4.2637863339592723</v>
      </c>
      <c r="N1772" s="392">
        <f t="shared" si="61"/>
        <v>4.2637863339592723</v>
      </c>
    </row>
    <row r="1773" spans="1:14" hidden="1" outlineLevel="2" collapsed="1" x14ac:dyDescent="0.35">
      <c r="A1773" s="388" t="s">
        <v>3868</v>
      </c>
      <c r="B1773" s="389">
        <v>43804</v>
      </c>
      <c r="C1773" s="390" t="s">
        <v>5722</v>
      </c>
      <c r="D1773" s="391" t="s">
        <v>5723</v>
      </c>
      <c r="E1773" s="391" t="s">
        <v>5698</v>
      </c>
      <c r="F1773" s="392">
        <v>85000</v>
      </c>
      <c r="G1773" s="393" t="s">
        <v>3800</v>
      </c>
      <c r="H1773" s="394">
        <v>32.947439853321654</v>
      </c>
      <c r="I1773" s="394"/>
      <c r="J1773" s="392">
        <f t="shared" si="61"/>
        <v>6.5894879706643312</v>
      </c>
      <c r="K1773" s="392">
        <f t="shared" si="61"/>
        <v>6.5894879706643312</v>
      </c>
      <c r="L1773" s="392">
        <f t="shared" si="61"/>
        <v>6.5894879706643312</v>
      </c>
      <c r="M1773" s="392">
        <f t="shared" si="61"/>
        <v>6.5894879706643312</v>
      </c>
      <c r="N1773" s="392">
        <f t="shared" si="61"/>
        <v>6.5894879706643312</v>
      </c>
    </row>
    <row r="1774" spans="1:14" hidden="1" outlineLevel="2" x14ac:dyDescent="0.35">
      <c r="A1774" s="388" t="s">
        <v>3868</v>
      </c>
      <c r="B1774" s="389">
        <v>43808</v>
      </c>
      <c r="C1774" s="390" t="s">
        <v>5724</v>
      </c>
      <c r="D1774" s="391" t="s">
        <v>5697</v>
      </c>
      <c r="E1774" s="391" t="s">
        <v>5432</v>
      </c>
      <c r="F1774" s="392">
        <v>65000</v>
      </c>
      <c r="G1774" s="393" t="s">
        <v>3800</v>
      </c>
      <c r="H1774" s="394">
        <v>25.195101064304794</v>
      </c>
      <c r="I1774" s="394"/>
      <c r="J1774" s="392">
        <f t="shared" si="61"/>
        <v>5.0390202128609589</v>
      </c>
      <c r="K1774" s="392">
        <f t="shared" si="61"/>
        <v>5.0390202128609589</v>
      </c>
      <c r="L1774" s="392">
        <f t="shared" si="61"/>
        <v>5.0390202128609589</v>
      </c>
      <c r="M1774" s="392">
        <f t="shared" si="61"/>
        <v>5.0390202128609589</v>
      </c>
      <c r="N1774" s="392">
        <f t="shared" si="61"/>
        <v>5.0390202128609589</v>
      </c>
    </row>
    <row r="1775" spans="1:14" hidden="1" outlineLevel="2" x14ac:dyDescent="0.35">
      <c r="A1775" s="388" t="s">
        <v>3868</v>
      </c>
      <c r="B1775" s="389">
        <v>43729</v>
      </c>
      <c r="C1775" s="390" t="s">
        <v>5725</v>
      </c>
      <c r="D1775" s="391" t="s">
        <v>5726</v>
      </c>
      <c r="E1775" s="391" t="s">
        <v>2812</v>
      </c>
      <c r="F1775" s="392">
        <v>75000</v>
      </c>
      <c r="G1775" s="393" t="s">
        <v>3800</v>
      </c>
      <c r="H1775" s="394">
        <v>29.071270458813224</v>
      </c>
      <c r="I1775" s="394"/>
      <c r="J1775" s="392">
        <f t="shared" ref="J1775:N1790" si="62">$H1775/5</f>
        <v>5.8142540917626446</v>
      </c>
      <c r="K1775" s="392">
        <f t="shared" si="62"/>
        <v>5.8142540917626446</v>
      </c>
      <c r="L1775" s="392">
        <f t="shared" si="62"/>
        <v>5.8142540917626446</v>
      </c>
      <c r="M1775" s="392">
        <f t="shared" si="62"/>
        <v>5.8142540917626446</v>
      </c>
      <c r="N1775" s="392">
        <f t="shared" si="62"/>
        <v>5.8142540917626446</v>
      </c>
    </row>
    <row r="1776" spans="1:14" hidden="1" outlineLevel="2" x14ac:dyDescent="0.35">
      <c r="A1776" s="388" t="s">
        <v>3868</v>
      </c>
      <c r="B1776" s="389">
        <v>43709</v>
      </c>
      <c r="C1776" s="390" t="s">
        <v>5727</v>
      </c>
      <c r="D1776" s="391" t="s">
        <v>5728</v>
      </c>
      <c r="E1776" s="391" t="s">
        <v>5419</v>
      </c>
      <c r="F1776" s="392">
        <v>5000</v>
      </c>
      <c r="G1776" s="393" t="s">
        <v>3800</v>
      </c>
      <c r="H1776" s="394">
        <v>1.9380846972542149</v>
      </c>
      <c r="I1776" s="394"/>
      <c r="J1776" s="392">
        <f t="shared" si="62"/>
        <v>0.38761693945084297</v>
      </c>
      <c r="K1776" s="392">
        <f t="shared" si="62"/>
        <v>0.38761693945084297</v>
      </c>
      <c r="L1776" s="392">
        <f t="shared" si="62"/>
        <v>0.38761693945084297</v>
      </c>
      <c r="M1776" s="392">
        <f t="shared" si="62"/>
        <v>0.38761693945084297</v>
      </c>
      <c r="N1776" s="392">
        <f t="shared" si="62"/>
        <v>0.38761693945084297</v>
      </c>
    </row>
    <row r="1777" spans="1:14" hidden="1" outlineLevel="2" x14ac:dyDescent="0.35">
      <c r="A1777" s="388" t="s">
        <v>3868</v>
      </c>
      <c r="B1777" s="389">
        <v>43709</v>
      </c>
      <c r="C1777" s="390" t="s">
        <v>5729</v>
      </c>
      <c r="D1777" s="391" t="s">
        <v>5426</v>
      </c>
      <c r="E1777" s="391" t="s">
        <v>5419</v>
      </c>
      <c r="F1777" s="392">
        <v>3000</v>
      </c>
      <c r="G1777" s="393" t="s">
        <v>3800</v>
      </c>
      <c r="H1777" s="394">
        <v>1.162850818352529</v>
      </c>
      <c r="I1777" s="394"/>
      <c r="J1777" s="392">
        <f t="shared" si="62"/>
        <v>0.23257016367050581</v>
      </c>
      <c r="K1777" s="392">
        <f t="shared" si="62"/>
        <v>0.23257016367050581</v>
      </c>
      <c r="L1777" s="392">
        <f t="shared" si="62"/>
        <v>0.23257016367050581</v>
      </c>
      <c r="M1777" s="392">
        <f t="shared" si="62"/>
        <v>0.23257016367050581</v>
      </c>
      <c r="N1777" s="392">
        <f t="shared" si="62"/>
        <v>0.23257016367050581</v>
      </c>
    </row>
    <row r="1778" spans="1:14" hidden="1" outlineLevel="2" x14ac:dyDescent="0.35">
      <c r="A1778" s="388" t="s">
        <v>3868</v>
      </c>
      <c r="B1778" s="389">
        <v>43709</v>
      </c>
      <c r="C1778" s="390" t="s">
        <v>5730</v>
      </c>
      <c r="D1778" s="391" t="s">
        <v>5731</v>
      </c>
      <c r="E1778" s="391" t="s">
        <v>5419</v>
      </c>
      <c r="F1778" s="392">
        <v>5000</v>
      </c>
      <c r="G1778" s="393" t="s">
        <v>3800</v>
      </c>
      <c r="H1778" s="394">
        <v>1.9380846972542149</v>
      </c>
      <c r="I1778" s="394"/>
      <c r="J1778" s="392">
        <f t="shared" si="62"/>
        <v>0.38761693945084297</v>
      </c>
      <c r="K1778" s="392">
        <f t="shared" si="62"/>
        <v>0.38761693945084297</v>
      </c>
      <c r="L1778" s="392">
        <f t="shared" si="62"/>
        <v>0.38761693945084297</v>
      </c>
      <c r="M1778" s="392">
        <f t="shared" si="62"/>
        <v>0.38761693945084297</v>
      </c>
      <c r="N1778" s="392">
        <f t="shared" si="62"/>
        <v>0.38761693945084297</v>
      </c>
    </row>
    <row r="1779" spans="1:14" hidden="1" outlineLevel="2" x14ac:dyDescent="0.35">
      <c r="A1779" s="388" t="s">
        <v>3868</v>
      </c>
      <c r="B1779" s="389">
        <v>43709</v>
      </c>
      <c r="C1779" s="390" t="s">
        <v>5732</v>
      </c>
      <c r="D1779" s="391" t="s">
        <v>5733</v>
      </c>
      <c r="E1779" s="391" t="s">
        <v>5419</v>
      </c>
      <c r="F1779" s="392">
        <v>4000</v>
      </c>
      <c r="G1779" s="393" t="s">
        <v>3800</v>
      </c>
      <c r="H1779" s="394">
        <v>1.5504677578033719</v>
      </c>
      <c r="I1779" s="394"/>
      <c r="J1779" s="392">
        <f t="shared" si="62"/>
        <v>0.31009355156067436</v>
      </c>
      <c r="K1779" s="392">
        <f t="shared" si="62"/>
        <v>0.31009355156067436</v>
      </c>
      <c r="L1779" s="392">
        <f t="shared" si="62"/>
        <v>0.31009355156067436</v>
      </c>
      <c r="M1779" s="392">
        <f t="shared" si="62"/>
        <v>0.31009355156067436</v>
      </c>
      <c r="N1779" s="392">
        <f t="shared" si="62"/>
        <v>0.31009355156067436</v>
      </c>
    </row>
    <row r="1780" spans="1:14" hidden="1" outlineLevel="2" x14ac:dyDescent="0.35">
      <c r="A1780" s="388" t="s">
        <v>3868</v>
      </c>
      <c r="B1780" s="389">
        <v>43709</v>
      </c>
      <c r="C1780" s="390" t="s">
        <v>5734</v>
      </c>
      <c r="D1780" s="391" t="s">
        <v>5735</v>
      </c>
      <c r="E1780" s="391" t="s">
        <v>5419</v>
      </c>
      <c r="F1780" s="392">
        <v>3000</v>
      </c>
      <c r="G1780" s="393" t="s">
        <v>3800</v>
      </c>
      <c r="H1780" s="394">
        <v>1.162850818352529</v>
      </c>
      <c r="I1780" s="394"/>
      <c r="J1780" s="392">
        <f t="shared" si="62"/>
        <v>0.23257016367050581</v>
      </c>
      <c r="K1780" s="392">
        <f t="shared" si="62"/>
        <v>0.23257016367050581</v>
      </c>
      <c r="L1780" s="392">
        <f t="shared" si="62"/>
        <v>0.23257016367050581</v>
      </c>
      <c r="M1780" s="392">
        <f t="shared" si="62"/>
        <v>0.23257016367050581</v>
      </c>
      <c r="N1780" s="392">
        <f t="shared" si="62"/>
        <v>0.23257016367050581</v>
      </c>
    </row>
    <row r="1781" spans="1:14" hidden="1" outlineLevel="2" x14ac:dyDescent="0.35">
      <c r="A1781" s="388" t="s">
        <v>3868</v>
      </c>
      <c r="B1781" s="389">
        <v>43716</v>
      </c>
      <c r="C1781" s="390" t="s">
        <v>5736</v>
      </c>
      <c r="D1781" s="391" t="s">
        <v>5737</v>
      </c>
      <c r="E1781" s="391" t="s">
        <v>5419</v>
      </c>
      <c r="F1781" s="392">
        <v>36000</v>
      </c>
      <c r="G1781" s="393" t="s">
        <v>3800</v>
      </c>
      <c r="H1781" s="394">
        <v>13.954209820230348</v>
      </c>
      <c r="I1781" s="394"/>
      <c r="J1781" s="392">
        <f t="shared" si="62"/>
        <v>2.7908419640460695</v>
      </c>
      <c r="K1781" s="392">
        <f t="shared" si="62"/>
        <v>2.7908419640460695</v>
      </c>
      <c r="L1781" s="392">
        <f t="shared" si="62"/>
        <v>2.7908419640460695</v>
      </c>
      <c r="M1781" s="392">
        <f t="shared" si="62"/>
        <v>2.7908419640460695</v>
      </c>
      <c r="N1781" s="392">
        <f t="shared" si="62"/>
        <v>2.7908419640460695</v>
      </c>
    </row>
    <row r="1782" spans="1:14" hidden="1" outlineLevel="2" x14ac:dyDescent="0.35">
      <c r="A1782" s="388" t="s">
        <v>3868</v>
      </c>
      <c r="B1782" s="389">
        <v>43724</v>
      </c>
      <c r="C1782" s="390" t="s">
        <v>5738</v>
      </c>
      <c r="D1782" s="391" t="s">
        <v>5739</v>
      </c>
      <c r="E1782" s="391" t="s">
        <v>5740</v>
      </c>
      <c r="F1782" s="392">
        <v>30000</v>
      </c>
      <c r="G1782" s="393" t="s">
        <v>3800</v>
      </c>
      <c r="H1782" s="394">
        <v>11.628508183525289</v>
      </c>
      <c r="I1782" s="394"/>
      <c r="J1782" s="392">
        <f t="shared" si="62"/>
        <v>2.325701636705058</v>
      </c>
      <c r="K1782" s="392">
        <f t="shared" si="62"/>
        <v>2.325701636705058</v>
      </c>
      <c r="L1782" s="392">
        <f t="shared" si="62"/>
        <v>2.325701636705058</v>
      </c>
      <c r="M1782" s="392">
        <f t="shared" si="62"/>
        <v>2.325701636705058</v>
      </c>
      <c r="N1782" s="392">
        <f t="shared" si="62"/>
        <v>2.325701636705058</v>
      </c>
    </row>
    <row r="1783" spans="1:14" hidden="1" outlineLevel="2" x14ac:dyDescent="0.35">
      <c r="A1783" s="388" t="s">
        <v>3868</v>
      </c>
      <c r="B1783" s="389">
        <v>43725</v>
      </c>
      <c r="C1783" s="390" t="s">
        <v>5741</v>
      </c>
      <c r="D1783" s="391" t="s">
        <v>5546</v>
      </c>
      <c r="E1783" s="391" t="s">
        <v>5419</v>
      </c>
      <c r="F1783" s="392">
        <v>3000</v>
      </c>
      <c r="G1783" s="393" t="s">
        <v>3800</v>
      </c>
      <c r="H1783" s="394">
        <v>1.162850818352529</v>
      </c>
      <c r="I1783" s="394"/>
      <c r="J1783" s="392">
        <f t="shared" si="62"/>
        <v>0.23257016367050581</v>
      </c>
      <c r="K1783" s="392">
        <f t="shared" si="62"/>
        <v>0.23257016367050581</v>
      </c>
      <c r="L1783" s="392">
        <f t="shared" si="62"/>
        <v>0.23257016367050581</v>
      </c>
      <c r="M1783" s="392">
        <f t="shared" si="62"/>
        <v>0.23257016367050581</v>
      </c>
      <c r="N1783" s="392">
        <f t="shared" si="62"/>
        <v>0.23257016367050581</v>
      </c>
    </row>
    <row r="1784" spans="1:14" hidden="1" outlineLevel="2" x14ac:dyDescent="0.35">
      <c r="A1784" s="388" t="s">
        <v>3868</v>
      </c>
      <c r="B1784" s="389">
        <v>43725</v>
      </c>
      <c r="C1784" s="390" t="s">
        <v>5742</v>
      </c>
      <c r="D1784" s="391" t="s">
        <v>5743</v>
      </c>
      <c r="E1784" s="391" t="s">
        <v>5419</v>
      </c>
      <c r="F1784" s="392">
        <v>3000</v>
      </c>
      <c r="G1784" s="393" t="s">
        <v>3800</v>
      </c>
      <c r="H1784" s="394">
        <v>1.162850818352529</v>
      </c>
      <c r="I1784" s="394"/>
      <c r="J1784" s="392">
        <f t="shared" si="62"/>
        <v>0.23257016367050581</v>
      </c>
      <c r="K1784" s="392">
        <f t="shared" si="62"/>
        <v>0.23257016367050581</v>
      </c>
      <c r="L1784" s="392">
        <f t="shared" si="62"/>
        <v>0.23257016367050581</v>
      </c>
      <c r="M1784" s="392">
        <f t="shared" si="62"/>
        <v>0.23257016367050581</v>
      </c>
      <c r="N1784" s="392">
        <f t="shared" si="62"/>
        <v>0.23257016367050581</v>
      </c>
    </row>
    <row r="1785" spans="1:14" hidden="1" outlineLevel="2" x14ac:dyDescent="0.35">
      <c r="A1785" s="388" t="s">
        <v>3868</v>
      </c>
      <c r="B1785" s="389">
        <v>43730</v>
      </c>
      <c r="C1785" s="390" t="s">
        <v>5744</v>
      </c>
      <c r="D1785" s="391" t="s">
        <v>5428</v>
      </c>
      <c r="E1785" s="391" t="s">
        <v>5419</v>
      </c>
      <c r="F1785" s="392">
        <v>9000</v>
      </c>
      <c r="G1785" s="393" t="s">
        <v>3800</v>
      </c>
      <c r="H1785" s="394">
        <v>3.488552455057587</v>
      </c>
      <c r="I1785" s="394"/>
      <c r="J1785" s="392">
        <f t="shared" si="62"/>
        <v>0.69771049101151739</v>
      </c>
      <c r="K1785" s="392">
        <f t="shared" si="62"/>
        <v>0.69771049101151739</v>
      </c>
      <c r="L1785" s="392">
        <f t="shared" si="62"/>
        <v>0.69771049101151739</v>
      </c>
      <c r="M1785" s="392">
        <f t="shared" si="62"/>
        <v>0.69771049101151739</v>
      </c>
      <c r="N1785" s="392">
        <f t="shared" si="62"/>
        <v>0.69771049101151739</v>
      </c>
    </row>
    <row r="1786" spans="1:14" ht="30" hidden="1" outlineLevel="2" x14ac:dyDescent="0.35">
      <c r="A1786" s="388" t="s">
        <v>3868</v>
      </c>
      <c r="B1786" s="389">
        <v>43730</v>
      </c>
      <c r="C1786" s="390" t="s">
        <v>5745</v>
      </c>
      <c r="D1786" s="391" t="s">
        <v>5746</v>
      </c>
      <c r="E1786" s="391" t="s">
        <v>5419</v>
      </c>
      <c r="F1786" s="392">
        <v>3000</v>
      </c>
      <c r="G1786" s="393" t="s">
        <v>3800</v>
      </c>
      <c r="H1786" s="394">
        <v>1.162850818352529</v>
      </c>
      <c r="I1786" s="394"/>
      <c r="J1786" s="392">
        <f t="shared" si="62"/>
        <v>0.23257016367050581</v>
      </c>
      <c r="K1786" s="392">
        <f t="shared" si="62"/>
        <v>0.23257016367050581</v>
      </c>
      <c r="L1786" s="392">
        <f t="shared" si="62"/>
        <v>0.23257016367050581</v>
      </c>
      <c r="M1786" s="392">
        <f t="shared" si="62"/>
        <v>0.23257016367050581</v>
      </c>
      <c r="N1786" s="392">
        <f t="shared" si="62"/>
        <v>0.23257016367050581</v>
      </c>
    </row>
    <row r="1787" spans="1:14" hidden="1" outlineLevel="2" x14ac:dyDescent="0.35">
      <c r="A1787" s="388" t="s">
        <v>3868</v>
      </c>
      <c r="B1787" s="389">
        <v>43730</v>
      </c>
      <c r="C1787" s="390" t="s">
        <v>5747</v>
      </c>
      <c r="D1787" s="391" t="s">
        <v>5748</v>
      </c>
      <c r="E1787" s="391" t="s">
        <v>5419</v>
      </c>
      <c r="F1787" s="392">
        <v>5000</v>
      </c>
      <c r="G1787" s="393" t="s">
        <v>3800</v>
      </c>
      <c r="H1787" s="394">
        <v>1.9380846972542149</v>
      </c>
      <c r="I1787" s="394"/>
      <c r="J1787" s="392">
        <f t="shared" si="62"/>
        <v>0.38761693945084297</v>
      </c>
      <c r="K1787" s="392">
        <f t="shared" si="62"/>
        <v>0.38761693945084297</v>
      </c>
      <c r="L1787" s="392">
        <f t="shared" si="62"/>
        <v>0.38761693945084297</v>
      </c>
      <c r="M1787" s="392">
        <f t="shared" si="62"/>
        <v>0.38761693945084297</v>
      </c>
      <c r="N1787" s="392">
        <f t="shared" si="62"/>
        <v>0.38761693945084297</v>
      </c>
    </row>
    <row r="1788" spans="1:14" hidden="1" outlineLevel="2" x14ac:dyDescent="0.35">
      <c r="A1788" s="388" t="s">
        <v>3868</v>
      </c>
      <c r="B1788" s="389">
        <v>43730</v>
      </c>
      <c r="C1788" s="390" t="s">
        <v>5749</v>
      </c>
      <c r="D1788" s="391" t="s">
        <v>5750</v>
      </c>
      <c r="E1788" s="391" t="s">
        <v>5419</v>
      </c>
      <c r="F1788" s="392">
        <v>3000</v>
      </c>
      <c r="G1788" s="393" t="s">
        <v>3800</v>
      </c>
      <c r="H1788" s="394">
        <v>1.162850818352529</v>
      </c>
      <c r="I1788" s="394"/>
      <c r="J1788" s="392">
        <f t="shared" si="62"/>
        <v>0.23257016367050581</v>
      </c>
      <c r="K1788" s="392">
        <f t="shared" si="62"/>
        <v>0.23257016367050581</v>
      </c>
      <c r="L1788" s="392">
        <f t="shared" si="62"/>
        <v>0.23257016367050581</v>
      </c>
      <c r="M1788" s="392">
        <f t="shared" si="62"/>
        <v>0.23257016367050581</v>
      </c>
      <c r="N1788" s="392">
        <f t="shared" si="62"/>
        <v>0.23257016367050581</v>
      </c>
    </row>
    <row r="1789" spans="1:14" hidden="1" outlineLevel="2" x14ac:dyDescent="0.35">
      <c r="A1789" s="388" t="s">
        <v>3868</v>
      </c>
      <c r="B1789" s="389">
        <v>43730</v>
      </c>
      <c r="C1789" s="390" t="s">
        <v>5751</v>
      </c>
      <c r="D1789" s="391" t="s">
        <v>5752</v>
      </c>
      <c r="E1789" s="391" t="s">
        <v>5419</v>
      </c>
      <c r="F1789" s="392">
        <v>3000</v>
      </c>
      <c r="G1789" s="393" t="s">
        <v>3800</v>
      </c>
      <c r="H1789" s="394">
        <v>1.162850818352529</v>
      </c>
      <c r="I1789" s="394"/>
      <c r="J1789" s="392">
        <f t="shared" si="62"/>
        <v>0.23257016367050581</v>
      </c>
      <c r="K1789" s="392">
        <f t="shared" si="62"/>
        <v>0.23257016367050581</v>
      </c>
      <c r="L1789" s="392">
        <f t="shared" si="62"/>
        <v>0.23257016367050581</v>
      </c>
      <c r="M1789" s="392">
        <f t="shared" si="62"/>
        <v>0.23257016367050581</v>
      </c>
      <c r="N1789" s="392">
        <f t="shared" si="62"/>
        <v>0.23257016367050581</v>
      </c>
    </row>
    <row r="1790" spans="1:14" hidden="1" outlineLevel="2" x14ac:dyDescent="0.35">
      <c r="A1790" s="388" t="s">
        <v>3868</v>
      </c>
      <c r="B1790" s="389">
        <v>43731</v>
      </c>
      <c r="C1790" s="390" t="s">
        <v>5753</v>
      </c>
      <c r="D1790" s="391" t="s">
        <v>5546</v>
      </c>
      <c r="E1790" s="391" t="s">
        <v>5419</v>
      </c>
      <c r="F1790" s="392">
        <v>3000</v>
      </c>
      <c r="G1790" s="393" t="s">
        <v>3800</v>
      </c>
      <c r="H1790" s="394">
        <v>1.162850818352529</v>
      </c>
      <c r="I1790" s="394"/>
      <c r="J1790" s="392">
        <f t="shared" si="62"/>
        <v>0.23257016367050581</v>
      </c>
      <c r="K1790" s="392">
        <f t="shared" si="62"/>
        <v>0.23257016367050581</v>
      </c>
      <c r="L1790" s="392">
        <f t="shared" si="62"/>
        <v>0.23257016367050581</v>
      </c>
      <c r="M1790" s="392">
        <f t="shared" si="62"/>
        <v>0.23257016367050581</v>
      </c>
      <c r="N1790" s="392">
        <f t="shared" si="62"/>
        <v>0.23257016367050581</v>
      </c>
    </row>
    <row r="1791" spans="1:14" hidden="1" outlineLevel="2" x14ac:dyDescent="0.35">
      <c r="A1791" s="388" t="s">
        <v>3868</v>
      </c>
      <c r="B1791" s="389">
        <v>43731</v>
      </c>
      <c r="C1791" s="390" t="s">
        <v>5754</v>
      </c>
      <c r="D1791" s="391" t="s">
        <v>5546</v>
      </c>
      <c r="E1791" s="391" t="s">
        <v>5419</v>
      </c>
      <c r="F1791" s="392">
        <v>3000</v>
      </c>
      <c r="G1791" s="393" t="s">
        <v>3800</v>
      </c>
      <c r="H1791" s="394">
        <v>1.162850818352529</v>
      </c>
      <c r="I1791" s="394"/>
      <c r="J1791" s="392">
        <f t="shared" ref="J1791:N1806" si="63">$H1791/5</f>
        <v>0.23257016367050581</v>
      </c>
      <c r="K1791" s="392">
        <f t="shared" si="63"/>
        <v>0.23257016367050581</v>
      </c>
      <c r="L1791" s="392">
        <f t="shared" si="63"/>
        <v>0.23257016367050581</v>
      </c>
      <c r="M1791" s="392">
        <f t="shared" si="63"/>
        <v>0.23257016367050581</v>
      </c>
      <c r="N1791" s="392">
        <f t="shared" si="63"/>
        <v>0.23257016367050581</v>
      </c>
    </row>
    <row r="1792" spans="1:14" hidden="1" outlineLevel="2" x14ac:dyDescent="0.35">
      <c r="A1792" s="388" t="s">
        <v>3868</v>
      </c>
      <c r="B1792" s="389">
        <v>43732</v>
      </c>
      <c r="C1792" s="390" t="s">
        <v>5755</v>
      </c>
      <c r="D1792" s="391" t="s">
        <v>5546</v>
      </c>
      <c r="E1792" s="391" t="s">
        <v>5419</v>
      </c>
      <c r="F1792" s="392">
        <v>3000</v>
      </c>
      <c r="G1792" s="393" t="s">
        <v>3800</v>
      </c>
      <c r="H1792" s="394">
        <v>1.162850818352529</v>
      </c>
      <c r="I1792" s="394"/>
      <c r="J1792" s="392">
        <f t="shared" si="63"/>
        <v>0.23257016367050581</v>
      </c>
      <c r="K1792" s="392">
        <f t="shared" si="63"/>
        <v>0.23257016367050581</v>
      </c>
      <c r="L1792" s="392">
        <f t="shared" si="63"/>
        <v>0.23257016367050581</v>
      </c>
      <c r="M1792" s="392">
        <f t="shared" si="63"/>
        <v>0.23257016367050581</v>
      </c>
      <c r="N1792" s="392">
        <f t="shared" si="63"/>
        <v>0.23257016367050581</v>
      </c>
    </row>
    <row r="1793" spans="1:14" hidden="1" outlineLevel="2" collapsed="1" x14ac:dyDescent="0.35">
      <c r="A1793" s="388" t="s">
        <v>3868</v>
      </c>
      <c r="B1793" s="389">
        <v>43732</v>
      </c>
      <c r="C1793" s="390" t="s">
        <v>5756</v>
      </c>
      <c r="D1793" s="391" t="s">
        <v>5743</v>
      </c>
      <c r="E1793" s="391" t="s">
        <v>5419</v>
      </c>
      <c r="F1793" s="392">
        <v>3000</v>
      </c>
      <c r="G1793" s="393" t="s">
        <v>3800</v>
      </c>
      <c r="H1793" s="394">
        <v>1.162850818352529</v>
      </c>
      <c r="I1793" s="394"/>
      <c r="J1793" s="392">
        <f t="shared" si="63"/>
        <v>0.23257016367050581</v>
      </c>
      <c r="K1793" s="392">
        <f t="shared" si="63"/>
        <v>0.23257016367050581</v>
      </c>
      <c r="L1793" s="392">
        <f t="shared" si="63"/>
        <v>0.23257016367050581</v>
      </c>
      <c r="M1793" s="392">
        <f t="shared" si="63"/>
        <v>0.23257016367050581</v>
      </c>
      <c r="N1793" s="392">
        <f t="shared" si="63"/>
        <v>0.23257016367050581</v>
      </c>
    </row>
    <row r="1794" spans="1:14" hidden="1" outlineLevel="2" collapsed="1" x14ac:dyDescent="0.35">
      <c r="A1794" s="388" t="s">
        <v>3868</v>
      </c>
      <c r="B1794" s="389">
        <v>43733</v>
      </c>
      <c r="C1794" s="390" t="s">
        <v>5757</v>
      </c>
      <c r="D1794" s="391" t="s">
        <v>5546</v>
      </c>
      <c r="E1794" s="391" t="s">
        <v>5419</v>
      </c>
      <c r="F1794" s="392">
        <v>3000</v>
      </c>
      <c r="G1794" s="393" t="s">
        <v>3800</v>
      </c>
      <c r="H1794" s="394">
        <v>1.162850818352529</v>
      </c>
      <c r="I1794" s="394"/>
      <c r="J1794" s="392">
        <f t="shared" si="63"/>
        <v>0.23257016367050581</v>
      </c>
      <c r="K1794" s="392">
        <f t="shared" si="63"/>
        <v>0.23257016367050581</v>
      </c>
      <c r="L1794" s="392">
        <f t="shared" si="63"/>
        <v>0.23257016367050581</v>
      </c>
      <c r="M1794" s="392">
        <f t="shared" si="63"/>
        <v>0.23257016367050581</v>
      </c>
      <c r="N1794" s="392">
        <f t="shared" si="63"/>
        <v>0.23257016367050581</v>
      </c>
    </row>
    <row r="1795" spans="1:14" hidden="1" outlineLevel="2" x14ac:dyDescent="0.35">
      <c r="A1795" s="388" t="s">
        <v>3868</v>
      </c>
      <c r="B1795" s="389">
        <v>43733</v>
      </c>
      <c r="C1795" s="390" t="s">
        <v>5758</v>
      </c>
      <c r="D1795" s="391" t="s">
        <v>5743</v>
      </c>
      <c r="E1795" s="391" t="s">
        <v>5419</v>
      </c>
      <c r="F1795" s="392">
        <v>3000</v>
      </c>
      <c r="G1795" s="393" t="s">
        <v>3800</v>
      </c>
      <c r="H1795" s="394">
        <v>1.162850818352529</v>
      </c>
      <c r="I1795" s="394"/>
      <c r="J1795" s="392">
        <f t="shared" si="63"/>
        <v>0.23257016367050581</v>
      </c>
      <c r="K1795" s="392">
        <f t="shared" si="63"/>
        <v>0.23257016367050581</v>
      </c>
      <c r="L1795" s="392">
        <f t="shared" si="63"/>
        <v>0.23257016367050581</v>
      </c>
      <c r="M1795" s="392">
        <f t="shared" si="63"/>
        <v>0.23257016367050581</v>
      </c>
      <c r="N1795" s="392">
        <f t="shared" si="63"/>
        <v>0.23257016367050581</v>
      </c>
    </row>
    <row r="1796" spans="1:14" hidden="1" outlineLevel="2" x14ac:dyDescent="0.35">
      <c r="A1796" s="388" t="s">
        <v>3868</v>
      </c>
      <c r="B1796" s="389">
        <v>43733</v>
      </c>
      <c r="C1796" s="390" t="s">
        <v>5759</v>
      </c>
      <c r="D1796" s="391" t="s">
        <v>5760</v>
      </c>
      <c r="E1796" s="391" t="s">
        <v>5419</v>
      </c>
      <c r="F1796" s="392">
        <v>3000</v>
      </c>
      <c r="G1796" s="393" t="s">
        <v>3800</v>
      </c>
      <c r="H1796" s="394">
        <v>1.162850818352529</v>
      </c>
      <c r="I1796" s="394"/>
      <c r="J1796" s="392">
        <f t="shared" si="63"/>
        <v>0.23257016367050581</v>
      </c>
      <c r="K1796" s="392">
        <f t="shared" si="63"/>
        <v>0.23257016367050581</v>
      </c>
      <c r="L1796" s="392">
        <f t="shared" si="63"/>
        <v>0.23257016367050581</v>
      </c>
      <c r="M1796" s="392">
        <f t="shared" si="63"/>
        <v>0.23257016367050581</v>
      </c>
      <c r="N1796" s="392">
        <f t="shared" si="63"/>
        <v>0.23257016367050581</v>
      </c>
    </row>
    <row r="1797" spans="1:14" hidden="1" outlineLevel="2" x14ac:dyDescent="0.35">
      <c r="A1797" s="388" t="s">
        <v>3868</v>
      </c>
      <c r="B1797" s="389">
        <v>43733</v>
      </c>
      <c r="C1797" s="390" t="s">
        <v>5761</v>
      </c>
      <c r="D1797" s="391" t="s">
        <v>5743</v>
      </c>
      <c r="E1797" s="391" t="s">
        <v>5419</v>
      </c>
      <c r="F1797" s="392">
        <v>3000</v>
      </c>
      <c r="G1797" s="393" t="s">
        <v>3800</v>
      </c>
      <c r="H1797" s="394">
        <v>1.162850818352529</v>
      </c>
      <c r="I1797" s="394"/>
      <c r="J1797" s="392">
        <f t="shared" si="63"/>
        <v>0.23257016367050581</v>
      </c>
      <c r="K1797" s="392">
        <f t="shared" si="63"/>
        <v>0.23257016367050581</v>
      </c>
      <c r="L1797" s="392">
        <f t="shared" si="63"/>
        <v>0.23257016367050581</v>
      </c>
      <c r="M1797" s="392">
        <f t="shared" si="63"/>
        <v>0.23257016367050581</v>
      </c>
      <c r="N1797" s="392">
        <f t="shared" si="63"/>
        <v>0.23257016367050581</v>
      </c>
    </row>
    <row r="1798" spans="1:14" hidden="1" outlineLevel="2" x14ac:dyDescent="0.35">
      <c r="A1798" s="388" t="s">
        <v>3868</v>
      </c>
      <c r="B1798" s="389">
        <v>43734</v>
      </c>
      <c r="C1798" s="390" t="s">
        <v>5762</v>
      </c>
      <c r="D1798" s="391" t="s">
        <v>5546</v>
      </c>
      <c r="E1798" s="391" t="s">
        <v>5419</v>
      </c>
      <c r="F1798" s="392">
        <v>3000</v>
      </c>
      <c r="G1798" s="393" t="s">
        <v>3800</v>
      </c>
      <c r="H1798" s="394">
        <v>1.162850818352529</v>
      </c>
      <c r="I1798" s="394"/>
      <c r="J1798" s="392">
        <f t="shared" si="63"/>
        <v>0.23257016367050581</v>
      </c>
      <c r="K1798" s="392">
        <f t="shared" si="63"/>
        <v>0.23257016367050581</v>
      </c>
      <c r="L1798" s="392">
        <f t="shared" si="63"/>
        <v>0.23257016367050581</v>
      </c>
      <c r="M1798" s="392">
        <f t="shared" si="63"/>
        <v>0.23257016367050581</v>
      </c>
      <c r="N1798" s="392">
        <f t="shared" si="63"/>
        <v>0.23257016367050581</v>
      </c>
    </row>
    <row r="1799" spans="1:14" hidden="1" outlineLevel="2" x14ac:dyDescent="0.35">
      <c r="A1799" s="388" t="s">
        <v>3868</v>
      </c>
      <c r="B1799" s="389">
        <v>43734</v>
      </c>
      <c r="C1799" s="390" t="s">
        <v>5763</v>
      </c>
      <c r="D1799" s="391" t="s">
        <v>5743</v>
      </c>
      <c r="E1799" s="391" t="s">
        <v>5419</v>
      </c>
      <c r="F1799" s="392">
        <v>3000</v>
      </c>
      <c r="G1799" s="393" t="s">
        <v>3800</v>
      </c>
      <c r="H1799" s="394">
        <v>1.162850818352529</v>
      </c>
      <c r="I1799" s="394"/>
      <c r="J1799" s="392">
        <f t="shared" si="63"/>
        <v>0.23257016367050581</v>
      </c>
      <c r="K1799" s="392">
        <f t="shared" si="63"/>
        <v>0.23257016367050581</v>
      </c>
      <c r="L1799" s="392">
        <f t="shared" si="63"/>
        <v>0.23257016367050581</v>
      </c>
      <c r="M1799" s="392">
        <f t="shared" si="63"/>
        <v>0.23257016367050581</v>
      </c>
      <c r="N1799" s="392">
        <f t="shared" si="63"/>
        <v>0.23257016367050581</v>
      </c>
    </row>
    <row r="1800" spans="1:14" hidden="1" outlineLevel="2" x14ac:dyDescent="0.35">
      <c r="A1800" s="388" t="s">
        <v>3868</v>
      </c>
      <c r="B1800" s="389">
        <v>43735</v>
      </c>
      <c r="C1800" s="390" t="s">
        <v>5764</v>
      </c>
      <c r="D1800" s="391" t="s">
        <v>5546</v>
      </c>
      <c r="E1800" s="391" t="s">
        <v>5419</v>
      </c>
      <c r="F1800" s="392">
        <v>3000</v>
      </c>
      <c r="G1800" s="393" t="s">
        <v>3800</v>
      </c>
      <c r="H1800" s="394">
        <v>1.162850818352529</v>
      </c>
      <c r="I1800" s="394"/>
      <c r="J1800" s="392">
        <f t="shared" si="63"/>
        <v>0.23257016367050581</v>
      </c>
      <c r="K1800" s="392">
        <f t="shared" si="63"/>
        <v>0.23257016367050581</v>
      </c>
      <c r="L1800" s="392">
        <f t="shared" si="63"/>
        <v>0.23257016367050581</v>
      </c>
      <c r="M1800" s="392">
        <f t="shared" si="63"/>
        <v>0.23257016367050581</v>
      </c>
      <c r="N1800" s="392">
        <f t="shared" si="63"/>
        <v>0.23257016367050581</v>
      </c>
    </row>
    <row r="1801" spans="1:14" hidden="1" outlineLevel="2" x14ac:dyDescent="0.35">
      <c r="A1801" s="388" t="s">
        <v>3868</v>
      </c>
      <c r="B1801" s="389">
        <v>43735</v>
      </c>
      <c r="C1801" s="390" t="s">
        <v>5765</v>
      </c>
      <c r="D1801" s="391" t="s">
        <v>5743</v>
      </c>
      <c r="E1801" s="391" t="s">
        <v>5419</v>
      </c>
      <c r="F1801" s="392">
        <v>3000</v>
      </c>
      <c r="G1801" s="393" t="s">
        <v>3800</v>
      </c>
      <c r="H1801" s="394">
        <v>1.162850818352529</v>
      </c>
      <c r="I1801" s="394"/>
      <c r="J1801" s="392">
        <f t="shared" si="63"/>
        <v>0.23257016367050581</v>
      </c>
      <c r="K1801" s="392">
        <f t="shared" si="63"/>
        <v>0.23257016367050581</v>
      </c>
      <c r="L1801" s="392">
        <f t="shared" si="63"/>
        <v>0.23257016367050581</v>
      </c>
      <c r="M1801" s="392">
        <f t="shared" si="63"/>
        <v>0.23257016367050581</v>
      </c>
      <c r="N1801" s="392">
        <f t="shared" si="63"/>
        <v>0.23257016367050581</v>
      </c>
    </row>
    <row r="1802" spans="1:14" hidden="1" outlineLevel="2" x14ac:dyDescent="0.35">
      <c r="A1802" s="388" t="s">
        <v>3868</v>
      </c>
      <c r="B1802" s="389">
        <v>43736</v>
      </c>
      <c r="C1802" s="390" t="s">
        <v>5766</v>
      </c>
      <c r="D1802" s="391" t="s">
        <v>5767</v>
      </c>
      <c r="E1802" s="391" t="s">
        <v>5419</v>
      </c>
      <c r="F1802" s="392">
        <v>9000</v>
      </c>
      <c r="G1802" s="393" t="s">
        <v>3800</v>
      </c>
      <c r="H1802" s="394">
        <v>3.488552455057587</v>
      </c>
      <c r="I1802" s="394"/>
      <c r="J1802" s="392">
        <f t="shared" si="63"/>
        <v>0.69771049101151739</v>
      </c>
      <c r="K1802" s="392">
        <f t="shared" si="63"/>
        <v>0.69771049101151739</v>
      </c>
      <c r="L1802" s="392">
        <f t="shared" si="63"/>
        <v>0.69771049101151739</v>
      </c>
      <c r="M1802" s="392">
        <f t="shared" si="63"/>
        <v>0.69771049101151739</v>
      </c>
      <c r="N1802" s="392">
        <f t="shared" si="63"/>
        <v>0.69771049101151739</v>
      </c>
    </row>
    <row r="1803" spans="1:14" hidden="1" outlineLevel="2" x14ac:dyDescent="0.35">
      <c r="A1803" s="388" t="s">
        <v>3868</v>
      </c>
      <c r="B1803" s="389">
        <v>43737</v>
      </c>
      <c r="C1803" s="390" t="s">
        <v>5768</v>
      </c>
      <c r="D1803" s="391" t="s">
        <v>5728</v>
      </c>
      <c r="E1803" s="391" t="s">
        <v>5419</v>
      </c>
      <c r="F1803" s="392">
        <v>6000</v>
      </c>
      <c r="G1803" s="393" t="s">
        <v>3800</v>
      </c>
      <c r="H1803" s="394">
        <v>2.325701636705058</v>
      </c>
      <c r="I1803" s="394"/>
      <c r="J1803" s="392">
        <f t="shared" si="63"/>
        <v>0.46514032734101163</v>
      </c>
      <c r="K1803" s="392">
        <f t="shared" si="63"/>
        <v>0.46514032734101163</v>
      </c>
      <c r="L1803" s="392">
        <f t="shared" si="63"/>
        <v>0.46514032734101163</v>
      </c>
      <c r="M1803" s="392">
        <f t="shared" si="63"/>
        <v>0.46514032734101163</v>
      </c>
      <c r="N1803" s="392">
        <f t="shared" si="63"/>
        <v>0.46514032734101163</v>
      </c>
    </row>
    <row r="1804" spans="1:14" hidden="1" outlineLevel="2" x14ac:dyDescent="0.35">
      <c r="A1804" s="388" t="s">
        <v>3868</v>
      </c>
      <c r="B1804" s="389">
        <v>43737</v>
      </c>
      <c r="C1804" s="390" t="s">
        <v>5769</v>
      </c>
      <c r="D1804" s="391" t="s">
        <v>5770</v>
      </c>
      <c r="E1804" s="391" t="s">
        <v>5419</v>
      </c>
      <c r="F1804" s="392">
        <v>4000</v>
      </c>
      <c r="G1804" s="393" t="s">
        <v>3800</v>
      </c>
      <c r="H1804" s="394">
        <v>1.5504677578033719</v>
      </c>
      <c r="I1804" s="394"/>
      <c r="J1804" s="392">
        <f t="shared" si="63"/>
        <v>0.31009355156067436</v>
      </c>
      <c r="K1804" s="392">
        <f t="shared" si="63"/>
        <v>0.31009355156067436</v>
      </c>
      <c r="L1804" s="392">
        <f t="shared" si="63"/>
        <v>0.31009355156067436</v>
      </c>
      <c r="M1804" s="392">
        <f t="shared" si="63"/>
        <v>0.31009355156067436</v>
      </c>
      <c r="N1804" s="392">
        <f t="shared" si="63"/>
        <v>0.31009355156067436</v>
      </c>
    </row>
    <row r="1805" spans="1:14" hidden="1" outlineLevel="2" x14ac:dyDescent="0.35">
      <c r="A1805" s="388" t="s">
        <v>3868</v>
      </c>
      <c r="B1805" s="389">
        <v>43738</v>
      </c>
      <c r="C1805" s="390" t="s">
        <v>5771</v>
      </c>
      <c r="D1805" s="391" t="s">
        <v>5546</v>
      </c>
      <c r="E1805" s="391" t="s">
        <v>5419</v>
      </c>
      <c r="F1805" s="392">
        <v>3000</v>
      </c>
      <c r="G1805" s="393" t="s">
        <v>3800</v>
      </c>
      <c r="H1805" s="394">
        <v>1.162850818352529</v>
      </c>
      <c r="I1805" s="394"/>
      <c r="J1805" s="392">
        <f t="shared" si="63"/>
        <v>0.23257016367050581</v>
      </c>
      <c r="K1805" s="392">
        <f t="shared" si="63"/>
        <v>0.23257016367050581</v>
      </c>
      <c r="L1805" s="392">
        <f t="shared" si="63"/>
        <v>0.23257016367050581</v>
      </c>
      <c r="M1805" s="392">
        <f t="shared" si="63"/>
        <v>0.23257016367050581</v>
      </c>
      <c r="N1805" s="392">
        <f t="shared" si="63"/>
        <v>0.23257016367050581</v>
      </c>
    </row>
    <row r="1806" spans="1:14" hidden="1" outlineLevel="2" x14ac:dyDescent="0.35">
      <c r="A1806" s="388" t="s">
        <v>3868</v>
      </c>
      <c r="B1806" s="389">
        <v>43744</v>
      </c>
      <c r="C1806" s="390" t="s">
        <v>5772</v>
      </c>
      <c r="D1806" s="391" t="s">
        <v>5773</v>
      </c>
      <c r="E1806" s="391" t="s">
        <v>5740</v>
      </c>
      <c r="F1806" s="392">
        <v>30000</v>
      </c>
      <c r="G1806" s="393" t="s">
        <v>3800</v>
      </c>
      <c r="H1806" s="394">
        <v>11.628508183525289</v>
      </c>
      <c r="I1806" s="394"/>
      <c r="J1806" s="392">
        <f t="shared" si="63"/>
        <v>2.325701636705058</v>
      </c>
      <c r="K1806" s="392">
        <f t="shared" si="63"/>
        <v>2.325701636705058</v>
      </c>
      <c r="L1806" s="392">
        <f t="shared" si="63"/>
        <v>2.325701636705058</v>
      </c>
      <c r="M1806" s="392">
        <f t="shared" si="63"/>
        <v>2.325701636705058</v>
      </c>
      <c r="N1806" s="392">
        <f t="shared" si="63"/>
        <v>2.325701636705058</v>
      </c>
    </row>
    <row r="1807" spans="1:14" hidden="1" outlineLevel="2" x14ac:dyDescent="0.35">
      <c r="A1807" s="388" t="s">
        <v>3868</v>
      </c>
      <c r="B1807" s="389">
        <v>43745</v>
      </c>
      <c r="C1807" s="390" t="s">
        <v>5774</v>
      </c>
      <c r="D1807" s="391" t="s">
        <v>5546</v>
      </c>
      <c r="E1807" s="391" t="s">
        <v>5419</v>
      </c>
      <c r="F1807" s="392">
        <v>3000</v>
      </c>
      <c r="G1807" s="393" t="s">
        <v>3800</v>
      </c>
      <c r="H1807" s="394">
        <v>1.162850818352529</v>
      </c>
      <c r="I1807" s="394"/>
      <c r="J1807" s="392">
        <f t="shared" ref="J1807:N1822" si="64">$H1807/5</f>
        <v>0.23257016367050581</v>
      </c>
      <c r="K1807" s="392">
        <f t="shared" si="64"/>
        <v>0.23257016367050581</v>
      </c>
      <c r="L1807" s="392">
        <f t="shared" si="64"/>
        <v>0.23257016367050581</v>
      </c>
      <c r="M1807" s="392">
        <f t="shared" si="64"/>
        <v>0.23257016367050581</v>
      </c>
      <c r="N1807" s="392">
        <f t="shared" si="64"/>
        <v>0.23257016367050581</v>
      </c>
    </row>
    <row r="1808" spans="1:14" hidden="1" outlineLevel="2" x14ac:dyDescent="0.35">
      <c r="A1808" s="388" t="s">
        <v>3868</v>
      </c>
      <c r="B1808" s="389">
        <v>43745</v>
      </c>
      <c r="C1808" s="390" t="s">
        <v>5775</v>
      </c>
      <c r="D1808" s="391" t="s">
        <v>5743</v>
      </c>
      <c r="E1808" s="391" t="s">
        <v>5419</v>
      </c>
      <c r="F1808" s="392">
        <v>11000</v>
      </c>
      <c r="G1808" s="393" t="s">
        <v>3800</v>
      </c>
      <c r="H1808" s="394">
        <v>4.2637863339592732</v>
      </c>
      <c r="I1808" s="394"/>
      <c r="J1808" s="392">
        <f t="shared" si="64"/>
        <v>0.8527572667918546</v>
      </c>
      <c r="K1808" s="392">
        <f t="shared" si="64"/>
        <v>0.8527572667918546</v>
      </c>
      <c r="L1808" s="392">
        <f t="shared" si="64"/>
        <v>0.8527572667918546</v>
      </c>
      <c r="M1808" s="392">
        <f t="shared" si="64"/>
        <v>0.8527572667918546</v>
      </c>
      <c r="N1808" s="392">
        <f t="shared" si="64"/>
        <v>0.8527572667918546</v>
      </c>
    </row>
    <row r="1809" spans="1:14" ht="30" hidden="1" outlineLevel="2" x14ac:dyDescent="0.35">
      <c r="A1809" s="388" t="s">
        <v>3868</v>
      </c>
      <c r="B1809" s="389">
        <v>43749</v>
      </c>
      <c r="C1809" s="390" t="s">
        <v>5776</v>
      </c>
      <c r="D1809" s="391" t="s">
        <v>5777</v>
      </c>
      <c r="E1809" s="391" t="s">
        <v>5778</v>
      </c>
      <c r="F1809" s="392">
        <v>65000</v>
      </c>
      <c r="G1809" s="393" t="s">
        <v>3800</v>
      </c>
      <c r="H1809" s="394">
        <v>25.195101064304794</v>
      </c>
      <c r="I1809" s="394"/>
      <c r="J1809" s="392">
        <f t="shared" si="64"/>
        <v>5.0390202128609589</v>
      </c>
      <c r="K1809" s="392">
        <f t="shared" si="64"/>
        <v>5.0390202128609589</v>
      </c>
      <c r="L1809" s="392">
        <f t="shared" si="64"/>
        <v>5.0390202128609589</v>
      </c>
      <c r="M1809" s="392">
        <f t="shared" si="64"/>
        <v>5.0390202128609589</v>
      </c>
      <c r="N1809" s="392">
        <f t="shared" si="64"/>
        <v>5.0390202128609589</v>
      </c>
    </row>
    <row r="1810" spans="1:14" hidden="1" outlineLevel="2" x14ac:dyDescent="0.35">
      <c r="A1810" s="388" t="s">
        <v>3868</v>
      </c>
      <c r="B1810" s="389">
        <v>43750</v>
      </c>
      <c r="C1810" s="390" t="s">
        <v>5779</v>
      </c>
      <c r="D1810" s="391" t="s">
        <v>5780</v>
      </c>
      <c r="E1810" s="391" t="s">
        <v>5419</v>
      </c>
      <c r="F1810" s="392">
        <v>9000</v>
      </c>
      <c r="G1810" s="393" t="s">
        <v>3800</v>
      </c>
      <c r="H1810" s="394">
        <v>3.488552455057587</v>
      </c>
      <c r="I1810" s="394"/>
      <c r="J1810" s="392">
        <f t="shared" si="64"/>
        <v>0.69771049101151739</v>
      </c>
      <c r="K1810" s="392">
        <f t="shared" si="64"/>
        <v>0.69771049101151739</v>
      </c>
      <c r="L1810" s="392">
        <f t="shared" si="64"/>
        <v>0.69771049101151739</v>
      </c>
      <c r="M1810" s="392">
        <f t="shared" si="64"/>
        <v>0.69771049101151739</v>
      </c>
      <c r="N1810" s="392">
        <f t="shared" si="64"/>
        <v>0.69771049101151739</v>
      </c>
    </row>
    <row r="1811" spans="1:14" hidden="1" outlineLevel="2" x14ac:dyDescent="0.35">
      <c r="A1811" s="388" t="s">
        <v>3868</v>
      </c>
      <c r="B1811" s="389">
        <v>43750</v>
      </c>
      <c r="C1811" s="390" t="s">
        <v>5781</v>
      </c>
      <c r="D1811" s="391" t="s">
        <v>5782</v>
      </c>
      <c r="E1811" s="391" t="s">
        <v>5783</v>
      </c>
      <c r="F1811" s="392">
        <v>10000</v>
      </c>
      <c r="G1811" s="393" t="s">
        <v>3800</v>
      </c>
      <c r="H1811" s="394">
        <v>3.8761693945084299</v>
      </c>
      <c r="I1811" s="394"/>
      <c r="J1811" s="392">
        <f t="shared" si="64"/>
        <v>0.77523387890168594</v>
      </c>
      <c r="K1811" s="392">
        <f t="shared" si="64"/>
        <v>0.77523387890168594</v>
      </c>
      <c r="L1811" s="392">
        <f t="shared" si="64"/>
        <v>0.77523387890168594</v>
      </c>
      <c r="M1811" s="392">
        <f t="shared" si="64"/>
        <v>0.77523387890168594</v>
      </c>
      <c r="N1811" s="392">
        <f t="shared" si="64"/>
        <v>0.77523387890168594</v>
      </c>
    </row>
    <row r="1812" spans="1:14" hidden="1" outlineLevel="2" x14ac:dyDescent="0.35">
      <c r="A1812" s="388" t="s">
        <v>3868</v>
      </c>
      <c r="B1812" s="389">
        <v>43755</v>
      </c>
      <c r="C1812" s="390" t="s">
        <v>5784</v>
      </c>
      <c r="D1812" s="391" t="s">
        <v>5785</v>
      </c>
      <c r="E1812" s="391" t="s">
        <v>5419</v>
      </c>
      <c r="F1812" s="392">
        <v>23000</v>
      </c>
      <c r="G1812" s="393" t="s">
        <v>3800</v>
      </c>
      <c r="H1812" s="394">
        <v>8.9151896073693884</v>
      </c>
      <c r="I1812" s="394"/>
      <c r="J1812" s="392">
        <f t="shared" si="64"/>
        <v>1.7830379214738776</v>
      </c>
      <c r="K1812" s="392">
        <f t="shared" si="64"/>
        <v>1.7830379214738776</v>
      </c>
      <c r="L1812" s="392">
        <f t="shared" si="64"/>
        <v>1.7830379214738776</v>
      </c>
      <c r="M1812" s="392">
        <f t="shared" si="64"/>
        <v>1.7830379214738776</v>
      </c>
      <c r="N1812" s="392">
        <f t="shared" si="64"/>
        <v>1.7830379214738776</v>
      </c>
    </row>
    <row r="1813" spans="1:14" hidden="1" outlineLevel="2" x14ac:dyDescent="0.35">
      <c r="A1813" s="388" t="s">
        <v>3868</v>
      </c>
      <c r="B1813" s="389">
        <v>43756</v>
      </c>
      <c r="C1813" s="390" t="s">
        <v>5786</v>
      </c>
      <c r="D1813" s="391" t="s">
        <v>5546</v>
      </c>
      <c r="E1813" s="391" t="s">
        <v>5419</v>
      </c>
      <c r="F1813" s="392">
        <v>3000</v>
      </c>
      <c r="G1813" s="393" t="s">
        <v>3800</v>
      </c>
      <c r="H1813" s="394">
        <v>1.162850818352529</v>
      </c>
      <c r="I1813" s="394"/>
      <c r="J1813" s="392">
        <f t="shared" si="64"/>
        <v>0.23257016367050581</v>
      </c>
      <c r="K1813" s="392">
        <f t="shared" si="64"/>
        <v>0.23257016367050581</v>
      </c>
      <c r="L1813" s="392">
        <f t="shared" si="64"/>
        <v>0.23257016367050581</v>
      </c>
      <c r="M1813" s="392">
        <f t="shared" si="64"/>
        <v>0.23257016367050581</v>
      </c>
      <c r="N1813" s="392">
        <f t="shared" si="64"/>
        <v>0.23257016367050581</v>
      </c>
    </row>
    <row r="1814" spans="1:14" hidden="1" outlineLevel="2" x14ac:dyDescent="0.35">
      <c r="A1814" s="388" t="s">
        <v>3868</v>
      </c>
      <c r="B1814" s="389">
        <v>43756</v>
      </c>
      <c r="C1814" s="390" t="s">
        <v>5787</v>
      </c>
      <c r="D1814" s="391" t="s">
        <v>5788</v>
      </c>
      <c r="E1814" s="391" t="s">
        <v>5419</v>
      </c>
      <c r="F1814" s="392">
        <v>3000</v>
      </c>
      <c r="G1814" s="393" t="s">
        <v>3800</v>
      </c>
      <c r="H1814" s="394">
        <v>1.162850818352529</v>
      </c>
      <c r="I1814" s="394"/>
      <c r="J1814" s="392">
        <f t="shared" si="64"/>
        <v>0.23257016367050581</v>
      </c>
      <c r="K1814" s="392">
        <f t="shared" si="64"/>
        <v>0.23257016367050581</v>
      </c>
      <c r="L1814" s="392">
        <f t="shared" si="64"/>
        <v>0.23257016367050581</v>
      </c>
      <c r="M1814" s="392">
        <f t="shared" si="64"/>
        <v>0.23257016367050581</v>
      </c>
      <c r="N1814" s="392">
        <f t="shared" si="64"/>
        <v>0.23257016367050581</v>
      </c>
    </row>
    <row r="1815" spans="1:14" hidden="1" outlineLevel="2" x14ac:dyDescent="0.35">
      <c r="A1815" s="388" t="s">
        <v>3868</v>
      </c>
      <c r="B1815" s="389">
        <v>43757</v>
      </c>
      <c r="C1815" s="390" t="s">
        <v>5789</v>
      </c>
      <c r="D1815" s="391" t="s">
        <v>5428</v>
      </c>
      <c r="E1815" s="391" t="s">
        <v>5419</v>
      </c>
      <c r="F1815" s="392">
        <v>3000</v>
      </c>
      <c r="G1815" s="393" t="s">
        <v>3800</v>
      </c>
      <c r="H1815" s="394">
        <v>1.162850818352529</v>
      </c>
      <c r="I1815" s="394"/>
      <c r="J1815" s="392">
        <f t="shared" si="64"/>
        <v>0.23257016367050581</v>
      </c>
      <c r="K1815" s="392">
        <f t="shared" si="64"/>
        <v>0.23257016367050581</v>
      </c>
      <c r="L1815" s="392">
        <f t="shared" si="64"/>
        <v>0.23257016367050581</v>
      </c>
      <c r="M1815" s="392">
        <f t="shared" si="64"/>
        <v>0.23257016367050581</v>
      </c>
      <c r="N1815" s="392">
        <f t="shared" si="64"/>
        <v>0.23257016367050581</v>
      </c>
    </row>
    <row r="1816" spans="1:14" hidden="1" outlineLevel="2" x14ac:dyDescent="0.35">
      <c r="A1816" s="388" t="s">
        <v>3868</v>
      </c>
      <c r="B1816" s="389">
        <v>43757</v>
      </c>
      <c r="C1816" s="390" t="s">
        <v>5790</v>
      </c>
      <c r="D1816" s="391" t="s">
        <v>5791</v>
      </c>
      <c r="E1816" s="391" t="s">
        <v>5419</v>
      </c>
      <c r="F1816" s="392">
        <v>3000</v>
      </c>
      <c r="G1816" s="393" t="s">
        <v>3800</v>
      </c>
      <c r="H1816" s="394">
        <v>1.162850818352529</v>
      </c>
      <c r="I1816" s="394"/>
      <c r="J1816" s="392">
        <f t="shared" si="64"/>
        <v>0.23257016367050581</v>
      </c>
      <c r="K1816" s="392">
        <f t="shared" si="64"/>
        <v>0.23257016367050581</v>
      </c>
      <c r="L1816" s="392">
        <f t="shared" si="64"/>
        <v>0.23257016367050581</v>
      </c>
      <c r="M1816" s="392">
        <f t="shared" si="64"/>
        <v>0.23257016367050581</v>
      </c>
      <c r="N1816" s="392">
        <f t="shared" si="64"/>
        <v>0.23257016367050581</v>
      </c>
    </row>
    <row r="1817" spans="1:14" hidden="1" outlineLevel="2" x14ac:dyDescent="0.35">
      <c r="A1817" s="388" t="s">
        <v>3868</v>
      </c>
      <c r="B1817" s="389">
        <v>43757</v>
      </c>
      <c r="C1817" s="390" t="s">
        <v>5792</v>
      </c>
      <c r="D1817" s="391" t="s">
        <v>5793</v>
      </c>
      <c r="E1817" s="391" t="s">
        <v>5419</v>
      </c>
      <c r="F1817" s="392">
        <v>3000</v>
      </c>
      <c r="G1817" s="393" t="s">
        <v>3800</v>
      </c>
      <c r="H1817" s="394">
        <v>1.162850818352529</v>
      </c>
      <c r="I1817" s="394"/>
      <c r="J1817" s="392">
        <f t="shared" si="64"/>
        <v>0.23257016367050581</v>
      </c>
      <c r="K1817" s="392">
        <f t="shared" si="64"/>
        <v>0.23257016367050581</v>
      </c>
      <c r="L1817" s="392">
        <f t="shared" si="64"/>
        <v>0.23257016367050581</v>
      </c>
      <c r="M1817" s="392">
        <f t="shared" si="64"/>
        <v>0.23257016367050581</v>
      </c>
      <c r="N1817" s="392">
        <f t="shared" si="64"/>
        <v>0.23257016367050581</v>
      </c>
    </row>
    <row r="1818" spans="1:14" hidden="1" outlineLevel="2" x14ac:dyDescent="0.35">
      <c r="A1818" s="388" t="s">
        <v>3868</v>
      </c>
      <c r="B1818" s="389">
        <v>43764</v>
      </c>
      <c r="C1818" s="390" t="s">
        <v>5794</v>
      </c>
      <c r="D1818" s="391" t="s">
        <v>5795</v>
      </c>
      <c r="E1818" s="391" t="s">
        <v>5419</v>
      </c>
      <c r="F1818" s="392">
        <v>31000</v>
      </c>
      <c r="G1818" s="393" t="s">
        <v>3800</v>
      </c>
      <c r="H1818" s="394">
        <v>12.016125122976133</v>
      </c>
      <c r="I1818" s="394"/>
      <c r="J1818" s="392">
        <f t="shared" si="64"/>
        <v>2.4032250245952267</v>
      </c>
      <c r="K1818" s="392">
        <f t="shared" si="64"/>
        <v>2.4032250245952267</v>
      </c>
      <c r="L1818" s="392">
        <f t="shared" si="64"/>
        <v>2.4032250245952267</v>
      </c>
      <c r="M1818" s="392">
        <f t="shared" si="64"/>
        <v>2.4032250245952267</v>
      </c>
      <c r="N1818" s="392">
        <f t="shared" si="64"/>
        <v>2.4032250245952267</v>
      </c>
    </row>
    <row r="1819" spans="1:14" hidden="1" outlineLevel="2" x14ac:dyDescent="0.35">
      <c r="A1819" s="388" t="s">
        <v>3868</v>
      </c>
      <c r="B1819" s="389">
        <v>43765</v>
      </c>
      <c r="C1819" s="390" t="s">
        <v>5796</v>
      </c>
      <c r="D1819" s="391" t="s">
        <v>5426</v>
      </c>
      <c r="E1819" s="391" t="s">
        <v>5419</v>
      </c>
      <c r="F1819" s="392">
        <v>9000</v>
      </c>
      <c r="G1819" s="393" t="s">
        <v>3800</v>
      </c>
      <c r="H1819" s="394">
        <v>3.488552455057587</v>
      </c>
      <c r="I1819" s="394"/>
      <c r="J1819" s="392">
        <f t="shared" si="64"/>
        <v>0.69771049101151739</v>
      </c>
      <c r="K1819" s="392">
        <f t="shared" si="64"/>
        <v>0.69771049101151739</v>
      </c>
      <c r="L1819" s="392">
        <f t="shared" si="64"/>
        <v>0.69771049101151739</v>
      </c>
      <c r="M1819" s="392">
        <f t="shared" si="64"/>
        <v>0.69771049101151739</v>
      </c>
      <c r="N1819" s="392">
        <f t="shared" si="64"/>
        <v>0.69771049101151739</v>
      </c>
    </row>
    <row r="1820" spans="1:14" hidden="1" outlineLevel="2" x14ac:dyDescent="0.35">
      <c r="A1820" s="388" t="s">
        <v>3868</v>
      </c>
      <c r="B1820" s="389">
        <v>43765</v>
      </c>
      <c r="C1820" s="390" t="s">
        <v>5797</v>
      </c>
      <c r="D1820" s="391" t="s">
        <v>5798</v>
      </c>
      <c r="E1820" s="391" t="s">
        <v>5419</v>
      </c>
      <c r="F1820" s="392">
        <v>5000</v>
      </c>
      <c r="G1820" s="393" t="s">
        <v>3800</v>
      </c>
      <c r="H1820" s="394">
        <v>1.9380846972542149</v>
      </c>
      <c r="I1820" s="394"/>
      <c r="J1820" s="392">
        <f t="shared" si="64"/>
        <v>0.38761693945084297</v>
      </c>
      <c r="K1820" s="392">
        <f t="shared" si="64"/>
        <v>0.38761693945084297</v>
      </c>
      <c r="L1820" s="392">
        <f t="shared" si="64"/>
        <v>0.38761693945084297</v>
      </c>
      <c r="M1820" s="392">
        <f t="shared" si="64"/>
        <v>0.38761693945084297</v>
      </c>
      <c r="N1820" s="392">
        <f t="shared" si="64"/>
        <v>0.38761693945084297</v>
      </c>
    </row>
    <row r="1821" spans="1:14" hidden="1" outlineLevel="2" x14ac:dyDescent="0.35">
      <c r="A1821" s="388" t="s">
        <v>3868</v>
      </c>
      <c r="B1821" s="389">
        <v>43766</v>
      </c>
      <c r="C1821" s="390" t="s">
        <v>5799</v>
      </c>
      <c r="D1821" s="391" t="s">
        <v>5546</v>
      </c>
      <c r="E1821" s="391" t="s">
        <v>5419</v>
      </c>
      <c r="F1821" s="392">
        <v>3000</v>
      </c>
      <c r="G1821" s="393" t="s">
        <v>3800</v>
      </c>
      <c r="H1821" s="394">
        <v>1.162850818352529</v>
      </c>
      <c r="I1821" s="394"/>
      <c r="J1821" s="392">
        <f t="shared" si="64"/>
        <v>0.23257016367050581</v>
      </c>
      <c r="K1821" s="392">
        <f t="shared" si="64"/>
        <v>0.23257016367050581</v>
      </c>
      <c r="L1821" s="392">
        <f t="shared" si="64"/>
        <v>0.23257016367050581</v>
      </c>
      <c r="M1821" s="392">
        <f t="shared" si="64"/>
        <v>0.23257016367050581</v>
      </c>
      <c r="N1821" s="392">
        <f t="shared" si="64"/>
        <v>0.23257016367050581</v>
      </c>
    </row>
    <row r="1822" spans="1:14" hidden="1" outlineLevel="2" x14ac:dyDescent="0.35">
      <c r="A1822" s="388" t="s">
        <v>3868</v>
      </c>
      <c r="B1822" s="389">
        <v>43766</v>
      </c>
      <c r="C1822" s="390" t="s">
        <v>5800</v>
      </c>
      <c r="D1822" s="391" t="s">
        <v>5788</v>
      </c>
      <c r="E1822" s="391" t="s">
        <v>5419</v>
      </c>
      <c r="F1822" s="392">
        <v>3000</v>
      </c>
      <c r="G1822" s="393" t="s">
        <v>3800</v>
      </c>
      <c r="H1822" s="394">
        <v>1.162850818352529</v>
      </c>
      <c r="I1822" s="394"/>
      <c r="J1822" s="392">
        <f t="shared" si="64"/>
        <v>0.23257016367050581</v>
      </c>
      <c r="K1822" s="392">
        <f t="shared" si="64"/>
        <v>0.23257016367050581</v>
      </c>
      <c r="L1822" s="392">
        <f t="shared" si="64"/>
        <v>0.23257016367050581</v>
      </c>
      <c r="M1822" s="392">
        <f t="shared" si="64"/>
        <v>0.23257016367050581</v>
      </c>
      <c r="N1822" s="392">
        <f t="shared" si="64"/>
        <v>0.23257016367050581</v>
      </c>
    </row>
    <row r="1823" spans="1:14" hidden="1" outlineLevel="2" x14ac:dyDescent="0.35">
      <c r="A1823" s="388" t="s">
        <v>3868</v>
      </c>
      <c r="B1823" s="389">
        <v>43767</v>
      </c>
      <c r="C1823" s="390" t="s">
        <v>5801</v>
      </c>
      <c r="D1823" s="391" t="s">
        <v>5546</v>
      </c>
      <c r="E1823" s="391" t="s">
        <v>5419</v>
      </c>
      <c r="F1823" s="392">
        <v>3000</v>
      </c>
      <c r="G1823" s="393" t="s">
        <v>3800</v>
      </c>
      <c r="H1823" s="394">
        <v>1.162850818352529</v>
      </c>
      <c r="I1823" s="394"/>
      <c r="J1823" s="392">
        <f t="shared" ref="J1823:N1838" si="65">$H1823/5</f>
        <v>0.23257016367050581</v>
      </c>
      <c r="K1823" s="392">
        <f t="shared" si="65"/>
        <v>0.23257016367050581</v>
      </c>
      <c r="L1823" s="392">
        <f t="shared" si="65"/>
        <v>0.23257016367050581</v>
      </c>
      <c r="M1823" s="392">
        <f t="shared" si="65"/>
        <v>0.23257016367050581</v>
      </c>
      <c r="N1823" s="392">
        <f t="shared" si="65"/>
        <v>0.23257016367050581</v>
      </c>
    </row>
    <row r="1824" spans="1:14" hidden="1" outlineLevel="2" x14ac:dyDescent="0.35">
      <c r="A1824" s="388" t="s">
        <v>3868</v>
      </c>
      <c r="B1824" s="389">
        <v>43767</v>
      </c>
      <c r="C1824" s="390" t="s">
        <v>5802</v>
      </c>
      <c r="D1824" s="391" t="s">
        <v>5788</v>
      </c>
      <c r="E1824" s="391" t="s">
        <v>5419</v>
      </c>
      <c r="F1824" s="392">
        <v>3000</v>
      </c>
      <c r="G1824" s="393" t="s">
        <v>3800</v>
      </c>
      <c r="H1824" s="394">
        <v>1.162850818352529</v>
      </c>
      <c r="I1824" s="394"/>
      <c r="J1824" s="392">
        <f t="shared" si="65"/>
        <v>0.23257016367050581</v>
      </c>
      <c r="K1824" s="392">
        <f t="shared" si="65"/>
        <v>0.23257016367050581</v>
      </c>
      <c r="L1824" s="392">
        <f t="shared" si="65"/>
        <v>0.23257016367050581</v>
      </c>
      <c r="M1824" s="392">
        <f t="shared" si="65"/>
        <v>0.23257016367050581</v>
      </c>
      <c r="N1824" s="392">
        <f t="shared" si="65"/>
        <v>0.23257016367050581</v>
      </c>
    </row>
    <row r="1825" spans="1:14" hidden="1" outlineLevel="2" x14ac:dyDescent="0.35">
      <c r="A1825" s="388" t="s">
        <v>3868</v>
      </c>
      <c r="B1825" s="389">
        <v>43768</v>
      </c>
      <c r="C1825" s="390" t="s">
        <v>5803</v>
      </c>
      <c r="D1825" s="391" t="s">
        <v>5546</v>
      </c>
      <c r="E1825" s="391" t="s">
        <v>5419</v>
      </c>
      <c r="F1825" s="392">
        <v>3000</v>
      </c>
      <c r="G1825" s="393" t="s">
        <v>3800</v>
      </c>
      <c r="H1825" s="394">
        <v>1.162850818352529</v>
      </c>
      <c r="I1825" s="394"/>
      <c r="J1825" s="392">
        <f t="shared" si="65"/>
        <v>0.23257016367050581</v>
      </c>
      <c r="K1825" s="392">
        <f t="shared" si="65"/>
        <v>0.23257016367050581</v>
      </c>
      <c r="L1825" s="392">
        <f t="shared" si="65"/>
        <v>0.23257016367050581</v>
      </c>
      <c r="M1825" s="392">
        <f t="shared" si="65"/>
        <v>0.23257016367050581</v>
      </c>
      <c r="N1825" s="392">
        <f t="shared" si="65"/>
        <v>0.23257016367050581</v>
      </c>
    </row>
    <row r="1826" spans="1:14" hidden="1" outlineLevel="2" x14ac:dyDescent="0.35">
      <c r="A1826" s="388" t="s">
        <v>3868</v>
      </c>
      <c r="B1826" s="389">
        <v>43768</v>
      </c>
      <c r="C1826" s="390" t="s">
        <v>5804</v>
      </c>
      <c r="D1826" s="391" t="s">
        <v>5788</v>
      </c>
      <c r="E1826" s="391" t="s">
        <v>5419</v>
      </c>
      <c r="F1826" s="392">
        <v>4000</v>
      </c>
      <c r="G1826" s="393" t="s">
        <v>3800</v>
      </c>
      <c r="H1826" s="394">
        <v>1.5504677578033719</v>
      </c>
      <c r="I1826" s="394"/>
      <c r="J1826" s="392">
        <f t="shared" si="65"/>
        <v>0.31009355156067436</v>
      </c>
      <c r="K1826" s="392">
        <f t="shared" si="65"/>
        <v>0.31009355156067436</v>
      </c>
      <c r="L1826" s="392">
        <f t="shared" si="65"/>
        <v>0.31009355156067436</v>
      </c>
      <c r="M1826" s="392">
        <f t="shared" si="65"/>
        <v>0.31009355156067436</v>
      </c>
      <c r="N1826" s="392">
        <f t="shared" si="65"/>
        <v>0.31009355156067436</v>
      </c>
    </row>
    <row r="1827" spans="1:14" hidden="1" outlineLevel="2" x14ac:dyDescent="0.35">
      <c r="A1827" s="388" t="s">
        <v>3868</v>
      </c>
      <c r="B1827" s="389">
        <v>43769</v>
      </c>
      <c r="C1827" s="390" t="s">
        <v>5805</v>
      </c>
      <c r="D1827" s="391" t="s">
        <v>5546</v>
      </c>
      <c r="E1827" s="391" t="s">
        <v>5419</v>
      </c>
      <c r="F1827" s="392">
        <v>3000</v>
      </c>
      <c r="G1827" s="393" t="s">
        <v>3800</v>
      </c>
      <c r="H1827" s="394">
        <v>1.162850818352529</v>
      </c>
      <c r="I1827" s="394"/>
      <c r="J1827" s="392">
        <f t="shared" si="65"/>
        <v>0.23257016367050581</v>
      </c>
      <c r="K1827" s="392">
        <f t="shared" si="65"/>
        <v>0.23257016367050581</v>
      </c>
      <c r="L1827" s="392">
        <f t="shared" si="65"/>
        <v>0.23257016367050581</v>
      </c>
      <c r="M1827" s="392">
        <f t="shared" si="65"/>
        <v>0.23257016367050581</v>
      </c>
      <c r="N1827" s="392">
        <f t="shared" si="65"/>
        <v>0.23257016367050581</v>
      </c>
    </row>
    <row r="1828" spans="1:14" hidden="1" outlineLevel="2" x14ac:dyDescent="0.35">
      <c r="A1828" s="388" t="s">
        <v>3868</v>
      </c>
      <c r="B1828" s="389">
        <v>43769</v>
      </c>
      <c r="C1828" s="390" t="s">
        <v>5806</v>
      </c>
      <c r="D1828" s="391" t="s">
        <v>5788</v>
      </c>
      <c r="E1828" s="391" t="s">
        <v>5419</v>
      </c>
      <c r="F1828" s="392">
        <v>3000</v>
      </c>
      <c r="G1828" s="393" t="s">
        <v>3800</v>
      </c>
      <c r="H1828" s="394">
        <v>1.162850818352529</v>
      </c>
      <c r="I1828" s="394"/>
      <c r="J1828" s="392">
        <f t="shared" si="65"/>
        <v>0.23257016367050581</v>
      </c>
      <c r="K1828" s="392">
        <f t="shared" si="65"/>
        <v>0.23257016367050581</v>
      </c>
      <c r="L1828" s="392">
        <f t="shared" si="65"/>
        <v>0.23257016367050581</v>
      </c>
      <c r="M1828" s="392">
        <f t="shared" si="65"/>
        <v>0.23257016367050581</v>
      </c>
      <c r="N1828" s="392">
        <f t="shared" si="65"/>
        <v>0.23257016367050581</v>
      </c>
    </row>
    <row r="1829" spans="1:14" hidden="1" outlineLevel="2" x14ac:dyDescent="0.35">
      <c r="A1829" s="388" t="s">
        <v>3868</v>
      </c>
      <c r="B1829" s="389">
        <v>43771</v>
      </c>
      <c r="C1829" s="390" t="s">
        <v>5807</v>
      </c>
      <c r="D1829" s="391" t="s">
        <v>5808</v>
      </c>
      <c r="E1829" s="391" t="s">
        <v>5419</v>
      </c>
      <c r="F1829" s="392">
        <v>10000</v>
      </c>
      <c r="G1829" s="393" t="s">
        <v>3800</v>
      </c>
      <c r="H1829" s="394">
        <v>3.8761693945084299</v>
      </c>
      <c r="I1829" s="394"/>
      <c r="J1829" s="392">
        <f t="shared" si="65"/>
        <v>0.77523387890168594</v>
      </c>
      <c r="K1829" s="392">
        <f t="shared" si="65"/>
        <v>0.77523387890168594</v>
      </c>
      <c r="L1829" s="392">
        <f t="shared" si="65"/>
        <v>0.77523387890168594</v>
      </c>
      <c r="M1829" s="392">
        <f t="shared" si="65"/>
        <v>0.77523387890168594</v>
      </c>
      <c r="N1829" s="392">
        <f t="shared" si="65"/>
        <v>0.77523387890168594</v>
      </c>
    </row>
    <row r="1830" spans="1:14" hidden="1" outlineLevel="2" x14ac:dyDescent="0.35">
      <c r="A1830" s="388" t="s">
        <v>3868</v>
      </c>
      <c r="B1830" s="389">
        <v>43771</v>
      </c>
      <c r="C1830" s="390" t="s">
        <v>5809</v>
      </c>
      <c r="D1830" s="391" t="s">
        <v>5810</v>
      </c>
      <c r="E1830" s="391" t="s">
        <v>5419</v>
      </c>
      <c r="F1830" s="392">
        <v>11000</v>
      </c>
      <c r="G1830" s="393" t="s">
        <v>3800</v>
      </c>
      <c r="H1830" s="394">
        <v>4.2637863339592732</v>
      </c>
      <c r="I1830" s="394"/>
      <c r="J1830" s="392">
        <f t="shared" si="65"/>
        <v>0.8527572667918546</v>
      </c>
      <c r="K1830" s="392">
        <f t="shared" si="65"/>
        <v>0.8527572667918546</v>
      </c>
      <c r="L1830" s="392">
        <f t="shared" si="65"/>
        <v>0.8527572667918546</v>
      </c>
      <c r="M1830" s="392">
        <f t="shared" si="65"/>
        <v>0.8527572667918546</v>
      </c>
      <c r="N1830" s="392">
        <f t="shared" si="65"/>
        <v>0.8527572667918546</v>
      </c>
    </row>
    <row r="1831" spans="1:14" hidden="1" outlineLevel="2" x14ac:dyDescent="0.35">
      <c r="A1831" s="388" t="s">
        <v>3868</v>
      </c>
      <c r="B1831" s="389">
        <v>43771</v>
      </c>
      <c r="C1831" s="390" t="s">
        <v>5811</v>
      </c>
      <c r="D1831" s="391" t="s">
        <v>5812</v>
      </c>
      <c r="E1831" s="391" t="s">
        <v>5419</v>
      </c>
      <c r="F1831" s="392">
        <v>3000</v>
      </c>
      <c r="G1831" s="393" t="s">
        <v>3800</v>
      </c>
      <c r="H1831" s="394">
        <v>1.162850818352529</v>
      </c>
      <c r="I1831" s="394"/>
      <c r="J1831" s="392">
        <f t="shared" si="65"/>
        <v>0.23257016367050581</v>
      </c>
      <c r="K1831" s="392">
        <f t="shared" si="65"/>
        <v>0.23257016367050581</v>
      </c>
      <c r="L1831" s="392">
        <f t="shared" si="65"/>
        <v>0.23257016367050581</v>
      </c>
      <c r="M1831" s="392">
        <f t="shared" si="65"/>
        <v>0.23257016367050581</v>
      </c>
      <c r="N1831" s="392">
        <f t="shared" si="65"/>
        <v>0.23257016367050581</v>
      </c>
    </row>
    <row r="1832" spans="1:14" hidden="1" outlineLevel="2" x14ac:dyDescent="0.35">
      <c r="A1832" s="388" t="s">
        <v>3868</v>
      </c>
      <c r="B1832" s="389">
        <v>43771</v>
      </c>
      <c r="C1832" s="390" t="s">
        <v>5813</v>
      </c>
      <c r="D1832" s="391" t="s">
        <v>5814</v>
      </c>
      <c r="E1832" s="391" t="s">
        <v>5419</v>
      </c>
      <c r="F1832" s="392">
        <v>5000</v>
      </c>
      <c r="G1832" s="393" t="s">
        <v>3800</v>
      </c>
      <c r="H1832" s="394">
        <v>1.9380846972542149</v>
      </c>
      <c r="I1832" s="394"/>
      <c r="J1832" s="392">
        <f t="shared" si="65"/>
        <v>0.38761693945084297</v>
      </c>
      <c r="K1832" s="392">
        <f t="shared" si="65"/>
        <v>0.38761693945084297</v>
      </c>
      <c r="L1832" s="392">
        <f t="shared" si="65"/>
        <v>0.38761693945084297</v>
      </c>
      <c r="M1832" s="392">
        <f t="shared" si="65"/>
        <v>0.38761693945084297</v>
      </c>
      <c r="N1832" s="392">
        <f t="shared" si="65"/>
        <v>0.38761693945084297</v>
      </c>
    </row>
    <row r="1833" spans="1:14" hidden="1" outlineLevel="2" x14ac:dyDescent="0.35">
      <c r="A1833" s="388" t="s">
        <v>3868</v>
      </c>
      <c r="B1833" s="389">
        <v>43772</v>
      </c>
      <c r="C1833" s="390" t="s">
        <v>5815</v>
      </c>
      <c r="D1833" s="391" t="s">
        <v>5816</v>
      </c>
      <c r="E1833" s="391" t="s">
        <v>5419</v>
      </c>
      <c r="F1833" s="392">
        <v>5000</v>
      </c>
      <c r="G1833" s="393" t="s">
        <v>3800</v>
      </c>
      <c r="H1833" s="394">
        <v>1.9380846972542149</v>
      </c>
      <c r="I1833" s="394"/>
      <c r="J1833" s="392">
        <f t="shared" si="65"/>
        <v>0.38761693945084297</v>
      </c>
      <c r="K1833" s="392">
        <f t="shared" si="65"/>
        <v>0.38761693945084297</v>
      </c>
      <c r="L1833" s="392">
        <f t="shared" si="65"/>
        <v>0.38761693945084297</v>
      </c>
      <c r="M1833" s="392">
        <f t="shared" si="65"/>
        <v>0.38761693945084297</v>
      </c>
      <c r="N1833" s="392">
        <f t="shared" si="65"/>
        <v>0.38761693945084297</v>
      </c>
    </row>
    <row r="1834" spans="1:14" hidden="1" outlineLevel="2" x14ac:dyDescent="0.35">
      <c r="A1834" s="388" t="s">
        <v>3868</v>
      </c>
      <c r="B1834" s="389">
        <v>43772</v>
      </c>
      <c r="C1834" s="390" t="s">
        <v>5817</v>
      </c>
      <c r="D1834" s="391" t="s">
        <v>5818</v>
      </c>
      <c r="E1834" s="391" t="s">
        <v>5419</v>
      </c>
      <c r="F1834" s="392">
        <v>7000</v>
      </c>
      <c r="G1834" s="393" t="s">
        <v>3800</v>
      </c>
      <c r="H1834" s="394">
        <v>2.7133185761559009</v>
      </c>
      <c r="I1834" s="394"/>
      <c r="J1834" s="392">
        <f t="shared" si="65"/>
        <v>0.54266371523118018</v>
      </c>
      <c r="K1834" s="392">
        <f t="shared" si="65"/>
        <v>0.54266371523118018</v>
      </c>
      <c r="L1834" s="392">
        <f t="shared" si="65"/>
        <v>0.54266371523118018</v>
      </c>
      <c r="M1834" s="392">
        <f t="shared" si="65"/>
        <v>0.54266371523118018</v>
      </c>
      <c r="N1834" s="392">
        <f t="shared" si="65"/>
        <v>0.54266371523118018</v>
      </c>
    </row>
    <row r="1835" spans="1:14" hidden="1" outlineLevel="2" collapsed="1" x14ac:dyDescent="0.35">
      <c r="A1835" s="388" t="s">
        <v>3868</v>
      </c>
      <c r="B1835" s="389">
        <v>43772</v>
      </c>
      <c r="C1835" s="390" t="s">
        <v>5819</v>
      </c>
      <c r="D1835" s="391" t="s">
        <v>5820</v>
      </c>
      <c r="E1835" s="391" t="s">
        <v>5419</v>
      </c>
      <c r="F1835" s="392">
        <v>4000</v>
      </c>
      <c r="G1835" s="393" t="s">
        <v>3800</v>
      </c>
      <c r="H1835" s="394">
        <v>1.5504677578033719</v>
      </c>
      <c r="I1835" s="394"/>
      <c r="J1835" s="392">
        <f t="shared" si="65"/>
        <v>0.31009355156067436</v>
      </c>
      <c r="K1835" s="392">
        <f t="shared" si="65"/>
        <v>0.31009355156067436</v>
      </c>
      <c r="L1835" s="392">
        <f t="shared" si="65"/>
        <v>0.31009355156067436</v>
      </c>
      <c r="M1835" s="392">
        <f t="shared" si="65"/>
        <v>0.31009355156067436</v>
      </c>
      <c r="N1835" s="392">
        <f t="shared" si="65"/>
        <v>0.31009355156067436</v>
      </c>
    </row>
    <row r="1836" spans="1:14" ht="30" hidden="1" outlineLevel="2" x14ac:dyDescent="0.35">
      <c r="A1836" s="388" t="s">
        <v>3868</v>
      </c>
      <c r="B1836" s="389">
        <v>43772</v>
      </c>
      <c r="C1836" s="390" t="s">
        <v>5821</v>
      </c>
      <c r="D1836" s="391" t="s">
        <v>5822</v>
      </c>
      <c r="E1836" s="391" t="s">
        <v>5419</v>
      </c>
      <c r="F1836" s="392">
        <v>4000</v>
      </c>
      <c r="G1836" s="393" t="s">
        <v>3800</v>
      </c>
      <c r="H1836" s="394">
        <v>1.5504677578033719</v>
      </c>
      <c r="I1836" s="394"/>
      <c r="J1836" s="392">
        <f t="shared" si="65"/>
        <v>0.31009355156067436</v>
      </c>
      <c r="K1836" s="392">
        <f t="shared" si="65"/>
        <v>0.31009355156067436</v>
      </c>
      <c r="L1836" s="392">
        <f t="shared" si="65"/>
        <v>0.31009355156067436</v>
      </c>
      <c r="M1836" s="392">
        <f t="shared" si="65"/>
        <v>0.31009355156067436</v>
      </c>
      <c r="N1836" s="392">
        <f t="shared" si="65"/>
        <v>0.31009355156067436</v>
      </c>
    </row>
    <row r="1837" spans="1:14" hidden="1" outlineLevel="2" collapsed="1" x14ac:dyDescent="0.35">
      <c r="A1837" s="388" t="s">
        <v>3868</v>
      </c>
      <c r="B1837" s="389">
        <v>43773</v>
      </c>
      <c r="C1837" s="390" t="s">
        <v>5823</v>
      </c>
      <c r="D1837" s="391" t="s">
        <v>5824</v>
      </c>
      <c r="E1837" s="391" t="s">
        <v>5419</v>
      </c>
      <c r="F1837" s="392">
        <v>3000</v>
      </c>
      <c r="G1837" s="393" t="s">
        <v>3800</v>
      </c>
      <c r="H1837" s="394">
        <v>1.162850818352529</v>
      </c>
      <c r="I1837" s="394"/>
      <c r="J1837" s="392">
        <f t="shared" si="65"/>
        <v>0.23257016367050581</v>
      </c>
      <c r="K1837" s="392">
        <f t="shared" si="65"/>
        <v>0.23257016367050581</v>
      </c>
      <c r="L1837" s="392">
        <f t="shared" si="65"/>
        <v>0.23257016367050581</v>
      </c>
      <c r="M1837" s="392">
        <f t="shared" si="65"/>
        <v>0.23257016367050581</v>
      </c>
      <c r="N1837" s="392">
        <f t="shared" si="65"/>
        <v>0.23257016367050581</v>
      </c>
    </row>
    <row r="1838" spans="1:14" hidden="1" outlineLevel="2" x14ac:dyDescent="0.35">
      <c r="A1838" s="388" t="s">
        <v>3868</v>
      </c>
      <c r="B1838" s="389">
        <v>43773</v>
      </c>
      <c r="C1838" s="390" t="s">
        <v>5825</v>
      </c>
      <c r="D1838" s="391" t="s">
        <v>5826</v>
      </c>
      <c r="E1838" s="391" t="s">
        <v>5419</v>
      </c>
      <c r="F1838" s="392">
        <v>3000</v>
      </c>
      <c r="G1838" s="393" t="s">
        <v>3800</v>
      </c>
      <c r="H1838" s="394">
        <v>1.162850818352529</v>
      </c>
      <c r="I1838" s="394"/>
      <c r="J1838" s="392">
        <f t="shared" si="65"/>
        <v>0.23257016367050581</v>
      </c>
      <c r="K1838" s="392">
        <f t="shared" si="65"/>
        <v>0.23257016367050581</v>
      </c>
      <c r="L1838" s="392">
        <f t="shared" si="65"/>
        <v>0.23257016367050581</v>
      </c>
      <c r="M1838" s="392">
        <f t="shared" si="65"/>
        <v>0.23257016367050581</v>
      </c>
      <c r="N1838" s="392">
        <f t="shared" si="65"/>
        <v>0.23257016367050581</v>
      </c>
    </row>
    <row r="1839" spans="1:14" hidden="1" outlineLevel="2" collapsed="1" x14ac:dyDescent="0.35">
      <c r="A1839" s="388" t="s">
        <v>3868</v>
      </c>
      <c r="B1839" s="389">
        <v>43773</v>
      </c>
      <c r="C1839" s="390" t="s">
        <v>5827</v>
      </c>
      <c r="D1839" s="391" t="s">
        <v>5826</v>
      </c>
      <c r="E1839" s="391" t="s">
        <v>5419</v>
      </c>
      <c r="F1839" s="392">
        <v>3000</v>
      </c>
      <c r="G1839" s="393" t="s">
        <v>3800</v>
      </c>
      <c r="H1839" s="394">
        <v>1.162850818352529</v>
      </c>
      <c r="I1839" s="394"/>
      <c r="J1839" s="392">
        <f t="shared" ref="J1839:N1854" si="66">$H1839/5</f>
        <v>0.23257016367050581</v>
      </c>
      <c r="K1839" s="392">
        <f t="shared" si="66"/>
        <v>0.23257016367050581</v>
      </c>
      <c r="L1839" s="392">
        <f t="shared" si="66"/>
        <v>0.23257016367050581</v>
      </c>
      <c r="M1839" s="392">
        <f t="shared" si="66"/>
        <v>0.23257016367050581</v>
      </c>
      <c r="N1839" s="392">
        <f t="shared" si="66"/>
        <v>0.23257016367050581</v>
      </c>
    </row>
    <row r="1840" spans="1:14" hidden="1" outlineLevel="2" x14ac:dyDescent="0.35">
      <c r="A1840" s="388" t="s">
        <v>3868</v>
      </c>
      <c r="B1840" s="389">
        <v>43773</v>
      </c>
      <c r="C1840" s="390" t="s">
        <v>5828</v>
      </c>
      <c r="D1840" s="391" t="s">
        <v>5829</v>
      </c>
      <c r="E1840" s="391" t="s">
        <v>5830</v>
      </c>
      <c r="F1840" s="392">
        <v>70000</v>
      </c>
      <c r="G1840" s="393" t="s">
        <v>3800</v>
      </c>
      <c r="H1840" s="394">
        <v>27.133185761559009</v>
      </c>
      <c r="I1840" s="394"/>
      <c r="J1840" s="392">
        <f t="shared" si="66"/>
        <v>5.4266371523118018</v>
      </c>
      <c r="K1840" s="392">
        <f t="shared" si="66"/>
        <v>5.4266371523118018</v>
      </c>
      <c r="L1840" s="392">
        <f t="shared" si="66"/>
        <v>5.4266371523118018</v>
      </c>
      <c r="M1840" s="392">
        <f t="shared" si="66"/>
        <v>5.4266371523118018</v>
      </c>
      <c r="N1840" s="392">
        <f t="shared" si="66"/>
        <v>5.4266371523118018</v>
      </c>
    </row>
    <row r="1841" spans="1:14" hidden="1" outlineLevel="2" collapsed="1" x14ac:dyDescent="0.35">
      <c r="A1841" s="388" t="s">
        <v>3868</v>
      </c>
      <c r="B1841" s="389">
        <v>43774</v>
      </c>
      <c r="C1841" s="390" t="s">
        <v>5831</v>
      </c>
      <c r="D1841" s="391" t="s">
        <v>5824</v>
      </c>
      <c r="E1841" s="391" t="s">
        <v>5419</v>
      </c>
      <c r="F1841" s="392">
        <v>3000</v>
      </c>
      <c r="G1841" s="393" t="s">
        <v>3800</v>
      </c>
      <c r="H1841" s="394">
        <v>1.162850818352529</v>
      </c>
      <c r="I1841" s="394"/>
      <c r="J1841" s="392">
        <f t="shared" si="66"/>
        <v>0.23257016367050581</v>
      </c>
      <c r="K1841" s="392">
        <f t="shared" si="66"/>
        <v>0.23257016367050581</v>
      </c>
      <c r="L1841" s="392">
        <f t="shared" si="66"/>
        <v>0.23257016367050581</v>
      </c>
      <c r="M1841" s="392">
        <f t="shared" si="66"/>
        <v>0.23257016367050581</v>
      </c>
      <c r="N1841" s="392">
        <f t="shared" si="66"/>
        <v>0.23257016367050581</v>
      </c>
    </row>
    <row r="1842" spans="1:14" hidden="1" outlineLevel="2" x14ac:dyDescent="0.35">
      <c r="A1842" s="388" t="s">
        <v>3868</v>
      </c>
      <c r="B1842" s="389">
        <v>43774</v>
      </c>
      <c r="C1842" s="390" t="s">
        <v>5832</v>
      </c>
      <c r="D1842" s="391" t="s">
        <v>5826</v>
      </c>
      <c r="E1842" s="391" t="s">
        <v>5419</v>
      </c>
      <c r="F1842" s="392">
        <v>3000</v>
      </c>
      <c r="G1842" s="393" t="s">
        <v>3800</v>
      </c>
      <c r="H1842" s="394">
        <v>1.162850818352529</v>
      </c>
      <c r="I1842" s="394"/>
      <c r="J1842" s="392">
        <f t="shared" si="66"/>
        <v>0.23257016367050581</v>
      </c>
      <c r="K1842" s="392">
        <f t="shared" si="66"/>
        <v>0.23257016367050581</v>
      </c>
      <c r="L1842" s="392">
        <f t="shared" si="66"/>
        <v>0.23257016367050581</v>
      </c>
      <c r="M1842" s="392">
        <f t="shared" si="66"/>
        <v>0.23257016367050581</v>
      </c>
      <c r="N1842" s="392">
        <f t="shared" si="66"/>
        <v>0.23257016367050581</v>
      </c>
    </row>
    <row r="1843" spans="1:14" hidden="1" outlineLevel="2" collapsed="1" x14ac:dyDescent="0.35">
      <c r="A1843" s="388" t="s">
        <v>3868</v>
      </c>
      <c r="B1843" s="389">
        <v>43775</v>
      </c>
      <c r="C1843" s="390" t="s">
        <v>5833</v>
      </c>
      <c r="D1843" s="391" t="s">
        <v>5826</v>
      </c>
      <c r="E1843" s="391" t="s">
        <v>5419</v>
      </c>
      <c r="F1843" s="392">
        <v>3000</v>
      </c>
      <c r="G1843" s="393" t="s">
        <v>3800</v>
      </c>
      <c r="H1843" s="394">
        <v>1.162850818352529</v>
      </c>
      <c r="I1843" s="394"/>
      <c r="J1843" s="392">
        <f t="shared" si="66"/>
        <v>0.23257016367050581</v>
      </c>
      <c r="K1843" s="392">
        <f t="shared" si="66"/>
        <v>0.23257016367050581</v>
      </c>
      <c r="L1843" s="392">
        <f t="shared" si="66"/>
        <v>0.23257016367050581</v>
      </c>
      <c r="M1843" s="392">
        <f t="shared" si="66"/>
        <v>0.23257016367050581</v>
      </c>
      <c r="N1843" s="392">
        <f t="shared" si="66"/>
        <v>0.23257016367050581</v>
      </c>
    </row>
    <row r="1844" spans="1:14" hidden="1" outlineLevel="2" x14ac:dyDescent="0.35">
      <c r="A1844" s="388" t="s">
        <v>3868</v>
      </c>
      <c r="B1844" s="389">
        <v>43775</v>
      </c>
      <c r="C1844" s="390" t="s">
        <v>5834</v>
      </c>
      <c r="D1844" s="391" t="s">
        <v>5835</v>
      </c>
      <c r="E1844" s="391" t="s">
        <v>5419</v>
      </c>
      <c r="F1844" s="392">
        <v>3000</v>
      </c>
      <c r="G1844" s="393" t="s">
        <v>3800</v>
      </c>
      <c r="H1844" s="394">
        <v>1.162850818352529</v>
      </c>
      <c r="I1844" s="394"/>
      <c r="J1844" s="392">
        <f t="shared" si="66"/>
        <v>0.23257016367050581</v>
      </c>
      <c r="K1844" s="392">
        <f t="shared" si="66"/>
        <v>0.23257016367050581</v>
      </c>
      <c r="L1844" s="392">
        <f t="shared" si="66"/>
        <v>0.23257016367050581</v>
      </c>
      <c r="M1844" s="392">
        <f t="shared" si="66"/>
        <v>0.23257016367050581</v>
      </c>
      <c r="N1844" s="392">
        <f t="shared" si="66"/>
        <v>0.23257016367050581</v>
      </c>
    </row>
    <row r="1845" spans="1:14" hidden="1" outlineLevel="2" collapsed="1" x14ac:dyDescent="0.35">
      <c r="A1845" s="388" t="s">
        <v>3868</v>
      </c>
      <c r="B1845" s="389">
        <v>43775</v>
      </c>
      <c r="C1845" s="390" t="s">
        <v>5836</v>
      </c>
      <c r="D1845" s="391" t="s">
        <v>5428</v>
      </c>
      <c r="E1845" s="391" t="s">
        <v>5419</v>
      </c>
      <c r="F1845" s="392">
        <v>3000</v>
      </c>
      <c r="G1845" s="393" t="s">
        <v>3800</v>
      </c>
      <c r="H1845" s="394">
        <v>1.162850818352529</v>
      </c>
      <c r="I1845" s="394"/>
      <c r="J1845" s="392">
        <f t="shared" si="66"/>
        <v>0.23257016367050581</v>
      </c>
      <c r="K1845" s="392">
        <f t="shared" si="66"/>
        <v>0.23257016367050581</v>
      </c>
      <c r="L1845" s="392">
        <f t="shared" si="66"/>
        <v>0.23257016367050581</v>
      </c>
      <c r="M1845" s="392">
        <f t="shared" si="66"/>
        <v>0.23257016367050581</v>
      </c>
      <c r="N1845" s="392">
        <f t="shared" si="66"/>
        <v>0.23257016367050581</v>
      </c>
    </row>
    <row r="1846" spans="1:14" hidden="1" outlineLevel="2" x14ac:dyDescent="0.35">
      <c r="A1846" s="388" t="s">
        <v>3868</v>
      </c>
      <c r="B1846" s="389">
        <v>43776</v>
      </c>
      <c r="C1846" s="390" t="s">
        <v>5837</v>
      </c>
      <c r="D1846" s="391" t="s">
        <v>5826</v>
      </c>
      <c r="E1846" s="391" t="s">
        <v>5419</v>
      </c>
      <c r="F1846" s="392">
        <v>3000</v>
      </c>
      <c r="G1846" s="393" t="s">
        <v>3800</v>
      </c>
      <c r="H1846" s="394">
        <v>1.162850818352529</v>
      </c>
      <c r="I1846" s="394"/>
      <c r="J1846" s="392">
        <f t="shared" si="66"/>
        <v>0.23257016367050581</v>
      </c>
      <c r="K1846" s="392">
        <f t="shared" si="66"/>
        <v>0.23257016367050581</v>
      </c>
      <c r="L1846" s="392">
        <f t="shared" si="66"/>
        <v>0.23257016367050581</v>
      </c>
      <c r="M1846" s="392">
        <f t="shared" si="66"/>
        <v>0.23257016367050581</v>
      </c>
      <c r="N1846" s="392">
        <f t="shared" si="66"/>
        <v>0.23257016367050581</v>
      </c>
    </row>
    <row r="1847" spans="1:14" hidden="1" outlineLevel="2" collapsed="1" x14ac:dyDescent="0.35">
      <c r="A1847" s="388" t="s">
        <v>3868</v>
      </c>
      <c r="B1847" s="389">
        <v>43776</v>
      </c>
      <c r="C1847" s="390" t="s">
        <v>5838</v>
      </c>
      <c r="D1847" s="391" t="s">
        <v>5824</v>
      </c>
      <c r="E1847" s="391"/>
      <c r="F1847" s="392">
        <v>10000</v>
      </c>
      <c r="G1847" s="393" t="s">
        <v>3800</v>
      </c>
      <c r="H1847" s="394">
        <v>3.8761693945084299</v>
      </c>
      <c r="I1847" s="394"/>
      <c r="J1847" s="392">
        <f t="shared" si="66"/>
        <v>0.77523387890168594</v>
      </c>
      <c r="K1847" s="392">
        <f t="shared" si="66"/>
        <v>0.77523387890168594</v>
      </c>
      <c r="L1847" s="392">
        <f t="shared" si="66"/>
        <v>0.77523387890168594</v>
      </c>
      <c r="M1847" s="392">
        <f t="shared" si="66"/>
        <v>0.77523387890168594</v>
      </c>
      <c r="N1847" s="392">
        <f t="shared" si="66"/>
        <v>0.77523387890168594</v>
      </c>
    </row>
    <row r="1848" spans="1:14" ht="30" hidden="1" outlineLevel="2" x14ac:dyDescent="0.35">
      <c r="A1848" s="388" t="s">
        <v>3868</v>
      </c>
      <c r="B1848" s="389">
        <v>43777</v>
      </c>
      <c r="C1848" s="390" t="s">
        <v>5839</v>
      </c>
      <c r="D1848" s="391" t="s">
        <v>5840</v>
      </c>
      <c r="E1848" s="391" t="s">
        <v>5419</v>
      </c>
      <c r="F1848" s="392">
        <v>12000</v>
      </c>
      <c r="G1848" s="393" t="s">
        <v>3800</v>
      </c>
      <c r="H1848" s="394">
        <v>4.6514032734101161</v>
      </c>
      <c r="I1848" s="394"/>
      <c r="J1848" s="392">
        <f t="shared" si="66"/>
        <v>0.93028065468202326</v>
      </c>
      <c r="K1848" s="392">
        <f t="shared" si="66"/>
        <v>0.93028065468202326</v>
      </c>
      <c r="L1848" s="392">
        <f t="shared" si="66"/>
        <v>0.93028065468202326</v>
      </c>
      <c r="M1848" s="392">
        <f t="shared" si="66"/>
        <v>0.93028065468202326</v>
      </c>
      <c r="N1848" s="392">
        <f t="shared" si="66"/>
        <v>0.93028065468202326</v>
      </c>
    </row>
    <row r="1849" spans="1:14" hidden="1" outlineLevel="2" collapsed="1" x14ac:dyDescent="0.35">
      <c r="A1849" s="388" t="s">
        <v>3868</v>
      </c>
      <c r="B1849" s="389">
        <v>43777</v>
      </c>
      <c r="C1849" s="390" t="s">
        <v>5841</v>
      </c>
      <c r="D1849" s="391" t="s">
        <v>5842</v>
      </c>
      <c r="E1849" s="391" t="s">
        <v>5419</v>
      </c>
      <c r="F1849" s="392">
        <v>7000</v>
      </c>
      <c r="G1849" s="393" t="s">
        <v>3800</v>
      </c>
      <c r="H1849" s="394">
        <v>2.7133185761559009</v>
      </c>
      <c r="I1849" s="394"/>
      <c r="J1849" s="392">
        <f t="shared" si="66"/>
        <v>0.54266371523118018</v>
      </c>
      <c r="K1849" s="392">
        <f t="shared" si="66"/>
        <v>0.54266371523118018</v>
      </c>
      <c r="L1849" s="392">
        <f t="shared" si="66"/>
        <v>0.54266371523118018</v>
      </c>
      <c r="M1849" s="392">
        <f t="shared" si="66"/>
        <v>0.54266371523118018</v>
      </c>
      <c r="N1849" s="392">
        <f t="shared" si="66"/>
        <v>0.54266371523118018</v>
      </c>
    </row>
    <row r="1850" spans="1:14" hidden="1" outlineLevel="2" x14ac:dyDescent="0.35">
      <c r="A1850" s="388" t="s">
        <v>3868</v>
      </c>
      <c r="B1850" s="389">
        <v>43777</v>
      </c>
      <c r="C1850" s="390" t="s">
        <v>5843</v>
      </c>
      <c r="D1850" s="391" t="s">
        <v>5428</v>
      </c>
      <c r="E1850" s="391" t="s">
        <v>5419</v>
      </c>
      <c r="F1850" s="392">
        <v>4000</v>
      </c>
      <c r="G1850" s="393" t="s">
        <v>3800</v>
      </c>
      <c r="H1850" s="394">
        <v>1.5504677578033719</v>
      </c>
      <c r="I1850" s="394"/>
      <c r="J1850" s="392">
        <f t="shared" si="66"/>
        <v>0.31009355156067436</v>
      </c>
      <c r="K1850" s="392">
        <f t="shared" si="66"/>
        <v>0.31009355156067436</v>
      </c>
      <c r="L1850" s="392">
        <f t="shared" si="66"/>
        <v>0.31009355156067436</v>
      </c>
      <c r="M1850" s="392">
        <f t="shared" si="66"/>
        <v>0.31009355156067436</v>
      </c>
      <c r="N1850" s="392">
        <f t="shared" si="66"/>
        <v>0.31009355156067436</v>
      </c>
    </row>
    <row r="1851" spans="1:14" hidden="1" outlineLevel="2" collapsed="1" x14ac:dyDescent="0.35">
      <c r="A1851" s="388" t="s">
        <v>3868</v>
      </c>
      <c r="B1851" s="389">
        <v>43777</v>
      </c>
      <c r="C1851" s="390" t="s">
        <v>5844</v>
      </c>
      <c r="D1851" s="391" t="s">
        <v>5546</v>
      </c>
      <c r="E1851" s="391" t="s">
        <v>5419</v>
      </c>
      <c r="F1851" s="392">
        <v>3000</v>
      </c>
      <c r="G1851" s="393" t="s">
        <v>3800</v>
      </c>
      <c r="H1851" s="394">
        <v>1.162850818352529</v>
      </c>
      <c r="I1851" s="394"/>
      <c r="J1851" s="392">
        <f t="shared" si="66"/>
        <v>0.23257016367050581</v>
      </c>
      <c r="K1851" s="392">
        <f t="shared" si="66"/>
        <v>0.23257016367050581</v>
      </c>
      <c r="L1851" s="392">
        <f t="shared" si="66"/>
        <v>0.23257016367050581</v>
      </c>
      <c r="M1851" s="392">
        <f t="shared" si="66"/>
        <v>0.23257016367050581</v>
      </c>
      <c r="N1851" s="392">
        <f t="shared" si="66"/>
        <v>0.23257016367050581</v>
      </c>
    </row>
    <row r="1852" spans="1:14" hidden="1" outlineLevel="2" x14ac:dyDescent="0.35">
      <c r="A1852" s="388" t="s">
        <v>3868</v>
      </c>
      <c r="B1852" s="389">
        <v>43777</v>
      </c>
      <c r="C1852" s="390" t="s">
        <v>5845</v>
      </c>
      <c r="D1852" s="391" t="s">
        <v>5788</v>
      </c>
      <c r="E1852" s="391" t="s">
        <v>5419</v>
      </c>
      <c r="F1852" s="392">
        <v>3000</v>
      </c>
      <c r="G1852" s="393" t="s">
        <v>3800</v>
      </c>
      <c r="H1852" s="394">
        <v>1.162850818352529</v>
      </c>
      <c r="I1852" s="394"/>
      <c r="J1852" s="392">
        <f t="shared" si="66"/>
        <v>0.23257016367050581</v>
      </c>
      <c r="K1852" s="392">
        <f t="shared" si="66"/>
        <v>0.23257016367050581</v>
      </c>
      <c r="L1852" s="392">
        <f t="shared" si="66"/>
        <v>0.23257016367050581</v>
      </c>
      <c r="M1852" s="392">
        <f t="shared" si="66"/>
        <v>0.23257016367050581</v>
      </c>
      <c r="N1852" s="392">
        <f t="shared" si="66"/>
        <v>0.23257016367050581</v>
      </c>
    </row>
    <row r="1853" spans="1:14" hidden="1" outlineLevel="2" collapsed="1" x14ac:dyDescent="0.35">
      <c r="A1853" s="388" t="s">
        <v>3868</v>
      </c>
      <c r="B1853" s="389">
        <v>43778</v>
      </c>
      <c r="C1853" s="390" t="s">
        <v>5846</v>
      </c>
      <c r="D1853" s="391" t="s">
        <v>5426</v>
      </c>
      <c r="E1853" s="391" t="s">
        <v>5419</v>
      </c>
      <c r="F1853" s="392">
        <v>3000</v>
      </c>
      <c r="G1853" s="393" t="s">
        <v>3800</v>
      </c>
      <c r="H1853" s="394">
        <v>1.162850818352529</v>
      </c>
      <c r="I1853" s="394"/>
      <c r="J1853" s="392">
        <f t="shared" si="66"/>
        <v>0.23257016367050581</v>
      </c>
      <c r="K1853" s="392">
        <f t="shared" si="66"/>
        <v>0.23257016367050581</v>
      </c>
      <c r="L1853" s="392">
        <f t="shared" si="66"/>
        <v>0.23257016367050581</v>
      </c>
      <c r="M1853" s="392">
        <f t="shared" si="66"/>
        <v>0.23257016367050581</v>
      </c>
      <c r="N1853" s="392">
        <f t="shared" si="66"/>
        <v>0.23257016367050581</v>
      </c>
    </row>
    <row r="1854" spans="1:14" hidden="1" outlineLevel="2" x14ac:dyDescent="0.35">
      <c r="A1854" s="388" t="s">
        <v>3868</v>
      </c>
      <c r="B1854" s="389">
        <v>43778</v>
      </c>
      <c r="C1854" s="390" t="s">
        <v>5847</v>
      </c>
      <c r="D1854" s="391" t="s">
        <v>5735</v>
      </c>
      <c r="E1854" s="391" t="s">
        <v>5419</v>
      </c>
      <c r="F1854" s="392">
        <v>3000</v>
      </c>
      <c r="G1854" s="393" t="s">
        <v>3800</v>
      </c>
      <c r="H1854" s="394">
        <v>1.162850818352529</v>
      </c>
      <c r="I1854" s="394"/>
      <c r="J1854" s="392">
        <f t="shared" si="66"/>
        <v>0.23257016367050581</v>
      </c>
      <c r="K1854" s="392">
        <f t="shared" si="66"/>
        <v>0.23257016367050581</v>
      </c>
      <c r="L1854" s="392">
        <f t="shared" si="66"/>
        <v>0.23257016367050581</v>
      </c>
      <c r="M1854" s="392">
        <f t="shared" si="66"/>
        <v>0.23257016367050581</v>
      </c>
      <c r="N1854" s="392">
        <f t="shared" si="66"/>
        <v>0.23257016367050581</v>
      </c>
    </row>
    <row r="1855" spans="1:14" hidden="1" outlineLevel="2" collapsed="1" x14ac:dyDescent="0.35">
      <c r="A1855" s="388" t="s">
        <v>3868</v>
      </c>
      <c r="B1855" s="389">
        <v>43778</v>
      </c>
      <c r="C1855" s="390" t="s">
        <v>5848</v>
      </c>
      <c r="D1855" s="391" t="s">
        <v>5849</v>
      </c>
      <c r="E1855" s="391" t="s">
        <v>5419</v>
      </c>
      <c r="F1855" s="392">
        <v>7000</v>
      </c>
      <c r="G1855" s="393" t="s">
        <v>3800</v>
      </c>
      <c r="H1855" s="394">
        <v>2.7133185761559009</v>
      </c>
      <c r="I1855" s="394"/>
      <c r="J1855" s="392">
        <f t="shared" ref="J1855:N1870" si="67">$H1855/5</f>
        <v>0.54266371523118018</v>
      </c>
      <c r="K1855" s="392">
        <f t="shared" si="67"/>
        <v>0.54266371523118018</v>
      </c>
      <c r="L1855" s="392">
        <f t="shared" si="67"/>
        <v>0.54266371523118018</v>
      </c>
      <c r="M1855" s="392">
        <f t="shared" si="67"/>
        <v>0.54266371523118018</v>
      </c>
      <c r="N1855" s="392">
        <f t="shared" si="67"/>
        <v>0.54266371523118018</v>
      </c>
    </row>
    <row r="1856" spans="1:14" hidden="1" outlineLevel="2" collapsed="1" x14ac:dyDescent="0.35">
      <c r="A1856" s="388" t="s">
        <v>3868</v>
      </c>
      <c r="B1856" s="389">
        <v>43778</v>
      </c>
      <c r="C1856" s="390" t="s">
        <v>5850</v>
      </c>
      <c r="D1856" s="391" t="s">
        <v>5851</v>
      </c>
      <c r="E1856" s="391" t="s">
        <v>5419</v>
      </c>
      <c r="F1856" s="392">
        <v>17000</v>
      </c>
      <c r="G1856" s="393" t="s">
        <v>3800</v>
      </c>
      <c r="H1856" s="394">
        <v>6.5894879706643312</v>
      </c>
      <c r="I1856" s="394"/>
      <c r="J1856" s="392">
        <f t="shared" si="67"/>
        <v>1.3178975941328663</v>
      </c>
      <c r="K1856" s="392">
        <f t="shared" si="67"/>
        <v>1.3178975941328663</v>
      </c>
      <c r="L1856" s="392">
        <f t="shared" si="67"/>
        <v>1.3178975941328663</v>
      </c>
      <c r="M1856" s="392">
        <f t="shared" si="67"/>
        <v>1.3178975941328663</v>
      </c>
      <c r="N1856" s="392">
        <f t="shared" si="67"/>
        <v>1.3178975941328663</v>
      </c>
    </row>
    <row r="1857" spans="1:14" hidden="1" outlineLevel="2" x14ac:dyDescent="0.35">
      <c r="A1857" s="388" t="s">
        <v>3868</v>
      </c>
      <c r="B1857" s="389">
        <v>43778</v>
      </c>
      <c r="C1857" s="390" t="s">
        <v>5852</v>
      </c>
      <c r="D1857" s="391" t="s">
        <v>5853</v>
      </c>
      <c r="E1857" s="391" t="s">
        <v>5419</v>
      </c>
      <c r="F1857" s="392">
        <v>14000</v>
      </c>
      <c r="G1857" s="393" t="s">
        <v>3800</v>
      </c>
      <c r="H1857" s="394">
        <v>5.4266371523118018</v>
      </c>
      <c r="I1857" s="394"/>
      <c r="J1857" s="392">
        <f t="shared" si="67"/>
        <v>1.0853274304623604</v>
      </c>
      <c r="K1857" s="392">
        <f t="shared" si="67"/>
        <v>1.0853274304623604</v>
      </c>
      <c r="L1857" s="392">
        <f t="shared" si="67"/>
        <v>1.0853274304623604</v>
      </c>
      <c r="M1857" s="392">
        <f t="shared" si="67"/>
        <v>1.0853274304623604</v>
      </c>
      <c r="N1857" s="392">
        <f t="shared" si="67"/>
        <v>1.0853274304623604</v>
      </c>
    </row>
    <row r="1858" spans="1:14" hidden="1" outlineLevel="2" x14ac:dyDescent="0.35">
      <c r="A1858" s="388" t="s">
        <v>3868</v>
      </c>
      <c r="B1858" s="389">
        <v>43778</v>
      </c>
      <c r="C1858" s="390" t="s">
        <v>5854</v>
      </c>
      <c r="D1858" s="391" t="s">
        <v>5428</v>
      </c>
      <c r="E1858" s="391" t="s">
        <v>5419</v>
      </c>
      <c r="F1858" s="392">
        <v>9000</v>
      </c>
      <c r="G1858" s="393" t="s">
        <v>3800</v>
      </c>
      <c r="H1858" s="394">
        <v>3.488552455057587</v>
      </c>
      <c r="I1858" s="394"/>
      <c r="J1858" s="392">
        <f t="shared" si="67"/>
        <v>0.69771049101151739</v>
      </c>
      <c r="K1858" s="392">
        <f t="shared" si="67"/>
        <v>0.69771049101151739</v>
      </c>
      <c r="L1858" s="392">
        <f t="shared" si="67"/>
        <v>0.69771049101151739</v>
      </c>
      <c r="M1858" s="392">
        <f t="shared" si="67"/>
        <v>0.69771049101151739</v>
      </c>
      <c r="N1858" s="392">
        <f t="shared" si="67"/>
        <v>0.69771049101151739</v>
      </c>
    </row>
    <row r="1859" spans="1:14" hidden="1" outlineLevel="2" x14ac:dyDescent="0.35">
      <c r="A1859" s="388" t="s">
        <v>3868</v>
      </c>
      <c r="B1859" s="389">
        <v>43778</v>
      </c>
      <c r="C1859" s="390" t="s">
        <v>5855</v>
      </c>
      <c r="D1859" s="391" t="s">
        <v>5428</v>
      </c>
      <c r="E1859" s="391" t="s">
        <v>5419</v>
      </c>
      <c r="F1859" s="392">
        <v>5000</v>
      </c>
      <c r="G1859" s="393" t="s">
        <v>3800</v>
      </c>
      <c r="H1859" s="394">
        <v>1.9380846972542149</v>
      </c>
      <c r="I1859" s="394"/>
      <c r="J1859" s="392">
        <f t="shared" si="67"/>
        <v>0.38761693945084297</v>
      </c>
      <c r="K1859" s="392">
        <f t="shared" si="67"/>
        <v>0.38761693945084297</v>
      </c>
      <c r="L1859" s="392">
        <f t="shared" si="67"/>
        <v>0.38761693945084297</v>
      </c>
      <c r="M1859" s="392">
        <f t="shared" si="67"/>
        <v>0.38761693945084297</v>
      </c>
      <c r="N1859" s="392">
        <f t="shared" si="67"/>
        <v>0.38761693945084297</v>
      </c>
    </row>
    <row r="1860" spans="1:14" hidden="1" outlineLevel="2" x14ac:dyDescent="0.35">
      <c r="A1860" s="388" t="s">
        <v>3868</v>
      </c>
      <c r="B1860" s="389">
        <v>43779</v>
      </c>
      <c r="C1860" s="390" t="s">
        <v>5856</v>
      </c>
      <c r="D1860" s="391" t="s">
        <v>5428</v>
      </c>
      <c r="E1860" s="391" t="s">
        <v>5419</v>
      </c>
      <c r="F1860" s="392">
        <v>3000</v>
      </c>
      <c r="G1860" s="393" t="s">
        <v>3800</v>
      </c>
      <c r="H1860" s="394">
        <v>1.162850818352529</v>
      </c>
      <c r="I1860" s="394"/>
      <c r="J1860" s="392">
        <f t="shared" si="67"/>
        <v>0.23257016367050581</v>
      </c>
      <c r="K1860" s="392">
        <f t="shared" si="67"/>
        <v>0.23257016367050581</v>
      </c>
      <c r="L1860" s="392">
        <f t="shared" si="67"/>
        <v>0.23257016367050581</v>
      </c>
      <c r="M1860" s="392">
        <f t="shared" si="67"/>
        <v>0.23257016367050581</v>
      </c>
      <c r="N1860" s="392">
        <f t="shared" si="67"/>
        <v>0.23257016367050581</v>
      </c>
    </row>
    <row r="1861" spans="1:14" hidden="1" outlineLevel="2" x14ac:dyDescent="0.35">
      <c r="A1861" s="388" t="s">
        <v>3868</v>
      </c>
      <c r="B1861" s="389">
        <v>43779</v>
      </c>
      <c r="C1861" s="390" t="s">
        <v>5857</v>
      </c>
      <c r="D1861" s="391" t="s">
        <v>5428</v>
      </c>
      <c r="E1861" s="391" t="s">
        <v>5419</v>
      </c>
      <c r="F1861" s="392">
        <v>12000</v>
      </c>
      <c r="G1861" s="393" t="s">
        <v>3800</v>
      </c>
      <c r="H1861" s="394">
        <v>4.6514032734101161</v>
      </c>
      <c r="I1861" s="394"/>
      <c r="J1861" s="392">
        <f t="shared" si="67"/>
        <v>0.93028065468202326</v>
      </c>
      <c r="K1861" s="392">
        <f t="shared" si="67"/>
        <v>0.93028065468202326</v>
      </c>
      <c r="L1861" s="392">
        <f t="shared" si="67"/>
        <v>0.93028065468202326</v>
      </c>
      <c r="M1861" s="392">
        <f t="shared" si="67"/>
        <v>0.93028065468202326</v>
      </c>
      <c r="N1861" s="392">
        <f t="shared" si="67"/>
        <v>0.93028065468202326</v>
      </c>
    </row>
    <row r="1862" spans="1:14" hidden="1" outlineLevel="2" x14ac:dyDescent="0.35">
      <c r="A1862" s="388" t="s">
        <v>3868</v>
      </c>
      <c r="B1862" s="389">
        <v>43779</v>
      </c>
      <c r="C1862" s="390" t="s">
        <v>5858</v>
      </c>
      <c r="D1862" s="391" t="s">
        <v>5428</v>
      </c>
      <c r="E1862" s="391" t="s">
        <v>5419</v>
      </c>
      <c r="F1862" s="392">
        <v>3000</v>
      </c>
      <c r="G1862" s="393" t="s">
        <v>3800</v>
      </c>
      <c r="H1862" s="394">
        <v>1.162850818352529</v>
      </c>
      <c r="I1862" s="394"/>
      <c r="J1862" s="392">
        <f t="shared" si="67"/>
        <v>0.23257016367050581</v>
      </c>
      <c r="K1862" s="392">
        <f t="shared" si="67"/>
        <v>0.23257016367050581</v>
      </c>
      <c r="L1862" s="392">
        <f t="shared" si="67"/>
        <v>0.23257016367050581</v>
      </c>
      <c r="M1862" s="392">
        <f t="shared" si="67"/>
        <v>0.23257016367050581</v>
      </c>
      <c r="N1862" s="392">
        <f t="shared" si="67"/>
        <v>0.23257016367050581</v>
      </c>
    </row>
    <row r="1863" spans="1:14" hidden="1" outlineLevel="2" x14ac:dyDescent="0.35">
      <c r="A1863" s="388" t="s">
        <v>3868</v>
      </c>
      <c r="B1863" s="389">
        <v>43779</v>
      </c>
      <c r="C1863" s="390" t="s">
        <v>5859</v>
      </c>
      <c r="D1863" s="391" t="s">
        <v>5728</v>
      </c>
      <c r="E1863" s="391" t="s">
        <v>5419</v>
      </c>
      <c r="F1863" s="392">
        <v>5000</v>
      </c>
      <c r="G1863" s="393" t="s">
        <v>3800</v>
      </c>
      <c r="H1863" s="394">
        <v>1.9380846972542149</v>
      </c>
      <c r="I1863" s="394"/>
      <c r="J1863" s="392">
        <f t="shared" si="67"/>
        <v>0.38761693945084297</v>
      </c>
      <c r="K1863" s="392">
        <f t="shared" si="67"/>
        <v>0.38761693945084297</v>
      </c>
      <c r="L1863" s="392">
        <f t="shared" si="67"/>
        <v>0.38761693945084297</v>
      </c>
      <c r="M1863" s="392">
        <f t="shared" si="67"/>
        <v>0.38761693945084297</v>
      </c>
      <c r="N1863" s="392">
        <f t="shared" si="67"/>
        <v>0.38761693945084297</v>
      </c>
    </row>
    <row r="1864" spans="1:14" hidden="1" outlineLevel="2" x14ac:dyDescent="0.35">
      <c r="A1864" s="388" t="s">
        <v>3868</v>
      </c>
      <c r="B1864" s="389">
        <v>43779</v>
      </c>
      <c r="C1864" s="390" t="s">
        <v>5860</v>
      </c>
      <c r="D1864" s="391" t="s">
        <v>5861</v>
      </c>
      <c r="E1864" s="391" t="s">
        <v>5419</v>
      </c>
      <c r="F1864" s="392">
        <v>9000</v>
      </c>
      <c r="G1864" s="393" t="s">
        <v>3800</v>
      </c>
      <c r="H1864" s="394">
        <v>3.488552455057587</v>
      </c>
      <c r="I1864" s="394"/>
      <c r="J1864" s="392">
        <f t="shared" si="67"/>
        <v>0.69771049101151739</v>
      </c>
      <c r="K1864" s="392">
        <f t="shared" si="67"/>
        <v>0.69771049101151739</v>
      </c>
      <c r="L1864" s="392">
        <f t="shared" si="67"/>
        <v>0.69771049101151739</v>
      </c>
      <c r="M1864" s="392">
        <f t="shared" si="67"/>
        <v>0.69771049101151739</v>
      </c>
      <c r="N1864" s="392">
        <f t="shared" si="67"/>
        <v>0.69771049101151739</v>
      </c>
    </row>
    <row r="1865" spans="1:14" hidden="1" outlineLevel="2" x14ac:dyDescent="0.35">
      <c r="A1865" s="388" t="s">
        <v>3868</v>
      </c>
      <c r="B1865" s="389">
        <v>43779</v>
      </c>
      <c r="C1865" s="390" t="s">
        <v>5862</v>
      </c>
      <c r="D1865" s="391" t="s">
        <v>5863</v>
      </c>
      <c r="E1865" s="391" t="s">
        <v>5419</v>
      </c>
      <c r="F1865" s="392">
        <v>5000</v>
      </c>
      <c r="G1865" s="393" t="s">
        <v>3800</v>
      </c>
      <c r="H1865" s="394">
        <v>1.9380846972542149</v>
      </c>
      <c r="I1865" s="394"/>
      <c r="J1865" s="392">
        <f t="shared" si="67"/>
        <v>0.38761693945084297</v>
      </c>
      <c r="K1865" s="392">
        <f t="shared" si="67"/>
        <v>0.38761693945084297</v>
      </c>
      <c r="L1865" s="392">
        <f t="shared" si="67"/>
        <v>0.38761693945084297</v>
      </c>
      <c r="M1865" s="392">
        <f t="shared" si="67"/>
        <v>0.38761693945084297</v>
      </c>
      <c r="N1865" s="392">
        <f t="shared" si="67"/>
        <v>0.38761693945084297</v>
      </c>
    </row>
    <row r="1866" spans="1:14" hidden="1" outlineLevel="2" x14ac:dyDescent="0.35">
      <c r="A1866" s="388" t="s">
        <v>3868</v>
      </c>
      <c r="B1866" s="389">
        <v>43779</v>
      </c>
      <c r="C1866" s="390" t="s">
        <v>5864</v>
      </c>
      <c r="D1866" s="391" t="s">
        <v>5865</v>
      </c>
      <c r="E1866" s="391" t="s">
        <v>5419</v>
      </c>
      <c r="F1866" s="392">
        <v>9000</v>
      </c>
      <c r="G1866" s="393" t="s">
        <v>3800</v>
      </c>
      <c r="H1866" s="394">
        <v>3.488552455057587</v>
      </c>
      <c r="I1866" s="394"/>
      <c r="J1866" s="392">
        <f t="shared" si="67"/>
        <v>0.69771049101151739</v>
      </c>
      <c r="K1866" s="392">
        <f t="shared" si="67"/>
        <v>0.69771049101151739</v>
      </c>
      <c r="L1866" s="392">
        <f t="shared" si="67"/>
        <v>0.69771049101151739</v>
      </c>
      <c r="M1866" s="392">
        <f t="shared" si="67"/>
        <v>0.69771049101151739</v>
      </c>
      <c r="N1866" s="392">
        <f t="shared" si="67"/>
        <v>0.69771049101151739</v>
      </c>
    </row>
    <row r="1867" spans="1:14" hidden="1" outlineLevel="2" x14ac:dyDescent="0.35">
      <c r="A1867" s="388" t="s">
        <v>3868</v>
      </c>
      <c r="B1867" s="389">
        <v>43780</v>
      </c>
      <c r="C1867" s="390" t="s">
        <v>5866</v>
      </c>
      <c r="D1867" s="391" t="s">
        <v>5546</v>
      </c>
      <c r="E1867" s="391" t="s">
        <v>5419</v>
      </c>
      <c r="F1867" s="392">
        <v>3000</v>
      </c>
      <c r="G1867" s="393" t="s">
        <v>3800</v>
      </c>
      <c r="H1867" s="394">
        <v>1.162850818352529</v>
      </c>
      <c r="I1867" s="394"/>
      <c r="J1867" s="392">
        <f t="shared" si="67"/>
        <v>0.23257016367050581</v>
      </c>
      <c r="K1867" s="392">
        <f t="shared" si="67"/>
        <v>0.23257016367050581</v>
      </c>
      <c r="L1867" s="392">
        <f t="shared" si="67"/>
        <v>0.23257016367050581</v>
      </c>
      <c r="M1867" s="392">
        <f t="shared" si="67"/>
        <v>0.23257016367050581</v>
      </c>
      <c r="N1867" s="392">
        <f t="shared" si="67"/>
        <v>0.23257016367050581</v>
      </c>
    </row>
    <row r="1868" spans="1:14" hidden="1" outlineLevel="2" x14ac:dyDescent="0.35">
      <c r="A1868" s="388" t="s">
        <v>3868</v>
      </c>
      <c r="B1868" s="389">
        <v>43780</v>
      </c>
      <c r="C1868" s="390" t="s">
        <v>5867</v>
      </c>
      <c r="D1868" s="391" t="s">
        <v>5788</v>
      </c>
      <c r="E1868" s="391" t="s">
        <v>5419</v>
      </c>
      <c r="F1868" s="392">
        <v>3000</v>
      </c>
      <c r="G1868" s="393" t="s">
        <v>3800</v>
      </c>
      <c r="H1868" s="394">
        <v>1.162850818352529</v>
      </c>
      <c r="I1868" s="394"/>
      <c r="J1868" s="392">
        <f t="shared" si="67"/>
        <v>0.23257016367050581</v>
      </c>
      <c r="K1868" s="392">
        <f t="shared" si="67"/>
        <v>0.23257016367050581</v>
      </c>
      <c r="L1868" s="392">
        <f t="shared" si="67"/>
        <v>0.23257016367050581</v>
      </c>
      <c r="M1868" s="392">
        <f t="shared" si="67"/>
        <v>0.23257016367050581</v>
      </c>
      <c r="N1868" s="392">
        <f t="shared" si="67"/>
        <v>0.23257016367050581</v>
      </c>
    </row>
    <row r="1869" spans="1:14" hidden="1" outlineLevel="2" x14ac:dyDescent="0.35">
      <c r="A1869" s="388" t="s">
        <v>3868</v>
      </c>
      <c r="B1869" s="389">
        <v>43780</v>
      </c>
      <c r="C1869" s="390" t="s">
        <v>5868</v>
      </c>
      <c r="D1869" s="391" t="s">
        <v>5842</v>
      </c>
      <c r="E1869" s="391" t="s">
        <v>5419</v>
      </c>
      <c r="F1869" s="392">
        <v>6000</v>
      </c>
      <c r="G1869" s="393" t="s">
        <v>3800</v>
      </c>
      <c r="H1869" s="394">
        <v>2.325701636705058</v>
      </c>
      <c r="I1869" s="394"/>
      <c r="J1869" s="392">
        <f t="shared" si="67"/>
        <v>0.46514032734101163</v>
      </c>
      <c r="K1869" s="392">
        <f t="shared" si="67"/>
        <v>0.46514032734101163</v>
      </c>
      <c r="L1869" s="392">
        <f t="shared" si="67"/>
        <v>0.46514032734101163</v>
      </c>
      <c r="M1869" s="392">
        <f t="shared" si="67"/>
        <v>0.46514032734101163</v>
      </c>
      <c r="N1869" s="392">
        <f t="shared" si="67"/>
        <v>0.46514032734101163</v>
      </c>
    </row>
    <row r="1870" spans="1:14" hidden="1" outlineLevel="2" x14ac:dyDescent="0.35">
      <c r="A1870" s="388" t="s">
        <v>3868</v>
      </c>
      <c r="B1870" s="389">
        <v>43780</v>
      </c>
      <c r="C1870" s="390" t="s">
        <v>5869</v>
      </c>
      <c r="D1870" s="391" t="s">
        <v>5428</v>
      </c>
      <c r="E1870" s="391" t="s">
        <v>5419</v>
      </c>
      <c r="F1870" s="392">
        <v>3000</v>
      </c>
      <c r="G1870" s="393" t="s">
        <v>3800</v>
      </c>
      <c r="H1870" s="394">
        <v>1.162850818352529</v>
      </c>
      <c r="I1870" s="394"/>
      <c r="J1870" s="392">
        <f t="shared" si="67"/>
        <v>0.23257016367050581</v>
      </c>
      <c r="K1870" s="392">
        <f t="shared" si="67"/>
        <v>0.23257016367050581</v>
      </c>
      <c r="L1870" s="392">
        <f t="shared" si="67"/>
        <v>0.23257016367050581</v>
      </c>
      <c r="M1870" s="392">
        <f t="shared" si="67"/>
        <v>0.23257016367050581</v>
      </c>
      <c r="N1870" s="392">
        <f t="shared" si="67"/>
        <v>0.23257016367050581</v>
      </c>
    </row>
    <row r="1871" spans="1:14" hidden="1" outlineLevel="2" x14ac:dyDescent="0.35">
      <c r="A1871" s="388" t="s">
        <v>3868</v>
      </c>
      <c r="B1871" s="389">
        <v>43781</v>
      </c>
      <c r="C1871" s="390" t="s">
        <v>5870</v>
      </c>
      <c r="D1871" s="391" t="s">
        <v>5546</v>
      </c>
      <c r="E1871" s="391" t="s">
        <v>5419</v>
      </c>
      <c r="F1871" s="392">
        <v>3000</v>
      </c>
      <c r="G1871" s="393" t="s">
        <v>3800</v>
      </c>
      <c r="H1871" s="394">
        <v>1.162850818352529</v>
      </c>
      <c r="I1871" s="394"/>
      <c r="J1871" s="392">
        <f t="shared" ref="J1871:N1886" si="68">$H1871/5</f>
        <v>0.23257016367050581</v>
      </c>
      <c r="K1871" s="392">
        <f t="shared" si="68"/>
        <v>0.23257016367050581</v>
      </c>
      <c r="L1871" s="392">
        <f t="shared" si="68"/>
        <v>0.23257016367050581</v>
      </c>
      <c r="M1871" s="392">
        <f t="shared" si="68"/>
        <v>0.23257016367050581</v>
      </c>
      <c r="N1871" s="392">
        <f t="shared" si="68"/>
        <v>0.23257016367050581</v>
      </c>
    </row>
    <row r="1872" spans="1:14" hidden="1" outlineLevel="2" x14ac:dyDescent="0.35">
      <c r="A1872" s="388" t="s">
        <v>3868</v>
      </c>
      <c r="B1872" s="389">
        <v>43781</v>
      </c>
      <c r="C1872" s="390" t="s">
        <v>5871</v>
      </c>
      <c r="D1872" s="391" t="s">
        <v>5788</v>
      </c>
      <c r="E1872" s="391" t="s">
        <v>5419</v>
      </c>
      <c r="F1872" s="392">
        <v>3000</v>
      </c>
      <c r="G1872" s="393" t="s">
        <v>3800</v>
      </c>
      <c r="H1872" s="394">
        <v>1.162850818352529</v>
      </c>
      <c r="I1872" s="394"/>
      <c r="J1872" s="392">
        <f t="shared" si="68"/>
        <v>0.23257016367050581</v>
      </c>
      <c r="K1872" s="392">
        <f t="shared" si="68"/>
        <v>0.23257016367050581</v>
      </c>
      <c r="L1872" s="392">
        <f t="shared" si="68"/>
        <v>0.23257016367050581</v>
      </c>
      <c r="M1872" s="392">
        <f t="shared" si="68"/>
        <v>0.23257016367050581</v>
      </c>
      <c r="N1872" s="392">
        <f t="shared" si="68"/>
        <v>0.23257016367050581</v>
      </c>
    </row>
    <row r="1873" spans="1:14" hidden="1" outlineLevel="2" x14ac:dyDescent="0.35">
      <c r="A1873" s="388" t="s">
        <v>3868</v>
      </c>
      <c r="B1873" s="389">
        <v>43781</v>
      </c>
      <c r="C1873" s="390" t="s">
        <v>5872</v>
      </c>
      <c r="D1873" s="391" t="s">
        <v>5546</v>
      </c>
      <c r="E1873" s="391" t="s">
        <v>5419</v>
      </c>
      <c r="F1873" s="392">
        <v>3000</v>
      </c>
      <c r="G1873" s="393" t="s">
        <v>3800</v>
      </c>
      <c r="H1873" s="394">
        <v>1.162850818352529</v>
      </c>
      <c r="I1873" s="394"/>
      <c r="J1873" s="392">
        <f t="shared" si="68"/>
        <v>0.23257016367050581</v>
      </c>
      <c r="K1873" s="392">
        <f t="shared" si="68"/>
        <v>0.23257016367050581</v>
      </c>
      <c r="L1873" s="392">
        <f t="shared" si="68"/>
        <v>0.23257016367050581</v>
      </c>
      <c r="M1873" s="392">
        <f t="shared" si="68"/>
        <v>0.23257016367050581</v>
      </c>
      <c r="N1873" s="392">
        <f t="shared" si="68"/>
        <v>0.23257016367050581</v>
      </c>
    </row>
    <row r="1874" spans="1:14" hidden="1" outlineLevel="2" x14ac:dyDescent="0.35">
      <c r="A1874" s="388" t="s">
        <v>3868</v>
      </c>
      <c r="B1874" s="389">
        <v>43781</v>
      </c>
      <c r="C1874" s="390" t="s">
        <v>5873</v>
      </c>
      <c r="D1874" s="391" t="s">
        <v>5788</v>
      </c>
      <c r="E1874" s="391" t="s">
        <v>5419</v>
      </c>
      <c r="F1874" s="392">
        <v>3000</v>
      </c>
      <c r="G1874" s="393" t="s">
        <v>3800</v>
      </c>
      <c r="H1874" s="394">
        <v>1.162850818352529</v>
      </c>
      <c r="I1874" s="394"/>
      <c r="J1874" s="392">
        <f t="shared" si="68"/>
        <v>0.23257016367050581</v>
      </c>
      <c r="K1874" s="392">
        <f t="shared" si="68"/>
        <v>0.23257016367050581</v>
      </c>
      <c r="L1874" s="392">
        <f t="shared" si="68"/>
        <v>0.23257016367050581</v>
      </c>
      <c r="M1874" s="392">
        <f t="shared" si="68"/>
        <v>0.23257016367050581</v>
      </c>
      <c r="N1874" s="392">
        <f t="shared" si="68"/>
        <v>0.23257016367050581</v>
      </c>
    </row>
    <row r="1875" spans="1:14" hidden="1" outlineLevel="2" x14ac:dyDescent="0.35">
      <c r="A1875" s="388" t="s">
        <v>3868</v>
      </c>
      <c r="B1875" s="389">
        <v>43781</v>
      </c>
      <c r="C1875" s="390" t="s">
        <v>5874</v>
      </c>
      <c r="D1875" s="391" t="s">
        <v>5875</v>
      </c>
      <c r="E1875" s="391" t="s">
        <v>5419</v>
      </c>
      <c r="F1875" s="392">
        <v>7000</v>
      </c>
      <c r="G1875" s="393" t="s">
        <v>3800</v>
      </c>
      <c r="H1875" s="394">
        <v>2.7133185761559009</v>
      </c>
      <c r="I1875" s="394"/>
      <c r="J1875" s="392">
        <f t="shared" si="68"/>
        <v>0.54266371523118018</v>
      </c>
      <c r="K1875" s="392">
        <f t="shared" si="68"/>
        <v>0.54266371523118018</v>
      </c>
      <c r="L1875" s="392">
        <f t="shared" si="68"/>
        <v>0.54266371523118018</v>
      </c>
      <c r="M1875" s="392">
        <f t="shared" si="68"/>
        <v>0.54266371523118018</v>
      </c>
      <c r="N1875" s="392">
        <f t="shared" si="68"/>
        <v>0.54266371523118018</v>
      </c>
    </row>
    <row r="1876" spans="1:14" hidden="1" outlineLevel="2" x14ac:dyDescent="0.35">
      <c r="A1876" s="388" t="s">
        <v>3868</v>
      </c>
      <c r="B1876" s="389">
        <v>43781</v>
      </c>
      <c r="C1876" s="390" t="s">
        <v>5876</v>
      </c>
      <c r="D1876" s="391" t="s">
        <v>5865</v>
      </c>
      <c r="E1876" s="391" t="s">
        <v>5419</v>
      </c>
      <c r="F1876" s="392">
        <v>6000</v>
      </c>
      <c r="G1876" s="393" t="s">
        <v>3800</v>
      </c>
      <c r="H1876" s="394">
        <v>2.325701636705058</v>
      </c>
      <c r="I1876" s="394"/>
      <c r="J1876" s="392">
        <f t="shared" si="68"/>
        <v>0.46514032734101163</v>
      </c>
      <c r="K1876" s="392">
        <f t="shared" si="68"/>
        <v>0.46514032734101163</v>
      </c>
      <c r="L1876" s="392">
        <f t="shared" si="68"/>
        <v>0.46514032734101163</v>
      </c>
      <c r="M1876" s="392">
        <f t="shared" si="68"/>
        <v>0.46514032734101163</v>
      </c>
      <c r="N1876" s="392">
        <f t="shared" si="68"/>
        <v>0.46514032734101163</v>
      </c>
    </row>
    <row r="1877" spans="1:14" ht="30" hidden="1" outlineLevel="2" x14ac:dyDescent="0.35">
      <c r="A1877" s="388" t="s">
        <v>3868</v>
      </c>
      <c r="B1877" s="389">
        <v>43782</v>
      </c>
      <c r="C1877" s="390" t="s">
        <v>5877</v>
      </c>
      <c r="D1877" s="391" t="s">
        <v>5878</v>
      </c>
      <c r="E1877" s="391" t="s">
        <v>5419</v>
      </c>
      <c r="F1877" s="392">
        <v>9000</v>
      </c>
      <c r="G1877" s="393" t="s">
        <v>3800</v>
      </c>
      <c r="H1877" s="394">
        <v>3.488552455057587</v>
      </c>
      <c r="I1877" s="394"/>
      <c r="J1877" s="392">
        <f t="shared" si="68"/>
        <v>0.69771049101151739</v>
      </c>
      <c r="K1877" s="392">
        <f t="shared" si="68"/>
        <v>0.69771049101151739</v>
      </c>
      <c r="L1877" s="392">
        <f t="shared" si="68"/>
        <v>0.69771049101151739</v>
      </c>
      <c r="M1877" s="392">
        <f t="shared" si="68"/>
        <v>0.69771049101151739</v>
      </c>
      <c r="N1877" s="392">
        <f t="shared" si="68"/>
        <v>0.69771049101151739</v>
      </c>
    </row>
    <row r="1878" spans="1:14" hidden="1" outlineLevel="2" x14ac:dyDescent="0.35">
      <c r="A1878" s="388" t="s">
        <v>3868</v>
      </c>
      <c r="B1878" s="389">
        <v>43782</v>
      </c>
      <c r="C1878" s="390" t="s">
        <v>5879</v>
      </c>
      <c r="D1878" s="391" t="s">
        <v>5880</v>
      </c>
      <c r="E1878" s="391" t="s">
        <v>5881</v>
      </c>
      <c r="F1878" s="392">
        <v>16000</v>
      </c>
      <c r="G1878" s="393" t="s">
        <v>3800</v>
      </c>
      <c r="H1878" s="394">
        <v>6.2018710312134875</v>
      </c>
      <c r="I1878" s="394"/>
      <c r="J1878" s="392">
        <f t="shared" si="68"/>
        <v>1.2403742062426975</v>
      </c>
      <c r="K1878" s="392">
        <f t="shared" si="68"/>
        <v>1.2403742062426975</v>
      </c>
      <c r="L1878" s="392">
        <f t="shared" si="68"/>
        <v>1.2403742062426975</v>
      </c>
      <c r="M1878" s="392">
        <f t="shared" si="68"/>
        <v>1.2403742062426975</v>
      </c>
      <c r="N1878" s="392">
        <f t="shared" si="68"/>
        <v>1.2403742062426975</v>
      </c>
    </row>
    <row r="1879" spans="1:14" hidden="1" outlineLevel="2" x14ac:dyDescent="0.35">
      <c r="A1879" s="388" t="s">
        <v>3868</v>
      </c>
      <c r="B1879" s="389">
        <v>43783</v>
      </c>
      <c r="C1879" s="390" t="s">
        <v>5882</v>
      </c>
      <c r="D1879" s="391" t="s">
        <v>5428</v>
      </c>
      <c r="E1879" s="391" t="s">
        <v>5419</v>
      </c>
      <c r="F1879" s="392">
        <v>1000</v>
      </c>
      <c r="G1879" s="393" t="s">
        <v>3800</v>
      </c>
      <c r="H1879" s="394">
        <v>0.38761693945084297</v>
      </c>
      <c r="I1879" s="394"/>
      <c r="J1879" s="392">
        <f t="shared" si="68"/>
        <v>7.7523387890168591E-2</v>
      </c>
      <c r="K1879" s="392">
        <f t="shared" si="68"/>
        <v>7.7523387890168591E-2</v>
      </c>
      <c r="L1879" s="392">
        <f t="shared" si="68"/>
        <v>7.7523387890168591E-2</v>
      </c>
      <c r="M1879" s="392">
        <f t="shared" si="68"/>
        <v>7.7523387890168591E-2</v>
      </c>
      <c r="N1879" s="392">
        <f t="shared" si="68"/>
        <v>7.7523387890168591E-2</v>
      </c>
    </row>
    <row r="1880" spans="1:14" hidden="1" outlineLevel="2" x14ac:dyDescent="0.35">
      <c r="A1880" s="388" t="s">
        <v>3868</v>
      </c>
      <c r="B1880" s="389">
        <v>43785</v>
      </c>
      <c r="C1880" s="390" t="s">
        <v>5883</v>
      </c>
      <c r="D1880" s="391" t="s">
        <v>5884</v>
      </c>
      <c r="E1880" s="391" t="s">
        <v>5419</v>
      </c>
      <c r="F1880" s="392">
        <v>4000</v>
      </c>
      <c r="G1880" s="393" t="s">
        <v>3800</v>
      </c>
      <c r="H1880" s="394">
        <v>1.5504677578033719</v>
      </c>
      <c r="I1880" s="394"/>
      <c r="J1880" s="392">
        <f t="shared" si="68"/>
        <v>0.31009355156067436</v>
      </c>
      <c r="K1880" s="392">
        <f t="shared" si="68"/>
        <v>0.31009355156067436</v>
      </c>
      <c r="L1880" s="392">
        <f t="shared" si="68"/>
        <v>0.31009355156067436</v>
      </c>
      <c r="M1880" s="392">
        <f t="shared" si="68"/>
        <v>0.31009355156067436</v>
      </c>
      <c r="N1880" s="392">
        <f t="shared" si="68"/>
        <v>0.31009355156067436</v>
      </c>
    </row>
    <row r="1881" spans="1:14" hidden="1" outlineLevel="2" x14ac:dyDescent="0.35">
      <c r="A1881" s="388" t="s">
        <v>3868</v>
      </c>
      <c r="B1881" s="389">
        <v>43785</v>
      </c>
      <c r="C1881" s="390" t="s">
        <v>5885</v>
      </c>
      <c r="D1881" s="391" t="s">
        <v>5886</v>
      </c>
      <c r="E1881" s="391" t="s">
        <v>5419</v>
      </c>
      <c r="F1881" s="392">
        <v>10000</v>
      </c>
      <c r="G1881" s="393" t="s">
        <v>3800</v>
      </c>
      <c r="H1881" s="394">
        <v>3.8761693945084299</v>
      </c>
      <c r="I1881" s="394"/>
      <c r="J1881" s="392">
        <f t="shared" si="68"/>
        <v>0.77523387890168594</v>
      </c>
      <c r="K1881" s="392">
        <f t="shared" si="68"/>
        <v>0.77523387890168594</v>
      </c>
      <c r="L1881" s="392">
        <f t="shared" si="68"/>
        <v>0.77523387890168594</v>
      </c>
      <c r="M1881" s="392">
        <f t="shared" si="68"/>
        <v>0.77523387890168594</v>
      </c>
      <c r="N1881" s="392">
        <f t="shared" si="68"/>
        <v>0.77523387890168594</v>
      </c>
    </row>
    <row r="1882" spans="1:14" hidden="1" outlineLevel="2" x14ac:dyDescent="0.35">
      <c r="A1882" s="388" t="s">
        <v>3868</v>
      </c>
      <c r="B1882" s="389">
        <v>43785</v>
      </c>
      <c r="C1882" s="390" t="s">
        <v>5887</v>
      </c>
      <c r="D1882" s="391" t="s">
        <v>5888</v>
      </c>
      <c r="E1882" s="391" t="s">
        <v>5419</v>
      </c>
      <c r="F1882" s="392">
        <v>6000</v>
      </c>
      <c r="G1882" s="393" t="s">
        <v>3800</v>
      </c>
      <c r="H1882" s="394">
        <v>2.325701636705058</v>
      </c>
      <c r="I1882" s="394"/>
      <c r="J1882" s="392">
        <f t="shared" si="68"/>
        <v>0.46514032734101163</v>
      </c>
      <c r="K1882" s="392">
        <f t="shared" si="68"/>
        <v>0.46514032734101163</v>
      </c>
      <c r="L1882" s="392">
        <f t="shared" si="68"/>
        <v>0.46514032734101163</v>
      </c>
      <c r="M1882" s="392">
        <f t="shared" si="68"/>
        <v>0.46514032734101163</v>
      </c>
      <c r="N1882" s="392">
        <f t="shared" si="68"/>
        <v>0.46514032734101163</v>
      </c>
    </row>
    <row r="1883" spans="1:14" hidden="1" outlineLevel="2" x14ac:dyDescent="0.35">
      <c r="A1883" s="388" t="s">
        <v>3868</v>
      </c>
      <c r="B1883" s="389">
        <v>43785</v>
      </c>
      <c r="C1883" s="390" t="s">
        <v>5889</v>
      </c>
      <c r="D1883" s="391" t="s">
        <v>5890</v>
      </c>
      <c r="E1883" s="391" t="s">
        <v>5419</v>
      </c>
      <c r="F1883" s="392">
        <v>7000</v>
      </c>
      <c r="G1883" s="393" t="s">
        <v>3800</v>
      </c>
      <c r="H1883" s="394">
        <v>2.7133185761559009</v>
      </c>
      <c r="I1883" s="394"/>
      <c r="J1883" s="392">
        <f t="shared" si="68"/>
        <v>0.54266371523118018</v>
      </c>
      <c r="K1883" s="392">
        <f t="shared" si="68"/>
        <v>0.54266371523118018</v>
      </c>
      <c r="L1883" s="392">
        <f t="shared" si="68"/>
        <v>0.54266371523118018</v>
      </c>
      <c r="M1883" s="392">
        <f t="shared" si="68"/>
        <v>0.54266371523118018</v>
      </c>
      <c r="N1883" s="392">
        <f t="shared" si="68"/>
        <v>0.54266371523118018</v>
      </c>
    </row>
    <row r="1884" spans="1:14" hidden="1" outlineLevel="2" x14ac:dyDescent="0.35">
      <c r="A1884" s="388" t="s">
        <v>3868</v>
      </c>
      <c r="B1884" s="389">
        <v>43792</v>
      </c>
      <c r="C1884" s="390" t="s">
        <v>5891</v>
      </c>
      <c r="D1884" s="391" t="s">
        <v>5892</v>
      </c>
      <c r="E1884" s="391" t="s">
        <v>5419</v>
      </c>
      <c r="F1884" s="392">
        <v>17000</v>
      </c>
      <c r="G1884" s="393" t="s">
        <v>3800</v>
      </c>
      <c r="H1884" s="394">
        <v>6.5894879706643312</v>
      </c>
      <c r="I1884" s="394"/>
      <c r="J1884" s="392">
        <f t="shared" si="68"/>
        <v>1.3178975941328663</v>
      </c>
      <c r="K1884" s="392">
        <f t="shared" si="68"/>
        <v>1.3178975941328663</v>
      </c>
      <c r="L1884" s="392">
        <f t="shared" si="68"/>
        <v>1.3178975941328663</v>
      </c>
      <c r="M1884" s="392">
        <f t="shared" si="68"/>
        <v>1.3178975941328663</v>
      </c>
      <c r="N1884" s="392">
        <f t="shared" si="68"/>
        <v>1.3178975941328663</v>
      </c>
    </row>
    <row r="1885" spans="1:14" hidden="1" outlineLevel="2" x14ac:dyDescent="0.35">
      <c r="A1885" s="388" t="s">
        <v>3868</v>
      </c>
      <c r="B1885" s="389">
        <v>43793</v>
      </c>
      <c r="C1885" s="390" t="s">
        <v>5893</v>
      </c>
      <c r="D1885" s="391" t="s">
        <v>5894</v>
      </c>
      <c r="E1885" s="391" t="s">
        <v>5419</v>
      </c>
      <c r="F1885" s="392">
        <v>12000</v>
      </c>
      <c r="G1885" s="393" t="s">
        <v>3800</v>
      </c>
      <c r="H1885" s="394">
        <v>4.6514032734101161</v>
      </c>
      <c r="I1885" s="394"/>
      <c r="J1885" s="392">
        <f t="shared" si="68"/>
        <v>0.93028065468202326</v>
      </c>
      <c r="K1885" s="392">
        <f t="shared" si="68"/>
        <v>0.93028065468202326</v>
      </c>
      <c r="L1885" s="392">
        <f t="shared" si="68"/>
        <v>0.93028065468202326</v>
      </c>
      <c r="M1885" s="392">
        <f t="shared" si="68"/>
        <v>0.93028065468202326</v>
      </c>
      <c r="N1885" s="392">
        <f t="shared" si="68"/>
        <v>0.93028065468202326</v>
      </c>
    </row>
    <row r="1886" spans="1:14" hidden="1" outlineLevel="2" x14ac:dyDescent="0.35">
      <c r="A1886" s="388" t="s">
        <v>3868</v>
      </c>
      <c r="B1886" s="389">
        <v>43800</v>
      </c>
      <c r="C1886" s="390" t="s">
        <v>5895</v>
      </c>
      <c r="D1886" s="391" t="s">
        <v>5896</v>
      </c>
      <c r="E1886" s="391" t="s">
        <v>5419</v>
      </c>
      <c r="F1886" s="392">
        <v>11000</v>
      </c>
      <c r="G1886" s="393" t="s">
        <v>3800</v>
      </c>
      <c r="H1886" s="394">
        <v>4.2637863339592732</v>
      </c>
      <c r="I1886" s="394"/>
      <c r="J1886" s="392">
        <f t="shared" si="68"/>
        <v>0.8527572667918546</v>
      </c>
      <c r="K1886" s="392">
        <f t="shared" si="68"/>
        <v>0.8527572667918546</v>
      </c>
      <c r="L1886" s="392">
        <f t="shared" si="68"/>
        <v>0.8527572667918546</v>
      </c>
      <c r="M1886" s="392">
        <f t="shared" si="68"/>
        <v>0.8527572667918546</v>
      </c>
      <c r="N1886" s="392">
        <f t="shared" si="68"/>
        <v>0.8527572667918546</v>
      </c>
    </row>
    <row r="1887" spans="1:14" hidden="1" outlineLevel="2" x14ac:dyDescent="0.35">
      <c r="A1887" s="388" t="s">
        <v>3868</v>
      </c>
      <c r="B1887" s="389">
        <v>43800</v>
      </c>
      <c r="C1887" s="390" t="s">
        <v>5897</v>
      </c>
      <c r="D1887" s="391" t="s">
        <v>5750</v>
      </c>
      <c r="E1887" s="391" t="s">
        <v>5419</v>
      </c>
      <c r="F1887" s="392">
        <v>21000</v>
      </c>
      <c r="G1887" s="393" t="s">
        <v>3800</v>
      </c>
      <c r="H1887" s="394">
        <v>8.1399557284677027</v>
      </c>
      <c r="I1887" s="394"/>
      <c r="J1887" s="392">
        <f t="shared" ref="J1887:N1902" si="69">$H1887/5</f>
        <v>1.6279911456935405</v>
      </c>
      <c r="K1887" s="392">
        <f t="shared" si="69"/>
        <v>1.6279911456935405</v>
      </c>
      <c r="L1887" s="392">
        <f t="shared" si="69"/>
        <v>1.6279911456935405</v>
      </c>
      <c r="M1887" s="392">
        <f t="shared" si="69"/>
        <v>1.6279911456935405</v>
      </c>
      <c r="N1887" s="392">
        <f t="shared" si="69"/>
        <v>1.6279911456935405</v>
      </c>
    </row>
    <row r="1888" spans="1:14" hidden="1" outlineLevel="2" x14ac:dyDescent="0.35">
      <c r="A1888" s="388" t="s">
        <v>3868</v>
      </c>
      <c r="B1888" s="389">
        <v>43801</v>
      </c>
      <c r="C1888" s="390" t="s">
        <v>5898</v>
      </c>
      <c r="D1888" s="391" t="s">
        <v>5899</v>
      </c>
      <c r="E1888" s="391" t="s">
        <v>5419</v>
      </c>
      <c r="F1888" s="392">
        <v>3000</v>
      </c>
      <c r="G1888" s="393" t="s">
        <v>3800</v>
      </c>
      <c r="H1888" s="394">
        <v>1.162850818352529</v>
      </c>
      <c r="I1888" s="394"/>
      <c r="J1888" s="392">
        <f t="shared" si="69"/>
        <v>0.23257016367050581</v>
      </c>
      <c r="K1888" s="392">
        <f t="shared" si="69"/>
        <v>0.23257016367050581</v>
      </c>
      <c r="L1888" s="392">
        <f t="shared" si="69"/>
        <v>0.23257016367050581</v>
      </c>
      <c r="M1888" s="392">
        <f t="shared" si="69"/>
        <v>0.23257016367050581</v>
      </c>
      <c r="N1888" s="392">
        <f t="shared" si="69"/>
        <v>0.23257016367050581</v>
      </c>
    </row>
    <row r="1889" spans="1:14" hidden="1" outlineLevel="2" collapsed="1" x14ac:dyDescent="0.35">
      <c r="A1889" s="388" t="s">
        <v>3868</v>
      </c>
      <c r="B1889" s="389">
        <v>43801</v>
      </c>
      <c r="C1889" s="390" t="s">
        <v>5900</v>
      </c>
      <c r="D1889" s="391" t="s">
        <v>5788</v>
      </c>
      <c r="E1889" s="391" t="s">
        <v>5419</v>
      </c>
      <c r="F1889" s="392">
        <v>4000</v>
      </c>
      <c r="G1889" s="393" t="s">
        <v>3800</v>
      </c>
      <c r="H1889" s="394">
        <v>1.5504677578033719</v>
      </c>
      <c r="I1889" s="394"/>
      <c r="J1889" s="392">
        <f t="shared" si="69"/>
        <v>0.31009355156067436</v>
      </c>
      <c r="K1889" s="392">
        <f t="shared" si="69"/>
        <v>0.31009355156067436</v>
      </c>
      <c r="L1889" s="392">
        <f t="shared" si="69"/>
        <v>0.31009355156067436</v>
      </c>
      <c r="M1889" s="392">
        <f t="shared" si="69"/>
        <v>0.31009355156067436</v>
      </c>
      <c r="N1889" s="392">
        <f t="shared" si="69"/>
        <v>0.31009355156067436</v>
      </c>
    </row>
    <row r="1890" spans="1:14" hidden="1" outlineLevel="2" collapsed="1" x14ac:dyDescent="0.35">
      <c r="A1890" s="388" t="s">
        <v>3868</v>
      </c>
      <c r="B1890" s="389">
        <v>43802</v>
      </c>
      <c r="C1890" s="390" t="s">
        <v>5901</v>
      </c>
      <c r="D1890" s="391" t="s">
        <v>5546</v>
      </c>
      <c r="E1890" s="391" t="s">
        <v>5419</v>
      </c>
      <c r="F1890" s="392">
        <v>3000</v>
      </c>
      <c r="G1890" s="393" t="s">
        <v>3800</v>
      </c>
      <c r="H1890" s="394">
        <v>1.162850818352529</v>
      </c>
      <c r="I1890" s="394"/>
      <c r="J1890" s="392">
        <f t="shared" si="69"/>
        <v>0.23257016367050581</v>
      </c>
      <c r="K1890" s="392">
        <f t="shared" si="69"/>
        <v>0.23257016367050581</v>
      </c>
      <c r="L1890" s="392">
        <f t="shared" si="69"/>
        <v>0.23257016367050581</v>
      </c>
      <c r="M1890" s="392">
        <f t="shared" si="69"/>
        <v>0.23257016367050581</v>
      </c>
      <c r="N1890" s="392">
        <f t="shared" si="69"/>
        <v>0.23257016367050581</v>
      </c>
    </row>
    <row r="1891" spans="1:14" hidden="1" outlineLevel="2" x14ac:dyDescent="0.35">
      <c r="A1891" s="388" t="s">
        <v>3868</v>
      </c>
      <c r="B1891" s="389">
        <v>43802</v>
      </c>
      <c r="C1891" s="390" t="s">
        <v>5902</v>
      </c>
      <c r="D1891" s="391" t="s">
        <v>5788</v>
      </c>
      <c r="E1891" s="391" t="s">
        <v>5419</v>
      </c>
      <c r="F1891" s="392">
        <v>3000</v>
      </c>
      <c r="G1891" s="393" t="s">
        <v>3800</v>
      </c>
      <c r="H1891" s="394">
        <v>1.162850818352529</v>
      </c>
      <c r="I1891" s="394"/>
      <c r="J1891" s="392">
        <f t="shared" si="69"/>
        <v>0.23257016367050581</v>
      </c>
      <c r="K1891" s="392">
        <f t="shared" si="69"/>
        <v>0.23257016367050581</v>
      </c>
      <c r="L1891" s="392">
        <f t="shared" si="69"/>
        <v>0.23257016367050581</v>
      </c>
      <c r="M1891" s="392">
        <f t="shared" si="69"/>
        <v>0.23257016367050581</v>
      </c>
      <c r="N1891" s="392">
        <f t="shared" si="69"/>
        <v>0.23257016367050581</v>
      </c>
    </row>
    <row r="1892" spans="1:14" hidden="1" outlineLevel="2" collapsed="1" x14ac:dyDescent="0.35">
      <c r="A1892" s="388" t="s">
        <v>3868</v>
      </c>
      <c r="B1892" s="389">
        <v>43802</v>
      </c>
      <c r="C1892" s="390" t="s">
        <v>5903</v>
      </c>
      <c r="D1892" s="391" t="s">
        <v>5904</v>
      </c>
      <c r="E1892" s="391" t="s">
        <v>5419</v>
      </c>
      <c r="F1892" s="392">
        <v>2000</v>
      </c>
      <c r="G1892" s="393" t="s">
        <v>3800</v>
      </c>
      <c r="H1892" s="394">
        <v>0.77523387890168594</v>
      </c>
      <c r="I1892" s="394"/>
      <c r="J1892" s="392">
        <f t="shared" si="69"/>
        <v>0.15504677578033718</v>
      </c>
      <c r="K1892" s="392">
        <f t="shared" si="69"/>
        <v>0.15504677578033718</v>
      </c>
      <c r="L1892" s="392">
        <f t="shared" si="69"/>
        <v>0.15504677578033718</v>
      </c>
      <c r="M1892" s="392">
        <f t="shared" si="69"/>
        <v>0.15504677578033718</v>
      </c>
      <c r="N1892" s="392">
        <f t="shared" si="69"/>
        <v>0.15504677578033718</v>
      </c>
    </row>
    <row r="1893" spans="1:14" hidden="1" outlineLevel="2" x14ac:dyDescent="0.35">
      <c r="A1893" s="388" t="s">
        <v>3868</v>
      </c>
      <c r="B1893" s="389">
        <v>43804</v>
      </c>
      <c r="C1893" s="390" t="s">
        <v>5905</v>
      </c>
      <c r="D1893" s="391" t="s">
        <v>5906</v>
      </c>
      <c r="E1893" s="391" t="s">
        <v>5419</v>
      </c>
      <c r="F1893" s="392">
        <v>6000</v>
      </c>
      <c r="G1893" s="393" t="s">
        <v>3800</v>
      </c>
      <c r="H1893" s="394">
        <v>2.325701636705058</v>
      </c>
      <c r="I1893" s="394"/>
      <c r="J1893" s="392">
        <f t="shared" si="69"/>
        <v>0.46514032734101163</v>
      </c>
      <c r="K1893" s="392">
        <f t="shared" si="69"/>
        <v>0.46514032734101163</v>
      </c>
      <c r="L1893" s="392">
        <f t="shared" si="69"/>
        <v>0.46514032734101163</v>
      </c>
      <c r="M1893" s="392">
        <f t="shared" si="69"/>
        <v>0.46514032734101163</v>
      </c>
      <c r="N1893" s="392">
        <f t="shared" si="69"/>
        <v>0.46514032734101163</v>
      </c>
    </row>
    <row r="1894" spans="1:14" hidden="1" outlineLevel="2" x14ac:dyDescent="0.35">
      <c r="A1894" s="388" t="s">
        <v>3868</v>
      </c>
      <c r="B1894" s="389">
        <v>43804</v>
      </c>
      <c r="C1894" s="390" t="s">
        <v>5907</v>
      </c>
      <c r="D1894" s="391" t="s">
        <v>5865</v>
      </c>
      <c r="E1894" s="391" t="s">
        <v>5419</v>
      </c>
      <c r="F1894" s="392">
        <v>9000</v>
      </c>
      <c r="G1894" s="393" t="s">
        <v>3800</v>
      </c>
      <c r="H1894" s="394">
        <v>3.488552455057587</v>
      </c>
      <c r="I1894" s="394"/>
      <c r="J1894" s="392">
        <f t="shared" si="69"/>
        <v>0.69771049101151739</v>
      </c>
      <c r="K1894" s="392">
        <f t="shared" si="69"/>
        <v>0.69771049101151739</v>
      </c>
      <c r="L1894" s="392">
        <f t="shared" si="69"/>
        <v>0.69771049101151739</v>
      </c>
      <c r="M1894" s="392">
        <f t="shared" si="69"/>
        <v>0.69771049101151739</v>
      </c>
      <c r="N1894" s="392">
        <f t="shared" si="69"/>
        <v>0.69771049101151739</v>
      </c>
    </row>
    <row r="1895" spans="1:14" hidden="1" outlineLevel="2" x14ac:dyDescent="0.35">
      <c r="A1895" s="388" t="s">
        <v>3868</v>
      </c>
      <c r="B1895" s="389">
        <v>43805</v>
      </c>
      <c r="C1895" s="390" t="s">
        <v>5908</v>
      </c>
      <c r="D1895" s="391" t="s">
        <v>5546</v>
      </c>
      <c r="E1895" s="391" t="s">
        <v>5419</v>
      </c>
      <c r="F1895" s="392">
        <v>3000</v>
      </c>
      <c r="G1895" s="393" t="s">
        <v>3800</v>
      </c>
      <c r="H1895" s="394">
        <v>1.162850818352529</v>
      </c>
      <c r="I1895" s="394"/>
      <c r="J1895" s="392">
        <f t="shared" si="69"/>
        <v>0.23257016367050581</v>
      </c>
      <c r="K1895" s="392">
        <f t="shared" si="69"/>
        <v>0.23257016367050581</v>
      </c>
      <c r="L1895" s="392">
        <f t="shared" si="69"/>
        <v>0.23257016367050581</v>
      </c>
      <c r="M1895" s="392">
        <f t="shared" si="69"/>
        <v>0.23257016367050581</v>
      </c>
      <c r="N1895" s="392">
        <f t="shared" si="69"/>
        <v>0.23257016367050581</v>
      </c>
    </row>
    <row r="1896" spans="1:14" hidden="1" outlineLevel="2" x14ac:dyDescent="0.35">
      <c r="A1896" s="388" t="s">
        <v>3868</v>
      </c>
      <c r="B1896" s="389">
        <v>43805</v>
      </c>
      <c r="C1896" s="390" t="s">
        <v>5909</v>
      </c>
      <c r="D1896" s="391" t="s">
        <v>5788</v>
      </c>
      <c r="E1896" s="391" t="s">
        <v>5419</v>
      </c>
      <c r="F1896" s="392">
        <v>6000</v>
      </c>
      <c r="G1896" s="393" t="s">
        <v>3800</v>
      </c>
      <c r="H1896" s="394">
        <v>2.325701636705058</v>
      </c>
      <c r="I1896" s="394"/>
      <c r="J1896" s="392">
        <f t="shared" si="69"/>
        <v>0.46514032734101163</v>
      </c>
      <c r="K1896" s="392">
        <f t="shared" si="69"/>
        <v>0.46514032734101163</v>
      </c>
      <c r="L1896" s="392">
        <f t="shared" si="69"/>
        <v>0.46514032734101163</v>
      </c>
      <c r="M1896" s="392">
        <f t="shared" si="69"/>
        <v>0.46514032734101163</v>
      </c>
      <c r="N1896" s="392">
        <f t="shared" si="69"/>
        <v>0.46514032734101163</v>
      </c>
    </row>
    <row r="1897" spans="1:14" hidden="1" outlineLevel="2" x14ac:dyDescent="0.35">
      <c r="A1897" s="388" t="s">
        <v>3868</v>
      </c>
      <c r="B1897" s="389">
        <v>43805</v>
      </c>
      <c r="C1897" s="390" t="s">
        <v>5910</v>
      </c>
      <c r="D1897" s="391" t="s">
        <v>5911</v>
      </c>
      <c r="E1897" s="391" t="s">
        <v>5419</v>
      </c>
      <c r="F1897" s="392">
        <v>24000</v>
      </c>
      <c r="G1897" s="393" t="s">
        <v>3800</v>
      </c>
      <c r="H1897" s="394">
        <v>9.3028065468202321</v>
      </c>
      <c r="I1897" s="394"/>
      <c r="J1897" s="392">
        <f t="shared" si="69"/>
        <v>1.8605613093640465</v>
      </c>
      <c r="K1897" s="392">
        <f t="shared" si="69"/>
        <v>1.8605613093640465</v>
      </c>
      <c r="L1897" s="392">
        <f t="shared" si="69"/>
        <v>1.8605613093640465</v>
      </c>
      <c r="M1897" s="392">
        <f t="shared" si="69"/>
        <v>1.8605613093640465</v>
      </c>
      <c r="N1897" s="392">
        <f t="shared" si="69"/>
        <v>1.8605613093640465</v>
      </c>
    </row>
    <row r="1898" spans="1:14" hidden="1" outlineLevel="2" x14ac:dyDescent="0.35">
      <c r="A1898" s="388" t="s">
        <v>3868</v>
      </c>
      <c r="B1898" s="389">
        <v>43805</v>
      </c>
      <c r="C1898" s="390" t="s">
        <v>5912</v>
      </c>
      <c r="D1898" s="391" t="s">
        <v>5788</v>
      </c>
      <c r="E1898" s="391" t="s">
        <v>5419</v>
      </c>
      <c r="F1898" s="392">
        <v>3000</v>
      </c>
      <c r="G1898" s="393" t="s">
        <v>3800</v>
      </c>
      <c r="H1898" s="394">
        <v>1.162850818352529</v>
      </c>
      <c r="I1898" s="394"/>
      <c r="J1898" s="392">
        <f t="shared" si="69"/>
        <v>0.23257016367050581</v>
      </c>
      <c r="K1898" s="392">
        <f t="shared" si="69"/>
        <v>0.23257016367050581</v>
      </c>
      <c r="L1898" s="392">
        <f t="shared" si="69"/>
        <v>0.23257016367050581</v>
      </c>
      <c r="M1898" s="392">
        <f t="shared" si="69"/>
        <v>0.23257016367050581</v>
      </c>
      <c r="N1898" s="392">
        <f t="shared" si="69"/>
        <v>0.23257016367050581</v>
      </c>
    </row>
    <row r="1899" spans="1:14" hidden="1" outlineLevel="2" x14ac:dyDescent="0.35">
      <c r="A1899" s="388" t="s">
        <v>3868</v>
      </c>
      <c r="B1899" s="389">
        <v>43806</v>
      </c>
      <c r="C1899" s="390" t="s">
        <v>5913</v>
      </c>
      <c r="D1899" s="391" t="s">
        <v>5914</v>
      </c>
      <c r="E1899" s="391" t="s">
        <v>5783</v>
      </c>
      <c r="F1899" s="392">
        <v>15000</v>
      </c>
      <c r="G1899" s="393" t="s">
        <v>3800</v>
      </c>
      <c r="H1899" s="394">
        <v>5.8142540917626446</v>
      </c>
      <c r="I1899" s="394"/>
      <c r="J1899" s="392">
        <f t="shared" si="69"/>
        <v>1.162850818352529</v>
      </c>
      <c r="K1899" s="392">
        <f t="shared" si="69"/>
        <v>1.162850818352529</v>
      </c>
      <c r="L1899" s="392">
        <f t="shared" si="69"/>
        <v>1.162850818352529</v>
      </c>
      <c r="M1899" s="392">
        <f t="shared" si="69"/>
        <v>1.162850818352529</v>
      </c>
      <c r="N1899" s="392">
        <f t="shared" si="69"/>
        <v>1.162850818352529</v>
      </c>
    </row>
    <row r="1900" spans="1:14" hidden="1" outlineLevel="2" x14ac:dyDescent="0.35">
      <c r="A1900" s="388" t="s">
        <v>3868</v>
      </c>
      <c r="B1900" s="389">
        <v>43806</v>
      </c>
      <c r="C1900" s="390" t="s">
        <v>5915</v>
      </c>
      <c r="D1900" s="391" t="s">
        <v>5767</v>
      </c>
      <c r="E1900" s="391" t="s">
        <v>5419</v>
      </c>
      <c r="F1900" s="392">
        <v>17000</v>
      </c>
      <c r="G1900" s="393" t="s">
        <v>3800</v>
      </c>
      <c r="H1900" s="394">
        <v>6.5894879706643312</v>
      </c>
      <c r="I1900" s="394"/>
      <c r="J1900" s="392">
        <f t="shared" si="69"/>
        <v>1.3178975941328663</v>
      </c>
      <c r="K1900" s="392">
        <f t="shared" si="69"/>
        <v>1.3178975941328663</v>
      </c>
      <c r="L1900" s="392">
        <f t="shared" si="69"/>
        <v>1.3178975941328663</v>
      </c>
      <c r="M1900" s="392">
        <f t="shared" si="69"/>
        <v>1.3178975941328663</v>
      </c>
      <c r="N1900" s="392">
        <f t="shared" si="69"/>
        <v>1.3178975941328663</v>
      </c>
    </row>
    <row r="1901" spans="1:14" hidden="1" outlineLevel="2" collapsed="1" x14ac:dyDescent="0.35">
      <c r="A1901" s="388" t="s">
        <v>3868</v>
      </c>
      <c r="B1901" s="389">
        <v>43806</v>
      </c>
      <c r="C1901" s="390" t="s">
        <v>5916</v>
      </c>
      <c r="D1901" s="391" t="s">
        <v>5917</v>
      </c>
      <c r="E1901" s="391" t="s">
        <v>5419</v>
      </c>
      <c r="F1901" s="392">
        <v>15000</v>
      </c>
      <c r="G1901" s="393" t="s">
        <v>3800</v>
      </c>
      <c r="H1901" s="394">
        <v>5.8142540917626446</v>
      </c>
      <c r="I1901" s="394"/>
      <c r="J1901" s="392">
        <f t="shared" si="69"/>
        <v>1.162850818352529</v>
      </c>
      <c r="K1901" s="392">
        <f t="shared" si="69"/>
        <v>1.162850818352529</v>
      </c>
      <c r="L1901" s="392">
        <f t="shared" si="69"/>
        <v>1.162850818352529</v>
      </c>
      <c r="M1901" s="392">
        <f t="shared" si="69"/>
        <v>1.162850818352529</v>
      </c>
      <c r="N1901" s="392">
        <f t="shared" si="69"/>
        <v>1.162850818352529</v>
      </c>
    </row>
    <row r="1902" spans="1:14" hidden="1" outlineLevel="2" x14ac:dyDescent="0.35">
      <c r="A1902" s="388" t="s">
        <v>3868</v>
      </c>
      <c r="B1902" s="389">
        <v>43806</v>
      </c>
      <c r="C1902" s="390" t="s">
        <v>5918</v>
      </c>
      <c r="D1902" s="391" t="s">
        <v>5919</v>
      </c>
      <c r="E1902" s="391" t="s">
        <v>5419</v>
      </c>
      <c r="F1902" s="392">
        <v>24000</v>
      </c>
      <c r="G1902" s="393" t="s">
        <v>3800</v>
      </c>
      <c r="H1902" s="394">
        <v>9.3028065468202321</v>
      </c>
      <c r="I1902" s="394"/>
      <c r="J1902" s="392">
        <f t="shared" si="69"/>
        <v>1.8605613093640465</v>
      </c>
      <c r="K1902" s="392">
        <f t="shared" si="69"/>
        <v>1.8605613093640465</v>
      </c>
      <c r="L1902" s="392">
        <f t="shared" si="69"/>
        <v>1.8605613093640465</v>
      </c>
      <c r="M1902" s="392">
        <f t="shared" si="69"/>
        <v>1.8605613093640465</v>
      </c>
      <c r="N1902" s="392">
        <f t="shared" si="69"/>
        <v>1.8605613093640465</v>
      </c>
    </row>
    <row r="1903" spans="1:14" hidden="1" outlineLevel="2" x14ac:dyDescent="0.35">
      <c r="A1903" s="388" t="s">
        <v>3868</v>
      </c>
      <c r="B1903" s="389">
        <v>43807</v>
      </c>
      <c r="C1903" s="390" t="s">
        <v>5920</v>
      </c>
      <c r="D1903" s="391" t="s">
        <v>5428</v>
      </c>
      <c r="E1903" s="391" t="s">
        <v>5419</v>
      </c>
      <c r="F1903" s="392">
        <v>2000</v>
      </c>
      <c r="G1903" s="393" t="s">
        <v>3800</v>
      </c>
      <c r="H1903" s="394">
        <v>0.77523387890168594</v>
      </c>
      <c r="I1903" s="394"/>
      <c r="J1903" s="392">
        <f t="shared" ref="J1903:N1918" si="70">$H1903/5</f>
        <v>0.15504677578033718</v>
      </c>
      <c r="K1903" s="392">
        <f t="shared" si="70"/>
        <v>0.15504677578033718</v>
      </c>
      <c r="L1903" s="392">
        <f t="shared" si="70"/>
        <v>0.15504677578033718</v>
      </c>
      <c r="M1903" s="392">
        <f t="shared" si="70"/>
        <v>0.15504677578033718</v>
      </c>
      <c r="N1903" s="392">
        <f t="shared" si="70"/>
        <v>0.15504677578033718</v>
      </c>
    </row>
    <row r="1904" spans="1:14" hidden="1" outlineLevel="2" x14ac:dyDescent="0.35">
      <c r="A1904" s="388" t="s">
        <v>3868</v>
      </c>
      <c r="B1904" s="389">
        <v>43808</v>
      </c>
      <c r="C1904" s="390" t="s">
        <v>5921</v>
      </c>
      <c r="D1904" s="391" t="s">
        <v>5428</v>
      </c>
      <c r="E1904" s="391" t="s">
        <v>5419</v>
      </c>
      <c r="F1904" s="392">
        <v>3000</v>
      </c>
      <c r="G1904" s="393" t="s">
        <v>3800</v>
      </c>
      <c r="H1904" s="394">
        <v>1.162850818352529</v>
      </c>
      <c r="I1904" s="394"/>
      <c r="J1904" s="392">
        <f t="shared" si="70"/>
        <v>0.23257016367050581</v>
      </c>
      <c r="K1904" s="392">
        <f t="shared" si="70"/>
        <v>0.23257016367050581</v>
      </c>
      <c r="L1904" s="392">
        <f t="shared" si="70"/>
        <v>0.23257016367050581</v>
      </c>
      <c r="M1904" s="392">
        <f t="shared" si="70"/>
        <v>0.23257016367050581</v>
      </c>
      <c r="N1904" s="392">
        <f t="shared" si="70"/>
        <v>0.23257016367050581</v>
      </c>
    </row>
    <row r="1905" spans="1:14" hidden="1" outlineLevel="2" x14ac:dyDescent="0.35">
      <c r="A1905" s="388" t="s">
        <v>3868</v>
      </c>
      <c r="B1905" s="389">
        <v>43808</v>
      </c>
      <c r="C1905" s="390" t="s">
        <v>5922</v>
      </c>
      <c r="D1905" s="391" t="s">
        <v>5428</v>
      </c>
      <c r="E1905" s="391" t="s">
        <v>5419</v>
      </c>
      <c r="F1905" s="392">
        <v>3000</v>
      </c>
      <c r="G1905" s="393" t="s">
        <v>3800</v>
      </c>
      <c r="H1905" s="394">
        <v>1.162850818352529</v>
      </c>
      <c r="I1905" s="394"/>
      <c r="J1905" s="392">
        <f t="shared" si="70"/>
        <v>0.23257016367050581</v>
      </c>
      <c r="K1905" s="392">
        <f t="shared" si="70"/>
        <v>0.23257016367050581</v>
      </c>
      <c r="L1905" s="392">
        <f t="shared" si="70"/>
        <v>0.23257016367050581</v>
      </c>
      <c r="M1905" s="392">
        <f t="shared" si="70"/>
        <v>0.23257016367050581</v>
      </c>
      <c r="N1905" s="392">
        <f t="shared" si="70"/>
        <v>0.23257016367050581</v>
      </c>
    </row>
    <row r="1906" spans="1:14" hidden="1" outlineLevel="2" collapsed="1" x14ac:dyDescent="0.35">
      <c r="A1906" s="388" t="s">
        <v>3868</v>
      </c>
      <c r="B1906" s="389">
        <v>43809</v>
      </c>
      <c r="C1906" s="390" t="s">
        <v>5923</v>
      </c>
      <c r="D1906" s="391" t="s">
        <v>5546</v>
      </c>
      <c r="E1906" s="391" t="s">
        <v>5419</v>
      </c>
      <c r="F1906" s="392">
        <v>3000</v>
      </c>
      <c r="G1906" s="393" t="s">
        <v>3800</v>
      </c>
      <c r="H1906" s="394">
        <v>1.162850818352529</v>
      </c>
      <c r="I1906" s="394"/>
      <c r="J1906" s="392">
        <f t="shared" si="70"/>
        <v>0.23257016367050581</v>
      </c>
      <c r="K1906" s="392">
        <f t="shared" si="70"/>
        <v>0.23257016367050581</v>
      </c>
      <c r="L1906" s="392">
        <f t="shared" si="70"/>
        <v>0.23257016367050581</v>
      </c>
      <c r="M1906" s="392">
        <f t="shared" si="70"/>
        <v>0.23257016367050581</v>
      </c>
      <c r="N1906" s="392">
        <f t="shared" si="70"/>
        <v>0.23257016367050581</v>
      </c>
    </row>
    <row r="1907" spans="1:14" hidden="1" outlineLevel="2" x14ac:dyDescent="0.35">
      <c r="A1907" s="388" t="s">
        <v>3868</v>
      </c>
      <c r="B1907" s="389">
        <v>43809</v>
      </c>
      <c r="C1907" s="390" t="s">
        <v>5924</v>
      </c>
      <c r="D1907" s="391" t="s">
        <v>5788</v>
      </c>
      <c r="E1907" s="391" t="s">
        <v>5419</v>
      </c>
      <c r="F1907" s="392">
        <v>1000</v>
      </c>
      <c r="G1907" s="393" t="s">
        <v>3800</v>
      </c>
      <c r="H1907" s="394">
        <v>0.38761693945084297</v>
      </c>
      <c r="I1907" s="394"/>
      <c r="J1907" s="392">
        <f t="shared" si="70"/>
        <v>7.7523387890168591E-2</v>
      </c>
      <c r="K1907" s="392">
        <f t="shared" si="70"/>
        <v>7.7523387890168591E-2</v>
      </c>
      <c r="L1907" s="392">
        <f t="shared" si="70"/>
        <v>7.7523387890168591E-2</v>
      </c>
      <c r="M1907" s="392">
        <f t="shared" si="70"/>
        <v>7.7523387890168591E-2</v>
      </c>
      <c r="N1907" s="392">
        <f t="shared" si="70"/>
        <v>7.7523387890168591E-2</v>
      </c>
    </row>
    <row r="1908" spans="1:14" hidden="1" outlineLevel="2" x14ac:dyDescent="0.35">
      <c r="A1908" s="388" t="s">
        <v>3868</v>
      </c>
      <c r="B1908" s="389">
        <v>43810</v>
      </c>
      <c r="C1908" s="390" t="s">
        <v>5925</v>
      </c>
      <c r="D1908" s="391" t="s">
        <v>5546</v>
      </c>
      <c r="E1908" s="391" t="s">
        <v>5419</v>
      </c>
      <c r="F1908" s="392">
        <v>2000</v>
      </c>
      <c r="G1908" s="393" t="s">
        <v>3800</v>
      </c>
      <c r="H1908" s="394">
        <v>0.77523387890168594</v>
      </c>
      <c r="I1908" s="394"/>
      <c r="J1908" s="392">
        <f t="shared" si="70"/>
        <v>0.15504677578033718</v>
      </c>
      <c r="K1908" s="392">
        <f t="shared" si="70"/>
        <v>0.15504677578033718</v>
      </c>
      <c r="L1908" s="392">
        <f t="shared" si="70"/>
        <v>0.15504677578033718</v>
      </c>
      <c r="M1908" s="392">
        <f t="shared" si="70"/>
        <v>0.15504677578033718</v>
      </c>
      <c r="N1908" s="392">
        <f t="shared" si="70"/>
        <v>0.15504677578033718</v>
      </c>
    </row>
    <row r="1909" spans="1:14" hidden="1" outlineLevel="2" x14ac:dyDescent="0.35">
      <c r="A1909" s="388" t="s">
        <v>3868</v>
      </c>
      <c r="B1909" s="389">
        <v>43810</v>
      </c>
      <c r="C1909" s="390" t="s">
        <v>5926</v>
      </c>
      <c r="D1909" s="391" t="s">
        <v>5788</v>
      </c>
      <c r="E1909" s="391" t="s">
        <v>5419</v>
      </c>
      <c r="F1909" s="392">
        <v>2000</v>
      </c>
      <c r="G1909" s="393" t="s">
        <v>3800</v>
      </c>
      <c r="H1909" s="394">
        <v>0.77523387890168594</v>
      </c>
      <c r="I1909" s="394"/>
      <c r="J1909" s="392">
        <f t="shared" si="70"/>
        <v>0.15504677578033718</v>
      </c>
      <c r="K1909" s="392">
        <f t="shared" si="70"/>
        <v>0.15504677578033718</v>
      </c>
      <c r="L1909" s="392">
        <f t="shared" si="70"/>
        <v>0.15504677578033718</v>
      </c>
      <c r="M1909" s="392">
        <f t="shared" si="70"/>
        <v>0.15504677578033718</v>
      </c>
      <c r="N1909" s="392">
        <f t="shared" si="70"/>
        <v>0.15504677578033718</v>
      </c>
    </row>
    <row r="1910" spans="1:14" hidden="1" outlineLevel="2" x14ac:dyDescent="0.35">
      <c r="A1910" s="388" t="s">
        <v>3868</v>
      </c>
      <c r="B1910" s="389">
        <v>43810</v>
      </c>
      <c r="C1910" s="390" t="s">
        <v>5927</v>
      </c>
      <c r="D1910" s="391" t="s">
        <v>5546</v>
      </c>
      <c r="E1910" s="391" t="s">
        <v>5419</v>
      </c>
      <c r="F1910" s="392">
        <v>3000</v>
      </c>
      <c r="G1910" s="393" t="s">
        <v>3800</v>
      </c>
      <c r="H1910" s="394">
        <v>1.162850818352529</v>
      </c>
      <c r="I1910" s="394"/>
      <c r="J1910" s="392">
        <f t="shared" si="70"/>
        <v>0.23257016367050581</v>
      </c>
      <c r="K1910" s="392">
        <f t="shared" si="70"/>
        <v>0.23257016367050581</v>
      </c>
      <c r="L1910" s="392">
        <f t="shared" si="70"/>
        <v>0.23257016367050581</v>
      </c>
      <c r="M1910" s="392">
        <f t="shared" si="70"/>
        <v>0.23257016367050581</v>
      </c>
      <c r="N1910" s="392">
        <f t="shared" si="70"/>
        <v>0.23257016367050581</v>
      </c>
    </row>
    <row r="1911" spans="1:14" hidden="1" outlineLevel="2" x14ac:dyDescent="0.35">
      <c r="A1911" s="388" t="s">
        <v>3868</v>
      </c>
      <c r="B1911" s="389">
        <v>43810</v>
      </c>
      <c r="C1911" s="390" t="s">
        <v>5928</v>
      </c>
      <c r="D1911" s="391" t="s">
        <v>5788</v>
      </c>
      <c r="E1911" s="391" t="s">
        <v>5419</v>
      </c>
      <c r="F1911" s="392">
        <v>5000</v>
      </c>
      <c r="G1911" s="393" t="s">
        <v>3800</v>
      </c>
      <c r="H1911" s="394">
        <v>1.9380846972542149</v>
      </c>
      <c r="I1911" s="394"/>
      <c r="J1911" s="392">
        <f t="shared" si="70"/>
        <v>0.38761693945084297</v>
      </c>
      <c r="K1911" s="392">
        <f t="shared" si="70"/>
        <v>0.38761693945084297</v>
      </c>
      <c r="L1911" s="392">
        <f t="shared" si="70"/>
        <v>0.38761693945084297</v>
      </c>
      <c r="M1911" s="392">
        <f t="shared" si="70"/>
        <v>0.38761693945084297</v>
      </c>
      <c r="N1911" s="392">
        <f t="shared" si="70"/>
        <v>0.38761693945084297</v>
      </c>
    </row>
    <row r="1912" spans="1:14" hidden="1" outlineLevel="2" x14ac:dyDescent="0.35">
      <c r="A1912" s="388" t="s">
        <v>3868</v>
      </c>
      <c r="B1912" s="389">
        <v>43811</v>
      </c>
      <c r="C1912" s="390" t="s">
        <v>5929</v>
      </c>
      <c r="D1912" s="391" t="s">
        <v>5788</v>
      </c>
      <c r="E1912" s="391" t="s">
        <v>5419</v>
      </c>
      <c r="F1912" s="392">
        <v>3387</v>
      </c>
      <c r="G1912" s="393" t="s">
        <v>3800</v>
      </c>
      <c r="H1912" s="394">
        <v>1.3128585739200052</v>
      </c>
      <c r="I1912" s="394"/>
      <c r="J1912" s="392">
        <f t="shared" si="70"/>
        <v>0.26257171478400104</v>
      </c>
      <c r="K1912" s="392">
        <f t="shared" si="70"/>
        <v>0.26257171478400104</v>
      </c>
      <c r="L1912" s="392">
        <f t="shared" si="70"/>
        <v>0.26257171478400104</v>
      </c>
      <c r="M1912" s="392">
        <f t="shared" si="70"/>
        <v>0.26257171478400104</v>
      </c>
      <c r="N1912" s="392">
        <f t="shared" si="70"/>
        <v>0.26257171478400104</v>
      </c>
    </row>
    <row r="1913" spans="1:14" hidden="1" outlineLevel="2" collapsed="1" x14ac:dyDescent="0.35">
      <c r="A1913" s="388" t="s">
        <v>3868</v>
      </c>
      <c r="B1913" s="389">
        <v>43813</v>
      </c>
      <c r="C1913" s="390" t="s">
        <v>5930</v>
      </c>
      <c r="D1913" s="391" t="s">
        <v>5931</v>
      </c>
      <c r="E1913" s="391" t="s">
        <v>5419</v>
      </c>
      <c r="F1913" s="392">
        <v>2000</v>
      </c>
      <c r="G1913" s="393" t="s">
        <v>3800</v>
      </c>
      <c r="H1913" s="394">
        <v>0.77523387890168594</v>
      </c>
      <c r="I1913" s="394"/>
      <c r="J1913" s="392">
        <f t="shared" si="70"/>
        <v>0.15504677578033718</v>
      </c>
      <c r="K1913" s="392">
        <f t="shared" si="70"/>
        <v>0.15504677578033718</v>
      </c>
      <c r="L1913" s="392">
        <f t="shared" si="70"/>
        <v>0.15504677578033718</v>
      </c>
      <c r="M1913" s="392">
        <f t="shared" si="70"/>
        <v>0.15504677578033718</v>
      </c>
      <c r="N1913" s="392">
        <f t="shared" si="70"/>
        <v>0.15504677578033718</v>
      </c>
    </row>
    <row r="1914" spans="1:14" hidden="1" outlineLevel="2" x14ac:dyDescent="0.35">
      <c r="A1914" s="388" t="s">
        <v>3868</v>
      </c>
      <c r="B1914" s="389">
        <v>43813</v>
      </c>
      <c r="C1914" s="390" t="s">
        <v>5932</v>
      </c>
      <c r="D1914" s="391" t="s">
        <v>5933</v>
      </c>
      <c r="E1914" s="391" t="s">
        <v>5419</v>
      </c>
      <c r="F1914" s="392">
        <v>4000</v>
      </c>
      <c r="G1914" s="393" t="s">
        <v>3800</v>
      </c>
      <c r="H1914" s="394">
        <v>1.5504677578033719</v>
      </c>
      <c r="I1914" s="394"/>
      <c r="J1914" s="392">
        <f t="shared" si="70"/>
        <v>0.31009355156067436</v>
      </c>
      <c r="K1914" s="392">
        <f t="shared" si="70"/>
        <v>0.31009355156067436</v>
      </c>
      <c r="L1914" s="392">
        <f t="shared" si="70"/>
        <v>0.31009355156067436</v>
      </c>
      <c r="M1914" s="392">
        <f t="shared" si="70"/>
        <v>0.31009355156067436</v>
      </c>
      <c r="N1914" s="392">
        <f t="shared" si="70"/>
        <v>0.31009355156067436</v>
      </c>
    </row>
    <row r="1915" spans="1:14" hidden="1" outlineLevel="2" collapsed="1" x14ac:dyDescent="0.35">
      <c r="A1915" s="388" t="s">
        <v>3868</v>
      </c>
      <c r="B1915" s="389">
        <v>43814</v>
      </c>
      <c r="C1915" s="390" t="s">
        <v>5934</v>
      </c>
      <c r="D1915" s="391" t="s">
        <v>5935</v>
      </c>
      <c r="E1915" s="391" t="s">
        <v>5936</v>
      </c>
      <c r="F1915" s="392">
        <v>15000</v>
      </c>
      <c r="G1915" s="393" t="s">
        <v>3800</v>
      </c>
      <c r="H1915" s="394">
        <v>5.8142540917626446</v>
      </c>
      <c r="I1915" s="394"/>
      <c r="J1915" s="392">
        <f t="shared" si="70"/>
        <v>1.162850818352529</v>
      </c>
      <c r="K1915" s="392">
        <f t="shared" si="70"/>
        <v>1.162850818352529</v>
      </c>
      <c r="L1915" s="392">
        <f t="shared" si="70"/>
        <v>1.162850818352529</v>
      </c>
      <c r="M1915" s="392">
        <f t="shared" si="70"/>
        <v>1.162850818352529</v>
      </c>
      <c r="N1915" s="392">
        <f t="shared" si="70"/>
        <v>1.162850818352529</v>
      </c>
    </row>
    <row r="1916" spans="1:14" hidden="1" outlineLevel="2" x14ac:dyDescent="0.35">
      <c r="A1916" s="388" t="s">
        <v>3868</v>
      </c>
      <c r="B1916" s="389">
        <v>43814</v>
      </c>
      <c r="C1916" s="390" t="s">
        <v>5937</v>
      </c>
      <c r="D1916" s="391" t="s">
        <v>5938</v>
      </c>
      <c r="E1916" s="391" t="s">
        <v>5936</v>
      </c>
      <c r="F1916" s="392">
        <v>10000</v>
      </c>
      <c r="G1916" s="393" t="s">
        <v>3800</v>
      </c>
      <c r="H1916" s="394">
        <v>3.8761693945084299</v>
      </c>
      <c r="I1916" s="394"/>
      <c r="J1916" s="392">
        <f t="shared" si="70"/>
        <v>0.77523387890168594</v>
      </c>
      <c r="K1916" s="392">
        <f t="shared" si="70"/>
        <v>0.77523387890168594</v>
      </c>
      <c r="L1916" s="392">
        <f t="shared" si="70"/>
        <v>0.77523387890168594</v>
      </c>
      <c r="M1916" s="392">
        <f t="shared" si="70"/>
        <v>0.77523387890168594</v>
      </c>
      <c r="N1916" s="392">
        <f t="shared" si="70"/>
        <v>0.77523387890168594</v>
      </c>
    </row>
    <row r="1917" spans="1:14" hidden="1" outlineLevel="2" collapsed="1" x14ac:dyDescent="0.35">
      <c r="A1917" s="388" t="s">
        <v>3868</v>
      </c>
      <c r="B1917" s="389">
        <v>43814</v>
      </c>
      <c r="C1917" s="390" t="s">
        <v>5939</v>
      </c>
      <c r="D1917" s="391" t="s">
        <v>5728</v>
      </c>
      <c r="E1917" s="391" t="s">
        <v>5419</v>
      </c>
      <c r="F1917" s="392">
        <v>5000</v>
      </c>
      <c r="G1917" s="393" t="s">
        <v>3800</v>
      </c>
      <c r="H1917" s="394">
        <v>1.9380846972542149</v>
      </c>
      <c r="I1917" s="394"/>
      <c r="J1917" s="392">
        <f t="shared" si="70"/>
        <v>0.38761693945084297</v>
      </c>
      <c r="K1917" s="392">
        <f t="shared" si="70"/>
        <v>0.38761693945084297</v>
      </c>
      <c r="L1917" s="392">
        <f t="shared" si="70"/>
        <v>0.38761693945084297</v>
      </c>
      <c r="M1917" s="392">
        <f t="shared" si="70"/>
        <v>0.38761693945084297</v>
      </c>
      <c r="N1917" s="392">
        <f t="shared" si="70"/>
        <v>0.38761693945084297</v>
      </c>
    </row>
    <row r="1918" spans="1:14" hidden="1" outlineLevel="2" x14ac:dyDescent="0.35">
      <c r="A1918" s="388" t="s">
        <v>3868</v>
      </c>
      <c r="B1918" s="389">
        <v>43815</v>
      </c>
      <c r="C1918" s="390" t="s">
        <v>5940</v>
      </c>
      <c r="D1918" s="391" t="s">
        <v>5892</v>
      </c>
      <c r="E1918" s="391" t="s">
        <v>5419</v>
      </c>
      <c r="F1918" s="392">
        <v>26000</v>
      </c>
      <c r="G1918" s="393" t="s">
        <v>3800</v>
      </c>
      <c r="H1918" s="394">
        <v>10.078040425721918</v>
      </c>
      <c r="I1918" s="394"/>
      <c r="J1918" s="392">
        <f t="shared" si="70"/>
        <v>2.0156080851443834</v>
      </c>
      <c r="K1918" s="392">
        <f t="shared" si="70"/>
        <v>2.0156080851443834</v>
      </c>
      <c r="L1918" s="392">
        <f t="shared" si="70"/>
        <v>2.0156080851443834</v>
      </c>
      <c r="M1918" s="392">
        <f t="shared" si="70"/>
        <v>2.0156080851443834</v>
      </c>
      <c r="N1918" s="392">
        <f t="shared" si="70"/>
        <v>2.0156080851443834</v>
      </c>
    </row>
    <row r="1919" spans="1:14" hidden="1" outlineLevel="2" x14ac:dyDescent="0.35">
      <c r="A1919" s="388" t="s">
        <v>3868</v>
      </c>
      <c r="B1919" s="389">
        <v>43816</v>
      </c>
      <c r="C1919" s="390" t="s">
        <v>5941</v>
      </c>
      <c r="D1919" s="391" t="s">
        <v>5546</v>
      </c>
      <c r="E1919" s="391" t="s">
        <v>5419</v>
      </c>
      <c r="F1919" s="392">
        <v>2000</v>
      </c>
      <c r="G1919" s="393" t="s">
        <v>3800</v>
      </c>
      <c r="H1919" s="394">
        <v>0.77523387890168594</v>
      </c>
      <c r="I1919" s="394"/>
      <c r="J1919" s="392">
        <f t="shared" ref="J1919:N1934" si="71">$H1919/5</f>
        <v>0.15504677578033718</v>
      </c>
      <c r="K1919" s="392">
        <f t="shared" si="71"/>
        <v>0.15504677578033718</v>
      </c>
      <c r="L1919" s="392">
        <f t="shared" si="71"/>
        <v>0.15504677578033718</v>
      </c>
      <c r="M1919" s="392">
        <f t="shared" si="71"/>
        <v>0.15504677578033718</v>
      </c>
      <c r="N1919" s="392">
        <f t="shared" si="71"/>
        <v>0.15504677578033718</v>
      </c>
    </row>
    <row r="1920" spans="1:14" hidden="1" outlineLevel="2" collapsed="1" x14ac:dyDescent="0.35">
      <c r="A1920" s="388" t="s">
        <v>3868</v>
      </c>
      <c r="B1920" s="389">
        <v>43816</v>
      </c>
      <c r="C1920" s="390" t="s">
        <v>5942</v>
      </c>
      <c r="D1920" s="391" t="s">
        <v>5788</v>
      </c>
      <c r="E1920" s="391" t="s">
        <v>5419</v>
      </c>
      <c r="F1920" s="392">
        <v>3000</v>
      </c>
      <c r="G1920" s="393" t="s">
        <v>3800</v>
      </c>
      <c r="H1920" s="394">
        <v>1.162850818352529</v>
      </c>
      <c r="I1920" s="394"/>
      <c r="J1920" s="392">
        <f t="shared" si="71"/>
        <v>0.23257016367050581</v>
      </c>
      <c r="K1920" s="392">
        <f t="shared" si="71"/>
        <v>0.23257016367050581</v>
      </c>
      <c r="L1920" s="392">
        <f t="shared" si="71"/>
        <v>0.23257016367050581</v>
      </c>
      <c r="M1920" s="392">
        <f t="shared" si="71"/>
        <v>0.23257016367050581</v>
      </c>
      <c r="N1920" s="392">
        <f t="shared" si="71"/>
        <v>0.23257016367050581</v>
      </c>
    </row>
    <row r="1921" spans="1:14" hidden="1" outlineLevel="2" x14ac:dyDescent="0.35">
      <c r="A1921" s="388" t="s">
        <v>3868</v>
      </c>
      <c r="B1921" s="389">
        <v>43816</v>
      </c>
      <c r="C1921" s="390" t="s">
        <v>5943</v>
      </c>
      <c r="D1921" s="391" t="s">
        <v>5546</v>
      </c>
      <c r="E1921" s="391" t="s">
        <v>5419</v>
      </c>
      <c r="F1921" s="392">
        <v>2000</v>
      </c>
      <c r="G1921" s="393" t="s">
        <v>3800</v>
      </c>
      <c r="H1921" s="394">
        <v>0.77523387890168594</v>
      </c>
      <c r="I1921" s="394"/>
      <c r="J1921" s="392">
        <f t="shared" si="71"/>
        <v>0.15504677578033718</v>
      </c>
      <c r="K1921" s="392">
        <f t="shared" si="71"/>
        <v>0.15504677578033718</v>
      </c>
      <c r="L1921" s="392">
        <f t="shared" si="71"/>
        <v>0.15504677578033718</v>
      </c>
      <c r="M1921" s="392">
        <f t="shared" si="71"/>
        <v>0.15504677578033718</v>
      </c>
      <c r="N1921" s="392">
        <f t="shared" si="71"/>
        <v>0.15504677578033718</v>
      </c>
    </row>
    <row r="1922" spans="1:14" hidden="1" outlineLevel="2" x14ac:dyDescent="0.35">
      <c r="A1922" s="388" t="s">
        <v>3868</v>
      </c>
      <c r="B1922" s="389">
        <v>43817</v>
      </c>
      <c r="C1922" s="390" t="s">
        <v>5944</v>
      </c>
      <c r="D1922" s="391" t="s">
        <v>5788</v>
      </c>
      <c r="E1922" s="391" t="s">
        <v>5419</v>
      </c>
      <c r="F1922" s="392">
        <v>16000</v>
      </c>
      <c r="G1922" s="393" t="s">
        <v>3800</v>
      </c>
      <c r="H1922" s="394">
        <v>6.2018710312134875</v>
      </c>
      <c r="I1922" s="394"/>
      <c r="J1922" s="392">
        <f t="shared" si="71"/>
        <v>1.2403742062426975</v>
      </c>
      <c r="K1922" s="392">
        <f t="shared" si="71"/>
        <v>1.2403742062426975</v>
      </c>
      <c r="L1922" s="392">
        <f t="shared" si="71"/>
        <v>1.2403742062426975</v>
      </c>
      <c r="M1922" s="392">
        <f t="shared" si="71"/>
        <v>1.2403742062426975</v>
      </c>
      <c r="N1922" s="392">
        <f t="shared" si="71"/>
        <v>1.2403742062426975</v>
      </c>
    </row>
    <row r="1923" spans="1:14" hidden="1" outlineLevel="2" x14ac:dyDescent="0.35">
      <c r="A1923" s="388" t="s">
        <v>3868</v>
      </c>
      <c r="B1923" s="389">
        <v>43817</v>
      </c>
      <c r="C1923" s="390" t="s">
        <v>5945</v>
      </c>
      <c r="D1923" s="391" t="s">
        <v>5946</v>
      </c>
      <c r="E1923" s="391" t="s">
        <v>5419</v>
      </c>
      <c r="F1923" s="392">
        <v>8000</v>
      </c>
      <c r="G1923" s="393" t="s">
        <v>3800</v>
      </c>
      <c r="H1923" s="394">
        <v>3.1009355156067437</v>
      </c>
      <c r="I1923" s="394"/>
      <c r="J1923" s="392">
        <f t="shared" si="71"/>
        <v>0.62018710312134873</v>
      </c>
      <c r="K1923" s="392">
        <f t="shared" si="71"/>
        <v>0.62018710312134873</v>
      </c>
      <c r="L1923" s="392">
        <f t="shared" si="71"/>
        <v>0.62018710312134873</v>
      </c>
      <c r="M1923" s="392">
        <f t="shared" si="71"/>
        <v>0.62018710312134873</v>
      </c>
      <c r="N1923" s="392">
        <f t="shared" si="71"/>
        <v>0.62018710312134873</v>
      </c>
    </row>
    <row r="1924" spans="1:14" hidden="1" outlineLevel="2" x14ac:dyDescent="0.35">
      <c r="A1924" s="388" t="s">
        <v>3868</v>
      </c>
      <c r="B1924" s="389">
        <v>43817</v>
      </c>
      <c r="C1924" s="390" t="s">
        <v>5947</v>
      </c>
      <c r="D1924" s="391" t="s">
        <v>5948</v>
      </c>
      <c r="E1924" s="391" t="s">
        <v>5419</v>
      </c>
      <c r="F1924" s="392">
        <v>9000</v>
      </c>
      <c r="G1924" s="393" t="s">
        <v>3800</v>
      </c>
      <c r="H1924" s="394">
        <v>3.488552455057587</v>
      </c>
      <c r="I1924" s="394"/>
      <c r="J1924" s="392">
        <f t="shared" si="71"/>
        <v>0.69771049101151739</v>
      </c>
      <c r="K1924" s="392">
        <f t="shared" si="71"/>
        <v>0.69771049101151739</v>
      </c>
      <c r="L1924" s="392">
        <f t="shared" si="71"/>
        <v>0.69771049101151739</v>
      </c>
      <c r="M1924" s="392">
        <f t="shared" si="71"/>
        <v>0.69771049101151739</v>
      </c>
      <c r="N1924" s="392">
        <f t="shared" si="71"/>
        <v>0.69771049101151739</v>
      </c>
    </row>
    <row r="1925" spans="1:14" hidden="1" outlineLevel="2" x14ac:dyDescent="0.35">
      <c r="A1925" s="388" t="s">
        <v>3868</v>
      </c>
      <c r="B1925" s="389">
        <v>43822</v>
      </c>
      <c r="C1925" s="390" t="s">
        <v>5949</v>
      </c>
      <c r="D1925" s="391" t="s">
        <v>5546</v>
      </c>
      <c r="E1925" s="391" t="s">
        <v>5419</v>
      </c>
      <c r="F1925" s="392">
        <v>3000</v>
      </c>
      <c r="G1925" s="393" t="s">
        <v>3800</v>
      </c>
      <c r="H1925" s="394">
        <v>1.162850818352529</v>
      </c>
      <c r="I1925" s="394"/>
      <c r="J1925" s="392">
        <f t="shared" si="71"/>
        <v>0.23257016367050581</v>
      </c>
      <c r="K1925" s="392">
        <f t="shared" si="71"/>
        <v>0.23257016367050581</v>
      </c>
      <c r="L1925" s="392">
        <f t="shared" si="71"/>
        <v>0.23257016367050581</v>
      </c>
      <c r="M1925" s="392">
        <f t="shared" si="71"/>
        <v>0.23257016367050581</v>
      </c>
      <c r="N1925" s="392">
        <f t="shared" si="71"/>
        <v>0.23257016367050581</v>
      </c>
    </row>
    <row r="1926" spans="1:14" hidden="1" outlineLevel="2" x14ac:dyDescent="0.35">
      <c r="A1926" s="388" t="s">
        <v>3868</v>
      </c>
      <c r="B1926" s="389">
        <v>43827</v>
      </c>
      <c r="C1926" s="390" t="s">
        <v>5950</v>
      </c>
      <c r="D1926" s="391" t="s">
        <v>5951</v>
      </c>
      <c r="E1926" s="391" t="s">
        <v>5952</v>
      </c>
      <c r="F1926" s="392">
        <v>86462</v>
      </c>
      <c r="G1926" s="393" t="s">
        <v>3800</v>
      </c>
      <c r="H1926" s="394">
        <v>33.514135818798785</v>
      </c>
      <c r="I1926" s="394"/>
      <c r="J1926" s="392">
        <f t="shared" si="71"/>
        <v>6.702827163759757</v>
      </c>
      <c r="K1926" s="392">
        <f t="shared" si="71"/>
        <v>6.702827163759757</v>
      </c>
      <c r="L1926" s="392">
        <f t="shared" si="71"/>
        <v>6.702827163759757</v>
      </c>
      <c r="M1926" s="392">
        <f t="shared" si="71"/>
        <v>6.702827163759757</v>
      </c>
      <c r="N1926" s="392">
        <f t="shared" si="71"/>
        <v>6.702827163759757</v>
      </c>
    </row>
    <row r="1927" spans="1:14" hidden="1" outlineLevel="2" collapsed="1" x14ac:dyDescent="0.35">
      <c r="A1927" s="388" t="s">
        <v>3868</v>
      </c>
      <c r="B1927" s="389">
        <v>43687</v>
      </c>
      <c r="C1927" s="390" t="s">
        <v>5953</v>
      </c>
      <c r="D1927" s="391" t="s">
        <v>5954</v>
      </c>
      <c r="E1927" s="391" t="s">
        <v>5955</v>
      </c>
      <c r="F1927" s="392">
        <v>52700</v>
      </c>
      <c r="G1927" s="393" t="s">
        <v>3800</v>
      </c>
      <c r="H1927" s="394">
        <v>20.427412709059425</v>
      </c>
      <c r="I1927" s="394"/>
      <c r="J1927" s="392">
        <f t="shared" si="71"/>
        <v>4.085482541811885</v>
      </c>
      <c r="K1927" s="392">
        <f t="shared" si="71"/>
        <v>4.085482541811885</v>
      </c>
      <c r="L1927" s="392">
        <f t="shared" si="71"/>
        <v>4.085482541811885</v>
      </c>
      <c r="M1927" s="392">
        <f t="shared" si="71"/>
        <v>4.085482541811885</v>
      </c>
      <c r="N1927" s="392">
        <f t="shared" si="71"/>
        <v>4.085482541811885</v>
      </c>
    </row>
    <row r="1928" spans="1:14" hidden="1" outlineLevel="2" x14ac:dyDescent="0.35">
      <c r="A1928" s="388" t="s">
        <v>3868</v>
      </c>
      <c r="B1928" s="389">
        <v>43731</v>
      </c>
      <c r="C1928" s="390" t="s">
        <v>5956</v>
      </c>
      <c r="D1928" s="391" t="s">
        <v>5697</v>
      </c>
      <c r="E1928" s="391" t="s">
        <v>5419</v>
      </c>
      <c r="F1928" s="392">
        <v>85000</v>
      </c>
      <c r="G1928" s="393" t="s">
        <v>3800</v>
      </c>
      <c r="H1928" s="394">
        <v>32.947439853321654</v>
      </c>
      <c r="I1928" s="394"/>
      <c r="J1928" s="392">
        <f t="shared" si="71"/>
        <v>6.5894879706643312</v>
      </c>
      <c r="K1928" s="392">
        <f t="shared" si="71"/>
        <v>6.5894879706643312</v>
      </c>
      <c r="L1928" s="392">
        <f t="shared" si="71"/>
        <v>6.5894879706643312</v>
      </c>
      <c r="M1928" s="392">
        <f t="shared" si="71"/>
        <v>6.5894879706643312</v>
      </c>
      <c r="N1928" s="392">
        <f t="shared" si="71"/>
        <v>6.5894879706643312</v>
      </c>
    </row>
    <row r="1929" spans="1:14" hidden="1" outlineLevel="2" x14ac:dyDescent="0.35">
      <c r="A1929" s="388" t="s">
        <v>3868</v>
      </c>
      <c r="B1929" s="389">
        <v>43736</v>
      </c>
      <c r="C1929" s="390" t="s">
        <v>5957</v>
      </c>
      <c r="D1929" s="391" t="s">
        <v>5958</v>
      </c>
      <c r="E1929" s="391" t="s">
        <v>5959</v>
      </c>
      <c r="F1929" s="392">
        <v>12000</v>
      </c>
      <c r="G1929" s="393" t="s">
        <v>3800</v>
      </c>
      <c r="H1929" s="394">
        <v>4.6514032734101161</v>
      </c>
      <c r="I1929" s="394"/>
      <c r="J1929" s="392">
        <f t="shared" si="71"/>
        <v>0.93028065468202326</v>
      </c>
      <c r="K1929" s="392">
        <f t="shared" si="71"/>
        <v>0.93028065468202326</v>
      </c>
      <c r="L1929" s="392">
        <f t="shared" si="71"/>
        <v>0.93028065468202326</v>
      </c>
      <c r="M1929" s="392">
        <f t="shared" si="71"/>
        <v>0.93028065468202326</v>
      </c>
      <c r="N1929" s="392">
        <f t="shared" si="71"/>
        <v>0.93028065468202326</v>
      </c>
    </row>
    <row r="1930" spans="1:14" hidden="1" outlineLevel="2" x14ac:dyDescent="0.35">
      <c r="A1930" s="388" t="s">
        <v>3868</v>
      </c>
      <c r="B1930" s="389">
        <v>43746</v>
      </c>
      <c r="C1930" s="390" t="s">
        <v>5960</v>
      </c>
      <c r="D1930" s="391" t="s">
        <v>5961</v>
      </c>
      <c r="E1930" s="391" t="s">
        <v>5437</v>
      </c>
      <c r="F1930" s="392">
        <v>151000</v>
      </c>
      <c r="G1930" s="393" t="s">
        <v>3800</v>
      </c>
      <c r="H1930" s="394">
        <v>58.530157857077292</v>
      </c>
      <c r="I1930" s="394"/>
      <c r="J1930" s="392">
        <f t="shared" si="71"/>
        <v>11.706031571415458</v>
      </c>
      <c r="K1930" s="392">
        <f t="shared" si="71"/>
        <v>11.706031571415458</v>
      </c>
      <c r="L1930" s="392">
        <f t="shared" si="71"/>
        <v>11.706031571415458</v>
      </c>
      <c r="M1930" s="392">
        <f t="shared" si="71"/>
        <v>11.706031571415458</v>
      </c>
      <c r="N1930" s="392">
        <f t="shared" si="71"/>
        <v>11.706031571415458</v>
      </c>
    </row>
    <row r="1931" spans="1:14" hidden="1" outlineLevel="2" x14ac:dyDescent="0.35">
      <c r="A1931" s="388" t="s">
        <v>3868</v>
      </c>
      <c r="B1931" s="389">
        <v>43757</v>
      </c>
      <c r="C1931" s="390" t="s">
        <v>5962</v>
      </c>
      <c r="D1931" s="391" t="s">
        <v>5963</v>
      </c>
      <c r="E1931" s="391" t="s">
        <v>5701</v>
      </c>
      <c r="F1931" s="392">
        <v>120000</v>
      </c>
      <c r="G1931" s="393" t="s">
        <v>3800</v>
      </c>
      <c r="H1931" s="394">
        <v>46.514032734101157</v>
      </c>
      <c r="I1931" s="394"/>
      <c r="J1931" s="392">
        <f t="shared" si="71"/>
        <v>9.3028065468202321</v>
      </c>
      <c r="K1931" s="392">
        <f t="shared" si="71"/>
        <v>9.3028065468202321</v>
      </c>
      <c r="L1931" s="392">
        <f t="shared" si="71"/>
        <v>9.3028065468202321</v>
      </c>
      <c r="M1931" s="392">
        <f t="shared" si="71"/>
        <v>9.3028065468202321</v>
      </c>
      <c r="N1931" s="392">
        <f t="shared" si="71"/>
        <v>9.3028065468202321</v>
      </c>
    </row>
    <row r="1932" spans="1:14" hidden="1" outlineLevel="2" x14ac:dyDescent="0.35">
      <c r="A1932" s="388" t="s">
        <v>3868</v>
      </c>
      <c r="B1932" s="389">
        <v>43815</v>
      </c>
      <c r="C1932" s="390" t="s">
        <v>5964</v>
      </c>
      <c r="D1932" s="391" t="s">
        <v>5965</v>
      </c>
      <c r="E1932" s="391" t="s">
        <v>5966</v>
      </c>
      <c r="F1932" s="392">
        <v>150000</v>
      </c>
      <c r="G1932" s="393" t="s">
        <v>3800</v>
      </c>
      <c r="H1932" s="394">
        <v>58.142540917626448</v>
      </c>
      <c r="I1932" s="394"/>
      <c r="J1932" s="392">
        <f t="shared" si="71"/>
        <v>11.628508183525289</v>
      </c>
      <c r="K1932" s="392">
        <f t="shared" si="71"/>
        <v>11.628508183525289</v>
      </c>
      <c r="L1932" s="392">
        <f t="shared" si="71"/>
        <v>11.628508183525289</v>
      </c>
      <c r="M1932" s="392">
        <f t="shared" si="71"/>
        <v>11.628508183525289</v>
      </c>
      <c r="N1932" s="392">
        <f t="shared" si="71"/>
        <v>11.628508183525289</v>
      </c>
    </row>
    <row r="1933" spans="1:14" hidden="1" outlineLevel="2" x14ac:dyDescent="0.35">
      <c r="A1933" s="388" t="s">
        <v>3868</v>
      </c>
      <c r="B1933" s="389">
        <v>43707</v>
      </c>
      <c r="C1933" s="390" t="s">
        <v>5967</v>
      </c>
      <c r="D1933" s="391" t="s">
        <v>5968</v>
      </c>
      <c r="E1933" s="391" t="s">
        <v>5969</v>
      </c>
      <c r="F1933" s="392">
        <v>8000</v>
      </c>
      <c r="G1933" s="393" t="s">
        <v>3800</v>
      </c>
      <c r="H1933" s="394">
        <v>3.1009355156067437</v>
      </c>
      <c r="I1933" s="394"/>
      <c r="J1933" s="392">
        <f t="shared" si="71"/>
        <v>0.62018710312134873</v>
      </c>
      <c r="K1933" s="392">
        <f t="shared" si="71"/>
        <v>0.62018710312134873</v>
      </c>
      <c r="L1933" s="392">
        <f t="shared" si="71"/>
        <v>0.62018710312134873</v>
      </c>
      <c r="M1933" s="392">
        <f t="shared" si="71"/>
        <v>0.62018710312134873</v>
      </c>
      <c r="N1933" s="392">
        <f t="shared" si="71"/>
        <v>0.62018710312134873</v>
      </c>
    </row>
    <row r="1934" spans="1:14" hidden="1" outlineLevel="2" x14ac:dyDescent="0.35">
      <c r="A1934" s="388" t="s">
        <v>3868</v>
      </c>
      <c r="B1934" s="389">
        <v>43754</v>
      </c>
      <c r="C1934" s="390" t="s">
        <v>5077</v>
      </c>
      <c r="D1934" s="391" t="s">
        <v>5970</v>
      </c>
      <c r="E1934" s="391" t="s">
        <v>2839</v>
      </c>
      <c r="F1934" s="392">
        <v>20</v>
      </c>
      <c r="G1934" s="393" t="s">
        <v>56</v>
      </c>
      <c r="H1934" s="394">
        <v>20</v>
      </c>
      <c r="I1934" s="394"/>
      <c r="J1934" s="392">
        <f t="shared" si="71"/>
        <v>4</v>
      </c>
      <c r="K1934" s="392">
        <f t="shared" si="71"/>
        <v>4</v>
      </c>
      <c r="L1934" s="392">
        <f t="shared" si="71"/>
        <v>4</v>
      </c>
      <c r="M1934" s="392">
        <f t="shared" si="71"/>
        <v>4</v>
      </c>
      <c r="N1934" s="392">
        <f t="shared" si="71"/>
        <v>4</v>
      </c>
    </row>
    <row r="1935" spans="1:14" hidden="1" outlineLevel="2" x14ac:dyDescent="0.35">
      <c r="A1935" s="388" t="s">
        <v>3868</v>
      </c>
      <c r="B1935" s="389">
        <v>43703</v>
      </c>
      <c r="C1935" s="390" t="s">
        <v>5971</v>
      </c>
      <c r="D1935" s="391" t="s">
        <v>5972</v>
      </c>
      <c r="E1935" s="391" t="s">
        <v>5973</v>
      </c>
      <c r="F1935" s="392">
        <v>100</v>
      </c>
      <c r="G1935" s="393" t="s">
        <v>56</v>
      </c>
      <c r="H1935" s="394">
        <f>F1935</f>
        <v>100</v>
      </c>
      <c r="I1935" s="394"/>
      <c r="J1935" s="392">
        <f t="shared" ref="J1935:N1942" si="72">$H1935/5</f>
        <v>20</v>
      </c>
      <c r="K1935" s="392">
        <f t="shared" si="72"/>
        <v>20</v>
      </c>
      <c r="L1935" s="392">
        <f t="shared" si="72"/>
        <v>20</v>
      </c>
      <c r="M1935" s="392">
        <f t="shared" si="72"/>
        <v>20</v>
      </c>
      <c r="N1935" s="392">
        <f t="shared" si="72"/>
        <v>20</v>
      </c>
    </row>
    <row r="1936" spans="1:14" hidden="1" outlineLevel="2" x14ac:dyDescent="0.35">
      <c r="A1936" s="388" t="s">
        <v>3868</v>
      </c>
      <c r="B1936" s="389">
        <v>43703</v>
      </c>
      <c r="C1936" s="390" t="s">
        <v>5974</v>
      </c>
      <c r="D1936" s="391" t="s">
        <v>5975</v>
      </c>
      <c r="E1936" s="391" t="s">
        <v>4844</v>
      </c>
      <c r="F1936" s="392">
        <v>100</v>
      </c>
      <c r="G1936" s="393" t="s">
        <v>56</v>
      </c>
      <c r="H1936" s="394">
        <f>F1936</f>
        <v>100</v>
      </c>
      <c r="I1936" s="394"/>
      <c r="J1936" s="392">
        <f t="shared" si="72"/>
        <v>20</v>
      </c>
      <c r="K1936" s="392">
        <f t="shared" si="72"/>
        <v>20</v>
      </c>
      <c r="L1936" s="392">
        <f t="shared" si="72"/>
        <v>20</v>
      </c>
      <c r="M1936" s="392">
        <f t="shared" si="72"/>
        <v>20</v>
      </c>
      <c r="N1936" s="392">
        <f t="shared" si="72"/>
        <v>20</v>
      </c>
    </row>
    <row r="1937" spans="1:14" hidden="1" outlineLevel="2" x14ac:dyDescent="0.35">
      <c r="A1937" s="388" t="s">
        <v>3868</v>
      </c>
      <c r="B1937" s="389">
        <v>43707</v>
      </c>
      <c r="C1937" s="390" t="s">
        <v>5976</v>
      </c>
      <c r="D1937" s="391" t="s">
        <v>5972</v>
      </c>
      <c r="E1937" s="391" t="s">
        <v>5973</v>
      </c>
      <c r="F1937" s="392">
        <v>136.27000000000001</v>
      </c>
      <c r="G1937" s="393" t="s">
        <v>56</v>
      </c>
      <c r="H1937" s="394">
        <f>F1937</f>
        <v>136.27000000000001</v>
      </c>
      <c r="I1937" s="394"/>
      <c r="J1937" s="392">
        <f t="shared" si="72"/>
        <v>27.254000000000001</v>
      </c>
      <c r="K1937" s="392">
        <f t="shared" si="72"/>
        <v>27.254000000000001</v>
      </c>
      <c r="L1937" s="392">
        <f t="shared" si="72"/>
        <v>27.254000000000001</v>
      </c>
      <c r="M1937" s="392">
        <f t="shared" si="72"/>
        <v>27.254000000000001</v>
      </c>
      <c r="N1937" s="392">
        <f t="shared" si="72"/>
        <v>27.254000000000001</v>
      </c>
    </row>
    <row r="1938" spans="1:14" hidden="1" outlineLevel="2" collapsed="1" x14ac:dyDescent="0.35">
      <c r="A1938" s="388" t="s">
        <v>3868</v>
      </c>
      <c r="B1938" s="389">
        <v>43707</v>
      </c>
      <c r="C1938" s="390" t="s">
        <v>5977</v>
      </c>
      <c r="D1938" s="391" t="s">
        <v>5975</v>
      </c>
      <c r="E1938" s="391" t="s">
        <v>4844</v>
      </c>
      <c r="F1938" s="392">
        <v>136.27000000000001</v>
      </c>
      <c r="G1938" s="393" t="s">
        <v>56</v>
      </c>
      <c r="H1938" s="394">
        <f>F1938</f>
        <v>136.27000000000001</v>
      </c>
      <c r="I1938" s="394"/>
      <c r="J1938" s="392">
        <f t="shared" si="72"/>
        <v>27.254000000000001</v>
      </c>
      <c r="K1938" s="392">
        <f t="shared" si="72"/>
        <v>27.254000000000001</v>
      </c>
      <c r="L1938" s="392">
        <f t="shared" si="72"/>
        <v>27.254000000000001</v>
      </c>
      <c r="M1938" s="392">
        <f t="shared" si="72"/>
        <v>27.254000000000001</v>
      </c>
      <c r="N1938" s="392">
        <f t="shared" si="72"/>
        <v>27.254000000000001</v>
      </c>
    </row>
    <row r="1939" spans="1:14" hidden="1" outlineLevel="2" x14ac:dyDescent="0.35">
      <c r="A1939" s="388" t="s">
        <v>3868</v>
      </c>
      <c r="B1939" s="389">
        <v>43703</v>
      </c>
      <c r="C1939" s="390" t="s">
        <v>2886</v>
      </c>
      <c r="D1939" s="391" t="s">
        <v>5978</v>
      </c>
      <c r="E1939" s="391" t="s">
        <v>5979</v>
      </c>
      <c r="F1939" s="392">
        <v>10000</v>
      </c>
      <c r="G1939" s="393" t="s">
        <v>236</v>
      </c>
      <c r="H1939" s="394">
        <f>F1939/1015.7</f>
        <v>9.8454267992517472</v>
      </c>
      <c r="I1939" s="394"/>
      <c r="J1939" s="392">
        <f t="shared" si="72"/>
        <v>1.9690853598503495</v>
      </c>
      <c r="K1939" s="392">
        <f t="shared" si="72"/>
        <v>1.9690853598503495</v>
      </c>
      <c r="L1939" s="392">
        <f t="shared" si="72"/>
        <v>1.9690853598503495</v>
      </c>
      <c r="M1939" s="392">
        <f t="shared" si="72"/>
        <v>1.9690853598503495</v>
      </c>
      <c r="N1939" s="392">
        <f t="shared" si="72"/>
        <v>1.9690853598503495</v>
      </c>
    </row>
    <row r="1940" spans="1:14" hidden="1" outlineLevel="2" x14ac:dyDescent="0.35">
      <c r="A1940" s="388" t="s">
        <v>3868</v>
      </c>
      <c r="B1940" s="389">
        <v>43703</v>
      </c>
      <c r="C1940" s="390" t="s">
        <v>2887</v>
      </c>
      <c r="D1940" s="391" t="s">
        <v>5980</v>
      </c>
      <c r="E1940" s="391" t="s">
        <v>5981</v>
      </c>
      <c r="F1940" s="392">
        <v>10000</v>
      </c>
      <c r="G1940" s="393" t="s">
        <v>236</v>
      </c>
      <c r="H1940" s="394">
        <f>F1940/1015.7</f>
        <v>9.8454267992517472</v>
      </c>
      <c r="I1940" s="394"/>
      <c r="J1940" s="392">
        <f t="shared" si="72"/>
        <v>1.9690853598503495</v>
      </c>
      <c r="K1940" s="392">
        <f t="shared" si="72"/>
        <v>1.9690853598503495</v>
      </c>
      <c r="L1940" s="392">
        <f t="shared" si="72"/>
        <v>1.9690853598503495</v>
      </c>
      <c r="M1940" s="392">
        <f t="shared" si="72"/>
        <v>1.9690853598503495</v>
      </c>
      <c r="N1940" s="392">
        <f t="shared" si="72"/>
        <v>1.9690853598503495</v>
      </c>
    </row>
    <row r="1941" spans="1:14" ht="30" hidden="1" outlineLevel="2" x14ac:dyDescent="0.35">
      <c r="A1941" s="388" t="s">
        <v>3868</v>
      </c>
      <c r="B1941" s="389">
        <v>43780</v>
      </c>
      <c r="C1941" s="390" t="s">
        <v>5982</v>
      </c>
      <c r="D1941" s="391" t="s">
        <v>5983</v>
      </c>
      <c r="E1941" s="391" t="s">
        <v>2322</v>
      </c>
      <c r="F1941" s="392">
        <v>416</v>
      </c>
      <c r="G1941" s="393" t="s">
        <v>805</v>
      </c>
      <c r="H1941" s="394">
        <f>F1941/1.12</f>
        <v>371.42857142857139</v>
      </c>
      <c r="I1941" s="394"/>
      <c r="J1941" s="392">
        <f t="shared" si="72"/>
        <v>74.285714285714278</v>
      </c>
      <c r="K1941" s="392">
        <f t="shared" si="72"/>
        <v>74.285714285714278</v>
      </c>
      <c r="L1941" s="392">
        <f t="shared" si="72"/>
        <v>74.285714285714278</v>
      </c>
      <c r="M1941" s="392">
        <f t="shared" si="72"/>
        <v>74.285714285714278</v>
      </c>
      <c r="N1941" s="392">
        <f t="shared" si="72"/>
        <v>74.285714285714278</v>
      </c>
    </row>
    <row r="1942" spans="1:14" hidden="1" outlineLevel="2" x14ac:dyDescent="0.35">
      <c r="A1942" s="388" t="s">
        <v>3868</v>
      </c>
      <c r="B1942" s="389">
        <v>43733</v>
      </c>
      <c r="C1942" s="390" t="s">
        <v>5984</v>
      </c>
      <c r="D1942" s="391" t="s">
        <v>5985</v>
      </c>
      <c r="E1942" s="391" t="s">
        <v>5986</v>
      </c>
      <c r="F1942" s="392">
        <v>100000</v>
      </c>
      <c r="G1942" s="393" t="s">
        <v>3800</v>
      </c>
      <c r="H1942" s="394">
        <f>F1942/2513.02</f>
        <v>39.792759309516043</v>
      </c>
      <c r="I1942" s="394"/>
      <c r="J1942" s="392">
        <f t="shared" si="72"/>
        <v>7.9585518619032083</v>
      </c>
      <c r="K1942" s="392">
        <f t="shared" si="72"/>
        <v>7.9585518619032083</v>
      </c>
      <c r="L1942" s="392">
        <f t="shared" si="72"/>
        <v>7.9585518619032083</v>
      </c>
      <c r="M1942" s="392">
        <f t="shared" si="72"/>
        <v>7.9585518619032083</v>
      </c>
      <c r="N1942" s="392">
        <f t="shared" si="72"/>
        <v>7.9585518619032083</v>
      </c>
    </row>
    <row r="1943" spans="1:14" outlineLevel="1" collapsed="1" x14ac:dyDescent="0.35">
      <c r="A1943" s="395" t="s">
        <v>5987</v>
      </c>
      <c r="B1943" s="389"/>
      <c r="C1943" s="390"/>
      <c r="D1943" s="391"/>
      <c r="E1943" s="391"/>
      <c r="F1943" s="392"/>
      <c r="G1943" s="393"/>
      <c r="H1943" s="394">
        <f t="shared" ref="H1943:N1943" si="73">SUBTOTAL(9,H1407:H1942)</f>
        <v>112520.31375345156</v>
      </c>
      <c r="I1943" s="394"/>
      <c r="J1943" s="392">
        <f t="shared" si="73"/>
        <v>22504.062750690246</v>
      </c>
      <c r="K1943" s="392">
        <f t="shared" si="73"/>
        <v>22504.062750690246</v>
      </c>
      <c r="L1943" s="392">
        <f t="shared" si="73"/>
        <v>22504.062750690246</v>
      </c>
      <c r="M1943" s="392">
        <f t="shared" si="73"/>
        <v>22504.062750690246</v>
      </c>
      <c r="N1943" s="392">
        <f t="shared" si="73"/>
        <v>22504.062750690246</v>
      </c>
    </row>
    <row r="1944" spans="1:14" hidden="1" outlineLevel="2" x14ac:dyDescent="0.35">
      <c r="A1944" s="388" t="s">
        <v>4007</v>
      </c>
      <c r="B1944" s="389">
        <v>44067</v>
      </c>
      <c r="C1944" s="390" t="s">
        <v>5988</v>
      </c>
      <c r="D1944" s="391" t="s">
        <v>5989</v>
      </c>
      <c r="E1944" s="391" t="s">
        <v>5034</v>
      </c>
      <c r="F1944" s="392">
        <v>5561.72</v>
      </c>
      <c r="G1944" s="393" t="s">
        <v>56</v>
      </c>
      <c r="H1944" s="394">
        <v>5561.72</v>
      </c>
      <c r="I1944" s="394"/>
      <c r="J1944" s="392">
        <f t="shared" ref="J1944:N1959" si="74">$H1944/5</f>
        <v>1112.3440000000001</v>
      </c>
      <c r="K1944" s="392">
        <f t="shared" si="74"/>
        <v>1112.3440000000001</v>
      </c>
      <c r="L1944" s="392">
        <f t="shared" si="74"/>
        <v>1112.3440000000001</v>
      </c>
      <c r="M1944" s="392">
        <f t="shared" si="74"/>
        <v>1112.3440000000001</v>
      </c>
      <c r="N1944" s="392">
        <f t="shared" si="74"/>
        <v>1112.3440000000001</v>
      </c>
    </row>
    <row r="1945" spans="1:14" hidden="1" outlineLevel="2" x14ac:dyDescent="0.35">
      <c r="A1945" s="388" t="s">
        <v>4007</v>
      </c>
      <c r="B1945" s="389">
        <v>44196</v>
      </c>
      <c r="C1945" s="390" t="s">
        <v>5047</v>
      </c>
      <c r="D1945" s="391" t="s">
        <v>5990</v>
      </c>
      <c r="E1945" s="391" t="s">
        <v>5064</v>
      </c>
      <c r="F1945" s="392">
        <v>33.880000000000003</v>
      </c>
      <c r="G1945" s="393" t="s">
        <v>56</v>
      </c>
      <c r="H1945" s="394">
        <v>33.880000000000003</v>
      </c>
      <c r="I1945" s="394"/>
      <c r="J1945" s="392">
        <f t="shared" si="74"/>
        <v>6.7760000000000007</v>
      </c>
      <c r="K1945" s="392">
        <f t="shared" si="74"/>
        <v>6.7760000000000007</v>
      </c>
      <c r="L1945" s="392">
        <f t="shared" si="74"/>
        <v>6.7760000000000007</v>
      </c>
      <c r="M1945" s="392">
        <f t="shared" si="74"/>
        <v>6.7760000000000007</v>
      </c>
      <c r="N1945" s="392">
        <f t="shared" si="74"/>
        <v>6.7760000000000007</v>
      </c>
    </row>
    <row r="1946" spans="1:14" hidden="1" outlineLevel="2" collapsed="1" x14ac:dyDescent="0.35">
      <c r="A1946" s="388" t="s">
        <v>4007</v>
      </c>
      <c r="B1946" s="389">
        <v>44067</v>
      </c>
      <c r="C1946" s="390" t="s">
        <v>5042</v>
      </c>
      <c r="D1946" s="391" t="s">
        <v>5991</v>
      </c>
      <c r="E1946" s="391" t="s">
        <v>5064</v>
      </c>
      <c r="F1946" s="392">
        <v>19.5</v>
      </c>
      <c r="G1946" s="393" t="s">
        <v>56</v>
      </c>
      <c r="H1946" s="394">
        <v>19.5</v>
      </c>
      <c r="I1946" s="394"/>
      <c r="J1946" s="392">
        <f t="shared" si="74"/>
        <v>3.9</v>
      </c>
      <c r="K1946" s="392">
        <f t="shared" si="74"/>
        <v>3.9</v>
      </c>
      <c r="L1946" s="392">
        <f t="shared" si="74"/>
        <v>3.9</v>
      </c>
      <c r="M1946" s="392">
        <f t="shared" si="74"/>
        <v>3.9</v>
      </c>
      <c r="N1946" s="392">
        <f t="shared" si="74"/>
        <v>3.9</v>
      </c>
    </row>
    <row r="1947" spans="1:14" hidden="1" outlineLevel="2" x14ac:dyDescent="0.35">
      <c r="A1947" s="388" t="s">
        <v>4007</v>
      </c>
      <c r="B1947" s="389">
        <v>44067</v>
      </c>
      <c r="C1947" s="390" t="s">
        <v>5042</v>
      </c>
      <c r="D1947" s="391" t="s">
        <v>5992</v>
      </c>
      <c r="E1947" s="391" t="s">
        <v>5064</v>
      </c>
      <c r="F1947" s="392">
        <v>19.5</v>
      </c>
      <c r="G1947" s="393" t="s">
        <v>56</v>
      </c>
      <c r="H1947" s="394">
        <v>19.5</v>
      </c>
      <c r="I1947" s="394"/>
      <c r="J1947" s="392">
        <f t="shared" si="74"/>
        <v>3.9</v>
      </c>
      <c r="K1947" s="392">
        <f t="shared" si="74"/>
        <v>3.9</v>
      </c>
      <c r="L1947" s="392">
        <f t="shared" si="74"/>
        <v>3.9</v>
      </c>
      <c r="M1947" s="392">
        <f t="shared" si="74"/>
        <v>3.9</v>
      </c>
      <c r="N1947" s="392">
        <f t="shared" si="74"/>
        <v>3.9</v>
      </c>
    </row>
    <row r="1948" spans="1:14" hidden="1" outlineLevel="2" collapsed="1" x14ac:dyDescent="0.35">
      <c r="A1948" s="388" t="s">
        <v>4007</v>
      </c>
      <c r="B1948" s="389">
        <v>44067</v>
      </c>
      <c r="C1948" s="390" t="s">
        <v>5993</v>
      </c>
      <c r="D1948" s="391" t="s">
        <v>5994</v>
      </c>
      <c r="E1948" s="391" t="s">
        <v>5064</v>
      </c>
      <c r="F1948" s="392">
        <v>76.48</v>
      </c>
      <c r="G1948" s="393" t="s">
        <v>56</v>
      </c>
      <c r="H1948" s="394">
        <v>76.48</v>
      </c>
      <c r="I1948" s="394"/>
      <c r="J1948" s="392">
        <f t="shared" si="74"/>
        <v>15.296000000000001</v>
      </c>
      <c r="K1948" s="392">
        <f t="shared" si="74"/>
        <v>15.296000000000001</v>
      </c>
      <c r="L1948" s="392">
        <f t="shared" si="74"/>
        <v>15.296000000000001</v>
      </c>
      <c r="M1948" s="392">
        <f t="shared" si="74"/>
        <v>15.296000000000001</v>
      </c>
      <c r="N1948" s="392">
        <f t="shared" si="74"/>
        <v>15.296000000000001</v>
      </c>
    </row>
    <row r="1949" spans="1:14" hidden="1" outlineLevel="2" x14ac:dyDescent="0.35">
      <c r="A1949" s="388" t="s">
        <v>4007</v>
      </c>
      <c r="B1949" s="389">
        <v>44165</v>
      </c>
      <c r="C1949" s="390" t="s">
        <v>3192</v>
      </c>
      <c r="D1949" s="391" t="s">
        <v>5995</v>
      </c>
      <c r="E1949" s="391" t="s">
        <v>5064</v>
      </c>
      <c r="F1949" s="392">
        <v>19.510000000000002</v>
      </c>
      <c r="G1949" s="393" t="s">
        <v>56</v>
      </c>
      <c r="H1949" s="394">
        <v>19.510000000000002</v>
      </c>
      <c r="I1949" s="394"/>
      <c r="J1949" s="392">
        <f t="shared" si="74"/>
        <v>3.9020000000000001</v>
      </c>
      <c r="K1949" s="392">
        <f t="shared" si="74"/>
        <v>3.9020000000000001</v>
      </c>
      <c r="L1949" s="392">
        <f t="shared" si="74"/>
        <v>3.9020000000000001</v>
      </c>
      <c r="M1949" s="392">
        <f t="shared" si="74"/>
        <v>3.9020000000000001</v>
      </c>
      <c r="N1949" s="392">
        <f t="shared" si="74"/>
        <v>3.9020000000000001</v>
      </c>
    </row>
    <row r="1950" spans="1:14" hidden="1" outlineLevel="2" collapsed="1" x14ac:dyDescent="0.35">
      <c r="A1950" s="388" t="s">
        <v>4007</v>
      </c>
      <c r="B1950" s="389">
        <v>44196</v>
      </c>
      <c r="C1950" s="390" t="s">
        <v>5996</v>
      </c>
      <c r="D1950" s="391" t="s">
        <v>5997</v>
      </c>
      <c r="E1950" s="391" t="s">
        <v>5064</v>
      </c>
      <c r="F1950" s="392">
        <v>19.510000000000002</v>
      </c>
      <c r="G1950" s="393" t="s">
        <v>56</v>
      </c>
      <c r="H1950" s="394">
        <v>19.510000000000002</v>
      </c>
      <c r="I1950" s="394"/>
      <c r="J1950" s="392">
        <f t="shared" si="74"/>
        <v>3.9020000000000001</v>
      </c>
      <c r="K1950" s="392">
        <f t="shared" si="74"/>
        <v>3.9020000000000001</v>
      </c>
      <c r="L1950" s="392">
        <f t="shared" si="74"/>
        <v>3.9020000000000001</v>
      </c>
      <c r="M1950" s="392">
        <f t="shared" si="74"/>
        <v>3.9020000000000001</v>
      </c>
      <c r="N1950" s="392">
        <f t="shared" si="74"/>
        <v>3.9020000000000001</v>
      </c>
    </row>
    <row r="1951" spans="1:14" hidden="1" outlineLevel="2" x14ac:dyDescent="0.35">
      <c r="A1951" s="388" t="s">
        <v>4007</v>
      </c>
      <c r="B1951" s="389">
        <v>43921</v>
      </c>
      <c r="C1951" s="390" t="s">
        <v>3175</v>
      </c>
      <c r="D1951" s="391" t="s">
        <v>5998</v>
      </c>
      <c r="E1951" s="391" t="s">
        <v>5064</v>
      </c>
      <c r="F1951" s="392">
        <v>19.5</v>
      </c>
      <c r="G1951" s="393" t="s">
        <v>56</v>
      </c>
      <c r="H1951" s="394">
        <v>19.5</v>
      </c>
      <c r="I1951" s="394"/>
      <c r="J1951" s="392">
        <f t="shared" si="74"/>
        <v>3.9</v>
      </c>
      <c r="K1951" s="392">
        <f t="shared" si="74"/>
        <v>3.9</v>
      </c>
      <c r="L1951" s="392">
        <f t="shared" si="74"/>
        <v>3.9</v>
      </c>
      <c r="M1951" s="392">
        <f t="shared" si="74"/>
        <v>3.9</v>
      </c>
      <c r="N1951" s="392">
        <f t="shared" si="74"/>
        <v>3.9</v>
      </c>
    </row>
    <row r="1952" spans="1:14" hidden="1" outlineLevel="2" collapsed="1" x14ac:dyDescent="0.35">
      <c r="A1952" s="388" t="s">
        <v>4007</v>
      </c>
      <c r="B1952" s="389">
        <v>43951</v>
      </c>
      <c r="C1952" s="390" t="s">
        <v>3177</v>
      </c>
      <c r="D1952" s="391" t="s">
        <v>5999</v>
      </c>
      <c r="E1952" s="391" t="s">
        <v>5064</v>
      </c>
      <c r="F1952" s="392">
        <v>19.5</v>
      </c>
      <c r="G1952" s="393" t="s">
        <v>56</v>
      </c>
      <c r="H1952" s="394">
        <v>19.5</v>
      </c>
      <c r="I1952" s="394"/>
      <c r="J1952" s="392">
        <f t="shared" si="74"/>
        <v>3.9</v>
      </c>
      <c r="K1952" s="392">
        <f t="shared" si="74"/>
        <v>3.9</v>
      </c>
      <c r="L1952" s="392">
        <f t="shared" si="74"/>
        <v>3.9</v>
      </c>
      <c r="M1952" s="392">
        <f t="shared" si="74"/>
        <v>3.9</v>
      </c>
      <c r="N1952" s="392">
        <f t="shared" si="74"/>
        <v>3.9</v>
      </c>
    </row>
    <row r="1953" spans="1:14" hidden="1" outlineLevel="2" x14ac:dyDescent="0.35">
      <c r="A1953" s="388" t="s">
        <v>4007</v>
      </c>
      <c r="B1953" s="389">
        <v>43982</v>
      </c>
      <c r="C1953" s="390" t="s">
        <v>3179</v>
      </c>
      <c r="D1953" s="391" t="s">
        <v>6000</v>
      </c>
      <c r="E1953" s="391" t="s">
        <v>5064</v>
      </c>
      <c r="F1953" s="392">
        <v>39.01</v>
      </c>
      <c r="G1953" s="393" t="s">
        <v>56</v>
      </c>
      <c r="H1953" s="394">
        <v>39.01</v>
      </c>
      <c r="I1953" s="394"/>
      <c r="J1953" s="392">
        <f t="shared" si="74"/>
        <v>7.8019999999999996</v>
      </c>
      <c r="K1953" s="392">
        <f t="shared" si="74"/>
        <v>7.8019999999999996</v>
      </c>
      <c r="L1953" s="392">
        <f t="shared" si="74"/>
        <v>7.8019999999999996</v>
      </c>
      <c r="M1953" s="392">
        <f t="shared" si="74"/>
        <v>7.8019999999999996</v>
      </c>
      <c r="N1953" s="392">
        <f t="shared" si="74"/>
        <v>7.8019999999999996</v>
      </c>
    </row>
    <row r="1954" spans="1:14" hidden="1" outlineLevel="2" x14ac:dyDescent="0.35">
      <c r="A1954" s="388" t="s">
        <v>4007</v>
      </c>
      <c r="B1954" s="389">
        <v>44012</v>
      </c>
      <c r="C1954" s="390" t="s">
        <v>3181</v>
      </c>
      <c r="D1954" s="391" t="s">
        <v>6001</v>
      </c>
      <c r="E1954" s="391" t="s">
        <v>5064</v>
      </c>
      <c r="F1954" s="392">
        <v>19.510000000000002</v>
      </c>
      <c r="G1954" s="393" t="s">
        <v>56</v>
      </c>
      <c r="H1954" s="394">
        <v>19.510000000000002</v>
      </c>
      <c r="I1954" s="394"/>
      <c r="J1954" s="392">
        <f t="shared" si="74"/>
        <v>3.9020000000000001</v>
      </c>
      <c r="K1954" s="392">
        <f t="shared" si="74"/>
        <v>3.9020000000000001</v>
      </c>
      <c r="L1954" s="392">
        <f t="shared" si="74"/>
        <v>3.9020000000000001</v>
      </c>
      <c r="M1954" s="392">
        <f t="shared" si="74"/>
        <v>3.9020000000000001</v>
      </c>
      <c r="N1954" s="392">
        <f t="shared" si="74"/>
        <v>3.9020000000000001</v>
      </c>
    </row>
    <row r="1955" spans="1:14" hidden="1" outlineLevel="2" x14ac:dyDescent="0.35">
      <c r="A1955" s="388" t="s">
        <v>4007</v>
      </c>
      <c r="B1955" s="389">
        <v>44043</v>
      </c>
      <c r="C1955" s="390" t="s">
        <v>3183</v>
      </c>
      <c r="D1955" s="391" t="s">
        <v>6002</v>
      </c>
      <c r="E1955" s="391" t="s">
        <v>5064</v>
      </c>
      <c r="F1955" s="392">
        <v>19.510000000000002</v>
      </c>
      <c r="G1955" s="393" t="s">
        <v>56</v>
      </c>
      <c r="H1955" s="394">
        <v>19.510000000000002</v>
      </c>
      <c r="I1955" s="394"/>
      <c r="J1955" s="392">
        <f t="shared" si="74"/>
        <v>3.9020000000000001</v>
      </c>
      <c r="K1955" s="392">
        <f t="shared" si="74"/>
        <v>3.9020000000000001</v>
      </c>
      <c r="L1955" s="392">
        <f t="shared" si="74"/>
        <v>3.9020000000000001</v>
      </c>
      <c r="M1955" s="392">
        <f t="shared" si="74"/>
        <v>3.9020000000000001</v>
      </c>
      <c r="N1955" s="392">
        <f t="shared" si="74"/>
        <v>3.9020000000000001</v>
      </c>
    </row>
    <row r="1956" spans="1:14" hidden="1" outlineLevel="2" x14ac:dyDescent="0.35">
      <c r="A1956" s="388" t="s">
        <v>4007</v>
      </c>
      <c r="B1956" s="389">
        <v>44104</v>
      </c>
      <c r="C1956" s="390" t="s">
        <v>3188</v>
      </c>
      <c r="D1956" s="391" t="s">
        <v>6003</v>
      </c>
      <c r="E1956" s="391" t="s">
        <v>5064</v>
      </c>
      <c r="F1956" s="392">
        <v>19.510000000000002</v>
      </c>
      <c r="G1956" s="393" t="s">
        <v>56</v>
      </c>
      <c r="H1956" s="394">
        <v>19.510000000000002</v>
      </c>
      <c r="I1956" s="394"/>
      <c r="J1956" s="392">
        <f t="shared" si="74"/>
        <v>3.9020000000000001</v>
      </c>
      <c r="K1956" s="392">
        <f t="shared" si="74"/>
        <v>3.9020000000000001</v>
      </c>
      <c r="L1956" s="392">
        <f t="shared" si="74"/>
        <v>3.9020000000000001</v>
      </c>
      <c r="M1956" s="392">
        <f t="shared" si="74"/>
        <v>3.9020000000000001</v>
      </c>
      <c r="N1956" s="392">
        <f t="shared" si="74"/>
        <v>3.9020000000000001</v>
      </c>
    </row>
    <row r="1957" spans="1:14" hidden="1" outlineLevel="2" collapsed="1" x14ac:dyDescent="0.35">
      <c r="A1957" s="388" t="s">
        <v>4007</v>
      </c>
      <c r="B1957" s="389">
        <v>44135</v>
      </c>
      <c r="C1957" s="390" t="s">
        <v>3190</v>
      </c>
      <c r="D1957" s="391" t="s">
        <v>6004</v>
      </c>
      <c r="E1957" s="391" t="s">
        <v>5064</v>
      </c>
      <c r="F1957" s="392">
        <v>19.510000000000002</v>
      </c>
      <c r="G1957" s="393" t="s">
        <v>56</v>
      </c>
      <c r="H1957" s="394">
        <v>19.510000000000002</v>
      </c>
      <c r="I1957" s="394"/>
      <c r="J1957" s="392">
        <f t="shared" si="74"/>
        <v>3.9020000000000001</v>
      </c>
      <c r="K1957" s="392">
        <f t="shared" si="74"/>
        <v>3.9020000000000001</v>
      </c>
      <c r="L1957" s="392">
        <f t="shared" si="74"/>
        <v>3.9020000000000001</v>
      </c>
      <c r="M1957" s="392">
        <f t="shared" si="74"/>
        <v>3.9020000000000001</v>
      </c>
      <c r="N1957" s="392">
        <f t="shared" si="74"/>
        <v>3.9020000000000001</v>
      </c>
    </row>
    <row r="1958" spans="1:14" hidden="1" outlineLevel="2" x14ac:dyDescent="0.35">
      <c r="A1958" s="388" t="s">
        <v>4007</v>
      </c>
      <c r="B1958" s="389">
        <v>44196</v>
      </c>
      <c r="C1958" s="390" t="s">
        <v>3194</v>
      </c>
      <c r="D1958" s="391" t="s">
        <v>6005</v>
      </c>
      <c r="E1958" s="391" t="s">
        <v>5064</v>
      </c>
      <c r="F1958" s="392">
        <v>19.5</v>
      </c>
      <c r="G1958" s="393" t="s">
        <v>56</v>
      </c>
      <c r="H1958" s="394">
        <v>19.5</v>
      </c>
      <c r="I1958" s="394"/>
      <c r="J1958" s="392">
        <f t="shared" si="74"/>
        <v>3.9</v>
      </c>
      <c r="K1958" s="392">
        <f t="shared" si="74"/>
        <v>3.9</v>
      </c>
      <c r="L1958" s="392">
        <f t="shared" si="74"/>
        <v>3.9</v>
      </c>
      <c r="M1958" s="392">
        <f t="shared" si="74"/>
        <v>3.9</v>
      </c>
      <c r="N1958" s="392">
        <f t="shared" si="74"/>
        <v>3.9</v>
      </c>
    </row>
    <row r="1959" spans="1:14" hidden="1" outlineLevel="2" x14ac:dyDescent="0.35">
      <c r="A1959" s="388" t="s">
        <v>4007</v>
      </c>
      <c r="B1959" s="389">
        <v>43921</v>
      </c>
      <c r="C1959" s="390" t="s">
        <v>3221</v>
      </c>
      <c r="D1959" s="391" t="s">
        <v>6006</v>
      </c>
      <c r="E1959" s="391" t="s">
        <v>3210</v>
      </c>
      <c r="F1959" s="392">
        <v>414.23</v>
      </c>
      <c r="G1959" s="393" t="s">
        <v>56</v>
      </c>
      <c r="H1959" s="394">
        <v>414.23</v>
      </c>
      <c r="I1959" s="394"/>
      <c r="J1959" s="392">
        <f t="shared" si="74"/>
        <v>82.846000000000004</v>
      </c>
      <c r="K1959" s="392">
        <f t="shared" si="74"/>
        <v>82.846000000000004</v>
      </c>
      <c r="L1959" s="392">
        <f t="shared" si="74"/>
        <v>82.846000000000004</v>
      </c>
      <c r="M1959" s="392">
        <f t="shared" si="74"/>
        <v>82.846000000000004</v>
      </c>
      <c r="N1959" s="392">
        <f t="shared" si="74"/>
        <v>82.846000000000004</v>
      </c>
    </row>
    <row r="1960" spans="1:14" hidden="1" outlineLevel="2" x14ac:dyDescent="0.35">
      <c r="A1960" s="388" t="s">
        <v>4007</v>
      </c>
      <c r="B1960" s="389">
        <v>43922</v>
      </c>
      <c r="C1960" s="390" t="s">
        <v>3225</v>
      </c>
      <c r="D1960" s="391" t="s">
        <v>6007</v>
      </c>
      <c r="E1960" s="391" t="s">
        <v>3210</v>
      </c>
      <c r="F1960" s="392">
        <v>414.23</v>
      </c>
      <c r="G1960" s="393" t="s">
        <v>56</v>
      </c>
      <c r="H1960" s="394">
        <v>414.23</v>
      </c>
      <c r="I1960" s="394"/>
      <c r="J1960" s="392">
        <f t="shared" ref="J1960:N1975" si="75">$H1960/5</f>
        <v>82.846000000000004</v>
      </c>
      <c r="K1960" s="392">
        <f t="shared" si="75"/>
        <v>82.846000000000004</v>
      </c>
      <c r="L1960" s="392">
        <f t="shared" si="75"/>
        <v>82.846000000000004</v>
      </c>
      <c r="M1960" s="392">
        <f t="shared" si="75"/>
        <v>82.846000000000004</v>
      </c>
      <c r="N1960" s="392">
        <f t="shared" si="75"/>
        <v>82.846000000000004</v>
      </c>
    </row>
    <row r="1961" spans="1:14" hidden="1" outlineLevel="2" x14ac:dyDescent="0.35">
      <c r="A1961" s="388" t="s">
        <v>4007</v>
      </c>
      <c r="B1961" s="389">
        <v>43931</v>
      </c>
      <c r="C1961" s="390" t="s">
        <v>3227</v>
      </c>
      <c r="D1961" s="391" t="s">
        <v>6008</v>
      </c>
      <c r="E1961" s="391" t="s">
        <v>3210</v>
      </c>
      <c r="F1961" s="392">
        <v>414.23</v>
      </c>
      <c r="G1961" s="393" t="s">
        <v>56</v>
      </c>
      <c r="H1961" s="394">
        <v>414.23</v>
      </c>
      <c r="I1961" s="394"/>
      <c r="J1961" s="392">
        <f t="shared" si="75"/>
        <v>82.846000000000004</v>
      </c>
      <c r="K1961" s="392">
        <f t="shared" si="75"/>
        <v>82.846000000000004</v>
      </c>
      <c r="L1961" s="392">
        <f t="shared" si="75"/>
        <v>82.846000000000004</v>
      </c>
      <c r="M1961" s="392">
        <f t="shared" si="75"/>
        <v>82.846000000000004</v>
      </c>
      <c r="N1961" s="392">
        <f t="shared" si="75"/>
        <v>82.846000000000004</v>
      </c>
    </row>
    <row r="1962" spans="1:14" hidden="1" outlineLevel="2" x14ac:dyDescent="0.35">
      <c r="A1962" s="388" t="s">
        <v>4007</v>
      </c>
      <c r="B1962" s="389">
        <v>43983</v>
      </c>
      <c r="C1962" s="390" t="s">
        <v>3229</v>
      </c>
      <c r="D1962" s="391" t="s">
        <v>6009</v>
      </c>
      <c r="E1962" s="391" t="s">
        <v>3210</v>
      </c>
      <c r="F1962" s="392">
        <v>414.23</v>
      </c>
      <c r="G1962" s="393" t="s">
        <v>56</v>
      </c>
      <c r="H1962" s="394">
        <v>414.23</v>
      </c>
      <c r="I1962" s="394"/>
      <c r="J1962" s="392">
        <f t="shared" si="75"/>
        <v>82.846000000000004</v>
      </c>
      <c r="K1962" s="392">
        <f t="shared" si="75"/>
        <v>82.846000000000004</v>
      </c>
      <c r="L1962" s="392">
        <f t="shared" si="75"/>
        <v>82.846000000000004</v>
      </c>
      <c r="M1962" s="392">
        <f t="shared" si="75"/>
        <v>82.846000000000004</v>
      </c>
      <c r="N1962" s="392">
        <f t="shared" si="75"/>
        <v>82.846000000000004</v>
      </c>
    </row>
    <row r="1963" spans="1:14" hidden="1" outlineLevel="2" x14ac:dyDescent="0.35">
      <c r="A1963" s="388" t="s">
        <v>4007</v>
      </c>
      <c r="B1963" s="389">
        <v>43997</v>
      </c>
      <c r="C1963" s="390" t="s">
        <v>3233</v>
      </c>
      <c r="D1963" s="391" t="s">
        <v>6010</v>
      </c>
      <c r="E1963" s="391" t="s">
        <v>3210</v>
      </c>
      <c r="F1963" s="392">
        <v>413.6</v>
      </c>
      <c r="G1963" s="393" t="s">
        <v>56</v>
      </c>
      <c r="H1963" s="394">
        <v>413.6</v>
      </c>
      <c r="I1963" s="394"/>
      <c r="J1963" s="392">
        <f t="shared" si="75"/>
        <v>82.72</v>
      </c>
      <c r="K1963" s="392">
        <f t="shared" si="75"/>
        <v>82.72</v>
      </c>
      <c r="L1963" s="392">
        <f t="shared" si="75"/>
        <v>82.72</v>
      </c>
      <c r="M1963" s="392">
        <f t="shared" si="75"/>
        <v>82.72</v>
      </c>
      <c r="N1963" s="392">
        <f t="shared" si="75"/>
        <v>82.72</v>
      </c>
    </row>
    <row r="1964" spans="1:14" hidden="1" outlineLevel="2" x14ac:dyDescent="0.35">
      <c r="A1964" s="388" t="s">
        <v>4007</v>
      </c>
      <c r="B1964" s="389">
        <v>44062</v>
      </c>
      <c r="C1964" s="390" t="s">
        <v>6011</v>
      </c>
      <c r="D1964" s="391" t="s">
        <v>6012</v>
      </c>
      <c r="E1964" s="391" t="s">
        <v>3210</v>
      </c>
      <c r="F1964" s="392">
        <v>413.6</v>
      </c>
      <c r="G1964" s="393" t="s">
        <v>56</v>
      </c>
      <c r="H1964" s="394">
        <v>413.6</v>
      </c>
      <c r="I1964" s="394"/>
      <c r="J1964" s="392">
        <f t="shared" si="75"/>
        <v>82.72</v>
      </c>
      <c r="K1964" s="392">
        <f t="shared" si="75"/>
        <v>82.72</v>
      </c>
      <c r="L1964" s="392">
        <f t="shared" si="75"/>
        <v>82.72</v>
      </c>
      <c r="M1964" s="392">
        <f t="shared" si="75"/>
        <v>82.72</v>
      </c>
      <c r="N1964" s="392">
        <f t="shared" si="75"/>
        <v>82.72</v>
      </c>
    </row>
    <row r="1965" spans="1:14" hidden="1" outlineLevel="2" x14ac:dyDescent="0.35">
      <c r="A1965" s="388" t="s">
        <v>4007</v>
      </c>
      <c r="B1965" s="389">
        <v>44111</v>
      </c>
      <c r="C1965" s="390" t="s">
        <v>3208</v>
      </c>
      <c r="D1965" s="391" t="s">
        <v>6013</v>
      </c>
      <c r="E1965" s="391" t="s">
        <v>3210</v>
      </c>
      <c r="F1965" s="392">
        <v>413.6</v>
      </c>
      <c r="G1965" s="393" t="s">
        <v>56</v>
      </c>
      <c r="H1965" s="394">
        <v>413.6</v>
      </c>
      <c r="I1965" s="394"/>
      <c r="J1965" s="392">
        <f t="shared" si="75"/>
        <v>82.72</v>
      </c>
      <c r="K1965" s="392">
        <f t="shared" si="75"/>
        <v>82.72</v>
      </c>
      <c r="L1965" s="392">
        <f t="shared" si="75"/>
        <v>82.72</v>
      </c>
      <c r="M1965" s="392">
        <f t="shared" si="75"/>
        <v>82.72</v>
      </c>
      <c r="N1965" s="392">
        <f t="shared" si="75"/>
        <v>82.72</v>
      </c>
    </row>
    <row r="1966" spans="1:14" hidden="1" outlineLevel="2" x14ac:dyDescent="0.35">
      <c r="A1966" s="388" t="s">
        <v>4007</v>
      </c>
      <c r="B1966" s="389">
        <v>44116</v>
      </c>
      <c r="C1966" s="390" t="s">
        <v>3235</v>
      </c>
      <c r="D1966" s="391" t="s">
        <v>6014</v>
      </c>
      <c r="E1966" s="391" t="s">
        <v>3210</v>
      </c>
      <c r="F1966" s="392">
        <v>413.71</v>
      </c>
      <c r="G1966" s="393" t="s">
        <v>56</v>
      </c>
      <c r="H1966" s="394">
        <v>413.71</v>
      </c>
      <c r="I1966" s="394"/>
      <c r="J1966" s="392">
        <f t="shared" si="75"/>
        <v>82.74199999999999</v>
      </c>
      <c r="K1966" s="392">
        <f t="shared" si="75"/>
        <v>82.74199999999999</v>
      </c>
      <c r="L1966" s="392">
        <f t="shared" si="75"/>
        <v>82.74199999999999</v>
      </c>
      <c r="M1966" s="392">
        <f t="shared" si="75"/>
        <v>82.74199999999999</v>
      </c>
      <c r="N1966" s="392">
        <f t="shared" si="75"/>
        <v>82.74199999999999</v>
      </c>
    </row>
    <row r="1967" spans="1:14" hidden="1" outlineLevel="2" x14ac:dyDescent="0.35">
      <c r="A1967" s="388" t="s">
        <v>4007</v>
      </c>
      <c r="B1967" s="389">
        <v>44111</v>
      </c>
      <c r="C1967" s="390" t="s">
        <v>3237</v>
      </c>
      <c r="D1967" s="391" t="s">
        <v>6015</v>
      </c>
      <c r="E1967" s="391" t="s">
        <v>3210</v>
      </c>
      <c r="F1967" s="392">
        <v>413.71</v>
      </c>
      <c r="G1967" s="393" t="s">
        <v>56</v>
      </c>
      <c r="H1967" s="394">
        <v>413.71</v>
      </c>
      <c r="I1967" s="394"/>
      <c r="J1967" s="392">
        <f t="shared" si="75"/>
        <v>82.74199999999999</v>
      </c>
      <c r="K1967" s="392">
        <f t="shared" si="75"/>
        <v>82.74199999999999</v>
      </c>
      <c r="L1967" s="392">
        <f t="shared" si="75"/>
        <v>82.74199999999999</v>
      </c>
      <c r="M1967" s="392">
        <f t="shared" si="75"/>
        <v>82.74199999999999</v>
      </c>
      <c r="N1967" s="392">
        <f t="shared" si="75"/>
        <v>82.74199999999999</v>
      </c>
    </row>
    <row r="1968" spans="1:14" hidden="1" outlineLevel="2" x14ac:dyDescent="0.35">
      <c r="A1968" s="388" t="s">
        <v>4007</v>
      </c>
      <c r="B1968" s="389">
        <v>44136</v>
      </c>
      <c r="C1968" s="390" t="s">
        <v>6016</v>
      </c>
      <c r="D1968" s="391" t="s">
        <v>6017</v>
      </c>
      <c r="E1968" s="391" t="s">
        <v>3210</v>
      </c>
      <c r="F1968" s="392">
        <v>682.23</v>
      </c>
      <c r="G1968" s="393" t="s">
        <v>56</v>
      </c>
      <c r="H1968" s="394">
        <v>682.23</v>
      </c>
      <c r="I1968" s="394"/>
      <c r="J1968" s="392">
        <f t="shared" si="75"/>
        <v>136.446</v>
      </c>
      <c r="K1968" s="392">
        <f t="shared" si="75"/>
        <v>136.446</v>
      </c>
      <c r="L1968" s="392">
        <f t="shared" si="75"/>
        <v>136.446</v>
      </c>
      <c r="M1968" s="392">
        <f t="shared" si="75"/>
        <v>136.446</v>
      </c>
      <c r="N1968" s="392">
        <f t="shared" si="75"/>
        <v>136.446</v>
      </c>
    </row>
    <row r="1969" spans="1:14" hidden="1" outlineLevel="2" x14ac:dyDescent="0.35">
      <c r="A1969" s="388" t="s">
        <v>4007</v>
      </c>
      <c r="B1969" s="389">
        <v>44067</v>
      </c>
      <c r="C1969" s="390" t="s">
        <v>5042</v>
      </c>
      <c r="D1969" s="391" t="s">
        <v>6018</v>
      </c>
      <c r="E1969" s="391" t="s">
        <v>3210</v>
      </c>
      <c r="F1969" s="392">
        <v>414.23</v>
      </c>
      <c r="G1969" s="393" t="s">
        <v>56</v>
      </c>
      <c r="H1969" s="394">
        <v>414.23</v>
      </c>
      <c r="I1969" s="394"/>
      <c r="J1969" s="392">
        <f t="shared" si="75"/>
        <v>82.846000000000004</v>
      </c>
      <c r="K1969" s="392">
        <f t="shared" si="75"/>
        <v>82.846000000000004</v>
      </c>
      <c r="L1969" s="392">
        <f t="shared" si="75"/>
        <v>82.846000000000004</v>
      </c>
      <c r="M1969" s="392">
        <f t="shared" si="75"/>
        <v>82.846000000000004</v>
      </c>
      <c r="N1969" s="392">
        <f t="shared" si="75"/>
        <v>82.846000000000004</v>
      </c>
    </row>
    <row r="1970" spans="1:14" hidden="1" outlineLevel="2" x14ac:dyDescent="0.35">
      <c r="A1970" s="388" t="s">
        <v>4007</v>
      </c>
      <c r="B1970" s="389">
        <v>44067</v>
      </c>
      <c r="C1970" s="390" t="s">
        <v>5042</v>
      </c>
      <c r="D1970" s="391" t="s">
        <v>6019</v>
      </c>
      <c r="E1970" s="391" t="s">
        <v>3210</v>
      </c>
      <c r="F1970" s="392">
        <v>414.23</v>
      </c>
      <c r="G1970" s="393" t="s">
        <v>56</v>
      </c>
      <c r="H1970" s="394">
        <v>414.23</v>
      </c>
      <c r="I1970" s="394"/>
      <c r="J1970" s="392">
        <f t="shared" si="75"/>
        <v>82.846000000000004</v>
      </c>
      <c r="K1970" s="392">
        <f t="shared" si="75"/>
        <v>82.846000000000004</v>
      </c>
      <c r="L1970" s="392">
        <f t="shared" si="75"/>
        <v>82.846000000000004</v>
      </c>
      <c r="M1970" s="392">
        <f t="shared" si="75"/>
        <v>82.846000000000004</v>
      </c>
      <c r="N1970" s="392">
        <f t="shared" si="75"/>
        <v>82.846000000000004</v>
      </c>
    </row>
    <row r="1971" spans="1:14" hidden="1" outlineLevel="2" x14ac:dyDescent="0.35">
      <c r="A1971" s="388" t="s">
        <v>4007</v>
      </c>
      <c r="B1971" s="389">
        <v>44067</v>
      </c>
      <c r="C1971" s="390" t="s">
        <v>6020</v>
      </c>
      <c r="D1971" s="391" t="s">
        <v>6021</v>
      </c>
      <c r="E1971" s="391" t="s">
        <v>3210</v>
      </c>
      <c r="F1971" s="392">
        <v>1633.76</v>
      </c>
      <c r="G1971" s="393" t="s">
        <v>56</v>
      </c>
      <c r="H1971" s="394">
        <v>1633.76</v>
      </c>
      <c r="I1971" s="394"/>
      <c r="J1971" s="392">
        <f t="shared" si="75"/>
        <v>326.75200000000001</v>
      </c>
      <c r="K1971" s="392">
        <f t="shared" si="75"/>
        <v>326.75200000000001</v>
      </c>
      <c r="L1971" s="392">
        <f t="shared" si="75"/>
        <v>326.75200000000001</v>
      </c>
      <c r="M1971" s="392">
        <f t="shared" si="75"/>
        <v>326.75200000000001</v>
      </c>
      <c r="N1971" s="392">
        <f t="shared" si="75"/>
        <v>326.75200000000001</v>
      </c>
    </row>
    <row r="1972" spans="1:14" hidden="1" outlineLevel="2" x14ac:dyDescent="0.35">
      <c r="A1972" s="388" t="s">
        <v>4007</v>
      </c>
      <c r="B1972" s="389">
        <v>44074</v>
      </c>
      <c r="C1972" s="390" t="s">
        <v>6022</v>
      </c>
      <c r="D1972" s="391" t="s">
        <v>6023</v>
      </c>
      <c r="E1972" s="391" t="s">
        <v>3210</v>
      </c>
      <c r="F1972" s="392">
        <v>414.23</v>
      </c>
      <c r="G1972" s="393" t="s">
        <v>56</v>
      </c>
      <c r="H1972" s="394">
        <v>414.23</v>
      </c>
      <c r="I1972" s="394"/>
      <c r="J1972" s="392">
        <f t="shared" si="75"/>
        <v>82.846000000000004</v>
      </c>
      <c r="K1972" s="392">
        <f t="shared" si="75"/>
        <v>82.846000000000004</v>
      </c>
      <c r="L1972" s="392">
        <f t="shared" si="75"/>
        <v>82.846000000000004</v>
      </c>
      <c r="M1972" s="392">
        <f t="shared" si="75"/>
        <v>82.846000000000004</v>
      </c>
      <c r="N1972" s="392">
        <f t="shared" si="75"/>
        <v>82.846000000000004</v>
      </c>
    </row>
    <row r="1973" spans="1:14" ht="30" hidden="1" outlineLevel="2" x14ac:dyDescent="0.35">
      <c r="A1973" s="388" t="s">
        <v>4007</v>
      </c>
      <c r="B1973" s="389">
        <v>44196</v>
      </c>
      <c r="C1973" s="390" t="s">
        <v>6024</v>
      </c>
      <c r="D1973" s="391" t="s">
        <v>6025</v>
      </c>
      <c r="E1973" s="391" t="s">
        <v>3210</v>
      </c>
      <c r="F1973" s="392">
        <v>11.38</v>
      </c>
      <c r="G1973" s="393" t="s">
        <v>56</v>
      </c>
      <c r="H1973" s="394">
        <v>11.38</v>
      </c>
      <c r="I1973" s="394"/>
      <c r="J1973" s="392">
        <f t="shared" si="75"/>
        <v>2.2760000000000002</v>
      </c>
      <c r="K1973" s="392">
        <f t="shared" si="75"/>
        <v>2.2760000000000002</v>
      </c>
      <c r="L1973" s="392">
        <f t="shared" si="75"/>
        <v>2.2760000000000002</v>
      </c>
      <c r="M1973" s="392">
        <f t="shared" si="75"/>
        <v>2.2760000000000002</v>
      </c>
      <c r="N1973" s="392">
        <f t="shared" si="75"/>
        <v>2.2760000000000002</v>
      </c>
    </row>
    <row r="1974" spans="1:14" hidden="1" outlineLevel="2" x14ac:dyDescent="0.35">
      <c r="A1974" s="388" t="s">
        <v>4007</v>
      </c>
      <c r="B1974" s="389">
        <v>44196</v>
      </c>
      <c r="C1974" s="390" t="s">
        <v>3252</v>
      </c>
      <c r="D1974" s="391" t="s">
        <v>6026</v>
      </c>
      <c r="E1974" s="391" t="s">
        <v>3210</v>
      </c>
      <c r="F1974" s="392">
        <v>413.6</v>
      </c>
      <c r="G1974" s="393" t="s">
        <v>56</v>
      </c>
      <c r="H1974" s="394">
        <v>413.6</v>
      </c>
      <c r="I1974" s="394"/>
      <c r="J1974" s="392">
        <f t="shared" si="75"/>
        <v>82.72</v>
      </c>
      <c r="K1974" s="392">
        <f t="shared" si="75"/>
        <v>82.72</v>
      </c>
      <c r="L1974" s="392">
        <f t="shared" si="75"/>
        <v>82.72</v>
      </c>
      <c r="M1974" s="392">
        <f t="shared" si="75"/>
        <v>82.72</v>
      </c>
      <c r="N1974" s="392">
        <f t="shared" si="75"/>
        <v>82.72</v>
      </c>
    </row>
    <row r="1975" spans="1:14" hidden="1" outlineLevel="2" x14ac:dyDescent="0.35">
      <c r="A1975" s="388" t="s">
        <v>4007</v>
      </c>
      <c r="B1975" s="389">
        <v>43951</v>
      </c>
      <c r="C1975" s="390" t="s">
        <v>3260</v>
      </c>
      <c r="D1975" s="391" t="s">
        <v>6027</v>
      </c>
      <c r="E1975" s="391" t="s">
        <v>5064</v>
      </c>
      <c r="F1975" s="392">
        <v>45</v>
      </c>
      <c r="G1975" s="393" t="s">
        <v>56</v>
      </c>
      <c r="H1975" s="394">
        <v>45</v>
      </c>
      <c r="I1975" s="394"/>
      <c r="J1975" s="392">
        <f t="shared" si="75"/>
        <v>9</v>
      </c>
      <c r="K1975" s="392">
        <f t="shared" si="75"/>
        <v>9</v>
      </c>
      <c r="L1975" s="392">
        <f t="shared" si="75"/>
        <v>9</v>
      </c>
      <c r="M1975" s="392">
        <f t="shared" si="75"/>
        <v>9</v>
      </c>
      <c r="N1975" s="392">
        <f t="shared" si="75"/>
        <v>9</v>
      </c>
    </row>
    <row r="1976" spans="1:14" hidden="1" outlineLevel="2" x14ac:dyDescent="0.35">
      <c r="A1976" s="388" t="s">
        <v>4007</v>
      </c>
      <c r="B1976" s="389">
        <v>44067</v>
      </c>
      <c r="C1976" s="390" t="s">
        <v>5042</v>
      </c>
      <c r="D1976" s="391" t="s">
        <v>5991</v>
      </c>
      <c r="E1976" s="391" t="s">
        <v>5064</v>
      </c>
      <c r="F1976" s="392">
        <v>3489.19</v>
      </c>
      <c r="G1976" s="393" t="s">
        <v>56</v>
      </c>
      <c r="H1976" s="394">
        <v>3489.19</v>
      </c>
      <c r="I1976" s="394"/>
      <c r="J1976" s="392">
        <f t="shared" ref="J1976:N1991" si="76">$H1976/5</f>
        <v>697.83799999999997</v>
      </c>
      <c r="K1976" s="392">
        <f t="shared" si="76"/>
        <v>697.83799999999997</v>
      </c>
      <c r="L1976" s="392">
        <f t="shared" si="76"/>
        <v>697.83799999999997</v>
      </c>
      <c r="M1976" s="392">
        <f t="shared" si="76"/>
        <v>697.83799999999997</v>
      </c>
      <c r="N1976" s="392">
        <f t="shared" si="76"/>
        <v>697.83799999999997</v>
      </c>
    </row>
    <row r="1977" spans="1:14" hidden="1" outlineLevel="2" x14ac:dyDescent="0.35">
      <c r="A1977" s="388" t="s">
        <v>4007</v>
      </c>
      <c r="B1977" s="389">
        <v>44067</v>
      </c>
      <c r="C1977" s="390" t="s">
        <v>5042</v>
      </c>
      <c r="D1977" s="391" t="s">
        <v>5992</v>
      </c>
      <c r="E1977" s="391" t="s">
        <v>5064</v>
      </c>
      <c r="F1977" s="392">
        <v>3489.19</v>
      </c>
      <c r="G1977" s="393" t="s">
        <v>56</v>
      </c>
      <c r="H1977" s="394">
        <v>3489.19</v>
      </c>
      <c r="I1977" s="394"/>
      <c r="J1977" s="392">
        <f t="shared" si="76"/>
        <v>697.83799999999997</v>
      </c>
      <c r="K1977" s="392">
        <f t="shared" si="76"/>
        <v>697.83799999999997</v>
      </c>
      <c r="L1977" s="392">
        <f t="shared" si="76"/>
        <v>697.83799999999997</v>
      </c>
      <c r="M1977" s="392">
        <f t="shared" si="76"/>
        <v>697.83799999999997</v>
      </c>
      <c r="N1977" s="392">
        <f t="shared" si="76"/>
        <v>697.83799999999997</v>
      </c>
    </row>
    <row r="1978" spans="1:14" hidden="1" outlineLevel="2" x14ac:dyDescent="0.35">
      <c r="A1978" s="388" t="s">
        <v>4007</v>
      </c>
      <c r="B1978" s="389">
        <v>44067</v>
      </c>
      <c r="C1978" s="390" t="s">
        <v>5993</v>
      </c>
      <c r="D1978" s="391" t="s">
        <v>5994</v>
      </c>
      <c r="E1978" s="391" t="s">
        <v>5064</v>
      </c>
      <c r="F1978" s="392">
        <v>13663.84</v>
      </c>
      <c r="G1978" s="393" t="s">
        <v>56</v>
      </c>
      <c r="H1978" s="394">
        <v>13663.84</v>
      </c>
      <c r="I1978" s="394"/>
      <c r="J1978" s="392">
        <f t="shared" si="76"/>
        <v>2732.768</v>
      </c>
      <c r="K1978" s="392">
        <f t="shared" si="76"/>
        <v>2732.768</v>
      </c>
      <c r="L1978" s="392">
        <f t="shared" si="76"/>
        <v>2732.768</v>
      </c>
      <c r="M1978" s="392">
        <f t="shared" si="76"/>
        <v>2732.768</v>
      </c>
      <c r="N1978" s="392">
        <f t="shared" si="76"/>
        <v>2732.768</v>
      </c>
    </row>
    <row r="1979" spans="1:14" hidden="1" outlineLevel="2" x14ac:dyDescent="0.35">
      <c r="A1979" s="388" t="s">
        <v>4007</v>
      </c>
      <c r="B1979" s="389">
        <v>44165</v>
      </c>
      <c r="C1979" s="390" t="s">
        <v>3192</v>
      </c>
      <c r="D1979" s="391" t="s">
        <v>5995</v>
      </c>
      <c r="E1979" s="391" t="s">
        <v>5064</v>
      </c>
      <c r="F1979" s="392">
        <v>4238.8500000000004</v>
      </c>
      <c r="G1979" s="393" t="s">
        <v>56</v>
      </c>
      <c r="H1979" s="394">
        <v>4238.8500000000004</v>
      </c>
      <c r="I1979" s="394"/>
      <c r="J1979" s="392">
        <f t="shared" si="76"/>
        <v>847.7700000000001</v>
      </c>
      <c r="K1979" s="392">
        <f t="shared" si="76"/>
        <v>847.7700000000001</v>
      </c>
      <c r="L1979" s="392">
        <f t="shared" si="76"/>
        <v>847.7700000000001</v>
      </c>
      <c r="M1979" s="392">
        <f t="shared" si="76"/>
        <v>847.7700000000001</v>
      </c>
      <c r="N1979" s="392">
        <f t="shared" si="76"/>
        <v>847.7700000000001</v>
      </c>
    </row>
    <row r="1980" spans="1:14" hidden="1" outlineLevel="2" x14ac:dyDescent="0.35">
      <c r="A1980" s="388" t="s">
        <v>4007</v>
      </c>
      <c r="B1980" s="389">
        <v>44196</v>
      </c>
      <c r="C1980" s="390" t="s">
        <v>5996</v>
      </c>
      <c r="D1980" s="391" t="s">
        <v>5997</v>
      </c>
      <c r="E1980" s="391" t="s">
        <v>5064</v>
      </c>
      <c r="F1980" s="392">
        <v>3549.85</v>
      </c>
      <c r="G1980" s="393" t="s">
        <v>56</v>
      </c>
      <c r="H1980" s="394">
        <v>3549.85</v>
      </c>
      <c r="I1980" s="394"/>
      <c r="J1980" s="392">
        <f t="shared" si="76"/>
        <v>709.97</v>
      </c>
      <c r="K1980" s="392">
        <f t="shared" si="76"/>
        <v>709.97</v>
      </c>
      <c r="L1980" s="392">
        <f t="shared" si="76"/>
        <v>709.97</v>
      </c>
      <c r="M1980" s="392">
        <f t="shared" si="76"/>
        <v>709.97</v>
      </c>
      <c r="N1980" s="392">
        <f t="shared" si="76"/>
        <v>709.97</v>
      </c>
    </row>
    <row r="1981" spans="1:14" hidden="1" outlineLevel="2" x14ac:dyDescent="0.35">
      <c r="A1981" s="388" t="s">
        <v>4007</v>
      </c>
      <c r="B1981" s="389">
        <v>43921</v>
      </c>
      <c r="C1981" s="390" t="s">
        <v>3175</v>
      </c>
      <c r="D1981" s="391" t="s">
        <v>5998</v>
      </c>
      <c r="E1981" s="391" t="s">
        <v>5064</v>
      </c>
      <c r="F1981" s="392">
        <v>3489.19</v>
      </c>
      <c r="G1981" s="393" t="s">
        <v>56</v>
      </c>
      <c r="H1981" s="394">
        <v>3489.19</v>
      </c>
      <c r="I1981" s="394"/>
      <c r="J1981" s="392">
        <f t="shared" si="76"/>
        <v>697.83799999999997</v>
      </c>
      <c r="K1981" s="392">
        <f t="shared" si="76"/>
        <v>697.83799999999997</v>
      </c>
      <c r="L1981" s="392">
        <f t="shared" si="76"/>
        <v>697.83799999999997</v>
      </c>
      <c r="M1981" s="392">
        <f t="shared" si="76"/>
        <v>697.83799999999997</v>
      </c>
      <c r="N1981" s="392">
        <f t="shared" si="76"/>
        <v>697.83799999999997</v>
      </c>
    </row>
    <row r="1982" spans="1:14" hidden="1" outlineLevel="2" x14ac:dyDescent="0.35">
      <c r="A1982" s="388" t="s">
        <v>4007</v>
      </c>
      <c r="B1982" s="389">
        <v>43951</v>
      </c>
      <c r="C1982" s="390" t="s">
        <v>3177</v>
      </c>
      <c r="D1982" s="391" t="s">
        <v>5999</v>
      </c>
      <c r="E1982" s="391" t="s">
        <v>5064</v>
      </c>
      <c r="F1982" s="392">
        <v>3884.85</v>
      </c>
      <c r="G1982" s="393" t="s">
        <v>56</v>
      </c>
      <c r="H1982" s="394">
        <v>3884.85</v>
      </c>
      <c r="I1982" s="394"/>
      <c r="J1982" s="392">
        <f t="shared" si="76"/>
        <v>776.97</v>
      </c>
      <c r="K1982" s="392">
        <f t="shared" si="76"/>
        <v>776.97</v>
      </c>
      <c r="L1982" s="392">
        <f t="shared" si="76"/>
        <v>776.97</v>
      </c>
      <c r="M1982" s="392">
        <f t="shared" si="76"/>
        <v>776.97</v>
      </c>
      <c r="N1982" s="392">
        <f t="shared" si="76"/>
        <v>776.97</v>
      </c>
    </row>
    <row r="1983" spans="1:14" hidden="1" outlineLevel="2" x14ac:dyDescent="0.35">
      <c r="A1983" s="388" t="s">
        <v>4007</v>
      </c>
      <c r="B1983" s="389">
        <v>43982</v>
      </c>
      <c r="C1983" s="390" t="s">
        <v>3179</v>
      </c>
      <c r="D1983" s="391" t="s">
        <v>6000</v>
      </c>
      <c r="E1983" s="391" t="s">
        <v>5064</v>
      </c>
      <c r="F1983" s="392">
        <v>3714.85</v>
      </c>
      <c r="G1983" s="393" t="s">
        <v>56</v>
      </c>
      <c r="H1983" s="394">
        <v>3714.85</v>
      </c>
      <c r="I1983" s="394"/>
      <c r="J1983" s="392">
        <f t="shared" si="76"/>
        <v>742.97</v>
      </c>
      <c r="K1983" s="392">
        <f t="shared" si="76"/>
        <v>742.97</v>
      </c>
      <c r="L1983" s="392">
        <f t="shared" si="76"/>
        <v>742.97</v>
      </c>
      <c r="M1983" s="392">
        <f t="shared" si="76"/>
        <v>742.97</v>
      </c>
      <c r="N1983" s="392">
        <f t="shared" si="76"/>
        <v>742.97</v>
      </c>
    </row>
    <row r="1984" spans="1:14" hidden="1" outlineLevel="2" x14ac:dyDescent="0.35">
      <c r="A1984" s="388" t="s">
        <v>4007</v>
      </c>
      <c r="B1984" s="389">
        <v>44012</v>
      </c>
      <c r="C1984" s="390" t="s">
        <v>3181</v>
      </c>
      <c r="D1984" s="391" t="s">
        <v>6001</v>
      </c>
      <c r="E1984" s="391" t="s">
        <v>5064</v>
      </c>
      <c r="F1984" s="392">
        <v>3629.85</v>
      </c>
      <c r="G1984" s="393" t="s">
        <v>56</v>
      </c>
      <c r="H1984" s="394">
        <v>3629.85</v>
      </c>
      <c r="I1984" s="394"/>
      <c r="J1984" s="392">
        <f t="shared" si="76"/>
        <v>725.97</v>
      </c>
      <c r="K1984" s="392">
        <f t="shared" si="76"/>
        <v>725.97</v>
      </c>
      <c r="L1984" s="392">
        <f t="shared" si="76"/>
        <v>725.97</v>
      </c>
      <c r="M1984" s="392">
        <f t="shared" si="76"/>
        <v>725.97</v>
      </c>
      <c r="N1984" s="392">
        <f t="shared" si="76"/>
        <v>725.97</v>
      </c>
    </row>
    <row r="1985" spans="1:14" hidden="1" outlineLevel="2" x14ac:dyDescent="0.35">
      <c r="A1985" s="388" t="s">
        <v>4007</v>
      </c>
      <c r="B1985" s="389">
        <v>44043</v>
      </c>
      <c r="C1985" s="390" t="s">
        <v>3183</v>
      </c>
      <c r="D1985" s="391" t="s">
        <v>6002</v>
      </c>
      <c r="E1985" s="391" t="s">
        <v>5064</v>
      </c>
      <c r="F1985" s="392">
        <v>3634.85</v>
      </c>
      <c r="G1985" s="393" t="s">
        <v>56</v>
      </c>
      <c r="H1985" s="394">
        <v>3634.85</v>
      </c>
      <c r="I1985" s="394"/>
      <c r="J1985" s="392">
        <f t="shared" si="76"/>
        <v>726.97</v>
      </c>
      <c r="K1985" s="392">
        <f t="shared" si="76"/>
        <v>726.97</v>
      </c>
      <c r="L1985" s="392">
        <f t="shared" si="76"/>
        <v>726.97</v>
      </c>
      <c r="M1985" s="392">
        <f t="shared" si="76"/>
        <v>726.97</v>
      </c>
      <c r="N1985" s="392">
        <f t="shared" si="76"/>
        <v>726.97</v>
      </c>
    </row>
    <row r="1986" spans="1:14" hidden="1" outlineLevel="2" x14ac:dyDescent="0.35">
      <c r="A1986" s="388" t="s">
        <v>4007</v>
      </c>
      <c r="B1986" s="389">
        <v>44104</v>
      </c>
      <c r="C1986" s="390" t="s">
        <v>3188</v>
      </c>
      <c r="D1986" s="391" t="s">
        <v>6028</v>
      </c>
      <c r="E1986" s="391" t="s">
        <v>5064</v>
      </c>
      <c r="F1986" s="392">
        <v>3654.85</v>
      </c>
      <c r="G1986" s="393" t="s">
        <v>56</v>
      </c>
      <c r="H1986" s="394">
        <v>3654.85</v>
      </c>
      <c r="I1986" s="394"/>
      <c r="J1986" s="392">
        <f t="shared" si="76"/>
        <v>730.97</v>
      </c>
      <c r="K1986" s="392">
        <f t="shared" si="76"/>
        <v>730.97</v>
      </c>
      <c r="L1986" s="392">
        <f t="shared" si="76"/>
        <v>730.97</v>
      </c>
      <c r="M1986" s="392">
        <f t="shared" si="76"/>
        <v>730.97</v>
      </c>
      <c r="N1986" s="392">
        <f t="shared" si="76"/>
        <v>730.97</v>
      </c>
    </row>
    <row r="1987" spans="1:14" hidden="1" outlineLevel="2" x14ac:dyDescent="0.35">
      <c r="A1987" s="388" t="s">
        <v>4007</v>
      </c>
      <c r="B1987" s="389">
        <v>44135</v>
      </c>
      <c r="C1987" s="390" t="s">
        <v>3190</v>
      </c>
      <c r="D1987" s="391" t="s">
        <v>6029</v>
      </c>
      <c r="E1987" s="391" t="s">
        <v>5064</v>
      </c>
      <c r="F1987" s="392">
        <v>3539.85</v>
      </c>
      <c r="G1987" s="393" t="s">
        <v>56</v>
      </c>
      <c r="H1987" s="394">
        <v>3539.85</v>
      </c>
      <c r="I1987" s="394"/>
      <c r="J1987" s="392">
        <f t="shared" si="76"/>
        <v>707.97</v>
      </c>
      <c r="K1987" s="392">
        <f t="shared" si="76"/>
        <v>707.97</v>
      </c>
      <c r="L1987" s="392">
        <f t="shared" si="76"/>
        <v>707.97</v>
      </c>
      <c r="M1987" s="392">
        <f t="shared" si="76"/>
        <v>707.97</v>
      </c>
      <c r="N1987" s="392">
        <f t="shared" si="76"/>
        <v>707.97</v>
      </c>
    </row>
    <row r="1988" spans="1:14" hidden="1" outlineLevel="2" x14ac:dyDescent="0.35">
      <c r="A1988" s="388" t="s">
        <v>4007</v>
      </c>
      <c r="B1988" s="389">
        <v>44196</v>
      </c>
      <c r="C1988" s="390" t="s">
        <v>3194</v>
      </c>
      <c r="D1988" s="391" t="s">
        <v>6030</v>
      </c>
      <c r="E1988" s="391" t="s">
        <v>5064</v>
      </c>
      <c r="F1988" s="392">
        <v>4238.8500000000004</v>
      </c>
      <c r="G1988" s="393" t="s">
        <v>56</v>
      </c>
      <c r="H1988" s="394">
        <v>4238.8500000000004</v>
      </c>
      <c r="I1988" s="394"/>
      <c r="J1988" s="392">
        <f t="shared" si="76"/>
        <v>847.7700000000001</v>
      </c>
      <c r="K1988" s="392">
        <f t="shared" si="76"/>
        <v>847.7700000000001</v>
      </c>
      <c r="L1988" s="392">
        <f t="shared" si="76"/>
        <v>847.7700000000001</v>
      </c>
      <c r="M1988" s="392">
        <f t="shared" si="76"/>
        <v>847.7700000000001</v>
      </c>
      <c r="N1988" s="392">
        <f t="shared" si="76"/>
        <v>847.7700000000001</v>
      </c>
    </row>
    <row r="1989" spans="1:14" hidden="1" outlineLevel="2" x14ac:dyDescent="0.35">
      <c r="A1989" s="388" t="s">
        <v>4007</v>
      </c>
      <c r="B1989" s="389">
        <v>44196</v>
      </c>
      <c r="C1989" s="390" t="s">
        <v>3292</v>
      </c>
      <c r="D1989" s="391" t="s">
        <v>3293</v>
      </c>
      <c r="E1989" s="391" t="s">
        <v>3294</v>
      </c>
      <c r="F1989" s="392">
        <v>1459.85</v>
      </c>
      <c r="G1989" s="393" t="s">
        <v>56</v>
      </c>
      <c r="H1989" s="394">
        <v>1459.85</v>
      </c>
      <c r="I1989" s="394"/>
      <c r="J1989" s="392">
        <f t="shared" si="76"/>
        <v>291.96999999999997</v>
      </c>
      <c r="K1989" s="392">
        <f t="shared" si="76"/>
        <v>291.96999999999997</v>
      </c>
      <c r="L1989" s="392">
        <f t="shared" si="76"/>
        <v>291.96999999999997</v>
      </c>
      <c r="M1989" s="392">
        <f t="shared" si="76"/>
        <v>291.96999999999997</v>
      </c>
      <c r="N1989" s="392">
        <f t="shared" si="76"/>
        <v>291.96999999999997</v>
      </c>
    </row>
    <row r="1990" spans="1:14" hidden="1" outlineLevel="2" x14ac:dyDescent="0.35">
      <c r="A1990" s="388" t="s">
        <v>4007</v>
      </c>
      <c r="B1990" s="389">
        <v>44196</v>
      </c>
      <c r="C1990" s="390" t="s">
        <v>3295</v>
      </c>
      <c r="D1990" s="391" t="s">
        <v>3296</v>
      </c>
      <c r="E1990" s="391" t="s">
        <v>3294</v>
      </c>
      <c r="F1990" s="392">
        <v>3598.32</v>
      </c>
      <c r="G1990" s="393" t="s">
        <v>56</v>
      </c>
      <c r="H1990" s="394">
        <v>3598.32</v>
      </c>
      <c r="I1990" s="394"/>
      <c r="J1990" s="392">
        <f t="shared" si="76"/>
        <v>719.66399999999999</v>
      </c>
      <c r="K1990" s="392">
        <f t="shared" si="76"/>
        <v>719.66399999999999</v>
      </c>
      <c r="L1990" s="392">
        <f t="shared" si="76"/>
        <v>719.66399999999999</v>
      </c>
      <c r="M1990" s="392">
        <f t="shared" si="76"/>
        <v>719.66399999999999</v>
      </c>
      <c r="N1990" s="392">
        <f t="shared" si="76"/>
        <v>719.66399999999999</v>
      </c>
    </row>
    <row r="1991" spans="1:14" hidden="1" outlineLevel="2" x14ac:dyDescent="0.35">
      <c r="A1991" s="388" t="s">
        <v>4007</v>
      </c>
      <c r="B1991" s="389">
        <v>44067</v>
      </c>
      <c r="C1991" s="390" t="s">
        <v>5042</v>
      </c>
      <c r="D1991" s="391" t="s">
        <v>6031</v>
      </c>
      <c r="E1991" s="391" t="s">
        <v>5064</v>
      </c>
      <c r="F1991" s="392">
        <v>33.880000000000003</v>
      </c>
      <c r="G1991" s="393" t="s">
        <v>56</v>
      </c>
      <c r="H1991" s="394">
        <v>33.880000000000003</v>
      </c>
      <c r="I1991" s="394"/>
      <c r="J1991" s="392">
        <f t="shared" si="76"/>
        <v>6.7760000000000007</v>
      </c>
      <c r="K1991" s="392">
        <f t="shared" si="76"/>
        <v>6.7760000000000007</v>
      </c>
      <c r="L1991" s="392">
        <f t="shared" si="76"/>
        <v>6.7760000000000007</v>
      </c>
      <c r="M1991" s="392">
        <f t="shared" si="76"/>
        <v>6.7760000000000007</v>
      </c>
      <c r="N1991" s="392">
        <f t="shared" si="76"/>
        <v>6.7760000000000007</v>
      </c>
    </row>
    <row r="1992" spans="1:14" hidden="1" outlineLevel="2" x14ac:dyDescent="0.35">
      <c r="A1992" s="388" t="s">
        <v>4007</v>
      </c>
      <c r="B1992" s="389">
        <v>44067</v>
      </c>
      <c r="C1992" s="390" t="s">
        <v>5042</v>
      </c>
      <c r="D1992" s="391" t="s">
        <v>6032</v>
      </c>
      <c r="E1992" s="391" t="s">
        <v>5064</v>
      </c>
      <c r="F1992" s="392">
        <v>33.880000000000003</v>
      </c>
      <c r="G1992" s="393" t="s">
        <v>56</v>
      </c>
      <c r="H1992" s="394">
        <v>33.880000000000003</v>
      </c>
      <c r="I1992" s="394"/>
      <c r="J1992" s="392">
        <f t="shared" ref="J1992:N2007" si="77">$H1992/5</f>
        <v>6.7760000000000007</v>
      </c>
      <c r="K1992" s="392">
        <f t="shared" si="77"/>
        <v>6.7760000000000007</v>
      </c>
      <c r="L1992" s="392">
        <f t="shared" si="77"/>
        <v>6.7760000000000007</v>
      </c>
      <c r="M1992" s="392">
        <f t="shared" si="77"/>
        <v>6.7760000000000007</v>
      </c>
      <c r="N1992" s="392">
        <f t="shared" si="77"/>
        <v>6.7760000000000007</v>
      </c>
    </row>
    <row r="1993" spans="1:14" ht="30" hidden="1" outlineLevel="2" x14ac:dyDescent="0.35">
      <c r="A1993" s="388" t="s">
        <v>4007</v>
      </c>
      <c r="B1993" s="389">
        <v>44196</v>
      </c>
      <c r="C1993" s="390" t="s">
        <v>5047</v>
      </c>
      <c r="D1993" s="391" t="s">
        <v>6033</v>
      </c>
      <c r="E1993" s="391" t="s">
        <v>5064</v>
      </c>
      <c r="F1993" s="392">
        <v>33.880000000000003</v>
      </c>
      <c r="G1993" s="393" t="s">
        <v>56</v>
      </c>
      <c r="H1993" s="394">
        <v>33.880000000000003</v>
      </c>
      <c r="I1993" s="394"/>
      <c r="J1993" s="392">
        <f t="shared" si="77"/>
        <v>6.7760000000000007</v>
      </c>
      <c r="K1993" s="392">
        <f t="shared" si="77"/>
        <v>6.7760000000000007</v>
      </c>
      <c r="L1993" s="392">
        <f t="shared" si="77"/>
        <v>6.7760000000000007</v>
      </c>
      <c r="M1993" s="392">
        <f t="shared" si="77"/>
        <v>6.7760000000000007</v>
      </c>
      <c r="N1993" s="392">
        <f t="shared" si="77"/>
        <v>6.7760000000000007</v>
      </c>
    </row>
    <row r="1994" spans="1:14" hidden="1" outlineLevel="2" x14ac:dyDescent="0.35">
      <c r="A1994" s="388" t="s">
        <v>4007</v>
      </c>
      <c r="B1994" s="389">
        <v>44196</v>
      </c>
      <c r="C1994" s="390" t="s">
        <v>6034</v>
      </c>
      <c r="D1994" s="391" t="s">
        <v>6035</v>
      </c>
      <c r="E1994" s="391" t="s">
        <v>5064</v>
      </c>
      <c r="F1994" s="392">
        <v>9.68</v>
      </c>
      <c r="G1994" s="393" t="s">
        <v>56</v>
      </c>
      <c r="H1994" s="394">
        <v>9.68</v>
      </c>
      <c r="I1994" s="394"/>
      <c r="J1994" s="392">
        <f t="shared" si="77"/>
        <v>1.9359999999999999</v>
      </c>
      <c r="K1994" s="392">
        <f t="shared" si="77"/>
        <v>1.9359999999999999</v>
      </c>
      <c r="L1994" s="392">
        <f t="shared" si="77"/>
        <v>1.9359999999999999</v>
      </c>
      <c r="M1994" s="392">
        <f t="shared" si="77"/>
        <v>1.9359999999999999</v>
      </c>
      <c r="N1994" s="392">
        <f t="shared" si="77"/>
        <v>1.9359999999999999</v>
      </c>
    </row>
    <row r="1995" spans="1:14" hidden="1" outlineLevel="2" x14ac:dyDescent="0.35">
      <c r="A1995" s="388" t="s">
        <v>4007</v>
      </c>
      <c r="B1995" s="389">
        <v>44196</v>
      </c>
      <c r="C1995" s="390" t="s">
        <v>6034</v>
      </c>
      <c r="D1995" s="391" t="s">
        <v>6035</v>
      </c>
      <c r="E1995" s="391" t="s">
        <v>5064</v>
      </c>
      <c r="F1995" s="392">
        <v>24.2</v>
      </c>
      <c r="G1995" s="393" t="s">
        <v>56</v>
      </c>
      <c r="H1995" s="394">
        <v>24.2</v>
      </c>
      <c r="I1995" s="394"/>
      <c r="J1995" s="392">
        <f t="shared" si="77"/>
        <v>4.84</v>
      </c>
      <c r="K1995" s="392">
        <f t="shared" si="77"/>
        <v>4.84</v>
      </c>
      <c r="L1995" s="392">
        <f t="shared" si="77"/>
        <v>4.84</v>
      </c>
      <c r="M1995" s="392">
        <f t="shared" si="77"/>
        <v>4.84</v>
      </c>
      <c r="N1995" s="392">
        <f t="shared" si="77"/>
        <v>4.84</v>
      </c>
    </row>
    <row r="1996" spans="1:14" hidden="1" outlineLevel="2" x14ac:dyDescent="0.35">
      <c r="A1996" s="388" t="s">
        <v>4007</v>
      </c>
      <c r="B1996" s="389">
        <v>44196</v>
      </c>
      <c r="C1996" s="390" t="s">
        <v>6036</v>
      </c>
      <c r="D1996" s="391" t="s">
        <v>6037</v>
      </c>
      <c r="E1996" s="391" t="s">
        <v>5064</v>
      </c>
      <c r="F1996" s="392">
        <v>9.68</v>
      </c>
      <c r="G1996" s="393" t="s">
        <v>56</v>
      </c>
      <c r="H1996" s="394">
        <v>9.68</v>
      </c>
      <c r="I1996" s="394"/>
      <c r="J1996" s="392">
        <f t="shared" si="77"/>
        <v>1.9359999999999999</v>
      </c>
      <c r="K1996" s="392">
        <f t="shared" si="77"/>
        <v>1.9359999999999999</v>
      </c>
      <c r="L1996" s="392">
        <f t="shared" si="77"/>
        <v>1.9359999999999999</v>
      </c>
      <c r="M1996" s="392">
        <f t="shared" si="77"/>
        <v>1.9359999999999999</v>
      </c>
      <c r="N1996" s="392">
        <f t="shared" si="77"/>
        <v>1.9359999999999999</v>
      </c>
    </row>
    <row r="1997" spans="1:14" hidden="1" outlineLevel="2" x14ac:dyDescent="0.35">
      <c r="A1997" s="388" t="s">
        <v>4007</v>
      </c>
      <c r="B1997" s="389">
        <v>44196</v>
      </c>
      <c r="C1997" s="390" t="s">
        <v>6036</v>
      </c>
      <c r="D1997" s="391" t="s">
        <v>6037</v>
      </c>
      <c r="E1997" s="391" t="s">
        <v>5064</v>
      </c>
      <c r="F1997" s="392">
        <v>24.2</v>
      </c>
      <c r="G1997" s="393" t="s">
        <v>56</v>
      </c>
      <c r="H1997" s="394">
        <v>24.2</v>
      </c>
      <c r="I1997" s="394"/>
      <c r="J1997" s="392">
        <f t="shared" si="77"/>
        <v>4.84</v>
      </c>
      <c r="K1997" s="392">
        <f t="shared" si="77"/>
        <v>4.84</v>
      </c>
      <c r="L1997" s="392">
        <f t="shared" si="77"/>
        <v>4.84</v>
      </c>
      <c r="M1997" s="392">
        <f t="shared" si="77"/>
        <v>4.84</v>
      </c>
      <c r="N1997" s="392">
        <f t="shared" si="77"/>
        <v>4.84</v>
      </c>
    </row>
    <row r="1998" spans="1:14" ht="30" hidden="1" outlineLevel="2" x14ac:dyDescent="0.35">
      <c r="A1998" s="388" t="s">
        <v>4007</v>
      </c>
      <c r="B1998" s="389">
        <v>44196</v>
      </c>
      <c r="C1998" s="390" t="s">
        <v>6038</v>
      </c>
      <c r="D1998" s="391" t="s">
        <v>6039</v>
      </c>
      <c r="E1998" s="391" t="s">
        <v>5064</v>
      </c>
      <c r="F1998" s="392">
        <v>9.68</v>
      </c>
      <c r="G1998" s="393" t="s">
        <v>56</v>
      </c>
      <c r="H1998" s="394">
        <v>9.68</v>
      </c>
      <c r="I1998" s="394"/>
      <c r="J1998" s="392">
        <f t="shared" si="77"/>
        <v>1.9359999999999999</v>
      </c>
      <c r="K1998" s="392">
        <f t="shared" si="77"/>
        <v>1.9359999999999999</v>
      </c>
      <c r="L1998" s="392">
        <f t="shared" si="77"/>
        <v>1.9359999999999999</v>
      </c>
      <c r="M1998" s="392">
        <f t="shared" si="77"/>
        <v>1.9359999999999999</v>
      </c>
      <c r="N1998" s="392">
        <f t="shared" si="77"/>
        <v>1.9359999999999999</v>
      </c>
    </row>
    <row r="1999" spans="1:14" ht="30" hidden="1" outlineLevel="2" x14ac:dyDescent="0.35">
      <c r="A1999" s="388" t="s">
        <v>4007</v>
      </c>
      <c r="B1999" s="389">
        <v>44196</v>
      </c>
      <c r="C1999" s="390" t="s">
        <v>6038</v>
      </c>
      <c r="D1999" s="391" t="s">
        <v>6039</v>
      </c>
      <c r="E1999" s="391" t="s">
        <v>5064</v>
      </c>
      <c r="F1999" s="392">
        <v>24.2</v>
      </c>
      <c r="G1999" s="393" t="s">
        <v>56</v>
      </c>
      <c r="H1999" s="394">
        <v>24.2</v>
      </c>
      <c r="I1999" s="394"/>
      <c r="J1999" s="392">
        <f t="shared" si="77"/>
        <v>4.84</v>
      </c>
      <c r="K1999" s="392">
        <f t="shared" si="77"/>
        <v>4.84</v>
      </c>
      <c r="L1999" s="392">
        <f t="shared" si="77"/>
        <v>4.84</v>
      </c>
      <c r="M1999" s="392">
        <f t="shared" si="77"/>
        <v>4.84</v>
      </c>
      <c r="N1999" s="392">
        <f t="shared" si="77"/>
        <v>4.84</v>
      </c>
    </row>
    <row r="2000" spans="1:14" hidden="1" outlineLevel="2" x14ac:dyDescent="0.35">
      <c r="A2000" s="388" t="s">
        <v>4007</v>
      </c>
      <c r="B2000" s="389">
        <v>44196</v>
      </c>
      <c r="C2000" s="390" t="s">
        <v>6040</v>
      </c>
      <c r="D2000" s="391" t="s">
        <v>6041</v>
      </c>
      <c r="E2000" s="391" t="s">
        <v>5064</v>
      </c>
      <c r="F2000" s="392">
        <v>9.68</v>
      </c>
      <c r="G2000" s="393" t="s">
        <v>56</v>
      </c>
      <c r="H2000" s="394">
        <v>9.68</v>
      </c>
      <c r="I2000" s="394"/>
      <c r="J2000" s="392">
        <f t="shared" si="77"/>
        <v>1.9359999999999999</v>
      </c>
      <c r="K2000" s="392">
        <f t="shared" si="77"/>
        <v>1.9359999999999999</v>
      </c>
      <c r="L2000" s="392">
        <f t="shared" si="77"/>
        <v>1.9359999999999999</v>
      </c>
      <c r="M2000" s="392">
        <f t="shared" si="77"/>
        <v>1.9359999999999999</v>
      </c>
      <c r="N2000" s="392">
        <f t="shared" si="77"/>
        <v>1.9359999999999999</v>
      </c>
    </row>
    <row r="2001" spans="1:14" hidden="1" outlineLevel="2" x14ac:dyDescent="0.35">
      <c r="A2001" s="388" t="s">
        <v>4007</v>
      </c>
      <c r="B2001" s="389">
        <v>44196</v>
      </c>
      <c r="C2001" s="390" t="s">
        <v>6040</v>
      </c>
      <c r="D2001" s="391" t="s">
        <v>6041</v>
      </c>
      <c r="E2001" s="391" t="s">
        <v>5064</v>
      </c>
      <c r="F2001" s="392">
        <v>24.2</v>
      </c>
      <c r="G2001" s="393" t="s">
        <v>56</v>
      </c>
      <c r="H2001" s="394">
        <v>24.2</v>
      </c>
      <c r="I2001" s="394"/>
      <c r="J2001" s="392">
        <f t="shared" si="77"/>
        <v>4.84</v>
      </c>
      <c r="K2001" s="392">
        <f t="shared" si="77"/>
        <v>4.84</v>
      </c>
      <c r="L2001" s="392">
        <f t="shared" si="77"/>
        <v>4.84</v>
      </c>
      <c r="M2001" s="392">
        <f t="shared" si="77"/>
        <v>4.84</v>
      </c>
      <c r="N2001" s="392">
        <f t="shared" si="77"/>
        <v>4.84</v>
      </c>
    </row>
    <row r="2002" spans="1:14" hidden="1" outlineLevel="2" x14ac:dyDescent="0.35">
      <c r="A2002" s="388" t="s">
        <v>4007</v>
      </c>
      <c r="B2002" s="389">
        <v>44196</v>
      </c>
      <c r="C2002" s="390" t="s">
        <v>6042</v>
      </c>
      <c r="D2002" s="391" t="s">
        <v>6043</v>
      </c>
      <c r="E2002" s="391" t="s">
        <v>5064</v>
      </c>
      <c r="F2002" s="392">
        <v>9.68</v>
      </c>
      <c r="G2002" s="393" t="s">
        <v>56</v>
      </c>
      <c r="H2002" s="394">
        <v>9.68</v>
      </c>
      <c r="I2002" s="394"/>
      <c r="J2002" s="392">
        <f t="shared" si="77"/>
        <v>1.9359999999999999</v>
      </c>
      <c r="K2002" s="392">
        <f t="shared" si="77"/>
        <v>1.9359999999999999</v>
      </c>
      <c r="L2002" s="392">
        <f t="shared" si="77"/>
        <v>1.9359999999999999</v>
      </c>
      <c r="M2002" s="392">
        <f t="shared" si="77"/>
        <v>1.9359999999999999</v>
      </c>
      <c r="N2002" s="392">
        <f t="shared" si="77"/>
        <v>1.9359999999999999</v>
      </c>
    </row>
    <row r="2003" spans="1:14" hidden="1" outlineLevel="2" x14ac:dyDescent="0.35">
      <c r="A2003" s="388" t="s">
        <v>4007</v>
      </c>
      <c r="B2003" s="389">
        <v>44196</v>
      </c>
      <c r="C2003" s="390" t="s">
        <v>6042</v>
      </c>
      <c r="D2003" s="391" t="s">
        <v>6043</v>
      </c>
      <c r="E2003" s="391" t="s">
        <v>5064</v>
      </c>
      <c r="F2003" s="392">
        <v>24.2</v>
      </c>
      <c r="G2003" s="393" t="s">
        <v>56</v>
      </c>
      <c r="H2003" s="394">
        <v>24.2</v>
      </c>
      <c r="I2003" s="394"/>
      <c r="J2003" s="392">
        <f t="shared" si="77"/>
        <v>4.84</v>
      </c>
      <c r="K2003" s="392">
        <f t="shared" si="77"/>
        <v>4.84</v>
      </c>
      <c r="L2003" s="392">
        <f t="shared" si="77"/>
        <v>4.84</v>
      </c>
      <c r="M2003" s="392">
        <f t="shared" si="77"/>
        <v>4.84</v>
      </c>
      <c r="N2003" s="392">
        <f t="shared" si="77"/>
        <v>4.84</v>
      </c>
    </row>
    <row r="2004" spans="1:14" hidden="1" outlineLevel="2" collapsed="1" x14ac:dyDescent="0.35">
      <c r="A2004" s="388" t="s">
        <v>4007</v>
      </c>
      <c r="B2004" s="389">
        <v>44196</v>
      </c>
      <c r="C2004" s="390" t="s">
        <v>6044</v>
      </c>
      <c r="D2004" s="391" t="s">
        <v>6045</v>
      </c>
      <c r="E2004" s="391" t="s">
        <v>5064</v>
      </c>
      <c r="F2004" s="392">
        <v>9.68</v>
      </c>
      <c r="G2004" s="393" t="s">
        <v>56</v>
      </c>
      <c r="H2004" s="394">
        <v>9.68</v>
      </c>
      <c r="I2004" s="394"/>
      <c r="J2004" s="392">
        <f t="shared" si="77"/>
        <v>1.9359999999999999</v>
      </c>
      <c r="K2004" s="392">
        <f t="shared" si="77"/>
        <v>1.9359999999999999</v>
      </c>
      <c r="L2004" s="392">
        <f t="shared" si="77"/>
        <v>1.9359999999999999</v>
      </c>
      <c r="M2004" s="392">
        <f t="shared" si="77"/>
        <v>1.9359999999999999</v>
      </c>
      <c r="N2004" s="392">
        <f t="shared" si="77"/>
        <v>1.9359999999999999</v>
      </c>
    </row>
    <row r="2005" spans="1:14" hidden="1" outlineLevel="2" x14ac:dyDescent="0.35">
      <c r="A2005" s="388" t="s">
        <v>4007</v>
      </c>
      <c r="B2005" s="389">
        <v>44196</v>
      </c>
      <c r="C2005" s="390" t="s">
        <v>6044</v>
      </c>
      <c r="D2005" s="391" t="s">
        <v>6045</v>
      </c>
      <c r="E2005" s="391" t="s">
        <v>5064</v>
      </c>
      <c r="F2005" s="392">
        <v>24.2</v>
      </c>
      <c r="G2005" s="393" t="s">
        <v>56</v>
      </c>
      <c r="H2005" s="394">
        <v>24.2</v>
      </c>
      <c r="I2005" s="394"/>
      <c r="J2005" s="392">
        <f t="shared" si="77"/>
        <v>4.84</v>
      </c>
      <c r="K2005" s="392">
        <f t="shared" si="77"/>
        <v>4.84</v>
      </c>
      <c r="L2005" s="392">
        <f t="shared" si="77"/>
        <v>4.84</v>
      </c>
      <c r="M2005" s="392">
        <f t="shared" si="77"/>
        <v>4.84</v>
      </c>
      <c r="N2005" s="392">
        <f t="shared" si="77"/>
        <v>4.84</v>
      </c>
    </row>
    <row r="2006" spans="1:14" hidden="1" outlineLevel="2" x14ac:dyDescent="0.35">
      <c r="A2006" s="388" t="s">
        <v>4007</v>
      </c>
      <c r="B2006" s="389">
        <v>44196</v>
      </c>
      <c r="C2006" s="390" t="s">
        <v>6046</v>
      </c>
      <c r="D2006" s="391" t="s">
        <v>6047</v>
      </c>
      <c r="E2006" s="391" t="s">
        <v>5064</v>
      </c>
      <c r="F2006" s="392">
        <v>9.68</v>
      </c>
      <c r="G2006" s="393" t="s">
        <v>56</v>
      </c>
      <c r="H2006" s="394">
        <v>9.68</v>
      </c>
      <c r="I2006" s="394"/>
      <c r="J2006" s="392">
        <f t="shared" si="77"/>
        <v>1.9359999999999999</v>
      </c>
      <c r="K2006" s="392">
        <f t="shared" si="77"/>
        <v>1.9359999999999999</v>
      </c>
      <c r="L2006" s="392">
        <f t="shared" si="77"/>
        <v>1.9359999999999999</v>
      </c>
      <c r="M2006" s="392">
        <f t="shared" si="77"/>
        <v>1.9359999999999999</v>
      </c>
      <c r="N2006" s="392">
        <f t="shared" si="77"/>
        <v>1.9359999999999999</v>
      </c>
    </row>
    <row r="2007" spans="1:14" hidden="1" outlineLevel="2" x14ac:dyDescent="0.35">
      <c r="A2007" s="388" t="s">
        <v>4007</v>
      </c>
      <c r="B2007" s="389">
        <v>44196</v>
      </c>
      <c r="C2007" s="390" t="s">
        <v>6046</v>
      </c>
      <c r="D2007" s="391" t="s">
        <v>6047</v>
      </c>
      <c r="E2007" s="391" t="s">
        <v>5064</v>
      </c>
      <c r="F2007" s="392">
        <v>24.2</v>
      </c>
      <c r="G2007" s="393" t="s">
        <v>56</v>
      </c>
      <c r="H2007" s="394">
        <v>24.2</v>
      </c>
      <c r="I2007" s="394"/>
      <c r="J2007" s="392">
        <f t="shared" si="77"/>
        <v>4.84</v>
      </c>
      <c r="K2007" s="392">
        <f t="shared" si="77"/>
        <v>4.84</v>
      </c>
      <c r="L2007" s="392">
        <f t="shared" si="77"/>
        <v>4.84</v>
      </c>
      <c r="M2007" s="392">
        <f t="shared" si="77"/>
        <v>4.84</v>
      </c>
      <c r="N2007" s="392">
        <f t="shared" si="77"/>
        <v>4.84</v>
      </c>
    </row>
    <row r="2008" spans="1:14" hidden="1" outlineLevel="2" x14ac:dyDescent="0.35">
      <c r="A2008" s="388" t="s">
        <v>4007</v>
      </c>
      <c r="B2008" s="389">
        <v>43917</v>
      </c>
      <c r="C2008" s="390" t="s">
        <v>6048</v>
      </c>
      <c r="D2008" s="391" t="s">
        <v>6049</v>
      </c>
      <c r="E2008" s="391" t="s">
        <v>5064</v>
      </c>
      <c r="F2008" s="392">
        <v>33.880000000000003</v>
      </c>
      <c r="G2008" s="393" t="s">
        <v>56</v>
      </c>
      <c r="H2008" s="394">
        <v>33.880000000000003</v>
      </c>
      <c r="I2008" s="394"/>
      <c r="J2008" s="392">
        <f t="shared" ref="J2008:N2016" si="78">$H2008/5</f>
        <v>6.7760000000000007</v>
      </c>
      <c r="K2008" s="392">
        <f t="shared" si="78"/>
        <v>6.7760000000000007</v>
      </c>
      <c r="L2008" s="392">
        <f t="shared" si="78"/>
        <v>6.7760000000000007</v>
      </c>
      <c r="M2008" s="392">
        <f t="shared" si="78"/>
        <v>6.7760000000000007</v>
      </c>
      <c r="N2008" s="392">
        <f t="shared" si="78"/>
        <v>6.7760000000000007</v>
      </c>
    </row>
    <row r="2009" spans="1:14" hidden="1" outlineLevel="2" x14ac:dyDescent="0.35">
      <c r="A2009" s="388" t="s">
        <v>4007</v>
      </c>
      <c r="B2009" s="389">
        <v>43950</v>
      </c>
      <c r="C2009" s="390" t="s">
        <v>6050</v>
      </c>
      <c r="D2009" s="391" t="s">
        <v>6051</v>
      </c>
      <c r="E2009" s="391" t="s">
        <v>5064</v>
      </c>
      <c r="F2009" s="392">
        <v>33.880000000000003</v>
      </c>
      <c r="G2009" s="393" t="s">
        <v>56</v>
      </c>
      <c r="H2009" s="394">
        <v>33.880000000000003</v>
      </c>
      <c r="I2009" s="394"/>
      <c r="J2009" s="392">
        <f t="shared" si="78"/>
        <v>6.7760000000000007</v>
      </c>
      <c r="K2009" s="392">
        <f t="shared" si="78"/>
        <v>6.7760000000000007</v>
      </c>
      <c r="L2009" s="392">
        <f t="shared" si="78"/>
        <v>6.7760000000000007</v>
      </c>
      <c r="M2009" s="392">
        <f t="shared" si="78"/>
        <v>6.7760000000000007</v>
      </c>
      <c r="N2009" s="392">
        <f t="shared" si="78"/>
        <v>6.7760000000000007</v>
      </c>
    </row>
    <row r="2010" spans="1:14" hidden="1" outlineLevel="2" x14ac:dyDescent="0.35">
      <c r="A2010" s="388" t="s">
        <v>4007</v>
      </c>
      <c r="B2010" s="389">
        <v>43980</v>
      </c>
      <c r="C2010" s="390" t="s">
        <v>6052</v>
      </c>
      <c r="D2010" s="391" t="s">
        <v>6053</v>
      </c>
      <c r="E2010" s="391" t="s">
        <v>5064</v>
      </c>
      <c r="F2010" s="392">
        <v>33.880000000000003</v>
      </c>
      <c r="G2010" s="393" t="s">
        <v>56</v>
      </c>
      <c r="H2010" s="394">
        <v>33.880000000000003</v>
      </c>
      <c r="I2010" s="394"/>
      <c r="J2010" s="392">
        <f t="shared" si="78"/>
        <v>6.7760000000000007</v>
      </c>
      <c r="K2010" s="392">
        <f t="shared" si="78"/>
        <v>6.7760000000000007</v>
      </c>
      <c r="L2010" s="392">
        <f t="shared" si="78"/>
        <v>6.7760000000000007</v>
      </c>
      <c r="M2010" s="392">
        <f t="shared" si="78"/>
        <v>6.7760000000000007</v>
      </c>
      <c r="N2010" s="392">
        <f t="shared" si="78"/>
        <v>6.7760000000000007</v>
      </c>
    </row>
    <row r="2011" spans="1:14" hidden="1" outlineLevel="2" x14ac:dyDescent="0.35">
      <c r="A2011" s="388" t="s">
        <v>4007</v>
      </c>
      <c r="B2011" s="389">
        <v>43986</v>
      </c>
      <c r="C2011" s="390" t="s">
        <v>6054</v>
      </c>
      <c r="D2011" s="391" t="s">
        <v>6055</v>
      </c>
      <c r="E2011" s="391" t="s">
        <v>5064</v>
      </c>
      <c r="F2011" s="392">
        <v>33.880000000000003</v>
      </c>
      <c r="G2011" s="393" t="s">
        <v>56</v>
      </c>
      <c r="H2011" s="394">
        <v>33.880000000000003</v>
      </c>
      <c r="I2011" s="394"/>
      <c r="J2011" s="392">
        <f t="shared" si="78"/>
        <v>6.7760000000000007</v>
      </c>
      <c r="K2011" s="392">
        <f t="shared" si="78"/>
        <v>6.7760000000000007</v>
      </c>
      <c r="L2011" s="392">
        <f t="shared" si="78"/>
        <v>6.7760000000000007</v>
      </c>
      <c r="M2011" s="392">
        <f t="shared" si="78"/>
        <v>6.7760000000000007</v>
      </c>
      <c r="N2011" s="392">
        <f t="shared" si="78"/>
        <v>6.7760000000000007</v>
      </c>
    </row>
    <row r="2012" spans="1:14" hidden="1" outlineLevel="2" x14ac:dyDescent="0.35">
      <c r="A2012" s="388" t="s">
        <v>4007</v>
      </c>
      <c r="B2012" s="389">
        <v>44166</v>
      </c>
      <c r="C2012" s="390" t="s">
        <v>6056</v>
      </c>
      <c r="D2012" s="391" t="s">
        <v>2624</v>
      </c>
      <c r="E2012" s="391" t="s">
        <v>5027</v>
      </c>
      <c r="F2012" s="392">
        <v>-3.41</v>
      </c>
      <c r="G2012" s="393" t="s">
        <v>56</v>
      </c>
      <c r="H2012" s="394">
        <v>-3.41</v>
      </c>
      <c r="I2012" s="394"/>
      <c r="J2012" s="392">
        <f t="shared" si="78"/>
        <v>-0.68200000000000005</v>
      </c>
      <c r="K2012" s="392">
        <f t="shared" si="78"/>
        <v>-0.68200000000000005</v>
      </c>
      <c r="L2012" s="392">
        <f t="shared" si="78"/>
        <v>-0.68200000000000005</v>
      </c>
      <c r="M2012" s="392">
        <f t="shared" si="78"/>
        <v>-0.68200000000000005</v>
      </c>
      <c r="N2012" s="392">
        <f t="shared" si="78"/>
        <v>-0.68200000000000005</v>
      </c>
    </row>
    <row r="2013" spans="1:14" hidden="1" outlineLevel="2" x14ac:dyDescent="0.35">
      <c r="A2013" s="388" t="s">
        <v>4007</v>
      </c>
      <c r="B2013" s="389">
        <v>43829</v>
      </c>
      <c r="C2013" s="390" t="s">
        <v>6057</v>
      </c>
      <c r="D2013" s="391" t="s">
        <v>6058</v>
      </c>
      <c r="E2013" s="391" t="s">
        <v>6059</v>
      </c>
      <c r="F2013" s="392">
        <v>33.880000000000003</v>
      </c>
      <c r="G2013" s="393" t="s">
        <v>56</v>
      </c>
      <c r="H2013" s="394">
        <v>33.880000000000003</v>
      </c>
      <c r="I2013" s="394"/>
      <c r="J2013" s="392">
        <f t="shared" si="78"/>
        <v>6.7760000000000007</v>
      </c>
      <c r="K2013" s="392">
        <f t="shared" si="78"/>
        <v>6.7760000000000007</v>
      </c>
      <c r="L2013" s="392">
        <f t="shared" si="78"/>
        <v>6.7760000000000007</v>
      </c>
      <c r="M2013" s="392">
        <f t="shared" si="78"/>
        <v>6.7760000000000007</v>
      </c>
      <c r="N2013" s="392">
        <f t="shared" si="78"/>
        <v>6.7760000000000007</v>
      </c>
    </row>
    <row r="2014" spans="1:14" hidden="1" outlineLevel="2" x14ac:dyDescent="0.35">
      <c r="A2014" s="388" t="s">
        <v>4007</v>
      </c>
      <c r="B2014" s="389">
        <v>43796</v>
      </c>
      <c r="C2014" s="390" t="s">
        <v>6060</v>
      </c>
      <c r="D2014" s="391" t="s">
        <v>6061</v>
      </c>
      <c r="E2014" s="391" t="s">
        <v>6059</v>
      </c>
      <c r="F2014" s="392">
        <v>33.880000000000003</v>
      </c>
      <c r="G2014" s="393" t="s">
        <v>56</v>
      </c>
      <c r="H2014" s="394">
        <v>33.880000000000003</v>
      </c>
      <c r="I2014" s="394"/>
      <c r="J2014" s="392">
        <f t="shared" si="78"/>
        <v>6.7760000000000007</v>
      </c>
      <c r="K2014" s="392">
        <f t="shared" si="78"/>
        <v>6.7760000000000007</v>
      </c>
      <c r="L2014" s="392">
        <f t="shared" si="78"/>
        <v>6.7760000000000007</v>
      </c>
      <c r="M2014" s="392">
        <f t="shared" si="78"/>
        <v>6.7760000000000007</v>
      </c>
      <c r="N2014" s="392">
        <f t="shared" si="78"/>
        <v>6.7760000000000007</v>
      </c>
    </row>
    <row r="2015" spans="1:14" hidden="1" outlineLevel="2" x14ac:dyDescent="0.35">
      <c r="A2015" s="388" t="s">
        <v>4007</v>
      </c>
      <c r="B2015" s="389">
        <v>43767</v>
      </c>
      <c r="C2015" s="390" t="s">
        <v>6062</v>
      </c>
      <c r="D2015" s="391" t="s">
        <v>6063</v>
      </c>
      <c r="E2015" s="391" t="s">
        <v>6059</v>
      </c>
      <c r="F2015" s="392">
        <v>33.880000000000003</v>
      </c>
      <c r="G2015" s="393" t="s">
        <v>56</v>
      </c>
      <c r="H2015" s="394">
        <v>33.880000000000003</v>
      </c>
      <c r="I2015" s="394"/>
      <c r="J2015" s="392">
        <f t="shared" si="78"/>
        <v>6.7760000000000007</v>
      </c>
      <c r="K2015" s="392">
        <f t="shared" si="78"/>
        <v>6.7760000000000007</v>
      </c>
      <c r="L2015" s="392">
        <f t="shared" si="78"/>
        <v>6.7760000000000007</v>
      </c>
      <c r="M2015" s="392">
        <f t="shared" si="78"/>
        <v>6.7760000000000007</v>
      </c>
      <c r="N2015" s="392">
        <f t="shared" si="78"/>
        <v>6.7760000000000007</v>
      </c>
    </row>
    <row r="2016" spans="1:14" hidden="1" outlineLevel="2" x14ac:dyDescent="0.35">
      <c r="A2016" s="388" t="s">
        <v>4007</v>
      </c>
      <c r="B2016" s="389">
        <v>43739</v>
      </c>
      <c r="C2016" s="390" t="s">
        <v>6064</v>
      </c>
      <c r="D2016" s="391" t="s">
        <v>6065</v>
      </c>
      <c r="E2016" s="391" t="s">
        <v>6059</v>
      </c>
      <c r="F2016" s="392">
        <v>33.880000000000003</v>
      </c>
      <c r="G2016" s="393" t="s">
        <v>56</v>
      </c>
      <c r="H2016" s="394">
        <v>33.880000000000003</v>
      </c>
      <c r="I2016" s="394"/>
      <c r="J2016" s="392">
        <f t="shared" si="78"/>
        <v>6.7760000000000007</v>
      </c>
      <c r="K2016" s="392">
        <f t="shared" si="78"/>
        <v>6.7760000000000007</v>
      </c>
      <c r="L2016" s="392">
        <f t="shared" si="78"/>
        <v>6.7760000000000007</v>
      </c>
      <c r="M2016" s="392">
        <f t="shared" si="78"/>
        <v>6.7760000000000007</v>
      </c>
      <c r="N2016" s="392">
        <f t="shared" si="78"/>
        <v>6.7760000000000007</v>
      </c>
    </row>
    <row r="2017" spans="1:14" outlineLevel="1" collapsed="1" x14ac:dyDescent="0.35">
      <c r="A2017" s="395" t="s">
        <v>6066</v>
      </c>
      <c r="B2017" s="389"/>
      <c r="C2017" s="390"/>
      <c r="D2017" s="391"/>
      <c r="E2017" s="391"/>
      <c r="F2017" s="392"/>
      <c r="G2017" s="393"/>
      <c r="H2017" s="394">
        <f t="shared" ref="H2017:N2017" si="79">SUBTOTAL(9,H1944:H2016)</f>
        <v>77562.109999999986</v>
      </c>
      <c r="I2017" s="394"/>
      <c r="J2017" s="392">
        <f t="shared" si="79"/>
        <v>15512.421999999993</v>
      </c>
      <c r="K2017" s="392">
        <f t="shared" si="79"/>
        <v>15512.421999999993</v>
      </c>
      <c r="L2017" s="392">
        <f t="shared" si="79"/>
        <v>15512.421999999993</v>
      </c>
      <c r="M2017" s="392">
        <f t="shared" si="79"/>
        <v>15512.421999999993</v>
      </c>
      <c r="N2017" s="392">
        <f t="shared" si="79"/>
        <v>15512.421999999993</v>
      </c>
    </row>
    <row r="2018" spans="1:14" hidden="1" outlineLevel="2" x14ac:dyDescent="0.35">
      <c r="A2018" s="388" t="s">
        <v>3921</v>
      </c>
      <c r="B2018" s="389">
        <v>44286</v>
      </c>
      <c r="C2018" s="390" t="s">
        <v>6067</v>
      </c>
      <c r="D2018" s="391" t="s">
        <v>6068</v>
      </c>
      <c r="E2018" s="391" t="s">
        <v>6069</v>
      </c>
      <c r="F2018" s="392">
        <v>600000</v>
      </c>
      <c r="G2018" s="393" t="s">
        <v>3800</v>
      </c>
      <c r="H2018" s="394">
        <v>223.25546062397882</v>
      </c>
      <c r="I2018" s="394"/>
      <c r="J2018" s="392"/>
      <c r="K2018" s="392"/>
      <c r="L2018" s="392"/>
      <c r="M2018" s="392">
        <v>223.25546062397882</v>
      </c>
      <c r="N2018" s="392"/>
    </row>
    <row r="2019" spans="1:14" hidden="1" outlineLevel="2" x14ac:dyDescent="0.35">
      <c r="A2019" s="388" t="s">
        <v>3921</v>
      </c>
      <c r="B2019" s="389">
        <v>44267</v>
      </c>
      <c r="C2019" s="390" t="s">
        <v>6070</v>
      </c>
      <c r="D2019" s="391" t="s">
        <v>6068</v>
      </c>
      <c r="E2019" s="391" t="s">
        <v>6071</v>
      </c>
      <c r="F2019" s="392">
        <v>300000</v>
      </c>
      <c r="G2019" s="393" t="s">
        <v>3800</v>
      </c>
      <c r="H2019" s="394">
        <v>111.62773031198941</v>
      </c>
      <c r="I2019" s="394"/>
      <c r="J2019" s="392"/>
      <c r="K2019" s="392"/>
      <c r="L2019" s="392"/>
      <c r="M2019" s="392">
        <v>111.62773031198941</v>
      </c>
      <c r="N2019" s="392"/>
    </row>
    <row r="2020" spans="1:14" hidden="1" outlineLevel="2" x14ac:dyDescent="0.35">
      <c r="A2020" s="388" t="s">
        <v>3921</v>
      </c>
      <c r="B2020" s="389">
        <v>44286</v>
      </c>
      <c r="C2020" s="390" t="s">
        <v>6072</v>
      </c>
      <c r="D2020" s="391" t="s">
        <v>6068</v>
      </c>
      <c r="E2020" s="391" t="s">
        <v>4794</v>
      </c>
      <c r="F2020" s="392">
        <v>600000</v>
      </c>
      <c r="G2020" s="393" t="s">
        <v>3800</v>
      </c>
      <c r="H2020" s="394">
        <v>223.25546062397882</v>
      </c>
      <c r="I2020" s="394"/>
      <c r="J2020" s="392"/>
      <c r="K2020" s="392"/>
      <c r="L2020" s="392"/>
      <c r="M2020" s="392">
        <v>223.25546062397882</v>
      </c>
      <c r="N2020" s="392"/>
    </row>
    <row r="2021" spans="1:14" hidden="1" outlineLevel="2" x14ac:dyDescent="0.35">
      <c r="A2021" s="388" t="s">
        <v>3921</v>
      </c>
      <c r="B2021" s="389">
        <v>44267</v>
      </c>
      <c r="C2021" s="390" t="s">
        <v>6073</v>
      </c>
      <c r="D2021" s="391" t="s">
        <v>6074</v>
      </c>
      <c r="E2021" s="391" t="s">
        <v>6075</v>
      </c>
      <c r="F2021" s="392">
        <v>320000</v>
      </c>
      <c r="G2021" s="393" t="s">
        <v>3800</v>
      </c>
      <c r="H2021" s="394">
        <v>119.06957899945537</v>
      </c>
      <c r="I2021" s="394"/>
      <c r="J2021" s="392"/>
      <c r="K2021" s="392"/>
      <c r="L2021" s="392"/>
      <c r="M2021" s="392">
        <v>119.06957899945537</v>
      </c>
      <c r="N2021" s="392"/>
    </row>
    <row r="2022" spans="1:14" hidden="1" outlineLevel="2" x14ac:dyDescent="0.35">
      <c r="A2022" s="388" t="s">
        <v>3921</v>
      </c>
      <c r="B2022" s="389">
        <v>44284</v>
      </c>
      <c r="C2022" s="390" t="s">
        <v>6076</v>
      </c>
      <c r="D2022" s="391" t="s">
        <v>6077</v>
      </c>
      <c r="E2022" s="391" t="s">
        <v>6078</v>
      </c>
      <c r="F2022" s="392">
        <v>1657500</v>
      </c>
      <c r="G2022" s="393" t="s">
        <v>3800</v>
      </c>
      <c r="H2022" s="394">
        <v>616.7432099737415</v>
      </c>
      <c r="I2022" s="394"/>
      <c r="J2022" s="392"/>
      <c r="K2022" s="392"/>
      <c r="L2022" s="392"/>
      <c r="M2022" s="392">
        <v>616.7432099737415</v>
      </c>
      <c r="N2022" s="392"/>
    </row>
    <row r="2023" spans="1:14" hidden="1" outlineLevel="2" x14ac:dyDescent="0.35">
      <c r="A2023" s="388" t="s">
        <v>3921</v>
      </c>
      <c r="B2023" s="389">
        <v>44306</v>
      </c>
      <c r="C2023" s="390" t="s">
        <v>6079</v>
      </c>
      <c r="D2023" s="391" t="s">
        <v>6080</v>
      </c>
      <c r="E2023" s="391" t="s">
        <v>6081</v>
      </c>
      <c r="F2023" s="392">
        <v>400000</v>
      </c>
      <c r="G2023" s="393" t="s">
        <v>3800</v>
      </c>
      <c r="H2023" s="394">
        <v>148.83697374931921</v>
      </c>
      <c r="I2023" s="394"/>
      <c r="J2023" s="392"/>
      <c r="K2023" s="392"/>
      <c r="L2023" s="392"/>
      <c r="M2023" s="392">
        <v>148.83697374931921</v>
      </c>
      <c r="N2023" s="392"/>
    </row>
    <row r="2024" spans="1:14" hidden="1" outlineLevel="2" x14ac:dyDescent="0.35">
      <c r="A2024" s="388" t="s">
        <v>3921</v>
      </c>
      <c r="B2024" s="389">
        <v>44306</v>
      </c>
      <c r="C2024" s="390" t="s">
        <v>6082</v>
      </c>
      <c r="D2024" s="391" t="s">
        <v>6083</v>
      </c>
      <c r="E2024" s="391" t="s">
        <v>6084</v>
      </c>
      <c r="F2024" s="392">
        <v>400000</v>
      </c>
      <c r="G2024" s="393" t="s">
        <v>3800</v>
      </c>
      <c r="H2024" s="394">
        <v>148.83697374931921</v>
      </c>
      <c r="I2024" s="394"/>
      <c r="J2024" s="392"/>
      <c r="K2024" s="392"/>
      <c r="L2024" s="392"/>
      <c r="M2024" s="392">
        <v>148.83697374931921</v>
      </c>
      <c r="N2024" s="392"/>
    </row>
    <row r="2025" spans="1:14" hidden="1" outlineLevel="2" x14ac:dyDescent="0.35">
      <c r="A2025" s="388" t="s">
        <v>3921</v>
      </c>
      <c r="B2025" s="389">
        <v>44306</v>
      </c>
      <c r="C2025" s="390" t="s">
        <v>6085</v>
      </c>
      <c r="D2025" s="391" t="s">
        <v>6083</v>
      </c>
      <c r="E2025" s="391" t="s">
        <v>6084</v>
      </c>
      <c r="F2025" s="392">
        <v>350000</v>
      </c>
      <c r="G2025" s="393" t="s">
        <v>3800</v>
      </c>
      <c r="H2025" s="394">
        <v>130.23235203065431</v>
      </c>
      <c r="I2025" s="394"/>
      <c r="J2025" s="392"/>
      <c r="K2025" s="392"/>
      <c r="L2025" s="392"/>
      <c r="M2025" s="392">
        <v>130.23235203065431</v>
      </c>
      <c r="N2025" s="392"/>
    </row>
    <row r="2026" spans="1:14" hidden="1" outlineLevel="2" x14ac:dyDescent="0.35">
      <c r="A2026" s="388" t="s">
        <v>3921</v>
      </c>
      <c r="B2026" s="389">
        <v>44309</v>
      </c>
      <c r="C2026" s="390" t="s">
        <v>6086</v>
      </c>
      <c r="D2026" s="391" t="s">
        <v>6087</v>
      </c>
      <c r="E2026" s="391" t="s">
        <v>6088</v>
      </c>
      <c r="F2026" s="392">
        <v>961000</v>
      </c>
      <c r="G2026" s="393" t="s">
        <v>3800</v>
      </c>
      <c r="H2026" s="394">
        <v>357.58082943273945</v>
      </c>
      <c r="I2026" s="394"/>
      <c r="J2026" s="392"/>
      <c r="K2026" s="392"/>
      <c r="L2026" s="392"/>
      <c r="M2026" s="392">
        <v>357.58082943273945</v>
      </c>
      <c r="N2026" s="392"/>
    </row>
    <row r="2027" spans="1:14" hidden="1" outlineLevel="2" x14ac:dyDescent="0.35">
      <c r="A2027" s="388" t="s">
        <v>3921</v>
      </c>
      <c r="B2027" s="389">
        <v>44309</v>
      </c>
      <c r="C2027" s="390" t="s">
        <v>6086</v>
      </c>
      <c r="D2027" s="391" t="s">
        <v>6089</v>
      </c>
      <c r="E2027" s="391" t="s">
        <v>6090</v>
      </c>
      <c r="F2027" s="392">
        <v>70000</v>
      </c>
      <c r="G2027" s="393" t="s">
        <v>3800</v>
      </c>
      <c r="H2027" s="394">
        <v>26.046470406130865</v>
      </c>
      <c r="I2027" s="394"/>
      <c r="J2027" s="392"/>
      <c r="K2027" s="392"/>
      <c r="L2027" s="392"/>
      <c r="M2027" s="392">
        <v>26.046470406130865</v>
      </c>
      <c r="N2027" s="392"/>
    </row>
    <row r="2028" spans="1:14" hidden="1" outlineLevel="2" x14ac:dyDescent="0.35">
      <c r="A2028" s="388" t="s">
        <v>3921</v>
      </c>
      <c r="B2028" s="389">
        <v>44341</v>
      </c>
      <c r="C2028" s="390" t="s">
        <v>6091</v>
      </c>
      <c r="D2028" s="391" t="s">
        <v>6092</v>
      </c>
      <c r="E2028" s="391" t="s">
        <v>6093</v>
      </c>
      <c r="F2028" s="392">
        <v>300000</v>
      </c>
      <c r="G2028" s="393" t="s">
        <v>3800</v>
      </c>
      <c r="H2028" s="394">
        <v>111.62773031198941</v>
      </c>
      <c r="I2028" s="394"/>
      <c r="J2028" s="392"/>
      <c r="K2028" s="392"/>
      <c r="L2028" s="392"/>
      <c r="M2028" s="392">
        <v>111.62773031198941</v>
      </c>
      <c r="N2028" s="392"/>
    </row>
    <row r="2029" spans="1:14" hidden="1" outlineLevel="2" collapsed="1" x14ac:dyDescent="0.35">
      <c r="A2029" s="388" t="s">
        <v>3921</v>
      </c>
      <c r="B2029" s="389">
        <v>44341</v>
      </c>
      <c r="C2029" s="390" t="s">
        <v>6091</v>
      </c>
      <c r="D2029" s="391" t="s">
        <v>6094</v>
      </c>
      <c r="E2029" s="391" t="s">
        <v>6095</v>
      </c>
      <c r="F2029" s="392">
        <v>400000</v>
      </c>
      <c r="G2029" s="393" t="s">
        <v>3800</v>
      </c>
      <c r="H2029" s="394">
        <v>148.83697374931921</v>
      </c>
      <c r="I2029" s="394"/>
      <c r="J2029" s="392"/>
      <c r="K2029" s="392"/>
      <c r="L2029" s="392"/>
      <c r="M2029" s="392">
        <v>148.83697374931921</v>
      </c>
      <c r="N2029" s="392"/>
    </row>
    <row r="2030" spans="1:14" hidden="1" outlineLevel="2" x14ac:dyDescent="0.35">
      <c r="A2030" s="388" t="s">
        <v>3921</v>
      </c>
      <c r="B2030" s="389">
        <v>44347</v>
      </c>
      <c r="C2030" s="390" t="s">
        <v>6082</v>
      </c>
      <c r="D2030" s="391" t="s">
        <v>6096</v>
      </c>
      <c r="E2030" s="391" t="s">
        <v>4203</v>
      </c>
      <c r="F2030" s="392">
        <v>1045000</v>
      </c>
      <c r="G2030" s="393" t="s">
        <v>3800</v>
      </c>
      <c r="H2030" s="394">
        <v>388.83659392009645</v>
      </c>
      <c r="I2030" s="394"/>
      <c r="J2030" s="392"/>
      <c r="K2030" s="392"/>
      <c r="L2030" s="392"/>
      <c r="M2030" s="392">
        <v>388.83659392009645</v>
      </c>
      <c r="N2030" s="392"/>
    </row>
    <row r="2031" spans="1:14" outlineLevel="1" collapsed="1" x14ac:dyDescent="0.35">
      <c r="A2031" s="395" t="s">
        <v>6097</v>
      </c>
      <c r="B2031" s="389"/>
      <c r="C2031" s="390"/>
      <c r="D2031" s="391"/>
      <c r="E2031" s="391"/>
      <c r="F2031" s="392"/>
      <c r="G2031" s="393"/>
      <c r="H2031" s="394">
        <f t="shared" ref="H2031:N2031" si="80">SUBTOTAL(9,H2018:H2030)</f>
        <v>2754.7863378827124</v>
      </c>
      <c r="I2031" s="394"/>
      <c r="J2031" s="392">
        <f t="shared" si="80"/>
        <v>0</v>
      </c>
      <c r="K2031" s="392">
        <f t="shared" si="80"/>
        <v>0</v>
      </c>
      <c r="L2031" s="392">
        <f t="shared" si="80"/>
        <v>0</v>
      </c>
      <c r="M2031" s="392">
        <f t="shared" si="80"/>
        <v>2754.7863378827124</v>
      </c>
      <c r="N2031" s="392">
        <f t="shared" si="80"/>
        <v>0</v>
      </c>
    </row>
    <row r="2032" spans="1:14" hidden="1" outlineLevel="2" x14ac:dyDescent="0.35">
      <c r="A2032" s="388" t="s">
        <v>3888</v>
      </c>
      <c r="B2032" s="389">
        <v>44135</v>
      </c>
      <c r="C2032" s="390" t="s">
        <v>6098</v>
      </c>
      <c r="D2032" s="391" t="s">
        <v>6099</v>
      </c>
      <c r="E2032" s="391" t="s">
        <v>6100</v>
      </c>
      <c r="F2032" s="392">
        <v>5660000</v>
      </c>
      <c r="G2032" s="393" t="s">
        <v>3800</v>
      </c>
      <c r="H2032" s="394">
        <v>2173.194219247287</v>
      </c>
      <c r="I2032" s="394"/>
      <c r="J2032" s="392"/>
      <c r="K2032" s="392">
        <v>2173.194219247287</v>
      </c>
      <c r="L2032" s="392"/>
      <c r="M2032" s="392"/>
      <c r="N2032" s="392"/>
    </row>
    <row r="2033" spans="1:14" hidden="1" outlineLevel="2" collapsed="1" x14ac:dyDescent="0.35">
      <c r="A2033" s="388" t="s">
        <v>3888</v>
      </c>
      <c r="B2033" s="389">
        <v>44135</v>
      </c>
      <c r="C2033" s="390" t="s">
        <v>6098</v>
      </c>
      <c r="D2033" s="391" t="s">
        <v>6101</v>
      </c>
      <c r="E2033" s="391" t="s">
        <v>6102</v>
      </c>
      <c r="F2033" s="392">
        <v>900000</v>
      </c>
      <c r="G2033" s="393" t="s">
        <v>3800</v>
      </c>
      <c r="H2033" s="394">
        <v>345.56091825486897</v>
      </c>
      <c r="I2033" s="394"/>
      <c r="J2033" s="392"/>
      <c r="K2033" s="392">
        <v>345.56091825486897</v>
      </c>
      <c r="L2033" s="392"/>
      <c r="M2033" s="392"/>
      <c r="N2033" s="392"/>
    </row>
    <row r="2034" spans="1:14" hidden="1" outlineLevel="2" x14ac:dyDescent="0.35">
      <c r="A2034" s="388" t="s">
        <v>3888</v>
      </c>
      <c r="B2034" s="389">
        <v>44135</v>
      </c>
      <c r="C2034" s="390" t="s">
        <v>6098</v>
      </c>
      <c r="D2034" s="391" t="s">
        <v>6103</v>
      </c>
      <c r="E2034" s="391" t="s">
        <v>6104</v>
      </c>
      <c r="F2034" s="392">
        <v>1200000</v>
      </c>
      <c r="G2034" s="393" t="s">
        <v>3800</v>
      </c>
      <c r="H2034" s="394">
        <v>460.74789100649195</v>
      </c>
      <c r="I2034" s="394"/>
      <c r="J2034" s="392"/>
      <c r="K2034" s="392">
        <v>460.74789100649195</v>
      </c>
      <c r="L2034" s="392"/>
      <c r="M2034" s="392"/>
      <c r="N2034" s="392"/>
    </row>
    <row r="2035" spans="1:14" hidden="1" outlineLevel="2" x14ac:dyDescent="0.35">
      <c r="A2035" s="388" t="s">
        <v>3888</v>
      </c>
      <c r="B2035" s="389">
        <v>44135</v>
      </c>
      <c r="C2035" s="390" t="s">
        <v>6098</v>
      </c>
      <c r="D2035" s="391" t="s">
        <v>6105</v>
      </c>
      <c r="E2035" s="391" t="s">
        <v>6106</v>
      </c>
      <c r="F2035" s="392">
        <v>750000</v>
      </c>
      <c r="G2035" s="393" t="s">
        <v>3800</v>
      </c>
      <c r="H2035" s="394">
        <v>287.96743187905747</v>
      </c>
      <c r="I2035" s="394"/>
      <c r="J2035" s="392"/>
      <c r="K2035" s="392">
        <v>287.96743187905747</v>
      </c>
      <c r="L2035" s="392"/>
      <c r="M2035" s="392"/>
      <c r="N2035" s="392"/>
    </row>
    <row r="2036" spans="1:14" hidden="1" outlineLevel="2" x14ac:dyDescent="0.35">
      <c r="A2036" s="388" t="s">
        <v>3888</v>
      </c>
      <c r="B2036" s="389">
        <v>44135</v>
      </c>
      <c r="C2036" s="390" t="s">
        <v>6107</v>
      </c>
      <c r="D2036" s="391" t="s">
        <v>6108</v>
      </c>
      <c r="E2036" s="391" t="s">
        <v>6109</v>
      </c>
      <c r="F2036" s="392">
        <v>1680000</v>
      </c>
      <c r="G2036" s="393" t="s">
        <v>3800</v>
      </c>
      <c r="H2036" s="394">
        <v>645.04704740908869</v>
      </c>
      <c r="I2036" s="394"/>
      <c r="J2036" s="392"/>
      <c r="K2036" s="392">
        <v>645.04704740908869</v>
      </c>
      <c r="L2036" s="392"/>
      <c r="M2036" s="392"/>
      <c r="N2036" s="392"/>
    </row>
    <row r="2037" spans="1:14" hidden="1" outlineLevel="2" x14ac:dyDescent="0.35">
      <c r="A2037" s="388" t="s">
        <v>3888</v>
      </c>
      <c r="B2037" s="389">
        <v>44135</v>
      </c>
      <c r="C2037" s="390" t="s">
        <v>6107</v>
      </c>
      <c r="D2037" s="391" t="s">
        <v>6103</v>
      </c>
      <c r="E2037" s="391" t="s">
        <v>6110</v>
      </c>
      <c r="F2037" s="392">
        <v>400000</v>
      </c>
      <c r="G2037" s="393" t="s">
        <v>3800</v>
      </c>
      <c r="H2037" s="394">
        <v>153.58263033549733</v>
      </c>
      <c r="I2037" s="394"/>
      <c r="J2037" s="392"/>
      <c r="K2037" s="392">
        <v>153.58263033549733</v>
      </c>
      <c r="L2037" s="392"/>
      <c r="M2037" s="392"/>
      <c r="N2037" s="392"/>
    </row>
    <row r="2038" spans="1:14" hidden="1" outlineLevel="2" x14ac:dyDescent="0.35">
      <c r="A2038" s="388" t="s">
        <v>3888</v>
      </c>
      <c r="B2038" s="389">
        <v>44135</v>
      </c>
      <c r="C2038" s="390" t="s">
        <v>6107</v>
      </c>
      <c r="D2038" s="391" t="s">
        <v>6111</v>
      </c>
      <c r="E2038" s="391" t="s">
        <v>4198</v>
      </c>
      <c r="F2038" s="392">
        <v>144000</v>
      </c>
      <c r="G2038" s="393" t="s">
        <v>3800</v>
      </c>
      <c r="H2038" s="394">
        <v>55.289746920779031</v>
      </c>
      <c r="I2038" s="394"/>
      <c r="J2038" s="392"/>
      <c r="K2038" s="392">
        <v>55.289746920779031</v>
      </c>
      <c r="L2038" s="392"/>
      <c r="M2038" s="392"/>
      <c r="N2038" s="392"/>
    </row>
    <row r="2039" spans="1:14" hidden="1" outlineLevel="2" x14ac:dyDescent="0.35">
      <c r="A2039" s="388" t="s">
        <v>3888</v>
      </c>
      <c r="B2039" s="389">
        <v>44135</v>
      </c>
      <c r="C2039" s="390" t="s">
        <v>6107</v>
      </c>
      <c r="D2039" s="391" t="s">
        <v>6112</v>
      </c>
      <c r="E2039" s="391" t="s">
        <v>4734</v>
      </c>
      <c r="F2039" s="392">
        <v>90000</v>
      </c>
      <c r="G2039" s="393" t="s">
        <v>3800</v>
      </c>
      <c r="H2039" s="394">
        <v>34.556091825486895</v>
      </c>
      <c r="I2039" s="394"/>
      <c r="J2039" s="392"/>
      <c r="K2039" s="392">
        <v>34.556091825486895</v>
      </c>
      <c r="L2039" s="392"/>
      <c r="M2039" s="392"/>
      <c r="N2039" s="392"/>
    </row>
    <row r="2040" spans="1:14" hidden="1" outlineLevel="2" x14ac:dyDescent="0.35">
      <c r="A2040" s="388" t="s">
        <v>3888</v>
      </c>
      <c r="B2040" s="389">
        <v>44135</v>
      </c>
      <c r="C2040" s="390" t="s">
        <v>6107</v>
      </c>
      <c r="D2040" s="391" t="s">
        <v>6113</v>
      </c>
      <c r="E2040" s="391" t="s">
        <v>6114</v>
      </c>
      <c r="F2040" s="392">
        <v>298740</v>
      </c>
      <c r="G2040" s="393" t="s">
        <v>3800</v>
      </c>
      <c r="H2040" s="394">
        <v>114.70318746606617</v>
      </c>
      <c r="I2040" s="394"/>
      <c r="J2040" s="392"/>
      <c r="K2040" s="392">
        <v>114.70318746606617</v>
      </c>
      <c r="L2040" s="392"/>
      <c r="M2040" s="392"/>
      <c r="N2040" s="392"/>
    </row>
    <row r="2041" spans="1:14" outlineLevel="1" collapsed="1" x14ac:dyDescent="0.35">
      <c r="A2041" s="395" t="s">
        <v>6115</v>
      </c>
      <c r="B2041" s="389"/>
      <c r="C2041" s="390"/>
      <c r="D2041" s="391"/>
      <c r="E2041" s="391"/>
      <c r="F2041" s="392"/>
      <c r="G2041" s="393"/>
      <c r="H2041" s="394">
        <f t="shared" ref="H2041:N2041" si="81">SUBTOTAL(9,H2032:H2040)</f>
        <v>4270.6491643446234</v>
      </c>
      <c r="I2041" s="394"/>
      <c r="J2041" s="392">
        <f t="shared" si="81"/>
        <v>0</v>
      </c>
      <c r="K2041" s="392">
        <f t="shared" si="81"/>
        <v>4270.6491643446234</v>
      </c>
      <c r="L2041" s="392">
        <f t="shared" si="81"/>
        <v>0</v>
      </c>
      <c r="M2041" s="392">
        <f t="shared" si="81"/>
        <v>0</v>
      </c>
      <c r="N2041" s="392">
        <f t="shared" si="81"/>
        <v>0</v>
      </c>
    </row>
    <row r="2042" spans="1:14" hidden="1" outlineLevel="2" x14ac:dyDescent="0.35">
      <c r="A2042" s="388" t="s">
        <v>6116</v>
      </c>
      <c r="B2042" s="389">
        <v>43950</v>
      </c>
      <c r="C2042" s="390" t="s">
        <v>4266</v>
      </c>
      <c r="D2042" s="391" t="s">
        <v>4267</v>
      </c>
      <c r="E2042" s="391" t="s">
        <v>6117</v>
      </c>
      <c r="F2042" s="392">
        <v>1239000</v>
      </c>
      <c r="G2042" s="393" t="s">
        <v>3800</v>
      </c>
      <c r="H2042" s="394">
        <v>475.72219746420296</v>
      </c>
      <c r="I2042" s="394"/>
      <c r="J2042" s="392">
        <v>118.93054936605074</v>
      </c>
      <c r="K2042" s="392">
        <v>118.93054936605074</v>
      </c>
      <c r="L2042" s="392">
        <v>118.93054936605074</v>
      </c>
      <c r="M2042" s="392">
        <v>118.93054936605074</v>
      </c>
      <c r="N2042" s="392"/>
    </row>
    <row r="2043" spans="1:14" hidden="1" outlineLevel="2" x14ac:dyDescent="0.35">
      <c r="A2043" s="388" t="s">
        <v>6116</v>
      </c>
      <c r="B2043" s="389">
        <v>43950</v>
      </c>
      <c r="C2043" s="390" t="s">
        <v>4266</v>
      </c>
      <c r="D2043" s="391" t="s">
        <v>4269</v>
      </c>
      <c r="E2043" s="391" t="s">
        <v>6117</v>
      </c>
      <c r="F2043" s="392">
        <v>185850</v>
      </c>
      <c r="G2043" s="393" t="s">
        <v>3800</v>
      </c>
      <c r="H2043" s="394">
        <v>71.358329619630439</v>
      </c>
      <c r="I2043" s="394"/>
      <c r="J2043" s="392">
        <v>17.83958240490761</v>
      </c>
      <c r="K2043" s="392">
        <v>17.83958240490761</v>
      </c>
      <c r="L2043" s="392">
        <v>17.83958240490761</v>
      </c>
      <c r="M2043" s="392">
        <v>17.83958240490761</v>
      </c>
      <c r="N2043" s="392"/>
    </row>
    <row r="2044" spans="1:14" hidden="1" outlineLevel="2" x14ac:dyDescent="0.35">
      <c r="A2044" s="388" t="s">
        <v>6116</v>
      </c>
      <c r="B2044" s="389">
        <v>43950</v>
      </c>
      <c r="C2044" s="390" t="s">
        <v>4270</v>
      </c>
      <c r="D2044" s="391" t="s">
        <v>4271</v>
      </c>
      <c r="E2044" s="391" t="s">
        <v>4272</v>
      </c>
      <c r="F2044" s="392">
        <v>154875</v>
      </c>
      <c r="G2044" s="393" t="s">
        <v>3800</v>
      </c>
      <c r="H2044" s="394">
        <v>59.46527468302537</v>
      </c>
      <c r="I2044" s="394"/>
      <c r="J2044" s="392">
        <v>14.866318670756343</v>
      </c>
      <c r="K2044" s="392">
        <v>14.866318670756343</v>
      </c>
      <c r="L2044" s="392">
        <v>14.866318670756343</v>
      </c>
      <c r="M2044" s="392">
        <v>14.866318670756343</v>
      </c>
      <c r="N2044" s="392"/>
    </row>
    <row r="2045" spans="1:14" hidden="1" outlineLevel="2" x14ac:dyDescent="0.35">
      <c r="A2045" s="388" t="s">
        <v>6116</v>
      </c>
      <c r="B2045" s="389">
        <v>43950</v>
      </c>
      <c r="C2045" s="390" t="s">
        <v>4266</v>
      </c>
      <c r="D2045" s="391" t="s">
        <v>4273</v>
      </c>
      <c r="E2045" s="391" t="s">
        <v>6117</v>
      </c>
      <c r="F2045" s="392">
        <v>61950</v>
      </c>
      <c r="G2045" s="393" t="s">
        <v>3800</v>
      </c>
      <c r="H2045" s="394">
        <v>23.786109873210147</v>
      </c>
      <c r="I2045" s="394"/>
      <c r="J2045" s="392">
        <v>5.9465274683025369</v>
      </c>
      <c r="K2045" s="392">
        <v>5.9465274683025369</v>
      </c>
      <c r="L2045" s="392">
        <v>5.9465274683025369</v>
      </c>
      <c r="M2045" s="392">
        <v>5.9465274683025369</v>
      </c>
      <c r="N2045" s="392"/>
    </row>
    <row r="2046" spans="1:14" hidden="1" outlineLevel="2" x14ac:dyDescent="0.35">
      <c r="A2046" s="388" t="s">
        <v>6116</v>
      </c>
      <c r="B2046" s="389">
        <v>43950</v>
      </c>
      <c r="C2046" s="390" t="s">
        <v>4274</v>
      </c>
      <c r="D2046" s="391" t="s">
        <v>4275</v>
      </c>
      <c r="E2046" s="391" t="s">
        <v>4276</v>
      </c>
      <c r="F2046" s="392">
        <v>61950</v>
      </c>
      <c r="G2046" s="393" t="s">
        <v>3800</v>
      </c>
      <c r="H2046" s="394">
        <v>23.786109873210147</v>
      </c>
      <c r="I2046" s="394"/>
      <c r="J2046" s="392">
        <v>5.9465274683025369</v>
      </c>
      <c r="K2046" s="392">
        <v>5.9465274683025369</v>
      </c>
      <c r="L2046" s="392">
        <v>5.9465274683025369</v>
      </c>
      <c r="M2046" s="392">
        <v>5.9465274683025369</v>
      </c>
      <c r="N2046" s="392"/>
    </row>
    <row r="2047" spans="1:14" hidden="1" outlineLevel="2" x14ac:dyDescent="0.35">
      <c r="A2047" s="388" t="s">
        <v>6116</v>
      </c>
      <c r="B2047" s="389">
        <v>43950</v>
      </c>
      <c r="C2047" s="390" t="s">
        <v>4277</v>
      </c>
      <c r="D2047" s="391" t="s">
        <v>4278</v>
      </c>
      <c r="E2047" s="391" t="s">
        <v>4042</v>
      </c>
      <c r="F2047" s="392">
        <v>15487.5</v>
      </c>
      <c r="G2047" s="393" t="s">
        <v>3800</v>
      </c>
      <c r="H2047" s="394">
        <v>5.9465274683025369</v>
      </c>
      <c r="I2047" s="394"/>
      <c r="J2047" s="392">
        <v>1.4866318670756342</v>
      </c>
      <c r="K2047" s="392">
        <v>1.4866318670756342</v>
      </c>
      <c r="L2047" s="392">
        <v>1.4866318670756342</v>
      </c>
      <c r="M2047" s="392">
        <v>1.4866318670756342</v>
      </c>
      <c r="N2047" s="392"/>
    </row>
    <row r="2048" spans="1:14" hidden="1" outlineLevel="2" x14ac:dyDescent="0.35">
      <c r="A2048" s="388" t="s">
        <v>6116</v>
      </c>
      <c r="B2048" s="389">
        <v>43959</v>
      </c>
      <c r="C2048" s="390" t="s">
        <v>4253</v>
      </c>
      <c r="D2048" s="391" t="s">
        <v>4279</v>
      </c>
      <c r="E2048" s="391" t="s">
        <v>6117</v>
      </c>
      <c r="F2048" s="392">
        <v>1239000</v>
      </c>
      <c r="G2048" s="393" t="s">
        <v>3800</v>
      </c>
      <c r="H2048" s="394">
        <v>475.72219746420296</v>
      </c>
      <c r="I2048" s="394"/>
      <c r="J2048" s="392">
        <v>118.93054936605074</v>
      </c>
      <c r="K2048" s="392">
        <v>118.93054936605074</v>
      </c>
      <c r="L2048" s="392">
        <v>118.93054936605074</v>
      </c>
      <c r="M2048" s="392">
        <v>118.93054936605074</v>
      </c>
      <c r="N2048" s="392"/>
    </row>
    <row r="2049" spans="1:14" hidden="1" outlineLevel="2" x14ac:dyDescent="0.35">
      <c r="A2049" s="388" t="s">
        <v>6116</v>
      </c>
      <c r="B2049" s="389">
        <v>43959</v>
      </c>
      <c r="C2049" s="390" t="s">
        <v>4253</v>
      </c>
      <c r="D2049" s="391" t="s">
        <v>4280</v>
      </c>
      <c r="E2049" s="391" t="s">
        <v>6117</v>
      </c>
      <c r="F2049" s="392">
        <v>185850</v>
      </c>
      <c r="G2049" s="393" t="s">
        <v>3800</v>
      </c>
      <c r="H2049" s="394">
        <v>71.358329619630439</v>
      </c>
      <c r="I2049" s="394"/>
      <c r="J2049" s="392">
        <v>17.83958240490761</v>
      </c>
      <c r="K2049" s="392">
        <v>17.83958240490761</v>
      </c>
      <c r="L2049" s="392">
        <v>17.83958240490761</v>
      </c>
      <c r="M2049" s="392">
        <v>17.83958240490761</v>
      </c>
      <c r="N2049" s="392"/>
    </row>
    <row r="2050" spans="1:14" hidden="1" outlineLevel="2" x14ac:dyDescent="0.35">
      <c r="A2050" s="388" t="s">
        <v>6116</v>
      </c>
      <c r="B2050" s="389">
        <v>43963</v>
      </c>
      <c r="C2050" s="390" t="s">
        <v>4281</v>
      </c>
      <c r="D2050" s="391" t="s">
        <v>4282</v>
      </c>
      <c r="E2050" s="391" t="s">
        <v>4272</v>
      </c>
      <c r="F2050" s="392">
        <v>154875</v>
      </c>
      <c r="G2050" s="393" t="s">
        <v>3800</v>
      </c>
      <c r="H2050" s="394">
        <v>59.46527468302537</v>
      </c>
      <c r="I2050" s="394"/>
      <c r="J2050" s="392">
        <v>14.866318670756343</v>
      </c>
      <c r="K2050" s="392">
        <v>14.866318670756343</v>
      </c>
      <c r="L2050" s="392">
        <v>14.866318670756343</v>
      </c>
      <c r="M2050" s="392">
        <v>14.866318670756343</v>
      </c>
      <c r="N2050" s="392"/>
    </row>
    <row r="2051" spans="1:14" hidden="1" outlineLevel="2" x14ac:dyDescent="0.35">
      <c r="A2051" s="388" t="s">
        <v>6116</v>
      </c>
      <c r="B2051" s="389">
        <v>43959</v>
      </c>
      <c r="C2051" s="390" t="s">
        <v>4253</v>
      </c>
      <c r="D2051" s="391" t="s">
        <v>4283</v>
      </c>
      <c r="E2051" s="391" t="s">
        <v>6117</v>
      </c>
      <c r="F2051" s="392">
        <v>61950</v>
      </c>
      <c r="G2051" s="393" t="s">
        <v>3800</v>
      </c>
      <c r="H2051" s="394">
        <v>23.786109873210147</v>
      </c>
      <c r="I2051" s="394"/>
      <c r="J2051" s="392">
        <v>5.9465274683025369</v>
      </c>
      <c r="K2051" s="392">
        <v>5.9465274683025369</v>
      </c>
      <c r="L2051" s="392">
        <v>5.9465274683025369</v>
      </c>
      <c r="M2051" s="392">
        <v>5.9465274683025369</v>
      </c>
      <c r="N2051" s="392"/>
    </row>
    <row r="2052" spans="1:14" hidden="1" outlineLevel="2" x14ac:dyDescent="0.35">
      <c r="A2052" s="388" t="s">
        <v>6116</v>
      </c>
      <c r="B2052" s="389">
        <v>43964</v>
      </c>
      <c r="C2052" s="390" t="s">
        <v>4284</v>
      </c>
      <c r="D2052" s="391" t="s">
        <v>4389</v>
      </c>
      <c r="E2052" s="391" t="s">
        <v>4276</v>
      </c>
      <c r="F2052" s="392">
        <v>61950</v>
      </c>
      <c r="G2052" s="393" t="s">
        <v>3800</v>
      </c>
      <c r="H2052" s="394">
        <v>23.786109873210147</v>
      </c>
      <c r="I2052" s="394"/>
      <c r="J2052" s="392">
        <v>5.9465274683025369</v>
      </c>
      <c r="K2052" s="392">
        <v>5.9465274683025369</v>
      </c>
      <c r="L2052" s="392">
        <v>5.9465274683025369</v>
      </c>
      <c r="M2052" s="392">
        <v>5.9465274683025369</v>
      </c>
      <c r="N2052" s="392"/>
    </row>
    <row r="2053" spans="1:14" hidden="1" outlineLevel="2" x14ac:dyDescent="0.35">
      <c r="A2053" s="388" t="s">
        <v>6116</v>
      </c>
      <c r="B2053" s="389">
        <v>43959</v>
      </c>
      <c r="C2053" s="390" t="s">
        <v>4286</v>
      </c>
      <c r="D2053" s="391" t="s">
        <v>4287</v>
      </c>
      <c r="E2053" s="391" t="s">
        <v>4042</v>
      </c>
      <c r="F2053" s="392">
        <v>15487.5</v>
      </c>
      <c r="G2053" s="393" t="s">
        <v>3800</v>
      </c>
      <c r="H2053" s="394">
        <v>5.9465274683025369</v>
      </c>
      <c r="I2053" s="394"/>
      <c r="J2053" s="392">
        <v>1.4866318670756342</v>
      </c>
      <c r="K2053" s="392">
        <v>1.4866318670756342</v>
      </c>
      <c r="L2053" s="392">
        <v>1.4866318670756342</v>
      </c>
      <c r="M2053" s="392">
        <v>1.4866318670756342</v>
      </c>
      <c r="N2053" s="392"/>
    </row>
    <row r="2054" spans="1:14" hidden="1" outlineLevel="2" x14ac:dyDescent="0.35">
      <c r="A2054" s="388" t="s">
        <v>6116</v>
      </c>
      <c r="B2054" s="389">
        <v>43980</v>
      </c>
      <c r="C2054" s="390" t="s">
        <v>4288</v>
      </c>
      <c r="D2054" s="391" t="s">
        <v>4289</v>
      </c>
      <c r="E2054" s="391" t="s">
        <v>6117</v>
      </c>
      <c r="F2054" s="392">
        <v>1239000</v>
      </c>
      <c r="G2054" s="393" t="s">
        <v>3800</v>
      </c>
      <c r="H2054" s="394">
        <v>475.72219746420296</v>
      </c>
      <c r="I2054" s="394"/>
      <c r="J2054" s="392">
        <v>118.93054936605074</v>
      </c>
      <c r="K2054" s="392">
        <v>118.93054936605074</v>
      </c>
      <c r="L2054" s="392">
        <v>118.93054936605074</v>
      </c>
      <c r="M2054" s="392">
        <v>118.93054936605074</v>
      </c>
      <c r="N2054" s="392"/>
    </row>
    <row r="2055" spans="1:14" hidden="1" outlineLevel="2" x14ac:dyDescent="0.35">
      <c r="A2055" s="388" t="s">
        <v>6116</v>
      </c>
      <c r="B2055" s="389">
        <v>43980</v>
      </c>
      <c r="C2055" s="390" t="s">
        <v>4290</v>
      </c>
      <c r="D2055" s="391" t="s">
        <v>4291</v>
      </c>
      <c r="E2055" s="391" t="s">
        <v>6117</v>
      </c>
      <c r="F2055" s="392">
        <v>185850</v>
      </c>
      <c r="G2055" s="393" t="s">
        <v>3800</v>
      </c>
      <c r="H2055" s="394">
        <v>71.358329619630439</v>
      </c>
      <c r="I2055" s="394"/>
      <c r="J2055" s="392">
        <v>17.83958240490761</v>
      </c>
      <c r="K2055" s="392">
        <v>17.83958240490761</v>
      </c>
      <c r="L2055" s="392">
        <v>17.83958240490761</v>
      </c>
      <c r="M2055" s="392">
        <v>17.83958240490761</v>
      </c>
      <c r="N2055" s="392"/>
    </row>
    <row r="2056" spans="1:14" hidden="1" outlineLevel="2" x14ac:dyDescent="0.35">
      <c r="A2056" s="388" t="s">
        <v>6116</v>
      </c>
      <c r="B2056" s="389">
        <v>43980</v>
      </c>
      <c r="C2056" s="390" t="s">
        <v>4281</v>
      </c>
      <c r="D2056" s="391" t="s">
        <v>4390</v>
      </c>
      <c r="E2056" s="391" t="s">
        <v>4272</v>
      </c>
      <c r="F2056" s="392">
        <v>154875</v>
      </c>
      <c r="G2056" s="393" t="s">
        <v>3800</v>
      </c>
      <c r="H2056" s="394">
        <v>59.46527468302537</v>
      </c>
      <c r="I2056" s="394"/>
      <c r="J2056" s="392">
        <v>14.866318670756343</v>
      </c>
      <c r="K2056" s="392">
        <v>14.866318670756343</v>
      </c>
      <c r="L2056" s="392">
        <v>14.866318670756343</v>
      </c>
      <c r="M2056" s="392">
        <v>14.866318670756343</v>
      </c>
      <c r="N2056" s="392"/>
    </row>
    <row r="2057" spans="1:14" hidden="1" outlineLevel="2" x14ac:dyDescent="0.35">
      <c r="A2057" s="388" t="s">
        <v>6116</v>
      </c>
      <c r="B2057" s="389">
        <v>43980</v>
      </c>
      <c r="C2057" s="390" t="s">
        <v>4288</v>
      </c>
      <c r="D2057" s="391" t="s">
        <v>4292</v>
      </c>
      <c r="E2057" s="391" t="s">
        <v>6117</v>
      </c>
      <c r="F2057" s="392">
        <v>61950</v>
      </c>
      <c r="G2057" s="393" t="s">
        <v>3800</v>
      </c>
      <c r="H2057" s="394">
        <v>23.786109873210147</v>
      </c>
      <c r="I2057" s="394"/>
      <c r="J2057" s="392">
        <v>5.9465274683025369</v>
      </c>
      <c r="K2057" s="392">
        <v>5.9465274683025369</v>
      </c>
      <c r="L2057" s="392">
        <v>5.9465274683025369</v>
      </c>
      <c r="M2057" s="392">
        <v>5.9465274683025369</v>
      </c>
      <c r="N2057" s="392"/>
    </row>
    <row r="2058" spans="1:14" hidden="1" outlineLevel="2" x14ac:dyDescent="0.35">
      <c r="A2058" s="388" t="s">
        <v>6116</v>
      </c>
      <c r="B2058" s="389">
        <v>43980</v>
      </c>
      <c r="C2058" s="390" t="s">
        <v>4184</v>
      </c>
      <c r="D2058" s="391" t="s">
        <v>6118</v>
      </c>
      <c r="E2058" s="391" t="s">
        <v>4276</v>
      </c>
      <c r="F2058" s="392">
        <v>61950</v>
      </c>
      <c r="G2058" s="393" t="s">
        <v>3800</v>
      </c>
      <c r="H2058" s="394">
        <v>23.786109873210147</v>
      </c>
      <c r="I2058" s="394"/>
      <c r="J2058" s="392">
        <v>5.9465274683025369</v>
      </c>
      <c r="K2058" s="392">
        <v>5.9465274683025369</v>
      </c>
      <c r="L2058" s="392">
        <v>5.9465274683025369</v>
      </c>
      <c r="M2058" s="392">
        <v>5.9465274683025369</v>
      </c>
      <c r="N2058" s="392"/>
    </row>
    <row r="2059" spans="1:14" hidden="1" outlineLevel="2" x14ac:dyDescent="0.35">
      <c r="A2059" s="388" t="s">
        <v>6116</v>
      </c>
      <c r="B2059" s="389">
        <v>43980</v>
      </c>
      <c r="C2059" s="390" t="s">
        <v>4294</v>
      </c>
      <c r="D2059" s="391" t="s">
        <v>4295</v>
      </c>
      <c r="E2059" s="391" t="s">
        <v>4042</v>
      </c>
      <c r="F2059" s="392">
        <v>15487.5</v>
      </c>
      <c r="G2059" s="393" t="s">
        <v>3800</v>
      </c>
      <c r="H2059" s="394">
        <v>5.9465274683025369</v>
      </c>
      <c r="I2059" s="394"/>
      <c r="J2059" s="392">
        <v>1.4866318670756342</v>
      </c>
      <c r="K2059" s="392">
        <v>1.4866318670756342</v>
      </c>
      <c r="L2059" s="392">
        <v>1.4866318670756342</v>
      </c>
      <c r="M2059" s="392">
        <v>1.4866318670756342</v>
      </c>
      <c r="N2059" s="392"/>
    </row>
    <row r="2060" spans="1:14" hidden="1" outlineLevel="2" x14ac:dyDescent="0.35">
      <c r="A2060" s="388" t="s">
        <v>6116</v>
      </c>
      <c r="B2060" s="389">
        <v>44018</v>
      </c>
      <c r="C2060" s="390" t="s">
        <v>4192</v>
      </c>
      <c r="D2060" s="391" t="s">
        <v>4296</v>
      </c>
      <c r="E2060" s="391" t="s">
        <v>6117</v>
      </c>
      <c r="F2060" s="392">
        <v>1239000</v>
      </c>
      <c r="G2060" s="393" t="s">
        <v>3800</v>
      </c>
      <c r="H2060" s="394">
        <v>475.72219746420296</v>
      </c>
      <c r="I2060" s="394"/>
      <c r="J2060" s="392">
        <v>118.93054936605074</v>
      </c>
      <c r="K2060" s="392">
        <v>118.93054936605074</v>
      </c>
      <c r="L2060" s="392">
        <v>118.93054936605074</v>
      </c>
      <c r="M2060" s="392">
        <v>118.93054936605074</v>
      </c>
      <c r="N2060" s="392"/>
    </row>
    <row r="2061" spans="1:14" hidden="1" outlineLevel="2" x14ac:dyDescent="0.35">
      <c r="A2061" s="388" t="s">
        <v>6116</v>
      </c>
      <c r="B2061" s="389">
        <v>44018</v>
      </c>
      <c r="C2061" s="390" t="s">
        <v>4192</v>
      </c>
      <c r="D2061" s="391" t="s">
        <v>4297</v>
      </c>
      <c r="E2061" s="391" t="s">
        <v>6117</v>
      </c>
      <c r="F2061" s="392">
        <v>185850</v>
      </c>
      <c r="G2061" s="393" t="s">
        <v>3800</v>
      </c>
      <c r="H2061" s="394">
        <v>71.358329619630439</v>
      </c>
      <c r="I2061" s="394"/>
      <c r="J2061" s="392">
        <v>17.83958240490761</v>
      </c>
      <c r="K2061" s="392">
        <v>17.83958240490761</v>
      </c>
      <c r="L2061" s="392">
        <v>17.83958240490761</v>
      </c>
      <c r="M2061" s="392">
        <v>17.83958240490761</v>
      </c>
      <c r="N2061" s="392"/>
    </row>
    <row r="2062" spans="1:14" hidden="1" outlineLevel="2" x14ac:dyDescent="0.35">
      <c r="A2062" s="388" t="s">
        <v>6116</v>
      </c>
      <c r="B2062" s="389">
        <v>44022</v>
      </c>
      <c r="C2062" s="390" t="s">
        <v>4298</v>
      </c>
      <c r="D2062" s="391" t="s">
        <v>4299</v>
      </c>
      <c r="E2062" s="391" t="s">
        <v>4272</v>
      </c>
      <c r="F2062" s="392">
        <v>154875</v>
      </c>
      <c r="G2062" s="393" t="s">
        <v>3800</v>
      </c>
      <c r="H2062" s="394">
        <v>59.46527468302537</v>
      </c>
      <c r="I2062" s="394"/>
      <c r="J2062" s="392">
        <v>14.866318670756343</v>
      </c>
      <c r="K2062" s="392">
        <v>14.866318670756343</v>
      </c>
      <c r="L2062" s="392">
        <v>14.866318670756343</v>
      </c>
      <c r="M2062" s="392">
        <v>14.866318670756343</v>
      </c>
      <c r="N2062" s="392"/>
    </row>
    <row r="2063" spans="1:14" hidden="1" outlineLevel="2" x14ac:dyDescent="0.35">
      <c r="A2063" s="388" t="s">
        <v>6116</v>
      </c>
      <c r="B2063" s="389">
        <v>44018</v>
      </c>
      <c r="C2063" s="390" t="s">
        <v>4192</v>
      </c>
      <c r="D2063" s="391" t="s">
        <v>4300</v>
      </c>
      <c r="E2063" s="391" t="s">
        <v>6117</v>
      </c>
      <c r="F2063" s="392">
        <v>61950</v>
      </c>
      <c r="G2063" s="393" t="s">
        <v>3800</v>
      </c>
      <c r="H2063" s="394">
        <v>23.786109873210147</v>
      </c>
      <c r="I2063" s="394"/>
      <c r="J2063" s="392">
        <v>5.9465274683025369</v>
      </c>
      <c r="K2063" s="392">
        <v>5.9465274683025369</v>
      </c>
      <c r="L2063" s="392">
        <v>5.9465274683025369</v>
      </c>
      <c r="M2063" s="392">
        <v>5.9465274683025369</v>
      </c>
      <c r="N2063" s="392"/>
    </row>
    <row r="2064" spans="1:14" hidden="1" outlineLevel="2" x14ac:dyDescent="0.35">
      <c r="A2064" s="388" t="s">
        <v>6116</v>
      </c>
      <c r="B2064" s="389">
        <v>44022</v>
      </c>
      <c r="C2064" s="390" t="s">
        <v>4301</v>
      </c>
      <c r="D2064" s="391" t="s">
        <v>4302</v>
      </c>
      <c r="E2064" s="391" t="s">
        <v>4276</v>
      </c>
      <c r="F2064" s="392">
        <v>61950</v>
      </c>
      <c r="G2064" s="393" t="s">
        <v>3800</v>
      </c>
      <c r="H2064" s="394">
        <v>23.786109873210147</v>
      </c>
      <c r="I2064" s="394"/>
      <c r="J2064" s="392">
        <v>5.9465274683025369</v>
      </c>
      <c r="K2064" s="392">
        <v>5.9465274683025369</v>
      </c>
      <c r="L2064" s="392">
        <v>5.9465274683025369</v>
      </c>
      <c r="M2064" s="392">
        <v>5.9465274683025369</v>
      </c>
      <c r="N2064" s="392"/>
    </row>
    <row r="2065" spans="1:14" hidden="1" outlineLevel="2" x14ac:dyDescent="0.35">
      <c r="A2065" s="388" t="s">
        <v>6116</v>
      </c>
      <c r="B2065" s="389">
        <v>44022</v>
      </c>
      <c r="C2065" s="390" t="s">
        <v>4303</v>
      </c>
      <c r="D2065" s="391" t="s">
        <v>4304</v>
      </c>
      <c r="E2065" s="391" t="s">
        <v>4042</v>
      </c>
      <c r="F2065" s="392">
        <v>15487.5</v>
      </c>
      <c r="G2065" s="393" t="s">
        <v>3800</v>
      </c>
      <c r="H2065" s="394">
        <v>5.9465274683025369</v>
      </c>
      <c r="I2065" s="394"/>
      <c r="J2065" s="392">
        <v>1.4866318670756342</v>
      </c>
      <c r="K2065" s="392">
        <v>1.4866318670756342</v>
      </c>
      <c r="L2065" s="392">
        <v>1.4866318670756342</v>
      </c>
      <c r="M2065" s="392">
        <v>1.4866318670756342</v>
      </c>
      <c r="N2065" s="392"/>
    </row>
    <row r="2066" spans="1:14" hidden="1" outlineLevel="2" x14ac:dyDescent="0.35">
      <c r="A2066" s="388" t="s">
        <v>6116</v>
      </c>
      <c r="B2066" s="389">
        <v>44047</v>
      </c>
      <c r="C2066" s="390" t="s">
        <v>4305</v>
      </c>
      <c r="D2066" s="391" t="s">
        <v>4306</v>
      </c>
      <c r="E2066" s="391" t="s">
        <v>6117</v>
      </c>
      <c r="F2066" s="392">
        <v>1239000</v>
      </c>
      <c r="G2066" s="393" t="s">
        <v>3800</v>
      </c>
      <c r="H2066" s="394">
        <v>475.72219746420296</v>
      </c>
      <c r="I2066" s="394"/>
      <c r="J2066" s="392">
        <v>118.93054936605074</v>
      </c>
      <c r="K2066" s="392">
        <v>118.93054936605074</v>
      </c>
      <c r="L2066" s="392">
        <v>118.93054936605074</v>
      </c>
      <c r="M2066" s="392">
        <v>118.93054936605074</v>
      </c>
      <c r="N2066" s="392"/>
    </row>
    <row r="2067" spans="1:14" hidden="1" outlineLevel="2" x14ac:dyDescent="0.35">
      <c r="A2067" s="388" t="s">
        <v>6116</v>
      </c>
      <c r="B2067" s="389">
        <v>44047</v>
      </c>
      <c r="C2067" s="390" t="s">
        <v>4305</v>
      </c>
      <c r="D2067" s="391" t="s">
        <v>4307</v>
      </c>
      <c r="E2067" s="391" t="s">
        <v>6117</v>
      </c>
      <c r="F2067" s="392">
        <v>185850</v>
      </c>
      <c r="G2067" s="393" t="s">
        <v>3800</v>
      </c>
      <c r="H2067" s="394">
        <v>71.358329619630439</v>
      </c>
      <c r="I2067" s="394"/>
      <c r="J2067" s="392">
        <v>17.83958240490761</v>
      </c>
      <c r="K2067" s="392">
        <v>17.83958240490761</v>
      </c>
      <c r="L2067" s="392">
        <v>17.83958240490761</v>
      </c>
      <c r="M2067" s="392">
        <v>17.83958240490761</v>
      </c>
      <c r="N2067" s="392"/>
    </row>
    <row r="2068" spans="1:14" hidden="1" outlineLevel="2" x14ac:dyDescent="0.35">
      <c r="A2068" s="388" t="s">
        <v>6116</v>
      </c>
      <c r="B2068" s="389">
        <v>44047</v>
      </c>
      <c r="C2068" s="390" t="s">
        <v>4308</v>
      </c>
      <c r="D2068" s="391" t="s">
        <v>4309</v>
      </c>
      <c r="E2068" s="391" t="s">
        <v>4272</v>
      </c>
      <c r="F2068" s="392">
        <v>154875</v>
      </c>
      <c r="G2068" s="393" t="s">
        <v>3800</v>
      </c>
      <c r="H2068" s="394">
        <v>59.46527468302537</v>
      </c>
      <c r="I2068" s="394"/>
      <c r="J2068" s="392">
        <v>14.866318670756343</v>
      </c>
      <c r="K2068" s="392">
        <v>14.866318670756343</v>
      </c>
      <c r="L2068" s="392">
        <v>14.866318670756343</v>
      </c>
      <c r="M2068" s="392">
        <v>14.866318670756343</v>
      </c>
      <c r="N2068" s="392"/>
    </row>
    <row r="2069" spans="1:14" hidden="1" outlineLevel="2" x14ac:dyDescent="0.35">
      <c r="A2069" s="388" t="s">
        <v>6116</v>
      </c>
      <c r="B2069" s="389">
        <v>44047</v>
      </c>
      <c r="C2069" s="390" t="s">
        <v>4305</v>
      </c>
      <c r="D2069" s="391" t="s">
        <v>4310</v>
      </c>
      <c r="E2069" s="391" t="s">
        <v>6117</v>
      </c>
      <c r="F2069" s="392">
        <v>61950</v>
      </c>
      <c r="G2069" s="393" t="s">
        <v>3800</v>
      </c>
      <c r="H2069" s="394">
        <v>23.786109873210147</v>
      </c>
      <c r="I2069" s="394"/>
      <c r="J2069" s="392">
        <v>5.9465274683025369</v>
      </c>
      <c r="K2069" s="392">
        <v>5.9465274683025369</v>
      </c>
      <c r="L2069" s="392">
        <v>5.9465274683025369</v>
      </c>
      <c r="M2069" s="392">
        <v>5.9465274683025369</v>
      </c>
      <c r="N2069" s="392"/>
    </row>
    <row r="2070" spans="1:14" hidden="1" outlineLevel="2" x14ac:dyDescent="0.35">
      <c r="A2070" s="388" t="s">
        <v>6116</v>
      </c>
      <c r="B2070" s="389">
        <v>44047</v>
      </c>
      <c r="C2070" s="390" t="s">
        <v>4311</v>
      </c>
      <c r="D2070" s="391" t="s">
        <v>4312</v>
      </c>
      <c r="E2070" s="391" t="s">
        <v>4276</v>
      </c>
      <c r="F2070" s="392">
        <v>61950</v>
      </c>
      <c r="G2070" s="393" t="s">
        <v>3800</v>
      </c>
      <c r="H2070" s="394">
        <v>23.786109873210147</v>
      </c>
      <c r="I2070" s="394"/>
      <c r="J2070" s="392">
        <v>5.9465274683025369</v>
      </c>
      <c r="K2070" s="392">
        <v>5.9465274683025369</v>
      </c>
      <c r="L2070" s="392">
        <v>5.9465274683025369</v>
      </c>
      <c r="M2070" s="392">
        <v>5.9465274683025369</v>
      </c>
      <c r="N2070" s="392"/>
    </row>
    <row r="2071" spans="1:14" hidden="1" outlineLevel="2" x14ac:dyDescent="0.35">
      <c r="A2071" s="388" t="s">
        <v>6116</v>
      </c>
      <c r="B2071" s="389">
        <v>44047</v>
      </c>
      <c r="C2071" s="390" t="s">
        <v>4313</v>
      </c>
      <c r="D2071" s="391" t="s">
        <v>4314</v>
      </c>
      <c r="E2071" s="391" t="s">
        <v>4042</v>
      </c>
      <c r="F2071" s="392">
        <v>15487.62</v>
      </c>
      <c r="G2071" s="393" t="s">
        <v>3800</v>
      </c>
      <c r="H2071" s="394">
        <v>5.9465735430916373</v>
      </c>
      <c r="I2071" s="394"/>
      <c r="J2071" s="392">
        <v>1.4866433857729093</v>
      </c>
      <c r="K2071" s="392">
        <v>1.4866433857729093</v>
      </c>
      <c r="L2071" s="392">
        <v>1.4866433857729093</v>
      </c>
      <c r="M2071" s="392">
        <v>1.4866433857729093</v>
      </c>
      <c r="N2071" s="392"/>
    </row>
    <row r="2072" spans="1:14" hidden="1" outlineLevel="2" x14ac:dyDescent="0.35">
      <c r="A2072" s="388" t="s">
        <v>6116</v>
      </c>
      <c r="B2072" s="389">
        <v>44070</v>
      </c>
      <c r="C2072" s="390" t="s">
        <v>4315</v>
      </c>
      <c r="D2072" s="391" t="s">
        <v>4316</v>
      </c>
      <c r="E2072" s="391" t="s">
        <v>6117</v>
      </c>
      <c r="F2072" s="392">
        <v>1239000</v>
      </c>
      <c r="G2072" s="393" t="s">
        <v>3800</v>
      </c>
      <c r="H2072" s="394">
        <v>475.72219746420296</v>
      </c>
      <c r="I2072" s="394"/>
      <c r="J2072" s="392">
        <v>118.93054936605074</v>
      </c>
      <c r="K2072" s="392">
        <v>118.93054936605074</v>
      </c>
      <c r="L2072" s="392">
        <v>118.93054936605074</v>
      </c>
      <c r="M2072" s="392">
        <v>118.93054936605074</v>
      </c>
      <c r="N2072" s="392"/>
    </row>
    <row r="2073" spans="1:14" hidden="1" outlineLevel="2" x14ac:dyDescent="0.35">
      <c r="A2073" s="388" t="s">
        <v>6116</v>
      </c>
      <c r="B2073" s="389">
        <v>44070</v>
      </c>
      <c r="C2073" s="390" t="s">
        <v>4315</v>
      </c>
      <c r="D2073" s="391" t="s">
        <v>4317</v>
      </c>
      <c r="E2073" s="391" t="s">
        <v>6117</v>
      </c>
      <c r="F2073" s="392">
        <v>185850</v>
      </c>
      <c r="G2073" s="393" t="s">
        <v>3800</v>
      </c>
      <c r="H2073" s="394">
        <v>71.358329619630439</v>
      </c>
      <c r="I2073" s="394"/>
      <c r="J2073" s="392">
        <v>17.83958240490761</v>
      </c>
      <c r="K2073" s="392">
        <v>17.83958240490761</v>
      </c>
      <c r="L2073" s="392">
        <v>17.83958240490761</v>
      </c>
      <c r="M2073" s="392">
        <v>17.83958240490761</v>
      </c>
      <c r="N2073" s="392"/>
    </row>
    <row r="2074" spans="1:14" hidden="1" outlineLevel="2" x14ac:dyDescent="0.35">
      <c r="A2074" s="388" t="s">
        <v>6116</v>
      </c>
      <c r="B2074" s="389">
        <v>44070</v>
      </c>
      <c r="C2074" s="390" t="s">
        <v>4318</v>
      </c>
      <c r="D2074" s="391" t="s">
        <v>4319</v>
      </c>
      <c r="E2074" s="391" t="s">
        <v>4272</v>
      </c>
      <c r="F2074" s="392">
        <v>154875</v>
      </c>
      <c r="G2074" s="393" t="s">
        <v>3800</v>
      </c>
      <c r="H2074" s="394">
        <v>59.46527468302537</v>
      </c>
      <c r="I2074" s="394"/>
      <c r="J2074" s="392">
        <v>14.866318670756343</v>
      </c>
      <c r="K2074" s="392">
        <v>14.866318670756343</v>
      </c>
      <c r="L2074" s="392">
        <v>14.866318670756343</v>
      </c>
      <c r="M2074" s="392">
        <v>14.866318670756343</v>
      </c>
      <c r="N2074" s="392"/>
    </row>
    <row r="2075" spans="1:14" hidden="1" outlineLevel="2" x14ac:dyDescent="0.35">
      <c r="A2075" s="388" t="s">
        <v>6116</v>
      </c>
      <c r="B2075" s="389">
        <v>44070</v>
      </c>
      <c r="C2075" s="390" t="s">
        <v>4315</v>
      </c>
      <c r="D2075" s="391" t="s">
        <v>4320</v>
      </c>
      <c r="E2075" s="391" t="s">
        <v>6117</v>
      </c>
      <c r="F2075" s="392">
        <v>61950</v>
      </c>
      <c r="G2075" s="393" t="s">
        <v>3800</v>
      </c>
      <c r="H2075" s="394">
        <v>23.786109873210147</v>
      </c>
      <c r="I2075" s="394"/>
      <c r="J2075" s="392">
        <v>5.9465274683025369</v>
      </c>
      <c r="K2075" s="392">
        <v>5.9465274683025369</v>
      </c>
      <c r="L2075" s="392">
        <v>5.9465274683025369</v>
      </c>
      <c r="M2075" s="392">
        <v>5.9465274683025369</v>
      </c>
      <c r="N2075" s="392"/>
    </row>
    <row r="2076" spans="1:14" hidden="1" outlineLevel="2" collapsed="1" x14ac:dyDescent="0.35">
      <c r="A2076" s="388" t="s">
        <v>6116</v>
      </c>
      <c r="B2076" s="389">
        <v>44070</v>
      </c>
      <c r="C2076" s="390" t="s">
        <v>4321</v>
      </c>
      <c r="D2076" s="391" t="s">
        <v>4322</v>
      </c>
      <c r="E2076" s="391" t="s">
        <v>4276</v>
      </c>
      <c r="F2076" s="392">
        <v>61950</v>
      </c>
      <c r="G2076" s="393" t="s">
        <v>3800</v>
      </c>
      <c r="H2076" s="394">
        <v>23.786109873210147</v>
      </c>
      <c r="I2076" s="394"/>
      <c r="J2076" s="392">
        <v>5.9465274683025369</v>
      </c>
      <c r="K2076" s="392">
        <v>5.9465274683025369</v>
      </c>
      <c r="L2076" s="392">
        <v>5.9465274683025369</v>
      </c>
      <c r="M2076" s="392">
        <v>5.9465274683025369</v>
      </c>
      <c r="N2076" s="392"/>
    </row>
    <row r="2077" spans="1:14" hidden="1" outlineLevel="2" x14ac:dyDescent="0.35">
      <c r="A2077" s="388" t="s">
        <v>6116</v>
      </c>
      <c r="B2077" s="389">
        <v>44070</v>
      </c>
      <c r="C2077" s="390" t="s">
        <v>4323</v>
      </c>
      <c r="D2077" s="391" t="s">
        <v>4324</v>
      </c>
      <c r="E2077" s="391" t="s">
        <v>4042</v>
      </c>
      <c r="F2077" s="392">
        <v>15487.5</v>
      </c>
      <c r="G2077" s="393" t="s">
        <v>3800</v>
      </c>
      <c r="H2077" s="394">
        <v>5.9465274683025369</v>
      </c>
      <c r="I2077" s="394"/>
      <c r="J2077" s="392">
        <v>1.4866318670756342</v>
      </c>
      <c r="K2077" s="392">
        <v>1.4866318670756342</v>
      </c>
      <c r="L2077" s="392">
        <v>1.4866318670756342</v>
      </c>
      <c r="M2077" s="392">
        <v>1.4866318670756342</v>
      </c>
      <c r="N2077" s="392"/>
    </row>
    <row r="2078" spans="1:14" hidden="1" outlineLevel="2" x14ac:dyDescent="0.35">
      <c r="A2078" s="388" t="s">
        <v>6116</v>
      </c>
      <c r="B2078" s="389">
        <v>44104</v>
      </c>
      <c r="C2078" s="390" t="s">
        <v>4325</v>
      </c>
      <c r="D2078" s="391" t="s">
        <v>4326</v>
      </c>
      <c r="E2078" s="391" t="s">
        <v>6117</v>
      </c>
      <c r="F2078" s="392">
        <v>1239000</v>
      </c>
      <c r="G2078" s="393" t="s">
        <v>3800</v>
      </c>
      <c r="H2078" s="394">
        <v>475.72219746420296</v>
      </c>
      <c r="I2078" s="394"/>
      <c r="J2078" s="392">
        <v>118.93054936605074</v>
      </c>
      <c r="K2078" s="392">
        <v>118.93054936605074</v>
      </c>
      <c r="L2078" s="392">
        <v>118.93054936605074</v>
      </c>
      <c r="M2078" s="392">
        <v>118.93054936605074</v>
      </c>
      <c r="N2078" s="392"/>
    </row>
    <row r="2079" spans="1:14" hidden="1" outlineLevel="2" x14ac:dyDescent="0.35">
      <c r="A2079" s="388" t="s">
        <v>6116</v>
      </c>
      <c r="B2079" s="389">
        <v>44104</v>
      </c>
      <c r="C2079" s="390" t="s">
        <v>4325</v>
      </c>
      <c r="D2079" s="391" t="s">
        <v>4327</v>
      </c>
      <c r="E2079" s="391" t="s">
        <v>6117</v>
      </c>
      <c r="F2079" s="392">
        <v>185850</v>
      </c>
      <c r="G2079" s="393" t="s">
        <v>3800</v>
      </c>
      <c r="H2079" s="394">
        <v>71.358329619630439</v>
      </c>
      <c r="I2079" s="394"/>
      <c r="J2079" s="392">
        <v>17.83958240490761</v>
      </c>
      <c r="K2079" s="392">
        <v>17.83958240490761</v>
      </c>
      <c r="L2079" s="392">
        <v>17.83958240490761</v>
      </c>
      <c r="M2079" s="392">
        <v>17.83958240490761</v>
      </c>
      <c r="N2079" s="392"/>
    </row>
    <row r="2080" spans="1:14" hidden="1" outlineLevel="2" x14ac:dyDescent="0.35">
      <c r="A2080" s="388" t="s">
        <v>6116</v>
      </c>
      <c r="B2080" s="389">
        <v>44104</v>
      </c>
      <c r="C2080" s="390" t="s">
        <v>4328</v>
      </c>
      <c r="D2080" s="391" t="s">
        <v>4329</v>
      </c>
      <c r="E2080" s="391" t="s">
        <v>4272</v>
      </c>
      <c r="F2080" s="392">
        <v>154875</v>
      </c>
      <c r="G2080" s="393" t="s">
        <v>3800</v>
      </c>
      <c r="H2080" s="394">
        <v>59.46527468302537</v>
      </c>
      <c r="I2080" s="394"/>
      <c r="J2080" s="392">
        <v>14.866318670756343</v>
      </c>
      <c r="K2080" s="392">
        <v>14.866318670756343</v>
      </c>
      <c r="L2080" s="392">
        <v>14.866318670756343</v>
      </c>
      <c r="M2080" s="392">
        <v>14.866318670756343</v>
      </c>
      <c r="N2080" s="392"/>
    </row>
    <row r="2081" spans="1:14" hidden="1" outlineLevel="2" x14ac:dyDescent="0.35">
      <c r="A2081" s="388" t="s">
        <v>6116</v>
      </c>
      <c r="B2081" s="389">
        <v>44104</v>
      </c>
      <c r="C2081" s="390" t="s">
        <v>4325</v>
      </c>
      <c r="D2081" s="391" t="s">
        <v>4330</v>
      </c>
      <c r="E2081" s="391" t="s">
        <v>6117</v>
      </c>
      <c r="F2081" s="392">
        <v>61950</v>
      </c>
      <c r="G2081" s="393" t="s">
        <v>3800</v>
      </c>
      <c r="H2081" s="394">
        <v>23.786109873210147</v>
      </c>
      <c r="I2081" s="394"/>
      <c r="J2081" s="392">
        <v>5.9465274683025369</v>
      </c>
      <c r="K2081" s="392">
        <v>5.9465274683025369</v>
      </c>
      <c r="L2081" s="392">
        <v>5.9465274683025369</v>
      </c>
      <c r="M2081" s="392">
        <v>5.9465274683025369</v>
      </c>
      <c r="N2081" s="392"/>
    </row>
    <row r="2082" spans="1:14" hidden="1" outlineLevel="2" x14ac:dyDescent="0.35">
      <c r="A2082" s="388" t="s">
        <v>6116</v>
      </c>
      <c r="B2082" s="389">
        <v>44104</v>
      </c>
      <c r="C2082" s="390" t="s">
        <v>4331</v>
      </c>
      <c r="D2082" s="391" t="s">
        <v>4332</v>
      </c>
      <c r="E2082" s="391" t="s">
        <v>4276</v>
      </c>
      <c r="F2082" s="392">
        <v>61950</v>
      </c>
      <c r="G2082" s="393" t="s">
        <v>3800</v>
      </c>
      <c r="H2082" s="394">
        <v>23.786109873210147</v>
      </c>
      <c r="I2082" s="394"/>
      <c r="J2082" s="392">
        <v>5.9465274683025369</v>
      </c>
      <c r="K2082" s="392">
        <v>5.9465274683025369</v>
      </c>
      <c r="L2082" s="392">
        <v>5.9465274683025369</v>
      </c>
      <c r="M2082" s="392">
        <v>5.9465274683025369</v>
      </c>
      <c r="N2082" s="392"/>
    </row>
    <row r="2083" spans="1:14" hidden="1" outlineLevel="2" x14ac:dyDescent="0.35">
      <c r="A2083" s="388" t="s">
        <v>6116</v>
      </c>
      <c r="B2083" s="389">
        <v>44104</v>
      </c>
      <c r="C2083" s="390" t="s">
        <v>4333</v>
      </c>
      <c r="D2083" s="391" t="s">
        <v>4334</v>
      </c>
      <c r="E2083" s="391" t="s">
        <v>4042</v>
      </c>
      <c r="F2083" s="392">
        <v>15487.5</v>
      </c>
      <c r="G2083" s="393" t="s">
        <v>3800</v>
      </c>
      <c r="H2083" s="394">
        <v>5.9465274683025369</v>
      </c>
      <c r="I2083" s="394"/>
      <c r="J2083" s="392">
        <v>1.4866318670756342</v>
      </c>
      <c r="K2083" s="392">
        <v>1.4866318670756342</v>
      </c>
      <c r="L2083" s="392">
        <v>1.4866318670756342</v>
      </c>
      <c r="M2083" s="392">
        <v>1.4866318670756342</v>
      </c>
      <c r="N2083" s="392"/>
    </row>
    <row r="2084" spans="1:14" hidden="1" outlineLevel="2" x14ac:dyDescent="0.35">
      <c r="A2084" s="388" t="s">
        <v>6116</v>
      </c>
      <c r="B2084" s="389">
        <v>44131</v>
      </c>
      <c r="C2084" s="390" t="s">
        <v>4335</v>
      </c>
      <c r="D2084" s="391" t="s">
        <v>4336</v>
      </c>
      <c r="E2084" s="391" t="s">
        <v>6117</v>
      </c>
      <c r="F2084" s="392">
        <v>1239000</v>
      </c>
      <c r="G2084" s="393" t="s">
        <v>3800</v>
      </c>
      <c r="H2084" s="394">
        <v>475.72219746420296</v>
      </c>
      <c r="I2084" s="394"/>
      <c r="J2084" s="392">
        <v>118.93054936605074</v>
      </c>
      <c r="K2084" s="392">
        <v>118.93054936605074</v>
      </c>
      <c r="L2084" s="392">
        <v>118.93054936605074</v>
      </c>
      <c r="M2084" s="392">
        <v>118.93054936605074</v>
      </c>
      <c r="N2084" s="392"/>
    </row>
    <row r="2085" spans="1:14" hidden="1" outlineLevel="2" x14ac:dyDescent="0.35">
      <c r="A2085" s="388" t="s">
        <v>6116</v>
      </c>
      <c r="B2085" s="389">
        <v>44131</v>
      </c>
      <c r="C2085" s="390" t="s">
        <v>4335</v>
      </c>
      <c r="D2085" s="391" t="s">
        <v>4337</v>
      </c>
      <c r="E2085" s="391" t="s">
        <v>6117</v>
      </c>
      <c r="F2085" s="392">
        <v>185850</v>
      </c>
      <c r="G2085" s="393" t="s">
        <v>3800</v>
      </c>
      <c r="H2085" s="394">
        <v>71.358329619630439</v>
      </c>
      <c r="I2085" s="394"/>
      <c r="J2085" s="392">
        <v>17.83958240490761</v>
      </c>
      <c r="K2085" s="392">
        <v>17.83958240490761</v>
      </c>
      <c r="L2085" s="392">
        <v>17.83958240490761</v>
      </c>
      <c r="M2085" s="392">
        <v>17.83958240490761</v>
      </c>
      <c r="N2085" s="392"/>
    </row>
    <row r="2086" spans="1:14" hidden="1" outlineLevel="2" x14ac:dyDescent="0.35">
      <c r="A2086" s="388" t="s">
        <v>6116</v>
      </c>
      <c r="B2086" s="389">
        <v>44131</v>
      </c>
      <c r="C2086" s="390" t="s">
        <v>4338</v>
      </c>
      <c r="D2086" s="391" t="s">
        <v>4339</v>
      </c>
      <c r="E2086" s="391" t="s">
        <v>4272</v>
      </c>
      <c r="F2086" s="392">
        <v>154875</v>
      </c>
      <c r="G2086" s="393" t="s">
        <v>3800</v>
      </c>
      <c r="H2086" s="394">
        <v>59.46527468302537</v>
      </c>
      <c r="I2086" s="394"/>
      <c r="J2086" s="392">
        <v>14.866318670756343</v>
      </c>
      <c r="K2086" s="392">
        <v>14.866318670756343</v>
      </c>
      <c r="L2086" s="392">
        <v>14.866318670756343</v>
      </c>
      <c r="M2086" s="392">
        <v>14.866318670756343</v>
      </c>
      <c r="N2086" s="392"/>
    </row>
    <row r="2087" spans="1:14" hidden="1" outlineLevel="2" x14ac:dyDescent="0.35">
      <c r="A2087" s="388" t="s">
        <v>6116</v>
      </c>
      <c r="B2087" s="389">
        <v>44131</v>
      </c>
      <c r="C2087" s="390" t="s">
        <v>4325</v>
      </c>
      <c r="D2087" s="391" t="s">
        <v>4340</v>
      </c>
      <c r="E2087" s="391" t="s">
        <v>6117</v>
      </c>
      <c r="F2087" s="392">
        <v>61950</v>
      </c>
      <c r="G2087" s="393" t="s">
        <v>3800</v>
      </c>
      <c r="H2087" s="394">
        <v>23.786109873210147</v>
      </c>
      <c r="I2087" s="394"/>
      <c r="J2087" s="392">
        <v>5.9465274683025369</v>
      </c>
      <c r="K2087" s="392">
        <v>5.9465274683025369</v>
      </c>
      <c r="L2087" s="392">
        <v>5.9465274683025369</v>
      </c>
      <c r="M2087" s="392">
        <v>5.9465274683025369</v>
      </c>
      <c r="N2087" s="392"/>
    </row>
    <row r="2088" spans="1:14" hidden="1" outlineLevel="2" x14ac:dyDescent="0.35">
      <c r="A2088" s="388" t="s">
        <v>6116</v>
      </c>
      <c r="B2088" s="389">
        <v>44131</v>
      </c>
      <c r="C2088" s="390" t="s">
        <v>4341</v>
      </c>
      <c r="D2088" s="391" t="s">
        <v>4342</v>
      </c>
      <c r="E2088" s="391" t="s">
        <v>4276</v>
      </c>
      <c r="F2088" s="392">
        <v>61950</v>
      </c>
      <c r="G2088" s="393" t="s">
        <v>3800</v>
      </c>
      <c r="H2088" s="394">
        <v>23.786109873210147</v>
      </c>
      <c r="I2088" s="394"/>
      <c r="J2088" s="392">
        <v>5.9465274683025369</v>
      </c>
      <c r="K2088" s="392">
        <v>5.9465274683025369</v>
      </c>
      <c r="L2088" s="392">
        <v>5.9465274683025369</v>
      </c>
      <c r="M2088" s="392">
        <v>5.9465274683025369</v>
      </c>
      <c r="N2088" s="392"/>
    </row>
    <row r="2089" spans="1:14" hidden="1" outlineLevel="2" x14ac:dyDescent="0.35">
      <c r="A2089" s="388" t="s">
        <v>6116</v>
      </c>
      <c r="B2089" s="389">
        <v>44131</v>
      </c>
      <c r="C2089" s="390" t="s">
        <v>4343</v>
      </c>
      <c r="D2089" s="391" t="s">
        <v>4344</v>
      </c>
      <c r="E2089" s="391" t="s">
        <v>4042</v>
      </c>
      <c r="F2089" s="392">
        <v>15487.5</v>
      </c>
      <c r="G2089" s="393" t="s">
        <v>3800</v>
      </c>
      <c r="H2089" s="394">
        <v>5.9465274683025369</v>
      </c>
      <c r="I2089" s="394"/>
      <c r="J2089" s="392">
        <v>1.4866318670756342</v>
      </c>
      <c r="K2089" s="392">
        <v>1.4866318670756342</v>
      </c>
      <c r="L2089" s="392">
        <v>1.4866318670756342</v>
      </c>
      <c r="M2089" s="392">
        <v>1.4866318670756342</v>
      </c>
      <c r="N2089" s="392"/>
    </row>
    <row r="2090" spans="1:14" hidden="1" outlineLevel="2" x14ac:dyDescent="0.35">
      <c r="A2090" s="388" t="s">
        <v>6116</v>
      </c>
      <c r="B2090" s="389">
        <v>44165</v>
      </c>
      <c r="C2090" s="390" t="s">
        <v>4345</v>
      </c>
      <c r="D2090" s="391" t="s">
        <v>4346</v>
      </c>
      <c r="E2090" s="391" t="s">
        <v>6117</v>
      </c>
      <c r="F2090" s="392">
        <v>1239000</v>
      </c>
      <c r="G2090" s="393" t="s">
        <v>3800</v>
      </c>
      <c r="H2090" s="394">
        <v>475.72219746420296</v>
      </c>
      <c r="I2090" s="394"/>
      <c r="J2090" s="392">
        <v>118.93054936605074</v>
      </c>
      <c r="K2090" s="392">
        <v>118.93054936605074</v>
      </c>
      <c r="L2090" s="392">
        <v>118.93054936605074</v>
      </c>
      <c r="M2090" s="392">
        <v>118.93054936605074</v>
      </c>
      <c r="N2090" s="392"/>
    </row>
    <row r="2091" spans="1:14" hidden="1" outlineLevel="2" x14ac:dyDescent="0.35">
      <c r="A2091" s="388" t="s">
        <v>6116</v>
      </c>
      <c r="B2091" s="389">
        <v>44165</v>
      </c>
      <c r="C2091" s="390" t="s">
        <v>4345</v>
      </c>
      <c r="D2091" s="391" t="s">
        <v>4347</v>
      </c>
      <c r="E2091" s="391" t="s">
        <v>6117</v>
      </c>
      <c r="F2091" s="392">
        <v>185850</v>
      </c>
      <c r="G2091" s="393" t="s">
        <v>3800</v>
      </c>
      <c r="H2091" s="394">
        <v>71.358329619630439</v>
      </c>
      <c r="I2091" s="394"/>
      <c r="J2091" s="392">
        <v>17.83958240490761</v>
      </c>
      <c r="K2091" s="392">
        <v>17.83958240490761</v>
      </c>
      <c r="L2091" s="392">
        <v>17.83958240490761</v>
      </c>
      <c r="M2091" s="392">
        <v>17.83958240490761</v>
      </c>
      <c r="N2091" s="392"/>
    </row>
    <row r="2092" spans="1:14" hidden="1" outlineLevel="2" x14ac:dyDescent="0.35">
      <c r="A2092" s="388" t="s">
        <v>6116</v>
      </c>
      <c r="B2092" s="389">
        <v>44165</v>
      </c>
      <c r="C2092" s="390" t="s">
        <v>4348</v>
      </c>
      <c r="D2092" s="391" t="s">
        <v>4349</v>
      </c>
      <c r="E2092" s="391" t="s">
        <v>4272</v>
      </c>
      <c r="F2092" s="392">
        <v>154875</v>
      </c>
      <c r="G2092" s="393" t="s">
        <v>3800</v>
      </c>
      <c r="H2092" s="394">
        <v>59.46527468302537</v>
      </c>
      <c r="I2092" s="394"/>
      <c r="J2092" s="392">
        <v>14.866318670756343</v>
      </c>
      <c r="K2092" s="392">
        <v>14.866318670756343</v>
      </c>
      <c r="L2092" s="392">
        <v>14.866318670756343</v>
      </c>
      <c r="M2092" s="392">
        <v>14.866318670756343</v>
      </c>
      <c r="N2092" s="392"/>
    </row>
    <row r="2093" spans="1:14" hidden="1" outlineLevel="2" x14ac:dyDescent="0.35">
      <c r="A2093" s="388" t="s">
        <v>6116</v>
      </c>
      <c r="B2093" s="389">
        <v>44165</v>
      </c>
      <c r="C2093" s="390" t="s">
        <v>4345</v>
      </c>
      <c r="D2093" s="391" t="s">
        <v>4350</v>
      </c>
      <c r="E2093" s="391" t="s">
        <v>6117</v>
      </c>
      <c r="F2093" s="392">
        <v>61950</v>
      </c>
      <c r="G2093" s="393" t="s">
        <v>3800</v>
      </c>
      <c r="H2093" s="394">
        <v>23.786109873210147</v>
      </c>
      <c r="I2093" s="394"/>
      <c r="J2093" s="392">
        <v>5.9465274683025369</v>
      </c>
      <c r="K2093" s="392">
        <v>5.9465274683025369</v>
      </c>
      <c r="L2093" s="392">
        <v>5.9465274683025369</v>
      </c>
      <c r="M2093" s="392">
        <v>5.9465274683025369</v>
      </c>
      <c r="N2093" s="392"/>
    </row>
    <row r="2094" spans="1:14" hidden="1" outlineLevel="2" x14ac:dyDescent="0.35">
      <c r="A2094" s="388" t="s">
        <v>6116</v>
      </c>
      <c r="B2094" s="389">
        <v>44165</v>
      </c>
      <c r="C2094" s="390" t="s">
        <v>4351</v>
      </c>
      <c r="D2094" s="391" t="s">
        <v>4352</v>
      </c>
      <c r="E2094" s="391" t="s">
        <v>4276</v>
      </c>
      <c r="F2094" s="392">
        <v>61950</v>
      </c>
      <c r="G2094" s="393" t="s">
        <v>3800</v>
      </c>
      <c r="H2094" s="394">
        <v>23.786109873210147</v>
      </c>
      <c r="I2094" s="394"/>
      <c r="J2094" s="392">
        <v>5.9465274683025369</v>
      </c>
      <c r="K2094" s="392">
        <v>5.9465274683025369</v>
      </c>
      <c r="L2094" s="392">
        <v>5.9465274683025369</v>
      </c>
      <c r="M2094" s="392">
        <v>5.9465274683025369</v>
      </c>
      <c r="N2094" s="392"/>
    </row>
    <row r="2095" spans="1:14" hidden="1" outlineLevel="2" x14ac:dyDescent="0.35">
      <c r="A2095" s="388" t="s">
        <v>6116</v>
      </c>
      <c r="B2095" s="389">
        <v>44165</v>
      </c>
      <c r="C2095" s="390" t="s">
        <v>4353</v>
      </c>
      <c r="D2095" s="391" t="s">
        <v>4354</v>
      </c>
      <c r="E2095" s="391" t="s">
        <v>4042</v>
      </c>
      <c r="F2095" s="392">
        <v>15487.5</v>
      </c>
      <c r="G2095" s="393" t="s">
        <v>3800</v>
      </c>
      <c r="H2095" s="394">
        <v>5.9465274683025369</v>
      </c>
      <c r="I2095" s="394"/>
      <c r="J2095" s="392">
        <v>1.4866318670756342</v>
      </c>
      <c r="K2095" s="392">
        <v>1.4866318670756342</v>
      </c>
      <c r="L2095" s="392">
        <v>1.4866318670756342</v>
      </c>
      <c r="M2095" s="392">
        <v>1.4866318670756342</v>
      </c>
      <c r="N2095" s="392"/>
    </row>
    <row r="2096" spans="1:14" hidden="1" outlineLevel="2" x14ac:dyDescent="0.35">
      <c r="A2096" s="388" t="s">
        <v>6116</v>
      </c>
      <c r="B2096" s="389">
        <v>44187</v>
      </c>
      <c r="C2096" s="390" t="s">
        <v>4355</v>
      </c>
      <c r="D2096" s="391" t="s">
        <v>4356</v>
      </c>
      <c r="E2096" s="391" t="s">
        <v>6117</v>
      </c>
      <c r="F2096" s="392">
        <v>1239000</v>
      </c>
      <c r="G2096" s="393" t="s">
        <v>3800</v>
      </c>
      <c r="H2096" s="394">
        <v>475.72219746420296</v>
      </c>
      <c r="I2096" s="394"/>
      <c r="J2096" s="392">
        <v>118.93054936605074</v>
      </c>
      <c r="K2096" s="392">
        <v>118.93054936605074</v>
      </c>
      <c r="L2096" s="392">
        <v>118.93054936605074</v>
      </c>
      <c r="M2096" s="392">
        <v>118.93054936605074</v>
      </c>
      <c r="N2096" s="392"/>
    </row>
    <row r="2097" spans="1:14" hidden="1" outlineLevel="2" x14ac:dyDescent="0.35">
      <c r="A2097" s="388" t="s">
        <v>6116</v>
      </c>
      <c r="B2097" s="389">
        <v>44187</v>
      </c>
      <c r="C2097" s="390" t="s">
        <v>4355</v>
      </c>
      <c r="D2097" s="391" t="s">
        <v>4357</v>
      </c>
      <c r="E2097" s="391" t="s">
        <v>6117</v>
      </c>
      <c r="F2097" s="392">
        <v>185850</v>
      </c>
      <c r="G2097" s="393" t="s">
        <v>3800</v>
      </c>
      <c r="H2097" s="394">
        <v>71.358329619630439</v>
      </c>
      <c r="I2097" s="394"/>
      <c r="J2097" s="392">
        <v>17.83958240490761</v>
      </c>
      <c r="K2097" s="392">
        <v>17.83958240490761</v>
      </c>
      <c r="L2097" s="392">
        <v>17.83958240490761</v>
      </c>
      <c r="M2097" s="392">
        <v>17.83958240490761</v>
      </c>
      <c r="N2097" s="392"/>
    </row>
    <row r="2098" spans="1:14" hidden="1" outlineLevel="2" x14ac:dyDescent="0.35">
      <c r="A2098" s="388" t="s">
        <v>6116</v>
      </c>
      <c r="B2098" s="389">
        <v>44187</v>
      </c>
      <c r="C2098" s="390" t="s">
        <v>4358</v>
      </c>
      <c r="D2098" s="391" t="s">
        <v>4359</v>
      </c>
      <c r="E2098" s="391" t="s">
        <v>4272</v>
      </c>
      <c r="F2098" s="392">
        <v>154875</v>
      </c>
      <c r="G2098" s="393" t="s">
        <v>3800</v>
      </c>
      <c r="H2098" s="394">
        <v>59.46527468302537</v>
      </c>
      <c r="I2098" s="394"/>
      <c r="J2098" s="392">
        <v>14.866318670756343</v>
      </c>
      <c r="K2098" s="392">
        <v>14.866318670756343</v>
      </c>
      <c r="L2098" s="392">
        <v>14.866318670756343</v>
      </c>
      <c r="M2098" s="392">
        <v>14.866318670756343</v>
      </c>
      <c r="N2098" s="392"/>
    </row>
    <row r="2099" spans="1:14" hidden="1" outlineLevel="2" x14ac:dyDescent="0.35">
      <c r="A2099" s="388" t="s">
        <v>6116</v>
      </c>
      <c r="B2099" s="389">
        <v>44187</v>
      </c>
      <c r="C2099" s="390" t="s">
        <v>4355</v>
      </c>
      <c r="D2099" s="391" t="s">
        <v>4360</v>
      </c>
      <c r="E2099" s="391" t="s">
        <v>6117</v>
      </c>
      <c r="F2099" s="392">
        <v>61950</v>
      </c>
      <c r="G2099" s="393" t="s">
        <v>3800</v>
      </c>
      <c r="H2099" s="394">
        <v>23.786109873210147</v>
      </c>
      <c r="I2099" s="394"/>
      <c r="J2099" s="392">
        <v>5.9465274683025369</v>
      </c>
      <c r="K2099" s="392">
        <v>5.9465274683025369</v>
      </c>
      <c r="L2099" s="392">
        <v>5.9465274683025369</v>
      </c>
      <c r="M2099" s="392">
        <v>5.9465274683025369</v>
      </c>
      <c r="N2099" s="392"/>
    </row>
    <row r="2100" spans="1:14" hidden="1" outlineLevel="2" x14ac:dyDescent="0.35">
      <c r="A2100" s="388" t="s">
        <v>6116</v>
      </c>
      <c r="B2100" s="389">
        <v>44187</v>
      </c>
      <c r="C2100" s="390" t="s">
        <v>4361</v>
      </c>
      <c r="D2100" s="391" t="s">
        <v>4362</v>
      </c>
      <c r="E2100" s="391" t="s">
        <v>4276</v>
      </c>
      <c r="F2100" s="392">
        <v>61950</v>
      </c>
      <c r="G2100" s="393" t="s">
        <v>3800</v>
      </c>
      <c r="H2100" s="394">
        <v>23.786109873210147</v>
      </c>
      <c r="I2100" s="394"/>
      <c r="J2100" s="392">
        <v>5.9465274683025369</v>
      </c>
      <c r="K2100" s="392">
        <v>5.9465274683025369</v>
      </c>
      <c r="L2100" s="392">
        <v>5.9465274683025369</v>
      </c>
      <c r="M2100" s="392">
        <v>5.9465274683025369</v>
      </c>
      <c r="N2100" s="392"/>
    </row>
    <row r="2101" spans="1:14" hidden="1" outlineLevel="2" x14ac:dyDescent="0.35">
      <c r="A2101" s="388" t="s">
        <v>6116</v>
      </c>
      <c r="B2101" s="389">
        <v>44187</v>
      </c>
      <c r="C2101" s="390" t="s">
        <v>4363</v>
      </c>
      <c r="D2101" s="391" t="s">
        <v>4364</v>
      </c>
      <c r="E2101" s="391" t="s">
        <v>4042</v>
      </c>
      <c r="F2101" s="392">
        <v>15487.5</v>
      </c>
      <c r="G2101" s="393" t="s">
        <v>3800</v>
      </c>
      <c r="H2101" s="394">
        <v>5.9465274683025369</v>
      </c>
      <c r="I2101" s="394"/>
      <c r="J2101" s="392">
        <v>1.4866318670756342</v>
      </c>
      <c r="K2101" s="392">
        <v>1.4866318670756342</v>
      </c>
      <c r="L2101" s="392">
        <v>1.4866318670756342</v>
      </c>
      <c r="M2101" s="392">
        <v>1.4866318670756342</v>
      </c>
      <c r="N2101" s="392"/>
    </row>
    <row r="2102" spans="1:14" s="360" customFormat="1" outlineLevel="1" collapsed="1" x14ac:dyDescent="0.35">
      <c r="A2102" s="396" t="s">
        <v>6119</v>
      </c>
      <c r="B2102" s="397"/>
      <c r="C2102" s="398"/>
      <c r="D2102" s="399"/>
      <c r="E2102" s="399"/>
      <c r="F2102" s="400"/>
      <c r="G2102" s="401"/>
      <c r="H2102" s="402">
        <f t="shared" ref="H2102:N2102" si="82">SUBTOTAL(9,H2042:H2101)</f>
        <v>6600.6455358906023</v>
      </c>
      <c r="I2102" s="402"/>
      <c r="J2102" s="400">
        <f t="shared" si="82"/>
        <v>1650.1613839726506</v>
      </c>
      <c r="K2102" s="400">
        <f t="shared" si="82"/>
        <v>1650.1613839726506</v>
      </c>
      <c r="L2102" s="400">
        <f t="shared" si="82"/>
        <v>1650.1613839726506</v>
      </c>
      <c r="M2102" s="400">
        <f t="shared" si="82"/>
        <v>1650.1613839726506</v>
      </c>
      <c r="N2102" s="400">
        <f t="shared" si="82"/>
        <v>0</v>
      </c>
    </row>
    <row r="2103" spans="1:14" hidden="1" outlineLevel="2" x14ac:dyDescent="0.35">
      <c r="A2103" s="388" t="s">
        <v>224</v>
      </c>
      <c r="B2103" s="389">
        <v>43738</v>
      </c>
      <c r="C2103" s="390" t="s">
        <v>1087</v>
      </c>
      <c r="D2103" s="391" t="s">
        <v>1088</v>
      </c>
      <c r="E2103" s="391" t="s">
        <v>1089</v>
      </c>
      <c r="F2103" s="392">
        <v>499.08</v>
      </c>
      <c r="G2103" s="393" t="s">
        <v>56</v>
      </c>
      <c r="H2103" s="394">
        <v>499.08</v>
      </c>
      <c r="I2103" s="394"/>
      <c r="J2103" s="392">
        <f t="shared" ref="J2103:N2113" si="83">$H2103/5</f>
        <v>99.816000000000003</v>
      </c>
      <c r="K2103" s="392">
        <f t="shared" si="83"/>
        <v>99.816000000000003</v>
      </c>
      <c r="L2103" s="392">
        <f t="shared" si="83"/>
        <v>99.816000000000003</v>
      </c>
      <c r="M2103" s="392">
        <f t="shared" si="83"/>
        <v>99.816000000000003</v>
      </c>
      <c r="N2103" s="392">
        <f t="shared" si="83"/>
        <v>99.816000000000003</v>
      </c>
    </row>
    <row r="2104" spans="1:14" hidden="1" outlineLevel="2" x14ac:dyDescent="0.35">
      <c r="A2104" s="388" t="s">
        <v>224</v>
      </c>
      <c r="B2104" s="389">
        <v>43830</v>
      </c>
      <c r="C2104" s="390" t="s">
        <v>1090</v>
      </c>
      <c r="D2104" s="391" t="s">
        <v>1091</v>
      </c>
      <c r="E2104" s="391" t="s">
        <v>1089</v>
      </c>
      <c r="F2104" s="392">
        <v>499.08</v>
      </c>
      <c r="G2104" s="393" t="s">
        <v>56</v>
      </c>
      <c r="H2104" s="394">
        <v>499.08</v>
      </c>
      <c r="I2104" s="394"/>
      <c r="J2104" s="392">
        <f t="shared" si="83"/>
        <v>99.816000000000003</v>
      </c>
      <c r="K2104" s="392">
        <f t="shared" si="83"/>
        <v>99.816000000000003</v>
      </c>
      <c r="L2104" s="392">
        <f t="shared" si="83"/>
        <v>99.816000000000003</v>
      </c>
      <c r="M2104" s="392">
        <f t="shared" si="83"/>
        <v>99.816000000000003</v>
      </c>
      <c r="N2104" s="392">
        <f t="shared" si="83"/>
        <v>99.816000000000003</v>
      </c>
    </row>
    <row r="2105" spans="1:14" hidden="1" outlineLevel="2" x14ac:dyDescent="0.35">
      <c r="A2105" s="388" t="s">
        <v>224</v>
      </c>
      <c r="B2105" s="389">
        <v>43921</v>
      </c>
      <c r="C2105" s="390" t="s">
        <v>1092</v>
      </c>
      <c r="D2105" s="391" t="s">
        <v>1093</v>
      </c>
      <c r="E2105" s="391" t="s">
        <v>1089</v>
      </c>
      <c r="F2105" s="392">
        <v>598.89</v>
      </c>
      <c r="G2105" s="393" t="s">
        <v>56</v>
      </c>
      <c r="H2105" s="394">
        <v>598.89</v>
      </c>
      <c r="I2105" s="394"/>
      <c r="J2105" s="392">
        <f t="shared" si="83"/>
        <v>119.77799999999999</v>
      </c>
      <c r="K2105" s="392">
        <f t="shared" si="83"/>
        <v>119.77799999999999</v>
      </c>
      <c r="L2105" s="392">
        <f t="shared" si="83"/>
        <v>119.77799999999999</v>
      </c>
      <c r="M2105" s="392">
        <f t="shared" si="83"/>
        <v>119.77799999999999</v>
      </c>
      <c r="N2105" s="392">
        <f t="shared" si="83"/>
        <v>119.77799999999999</v>
      </c>
    </row>
    <row r="2106" spans="1:14" hidden="1" outlineLevel="2" x14ac:dyDescent="0.35">
      <c r="A2106" s="388" t="s">
        <v>224</v>
      </c>
      <c r="B2106" s="389">
        <v>44012</v>
      </c>
      <c r="C2106" s="390" t="s">
        <v>1094</v>
      </c>
      <c r="D2106" s="391" t="s">
        <v>1095</v>
      </c>
      <c r="E2106" s="391" t="s">
        <v>1089</v>
      </c>
      <c r="F2106" s="392">
        <v>598.89</v>
      </c>
      <c r="G2106" s="393" t="s">
        <v>56</v>
      </c>
      <c r="H2106" s="394">
        <v>598.89</v>
      </c>
      <c r="I2106" s="394"/>
      <c r="J2106" s="392">
        <f t="shared" si="83"/>
        <v>119.77799999999999</v>
      </c>
      <c r="K2106" s="392">
        <f t="shared" si="83"/>
        <v>119.77799999999999</v>
      </c>
      <c r="L2106" s="392">
        <f t="shared" si="83"/>
        <v>119.77799999999999</v>
      </c>
      <c r="M2106" s="392">
        <f t="shared" si="83"/>
        <v>119.77799999999999</v>
      </c>
      <c r="N2106" s="392">
        <f t="shared" si="83"/>
        <v>119.77799999999999</v>
      </c>
    </row>
    <row r="2107" spans="1:14" hidden="1" outlineLevel="2" x14ac:dyDescent="0.35">
      <c r="A2107" s="388" t="s">
        <v>224</v>
      </c>
      <c r="B2107" s="389">
        <v>44104</v>
      </c>
      <c r="C2107" s="390" t="s">
        <v>1096</v>
      </c>
      <c r="D2107" s="391" t="s">
        <v>1097</v>
      </c>
      <c r="E2107" s="391" t="s">
        <v>1089</v>
      </c>
      <c r="F2107" s="392">
        <v>349.35</v>
      </c>
      <c r="G2107" s="393" t="s">
        <v>56</v>
      </c>
      <c r="H2107" s="394">
        <v>349.35</v>
      </c>
      <c r="I2107" s="394"/>
      <c r="J2107" s="392">
        <f t="shared" si="83"/>
        <v>69.87</v>
      </c>
      <c r="K2107" s="392">
        <f t="shared" si="83"/>
        <v>69.87</v>
      </c>
      <c r="L2107" s="392">
        <f t="shared" si="83"/>
        <v>69.87</v>
      </c>
      <c r="M2107" s="392">
        <f t="shared" si="83"/>
        <v>69.87</v>
      </c>
      <c r="N2107" s="392">
        <f t="shared" si="83"/>
        <v>69.87</v>
      </c>
    </row>
    <row r="2108" spans="1:14" hidden="1" outlineLevel="2" x14ac:dyDescent="0.35">
      <c r="A2108" s="388" t="s">
        <v>224</v>
      </c>
      <c r="B2108" s="389">
        <v>44196</v>
      </c>
      <c r="C2108" s="390" t="s">
        <v>1099</v>
      </c>
      <c r="D2108" s="391" t="s">
        <v>1100</v>
      </c>
      <c r="E2108" s="391" t="s">
        <v>1089</v>
      </c>
      <c r="F2108" s="392">
        <v>349.35</v>
      </c>
      <c r="G2108" s="393" t="s">
        <v>56</v>
      </c>
      <c r="H2108" s="394">
        <v>349.35</v>
      </c>
      <c r="I2108" s="394"/>
      <c r="J2108" s="392">
        <f t="shared" si="83"/>
        <v>69.87</v>
      </c>
      <c r="K2108" s="392">
        <f t="shared" si="83"/>
        <v>69.87</v>
      </c>
      <c r="L2108" s="392">
        <f t="shared" si="83"/>
        <v>69.87</v>
      </c>
      <c r="M2108" s="392">
        <f t="shared" si="83"/>
        <v>69.87</v>
      </c>
      <c r="N2108" s="392">
        <f t="shared" si="83"/>
        <v>69.87</v>
      </c>
    </row>
    <row r="2109" spans="1:14" hidden="1" outlineLevel="2" x14ac:dyDescent="0.35">
      <c r="A2109" s="388" t="s">
        <v>224</v>
      </c>
      <c r="B2109" s="389">
        <v>44286</v>
      </c>
      <c r="C2109" s="390" t="s">
        <v>1101</v>
      </c>
      <c r="D2109" s="391" t="s">
        <v>6120</v>
      </c>
      <c r="E2109" s="391" t="s">
        <v>1089</v>
      </c>
      <c r="F2109" s="392">
        <v>474.12</v>
      </c>
      <c r="G2109" s="393" t="s">
        <v>56</v>
      </c>
      <c r="H2109" s="394">
        <v>474.12</v>
      </c>
      <c r="I2109" s="394"/>
      <c r="J2109" s="392">
        <f t="shared" si="83"/>
        <v>94.823999999999998</v>
      </c>
      <c r="K2109" s="392">
        <f t="shared" si="83"/>
        <v>94.823999999999998</v>
      </c>
      <c r="L2109" s="392">
        <f t="shared" si="83"/>
        <v>94.823999999999998</v>
      </c>
      <c r="M2109" s="392">
        <f t="shared" si="83"/>
        <v>94.823999999999998</v>
      </c>
      <c r="N2109" s="392">
        <f t="shared" si="83"/>
        <v>94.823999999999998</v>
      </c>
    </row>
    <row r="2110" spans="1:14" hidden="1" outlineLevel="2" x14ac:dyDescent="0.35">
      <c r="A2110" s="388" t="s">
        <v>224</v>
      </c>
      <c r="B2110" s="389">
        <v>44377</v>
      </c>
      <c r="C2110" s="390" t="s">
        <v>1103</v>
      </c>
      <c r="D2110" s="391" t="s">
        <v>6121</v>
      </c>
      <c r="E2110" s="391" t="s">
        <v>1089</v>
      </c>
      <c r="F2110" s="392">
        <v>474.12</v>
      </c>
      <c r="G2110" s="393" t="s">
        <v>56</v>
      </c>
      <c r="H2110" s="394">
        <v>474.12</v>
      </c>
      <c r="I2110" s="394"/>
      <c r="J2110" s="392">
        <f t="shared" si="83"/>
        <v>94.823999999999998</v>
      </c>
      <c r="K2110" s="392">
        <f t="shared" si="83"/>
        <v>94.823999999999998</v>
      </c>
      <c r="L2110" s="392">
        <f t="shared" si="83"/>
        <v>94.823999999999998</v>
      </c>
      <c r="M2110" s="392">
        <f t="shared" si="83"/>
        <v>94.823999999999998</v>
      </c>
      <c r="N2110" s="392">
        <f t="shared" si="83"/>
        <v>94.823999999999998</v>
      </c>
    </row>
    <row r="2111" spans="1:14" hidden="1" outlineLevel="2" x14ac:dyDescent="0.35">
      <c r="A2111" s="388" t="s">
        <v>224</v>
      </c>
      <c r="B2111" s="389">
        <v>44469</v>
      </c>
      <c r="C2111" s="390" t="s">
        <v>6122</v>
      </c>
      <c r="D2111" s="391" t="s">
        <v>6123</v>
      </c>
      <c r="E2111" s="391" t="s">
        <v>1089</v>
      </c>
      <c r="F2111" s="392">
        <v>401.18</v>
      </c>
      <c r="G2111" s="393" t="s">
        <v>56</v>
      </c>
      <c r="H2111" s="394">
        <v>401.18</v>
      </c>
      <c r="I2111" s="394"/>
      <c r="J2111" s="392">
        <f t="shared" si="83"/>
        <v>80.236000000000004</v>
      </c>
      <c r="K2111" s="392">
        <f t="shared" si="83"/>
        <v>80.236000000000004</v>
      </c>
      <c r="L2111" s="392">
        <f t="shared" si="83"/>
        <v>80.236000000000004</v>
      </c>
      <c r="M2111" s="392">
        <f t="shared" si="83"/>
        <v>80.236000000000004</v>
      </c>
      <c r="N2111" s="392">
        <f t="shared" si="83"/>
        <v>80.236000000000004</v>
      </c>
    </row>
    <row r="2112" spans="1:14" hidden="1" outlineLevel="2" x14ac:dyDescent="0.35">
      <c r="A2112" s="388" t="s">
        <v>224</v>
      </c>
      <c r="B2112" s="389">
        <v>44561</v>
      </c>
      <c r="C2112" s="390" t="s">
        <v>6124</v>
      </c>
      <c r="D2112" s="391" t="s">
        <v>6125</v>
      </c>
      <c r="E2112" s="391" t="s">
        <v>1089</v>
      </c>
      <c r="F2112" s="392">
        <v>200.59</v>
      </c>
      <c r="G2112" s="393" t="s">
        <v>56</v>
      </c>
      <c r="H2112" s="394">
        <v>200.59</v>
      </c>
      <c r="I2112" s="394"/>
      <c r="J2112" s="392">
        <f t="shared" si="83"/>
        <v>40.118000000000002</v>
      </c>
      <c r="K2112" s="392">
        <f t="shared" si="83"/>
        <v>40.118000000000002</v>
      </c>
      <c r="L2112" s="392">
        <f t="shared" si="83"/>
        <v>40.118000000000002</v>
      </c>
      <c r="M2112" s="392">
        <f t="shared" si="83"/>
        <v>40.118000000000002</v>
      </c>
      <c r="N2112" s="392">
        <f t="shared" si="83"/>
        <v>40.118000000000002</v>
      </c>
    </row>
    <row r="2113" spans="1:14" hidden="1" outlineLevel="2" x14ac:dyDescent="0.35">
      <c r="A2113" s="388" t="s">
        <v>224</v>
      </c>
      <c r="B2113" s="389">
        <v>44561</v>
      </c>
      <c r="C2113" s="390" t="s">
        <v>6126</v>
      </c>
      <c r="D2113" s="391" t="s">
        <v>6127</v>
      </c>
      <c r="E2113" s="391" t="s">
        <v>1089</v>
      </c>
      <c r="F2113" s="392">
        <v>200.59</v>
      </c>
      <c r="G2113" s="393" t="s">
        <v>56</v>
      </c>
      <c r="H2113" s="394">
        <v>200.59</v>
      </c>
      <c r="I2113" s="394"/>
      <c r="J2113" s="392">
        <f t="shared" si="83"/>
        <v>40.118000000000002</v>
      </c>
      <c r="K2113" s="392">
        <f t="shared" si="83"/>
        <v>40.118000000000002</v>
      </c>
      <c r="L2113" s="392">
        <f t="shared" si="83"/>
        <v>40.118000000000002</v>
      </c>
      <c r="M2113" s="392">
        <f t="shared" si="83"/>
        <v>40.118000000000002</v>
      </c>
      <c r="N2113" s="392">
        <f t="shared" si="83"/>
        <v>40.118000000000002</v>
      </c>
    </row>
    <row r="2114" spans="1:14" outlineLevel="1" collapsed="1" x14ac:dyDescent="0.35">
      <c r="A2114" s="395" t="s">
        <v>1111</v>
      </c>
      <c r="B2114" s="389"/>
      <c r="C2114" s="390"/>
      <c r="D2114" s="391"/>
      <c r="E2114" s="391"/>
      <c r="F2114" s="392"/>
      <c r="G2114" s="393"/>
      <c r="H2114" s="394">
        <f t="shared" ref="H2114:N2114" si="84">SUBTOTAL(9,H2103:H2113)</f>
        <v>4645.24</v>
      </c>
      <c r="I2114" s="394"/>
      <c r="J2114" s="392">
        <f t="shared" si="84"/>
        <v>929.048</v>
      </c>
      <c r="K2114" s="392">
        <f t="shared" si="84"/>
        <v>929.048</v>
      </c>
      <c r="L2114" s="392">
        <f t="shared" si="84"/>
        <v>929.048</v>
      </c>
      <c r="M2114" s="392">
        <f t="shared" si="84"/>
        <v>929.048</v>
      </c>
      <c r="N2114" s="392">
        <f t="shared" si="84"/>
        <v>929.048</v>
      </c>
    </row>
    <row r="2115" spans="1:14" hidden="1" outlineLevel="2" x14ac:dyDescent="0.35">
      <c r="A2115" s="388" t="s">
        <v>6128</v>
      </c>
      <c r="B2115" s="389">
        <v>43833</v>
      </c>
      <c r="C2115" s="390" t="s">
        <v>4367</v>
      </c>
      <c r="D2115" s="391" t="s">
        <v>4368</v>
      </c>
      <c r="E2115" s="391" t="s">
        <v>6129</v>
      </c>
      <c r="F2115" s="392">
        <v>4150000</v>
      </c>
      <c r="G2115" s="393" t="s">
        <v>3800</v>
      </c>
      <c r="H2115" s="394">
        <v>1593.4197897307847</v>
      </c>
      <c r="I2115" s="394"/>
      <c r="J2115" s="392">
        <v>398.35494743269618</v>
      </c>
      <c r="K2115" s="392">
        <v>398.35494743269618</v>
      </c>
      <c r="L2115" s="392">
        <v>398.35494743269618</v>
      </c>
      <c r="M2115" s="392">
        <v>398.35494743269618</v>
      </c>
      <c r="N2115" s="392"/>
    </row>
    <row r="2116" spans="1:14" hidden="1" outlineLevel="2" x14ac:dyDescent="0.35">
      <c r="A2116" s="388" t="s">
        <v>6128</v>
      </c>
      <c r="B2116" s="389">
        <v>43833</v>
      </c>
      <c r="C2116" s="390" t="s">
        <v>4367</v>
      </c>
      <c r="D2116" s="391" t="s">
        <v>4370</v>
      </c>
      <c r="E2116" s="391" t="s">
        <v>6129</v>
      </c>
      <c r="F2116" s="392">
        <v>622500</v>
      </c>
      <c r="G2116" s="393" t="s">
        <v>3800</v>
      </c>
      <c r="H2116" s="394">
        <v>239.0129684596177</v>
      </c>
      <c r="I2116" s="394"/>
      <c r="J2116" s="392">
        <v>59.753242114904424</v>
      </c>
      <c r="K2116" s="392">
        <v>59.753242114904424</v>
      </c>
      <c r="L2116" s="392">
        <v>59.753242114904424</v>
      </c>
      <c r="M2116" s="392">
        <v>59.753242114904424</v>
      </c>
      <c r="N2116" s="392"/>
    </row>
    <row r="2117" spans="1:14" hidden="1" outlineLevel="2" x14ac:dyDescent="0.35">
      <c r="A2117" s="388" t="s">
        <v>6128</v>
      </c>
      <c r="B2117" s="389">
        <v>43833</v>
      </c>
      <c r="C2117" s="390" t="s">
        <v>4371</v>
      </c>
      <c r="D2117" s="391" t="s">
        <v>4372</v>
      </c>
      <c r="E2117" s="391" t="s">
        <v>4272</v>
      </c>
      <c r="F2117" s="392">
        <v>518750</v>
      </c>
      <c r="G2117" s="393" t="s">
        <v>3800</v>
      </c>
      <c r="H2117" s="394">
        <v>199.17747371634809</v>
      </c>
      <c r="I2117" s="394"/>
      <c r="J2117" s="392">
        <v>49.794368429087022</v>
      </c>
      <c r="K2117" s="392">
        <v>49.794368429087022</v>
      </c>
      <c r="L2117" s="392">
        <v>49.794368429087022</v>
      </c>
      <c r="M2117" s="392">
        <v>49.794368429087022</v>
      </c>
      <c r="N2117" s="392"/>
    </row>
    <row r="2118" spans="1:14" hidden="1" outlineLevel="2" x14ac:dyDescent="0.35">
      <c r="A2118" s="388" t="s">
        <v>6128</v>
      </c>
      <c r="B2118" s="389">
        <v>43833</v>
      </c>
      <c r="C2118" s="390" t="s">
        <v>4367</v>
      </c>
      <c r="D2118" s="391" t="s">
        <v>4373</v>
      </c>
      <c r="E2118" s="391" t="s">
        <v>6129</v>
      </c>
      <c r="F2118" s="392">
        <v>207500</v>
      </c>
      <c r="G2118" s="393" t="s">
        <v>3800</v>
      </c>
      <c r="H2118" s="394">
        <v>79.670989486539227</v>
      </c>
      <c r="I2118" s="394"/>
      <c r="J2118" s="392">
        <v>19.917747371634807</v>
      </c>
      <c r="K2118" s="392">
        <v>19.917747371634807</v>
      </c>
      <c r="L2118" s="392">
        <v>19.917747371634807</v>
      </c>
      <c r="M2118" s="392">
        <v>19.917747371634807</v>
      </c>
      <c r="N2118" s="392"/>
    </row>
    <row r="2119" spans="1:14" hidden="1" outlineLevel="2" collapsed="1" x14ac:dyDescent="0.35">
      <c r="A2119" s="388" t="s">
        <v>6128</v>
      </c>
      <c r="B2119" s="389">
        <v>43833</v>
      </c>
      <c r="C2119" s="390" t="s">
        <v>4374</v>
      </c>
      <c r="D2119" s="391" t="s">
        <v>6130</v>
      </c>
      <c r="E2119" s="391" t="s">
        <v>4276</v>
      </c>
      <c r="F2119" s="392">
        <v>207500</v>
      </c>
      <c r="G2119" s="393" t="s">
        <v>3800</v>
      </c>
      <c r="H2119" s="394">
        <v>79.670989486539227</v>
      </c>
      <c r="I2119" s="394"/>
      <c r="J2119" s="392">
        <v>19.917747371634807</v>
      </c>
      <c r="K2119" s="392">
        <v>19.917747371634807</v>
      </c>
      <c r="L2119" s="392">
        <v>19.917747371634807</v>
      </c>
      <c r="M2119" s="392">
        <v>19.917747371634807</v>
      </c>
      <c r="N2119" s="392"/>
    </row>
    <row r="2120" spans="1:14" hidden="1" outlineLevel="2" x14ac:dyDescent="0.35">
      <c r="A2120" s="388" t="s">
        <v>6128</v>
      </c>
      <c r="B2120" s="389">
        <v>43833</v>
      </c>
      <c r="C2120" s="390" t="s">
        <v>4377</v>
      </c>
      <c r="D2120" s="391" t="s">
        <v>4378</v>
      </c>
      <c r="E2120" s="391" t="s">
        <v>4042</v>
      </c>
      <c r="F2120" s="392">
        <v>51875</v>
      </c>
      <c r="G2120" s="393" t="s">
        <v>3800</v>
      </c>
      <c r="H2120" s="394">
        <v>19.917747371634807</v>
      </c>
      <c r="I2120" s="394"/>
      <c r="J2120" s="392">
        <v>4.9794368429087017</v>
      </c>
      <c r="K2120" s="392">
        <v>4.9794368429087017</v>
      </c>
      <c r="L2120" s="392">
        <v>4.9794368429087017</v>
      </c>
      <c r="M2120" s="392">
        <v>4.9794368429087017</v>
      </c>
      <c r="N2120" s="392"/>
    </row>
    <row r="2121" spans="1:14" hidden="1" outlineLevel="2" x14ac:dyDescent="0.35">
      <c r="A2121" s="388" t="s">
        <v>6128</v>
      </c>
      <c r="B2121" s="389">
        <v>43890</v>
      </c>
      <c r="C2121" s="390" t="s">
        <v>4379</v>
      </c>
      <c r="D2121" s="391" t="s">
        <v>4380</v>
      </c>
      <c r="E2121" s="391" t="s">
        <v>6129</v>
      </c>
      <c r="F2121" s="392">
        <v>4150000</v>
      </c>
      <c r="G2121" s="393" t="s">
        <v>3800</v>
      </c>
      <c r="H2121" s="394">
        <v>1593.4197897307847</v>
      </c>
      <c r="I2121" s="394"/>
      <c r="J2121" s="392">
        <v>398.35494743269618</v>
      </c>
      <c r="K2121" s="392">
        <v>398.35494743269618</v>
      </c>
      <c r="L2121" s="392">
        <v>398.35494743269618</v>
      </c>
      <c r="M2121" s="392">
        <v>398.35494743269618</v>
      </c>
      <c r="N2121" s="392"/>
    </row>
    <row r="2122" spans="1:14" hidden="1" outlineLevel="2" x14ac:dyDescent="0.35">
      <c r="A2122" s="388" t="s">
        <v>6128</v>
      </c>
      <c r="B2122" s="389">
        <v>43890</v>
      </c>
      <c r="C2122" s="390" t="s">
        <v>4379</v>
      </c>
      <c r="D2122" s="391" t="s">
        <v>4381</v>
      </c>
      <c r="E2122" s="391" t="s">
        <v>6129</v>
      </c>
      <c r="F2122" s="392">
        <v>622500</v>
      </c>
      <c r="G2122" s="393" t="s">
        <v>3800</v>
      </c>
      <c r="H2122" s="394">
        <v>239.0129684596177</v>
      </c>
      <c r="I2122" s="394"/>
      <c r="J2122" s="392">
        <v>59.753242114904424</v>
      </c>
      <c r="K2122" s="392">
        <v>59.753242114904424</v>
      </c>
      <c r="L2122" s="392">
        <v>59.753242114904424</v>
      </c>
      <c r="M2122" s="392">
        <v>59.753242114904424</v>
      </c>
      <c r="N2122" s="392"/>
    </row>
    <row r="2123" spans="1:14" hidden="1" outlineLevel="2" x14ac:dyDescent="0.35">
      <c r="A2123" s="388" t="s">
        <v>6128</v>
      </c>
      <c r="B2123" s="389">
        <v>43890</v>
      </c>
      <c r="C2123" s="390" t="s">
        <v>4382</v>
      </c>
      <c r="D2123" s="391" t="s">
        <v>4383</v>
      </c>
      <c r="E2123" s="391" t="s">
        <v>4272</v>
      </c>
      <c r="F2123" s="392">
        <v>518750</v>
      </c>
      <c r="G2123" s="393" t="s">
        <v>3800</v>
      </c>
      <c r="H2123" s="394">
        <v>199.17747371634809</v>
      </c>
      <c r="I2123" s="394"/>
      <c r="J2123" s="392">
        <v>49.794368429087022</v>
      </c>
      <c r="K2123" s="392">
        <v>49.794368429087022</v>
      </c>
      <c r="L2123" s="392">
        <v>49.794368429087022</v>
      </c>
      <c r="M2123" s="392">
        <v>49.794368429087022</v>
      </c>
      <c r="N2123" s="392"/>
    </row>
    <row r="2124" spans="1:14" hidden="1" outlineLevel="2" x14ac:dyDescent="0.35">
      <c r="A2124" s="388" t="s">
        <v>6128</v>
      </c>
      <c r="B2124" s="389">
        <v>43890</v>
      </c>
      <c r="C2124" s="390" t="s">
        <v>4379</v>
      </c>
      <c r="D2124" s="391" t="s">
        <v>4384</v>
      </c>
      <c r="E2124" s="391" t="s">
        <v>6129</v>
      </c>
      <c r="F2124" s="392">
        <v>207500</v>
      </c>
      <c r="G2124" s="393" t="s">
        <v>3800</v>
      </c>
      <c r="H2124" s="394">
        <v>79.670989486539227</v>
      </c>
      <c r="I2124" s="394"/>
      <c r="J2124" s="392">
        <v>19.917747371634807</v>
      </c>
      <c r="K2124" s="392">
        <v>19.917747371634807</v>
      </c>
      <c r="L2124" s="392">
        <v>19.917747371634807</v>
      </c>
      <c r="M2124" s="392">
        <v>19.917747371634807</v>
      </c>
      <c r="N2124" s="392"/>
    </row>
    <row r="2125" spans="1:14" hidden="1" outlineLevel="2" x14ac:dyDescent="0.35">
      <c r="A2125" s="388" t="s">
        <v>6128</v>
      </c>
      <c r="B2125" s="389">
        <v>43890</v>
      </c>
      <c r="C2125" s="390" t="s">
        <v>4385</v>
      </c>
      <c r="D2125" s="391" t="s">
        <v>4386</v>
      </c>
      <c r="E2125" s="391" t="s">
        <v>4276</v>
      </c>
      <c r="F2125" s="392">
        <v>207500</v>
      </c>
      <c r="G2125" s="393" t="s">
        <v>3800</v>
      </c>
      <c r="H2125" s="394">
        <v>79.670989486539227</v>
      </c>
      <c r="I2125" s="394"/>
      <c r="J2125" s="392">
        <v>19.917747371634807</v>
      </c>
      <c r="K2125" s="392">
        <v>19.917747371634807</v>
      </c>
      <c r="L2125" s="392">
        <v>19.917747371634807</v>
      </c>
      <c r="M2125" s="392">
        <v>19.917747371634807</v>
      </c>
      <c r="N2125" s="392"/>
    </row>
    <row r="2126" spans="1:14" hidden="1" outlineLevel="2" x14ac:dyDescent="0.35">
      <c r="A2126" s="388" t="s">
        <v>6128</v>
      </c>
      <c r="B2126" s="389">
        <v>43890</v>
      </c>
      <c r="C2126" s="390" t="s">
        <v>4387</v>
      </c>
      <c r="D2126" s="391" t="s">
        <v>4388</v>
      </c>
      <c r="E2126" s="391" t="s">
        <v>4042</v>
      </c>
      <c r="F2126" s="392">
        <v>51875</v>
      </c>
      <c r="G2126" s="393" t="s">
        <v>3800</v>
      </c>
      <c r="H2126" s="394">
        <v>19.917747371634807</v>
      </c>
      <c r="I2126" s="394"/>
      <c r="J2126" s="392">
        <v>4.9794368429087017</v>
      </c>
      <c r="K2126" s="392">
        <v>4.9794368429087017</v>
      </c>
      <c r="L2126" s="392">
        <v>4.9794368429087017</v>
      </c>
      <c r="M2126" s="392">
        <v>4.9794368429087017</v>
      </c>
      <c r="N2126" s="392"/>
    </row>
    <row r="2127" spans="1:14" hidden="1" outlineLevel="2" x14ac:dyDescent="0.35">
      <c r="A2127" s="388" t="s">
        <v>6128</v>
      </c>
      <c r="B2127" s="389">
        <v>43950</v>
      </c>
      <c r="C2127" s="390" t="s">
        <v>4266</v>
      </c>
      <c r="D2127" s="391" t="s">
        <v>4267</v>
      </c>
      <c r="E2127" s="391" t="s">
        <v>6129</v>
      </c>
      <c r="F2127" s="392">
        <v>4150000</v>
      </c>
      <c r="G2127" s="393" t="s">
        <v>3800</v>
      </c>
      <c r="H2127" s="394">
        <v>1593.4197897307847</v>
      </c>
      <c r="I2127" s="394"/>
      <c r="J2127" s="392">
        <v>398.35494743269618</v>
      </c>
      <c r="K2127" s="392">
        <v>398.35494743269618</v>
      </c>
      <c r="L2127" s="392">
        <v>398.35494743269618</v>
      </c>
      <c r="M2127" s="392">
        <v>398.35494743269618</v>
      </c>
      <c r="N2127" s="392"/>
    </row>
    <row r="2128" spans="1:14" hidden="1" outlineLevel="2" x14ac:dyDescent="0.35">
      <c r="A2128" s="388" t="s">
        <v>6128</v>
      </c>
      <c r="B2128" s="389">
        <v>43950</v>
      </c>
      <c r="C2128" s="390" t="s">
        <v>4266</v>
      </c>
      <c r="D2128" s="391" t="s">
        <v>4269</v>
      </c>
      <c r="E2128" s="391" t="s">
        <v>6129</v>
      </c>
      <c r="F2128" s="392">
        <v>622500</v>
      </c>
      <c r="G2128" s="393" t="s">
        <v>3800</v>
      </c>
      <c r="H2128" s="394">
        <v>239.0129684596177</v>
      </c>
      <c r="I2128" s="394"/>
      <c r="J2128" s="392">
        <v>59.753242114904424</v>
      </c>
      <c r="K2128" s="392">
        <v>59.753242114904424</v>
      </c>
      <c r="L2128" s="392">
        <v>59.753242114904424</v>
      </c>
      <c r="M2128" s="392">
        <v>59.753242114904424</v>
      </c>
      <c r="N2128" s="392"/>
    </row>
    <row r="2129" spans="1:14" hidden="1" outlineLevel="2" x14ac:dyDescent="0.35">
      <c r="A2129" s="388" t="s">
        <v>6128</v>
      </c>
      <c r="B2129" s="389">
        <v>43950</v>
      </c>
      <c r="C2129" s="390" t="s">
        <v>4270</v>
      </c>
      <c r="D2129" s="391" t="s">
        <v>4271</v>
      </c>
      <c r="E2129" s="391" t="s">
        <v>4272</v>
      </c>
      <c r="F2129" s="392">
        <v>518750</v>
      </c>
      <c r="G2129" s="393" t="s">
        <v>3800</v>
      </c>
      <c r="H2129" s="394">
        <v>199.17747371634809</v>
      </c>
      <c r="I2129" s="394"/>
      <c r="J2129" s="392">
        <v>49.794368429087022</v>
      </c>
      <c r="K2129" s="392">
        <v>49.794368429087022</v>
      </c>
      <c r="L2129" s="392">
        <v>49.794368429087022</v>
      </c>
      <c r="M2129" s="392">
        <v>49.794368429087022</v>
      </c>
      <c r="N2129" s="392"/>
    </row>
    <row r="2130" spans="1:14" hidden="1" outlineLevel="2" x14ac:dyDescent="0.35">
      <c r="A2130" s="388" t="s">
        <v>6128</v>
      </c>
      <c r="B2130" s="389">
        <v>43950</v>
      </c>
      <c r="C2130" s="390" t="s">
        <v>4266</v>
      </c>
      <c r="D2130" s="391" t="s">
        <v>4273</v>
      </c>
      <c r="E2130" s="391" t="s">
        <v>6129</v>
      </c>
      <c r="F2130" s="392">
        <v>207500</v>
      </c>
      <c r="G2130" s="393" t="s">
        <v>3800</v>
      </c>
      <c r="H2130" s="394">
        <v>79.670989486539227</v>
      </c>
      <c r="I2130" s="394"/>
      <c r="J2130" s="392">
        <v>19.917747371634807</v>
      </c>
      <c r="K2130" s="392">
        <v>19.917747371634807</v>
      </c>
      <c r="L2130" s="392">
        <v>19.917747371634807</v>
      </c>
      <c r="M2130" s="392">
        <v>19.917747371634807</v>
      </c>
      <c r="N2130" s="392"/>
    </row>
    <row r="2131" spans="1:14" hidden="1" outlineLevel="2" collapsed="1" x14ac:dyDescent="0.35">
      <c r="A2131" s="388" t="s">
        <v>6128</v>
      </c>
      <c r="B2131" s="389">
        <v>43950</v>
      </c>
      <c r="C2131" s="390" t="s">
        <v>4274</v>
      </c>
      <c r="D2131" s="391" t="s">
        <v>4275</v>
      </c>
      <c r="E2131" s="391" t="s">
        <v>4276</v>
      </c>
      <c r="F2131" s="392">
        <v>207500</v>
      </c>
      <c r="G2131" s="393" t="s">
        <v>3800</v>
      </c>
      <c r="H2131" s="394">
        <v>79.670989486539227</v>
      </c>
      <c r="I2131" s="394"/>
      <c r="J2131" s="392">
        <v>19.917747371634807</v>
      </c>
      <c r="K2131" s="392">
        <v>19.917747371634807</v>
      </c>
      <c r="L2131" s="392">
        <v>19.917747371634807</v>
      </c>
      <c r="M2131" s="392">
        <v>19.917747371634807</v>
      </c>
      <c r="N2131" s="392"/>
    </row>
    <row r="2132" spans="1:14" hidden="1" outlineLevel="2" x14ac:dyDescent="0.35">
      <c r="A2132" s="388" t="s">
        <v>6128</v>
      </c>
      <c r="B2132" s="389">
        <v>43950</v>
      </c>
      <c r="C2132" s="390" t="s">
        <v>4277</v>
      </c>
      <c r="D2132" s="391" t="s">
        <v>4278</v>
      </c>
      <c r="E2132" s="391" t="s">
        <v>4042</v>
      </c>
      <c r="F2132" s="392">
        <v>51875</v>
      </c>
      <c r="G2132" s="393" t="s">
        <v>3800</v>
      </c>
      <c r="H2132" s="394">
        <v>19.917747371634807</v>
      </c>
      <c r="I2132" s="394"/>
      <c r="J2132" s="392">
        <v>4.9794368429087017</v>
      </c>
      <c r="K2132" s="392">
        <v>4.9794368429087017</v>
      </c>
      <c r="L2132" s="392">
        <v>4.9794368429087017</v>
      </c>
      <c r="M2132" s="392">
        <v>4.9794368429087017</v>
      </c>
      <c r="N2132" s="392"/>
    </row>
    <row r="2133" spans="1:14" hidden="1" outlineLevel="2" x14ac:dyDescent="0.35">
      <c r="A2133" s="388" t="s">
        <v>6128</v>
      </c>
      <c r="B2133" s="389">
        <v>43959</v>
      </c>
      <c r="C2133" s="390" t="s">
        <v>4253</v>
      </c>
      <c r="D2133" s="391" t="s">
        <v>4279</v>
      </c>
      <c r="E2133" s="391" t="s">
        <v>6129</v>
      </c>
      <c r="F2133" s="392">
        <v>4150000</v>
      </c>
      <c r="G2133" s="393" t="s">
        <v>3800</v>
      </c>
      <c r="H2133" s="394">
        <v>1593.4197897307847</v>
      </c>
      <c r="I2133" s="394"/>
      <c r="J2133" s="392">
        <v>398.35494743269618</v>
      </c>
      <c r="K2133" s="392">
        <v>398.35494743269618</v>
      </c>
      <c r="L2133" s="392">
        <v>398.35494743269618</v>
      </c>
      <c r="M2133" s="392">
        <v>398.35494743269618</v>
      </c>
      <c r="N2133" s="392"/>
    </row>
    <row r="2134" spans="1:14" hidden="1" outlineLevel="2" x14ac:dyDescent="0.35">
      <c r="A2134" s="388" t="s">
        <v>6128</v>
      </c>
      <c r="B2134" s="389">
        <v>43959</v>
      </c>
      <c r="C2134" s="390" t="s">
        <v>4253</v>
      </c>
      <c r="D2134" s="391" t="s">
        <v>4280</v>
      </c>
      <c r="E2134" s="391" t="s">
        <v>6129</v>
      </c>
      <c r="F2134" s="392">
        <v>622500</v>
      </c>
      <c r="G2134" s="393" t="s">
        <v>3800</v>
      </c>
      <c r="H2134" s="394">
        <v>239.0129684596177</v>
      </c>
      <c r="I2134" s="394"/>
      <c r="J2134" s="392">
        <v>59.753242114904424</v>
      </c>
      <c r="K2134" s="392">
        <v>59.753242114904424</v>
      </c>
      <c r="L2134" s="392">
        <v>59.753242114904424</v>
      </c>
      <c r="M2134" s="392">
        <v>59.753242114904424</v>
      </c>
      <c r="N2134" s="392"/>
    </row>
    <row r="2135" spans="1:14" hidden="1" outlineLevel="2" x14ac:dyDescent="0.35">
      <c r="A2135" s="388" t="s">
        <v>6128</v>
      </c>
      <c r="B2135" s="389">
        <v>43963</v>
      </c>
      <c r="C2135" s="390" t="s">
        <v>4281</v>
      </c>
      <c r="D2135" s="391" t="s">
        <v>4282</v>
      </c>
      <c r="E2135" s="391" t="s">
        <v>4272</v>
      </c>
      <c r="F2135" s="392">
        <v>518750</v>
      </c>
      <c r="G2135" s="393" t="s">
        <v>3800</v>
      </c>
      <c r="H2135" s="394">
        <v>199.17747371634809</v>
      </c>
      <c r="I2135" s="394"/>
      <c r="J2135" s="392">
        <v>49.794368429087022</v>
      </c>
      <c r="K2135" s="392">
        <v>49.794368429087022</v>
      </c>
      <c r="L2135" s="392">
        <v>49.794368429087022</v>
      </c>
      <c r="M2135" s="392">
        <v>49.794368429087022</v>
      </c>
      <c r="N2135" s="392"/>
    </row>
    <row r="2136" spans="1:14" hidden="1" outlineLevel="2" x14ac:dyDescent="0.35">
      <c r="A2136" s="388" t="s">
        <v>6128</v>
      </c>
      <c r="B2136" s="389">
        <v>43959</v>
      </c>
      <c r="C2136" s="390" t="s">
        <v>4253</v>
      </c>
      <c r="D2136" s="391" t="s">
        <v>4283</v>
      </c>
      <c r="E2136" s="391" t="s">
        <v>6129</v>
      </c>
      <c r="F2136" s="392">
        <v>207500</v>
      </c>
      <c r="G2136" s="393" t="s">
        <v>3800</v>
      </c>
      <c r="H2136" s="394">
        <v>79.670989486539227</v>
      </c>
      <c r="I2136" s="394"/>
      <c r="J2136" s="392">
        <v>19.917747371634807</v>
      </c>
      <c r="K2136" s="392">
        <v>19.917747371634807</v>
      </c>
      <c r="L2136" s="392">
        <v>19.917747371634807</v>
      </c>
      <c r="M2136" s="392">
        <v>19.917747371634807</v>
      </c>
      <c r="N2136" s="392"/>
    </row>
    <row r="2137" spans="1:14" hidden="1" outlineLevel="2" x14ac:dyDescent="0.35">
      <c r="A2137" s="388" t="s">
        <v>6128</v>
      </c>
      <c r="B2137" s="389">
        <v>43964</v>
      </c>
      <c r="C2137" s="390" t="s">
        <v>4284</v>
      </c>
      <c r="D2137" s="391" t="s">
        <v>4389</v>
      </c>
      <c r="E2137" s="391" t="s">
        <v>4276</v>
      </c>
      <c r="F2137" s="392">
        <v>207500</v>
      </c>
      <c r="G2137" s="393" t="s">
        <v>3800</v>
      </c>
      <c r="H2137" s="394">
        <v>79.670989486539227</v>
      </c>
      <c r="I2137" s="394"/>
      <c r="J2137" s="392">
        <v>19.917747371634807</v>
      </c>
      <c r="K2137" s="392">
        <v>19.917747371634807</v>
      </c>
      <c r="L2137" s="392">
        <v>19.917747371634807</v>
      </c>
      <c r="M2137" s="392">
        <v>19.917747371634807</v>
      </c>
      <c r="N2137" s="392"/>
    </row>
    <row r="2138" spans="1:14" hidden="1" outlineLevel="2" x14ac:dyDescent="0.35">
      <c r="A2138" s="388" t="s">
        <v>6128</v>
      </c>
      <c r="B2138" s="389">
        <v>43959</v>
      </c>
      <c r="C2138" s="390" t="s">
        <v>4286</v>
      </c>
      <c r="D2138" s="391" t="s">
        <v>4287</v>
      </c>
      <c r="E2138" s="391" t="s">
        <v>4042</v>
      </c>
      <c r="F2138" s="392">
        <v>51875</v>
      </c>
      <c r="G2138" s="393" t="s">
        <v>3800</v>
      </c>
      <c r="H2138" s="394">
        <v>19.917747371634807</v>
      </c>
      <c r="I2138" s="394"/>
      <c r="J2138" s="392">
        <v>4.9794368429087017</v>
      </c>
      <c r="K2138" s="392">
        <v>4.9794368429087017</v>
      </c>
      <c r="L2138" s="392">
        <v>4.9794368429087017</v>
      </c>
      <c r="M2138" s="392">
        <v>4.9794368429087017</v>
      </c>
      <c r="N2138" s="392"/>
    </row>
    <row r="2139" spans="1:14" hidden="1" outlineLevel="2" x14ac:dyDescent="0.35">
      <c r="A2139" s="388" t="s">
        <v>6128</v>
      </c>
      <c r="B2139" s="389">
        <v>43980</v>
      </c>
      <c r="C2139" s="390" t="s">
        <v>4288</v>
      </c>
      <c r="D2139" s="391" t="s">
        <v>4289</v>
      </c>
      <c r="E2139" s="391" t="s">
        <v>6129</v>
      </c>
      <c r="F2139" s="392">
        <v>4150000</v>
      </c>
      <c r="G2139" s="393" t="s">
        <v>3800</v>
      </c>
      <c r="H2139" s="394">
        <v>1593.4197897307847</v>
      </c>
      <c r="I2139" s="394"/>
      <c r="J2139" s="392">
        <v>398.35494743269618</v>
      </c>
      <c r="K2139" s="392">
        <v>398.35494743269618</v>
      </c>
      <c r="L2139" s="392">
        <v>398.35494743269618</v>
      </c>
      <c r="M2139" s="392">
        <v>398.35494743269618</v>
      </c>
      <c r="N2139" s="392"/>
    </row>
    <row r="2140" spans="1:14" hidden="1" outlineLevel="2" x14ac:dyDescent="0.35">
      <c r="A2140" s="388" t="s">
        <v>6128</v>
      </c>
      <c r="B2140" s="389">
        <v>43980</v>
      </c>
      <c r="C2140" s="390" t="s">
        <v>4290</v>
      </c>
      <c r="D2140" s="391" t="s">
        <v>4291</v>
      </c>
      <c r="E2140" s="391" t="s">
        <v>6129</v>
      </c>
      <c r="F2140" s="392">
        <v>622500</v>
      </c>
      <c r="G2140" s="393" t="s">
        <v>3800</v>
      </c>
      <c r="H2140" s="394">
        <v>239.0129684596177</v>
      </c>
      <c r="I2140" s="394"/>
      <c r="J2140" s="392">
        <v>59.753242114904424</v>
      </c>
      <c r="K2140" s="392">
        <v>59.753242114904424</v>
      </c>
      <c r="L2140" s="392">
        <v>59.753242114904424</v>
      </c>
      <c r="M2140" s="392">
        <v>59.753242114904424</v>
      </c>
      <c r="N2140" s="392"/>
    </row>
    <row r="2141" spans="1:14" hidden="1" outlineLevel="2" x14ac:dyDescent="0.35">
      <c r="A2141" s="388" t="s">
        <v>6128</v>
      </c>
      <c r="B2141" s="389">
        <v>43980</v>
      </c>
      <c r="C2141" s="390" t="s">
        <v>4281</v>
      </c>
      <c r="D2141" s="391" t="s">
        <v>4390</v>
      </c>
      <c r="E2141" s="391" t="s">
        <v>4272</v>
      </c>
      <c r="F2141" s="392">
        <v>518750</v>
      </c>
      <c r="G2141" s="393" t="s">
        <v>3800</v>
      </c>
      <c r="H2141" s="394">
        <v>199.17747371634809</v>
      </c>
      <c r="I2141" s="394"/>
      <c r="J2141" s="392">
        <v>49.794368429087022</v>
      </c>
      <c r="K2141" s="392">
        <v>49.794368429087022</v>
      </c>
      <c r="L2141" s="392">
        <v>49.794368429087022</v>
      </c>
      <c r="M2141" s="392">
        <v>49.794368429087022</v>
      </c>
      <c r="N2141" s="392"/>
    </row>
    <row r="2142" spans="1:14" hidden="1" outlineLevel="2" x14ac:dyDescent="0.35">
      <c r="A2142" s="388" t="s">
        <v>6128</v>
      </c>
      <c r="B2142" s="389">
        <v>43980</v>
      </c>
      <c r="C2142" s="390" t="s">
        <v>4288</v>
      </c>
      <c r="D2142" s="391" t="s">
        <v>4292</v>
      </c>
      <c r="E2142" s="391" t="s">
        <v>6129</v>
      </c>
      <c r="F2142" s="392">
        <v>207500</v>
      </c>
      <c r="G2142" s="393" t="s">
        <v>3800</v>
      </c>
      <c r="H2142" s="394">
        <v>79.670989486539227</v>
      </c>
      <c r="I2142" s="394"/>
      <c r="J2142" s="392">
        <v>19.917747371634807</v>
      </c>
      <c r="K2142" s="392">
        <v>19.917747371634807</v>
      </c>
      <c r="L2142" s="392">
        <v>19.917747371634807</v>
      </c>
      <c r="M2142" s="392">
        <v>19.917747371634807</v>
      </c>
      <c r="N2142" s="392"/>
    </row>
    <row r="2143" spans="1:14" hidden="1" outlineLevel="2" x14ac:dyDescent="0.35">
      <c r="A2143" s="388" t="s">
        <v>6128</v>
      </c>
      <c r="B2143" s="389">
        <v>43980</v>
      </c>
      <c r="C2143" s="390" t="s">
        <v>4184</v>
      </c>
      <c r="D2143" s="391" t="s">
        <v>6118</v>
      </c>
      <c r="E2143" s="391" t="s">
        <v>4276</v>
      </c>
      <c r="F2143" s="392">
        <v>207500</v>
      </c>
      <c r="G2143" s="393" t="s">
        <v>3800</v>
      </c>
      <c r="H2143" s="394">
        <v>79.670989486539227</v>
      </c>
      <c r="I2143" s="394"/>
      <c r="J2143" s="392">
        <v>19.917747371634807</v>
      </c>
      <c r="K2143" s="392">
        <v>19.917747371634807</v>
      </c>
      <c r="L2143" s="392">
        <v>19.917747371634807</v>
      </c>
      <c r="M2143" s="392">
        <v>19.917747371634807</v>
      </c>
      <c r="N2143" s="392"/>
    </row>
    <row r="2144" spans="1:14" hidden="1" outlineLevel="2" x14ac:dyDescent="0.35">
      <c r="A2144" s="388" t="s">
        <v>6128</v>
      </c>
      <c r="B2144" s="389">
        <v>43980</v>
      </c>
      <c r="C2144" s="390" t="s">
        <v>4294</v>
      </c>
      <c r="D2144" s="391" t="s">
        <v>4295</v>
      </c>
      <c r="E2144" s="391" t="s">
        <v>4042</v>
      </c>
      <c r="F2144" s="392">
        <v>51875</v>
      </c>
      <c r="G2144" s="393" t="s">
        <v>3800</v>
      </c>
      <c r="H2144" s="394">
        <v>19.917747371634807</v>
      </c>
      <c r="I2144" s="394"/>
      <c r="J2144" s="392">
        <v>4.9794368429087017</v>
      </c>
      <c r="K2144" s="392">
        <v>4.9794368429087017</v>
      </c>
      <c r="L2144" s="392">
        <v>4.9794368429087017</v>
      </c>
      <c r="M2144" s="392">
        <v>4.9794368429087017</v>
      </c>
      <c r="N2144" s="392"/>
    </row>
    <row r="2145" spans="1:14" hidden="1" outlineLevel="2" x14ac:dyDescent="0.35">
      <c r="A2145" s="388" t="s">
        <v>6128</v>
      </c>
      <c r="B2145" s="389">
        <v>44018</v>
      </c>
      <c r="C2145" s="390" t="s">
        <v>4192</v>
      </c>
      <c r="D2145" s="391" t="s">
        <v>4296</v>
      </c>
      <c r="E2145" s="391" t="s">
        <v>4844</v>
      </c>
      <c r="F2145" s="392">
        <v>4150000</v>
      </c>
      <c r="G2145" s="393" t="s">
        <v>3800</v>
      </c>
      <c r="H2145" s="394">
        <v>1593.4197897307847</v>
      </c>
      <c r="I2145" s="394"/>
      <c r="J2145" s="392">
        <v>398.35494743269618</v>
      </c>
      <c r="K2145" s="392">
        <v>398.35494743269618</v>
      </c>
      <c r="L2145" s="392">
        <v>398.35494743269618</v>
      </c>
      <c r="M2145" s="392">
        <v>398.35494743269618</v>
      </c>
      <c r="N2145" s="392"/>
    </row>
    <row r="2146" spans="1:14" hidden="1" outlineLevel="2" x14ac:dyDescent="0.35">
      <c r="A2146" s="388" t="s">
        <v>6128</v>
      </c>
      <c r="B2146" s="389">
        <v>44018</v>
      </c>
      <c r="C2146" s="390" t="s">
        <v>4192</v>
      </c>
      <c r="D2146" s="391" t="s">
        <v>4297</v>
      </c>
      <c r="E2146" s="391" t="s">
        <v>4844</v>
      </c>
      <c r="F2146" s="392">
        <v>622500</v>
      </c>
      <c r="G2146" s="393" t="s">
        <v>3800</v>
      </c>
      <c r="H2146" s="394">
        <v>239.0129684596177</v>
      </c>
      <c r="I2146" s="394"/>
      <c r="J2146" s="392">
        <v>59.753242114904424</v>
      </c>
      <c r="K2146" s="392">
        <v>59.753242114904424</v>
      </c>
      <c r="L2146" s="392">
        <v>59.753242114904424</v>
      </c>
      <c r="M2146" s="392">
        <v>59.753242114904424</v>
      </c>
      <c r="N2146" s="392"/>
    </row>
    <row r="2147" spans="1:14" hidden="1" outlineLevel="2" x14ac:dyDescent="0.35">
      <c r="A2147" s="388" t="s">
        <v>6128</v>
      </c>
      <c r="B2147" s="389">
        <v>44022</v>
      </c>
      <c r="C2147" s="390" t="s">
        <v>4298</v>
      </c>
      <c r="D2147" s="391" t="s">
        <v>4299</v>
      </c>
      <c r="E2147" s="391" t="s">
        <v>4272</v>
      </c>
      <c r="F2147" s="392">
        <v>518750</v>
      </c>
      <c r="G2147" s="393" t="s">
        <v>3800</v>
      </c>
      <c r="H2147" s="394">
        <v>199.17747371634809</v>
      </c>
      <c r="I2147" s="394"/>
      <c r="J2147" s="392">
        <v>49.794368429087022</v>
      </c>
      <c r="K2147" s="392">
        <v>49.794368429087022</v>
      </c>
      <c r="L2147" s="392">
        <v>49.794368429087022</v>
      </c>
      <c r="M2147" s="392">
        <v>49.794368429087022</v>
      </c>
      <c r="N2147" s="392"/>
    </row>
    <row r="2148" spans="1:14" hidden="1" outlineLevel="2" collapsed="1" x14ac:dyDescent="0.35">
      <c r="A2148" s="388" t="s">
        <v>6128</v>
      </c>
      <c r="B2148" s="389">
        <v>44018</v>
      </c>
      <c r="C2148" s="390" t="s">
        <v>4192</v>
      </c>
      <c r="D2148" s="391" t="s">
        <v>4300</v>
      </c>
      <c r="E2148" s="391" t="s">
        <v>4844</v>
      </c>
      <c r="F2148" s="392">
        <v>207500</v>
      </c>
      <c r="G2148" s="393" t="s">
        <v>3800</v>
      </c>
      <c r="H2148" s="394">
        <v>79.670989486539227</v>
      </c>
      <c r="I2148" s="394"/>
      <c r="J2148" s="392">
        <v>19.917747371634807</v>
      </c>
      <c r="K2148" s="392">
        <v>19.917747371634807</v>
      </c>
      <c r="L2148" s="392">
        <v>19.917747371634807</v>
      </c>
      <c r="M2148" s="392">
        <v>19.917747371634807</v>
      </c>
      <c r="N2148" s="392"/>
    </row>
    <row r="2149" spans="1:14" hidden="1" outlineLevel="2" x14ac:dyDescent="0.35">
      <c r="A2149" s="388" t="s">
        <v>6128</v>
      </c>
      <c r="B2149" s="389">
        <v>44022</v>
      </c>
      <c r="C2149" s="390" t="s">
        <v>4301</v>
      </c>
      <c r="D2149" s="391" t="s">
        <v>4302</v>
      </c>
      <c r="E2149" s="391" t="s">
        <v>4276</v>
      </c>
      <c r="F2149" s="392">
        <v>207500</v>
      </c>
      <c r="G2149" s="393" t="s">
        <v>3800</v>
      </c>
      <c r="H2149" s="394">
        <v>79.670989486539227</v>
      </c>
      <c r="I2149" s="394"/>
      <c r="J2149" s="392">
        <v>19.917747371634807</v>
      </c>
      <c r="K2149" s="392">
        <v>19.917747371634807</v>
      </c>
      <c r="L2149" s="392">
        <v>19.917747371634807</v>
      </c>
      <c r="M2149" s="392">
        <v>19.917747371634807</v>
      </c>
      <c r="N2149" s="392"/>
    </row>
    <row r="2150" spans="1:14" hidden="1" outlineLevel="2" x14ac:dyDescent="0.35">
      <c r="A2150" s="388" t="s">
        <v>6128</v>
      </c>
      <c r="B2150" s="389">
        <v>44022</v>
      </c>
      <c r="C2150" s="390" t="s">
        <v>4303</v>
      </c>
      <c r="D2150" s="391" t="s">
        <v>4304</v>
      </c>
      <c r="E2150" s="391" t="s">
        <v>4042</v>
      </c>
      <c r="F2150" s="392">
        <v>51875</v>
      </c>
      <c r="G2150" s="393" t="s">
        <v>3800</v>
      </c>
      <c r="H2150" s="394">
        <v>19.917747371634807</v>
      </c>
      <c r="I2150" s="394"/>
      <c r="J2150" s="392">
        <v>4.9794368429087017</v>
      </c>
      <c r="K2150" s="392">
        <v>4.9794368429087017</v>
      </c>
      <c r="L2150" s="392">
        <v>4.9794368429087017</v>
      </c>
      <c r="M2150" s="392">
        <v>4.9794368429087017</v>
      </c>
      <c r="N2150" s="392"/>
    </row>
    <row r="2151" spans="1:14" hidden="1" outlineLevel="2" x14ac:dyDescent="0.35">
      <c r="A2151" s="388" t="s">
        <v>6128</v>
      </c>
      <c r="B2151" s="389">
        <v>44047</v>
      </c>
      <c r="C2151" s="390" t="s">
        <v>4305</v>
      </c>
      <c r="D2151" s="391" t="s">
        <v>4306</v>
      </c>
      <c r="E2151" s="391" t="s">
        <v>6129</v>
      </c>
      <c r="F2151" s="392">
        <v>4150000</v>
      </c>
      <c r="G2151" s="393" t="s">
        <v>3800</v>
      </c>
      <c r="H2151" s="394">
        <v>1593.4197897307847</v>
      </c>
      <c r="I2151" s="394"/>
      <c r="J2151" s="392">
        <v>398.35494743269618</v>
      </c>
      <c r="K2151" s="392">
        <v>398.35494743269618</v>
      </c>
      <c r="L2151" s="392">
        <v>398.35494743269618</v>
      </c>
      <c r="M2151" s="392">
        <v>398.35494743269618</v>
      </c>
      <c r="N2151" s="392"/>
    </row>
    <row r="2152" spans="1:14" hidden="1" outlineLevel="2" x14ac:dyDescent="0.35">
      <c r="A2152" s="388" t="s">
        <v>6128</v>
      </c>
      <c r="B2152" s="389">
        <v>44047</v>
      </c>
      <c r="C2152" s="390" t="s">
        <v>4305</v>
      </c>
      <c r="D2152" s="391" t="s">
        <v>4307</v>
      </c>
      <c r="E2152" s="391" t="s">
        <v>6129</v>
      </c>
      <c r="F2152" s="392">
        <v>622500</v>
      </c>
      <c r="G2152" s="393" t="s">
        <v>3800</v>
      </c>
      <c r="H2152" s="394">
        <v>239.0129684596177</v>
      </c>
      <c r="I2152" s="394"/>
      <c r="J2152" s="392">
        <v>59.753242114904424</v>
      </c>
      <c r="K2152" s="392">
        <v>59.753242114904424</v>
      </c>
      <c r="L2152" s="392">
        <v>59.753242114904424</v>
      </c>
      <c r="M2152" s="392">
        <v>59.753242114904424</v>
      </c>
      <c r="N2152" s="392"/>
    </row>
    <row r="2153" spans="1:14" hidden="1" outlineLevel="2" x14ac:dyDescent="0.35">
      <c r="A2153" s="388" t="s">
        <v>6128</v>
      </c>
      <c r="B2153" s="389">
        <v>44047</v>
      </c>
      <c r="C2153" s="390" t="s">
        <v>4308</v>
      </c>
      <c r="D2153" s="391" t="s">
        <v>4309</v>
      </c>
      <c r="E2153" s="391" t="s">
        <v>4272</v>
      </c>
      <c r="F2153" s="392">
        <v>518750</v>
      </c>
      <c r="G2153" s="393" t="s">
        <v>3800</v>
      </c>
      <c r="H2153" s="394">
        <v>199.17747371634809</v>
      </c>
      <c r="I2153" s="394"/>
      <c r="J2153" s="392">
        <v>49.794368429087022</v>
      </c>
      <c r="K2153" s="392">
        <v>49.794368429087022</v>
      </c>
      <c r="L2153" s="392">
        <v>49.794368429087022</v>
      </c>
      <c r="M2153" s="392">
        <v>49.794368429087022</v>
      </c>
      <c r="N2153" s="392"/>
    </row>
    <row r="2154" spans="1:14" hidden="1" outlineLevel="2" x14ac:dyDescent="0.35">
      <c r="A2154" s="388" t="s">
        <v>6128</v>
      </c>
      <c r="B2154" s="389">
        <v>44047</v>
      </c>
      <c r="C2154" s="390" t="s">
        <v>4305</v>
      </c>
      <c r="D2154" s="391" t="s">
        <v>4310</v>
      </c>
      <c r="E2154" s="391" t="s">
        <v>6129</v>
      </c>
      <c r="F2154" s="392">
        <v>207500</v>
      </c>
      <c r="G2154" s="393" t="s">
        <v>3800</v>
      </c>
      <c r="H2154" s="394">
        <v>79.670989486539227</v>
      </c>
      <c r="I2154" s="394"/>
      <c r="J2154" s="392">
        <v>19.917747371634807</v>
      </c>
      <c r="K2154" s="392">
        <v>19.917747371634807</v>
      </c>
      <c r="L2154" s="392">
        <v>19.917747371634807</v>
      </c>
      <c r="M2154" s="392">
        <v>19.917747371634807</v>
      </c>
      <c r="N2154" s="392"/>
    </row>
    <row r="2155" spans="1:14" hidden="1" outlineLevel="2" x14ac:dyDescent="0.35">
      <c r="A2155" s="388" t="s">
        <v>6128</v>
      </c>
      <c r="B2155" s="389">
        <v>44047</v>
      </c>
      <c r="C2155" s="390" t="s">
        <v>4311</v>
      </c>
      <c r="D2155" s="391" t="s">
        <v>4312</v>
      </c>
      <c r="E2155" s="391" t="s">
        <v>4276</v>
      </c>
      <c r="F2155" s="392">
        <v>207500</v>
      </c>
      <c r="G2155" s="393" t="s">
        <v>3800</v>
      </c>
      <c r="H2155" s="394">
        <v>79.670989486539227</v>
      </c>
      <c r="I2155" s="394"/>
      <c r="J2155" s="392">
        <v>19.917747371634807</v>
      </c>
      <c r="K2155" s="392">
        <v>19.917747371634807</v>
      </c>
      <c r="L2155" s="392">
        <v>19.917747371634807</v>
      </c>
      <c r="M2155" s="392">
        <v>19.917747371634807</v>
      </c>
      <c r="N2155" s="392"/>
    </row>
    <row r="2156" spans="1:14" hidden="1" outlineLevel="2" x14ac:dyDescent="0.35">
      <c r="A2156" s="388" t="s">
        <v>6128</v>
      </c>
      <c r="B2156" s="389">
        <v>44047</v>
      </c>
      <c r="C2156" s="390" t="s">
        <v>4313</v>
      </c>
      <c r="D2156" s="391" t="s">
        <v>4314</v>
      </c>
      <c r="E2156" s="391" t="s">
        <v>4042</v>
      </c>
      <c r="F2156" s="392">
        <v>51875</v>
      </c>
      <c r="G2156" s="393" t="s">
        <v>3800</v>
      </c>
      <c r="H2156" s="394">
        <v>19.917747371634807</v>
      </c>
      <c r="I2156" s="394"/>
      <c r="J2156" s="392">
        <v>4.9794368429087017</v>
      </c>
      <c r="K2156" s="392">
        <v>4.9794368429087017</v>
      </c>
      <c r="L2156" s="392">
        <v>4.9794368429087017</v>
      </c>
      <c r="M2156" s="392">
        <v>4.9794368429087017</v>
      </c>
      <c r="N2156" s="392"/>
    </row>
    <row r="2157" spans="1:14" hidden="1" outlineLevel="2" x14ac:dyDescent="0.35">
      <c r="A2157" s="388" t="s">
        <v>6128</v>
      </c>
      <c r="B2157" s="389">
        <v>44070</v>
      </c>
      <c r="C2157" s="390" t="s">
        <v>4315</v>
      </c>
      <c r="D2157" s="391" t="s">
        <v>4316</v>
      </c>
      <c r="E2157" s="391" t="s">
        <v>6129</v>
      </c>
      <c r="F2157" s="392">
        <v>4150000</v>
      </c>
      <c r="G2157" s="393" t="s">
        <v>3800</v>
      </c>
      <c r="H2157" s="394">
        <v>1593.4197897307847</v>
      </c>
      <c r="I2157" s="394"/>
      <c r="J2157" s="392">
        <v>398.35494743269618</v>
      </c>
      <c r="K2157" s="392">
        <v>398.35494743269618</v>
      </c>
      <c r="L2157" s="392">
        <v>398.35494743269618</v>
      </c>
      <c r="M2157" s="392">
        <v>398.35494743269618</v>
      </c>
      <c r="N2157" s="392"/>
    </row>
    <row r="2158" spans="1:14" hidden="1" outlineLevel="2" x14ac:dyDescent="0.35">
      <c r="A2158" s="388" t="s">
        <v>6128</v>
      </c>
      <c r="B2158" s="389">
        <v>44070</v>
      </c>
      <c r="C2158" s="390" t="s">
        <v>4315</v>
      </c>
      <c r="D2158" s="391" t="s">
        <v>4317</v>
      </c>
      <c r="E2158" s="391" t="s">
        <v>6129</v>
      </c>
      <c r="F2158" s="392">
        <v>622500</v>
      </c>
      <c r="G2158" s="393" t="s">
        <v>3800</v>
      </c>
      <c r="H2158" s="394">
        <v>239.0129684596177</v>
      </c>
      <c r="I2158" s="394"/>
      <c r="J2158" s="392">
        <v>59.753242114904424</v>
      </c>
      <c r="K2158" s="392">
        <v>59.753242114904424</v>
      </c>
      <c r="L2158" s="392">
        <v>59.753242114904424</v>
      </c>
      <c r="M2158" s="392">
        <v>59.753242114904424</v>
      </c>
      <c r="N2158" s="392"/>
    </row>
    <row r="2159" spans="1:14" hidden="1" outlineLevel="2" x14ac:dyDescent="0.35">
      <c r="A2159" s="388" t="s">
        <v>6128</v>
      </c>
      <c r="B2159" s="389">
        <v>44070</v>
      </c>
      <c r="C2159" s="390" t="s">
        <v>4318</v>
      </c>
      <c r="D2159" s="391" t="s">
        <v>4319</v>
      </c>
      <c r="E2159" s="391" t="s">
        <v>4272</v>
      </c>
      <c r="F2159" s="392">
        <v>518750</v>
      </c>
      <c r="G2159" s="393" t="s">
        <v>3800</v>
      </c>
      <c r="H2159" s="394">
        <v>199.17747371634809</v>
      </c>
      <c r="I2159" s="394"/>
      <c r="J2159" s="392">
        <v>49.794368429087022</v>
      </c>
      <c r="K2159" s="392">
        <v>49.794368429087022</v>
      </c>
      <c r="L2159" s="392">
        <v>49.794368429087022</v>
      </c>
      <c r="M2159" s="392">
        <v>49.794368429087022</v>
      </c>
      <c r="N2159" s="392"/>
    </row>
    <row r="2160" spans="1:14" hidden="1" outlineLevel="2" x14ac:dyDescent="0.35">
      <c r="A2160" s="388" t="s">
        <v>6128</v>
      </c>
      <c r="B2160" s="389">
        <v>44070</v>
      </c>
      <c r="C2160" s="390" t="s">
        <v>4315</v>
      </c>
      <c r="D2160" s="391" t="s">
        <v>4320</v>
      </c>
      <c r="E2160" s="391" t="s">
        <v>6129</v>
      </c>
      <c r="F2160" s="392">
        <v>207500</v>
      </c>
      <c r="G2160" s="393" t="s">
        <v>3800</v>
      </c>
      <c r="H2160" s="394">
        <v>79.670989486539227</v>
      </c>
      <c r="I2160" s="394"/>
      <c r="J2160" s="392">
        <v>19.917747371634807</v>
      </c>
      <c r="K2160" s="392">
        <v>19.917747371634807</v>
      </c>
      <c r="L2160" s="392">
        <v>19.917747371634807</v>
      </c>
      <c r="M2160" s="392">
        <v>19.917747371634807</v>
      </c>
      <c r="N2160" s="392"/>
    </row>
    <row r="2161" spans="1:14" hidden="1" outlineLevel="2" collapsed="1" x14ac:dyDescent="0.35">
      <c r="A2161" s="388" t="s">
        <v>6128</v>
      </c>
      <c r="B2161" s="389">
        <v>44070</v>
      </c>
      <c r="C2161" s="390" t="s">
        <v>4321</v>
      </c>
      <c r="D2161" s="391" t="s">
        <v>4322</v>
      </c>
      <c r="E2161" s="391" t="s">
        <v>4276</v>
      </c>
      <c r="F2161" s="392">
        <v>207500</v>
      </c>
      <c r="G2161" s="393" t="s">
        <v>3800</v>
      </c>
      <c r="H2161" s="394">
        <v>79.670989486539227</v>
      </c>
      <c r="I2161" s="394"/>
      <c r="J2161" s="392">
        <v>19.917747371634807</v>
      </c>
      <c r="K2161" s="392">
        <v>19.917747371634807</v>
      </c>
      <c r="L2161" s="392">
        <v>19.917747371634807</v>
      </c>
      <c r="M2161" s="392">
        <v>19.917747371634807</v>
      </c>
      <c r="N2161" s="392"/>
    </row>
    <row r="2162" spans="1:14" hidden="1" outlineLevel="2" x14ac:dyDescent="0.35">
      <c r="A2162" s="388" t="s">
        <v>6128</v>
      </c>
      <c r="B2162" s="389">
        <v>44070</v>
      </c>
      <c r="C2162" s="390" t="s">
        <v>4323</v>
      </c>
      <c r="D2162" s="391" t="s">
        <v>4324</v>
      </c>
      <c r="E2162" s="391" t="s">
        <v>4042</v>
      </c>
      <c r="F2162" s="392">
        <v>51875</v>
      </c>
      <c r="G2162" s="393" t="s">
        <v>3800</v>
      </c>
      <c r="H2162" s="394">
        <v>19.917747371634807</v>
      </c>
      <c r="I2162" s="394"/>
      <c r="J2162" s="392">
        <v>4.9794368429087017</v>
      </c>
      <c r="K2162" s="392">
        <v>4.9794368429087017</v>
      </c>
      <c r="L2162" s="392">
        <v>4.9794368429087017</v>
      </c>
      <c r="M2162" s="392">
        <v>4.9794368429087017</v>
      </c>
      <c r="N2162" s="392"/>
    </row>
    <row r="2163" spans="1:14" hidden="1" outlineLevel="2" x14ac:dyDescent="0.35">
      <c r="A2163" s="388" t="s">
        <v>6128</v>
      </c>
      <c r="B2163" s="389">
        <v>44104</v>
      </c>
      <c r="C2163" s="390" t="s">
        <v>4325</v>
      </c>
      <c r="D2163" s="391" t="s">
        <v>4326</v>
      </c>
      <c r="E2163" s="391" t="s">
        <v>6129</v>
      </c>
      <c r="F2163" s="392">
        <v>4150000</v>
      </c>
      <c r="G2163" s="393" t="s">
        <v>3800</v>
      </c>
      <c r="H2163" s="394">
        <v>1593.4197897307847</v>
      </c>
      <c r="I2163" s="394"/>
      <c r="J2163" s="392">
        <v>398.35494743269618</v>
      </c>
      <c r="K2163" s="392">
        <v>398.35494743269618</v>
      </c>
      <c r="L2163" s="392">
        <v>398.35494743269618</v>
      </c>
      <c r="M2163" s="392">
        <v>398.35494743269618</v>
      </c>
      <c r="N2163" s="392"/>
    </row>
    <row r="2164" spans="1:14" hidden="1" outlineLevel="2" x14ac:dyDescent="0.35">
      <c r="A2164" s="388" t="s">
        <v>6128</v>
      </c>
      <c r="B2164" s="389">
        <v>44104</v>
      </c>
      <c r="C2164" s="390" t="s">
        <v>4325</v>
      </c>
      <c r="D2164" s="391" t="s">
        <v>4327</v>
      </c>
      <c r="E2164" s="391" t="s">
        <v>6129</v>
      </c>
      <c r="F2164" s="392">
        <v>622500</v>
      </c>
      <c r="G2164" s="393" t="s">
        <v>3800</v>
      </c>
      <c r="H2164" s="394">
        <v>239.0129684596177</v>
      </c>
      <c r="I2164" s="394"/>
      <c r="J2164" s="392">
        <v>59.753242114904424</v>
      </c>
      <c r="K2164" s="392">
        <v>59.753242114904424</v>
      </c>
      <c r="L2164" s="392">
        <v>59.753242114904424</v>
      </c>
      <c r="M2164" s="392">
        <v>59.753242114904424</v>
      </c>
      <c r="N2164" s="392"/>
    </row>
    <row r="2165" spans="1:14" hidden="1" outlineLevel="2" x14ac:dyDescent="0.35">
      <c r="A2165" s="388" t="s">
        <v>6128</v>
      </c>
      <c r="B2165" s="389">
        <v>44104</v>
      </c>
      <c r="C2165" s="390" t="s">
        <v>4328</v>
      </c>
      <c r="D2165" s="391" t="s">
        <v>4329</v>
      </c>
      <c r="E2165" s="391" t="s">
        <v>4272</v>
      </c>
      <c r="F2165" s="392">
        <v>518750</v>
      </c>
      <c r="G2165" s="393" t="s">
        <v>3800</v>
      </c>
      <c r="H2165" s="394">
        <v>199.17747371634809</v>
      </c>
      <c r="I2165" s="394"/>
      <c r="J2165" s="392">
        <v>49.794368429087022</v>
      </c>
      <c r="K2165" s="392">
        <v>49.794368429087022</v>
      </c>
      <c r="L2165" s="392">
        <v>49.794368429087022</v>
      </c>
      <c r="M2165" s="392">
        <v>49.794368429087022</v>
      </c>
      <c r="N2165" s="392"/>
    </row>
    <row r="2166" spans="1:14" hidden="1" outlineLevel="2" x14ac:dyDescent="0.35">
      <c r="A2166" s="388" t="s">
        <v>6128</v>
      </c>
      <c r="B2166" s="389">
        <v>44104</v>
      </c>
      <c r="C2166" s="390" t="s">
        <v>4325</v>
      </c>
      <c r="D2166" s="391" t="s">
        <v>4330</v>
      </c>
      <c r="E2166" s="391" t="s">
        <v>6129</v>
      </c>
      <c r="F2166" s="392">
        <v>207500</v>
      </c>
      <c r="G2166" s="393" t="s">
        <v>3800</v>
      </c>
      <c r="H2166" s="394">
        <v>79.670989486539227</v>
      </c>
      <c r="I2166" s="394"/>
      <c r="J2166" s="392">
        <v>19.917747371634807</v>
      </c>
      <c r="K2166" s="392">
        <v>19.917747371634807</v>
      </c>
      <c r="L2166" s="392">
        <v>19.917747371634807</v>
      </c>
      <c r="M2166" s="392">
        <v>19.917747371634807</v>
      </c>
      <c r="N2166" s="392"/>
    </row>
    <row r="2167" spans="1:14" hidden="1" outlineLevel="2" x14ac:dyDescent="0.35">
      <c r="A2167" s="388" t="s">
        <v>6128</v>
      </c>
      <c r="B2167" s="389">
        <v>44104</v>
      </c>
      <c r="C2167" s="390" t="s">
        <v>4331</v>
      </c>
      <c r="D2167" s="391" t="s">
        <v>4332</v>
      </c>
      <c r="E2167" s="391" t="s">
        <v>4276</v>
      </c>
      <c r="F2167" s="392">
        <v>207500</v>
      </c>
      <c r="G2167" s="393" t="s">
        <v>3800</v>
      </c>
      <c r="H2167" s="394">
        <v>79.670989486539227</v>
      </c>
      <c r="I2167" s="394"/>
      <c r="J2167" s="392">
        <v>19.917747371634807</v>
      </c>
      <c r="K2167" s="392">
        <v>19.917747371634807</v>
      </c>
      <c r="L2167" s="392">
        <v>19.917747371634807</v>
      </c>
      <c r="M2167" s="392">
        <v>19.917747371634807</v>
      </c>
      <c r="N2167" s="392"/>
    </row>
    <row r="2168" spans="1:14" hidden="1" outlineLevel="2" x14ac:dyDescent="0.35">
      <c r="A2168" s="388" t="s">
        <v>6128</v>
      </c>
      <c r="B2168" s="389">
        <v>44104</v>
      </c>
      <c r="C2168" s="390" t="s">
        <v>4333</v>
      </c>
      <c r="D2168" s="391" t="s">
        <v>4334</v>
      </c>
      <c r="E2168" s="391" t="s">
        <v>4042</v>
      </c>
      <c r="F2168" s="392">
        <v>51875</v>
      </c>
      <c r="G2168" s="393" t="s">
        <v>3800</v>
      </c>
      <c r="H2168" s="394">
        <v>19.917747371634807</v>
      </c>
      <c r="I2168" s="394"/>
      <c r="J2168" s="392">
        <v>4.9794368429087017</v>
      </c>
      <c r="K2168" s="392">
        <v>4.9794368429087017</v>
      </c>
      <c r="L2168" s="392">
        <v>4.9794368429087017</v>
      </c>
      <c r="M2168" s="392">
        <v>4.9794368429087017</v>
      </c>
      <c r="N2168" s="392"/>
    </row>
    <row r="2169" spans="1:14" hidden="1" outlineLevel="2" x14ac:dyDescent="0.35">
      <c r="A2169" s="388" t="s">
        <v>6128</v>
      </c>
      <c r="B2169" s="389">
        <v>44131</v>
      </c>
      <c r="C2169" s="390" t="s">
        <v>4335</v>
      </c>
      <c r="D2169" s="391" t="s">
        <v>4336</v>
      </c>
      <c r="E2169" s="391" t="s">
        <v>6129</v>
      </c>
      <c r="F2169" s="392">
        <v>4150000</v>
      </c>
      <c r="G2169" s="393" t="s">
        <v>3800</v>
      </c>
      <c r="H2169" s="394">
        <v>1593.4197897307847</v>
      </c>
      <c r="I2169" s="394"/>
      <c r="J2169" s="392">
        <v>398.35494743269618</v>
      </c>
      <c r="K2169" s="392">
        <v>398.35494743269618</v>
      </c>
      <c r="L2169" s="392">
        <v>398.35494743269618</v>
      </c>
      <c r="M2169" s="392">
        <v>398.35494743269618</v>
      </c>
      <c r="N2169" s="392"/>
    </row>
    <row r="2170" spans="1:14" hidden="1" outlineLevel="2" x14ac:dyDescent="0.35">
      <c r="A2170" s="388" t="s">
        <v>6128</v>
      </c>
      <c r="B2170" s="389">
        <v>44131</v>
      </c>
      <c r="C2170" s="390" t="s">
        <v>4335</v>
      </c>
      <c r="D2170" s="391" t="s">
        <v>4337</v>
      </c>
      <c r="E2170" s="391" t="s">
        <v>6129</v>
      </c>
      <c r="F2170" s="392">
        <v>622500</v>
      </c>
      <c r="G2170" s="393" t="s">
        <v>3800</v>
      </c>
      <c r="H2170" s="394">
        <v>239.0129684596177</v>
      </c>
      <c r="I2170" s="394"/>
      <c r="J2170" s="392">
        <v>59.753242114904424</v>
      </c>
      <c r="K2170" s="392">
        <v>59.753242114904424</v>
      </c>
      <c r="L2170" s="392">
        <v>59.753242114904424</v>
      </c>
      <c r="M2170" s="392">
        <v>59.753242114904424</v>
      </c>
      <c r="N2170" s="392"/>
    </row>
    <row r="2171" spans="1:14" hidden="1" outlineLevel="2" x14ac:dyDescent="0.35">
      <c r="A2171" s="388" t="s">
        <v>6128</v>
      </c>
      <c r="B2171" s="389">
        <v>44131</v>
      </c>
      <c r="C2171" s="390" t="s">
        <v>4338</v>
      </c>
      <c r="D2171" s="391" t="s">
        <v>4339</v>
      </c>
      <c r="E2171" s="391" t="s">
        <v>4272</v>
      </c>
      <c r="F2171" s="392">
        <v>518750</v>
      </c>
      <c r="G2171" s="393" t="s">
        <v>3800</v>
      </c>
      <c r="H2171" s="394">
        <v>199.17747371634809</v>
      </c>
      <c r="I2171" s="394"/>
      <c r="J2171" s="392">
        <v>49.794368429087022</v>
      </c>
      <c r="K2171" s="392">
        <v>49.794368429087022</v>
      </c>
      <c r="L2171" s="392">
        <v>49.794368429087022</v>
      </c>
      <c r="M2171" s="392">
        <v>49.794368429087022</v>
      </c>
      <c r="N2171" s="392"/>
    </row>
    <row r="2172" spans="1:14" hidden="1" outlineLevel="2" x14ac:dyDescent="0.35">
      <c r="A2172" s="388" t="s">
        <v>6128</v>
      </c>
      <c r="B2172" s="389">
        <v>44131</v>
      </c>
      <c r="C2172" s="390" t="s">
        <v>4325</v>
      </c>
      <c r="D2172" s="391" t="s">
        <v>4340</v>
      </c>
      <c r="E2172" s="391" t="s">
        <v>6129</v>
      </c>
      <c r="F2172" s="392">
        <v>207500</v>
      </c>
      <c r="G2172" s="393" t="s">
        <v>3800</v>
      </c>
      <c r="H2172" s="394">
        <v>79.670989486539227</v>
      </c>
      <c r="I2172" s="394"/>
      <c r="J2172" s="392">
        <v>19.917747371634807</v>
      </c>
      <c r="K2172" s="392">
        <v>19.917747371634807</v>
      </c>
      <c r="L2172" s="392">
        <v>19.917747371634807</v>
      </c>
      <c r="M2172" s="392">
        <v>19.917747371634807</v>
      </c>
      <c r="N2172" s="392"/>
    </row>
    <row r="2173" spans="1:14" hidden="1" outlineLevel="2" x14ac:dyDescent="0.35">
      <c r="A2173" s="388" t="s">
        <v>6128</v>
      </c>
      <c r="B2173" s="389">
        <v>44131</v>
      </c>
      <c r="C2173" s="390" t="s">
        <v>4341</v>
      </c>
      <c r="D2173" s="391" t="s">
        <v>4342</v>
      </c>
      <c r="E2173" s="391" t="s">
        <v>4276</v>
      </c>
      <c r="F2173" s="392">
        <v>207500</v>
      </c>
      <c r="G2173" s="393" t="s">
        <v>3800</v>
      </c>
      <c r="H2173" s="394">
        <v>79.670989486539227</v>
      </c>
      <c r="I2173" s="394"/>
      <c r="J2173" s="392">
        <v>19.917747371634807</v>
      </c>
      <c r="K2173" s="392">
        <v>19.917747371634807</v>
      </c>
      <c r="L2173" s="392">
        <v>19.917747371634807</v>
      </c>
      <c r="M2173" s="392">
        <v>19.917747371634807</v>
      </c>
      <c r="N2173" s="392"/>
    </row>
    <row r="2174" spans="1:14" hidden="1" outlineLevel="2" x14ac:dyDescent="0.35">
      <c r="A2174" s="388" t="s">
        <v>6128</v>
      </c>
      <c r="B2174" s="389">
        <v>44131</v>
      </c>
      <c r="C2174" s="390" t="s">
        <v>4343</v>
      </c>
      <c r="D2174" s="391" t="s">
        <v>4344</v>
      </c>
      <c r="E2174" s="391" t="s">
        <v>4042</v>
      </c>
      <c r="F2174" s="392">
        <v>51875</v>
      </c>
      <c r="G2174" s="393" t="s">
        <v>3800</v>
      </c>
      <c r="H2174" s="394">
        <v>19.917747371634807</v>
      </c>
      <c r="I2174" s="394"/>
      <c r="J2174" s="392">
        <v>4.9794368429087017</v>
      </c>
      <c r="K2174" s="392">
        <v>4.9794368429087017</v>
      </c>
      <c r="L2174" s="392">
        <v>4.9794368429087017</v>
      </c>
      <c r="M2174" s="392">
        <v>4.9794368429087017</v>
      </c>
      <c r="N2174" s="392"/>
    </row>
    <row r="2175" spans="1:14" hidden="1" outlineLevel="2" x14ac:dyDescent="0.35">
      <c r="A2175" s="388" t="s">
        <v>6128</v>
      </c>
      <c r="B2175" s="389">
        <v>44165</v>
      </c>
      <c r="C2175" s="390" t="s">
        <v>4345</v>
      </c>
      <c r="D2175" s="391" t="s">
        <v>4346</v>
      </c>
      <c r="E2175" s="391" t="s">
        <v>6129</v>
      </c>
      <c r="F2175" s="392">
        <v>4150000</v>
      </c>
      <c r="G2175" s="393" t="s">
        <v>3800</v>
      </c>
      <c r="H2175" s="394">
        <v>1593.4197897307847</v>
      </c>
      <c r="I2175" s="394"/>
      <c r="J2175" s="392">
        <v>398.35494743269618</v>
      </c>
      <c r="K2175" s="392">
        <v>398.35494743269618</v>
      </c>
      <c r="L2175" s="392">
        <v>398.35494743269618</v>
      </c>
      <c r="M2175" s="392">
        <v>398.35494743269618</v>
      </c>
      <c r="N2175" s="392"/>
    </row>
    <row r="2176" spans="1:14" hidden="1" outlineLevel="2" x14ac:dyDescent="0.35">
      <c r="A2176" s="388" t="s">
        <v>6128</v>
      </c>
      <c r="B2176" s="389">
        <v>44165</v>
      </c>
      <c r="C2176" s="390" t="s">
        <v>4345</v>
      </c>
      <c r="D2176" s="391" t="s">
        <v>4347</v>
      </c>
      <c r="E2176" s="391" t="s">
        <v>6129</v>
      </c>
      <c r="F2176" s="392">
        <v>622500</v>
      </c>
      <c r="G2176" s="393" t="s">
        <v>3800</v>
      </c>
      <c r="H2176" s="394">
        <v>239.0129684596177</v>
      </c>
      <c r="I2176" s="394"/>
      <c r="J2176" s="392">
        <v>59.753242114904424</v>
      </c>
      <c r="K2176" s="392">
        <v>59.753242114904424</v>
      </c>
      <c r="L2176" s="392">
        <v>59.753242114904424</v>
      </c>
      <c r="M2176" s="392">
        <v>59.753242114904424</v>
      </c>
      <c r="N2176" s="392"/>
    </row>
    <row r="2177" spans="1:14" hidden="1" outlineLevel="2" x14ac:dyDescent="0.35">
      <c r="A2177" s="388" t="s">
        <v>6128</v>
      </c>
      <c r="B2177" s="389">
        <v>44165</v>
      </c>
      <c r="C2177" s="390" t="s">
        <v>4348</v>
      </c>
      <c r="D2177" s="391" t="s">
        <v>4349</v>
      </c>
      <c r="E2177" s="391" t="s">
        <v>4272</v>
      </c>
      <c r="F2177" s="392">
        <v>518750</v>
      </c>
      <c r="G2177" s="393" t="s">
        <v>3800</v>
      </c>
      <c r="H2177" s="394">
        <v>199.17747371634809</v>
      </c>
      <c r="I2177" s="394"/>
      <c r="J2177" s="392">
        <v>49.794368429087022</v>
      </c>
      <c r="K2177" s="392">
        <v>49.794368429087022</v>
      </c>
      <c r="L2177" s="392">
        <v>49.794368429087022</v>
      </c>
      <c r="M2177" s="392">
        <v>49.794368429087022</v>
      </c>
      <c r="N2177" s="392"/>
    </row>
    <row r="2178" spans="1:14" hidden="1" outlineLevel="2" x14ac:dyDescent="0.35">
      <c r="A2178" s="388" t="s">
        <v>6128</v>
      </c>
      <c r="B2178" s="389">
        <v>44165</v>
      </c>
      <c r="C2178" s="390" t="s">
        <v>4345</v>
      </c>
      <c r="D2178" s="391" t="s">
        <v>4350</v>
      </c>
      <c r="E2178" s="391" t="s">
        <v>6129</v>
      </c>
      <c r="F2178" s="392">
        <v>207500</v>
      </c>
      <c r="G2178" s="393" t="s">
        <v>3800</v>
      </c>
      <c r="H2178" s="394">
        <v>79.670989486539227</v>
      </c>
      <c r="I2178" s="394"/>
      <c r="J2178" s="392">
        <v>19.917747371634807</v>
      </c>
      <c r="K2178" s="392">
        <v>19.917747371634807</v>
      </c>
      <c r="L2178" s="392">
        <v>19.917747371634807</v>
      </c>
      <c r="M2178" s="392">
        <v>19.917747371634807</v>
      </c>
      <c r="N2178" s="392"/>
    </row>
    <row r="2179" spans="1:14" hidden="1" outlineLevel="2" x14ac:dyDescent="0.35">
      <c r="A2179" s="388" t="s">
        <v>6128</v>
      </c>
      <c r="B2179" s="389">
        <v>44165</v>
      </c>
      <c r="C2179" s="390" t="s">
        <v>4351</v>
      </c>
      <c r="D2179" s="391" t="s">
        <v>4352</v>
      </c>
      <c r="E2179" s="391" t="s">
        <v>4276</v>
      </c>
      <c r="F2179" s="392">
        <v>207500</v>
      </c>
      <c r="G2179" s="393" t="s">
        <v>3800</v>
      </c>
      <c r="H2179" s="394">
        <v>79.670989486539227</v>
      </c>
      <c r="I2179" s="394"/>
      <c r="J2179" s="392">
        <v>19.917747371634807</v>
      </c>
      <c r="K2179" s="392">
        <v>19.917747371634807</v>
      </c>
      <c r="L2179" s="392">
        <v>19.917747371634807</v>
      </c>
      <c r="M2179" s="392">
        <v>19.917747371634807</v>
      </c>
      <c r="N2179" s="392"/>
    </row>
    <row r="2180" spans="1:14" hidden="1" outlineLevel="2" x14ac:dyDescent="0.35">
      <c r="A2180" s="388" t="s">
        <v>6128</v>
      </c>
      <c r="B2180" s="389">
        <v>44165</v>
      </c>
      <c r="C2180" s="390" t="s">
        <v>4353</v>
      </c>
      <c r="D2180" s="391" t="s">
        <v>4354</v>
      </c>
      <c r="E2180" s="391" t="s">
        <v>4042</v>
      </c>
      <c r="F2180" s="392">
        <v>51875</v>
      </c>
      <c r="G2180" s="393" t="s">
        <v>3800</v>
      </c>
      <c r="H2180" s="394">
        <v>19.917747371634807</v>
      </c>
      <c r="I2180" s="394"/>
      <c r="J2180" s="392">
        <v>4.9794368429087017</v>
      </c>
      <c r="K2180" s="392">
        <v>4.9794368429087017</v>
      </c>
      <c r="L2180" s="392">
        <v>4.9794368429087017</v>
      </c>
      <c r="M2180" s="392">
        <v>4.9794368429087017</v>
      </c>
      <c r="N2180" s="392"/>
    </row>
    <row r="2181" spans="1:14" hidden="1" outlineLevel="2" collapsed="1" x14ac:dyDescent="0.35">
      <c r="A2181" s="388" t="s">
        <v>6128</v>
      </c>
      <c r="B2181" s="389">
        <v>44187</v>
      </c>
      <c r="C2181" s="390" t="s">
        <v>4355</v>
      </c>
      <c r="D2181" s="391" t="s">
        <v>4356</v>
      </c>
      <c r="E2181" s="391" t="s">
        <v>6129</v>
      </c>
      <c r="F2181" s="392">
        <v>4150000</v>
      </c>
      <c r="G2181" s="393" t="s">
        <v>3800</v>
      </c>
      <c r="H2181" s="394">
        <v>1593.4197897307847</v>
      </c>
      <c r="I2181" s="394"/>
      <c r="J2181" s="392">
        <v>398.35494743269618</v>
      </c>
      <c r="K2181" s="392">
        <v>398.35494743269618</v>
      </c>
      <c r="L2181" s="392">
        <v>398.35494743269618</v>
      </c>
      <c r="M2181" s="392">
        <v>398.35494743269618</v>
      </c>
      <c r="N2181" s="392"/>
    </row>
    <row r="2182" spans="1:14" hidden="1" outlineLevel="2" x14ac:dyDescent="0.35">
      <c r="A2182" s="388" t="s">
        <v>6128</v>
      </c>
      <c r="B2182" s="389">
        <v>44187</v>
      </c>
      <c r="C2182" s="390" t="s">
        <v>4355</v>
      </c>
      <c r="D2182" s="391" t="s">
        <v>4357</v>
      </c>
      <c r="E2182" s="391" t="s">
        <v>6129</v>
      </c>
      <c r="F2182" s="392">
        <v>622500</v>
      </c>
      <c r="G2182" s="393" t="s">
        <v>3800</v>
      </c>
      <c r="H2182" s="394">
        <v>239.0129684596177</v>
      </c>
      <c r="I2182" s="394"/>
      <c r="J2182" s="392">
        <v>59.753242114904424</v>
      </c>
      <c r="K2182" s="392">
        <v>59.753242114904424</v>
      </c>
      <c r="L2182" s="392">
        <v>59.753242114904424</v>
      </c>
      <c r="M2182" s="392">
        <v>59.753242114904424</v>
      </c>
      <c r="N2182" s="392"/>
    </row>
    <row r="2183" spans="1:14" hidden="1" outlineLevel="2" x14ac:dyDescent="0.35">
      <c r="A2183" s="388" t="s">
        <v>6128</v>
      </c>
      <c r="B2183" s="389">
        <v>44187</v>
      </c>
      <c r="C2183" s="390" t="s">
        <v>4358</v>
      </c>
      <c r="D2183" s="391" t="s">
        <v>4359</v>
      </c>
      <c r="E2183" s="391" t="s">
        <v>4272</v>
      </c>
      <c r="F2183" s="392">
        <v>518750</v>
      </c>
      <c r="G2183" s="393" t="s">
        <v>3800</v>
      </c>
      <c r="H2183" s="394">
        <v>199.17747371634809</v>
      </c>
      <c r="I2183" s="394"/>
      <c r="J2183" s="392">
        <v>49.794368429087022</v>
      </c>
      <c r="K2183" s="392">
        <v>49.794368429087022</v>
      </c>
      <c r="L2183" s="392">
        <v>49.794368429087022</v>
      </c>
      <c r="M2183" s="392">
        <v>49.794368429087022</v>
      </c>
      <c r="N2183" s="392"/>
    </row>
    <row r="2184" spans="1:14" hidden="1" outlineLevel="2" x14ac:dyDescent="0.35">
      <c r="A2184" s="388" t="s">
        <v>6128</v>
      </c>
      <c r="B2184" s="389">
        <v>44187</v>
      </c>
      <c r="C2184" s="390" t="s">
        <v>4355</v>
      </c>
      <c r="D2184" s="391" t="s">
        <v>4360</v>
      </c>
      <c r="E2184" s="391" t="s">
        <v>6129</v>
      </c>
      <c r="F2184" s="392">
        <v>207500</v>
      </c>
      <c r="G2184" s="393" t="s">
        <v>3800</v>
      </c>
      <c r="H2184" s="394">
        <v>79.670989486539227</v>
      </c>
      <c r="I2184" s="394"/>
      <c r="J2184" s="392">
        <v>19.917747371634807</v>
      </c>
      <c r="K2184" s="392">
        <v>19.917747371634807</v>
      </c>
      <c r="L2184" s="392">
        <v>19.917747371634807</v>
      </c>
      <c r="M2184" s="392">
        <v>19.917747371634807</v>
      </c>
      <c r="N2184" s="392"/>
    </row>
    <row r="2185" spans="1:14" hidden="1" outlineLevel="2" x14ac:dyDescent="0.35">
      <c r="A2185" s="388" t="s">
        <v>6128</v>
      </c>
      <c r="B2185" s="389">
        <v>44187</v>
      </c>
      <c r="C2185" s="390" t="s">
        <v>4361</v>
      </c>
      <c r="D2185" s="391" t="s">
        <v>4362</v>
      </c>
      <c r="E2185" s="391" t="s">
        <v>4276</v>
      </c>
      <c r="F2185" s="392">
        <v>207500</v>
      </c>
      <c r="G2185" s="393" t="s">
        <v>3800</v>
      </c>
      <c r="H2185" s="394">
        <v>79.670989486539227</v>
      </c>
      <c r="I2185" s="394"/>
      <c r="J2185" s="392">
        <v>19.917747371634807</v>
      </c>
      <c r="K2185" s="392">
        <v>19.917747371634807</v>
      </c>
      <c r="L2185" s="392">
        <v>19.917747371634807</v>
      </c>
      <c r="M2185" s="392">
        <v>19.917747371634807</v>
      </c>
      <c r="N2185" s="392"/>
    </row>
    <row r="2186" spans="1:14" hidden="1" outlineLevel="2" x14ac:dyDescent="0.35">
      <c r="A2186" s="388" t="s">
        <v>6128</v>
      </c>
      <c r="B2186" s="389">
        <v>44187</v>
      </c>
      <c r="C2186" s="390" t="s">
        <v>4363</v>
      </c>
      <c r="D2186" s="391" t="s">
        <v>4364</v>
      </c>
      <c r="E2186" s="391" t="s">
        <v>4042</v>
      </c>
      <c r="F2186" s="392">
        <v>51875</v>
      </c>
      <c r="G2186" s="393" t="s">
        <v>3800</v>
      </c>
      <c r="H2186" s="394">
        <v>19.917747371634807</v>
      </c>
      <c r="I2186" s="394"/>
      <c r="J2186" s="392">
        <v>4.9794368429087017</v>
      </c>
      <c r="K2186" s="392">
        <v>4.9794368429087017</v>
      </c>
      <c r="L2186" s="392">
        <v>4.9794368429087017</v>
      </c>
      <c r="M2186" s="392">
        <v>4.9794368429087017</v>
      </c>
      <c r="N2186" s="392"/>
    </row>
    <row r="2187" spans="1:14" hidden="1" outlineLevel="2" x14ac:dyDescent="0.35">
      <c r="A2187" s="388" t="s">
        <v>6128</v>
      </c>
      <c r="B2187" s="389">
        <v>44222</v>
      </c>
      <c r="C2187" s="390" t="s">
        <v>4029</v>
      </c>
      <c r="D2187" s="391" t="s">
        <v>4030</v>
      </c>
      <c r="E2187" s="391" t="s">
        <v>6129</v>
      </c>
      <c r="F2187" s="392">
        <v>4150000</v>
      </c>
      <c r="G2187" s="393" t="s">
        <v>3800</v>
      </c>
      <c r="H2187" s="394">
        <v>1544.1836026491869</v>
      </c>
      <c r="I2187" s="394"/>
      <c r="J2187" s="392">
        <v>386.04590066229673</v>
      </c>
      <c r="K2187" s="392">
        <v>386.04590066229673</v>
      </c>
      <c r="L2187" s="392">
        <v>386.04590066229673</v>
      </c>
      <c r="M2187" s="392">
        <v>386.04590066229673</v>
      </c>
      <c r="N2187" s="392"/>
    </row>
    <row r="2188" spans="1:14" hidden="1" outlineLevel="2" x14ac:dyDescent="0.35">
      <c r="A2188" s="388" t="s">
        <v>6128</v>
      </c>
      <c r="B2188" s="389">
        <v>44222</v>
      </c>
      <c r="C2188" s="390" t="s">
        <v>4029</v>
      </c>
      <c r="D2188" s="391" t="s">
        <v>4032</v>
      </c>
      <c r="E2188" s="391" t="s">
        <v>6129</v>
      </c>
      <c r="F2188" s="392">
        <v>622500</v>
      </c>
      <c r="G2188" s="393" t="s">
        <v>3800</v>
      </c>
      <c r="H2188" s="394">
        <v>231.62754039737803</v>
      </c>
      <c r="I2188" s="394"/>
      <c r="J2188" s="392">
        <v>57.906885099344507</v>
      </c>
      <c r="K2188" s="392">
        <v>57.906885099344507</v>
      </c>
      <c r="L2188" s="392">
        <v>57.906885099344507</v>
      </c>
      <c r="M2188" s="392">
        <v>57.906885099344507</v>
      </c>
      <c r="N2188" s="392"/>
    </row>
    <row r="2189" spans="1:14" hidden="1" outlineLevel="2" x14ac:dyDescent="0.35">
      <c r="A2189" s="388" t="s">
        <v>6128</v>
      </c>
      <c r="B2189" s="389">
        <v>44222</v>
      </c>
      <c r="C2189" s="390" t="s">
        <v>4033</v>
      </c>
      <c r="D2189" s="391" t="s">
        <v>4034</v>
      </c>
      <c r="E2189" s="391" t="s">
        <v>4272</v>
      </c>
      <c r="F2189" s="392">
        <v>518750</v>
      </c>
      <c r="G2189" s="393" t="s">
        <v>3800</v>
      </c>
      <c r="H2189" s="394">
        <v>193.02295033114837</v>
      </c>
      <c r="I2189" s="394"/>
      <c r="J2189" s="392">
        <v>48.255737582787091</v>
      </c>
      <c r="K2189" s="392">
        <v>48.255737582787091</v>
      </c>
      <c r="L2189" s="392">
        <v>48.255737582787091</v>
      </c>
      <c r="M2189" s="392">
        <v>48.255737582787091</v>
      </c>
      <c r="N2189" s="392"/>
    </row>
    <row r="2190" spans="1:14" hidden="1" outlineLevel="2" x14ac:dyDescent="0.35">
      <c r="A2190" s="388" t="s">
        <v>6128</v>
      </c>
      <c r="B2190" s="389">
        <v>44222</v>
      </c>
      <c r="C2190" s="390" t="s">
        <v>4029</v>
      </c>
      <c r="D2190" s="391" t="s">
        <v>4036</v>
      </c>
      <c r="E2190" s="391" t="s">
        <v>6129</v>
      </c>
      <c r="F2190" s="392">
        <v>207500</v>
      </c>
      <c r="G2190" s="393" t="s">
        <v>3800</v>
      </c>
      <c r="H2190" s="394">
        <v>77.209180132459352</v>
      </c>
      <c r="I2190" s="394"/>
      <c r="J2190" s="392">
        <v>19.302295033114838</v>
      </c>
      <c r="K2190" s="392">
        <v>19.302295033114838</v>
      </c>
      <c r="L2190" s="392">
        <v>19.302295033114838</v>
      </c>
      <c r="M2190" s="392">
        <v>19.302295033114838</v>
      </c>
      <c r="N2190" s="392"/>
    </row>
    <row r="2191" spans="1:14" hidden="1" outlineLevel="2" x14ac:dyDescent="0.35">
      <c r="A2191" s="388" t="s">
        <v>6128</v>
      </c>
      <c r="B2191" s="389">
        <v>44222</v>
      </c>
      <c r="C2191" s="390" t="s">
        <v>4037</v>
      </c>
      <c r="D2191" s="391" t="s">
        <v>4038</v>
      </c>
      <c r="E2191" s="391" t="s">
        <v>4039</v>
      </c>
      <c r="F2191" s="392">
        <v>207500</v>
      </c>
      <c r="G2191" s="393" t="s">
        <v>3800</v>
      </c>
      <c r="H2191" s="394">
        <v>77.209180132459352</v>
      </c>
      <c r="I2191" s="394"/>
      <c r="J2191" s="392">
        <v>19.302295033114838</v>
      </c>
      <c r="K2191" s="392">
        <v>19.302295033114838</v>
      </c>
      <c r="L2191" s="392">
        <v>19.302295033114838</v>
      </c>
      <c r="M2191" s="392">
        <v>19.302295033114838</v>
      </c>
      <c r="N2191" s="392"/>
    </row>
    <row r="2192" spans="1:14" hidden="1" outlineLevel="2" x14ac:dyDescent="0.35">
      <c r="A2192" s="388" t="s">
        <v>6128</v>
      </c>
      <c r="B2192" s="389">
        <v>44222</v>
      </c>
      <c r="C2192" s="390" t="s">
        <v>4040</v>
      </c>
      <c r="D2192" s="391" t="s">
        <v>4041</v>
      </c>
      <c r="E2192" s="391" t="s">
        <v>4042</v>
      </c>
      <c r="F2192" s="392">
        <v>51875</v>
      </c>
      <c r="G2192" s="393" t="s">
        <v>3800</v>
      </c>
      <c r="H2192" s="394">
        <v>19.302295033114838</v>
      </c>
      <c r="I2192" s="394"/>
      <c r="J2192" s="392">
        <v>4.8255737582787095</v>
      </c>
      <c r="K2192" s="392">
        <v>4.8255737582787095</v>
      </c>
      <c r="L2192" s="392">
        <v>4.8255737582787095</v>
      </c>
      <c r="M2192" s="392">
        <v>4.8255737582787095</v>
      </c>
      <c r="N2192" s="392"/>
    </row>
    <row r="2193" spans="1:14" hidden="1" outlineLevel="2" x14ac:dyDescent="0.35">
      <c r="A2193" s="388" t="s">
        <v>6128</v>
      </c>
      <c r="B2193" s="389">
        <v>44259</v>
      </c>
      <c r="C2193" s="390" t="s">
        <v>4043</v>
      </c>
      <c r="D2193" s="391" t="s">
        <v>4044</v>
      </c>
      <c r="E2193" s="391" t="s">
        <v>6129</v>
      </c>
      <c r="F2193" s="392">
        <v>4150000</v>
      </c>
      <c r="G2193" s="393" t="s">
        <v>3800</v>
      </c>
      <c r="H2193" s="394">
        <v>1544.1836026491869</v>
      </c>
      <c r="I2193" s="394"/>
      <c r="J2193" s="392">
        <v>386.04590066229673</v>
      </c>
      <c r="K2193" s="392">
        <v>386.04590066229673</v>
      </c>
      <c r="L2193" s="392">
        <v>386.04590066229673</v>
      </c>
      <c r="M2193" s="392">
        <v>386.04590066229673</v>
      </c>
      <c r="N2193" s="392"/>
    </row>
    <row r="2194" spans="1:14" hidden="1" outlineLevel="2" x14ac:dyDescent="0.35">
      <c r="A2194" s="388" t="s">
        <v>6128</v>
      </c>
      <c r="B2194" s="389">
        <v>44259</v>
      </c>
      <c r="C2194" s="390" t="s">
        <v>4043</v>
      </c>
      <c r="D2194" s="391" t="s">
        <v>4045</v>
      </c>
      <c r="E2194" s="391" t="s">
        <v>6129</v>
      </c>
      <c r="F2194" s="392">
        <v>622500</v>
      </c>
      <c r="G2194" s="393" t="s">
        <v>3800</v>
      </c>
      <c r="H2194" s="394">
        <v>231.62754039737803</v>
      </c>
      <c r="I2194" s="394"/>
      <c r="J2194" s="392">
        <v>57.906885099344507</v>
      </c>
      <c r="K2194" s="392">
        <v>57.906885099344507</v>
      </c>
      <c r="L2194" s="392">
        <v>57.906885099344507</v>
      </c>
      <c r="M2194" s="392">
        <v>57.906885099344507</v>
      </c>
      <c r="N2194" s="392"/>
    </row>
    <row r="2195" spans="1:14" hidden="1" outlineLevel="2" x14ac:dyDescent="0.35">
      <c r="A2195" s="388" t="s">
        <v>6128</v>
      </c>
      <c r="B2195" s="389">
        <v>44259</v>
      </c>
      <c r="C2195" s="390" t="s">
        <v>4043</v>
      </c>
      <c r="D2195" s="391" t="s">
        <v>4046</v>
      </c>
      <c r="E2195" s="391" t="s">
        <v>4272</v>
      </c>
      <c r="F2195" s="392">
        <v>518750</v>
      </c>
      <c r="G2195" s="393" t="s">
        <v>3800</v>
      </c>
      <c r="H2195" s="394">
        <v>193.02295033114837</v>
      </c>
      <c r="I2195" s="394"/>
      <c r="J2195" s="392">
        <v>48.255737582787091</v>
      </c>
      <c r="K2195" s="392">
        <v>48.255737582787091</v>
      </c>
      <c r="L2195" s="392">
        <v>48.255737582787091</v>
      </c>
      <c r="M2195" s="392">
        <v>48.255737582787091</v>
      </c>
      <c r="N2195" s="392"/>
    </row>
    <row r="2196" spans="1:14" hidden="1" outlineLevel="2" x14ac:dyDescent="0.35">
      <c r="A2196" s="388" t="s">
        <v>6128</v>
      </c>
      <c r="B2196" s="389">
        <v>44259</v>
      </c>
      <c r="C2196" s="390" t="s">
        <v>4043</v>
      </c>
      <c r="D2196" s="391" t="s">
        <v>4047</v>
      </c>
      <c r="E2196" s="391" t="s">
        <v>6129</v>
      </c>
      <c r="F2196" s="392">
        <v>207500</v>
      </c>
      <c r="G2196" s="393" t="s">
        <v>3800</v>
      </c>
      <c r="H2196" s="394">
        <v>77.209180132459352</v>
      </c>
      <c r="I2196" s="394"/>
      <c r="J2196" s="392">
        <v>19.302295033114838</v>
      </c>
      <c r="K2196" s="392">
        <v>19.302295033114838</v>
      </c>
      <c r="L2196" s="392">
        <v>19.302295033114838</v>
      </c>
      <c r="M2196" s="392">
        <v>19.302295033114838</v>
      </c>
      <c r="N2196" s="392"/>
    </row>
    <row r="2197" spans="1:14" hidden="1" outlineLevel="2" x14ac:dyDescent="0.35">
      <c r="A2197" s="388" t="s">
        <v>6128</v>
      </c>
      <c r="B2197" s="389">
        <v>44259</v>
      </c>
      <c r="C2197" s="390" t="s">
        <v>4048</v>
      </c>
      <c r="D2197" s="391" t="s">
        <v>4049</v>
      </c>
      <c r="E2197" s="391" t="s">
        <v>4039</v>
      </c>
      <c r="F2197" s="392">
        <v>207500</v>
      </c>
      <c r="G2197" s="393" t="s">
        <v>3800</v>
      </c>
      <c r="H2197" s="394">
        <v>77.209180132459352</v>
      </c>
      <c r="I2197" s="394"/>
      <c r="J2197" s="392">
        <v>19.302295033114838</v>
      </c>
      <c r="K2197" s="392">
        <v>19.302295033114838</v>
      </c>
      <c r="L2197" s="392">
        <v>19.302295033114838</v>
      </c>
      <c r="M2197" s="392">
        <v>19.302295033114838</v>
      </c>
      <c r="N2197" s="392"/>
    </row>
    <row r="2198" spans="1:14" hidden="1" outlineLevel="2" x14ac:dyDescent="0.35">
      <c r="A2198" s="388" t="s">
        <v>6128</v>
      </c>
      <c r="B2198" s="389">
        <v>44259</v>
      </c>
      <c r="C2198" s="390" t="s">
        <v>4050</v>
      </c>
      <c r="D2198" s="391" t="s">
        <v>4051</v>
      </c>
      <c r="E2198" s="391" t="s">
        <v>4042</v>
      </c>
      <c r="F2198" s="392">
        <v>51875</v>
      </c>
      <c r="G2198" s="393" t="s">
        <v>3800</v>
      </c>
      <c r="H2198" s="394">
        <v>19.302295033114838</v>
      </c>
      <c r="I2198" s="394"/>
      <c r="J2198" s="392">
        <v>4.8255737582787095</v>
      </c>
      <c r="K2198" s="392">
        <v>4.8255737582787095</v>
      </c>
      <c r="L2198" s="392">
        <v>4.8255737582787095</v>
      </c>
      <c r="M2198" s="392">
        <v>4.8255737582787095</v>
      </c>
      <c r="N2198" s="392"/>
    </row>
    <row r="2199" spans="1:14" hidden="1" outlineLevel="2" x14ac:dyDescent="0.35">
      <c r="A2199" s="388" t="s">
        <v>6128</v>
      </c>
      <c r="B2199" s="389">
        <v>44284</v>
      </c>
      <c r="C2199" s="390" t="s">
        <v>4052</v>
      </c>
      <c r="D2199" s="391" t="s">
        <v>4053</v>
      </c>
      <c r="E2199" s="391" t="s">
        <v>6129</v>
      </c>
      <c r="F2199" s="392">
        <v>4150000</v>
      </c>
      <c r="G2199" s="393" t="s">
        <v>3800</v>
      </c>
      <c r="H2199" s="394">
        <v>1544.1836026491869</v>
      </c>
      <c r="I2199" s="394"/>
      <c r="J2199" s="392">
        <v>386.04590066229673</v>
      </c>
      <c r="K2199" s="392">
        <v>386.04590066229673</v>
      </c>
      <c r="L2199" s="392">
        <v>386.04590066229673</v>
      </c>
      <c r="M2199" s="392">
        <v>386.04590066229673</v>
      </c>
      <c r="N2199" s="392"/>
    </row>
    <row r="2200" spans="1:14" hidden="1" outlineLevel="2" x14ac:dyDescent="0.35">
      <c r="A2200" s="388" t="s">
        <v>6128</v>
      </c>
      <c r="B2200" s="389">
        <v>44284</v>
      </c>
      <c r="C2200" s="390" t="s">
        <v>4052</v>
      </c>
      <c r="D2200" s="391" t="s">
        <v>4054</v>
      </c>
      <c r="E2200" s="391" t="s">
        <v>6129</v>
      </c>
      <c r="F2200" s="392">
        <v>622500</v>
      </c>
      <c r="G2200" s="393" t="s">
        <v>3800</v>
      </c>
      <c r="H2200" s="394">
        <v>231.62754039737803</v>
      </c>
      <c r="I2200" s="394"/>
      <c r="J2200" s="392">
        <v>57.906885099344507</v>
      </c>
      <c r="K2200" s="392">
        <v>57.906885099344507</v>
      </c>
      <c r="L2200" s="392">
        <v>57.906885099344507</v>
      </c>
      <c r="M2200" s="392">
        <v>57.906885099344507</v>
      </c>
      <c r="N2200" s="392"/>
    </row>
    <row r="2201" spans="1:14" hidden="1" outlineLevel="2" x14ac:dyDescent="0.35">
      <c r="A2201" s="388" t="s">
        <v>6128</v>
      </c>
      <c r="B2201" s="389">
        <v>44284</v>
      </c>
      <c r="C2201" s="390" t="s">
        <v>4055</v>
      </c>
      <c r="D2201" s="391" t="s">
        <v>4056</v>
      </c>
      <c r="E2201" s="391" t="s">
        <v>4272</v>
      </c>
      <c r="F2201" s="392">
        <v>518750</v>
      </c>
      <c r="G2201" s="393" t="s">
        <v>3800</v>
      </c>
      <c r="H2201" s="394">
        <v>193.02295033114837</v>
      </c>
      <c r="I2201" s="394"/>
      <c r="J2201" s="392">
        <v>48.255737582787091</v>
      </c>
      <c r="K2201" s="392">
        <v>48.255737582787091</v>
      </c>
      <c r="L2201" s="392">
        <v>48.255737582787091</v>
      </c>
      <c r="M2201" s="392">
        <v>48.255737582787091</v>
      </c>
      <c r="N2201" s="392"/>
    </row>
    <row r="2202" spans="1:14" hidden="1" outlineLevel="2" x14ac:dyDescent="0.35">
      <c r="A2202" s="388" t="s">
        <v>6128</v>
      </c>
      <c r="B2202" s="389">
        <v>44284</v>
      </c>
      <c r="C2202" s="390" t="s">
        <v>4052</v>
      </c>
      <c r="D2202" s="391" t="s">
        <v>4057</v>
      </c>
      <c r="E2202" s="391" t="s">
        <v>6129</v>
      </c>
      <c r="F2202" s="392">
        <v>207500</v>
      </c>
      <c r="G2202" s="393" t="s">
        <v>3800</v>
      </c>
      <c r="H2202" s="394">
        <v>77.209180132459352</v>
      </c>
      <c r="I2202" s="394"/>
      <c r="J2202" s="392">
        <v>19.302295033114838</v>
      </c>
      <c r="K2202" s="392">
        <v>19.302295033114838</v>
      </c>
      <c r="L2202" s="392">
        <v>19.302295033114838</v>
      </c>
      <c r="M2202" s="392">
        <v>19.302295033114838</v>
      </c>
      <c r="N2202" s="392"/>
    </row>
    <row r="2203" spans="1:14" hidden="1" outlineLevel="2" x14ac:dyDescent="0.35">
      <c r="A2203" s="388" t="s">
        <v>6128</v>
      </c>
      <c r="B2203" s="389">
        <v>44284</v>
      </c>
      <c r="C2203" s="390" t="s">
        <v>4058</v>
      </c>
      <c r="D2203" s="391" t="s">
        <v>4059</v>
      </c>
      <c r="E2203" s="391" t="s">
        <v>4039</v>
      </c>
      <c r="F2203" s="392">
        <v>207500</v>
      </c>
      <c r="G2203" s="393" t="s">
        <v>3800</v>
      </c>
      <c r="H2203" s="394">
        <v>77.209180132459352</v>
      </c>
      <c r="I2203" s="394"/>
      <c r="J2203" s="392">
        <v>19.302295033114838</v>
      </c>
      <c r="K2203" s="392">
        <v>19.302295033114838</v>
      </c>
      <c r="L2203" s="392">
        <v>19.302295033114838</v>
      </c>
      <c r="M2203" s="392">
        <v>19.302295033114838</v>
      </c>
      <c r="N2203" s="392"/>
    </row>
    <row r="2204" spans="1:14" hidden="1" outlineLevel="2" x14ac:dyDescent="0.35">
      <c r="A2204" s="388" t="s">
        <v>6128</v>
      </c>
      <c r="B2204" s="389">
        <v>44284</v>
      </c>
      <c r="C2204" s="390" t="s">
        <v>4060</v>
      </c>
      <c r="D2204" s="391" t="s">
        <v>4061</v>
      </c>
      <c r="E2204" s="391" t="s">
        <v>4042</v>
      </c>
      <c r="F2204" s="392">
        <v>51875</v>
      </c>
      <c r="G2204" s="393" t="s">
        <v>3800</v>
      </c>
      <c r="H2204" s="394">
        <v>19.302295033114838</v>
      </c>
      <c r="I2204" s="394"/>
      <c r="J2204" s="392">
        <v>4.8255737582787095</v>
      </c>
      <c r="K2204" s="392">
        <v>4.8255737582787095</v>
      </c>
      <c r="L2204" s="392">
        <v>4.8255737582787095</v>
      </c>
      <c r="M2204" s="392">
        <v>4.8255737582787095</v>
      </c>
      <c r="N2204" s="392"/>
    </row>
    <row r="2205" spans="1:14" hidden="1" outlineLevel="2" x14ac:dyDescent="0.35">
      <c r="A2205" s="388" t="s">
        <v>6128</v>
      </c>
      <c r="B2205" s="389">
        <v>44315</v>
      </c>
      <c r="C2205" s="390" t="s">
        <v>4062</v>
      </c>
      <c r="D2205" s="391" t="s">
        <v>4063</v>
      </c>
      <c r="E2205" s="391" t="s">
        <v>6129</v>
      </c>
      <c r="F2205" s="392">
        <v>4150000</v>
      </c>
      <c r="G2205" s="393" t="s">
        <v>3800</v>
      </c>
      <c r="H2205" s="394">
        <v>1544.1836026491869</v>
      </c>
      <c r="I2205" s="394"/>
      <c r="J2205" s="392">
        <v>386.04590066229673</v>
      </c>
      <c r="K2205" s="392">
        <v>386.04590066229673</v>
      </c>
      <c r="L2205" s="392">
        <v>386.04590066229673</v>
      </c>
      <c r="M2205" s="392">
        <v>386.04590066229673</v>
      </c>
      <c r="N2205" s="392"/>
    </row>
    <row r="2206" spans="1:14" hidden="1" outlineLevel="2" x14ac:dyDescent="0.35">
      <c r="A2206" s="388" t="s">
        <v>6128</v>
      </c>
      <c r="B2206" s="389">
        <v>44315</v>
      </c>
      <c r="C2206" s="390" t="s">
        <v>4062</v>
      </c>
      <c r="D2206" s="391" t="s">
        <v>4064</v>
      </c>
      <c r="E2206" s="391" t="s">
        <v>6129</v>
      </c>
      <c r="F2206" s="392">
        <v>622500</v>
      </c>
      <c r="G2206" s="393" t="s">
        <v>3800</v>
      </c>
      <c r="H2206" s="394">
        <v>231.62754039737803</v>
      </c>
      <c r="I2206" s="394"/>
      <c r="J2206" s="392">
        <v>57.906885099344507</v>
      </c>
      <c r="K2206" s="392">
        <v>57.906885099344507</v>
      </c>
      <c r="L2206" s="392">
        <v>57.906885099344507</v>
      </c>
      <c r="M2206" s="392">
        <v>57.906885099344507</v>
      </c>
      <c r="N2206" s="392"/>
    </row>
    <row r="2207" spans="1:14" hidden="1" outlineLevel="2" x14ac:dyDescent="0.35">
      <c r="A2207" s="388" t="s">
        <v>6128</v>
      </c>
      <c r="B2207" s="389">
        <v>44315</v>
      </c>
      <c r="C2207" s="390" t="s">
        <v>4065</v>
      </c>
      <c r="D2207" s="391" t="s">
        <v>4066</v>
      </c>
      <c r="E2207" s="391" t="s">
        <v>4272</v>
      </c>
      <c r="F2207" s="392">
        <v>518750</v>
      </c>
      <c r="G2207" s="393" t="s">
        <v>3800</v>
      </c>
      <c r="H2207" s="394">
        <v>193.02295033114837</v>
      </c>
      <c r="I2207" s="394"/>
      <c r="J2207" s="392">
        <v>48.255737582787091</v>
      </c>
      <c r="K2207" s="392">
        <v>48.255737582787091</v>
      </c>
      <c r="L2207" s="392">
        <v>48.255737582787091</v>
      </c>
      <c r="M2207" s="392">
        <v>48.255737582787091</v>
      </c>
      <c r="N2207" s="392"/>
    </row>
    <row r="2208" spans="1:14" hidden="1" outlineLevel="2" x14ac:dyDescent="0.35">
      <c r="A2208" s="388" t="s">
        <v>6128</v>
      </c>
      <c r="B2208" s="389">
        <v>44315</v>
      </c>
      <c r="C2208" s="390" t="s">
        <v>4062</v>
      </c>
      <c r="D2208" s="391" t="s">
        <v>4067</v>
      </c>
      <c r="E2208" s="391" t="s">
        <v>6129</v>
      </c>
      <c r="F2208" s="392">
        <v>207500</v>
      </c>
      <c r="G2208" s="393" t="s">
        <v>3800</v>
      </c>
      <c r="H2208" s="394">
        <v>77.209180132459352</v>
      </c>
      <c r="I2208" s="394"/>
      <c r="J2208" s="392">
        <v>19.302295033114838</v>
      </c>
      <c r="K2208" s="392">
        <v>19.302295033114838</v>
      </c>
      <c r="L2208" s="392">
        <v>19.302295033114838</v>
      </c>
      <c r="M2208" s="392">
        <v>19.302295033114838</v>
      </c>
      <c r="N2208" s="392"/>
    </row>
    <row r="2209" spans="1:14" hidden="1" outlineLevel="2" x14ac:dyDescent="0.35">
      <c r="A2209" s="388" t="s">
        <v>6128</v>
      </c>
      <c r="B2209" s="389">
        <v>44315</v>
      </c>
      <c r="C2209" s="390" t="s">
        <v>4068</v>
      </c>
      <c r="D2209" s="391" t="s">
        <v>4069</v>
      </c>
      <c r="E2209" s="391" t="s">
        <v>4039</v>
      </c>
      <c r="F2209" s="392">
        <v>207500</v>
      </c>
      <c r="G2209" s="393" t="s">
        <v>3800</v>
      </c>
      <c r="H2209" s="394">
        <v>77.209180132459352</v>
      </c>
      <c r="I2209" s="394"/>
      <c r="J2209" s="392">
        <v>19.302295033114838</v>
      </c>
      <c r="K2209" s="392">
        <v>19.302295033114838</v>
      </c>
      <c r="L2209" s="392">
        <v>19.302295033114838</v>
      </c>
      <c r="M2209" s="392">
        <v>19.302295033114838</v>
      </c>
      <c r="N2209" s="392"/>
    </row>
    <row r="2210" spans="1:14" hidden="1" outlineLevel="2" x14ac:dyDescent="0.35">
      <c r="A2210" s="388" t="s">
        <v>6128</v>
      </c>
      <c r="B2210" s="389">
        <v>44315</v>
      </c>
      <c r="C2210" s="390" t="s">
        <v>4070</v>
      </c>
      <c r="D2210" s="391" t="s">
        <v>4071</v>
      </c>
      <c r="E2210" s="391" t="s">
        <v>4042</v>
      </c>
      <c r="F2210" s="392">
        <v>51875</v>
      </c>
      <c r="G2210" s="393" t="s">
        <v>3800</v>
      </c>
      <c r="H2210" s="394">
        <v>19.302295033114838</v>
      </c>
      <c r="I2210" s="394"/>
      <c r="J2210" s="392">
        <v>4.8255737582787095</v>
      </c>
      <c r="K2210" s="392">
        <v>4.8255737582787095</v>
      </c>
      <c r="L2210" s="392">
        <v>4.8255737582787095</v>
      </c>
      <c r="M2210" s="392">
        <v>4.8255737582787095</v>
      </c>
      <c r="N2210" s="392"/>
    </row>
    <row r="2211" spans="1:14" hidden="1" outlineLevel="2" x14ac:dyDescent="0.35">
      <c r="A2211" s="388" t="s">
        <v>6128</v>
      </c>
      <c r="B2211" s="389">
        <v>44342</v>
      </c>
      <c r="C2211" s="390" t="s">
        <v>4072</v>
      </c>
      <c r="D2211" s="391" t="s">
        <v>4073</v>
      </c>
      <c r="E2211" s="391" t="s">
        <v>6129</v>
      </c>
      <c r="F2211" s="392">
        <v>4150000</v>
      </c>
      <c r="G2211" s="393" t="s">
        <v>3800</v>
      </c>
      <c r="H2211" s="394">
        <v>1544.1836026491869</v>
      </c>
      <c r="I2211" s="394"/>
      <c r="J2211" s="392">
        <v>386.04590066229673</v>
      </c>
      <c r="K2211" s="392">
        <v>386.04590066229673</v>
      </c>
      <c r="L2211" s="392">
        <v>386.04590066229673</v>
      </c>
      <c r="M2211" s="392">
        <v>386.04590066229673</v>
      </c>
      <c r="N2211" s="392"/>
    </row>
    <row r="2212" spans="1:14" hidden="1" outlineLevel="2" x14ac:dyDescent="0.35">
      <c r="A2212" s="388" t="s">
        <v>6128</v>
      </c>
      <c r="B2212" s="389">
        <v>44342</v>
      </c>
      <c r="C2212" s="390" t="s">
        <v>4072</v>
      </c>
      <c r="D2212" s="391" t="s">
        <v>4074</v>
      </c>
      <c r="E2212" s="391" t="s">
        <v>6129</v>
      </c>
      <c r="F2212" s="392">
        <v>622500</v>
      </c>
      <c r="G2212" s="393" t="s">
        <v>3800</v>
      </c>
      <c r="H2212" s="394">
        <v>231.62754039737803</v>
      </c>
      <c r="I2212" s="394"/>
      <c r="J2212" s="392">
        <v>57.906885099344507</v>
      </c>
      <c r="K2212" s="392">
        <v>57.906885099344507</v>
      </c>
      <c r="L2212" s="392">
        <v>57.906885099344507</v>
      </c>
      <c r="M2212" s="392">
        <v>57.906885099344507</v>
      </c>
      <c r="N2212" s="392"/>
    </row>
    <row r="2213" spans="1:14" hidden="1" outlineLevel="2" x14ac:dyDescent="0.35">
      <c r="A2213" s="388" t="s">
        <v>6128</v>
      </c>
      <c r="B2213" s="389">
        <v>44342</v>
      </c>
      <c r="C2213" s="390" t="s">
        <v>4075</v>
      </c>
      <c r="D2213" s="391" t="s">
        <v>4076</v>
      </c>
      <c r="E2213" s="391" t="s">
        <v>4272</v>
      </c>
      <c r="F2213" s="392">
        <v>518750</v>
      </c>
      <c r="G2213" s="393" t="s">
        <v>3800</v>
      </c>
      <c r="H2213" s="394">
        <v>193.02295033114837</v>
      </c>
      <c r="I2213" s="394"/>
      <c r="J2213" s="392">
        <v>48.255737582787091</v>
      </c>
      <c r="K2213" s="392">
        <v>48.255737582787091</v>
      </c>
      <c r="L2213" s="392">
        <v>48.255737582787091</v>
      </c>
      <c r="M2213" s="392">
        <v>48.255737582787091</v>
      </c>
      <c r="N2213" s="392"/>
    </row>
    <row r="2214" spans="1:14" hidden="1" outlineLevel="2" x14ac:dyDescent="0.35">
      <c r="A2214" s="388" t="s">
        <v>6128</v>
      </c>
      <c r="B2214" s="389">
        <v>44342</v>
      </c>
      <c r="C2214" s="390" t="s">
        <v>4072</v>
      </c>
      <c r="D2214" s="391" t="s">
        <v>4077</v>
      </c>
      <c r="E2214" s="391" t="s">
        <v>6129</v>
      </c>
      <c r="F2214" s="392">
        <v>207500</v>
      </c>
      <c r="G2214" s="393" t="s">
        <v>3800</v>
      </c>
      <c r="H2214" s="394">
        <v>77.209180132459352</v>
      </c>
      <c r="I2214" s="394"/>
      <c r="J2214" s="392">
        <v>19.302295033114838</v>
      </c>
      <c r="K2214" s="392">
        <v>19.302295033114838</v>
      </c>
      <c r="L2214" s="392">
        <v>19.302295033114838</v>
      </c>
      <c r="M2214" s="392">
        <v>19.302295033114838</v>
      </c>
      <c r="N2214" s="392"/>
    </row>
    <row r="2215" spans="1:14" hidden="1" outlineLevel="2" x14ac:dyDescent="0.35">
      <c r="A2215" s="388" t="s">
        <v>6128</v>
      </c>
      <c r="B2215" s="389">
        <v>44342</v>
      </c>
      <c r="C2215" s="390" t="s">
        <v>4078</v>
      </c>
      <c r="D2215" s="391" t="s">
        <v>4079</v>
      </c>
      <c r="E2215" s="391" t="s">
        <v>4039</v>
      </c>
      <c r="F2215" s="392">
        <v>207500</v>
      </c>
      <c r="G2215" s="393" t="s">
        <v>3800</v>
      </c>
      <c r="H2215" s="394">
        <v>77.209180132459352</v>
      </c>
      <c r="I2215" s="394"/>
      <c r="J2215" s="392">
        <v>19.302295033114838</v>
      </c>
      <c r="K2215" s="392">
        <v>19.302295033114838</v>
      </c>
      <c r="L2215" s="392">
        <v>19.302295033114838</v>
      </c>
      <c r="M2215" s="392">
        <v>19.302295033114838</v>
      </c>
      <c r="N2215" s="392"/>
    </row>
    <row r="2216" spans="1:14" hidden="1" outlineLevel="2" x14ac:dyDescent="0.35">
      <c r="A2216" s="388" t="s">
        <v>6128</v>
      </c>
      <c r="B2216" s="389">
        <v>44342</v>
      </c>
      <c r="C2216" s="390" t="s">
        <v>4080</v>
      </c>
      <c r="D2216" s="391" t="s">
        <v>4081</v>
      </c>
      <c r="E2216" s="391" t="s">
        <v>4042</v>
      </c>
      <c r="F2216" s="392">
        <v>51875</v>
      </c>
      <c r="G2216" s="393" t="s">
        <v>3800</v>
      </c>
      <c r="H2216" s="394">
        <v>19.302295033114838</v>
      </c>
      <c r="I2216" s="394"/>
      <c r="J2216" s="392">
        <v>4.8255737582787095</v>
      </c>
      <c r="K2216" s="392">
        <v>4.8255737582787095</v>
      </c>
      <c r="L2216" s="392">
        <v>4.8255737582787095</v>
      </c>
      <c r="M2216" s="392">
        <v>4.8255737582787095</v>
      </c>
      <c r="N2216" s="392"/>
    </row>
    <row r="2217" spans="1:14" hidden="1" outlineLevel="2" x14ac:dyDescent="0.35">
      <c r="A2217" s="388" t="s">
        <v>6128</v>
      </c>
      <c r="B2217" s="389">
        <v>44376</v>
      </c>
      <c r="C2217" s="390" t="s">
        <v>4082</v>
      </c>
      <c r="D2217" s="391" t="s">
        <v>4083</v>
      </c>
      <c r="E2217" s="391" t="s">
        <v>6129</v>
      </c>
      <c r="F2217" s="392">
        <v>4150000</v>
      </c>
      <c r="G2217" s="393" t="s">
        <v>3800</v>
      </c>
      <c r="H2217" s="394">
        <v>1544.1836026491869</v>
      </c>
      <c r="I2217" s="394"/>
      <c r="J2217" s="392">
        <v>386.04590066229673</v>
      </c>
      <c r="K2217" s="392">
        <v>386.04590066229673</v>
      </c>
      <c r="L2217" s="392">
        <v>386.04590066229673</v>
      </c>
      <c r="M2217" s="392">
        <v>386.04590066229673</v>
      </c>
      <c r="N2217" s="392"/>
    </row>
    <row r="2218" spans="1:14" hidden="1" outlineLevel="2" collapsed="1" x14ac:dyDescent="0.35">
      <c r="A2218" s="388" t="s">
        <v>6128</v>
      </c>
      <c r="B2218" s="389">
        <v>44376</v>
      </c>
      <c r="C2218" s="390" t="s">
        <v>4082</v>
      </c>
      <c r="D2218" s="391" t="s">
        <v>4084</v>
      </c>
      <c r="E2218" s="391" t="s">
        <v>6129</v>
      </c>
      <c r="F2218" s="392">
        <v>622500</v>
      </c>
      <c r="G2218" s="393" t="s">
        <v>3800</v>
      </c>
      <c r="H2218" s="394">
        <v>231.62754039737803</v>
      </c>
      <c r="I2218" s="394"/>
      <c r="J2218" s="392">
        <v>57.906885099344507</v>
      </c>
      <c r="K2218" s="392">
        <v>57.906885099344507</v>
      </c>
      <c r="L2218" s="392">
        <v>57.906885099344507</v>
      </c>
      <c r="M2218" s="392">
        <v>57.906885099344507</v>
      </c>
      <c r="N2218" s="392"/>
    </row>
    <row r="2219" spans="1:14" hidden="1" outlineLevel="2" x14ac:dyDescent="0.35">
      <c r="A2219" s="388" t="s">
        <v>6128</v>
      </c>
      <c r="B2219" s="389">
        <v>44376</v>
      </c>
      <c r="C2219" s="390" t="s">
        <v>4085</v>
      </c>
      <c r="D2219" s="391" t="s">
        <v>4086</v>
      </c>
      <c r="E2219" s="391" t="s">
        <v>4272</v>
      </c>
      <c r="F2219" s="392">
        <v>518750</v>
      </c>
      <c r="G2219" s="393" t="s">
        <v>3800</v>
      </c>
      <c r="H2219" s="394">
        <v>193.02295033114837</v>
      </c>
      <c r="I2219" s="394"/>
      <c r="J2219" s="392">
        <v>48.255737582787091</v>
      </c>
      <c r="K2219" s="392">
        <v>48.255737582787091</v>
      </c>
      <c r="L2219" s="392">
        <v>48.255737582787091</v>
      </c>
      <c r="M2219" s="392">
        <v>48.255737582787091</v>
      </c>
      <c r="N2219" s="392"/>
    </row>
    <row r="2220" spans="1:14" hidden="1" outlineLevel="2" x14ac:dyDescent="0.35">
      <c r="A2220" s="388" t="s">
        <v>6128</v>
      </c>
      <c r="B2220" s="389">
        <v>44376</v>
      </c>
      <c r="C2220" s="390" t="s">
        <v>4082</v>
      </c>
      <c r="D2220" s="391" t="s">
        <v>4087</v>
      </c>
      <c r="E2220" s="391" t="s">
        <v>6129</v>
      </c>
      <c r="F2220" s="392">
        <v>207500</v>
      </c>
      <c r="G2220" s="393" t="s">
        <v>3800</v>
      </c>
      <c r="H2220" s="394">
        <v>77.209180132459352</v>
      </c>
      <c r="I2220" s="394"/>
      <c r="J2220" s="392">
        <v>19.302295033114838</v>
      </c>
      <c r="K2220" s="392">
        <v>19.302295033114838</v>
      </c>
      <c r="L2220" s="392">
        <v>19.302295033114838</v>
      </c>
      <c r="M2220" s="392">
        <v>19.302295033114838</v>
      </c>
      <c r="N2220" s="392"/>
    </row>
    <row r="2221" spans="1:14" hidden="1" outlineLevel="2" x14ac:dyDescent="0.35">
      <c r="A2221" s="388" t="s">
        <v>6128</v>
      </c>
      <c r="B2221" s="389">
        <v>44376</v>
      </c>
      <c r="C2221" s="390" t="s">
        <v>4088</v>
      </c>
      <c r="D2221" s="391" t="s">
        <v>4089</v>
      </c>
      <c r="E2221" s="391" t="s">
        <v>4039</v>
      </c>
      <c r="F2221" s="392">
        <v>207500</v>
      </c>
      <c r="G2221" s="393" t="s">
        <v>3800</v>
      </c>
      <c r="H2221" s="394">
        <v>77.209180132459352</v>
      </c>
      <c r="I2221" s="394"/>
      <c r="J2221" s="392">
        <v>19.302295033114838</v>
      </c>
      <c r="K2221" s="392">
        <v>19.302295033114838</v>
      </c>
      <c r="L2221" s="392">
        <v>19.302295033114838</v>
      </c>
      <c r="M2221" s="392">
        <v>19.302295033114838</v>
      </c>
      <c r="N2221" s="392"/>
    </row>
    <row r="2222" spans="1:14" hidden="1" outlineLevel="2" x14ac:dyDescent="0.35">
      <c r="A2222" s="388" t="s">
        <v>6128</v>
      </c>
      <c r="B2222" s="389">
        <v>44376</v>
      </c>
      <c r="C2222" s="390" t="s">
        <v>4090</v>
      </c>
      <c r="D2222" s="391" t="s">
        <v>4091</v>
      </c>
      <c r="E2222" s="391" t="s">
        <v>4042</v>
      </c>
      <c r="F2222" s="392">
        <v>51875</v>
      </c>
      <c r="G2222" s="393" t="s">
        <v>3800</v>
      </c>
      <c r="H2222" s="394">
        <v>19.302295033114838</v>
      </c>
      <c r="I2222" s="394"/>
      <c r="J2222" s="392">
        <v>4.8255737582787095</v>
      </c>
      <c r="K2222" s="392">
        <v>4.8255737582787095</v>
      </c>
      <c r="L2222" s="392">
        <v>4.8255737582787095</v>
      </c>
      <c r="M2222" s="392">
        <v>4.8255737582787095</v>
      </c>
      <c r="N2222" s="392"/>
    </row>
    <row r="2223" spans="1:14" hidden="1" outlineLevel="2" x14ac:dyDescent="0.35">
      <c r="A2223" s="388" t="s">
        <v>6128</v>
      </c>
      <c r="B2223" s="389">
        <v>44407</v>
      </c>
      <c r="C2223" s="390" t="s">
        <v>4092</v>
      </c>
      <c r="D2223" s="391" t="s">
        <v>4093</v>
      </c>
      <c r="E2223" s="391" t="s">
        <v>6129</v>
      </c>
      <c r="F2223" s="392">
        <v>4150000</v>
      </c>
      <c r="G2223" s="393" t="s">
        <v>3800</v>
      </c>
      <c r="H2223" s="394">
        <v>1544.1836026491869</v>
      </c>
      <c r="I2223" s="394"/>
      <c r="J2223" s="392">
        <v>386.04590066229673</v>
      </c>
      <c r="K2223" s="392">
        <v>386.04590066229673</v>
      </c>
      <c r="L2223" s="392">
        <v>386.04590066229673</v>
      </c>
      <c r="M2223" s="392">
        <v>386.04590066229673</v>
      </c>
      <c r="N2223" s="392"/>
    </row>
    <row r="2224" spans="1:14" hidden="1" outlineLevel="2" x14ac:dyDescent="0.35">
      <c r="A2224" s="388" t="s">
        <v>6128</v>
      </c>
      <c r="B2224" s="389">
        <v>44407</v>
      </c>
      <c r="C2224" s="390" t="s">
        <v>4092</v>
      </c>
      <c r="D2224" s="391" t="s">
        <v>4094</v>
      </c>
      <c r="E2224" s="391" t="s">
        <v>6129</v>
      </c>
      <c r="F2224" s="392">
        <v>622500</v>
      </c>
      <c r="G2224" s="393" t="s">
        <v>3800</v>
      </c>
      <c r="H2224" s="394">
        <v>231.62754039737803</v>
      </c>
      <c r="I2224" s="394"/>
      <c r="J2224" s="392">
        <v>57.906885099344507</v>
      </c>
      <c r="K2224" s="392">
        <v>57.906885099344507</v>
      </c>
      <c r="L2224" s="392">
        <v>57.906885099344507</v>
      </c>
      <c r="M2224" s="392">
        <v>57.906885099344507</v>
      </c>
      <c r="N2224" s="392"/>
    </row>
    <row r="2225" spans="1:14" hidden="1" outlineLevel="2" x14ac:dyDescent="0.35">
      <c r="A2225" s="388" t="s">
        <v>6128</v>
      </c>
      <c r="B2225" s="389">
        <v>44407</v>
      </c>
      <c r="C2225" s="390" t="s">
        <v>4095</v>
      </c>
      <c r="D2225" s="391" t="s">
        <v>4096</v>
      </c>
      <c r="E2225" s="391" t="s">
        <v>4272</v>
      </c>
      <c r="F2225" s="392">
        <v>518750</v>
      </c>
      <c r="G2225" s="393" t="s">
        <v>3800</v>
      </c>
      <c r="H2225" s="394">
        <v>193.02295033114837</v>
      </c>
      <c r="I2225" s="394"/>
      <c r="J2225" s="392">
        <v>48.255737582787091</v>
      </c>
      <c r="K2225" s="392">
        <v>48.255737582787091</v>
      </c>
      <c r="L2225" s="392">
        <v>48.255737582787091</v>
      </c>
      <c r="M2225" s="392">
        <v>48.255737582787091</v>
      </c>
      <c r="N2225" s="392"/>
    </row>
    <row r="2226" spans="1:14" hidden="1" outlineLevel="2" x14ac:dyDescent="0.35">
      <c r="A2226" s="388" t="s">
        <v>6128</v>
      </c>
      <c r="B2226" s="389">
        <v>44407</v>
      </c>
      <c r="C2226" s="390" t="s">
        <v>4092</v>
      </c>
      <c r="D2226" s="391" t="s">
        <v>4097</v>
      </c>
      <c r="E2226" s="391" t="s">
        <v>6129</v>
      </c>
      <c r="F2226" s="392">
        <v>207500</v>
      </c>
      <c r="G2226" s="393" t="s">
        <v>3800</v>
      </c>
      <c r="H2226" s="394">
        <v>77.209180132459352</v>
      </c>
      <c r="I2226" s="394"/>
      <c r="J2226" s="392">
        <v>19.302295033114838</v>
      </c>
      <c r="K2226" s="392">
        <v>19.302295033114838</v>
      </c>
      <c r="L2226" s="392">
        <v>19.302295033114838</v>
      </c>
      <c r="M2226" s="392">
        <v>19.302295033114838</v>
      </c>
      <c r="N2226" s="392"/>
    </row>
    <row r="2227" spans="1:14" hidden="1" outlineLevel="2" x14ac:dyDescent="0.35">
      <c r="A2227" s="388" t="s">
        <v>6128</v>
      </c>
      <c r="B2227" s="389">
        <v>44407</v>
      </c>
      <c r="C2227" s="390" t="s">
        <v>4092</v>
      </c>
      <c r="D2227" s="391" t="s">
        <v>4098</v>
      </c>
      <c r="E2227" s="391" t="s">
        <v>4039</v>
      </c>
      <c r="F2227" s="392">
        <v>207500</v>
      </c>
      <c r="G2227" s="393" t="s">
        <v>3800</v>
      </c>
      <c r="H2227" s="394">
        <v>77.209180132459352</v>
      </c>
      <c r="I2227" s="394"/>
      <c r="J2227" s="392">
        <v>19.302295033114838</v>
      </c>
      <c r="K2227" s="392">
        <v>19.302295033114838</v>
      </c>
      <c r="L2227" s="392">
        <v>19.302295033114838</v>
      </c>
      <c r="M2227" s="392">
        <v>19.302295033114838</v>
      </c>
      <c r="N2227" s="392"/>
    </row>
    <row r="2228" spans="1:14" hidden="1" outlineLevel="2" x14ac:dyDescent="0.35">
      <c r="A2228" s="388" t="s">
        <v>6128</v>
      </c>
      <c r="B2228" s="389">
        <v>44407</v>
      </c>
      <c r="C2228" s="390" t="s">
        <v>4099</v>
      </c>
      <c r="D2228" s="391" t="s">
        <v>4100</v>
      </c>
      <c r="E2228" s="391" t="s">
        <v>4042</v>
      </c>
      <c r="F2228" s="392">
        <v>31125</v>
      </c>
      <c r="G2228" s="393" t="s">
        <v>3800</v>
      </c>
      <c r="H2228" s="394">
        <v>11.581377019868901</v>
      </c>
      <c r="I2228" s="394"/>
      <c r="J2228" s="392">
        <v>2.8953442549672253</v>
      </c>
      <c r="K2228" s="392">
        <v>2.8953442549672253</v>
      </c>
      <c r="L2228" s="392">
        <v>2.8953442549672253</v>
      </c>
      <c r="M2228" s="392">
        <v>2.8953442549672253</v>
      </c>
      <c r="N2228" s="392"/>
    </row>
    <row r="2229" spans="1:14" hidden="1" outlineLevel="2" x14ac:dyDescent="0.35">
      <c r="A2229" s="388" t="s">
        <v>6128</v>
      </c>
      <c r="B2229" s="389">
        <v>44438</v>
      </c>
      <c r="C2229" s="390" t="s">
        <v>6131</v>
      </c>
      <c r="D2229" s="391" t="s">
        <v>6132</v>
      </c>
      <c r="E2229" s="391" t="s">
        <v>6129</v>
      </c>
      <c r="F2229" s="392">
        <v>4150000</v>
      </c>
      <c r="G2229" s="393" t="s">
        <v>3800</v>
      </c>
      <c r="H2229" s="394">
        <v>1544.1836026491869</v>
      </c>
      <c r="I2229" s="394"/>
      <c r="J2229" s="392">
        <v>386.04590066229673</v>
      </c>
      <c r="K2229" s="392">
        <v>386.04590066229673</v>
      </c>
      <c r="L2229" s="392">
        <v>386.04590066229673</v>
      </c>
      <c r="M2229" s="392">
        <v>386.04590066229673</v>
      </c>
      <c r="N2229" s="392"/>
    </row>
    <row r="2230" spans="1:14" hidden="1" outlineLevel="2" collapsed="1" x14ac:dyDescent="0.35">
      <c r="A2230" s="388" t="s">
        <v>6128</v>
      </c>
      <c r="B2230" s="389">
        <v>44438</v>
      </c>
      <c r="C2230" s="390" t="s">
        <v>6131</v>
      </c>
      <c r="D2230" s="391" t="s">
        <v>6133</v>
      </c>
      <c r="E2230" s="391" t="s">
        <v>6129</v>
      </c>
      <c r="F2230" s="392">
        <v>622500</v>
      </c>
      <c r="G2230" s="393" t="s">
        <v>3800</v>
      </c>
      <c r="H2230" s="394">
        <v>231.62754039737803</v>
      </c>
      <c r="I2230" s="394"/>
      <c r="J2230" s="392">
        <v>57.906885099344507</v>
      </c>
      <c r="K2230" s="392">
        <v>57.906885099344507</v>
      </c>
      <c r="L2230" s="392">
        <v>57.906885099344507</v>
      </c>
      <c r="M2230" s="392">
        <v>57.906885099344507</v>
      </c>
      <c r="N2230" s="392"/>
    </row>
    <row r="2231" spans="1:14" hidden="1" outlineLevel="2" x14ac:dyDescent="0.35">
      <c r="A2231" s="388" t="s">
        <v>6128</v>
      </c>
      <c r="B2231" s="389">
        <v>44438</v>
      </c>
      <c r="C2231" s="390" t="s">
        <v>6134</v>
      </c>
      <c r="D2231" s="391" t="s">
        <v>6135</v>
      </c>
      <c r="E2231" s="391" t="s">
        <v>4272</v>
      </c>
      <c r="F2231" s="392">
        <v>518750</v>
      </c>
      <c r="G2231" s="393" t="s">
        <v>3800</v>
      </c>
      <c r="H2231" s="394">
        <v>193.02295033114837</v>
      </c>
      <c r="I2231" s="394"/>
      <c r="J2231" s="392">
        <v>48.255737582787091</v>
      </c>
      <c r="K2231" s="392">
        <v>48.255737582787091</v>
      </c>
      <c r="L2231" s="392">
        <v>48.255737582787091</v>
      </c>
      <c r="M2231" s="392">
        <v>48.255737582787091</v>
      </c>
      <c r="N2231" s="392"/>
    </row>
    <row r="2232" spans="1:14" hidden="1" outlineLevel="2" x14ac:dyDescent="0.35">
      <c r="A2232" s="388" t="s">
        <v>6128</v>
      </c>
      <c r="B2232" s="389">
        <v>44438</v>
      </c>
      <c r="C2232" s="390" t="s">
        <v>6131</v>
      </c>
      <c r="D2232" s="391" t="s">
        <v>6136</v>
      </c>
      <c r="E2232" s="391" t="s">
        <v>6129</v>
      </c>
      <c r="F2232" s="392">
        <v>207500</v>
      </c>
      <c r="G2232" s="393" t="s">
        <v>3800</v>
      </c>
      <c r="H2232" s="394">
        <v>77.209180132459352</v>
      </c>
      <c r="I2232" s="394"/>
      <c r="J2232" s="392">
        <v>19.302295033114838</v>
      </c>
      <c r="K2232" s="392">
        <v>19.302295033114838</v>
      </c>
      <c r="L2232" s="392">
        <v>19.302295033114838</v>
      </c>
      <c r="M2232" s="392">
        <v>19.302295033114838</v>
      </c>
      <c r="N2232" s="392"/>
    </row>
    <row r="2233" spans="1:14" hidden="1" outlineLevel="2" x14ac:dyDescent="0.35">
      <c r="A2233" s="388" t="s">
        <v>6128</v>
      </c>
      <c r="B2233" s="389">
        <v>44438</v>
      </c>
      <c r="C2233" s="390" t="s">
        <v>6137</v>
      </c>
      <c r="D2233" s="391" t="s">
        <v>6138</v>
      </c>
      <c r="E2233" s="391" t="s">
        <v>4039</v>
      </c>
      <c r="F2233" s="392">
        <v>207500</v>
      </c>
      <c r="G2233" s="393" t="s">
        <v>3800</v>
      </c>
      <c r="H2233" s="394">
        <v>77.209180132459352</v>
      </c>
      <c r="I2233" s="394"/>
      <c r="J2233" s="392">
        <v>19.302295033114838</v>
      </c>
      <c r="K2233" s="392">
        <v>19.302295033114838</v>
      </c>
      <c r="L2233" s="392">
        <v>19.302295033114838</v>
      </c>
      <c r="M2233" s="392">
        <v>19.302295033114838</v>
      </c>
      <c r="N2233" s="392"/>
    </row>
    <row r="2234" spans="1:14" hidden="1" outlineLevel="2" x14ac:dyDescent="0.35">
      <c r="A2234" s="388" t="s">
        <v>6128</v>
      </c>
      <c r="B2234" s="389">
        <v>44438</v>
      </c>
      <c r="C2234" s="390" t="s">
        <v>6139</v>
      </c>
      <c r="D2234" s="391" t="s">
        <v>6140</v>
      </c>
      <c r="E2234" s="391" t="s">
        <v>4042</v>
      </c>
      <c r="F2234" s="392">
        <v>31125</v>
      </c>
      <c r="G2234" s="393" t="s">
        <v>3800</v>
      </c>
      <c r="H2234" s="394">
        <v>11.581377019868901</v>
      </c>
      <c r="I2234" s="394"/>
      <c r="J2234" s="392">
        <v>2.8953442549672253</v>
      </c>
      <c r="K2234" s="392">
        <v>2.8953442549672253</v>
      </c>
      <c r="L2234" s="392">
        <v>2.8953442549672253</v>
      </c>
      <c r="M2234" s="392">
        <v>2.8953442549672253</v>
      </c>
      <c r="N2234" s="392"/>
    </row>
    <row r="2235" spans="1:14" hidden="1" outlineLevel="2" x14ac:dyDescent="0.35">
      <c r="A2235" s="388" t="s">
        <v>6128</v>
      </c>
      <c r="B2235" s="389">
        <v>44436</v>
      </c>
      <c r="C2235" s="390" t="s">
        <v>6141</v>
      </c>
      <c r="D2235" s="391" t="s">
        <v>6142</v>
      </c>
      <c r="E2235" s="391" t="s">
        <v>6129</v>
      </c>
      <c r="F2235" s="392">
        <v>4150000</v>
      </c>
      <c r="G2235" s="393" t="s">
        <v>3800</v>
      </c>
      <c r="H2235" s="394">
        <v>1544.1836026491869</v>
      </c>
      <c r="I2235" s="394"/>
      <c r="J2235" s="392">
        <v>386.04590066229673</v>
      </c>
      <c r="K2235" s="392">
        <v>386.04590066229673</v>
      </c>
      <c r="L2235" s="392">
        <v>386.04590066229673</v>
      </c>
      <c r="M2235" s="392">
        <v>386.04590066229673</v>
      </c>
      <c r="N2235" s="392"/>
    </row>
    <row r="2236" spans="1:14" hidden="1" outlineLevel="2" x14ac:dyDescent="0.35">
      <c r="A2236" s="388" t="s">
        <v>6128</v>
      </c>
      <c r="B2236" s="389">
        <v>44436</v>
      </c>
      <c r="C2236" s="390" t="s">
        <v>6141</v>
      </c>
      <c r="D2236" s="391" t="s">
        <v>6133</v>
      </c>
      <c r="E2236" s="391" t="s">
        <v>6129</v>
      </c>
      <c r="F2236" s="392">
        <v>622500</v>
      </c>
      <c r="G2236" s="393" t="s">
        <v>3800</v>
      </c>
      <c r="H2236" s="394">
        <v>231.62754039737803</v>
      </c>
      <c r="I2236" s="394"/>
      <c r="J2236" s="392">
        <v>57.906885099344507</v>
      </c>
      <c r="K2236" s="392">
        <v>57.906885099344507</v>
      </c>
      <c r="L2236" s="392">
        <v>57.906885099344507</v>
      </c>
      <c r="M2236" s="392">
        <v>57.906885099344507</v>
      </c>
      <c r="N2236" s="392"/>
    </row>
    <row r="2237" spans="1:14" hidden="1" outlineLevel="2" x14ac:dyDescent="0.35">
      <c r="A2237" s="388" t="s">
        <v>6128</v>
      </c>
      <c r="B2237" s="389">
        <v>44436</v>
      </c>
      <c r="C2237" s="390" t="s">
        <v>6143</v>
      </c>
      <c r="D2237" s="391" t="s">
        <v>4602</v>
      </c>
      <c r="E2237" s="391" t="s">
        <v>4272</v>
      </c>
      <c r="F2237" s="392">
        <v>518750</v>
      </c>
      <c r="G2237" s="393" t="s">
        <v>3800</v>
      </c>
      <c r="H2237" s="394">
        <v>193.02295033114837</v>
      </c>
      <c r="I2237" s="394"/>
      <c r="J2237" s="392">
        <v>48.255737582787091</v>
      </c>
      <c r="K2237" s="392">
        <v>48.255737582787091</v>
      </c>
      <c r="L2237" s="392">
        <v>48.255737582787091</v>
      </c>
      <c r="M2237" s="392">
        <v>48.255737582787091</v>
      </c>
      <c r="N2237" s="392"/>
    </row>
    <row r="2238" spans="1:14" hidden="1" outlineLevel="2" x14ac:dyDescent="0.35">
      <c r="A2238" s="388" t="s">
        <v>6128</v>
      </c>
      <c r="B2238" s="389">
        <v>44436</v>
      </c>
      <c r="C2238" s="390" t="s">
        <v>6141</v>
      </c>
      <c r="D2238" s="391" t="s">
        <v>6136</v>
      </c>
      <c r="E2238" s="391" t="s">
        <v>6129</v>
      </c>
      <c r="F2238" s="392">
        <v>207500</v>
      </c>
      <c r="G2238" s="393" t="s">
        <v>3800</v>
      </c>
      <c r="H2238" s="394">
        <v>77.209180132459352</v>
      </c>
      <c r="I2238" s="394"/>
      <c r="J2238" s="392">
        <v>19.302295033114838</v>
      </c>
      <c r="K2238" s="392">
        <v>19.302295033114838</v>
      </c>
      <c r="L2238" s="392">
        <v>19.302295033114838</v>
      </c>
      <c r="M2238" s="392">
        <v>19.302295033114838</v>
      </c>
      <c r="N2238" s="392"/>
    </row>
    <row r="2239" spans="1:14" hidden="1" outlineLevel="2" x14ac:dyDescent="0.35">
      <c r="A2239" s="388" t="s">
        <v>6128</v>
      </c>
      <c r="B2239" s="389">
        <v>44436</v>
      </c>
      <c r="C2239" s="390" t="s">
        <v>6144</v>
      </c>
      <c r="D2239" s="391" t="s">
        <v>6145</v>
      </c>
      <c r="E2239" s="391" t="s">
        <v>4039</v>
      </c>
      <c r="F2239" s="392">
        <v>207500</v>
      </c>
      <c r="G2239" s="393" t="s">
        <v>3800</v>
      </c>
      <c r="H2239" s="394">
        <v>77.209180132459352</v>
      </c>
      <c r="I2239" s="394"/>
      <c r="J2239" s="392">
        <v>19.302295033114838</v>
      </c>
      <c r="K2239" s="392">
        <v>19.302295033114838</v>
      </c>
      <c r="L2239" s="392">
        <v>19.302295033114838</v>
      </c>
      <c r="M2239" s="392">
        <v>19.302295033114838</v>
      </c>
      <c r="N2239" s="392"/>
    </row>
    <row r="2240" spans="1:14" hidden="1" outlineLevel="2" x14ac:dyDescent="0.35">
      <c r="A2240" s="388" t="s">
        <v>6128</v>
      </c>
      <c r="B2240" s="389">
        <v>44436</v>
      </c>
      <c r="C2240" s="390" t="s">
        <v>6146</v>
      </c>
      <c r="D2240" s="391" t="s">
        <v>4603</v>
      </c>
      <c r="E2240" s="391" t="s">
        <v>4042</v>
      </c>
      <c r="F2240" s="392">
        <v>31125</v>
      </c>
      <c r="G2240" s="393" t="s">
        <v>3800</v>
      </c>
      <c r="H2240" s="394">
        <v>11.581377019868901</v>
      </c>
      <c r="I2240" s="394"/>
      <c r="J2240" s="392">
        <v>2.8953442549672253</v>
      </c>
      <c r="K2240" s="392">
        <v>2.8953442549672253</v>
      </c>
      <c r="L2240" s="392">
        <v>2.8953442549672253</v>
      </c>
      <c r="M2240" s="392">
        <v>2.8953442549672253</v>
      </c>
      <c r="N2240" s="392"/>
    </row>
    <row r="2241" spans="1:14" outlineLevel="1" collapsed="1" x14ac:dyDescent="0.35">
      <c r="A2241" s="395" t="s">
        <v>6147</v>
      </c>
      <c r="B2241" s="389"/>
      <c r="C2241" s="390"/>
      <c r="D2241" s="391"/>
      <c r="E2241" s="391"/>
      <c r="F2241" s="392"/>
      <c r="G2241" s="393"/>
      <c r="H2241" s="394">
        <f t="shared" ref="H2241:N2241" si="85">SUBTOTAL(9,H2115:H2240)</f>
        <v>45790.269483059499</v>
      </c>
      <c r="I2241" s="394"/>
      <c r="J2241" s="392">
        <f t="shared" si="85"/>
        <v>11447.567370764875</v>
      </c>
      <c r="K2241" s="392">
        <f t="shared" si="85"/>
        <v>11447.567370764875</v>
      </c>
      <c r="L2241" s="392">
        <f t="shared" si="85"/>
        <v>11447.567370764875</v>
      </c>
      <c r="M2241" s="392">
        <f t="shared" si="85"/>
        <v>11447.567370764875</v>
      </c>
      <c r="N2241" s="392">
        <f t="shared" si="85"/>
        <v>0</v>
      </c>
    </row>
    <row r="2242" spans="1:14" hidden="1" outlineLevel="2" x14ac:dyDescent="0.35">
      <c r="A2242" s="388" t="s">
        <v>216</v>
      </c>
      <c r="B2242" s="389">
        <v>43921</v>
      </c>
      <c r="C2242" s="390" t="s">
        <v>1092</v>
      </c>
      <c r="D2242" s="391" t="s">
        <v>1112</v>
      </c>
      <c r="E2242" s="391" t="s">
        <v>1113</v>
      </c>
      <c r="F2242" s="392">
        <v>4550.66</v>
      </c>
      <c r="G2242" s="393" t="s">
        <v>56</v>
      </c>
      <c r="H2242" s="394">
        <v>4550.66</v>
      </c>
      <c r="I2242" s="394"/>
      <c r="J2242" s="392">
        <f t="shared" ref="J2242:N2248" si="86">$H2242/5</f>
        <v>910.13199999999995</v>
      </c>
      <c r="K2242" s="392">
        <f t="shared" si="86"/>
        <v>910.13199999999995</v>
      </c>
      <c r="L2242" s="392">
        <f t="shared" si="86"/>
        <v>910.13199999999995</v>
      </c>
      <c r="M2242" s="392">
        <f t="shared" si="86"/>
        <v>910.13199999999995</v>
      </c>
      <c r="N2242" s="392">
        <f t="shared" si="86"/>
        <v>910.13199999999995</v>
      </c>
    </row>
    <row r="2243" spans="1:14" hidden="1" outlineLevel="2" x14ac:dyDescent="0.35">
      <c r="A2243" s="388" t="s">
        <v>216</v>
      </c>
      <c r="B2243" s="389">
        <v>44012</v>
      </c>
      <c r="C2243" s="390" t="s">
        <v>1094</v>
      </c>
      <c r="D2243" s="391" t="s">
        <v>1114</v>
      </c>
      <c r="E2243" s="391" t="s">
        <v>1113</v>
      </c>
      <c r="F2243" s="392">
        <v>4550.66</v>
      </c>
      <c r="G2243" s="393" t="s">
        <v>56</v>
      </c>
      <c r="H2243" s="394">
        <v>4550.66</v>
      </c>
      <c r="I2243" s="394"/>
      <c r="J2243" s="392">
        <f t="shared" si="86"/>
        <v>910.13199999999995</v>
      </c>
      <c r="K2243" s="392">
        <f t="shared" si="86"/>
        <v>910.13199999999995</v>
      </c>
      <c r="L2243" s="392">
        <f t="shared" si="86"/>
        <v>910.13199999999995</v>
      </c>
      <c r="M2243" s="392">
        <f t="shared" si="86"/>
        <v>910.13199999999995</v>
      </c>
      <c r="N2243" s="392">
        <f t="shared" si="86"/>
        <v>910.13199999999995</v>
      </c>
    </row>
    <row r="2244" spans="1:14" hidden="1" outlineLevel="2" x14ac:dyDescent="0.35">
      <c r="A2244" s="388" t="s">
        <v>216</v>
      </c>
      <c r="B2244" s="389">
        <v>44104</v>
      </c>
      <c r="C2244" s="390" t="s">
        <v>1096</v>
      </c>
      <c r="D2244" s="391" t="s">
        <v>1115</v>
      </c>
      <c r="E2244" s="391" t="s">
        <v>1113</v>
      </c>
      <c r="F2244" s="392">
        <v>79.959999999999994</v>
      </c>
      <c r="G2244" s="393" t="s">
        <v>56</v>
      </c>
      <c r="H2244" s="394">
        <v>79.959999999999994</v>
      </c>
      <c r="I2244" s="394"/>
      <c r="J2244" s="392">
        <f t="shared" si="86"/>
        <v>15.991999999999999</v>
      </c>
      <c r="K2244" s="392">
        <f t="shared" si="86"/>
        <v>15.991999999999999</v>
      </c>
      <c r="L2244" s="392">
        <f t="shared" si="86"/>
        <v>15.991999999999999</v>
      </c>
      <c r="M2244" s="392">
        <f t="shared" si="86"/>
        <v>15.991999999999999</v>
      </c>
      <c r="N2244" s="392">
        <f t="shared" si="86"/>
        <v>15.991999999999999</v>
      </c>
    </row>
    <row r="2245" spans="1:14" hidden="1" outlineLevel="2" x14ac:dyDescent="0.35">
      <c r="A2245" s="388" t="s">
        <v>216</v>
      </c>
      <c r="B2245" s="389">
        <v>44196</v>
      </c>
      <c r="C2245" s="390" t="s">
        <v>1099</v>
      </c>
      <c r="D2245" s="391" t="s">
        <v>1117</v>
      </c>
      <c r="E2245" s="391" t="s">
        <v>1113</v>
      </c>
      <c r="F2245" s="392">
        <v>79.959999999999994</v>
      </c>
      <c r="G2245" s="393" t="s">
        <v>56</v>
      </c>
      <c r="H2245" s="394">
        <v>79.959999999999994</v>
      </c>
      <c r="I2245" s="394"/>
      <c r="J2245" s="392">
        <f t="shared" si="86"/>
        <v>15.991999999999999</v>
      </c>
      <c r="K2245" s="392">
        <f t="shared" si="86"/>
        <v>15.991999999999999</v>
      </c>
      <c r="L2245" s="392">
        <f t="shared" si="86"/>
        <v>15.991999999999999</v>
      </c>
      <c r="M2245" s="392">
        <f t="shared" si="86"/>
        <v>15.991999999999999</v>
      </c>
      <c r="N2245" s="392">
        <f t="shared" si="86"/>
        <v>15.991999999999999</v>
      </c>
    </row>
    <row r="2246" spans="1:14" hidden="1" outlineLevel="2" x14ac:dyDescent="0.35">
      <c r="A2246" s="388" t="s">
        <v>216</v>
      </c>
      <c r="B2246" s="389">
        <v>44469</v>
      </c>
      <c r="C2246" s="390" t="s">
        <v>6148</v>
      </c>
      <c r="D2246" s="391" t="s">
        <v>6149</v>
      </c>
      <c r="E2246" s="391" t="s">
        <v>1120</v>
      </c>
      <c r="F2246" s="392">
        <v>4274.42</v>
      </c>
      <c r="G2246" s="393" t="s">
        <v>56</v>
      </c>
      <c r="H2246" s="394">
        <v>4274.42</v>
      </c>
      <c r="I2246" s="394"/>
      <c r="J2246" s="392">
        <f t="shared" si="86"/>
        <v>854.88400000000001</v>
      </c>
      <c r="K2246" s="392">
        <f t="shared" si="86"/>
        <v>854.88400000000001</v>
      </c>
      <c r="L2246" s="392">
        <f t="shared" si="86"/>
        <v>854.88400000000001</v>
      </c>
      <c r="M2246" s="392">
        <f t="shared" si="86"/>
        <v>854.88400000000001</v>
      </c>
      <c r="N2246" s="392">
        <f t="shared" si="86"/>
        <v>854.88400000000001</v>
      </c>
    </row>
    <row r="2247" spans="1:14" hidden="1" outlineLevel="2" x14ac:dyDescent="0.35">
      <c r="A2247" s="388" t="s">
        <v>216</v>
      </c>
      <c r="B2247" s="389">
        <v>44561</v>
      </c>
      <c r="C2247" s="390" t="s">
        <v>6150</v>
      </c>
      <c r="D2247" s="391" t="s">
        <v>6151</v>
      </c>
      <c r="E2247" s="391" t="s">
        <v>1120</v>
      </c>
      <c r="F2247" s="392">
        <v>2137.21</v>
      </c>
      <c r="G2247" s="393" t="s">
        <v>56</v>
      </c>
      <c r="H2247" s="394">
        <v>2137.21</v>
      </c>
      <c r="I2247" s="394"/>
      <c r="J2247" s="392">
        <f t="shared" si="86"/>
        <v>427.44200000000001</v>
      </c>
      <c r="K2247" s="392">
        <f t="shared" si="86"/>
        <v>427.44200000000001</v>
      </c>
      <c r="L2247" s="392">
        <f t="shared" si="86"/>
        <v>427.44200000000001</v>
      </c>
      <c r="M2247" s="392">
        <f t="shared" si="86"/>
        <v>427.44200000000001</v>
      </c>
      <c r="N2247" s="392">
        <f t="shared" si="86"/>
        <v>427.44200000000001</v>
      </c>
    </row>
    <row r="2248" spans="1:14" hidden="1" outlineLevel="2" x14ac:dyDescent="0.35">
      <c r="A2248" s="388" t="s">
        <v>216</v>
      </c>
      <c r="B2248" s="389">
        <v>44561</v>
      </c>
      <c r="C2248" s="390" t="s">
        <v>6152</v>
      </c>
      <c r="D2248" s="391" t="s">
        <v>6153</v>
      </c>
      <c r="E2248" s="391" t="s">
        <v>1120</v>
      </c>
      <c r="F2248" s="392">
        <v>2137.21</v>
      </c>
      <c r="G2248" s="393" t="s">
        <v>56</v>
      </c>
      <c r="H2248" s="394">
        <v>2137.21</v>
      </c>
      <c r="I2248" s="394"/>
      <c r="J2248" s="392">
        <f t="shared" si="86"/>
        <v>427.44200000000001</v>
      </c>
      <c r="K2248" s="392">
        <f t="shared" si="86"/>
        <v>427.44200000000001</v>
      </c>
      <c r="L2248" s="392">
        <f t="shared" si="86"/>
        <v>427.44200000000001</v>
      </c>
      <c r="M2248" s="392">
        <f t="shared" si="86"/>
        <v>427.44200000000001</v>
      </c>
      <c r="N2248" s="392">
        <f t="shared" si="86"/>
        <v>427.44200000000001</v>
      </c>
    </row>
    <row r="2249" spans="1:14" outlineLevel="1" collapsed="1" x14ac:dyDescent="0.35">
      <c r="A2249" s="395" t="s">
        <v>1123</v>
      </c>
      <c r="B2249" s="389"/>
      <c r="C2249" s="390"/>
      <c r="D2249" s="391"/>
      <c r="E2249" s="391"/>
      <c r="F2249" s="392"/>
      <c r="G2249" s="393"/>
      <c r="H2249" s="394">
        <f t="shared" ref="H2249:N2249" si="87">SUBTOTAL(9,H2242:H2248)</f>
        <v>17810.079999999998</v>
      </c>
      <c r="I2249" s="394"/>
      <c r="J2249" s="392">
        <f t="shared" si="87"/>
        <v>3562.0159999999996</v>
      </c>
      <c r="K2249" s="392">
        <f t="shared" si="87"/>
        <v>3562.0159999999996</v>
      </c>
      <c r="L2249" s="392">
        <f t="shared" si="87"/>
        <v>3562.0159999999996</v>
      </c>
      <c r="M2249" s="392">
        <f t="shared" si="87"/>
        <v>3562.0159999999996</v>
      </c>
      <c r="N2249" s="392">
        <f t="shared" si="87"/>
        <v>3562.0159999999996</v>
      </c>
    </row>
    <row r="2250" spans="1:14" hidden="1" outlineLevel="2" x14ac:dyDescent="0.35">
      <c r="A2250" s="388" t="s">
        <v>3907</v>
      </c>
      <c r="B2250" s="389">
        <v>44329</v>
      </c>
      <c r="C2250" s="390" t="s">
        <v>6154</v>
      </c>
      <c r="D2250" s="391" t="s">
        <v>6155</v>
      </c>
      <c r="E2250" s="391" t="s">
        <v>6156</v>
      </c>
      <c r="F2250" s="392">
        <v>450000</v>
      </c>
      <c r="G2250" s="393" t="s">
        <v>3800</v>
      </c>
      <c r="H2250" s="394">
        <v>167.44159546798411</v>
      </c>
      <c r="I2250" s="394"/>
      <c r="J2250" s="392"/>
      <c r="K2250" s="392"/>
      <c r="L2250" s="392">
        <v>167.44159546798411</v>
      </c>
      <c r="M2250" s="392"/>
      <c r="N2250" s="392"/>
    </row>
    <row r="2251" spans="1:14" hidden="1" outlineLevel="2" x14ac:dyDescent="0.35">
      <c r="A2251" s="388" t="s">
        <v>3907</v>
      </c>
      <c r="B2251" s="389">
        <v>44335</v>
      </c>
      <c r="C2251" s="390" t="s">
        <v>6157</v>
      </c>
      <c r="D2251" s="391" t="s">
        <v>6155</v>
      </c>
      <c r="E2251" s="391" t="s">
        <v>4110</v>
      </c>
      <c r="F2251" s="392">
        <v>540000</v>
      </c>
      <c r="G2251" s="393" t="s">
        <v>3800</v>
      </c>
      <c r="H2251" s="394">
        <v>200.92991456158094</v>
      </c>
      <c r="I2251" s="394"/>
      <c r="J2251" s="392"/>
      <c r="K2251" s="392"/>
      <c r="L2251" s="392">
        <v>200.92991456158094</v>
      </c>
      <c r="M2251" s="392"/>
      <c r="N2251" s="392"/>
    </row>
    <row r="2252" spans="1:14" hidden="1" outlineLevel="2" x14ac:dyDescent="0.35">
      <c r="A2252" s="388" t="s">
        <v>3907</v>
      </c>
      <c r="B2252" s="389">
        <v>44336</v>
      </c>
      <c r="C2252" s="390" t="s">
        <v>6158</v>
      </c>
      <c r="D2252" s="391" t="s">
        <v>6159</v>
      </c>
      <c r="E2252" s="391" t="s">
        <v>6160</v>
      </c>
      <c r="F2252" s="392">
        <v>920000</v>
      </c>
      <c r="G2252" s="393" t="s">
        <v>3800</v>
      </c>
      <c r="H2252" s="394">
        <v>342.32503962343418</v>
      </c>
      <c r="I2252" s="394"/>
      <c r="J2252" s="392"/>
      <c r="K2252" s="392"/>
      <c r="L2252" s="392">
        <v>342.32503962343418</v>
      </c>
      <c r="M2252" s="392"/>
      <c r="N2252" s="392"/>
    </row>
    <row r="2253" spans="1:14" hidden="1" outlineLevel="2" x14ac:dyDescent="0.35">
      <c r="A2253" s="388" t="s">
        <v>3907</v>
      </c>
      <c r="B2253" s="389">
        <v>44334</v>
      </c>
      <c r="C2253" s="390" t="s">
        <v>6161</v>
      </c>
      <c r="D2253" s="391" t="s">
        <v>6162</v>
      </c>
      <c r="E2253" s="391" t="s">
        <v>6163</v>
      </c>
      <c r="F2253" s="392">
        <v>100000</v>
      </c>
      <c r="G2253" s="393" t="s">
        <v>3800</v>
      </c>
      <c r="H2253" s="394">
        <v>37.209243437329803</v>
      </c>
      <c r="I2253" s="394"/>
      <c r="J2253" s="392"/>
      <c r="K2253" s="392"/>
      <c r="L2253" s="392">
        <v>37.209243437329803</v>
      </c>
      <c r="M2253" s="392"/>
      <c r="N2253" s="392"/>
    </row>
    <row r="2254" spans="1:14" hidden="1" outlineLevel="2" x14ac:dyDescent="0.35">
      <c r="A2254" s="388" t="s">
        <v>3907</v>
      </c>
      <c r="B2254" s="389">
        <v>44364</v>
      </c>
      <c r="C2254" s="390" t="s">
        <v>6164</v>
      </c>
      <c r="D2254" s="391" t="s">
        <v>6165</v>
      </c>
      <c r="E2254" s="391" t="s">
        <v>6166</v>
      </c>
      <c r="F2254" s="392">
        <v>955800</v>
      </c>
      <c r="G2254" s="393" t="s">
        <v>3800</v>
      </c>
      <c r="H2254" s="394">
        <v>355.64594877399827</v>
      </c>
      <c r="I2254" s="394"/>
      <c r="J2254" s="392"/>
      <c r="K2254" s="392"/>
      <c r="L2254" s="392">
        <v>355.64594877399827</v>
      </c>
      <c r="M2254" s="392"/>
      <c r="N2254" s="392"/>
    </row>
    <row r="2255" spans="1:14" outlineLevel="1" collapsed="1" x14ac:dyDescent="0.35">
      <c r="A2255" s="395" t="s">
        <v>6167</v>
      </c>
      <c r="B2255" s="389"/>
      <c r="C2255" s="390"/>
      <c r="D2255" s="391"/>
      <c r="E2255" s="391"/>
      <c r="F2255" s="392"/>
      <c r="G2255" s="393"/>
      <c r="H2255" s="394">
        <f t="shared" ref="H2255:N2255" si="88">SUBTOTAL(9,H2250:H2254)</f>
        <v>1103.5517418643274</v>
      </c>
      <c r="I2255" s="394"/>
      <c r="J2255" s="392">
        <f t="shared" si="88"/>
        <v>0</v>
      </c>
      <c r="K2255" s="392">
        <f t="shared" si="88"/>
        <v>0</v>
      </c>
      <c r="L2255" s="392">
        <f t="shared" si="88"/>
        <v>1103.5517418643274</v>
      </c>
      <c r="M2255" s="392">
        <f t="shared" si="88"/>
        <v>0</v>
      </c>
      <c r="N2255" s="392">
        <f t="shared" si="88"/>
        <v>0</v>
      </c>
    </row>
    <row r="2256" spans="1:14" hidden="1" outlineLevel="2" x14ac:dyDescent="0.35">
      <c r="A2256" s="388" t="s">
        <v>6168</v>
      </c>
      <c r="B2256" s="389">
        <v>44130</v>
      </c>
      <c r="C2256" s="390" t="s">
        <v>6169</v>
      </c>
      <c r="D2256" s="391" t="s">
        <v>6170</v>
      </c>
      <c r="E2256" s="391" t="s">
        <v>4848</v>
      </c>
      <c r="F2256" s="392">
        <v>920000</v>
      </c>
      <c r="G2256" s="393" t="s">
        <v>3800</v>
      </c>
      <c r="H2256" s="394">
        <v>353.24004977164384</v>
      </c>
      <c r="I2256" s="394"/>
      <c r="J2256" s="392"/>
      <c r="K2256" s="392"/>
      <c r="L2256" s="392">
        <v>353.24004977164384</v>
      </c>
      <c r="M2256" s="392"/>
      <c r="N2256" s="392"/>
    </row>
    <row r="2257" spans="1:14" hidden="1" outlineLevel="2" x14ac:dyDescent="0.35">
      <c r="A2257" s="388" t="s">
        <v>6168</v>
      </c>
      <c r="B2257" s="389">
        <v>44130</v>
      </c>
      <c r="C2257" s="390" t="s">
        <v>6169</v>
      </c>
      <c r="D2257" s="391" t="s">
        <v>6171</v>
      </c>
      <c r="E2257" s="391" t="s">
        <v>4848</v>
      </c>
      <c r="F2257" s="392">
        <v>240000</v>
      </c>
      <c r="G2257" s="393" t="s">
        <v>3800</v>
      </c>
      <c r="H2257" s="394">
        <v>92.149578201298382</v>
      </c>
      <c r="I2257" s="394"/>
      <c r="J2257" s="392"/>
      <c r="K2257" s="392"/>
      <c r="L2257" s="392">
        <v>92.149578201298382</v>
      </c>
      <c r="M2257" s="392"/>
      <c r="N2257" s="392"/>
    </row>
    <row r="2258" spans="1:14" hidden="1" outlineLevel="2" x14ac:dyDescent="0.35">
      <c r="A2258" s="388" t="s">
        <v>6168</v>
      </c>
      <c r="B2258" s="389">
        <v>44130</v>
      </c>
      <c r="C2258" s="390" t="s">
        <v>6169</v>
      </c>
      <c r="D2258" s="391" t="s">
        <v>4785</v>
      </c>
      <c r="E2258" s="391" t="s">
        <v>6172</v>
      </c>
      <c r="F2258" s="392">
        <v>375000</v>
      </c>
      <c r="G2258" s="393" t="s">
        <v>3800</v>
      </c>
      <c r="H2258" s="394">
        <v>143.98371593952874</v>
      </c>
      <c r="I2258" s="394"/>
      <c r="J2258" s="392"/>
      <c r="K2258" s="392"/>
      <c r="L2258" s="392">
        <v>143.98371593952874</v>
      </c>
      <c r="M2258" s="392"/>
      <c r="N2258" s="392"/>
    </row>
    <row r="2259" spans="1:14" outlineLevel="1" collapsed="1" x14ac:dyDescent="0.35">
      <c r="A2259" s="395" t="s">
        <v>6173</v>
      </c>
      <c r="B2259" s="389"/>
      <c r="C2259" s="390"/>
      <c r="D2259" s="391"/>
      <c r="E2259" s="391"/>
      <c r="F2259" s="392"/>
      <c r="G2259" s="393"/>
      <c r="H2259" s="394">
        <f t="shared" ref="H2259:N2259" si="89">SUBTOTAL(9,H2256:H2258)</f>
        <v>589.373343912471</v>
      </c>
      <c r="I2259" s="394"/>
      <c r="J2259" s="392">
        <f t="shared" si="89"/>
        <v>0</v>
      </c>
      <c r="K2259" s="392">
        <f t="shared" si="89"/>
        <v>0</v>
      </c>
      <c r="L2259" s="392">
        <f t="shared" si="89"/>
        <v>589.373343912471</v>
      </c>
      <c r="M2259" s="392">
        <f t="shared" si="89"/>
        <v>0</v>
      </c>
      <c r="N2259" s="392">
        <f t="shared" si="89"/>
        <v>0</v>
      </c>
    </row>
    <row r="2260" spans="1:14" hidden="1" outlineLevel="2" x14ac:dyDescent="0.35">
      <c r="A2260" s="388" t="s">
        <v>6174</v>
      </c>
      <c r="B2260" s="389">
        <v>44266</v>
      </c>
      <c r="C2260" s="390" t="s">
        <v>4526</v>
      </c>
      <c r="D2260" s="391" t="s">
        <v>4527</v>
      </c>
      <c r="E2260" s="391" t="s">
        <v>6175</v>
      </c>
      <c r="F2260" s="392">
        <v>243243.25</v>
      </c>
      <c r="G2260" s="393" t="s">
        <v>3800</v>
      </c>
      <c r="H2260" s="394">
        <v>90.508973037372726</v>
      </c>
      <c r="I2260" s="394"/>
      <c r="J2260" s="392"/>
      <c r="K2260" s="392"/>
      <c r="L2260" s="392"/>
      <c r="M2260" s="392"/>
      <c r="N2260" s="392">
        <f t="shared" ref="N2260:N2323" si="90">H2260</f>
        <v>90.508973037372726</v>
      </c>
    </row>
    <row r="2261" spans="1:14" hidden="1" outlineLevel="2" x14ac:dyDescent="0.35">
      <c r="A2261" s="388" t="s">
        <v>6174</v>
      </c>
      <c r="B2261" s="389">
        <v>44266</v>
      </c>
      <c r="C2261" s="390" t="s">
        <v>4529</v>
      </c>
      <c r="D2261" s="391" t="s">
        <v>4530</v>
      </c>
      <c r="E2261" s="391" t="s">
        <v>4272</v>
      </c>
      <c r="F2261" s="392">
        <v>24324.325000000001</v>
      </c>
      <c r="G2261" s="393" t="s">
        <v>3800</v>
      </c>
      <c r="H2261" s="394">
        <v>9.0508973037372726</v>
      </c>
      <c r="I2261" s="394"/>
      <c r="J2261" s="392"/>
      <c r="K2261" s="392"/>
      <c r="L2261" s="392"/>
      <c r="M2261" s="392"/>
      <c r="N2261" s="392">
        <f t="shared" si="90"/>
        <v>9.0508973037372726</v>
      </c>
    </row>
    <row r="2262" spans="1:14" hidden="1" outlineLevel="2" x14ac:dyDescent="0.35">
      <c r="A2262" s="388" t="s">
        <v>6174</v>
      </c>
      <c r="B2262" s="389">
        <v>44266</v>
      </c>
      <c r="C2262" s="390" t="s">
        <v>4531</v>
      </c>
      <c r="D2262" s="391" t="s">
        <v>4051</v>
      </c>
      <c r="E2262" s="391" t="s">
        <v>4042</v>
      </c>
      <c r="F2262" s="392">
        <v>2432.4324999999999</v>
      </c>
      <c r="G2262" s="393" t="s">
        <v>3800</v>
      </c>
      <c r="H2262" s="394">
        <v>0.90508973037372731</v>
      </c>
      <c r="I2262" s="394"/>
      <c r="J2262" s="392"/>
      <c r="K2262" s="392"/>
      <c r="L2262" s="392"/>
      <c r="M2262" s="392"/>
      <c r="N2262" s="392">
        <f t="shared" si="90"/>
        <v>0.90508973037372731</v>
      </c>
    </row>
    <row r="2263" spans="1:14" hidden="1" outlineLevel="2" x14ac:dyDescent="0.35">
      <c r="A2263" s="388" t="s">
        <v>6174</v>
      </c>
      <c r="B2263" s="389">
        <v>44266</v>
      </c>
      <c r="C2263" s="390" t="s">
        <v>4526</v>
      </c>
      <c r="D2263" s="391" t="s">
        <v>4527</v>
      </c>
      <c r="E2263" s="391" t="s">
        <v>6176</v>
      </c>
      <c r="F2263" s="392">
        <v>243243.25</v>
      </c>
      <c r="G2263" s="393" t="s">
        <v>3800</v>
      </c>
      <c r="H2263" s="394">
        <v>90.508973037372726</v>
      </c>
      <c r="I2263" s="394"/>
      <c r="J2263" s="392"/>
      <c r="K2263" s="392"/>
      <c r="L2263" s="392"/>
      <c r="M2263" s="392"/>
      <c r="N2263" s="392">
        <f t="shared" si="90"/>
        <v>90.508973037372726</v>
      </c>
    </row>
    <row r="2264" spans="1:14" hidden="1" outlineLevel="2" x14ac:dyDescent="0.35">
      <c r="A2264" s="388" t="s">
        <v>6174</v>
      </c>
      <c r="B2264" s="389">
        <v>44266</v>
      </c>
      <c r="C2264" s="390" t="s">
        <v>4529</v>
      </c>
      <c r="D2264" s="391" t="s">
        <v>4530</v>
      </c>
      <c r="E2264" s="391" t="s">
        <v>4272</v>
      </c>
      <c r="F2264" s="392">
        <v>24324.325000000001</v>
      </c>
      <c r="G2264" s="393" t="s">
        <v>3800</v>
      </c>
      <c r="H2264" s="394">
        <v>9.0508973037372726</v>
      </c>
      <c r="I2264" s="394"/>
      <c r="J2264" s="392"/>
      <c r="K2264" s="392"/>
      <c r="L2264" s="392"/>
      <c r="M2264" s="392"/>
      <c r="N2264" s="392">
        <f t="shared" si="90"/>
        <v>9.0508973037372726</v>
      </c>
    </row>
    <row r="2265" spans="1:14" hidden="1" outlineLevel="2" x14ac:dyDescent="0.35">
      <c r="A2265" s="388" t="s">
        <v>6174</v>
      </c>
      <c r="B2265" s="389">
        <v>44266</v>
      </c>
      <c r="C2265" s="390" t="s">
        <v>4531</v>
      </c>
      <c r="D2265" s="391" t="s">
        <v>4051</v>
      </c>
      <c r="E2265" s="391" t="s">
        <v>4042</v>
      </c>
      <c r="F2265" s="392">
        <v>2432.4324999999999</v>
      </c>
      <c r="G2265" s="393" t="s">
        <v>3800</v>
      </c>
      <c r="H2265" s="394">
        <v>0.90508973037372731</v>
      </c>
      <c r="I2265" s="394"/>
      <c r="J2265" s="392"/>
      <c r="K2265" s="392"/>
      <c r="L2265" s="392"/>
      <c r="M2265" s="392"/>
      <c r="N2265" s="392">
        <f t="shared" si="90"/>
        <v>0.90508973037372731</v>
      </c>
    </row>
    <row r="2266" spans="1:14" hidden="1" outlineLevel="2" x14ac:dyDescent="0.35">
      <c r="A2266" s="388" t="s">
        <v>6174</v>
      </c>
      <c r="B2266" s="389">
        <v>44266</v>
      </c>
      <c r="C2266" s="390" t="s">
        <v>4526</v>
      </c>
      <c r="D2266" s="391" t="s">
        <v>4527</v>
      </c>
      <c r="E2266" s="391" t="s">
        <v>6177</v>
      </c>
      <c r="F2266" s="392">
        <v>243243.25</v>
      </c>
      <c r="G2266" s="393" t="s">
        <v>3800</v>
      </c>
      <c r="H2266" s="394">
        <v>90.508973037372726</v>
      </c>
      <c r="I2266" s="394"/>
      <c r="J2266" s="392"/>
      <c r="K2266" s="392"/>
      <c r="L2266" s="392"/>
      <c r="M2266" s="392"/>
      <c r="N2266" s="392">
        <f t="shared" si="90"/>
        <v>90.508973037372726</v>
      </c>
    </row>
    <row r="2267" spans="1:14" hidden="1" outlineLevel="2" x14ac:dyDescent="0.35">
      <c r="A2267" s="388" t="s">
        <v>6174</v>
      </c>
      <c r="B2267" s="389">
        <v>44266</v>
      </c>
      <c r="C2267" s="390" t="s">
        <v>4529</v>
      </c>
      <c r="D2267" s="391" t="s">
        <v>4530</v>
      </c>
      <c r="E2267" s="391" t="s">
        <v>4272</v>
      </c>
      <c r="F2267" s="392">
        <v>24324.325000000001</v>
      </c>
      <c r="G2267" s="393" t="s">
        <v>3800</v>
      </c>
      <c r="H2267" s="394">
        <v>9.0508973037372726</v>
      </c>
      <c r="I2267" s="394"/>
      <c r="J2267" s="392"/>
      <c r="K2267" s="392"/>
      <c r="L2267" s="392"/>
      <c r="M2267" s="392"/>
      <c r="N2267" s="392">
        <f t="shared" si="90"/>
        <v>9.0508973037372726</v>
      </c>
    </row>
    <row r="2268" spans="1:14" hidden="1" outlineLevel="2" x14ac:dyDescent="0.35">
      <c r="A2268" s="388" t="s">
        <v>6174</v>
      </c>
      <c r="B2268" s="389">
        <v>44266</v>
      </c>
      <c r="C2268" s="390" t="s">
        <v>4531</v>
      </c>
      <c r="D2268" s="391" t="s">
        <v>4051</v>
      </c>
      <c r="E2268" s="391" t="s">
        <v>4042</v>
      </c>
      <c r="F2268" s="392">
        <v>2432.4324999999999</v>
      </c>
      <c r="G2268" s="393" t="s">
        <v>3800</v>
      </c>
      <c r="H2268" s="394">
        <v>0.90508973037372731</v>
      </c>
      <c r="I2268" s="394"/>
      <c r="J2268" s="392"/>
      <c r="K2268" s="392"/>
      <c r="L2268" s="392"/>
      <c r="M2268" s="392"/>
      <c r="N2268" s="392">
        <f t="shared" si="90"/>
        <v>0.90508973037372731</v>
      </c>
    </row>
    <row r="2269" spans="1:14" hidden="1" outlineLevel="2" x14ac:dyDescent="0.35">
      <c r="A2269" s="388" t="s">
        <v>6174</v>
      </c>
      <c r="B2269" s="389">
        <v>44284</v>
      </c>
      <c r="C2269" s="390" t="s">
        <v>4532</v>
      </c>
      <c r="D2269" s="391" t="s">
        <v>4533</v>
      </c>
      <c r="E2269" s="391" t="s">
        <v>6175</v>
      </c>
      <c r="F2269" s="392">
        <v>486486.49</v>
      </c>
      <c r="G2269" s="393" t="s">
        <v>3800</v>
      </c>
      <c r="H2269" s="394">
        <v>181.01794235382113</v>
      </c>
      <c r="I2269" s="394"/>
      <c r="J2269" s="392"/>
      <c r="K2269" s="392"/>
      <c r="L2269" s="392"/>
      <c r="M2269" s="392"/>
      <c r="N2269" s="392">
        <f t="shared" si="90"/>
        <v>181.01794235382113</v>
      </c>
    </row>
    <row r="2270" spans="1:14" hidden="1" outlineLevel="2" x14ac:dyDescent="0.35">
      <c r="A2270" s="388" t="s">
        <v>6174</v>
      </c>
      <c r="B2270" s="389">
        <v>44284</v>
      </c>
      <c r="C2270" s="390" t="s">
        <v>4534</v>
      </c>
      <c r="D2270" s="391" t="s">
        <v>4535</v>
      </c>
      <c r="E2270" s="391" t="s">
        <v>4272</v>
      </c>
      <c r="F2270" s="392">
        <v>48648.649000000005</v>
      </c>
      <c r="G2270" s="393" t="s">
        <v>3800</v>
      </c>
      <c r="H2270" s="394">
        <v>18.101794235382112</v>
      </c>
      <c r="I2270" s="394"/>
      <c r="J2270" s="392"/>
      <c r="K2270" s="392"/>
      <c r="L2270" s="392"/>
      <c r="M2270" s="392"/>
      <c r="N2270" s="392">
        <f t="shared" si="90"/>
        <v>18.101794235382112</v>
      </c>
    </row>
    <row r="2271" spans="1:14" hidden="1" outlineLevel="2" x14ac:dyDescent="0.35">
      <c r="A2271" s="388" t="s">
        <v>6174</v>
      </c>
      <c r="B2271" s="389">
        <v>44284</v>
      </c>
      <c r="C2271" s="390" t="s">
        <v>4536</v>
      </c>
      <c r="D2271" s="391" t="s">
        <v>4061</v>
      </c>
      <c r="E2271" s="391" t="s">
        <v>4042</v>
      </c>
      <c r="F2271" s="392">
        <v>4864.8648999999996</v>
      </c>
      <c r="G2271" s="393" t="s">
        <v>3800</v>
      </c>
      <c r="H2271" s="394">
        <v>1.8101794235382109</v>
      </c>
      <c r="I2271" s="394"/>
      <c r="J2271" s="392"/>
      <c r="K2271" s="392"/>
      <c r="L2271" s="392"/>
      <c r="M2271" s="392"/>
      <c r="N2271" s="392">
        <f t="shared" si="90"/>
        <v>1.8101794235382109</v>
      </c>
    </row>
    <row r="2272" spans="1:14" hidden="1" outlineLevel="2" x14ac:dyDescent="0.35">
      <c r="A2272" s="388" t="s">
        <v>6174</v>
      </c>
      <c r="B2272" s="389">
        <v>44284</v>
      </c>
      <c r="C2272" s="390" t="s">
        <v>4532</v>
      </c>
      <c r="D2272" s="391" t="s">
        <v>4533</v>
      </c>
      <c r="E2272" s="391" t="s">
        <v>6176</v>
      </c>
      <c r="F2272" s="392">
        <v>486486.49</v>
      </c>
      <c r="G2272" s="393" t="s">
        <v>3800</v>
      </c>
      <c r="H2272" s="394">
        <v>181.01794235382113</v>
      </c>
      <c r="I2272" s="394"/>
      <c r="J2272" s="392"/>
      <c r="K2272" s="392"/>
      <c r="L2272" s="392"/>
      <c r="M2272" s="392"/>
      <c r="N2272" s="392">
        <f t="shared" si="90"/>
        <v>181.01794235382113</v>
      </c>
    </row>
    <row r="2273" spans="1:14" hidden="1" outlineLevel="2" x14ac:dyDescent="0.35">
      <c r="A2273" s="388" t="s">
        <v>6174</v>
      </c>
      <c r="B2273" s="389">
        <v>44284</v>
      </c>
      <c r="C2273" s="390" t="s">
        <v>4534</v>
      </c>
      <c r="D2273" s="391" t="s">
        <v>4535</v>
      </c>
      <c r="E2273" s="391" t="s">
        <v>4272</v>
      </c>
      <c r="F2273" s="392">
        <v>48648.649000000005</v>
      </c>
      <c r="G2273" s="393" t="s">
        <v>3800</v>
      </c>
      <c r="H2273" s="394">
        <v>18.101794235382112</v>
      </c>
      <c r="I2273" s="394"/>
      <c r="J2273" s="392"/>
      <c r="K2273" s="392"/>
      <c r="L2273" s="392"/>
      <c r="M2273" s="392"/>
      <c r="N2273" s="392">
        <f t="shared" si="90"/>
        <v>18.101794235382112</v>
      </c>
    </row>
    <row r="2274" spans="1:14" hidden="1" outlineLevel="2" x14ac:dyDescent="0.35">
      <c r="A2274" s="388" t="s">
        <v>6174</v>
      </c>
      <c r="B2274" s="389">
        <v>44284</v>
      </c>
      <c r="C2274" s="390" t="s">
        <v>4536</v>
      </c>
      <c r="D2274" s="391" t="s">
        <v>4061</v>
      </c>
      <c r="E2274" s="391" t="s">
        <v>4042</v>
      </c>
      <c r="F2274" s="392">
        <v>4864.8648999999996</v>
      </c>
      <c r="G2274" s="393" t="s">
        <v>3800</v>
      </c>
      <c r="H2274" s="394">
        <v>1.8101794235382109</v>
      </c>
      <c r="I2274" s="394"/>
      <c r="J2274" s="392"/>
      <c r="K2274" s="392"/>
      <c r="L2274" s="392"/>
      <c r="M2274" s="392"/>
      <c r="N2274" s="392">
        <f t="shared" si="90"/>
        <v>1.8101794235382109</v>
      </c>
    </row>
    <row r="2275" spans="1:14" hidden="1" outlineLevel="2" x14ac:dyDescent="0.35">
      <c r="A2275" s="388" t="s">
        <v>6174</v>
      </c>
      <c r="B2275" s="389">
        <v>44284</v>
      </c>
      <c r="C2275" s="390" t="s">
        <v>4532</v>
      </c>
      <c r="D2275" s="391" t="s">
        <v>4533</v>
      </c>
      <c r="E2275" s="391" t="s">
        <v>6177</v>
      </c>
      <c r="F2275" s="392">
        <v>486486.49</v>
      </c>
      <c r="G2275" s="393" t="s">
        <v>3800</v>
      </c>
      <c r="H2275" s="394">
        <v>181.01794235382113</v>
      </c>
      <c r="I2275" s="394"/>
      <c r="J2275" s="392"/>
      <c r="K2275" s="392"/>
      <c r="L2275" s="392"/>
      <c r="M2275" s="392"/>
      <c r="N2275" s="392">
        <f t="shared" si="90"/>
        <v>181.01794235382113</v>
      </c>
    </row>
    <row r="2276" spans="1:14" hidden="1" outlineLevel="2" x14ac:dyDescent="0.35">
      <c r="A2276" s="388" t="s">
        <v>6174</v>
      </c>
      <c r="B2276" s="389">
        <v>44284</v>
      </c>
      <c r="C2276" s="390" t="s">
        <v>4534</v>
      </c>
      <c r="D2276" s="391" t="s">
        <v>4535</v>
      </c>
      <c r="E2276" s="391" t="s">
        <v>4272</v>
      </c>
      <c r="F2276" s="392">
        <v>48648.649000000005</v>
      </c>
      <c r="G2276" s="393" t="s">
        <v>3800</v>
      </c>
      <c r="H2276" s="394">
        <v>18.101794235382112</v>
      </c>
      <c r="I2276" s="394"/>
      <c r="J2276" s="392"/>
      <c r="K2276" s="392"/>
      <c r="L2276" s="392"/>
      <c r="M2276" s="392"/>
      <c r="N2276" s="392">
        <f t="shared" si="90"/>
        <v>18.101794235382112</v>
      </c>
    </row>
    <row r="2277" spans="1:14" hidden="1" outlineLevel="2" x14ac:dyDescent="0.35">
      <c r="A2277" s="388" t="s">
        <v>6174</v>
      </c>
      <c r="B2277" s="389">
        <v>44284</v>
      </c>
      <c r="C2277" s="390" t="s">
        <v>4536</v>
      </c>
      <c r="D2277" s="391" t="s">
        <v>4061</v>
      </c>
      <c r="E2277" s="391" t="s">
        <v>4042</v>
      </c>
      <c r="F2277" s="392">
        <v>4864.8648999999996</v>
      </c>
      <c r="G2277" s="393" t="s">
        <v>3800</v>
      </c>
      <c r="H2277" s="394">
        <v>1.8101794235382109</v>
      </c>
      <c r="I2277" s="394"/>
      <c r="J2277" s="392"/>
      <c r="K2277" s="392"/>
      <c r="L2277" s="392"/>
      <c r="M2277" s="392"/>
      <c r="N2277" s="392">
        <f t="shared" si="90"/>
        <v>1.8101794235382109</v>
      </c>
    </row>
    <row r="2278" spans="1:14" hidden="1" outlineLevel="2" x14ac:dyDescent="0.35">
      <c r="A2278" s="388" t="s">
        <v>6174</v>
      </c>
      <c r="B2278" s="389">
        <v>44316</v>
      </c>
      <c r="C2278" s="390" t="s">
        <v>4537</v>
      </c>
      <c r="D2278" s="391" t="s">
        <v>4538</v>
      </c>
      <c r="E2278" s="391" t="s">
        <v>6176</v>
      </c>
      <c r="F2278" s="392">
        <v>486486.49</v>
      </c>
      <c r="G2278" s="393" t="s">
        <v>3800</v>
      </c>
      <c r="H2278" s="394">
        <v>181.01794235382113</v>
      </c>
      <c r="I2278" s="394"/>
      <c r="J2278" s="392"/>
      <c r="K2278" s="392"/>
      <c r="L2278" s="392"/>
      <c r="M2278" s="392"/>
      <c r="N2278" s="392">
        <f t="shared" si="90"/>
        <v>181.01794235382113</v>
      </c>
    </row>
    <row r="2279" spans="1:14" hidden="1" outlineLevel="2" x14ac:dyDescent="0.35">
      <c r="A2279" s="388" t="s">
        <v>6174</v>
      </c>
      <c r="B2279" s="389">
        <v>44316</v>
      </c>
      <c r="C2279" s="390" t="s">
        <v>4539</v>
      </c>
      <c r="D2279" s="391" t="s">
        <v>4540</v>
      </c>
      <c r="E2279" s="391" t="s">
        <v>4272</v>
      </c>
      <c r="F2279" s="392">
        <v>48648.649000000005</v>
      </c>
      <c r="G2279" s="393" t="s">
        <v>3800</v>
      </c>
      <c r="H2279" s="394">
        <v>18.101794235382112</v>
      </c>
      <c r="I2279" s="394"/>
      <c r="J2279" s="392"/>
      <c r="K2279" s="392"/>
      <c r="L2279" s="392"/>
      <c r="M2279" s="392"/>
      <c r="N2279" s="392">
        <f t="shared" si="90"/>
        <v>18.101794235382112</v>
      </c>
    </row>
    <row r="2280" spans="1:14" hidden="1" outlineLevel="2" x14ac:dyDescent="0.35">
      <c r="A2280" s="388" t="s">
        <v>6174</v>
      </c>
      <c r="B2280" s="389">
        <v>44316</v>
      </c>
      <c r="C2280" s="390" t="s">
        <v>4541</v>
      </c>
      <c r="D2280" s="391" t="s">
        <v>4542</v>
      </c>
      <c r="E2280" s="391" t="s">
        <v>4042</v>
      </c>
      <c r="F2280" s="392">
        <v>4864.8648999999996</v>
      </c>
      <c r="G2280" s="393" t="s">
        <v>3800</v>
      </c>
      <c r="H2280" s="394">
        <v>1.8101794235382109</v>
      </c>
      <c r="I2280" s="394"/>
      <c r="J2280" s="392"/>
      <c r="K2280" s="392"/>
      <c r="L2280" s="392"/>
      <c r="M2280" s="392"/>
      <c r="N2280" s="392">
        <f t="shared" si="90"/>
        <v>1.8101794235382109</v>
      </c>
    </row>
    <row r="2281" spans="1:14" hidden="1" outlineLevel="2" x14ac:dyDescent="0.35">
      <c r="A2281" s="388" t="s">
        <v>6174</v>
      </c>
      <c r="B2281" s="389">
        <v>44316</v>
      </c>
      <c r="C2281" s="390" t="s">
        <v>4537</v>
      </c>
      <c r="D2281" s="391" t="s">
        <v>4538</v>
      </c>
      <c r="E2281" s="391" t="s">
        <v>6177</v>
      </c>
      <c r="F2281" s="392">
        <v>486486.49</v>
      </c>
      <c r="G2281" s="393" t="s">
        <v>3800</v>
      </c>
      <c r="H2281" s="394">
        <v>181.01794235382113</v>
      </c>
      <c r="I2281" s="394"/>
      <c r="J2281" s="392"/>
      <c r="K2281" s="392"/>
      <c r="L2281" s="392"/>
      <c r="M2281" s="392"/>
      <c r="N2281" s="392">
        <f t="shared" si="90"/>
        <v>181.01794235382113</v>
      </c>
    </row>
    <row r="2282" spans="1:14" hidden="1" outlineLevel="2" x14ac:dyDescent="0.35">
      <c r="A2282" s="388" t="s">
        <v>6174</v>
      </c>
      <c r="B2282" s="389">
        <v>44316</v>
      </c>
      <c r="C2282" s="390" t="s">
        <v>4539</v>
      </c>
      <c r="D2282" s="391" t="s">
        <v>4540</v>
      </c>
      <c r="E2282" s="391" t="s">
        <v>4272</v>
      </c>
      <c r="F2282" s="392">
        <v>48648.649000000005</v>
      </c>
      <c r="G2282" s="393" t="s">
        <v>3800</v>
      </c>
      <c r="H2282" s="394">
        <v>18.101794235382112</v>
      </c>
      <c r="I2282" s="394"/>
      <c r="J2282" s="392"/>
      <c r="K2282" s="392"/>
      <c r="L2282" s="392"/>
      <c r="M2282" s="392"/>
      <c r="N2282" s="392">
        <f t="shared" si="90"/>
        <v>18.101794235382112</v>
      </c>
    </row>
    <row r="2283" spans="1:14" hidden="1" outlineLevel="2" x14ac:dyDescent="0.35">
      <c r="A2283" s="388" t="s">
        <v>6174</v>
      </c>
      <c r="B2283" s="389">
        <v>44316</v>
      </c>
      <c r="C2283" s="390" t="s">
        <v>4541</v>
      </c>
      <c r="D2283" s="391" t="s">
        <v>4542</v>
      </c>
      <c r="E2283" s="391" t="s">
        <v>4042</v>
      </c>
      <c r="F2283" s="392">
        <v>4864.8648999999996</v>
      </c>
      <c r="G2283" s="393" t="s">
        <v>3800</v>
      </c>
      <c r="H2283" s="394">
        <v>1.8101794235382109</v>
      </c>
      <c r="I2283" s="394"/>
      <c r="J2283" s="392"/>
      <c r="K2283" s="392"/>
      <c r="L2283" s="392"/>
      <c r="M2283" s="392"/>
      <c r="N2283" s="392">
        <f t="shared" si="90"/>
        <v>1.8101794235382109</v>
      </c>
    </row>
    <row r="2284" spans="1:14" hidden="1" outlineLevel="2" x14ac:dyDescent="0.35">
      <c r="A2284" s="388" t="s">
        <v>6174</v>
      </c>
      <c r="B2284" s="389">
        <v>44316</v>
      </c>
      <c r="C2284" s="390" t="s">
        <v>4532</v>
      </c>
      <c r="D2284" s="391" t="s">
        <v>4538</v>
      </c>
      <c r="E2284" s="391" t="s">
        <v>6175</v>
      </c>
      <c r="F2284" s="392">
        <v>486486.49</v>
      </c>
      <c r="G2284" s="393" t="s">
        <v>3800</v>
      </c>
      <c r="H2284" s="394">
        <v>181.01794235382113</v>
      </c>
      <c r="I2284" s="394"/>
      <c r="J2284" s="392"/>
      <c r="K2284" s="392"/>
      <c r="L2284" s="392"/>
      <c r="M2284" s="392"/>
      <c r="N2284" s="392">
        <f t="shared" si="90"/>
        <v>181.01794235382113</v>
      </c>
    </row>
    <row r="2285" spans="1:14" hidden="1" outlineLevel="2" x14ac:dyDescent="0.35">
      <c r="A2285" s="388" t="s">
        <v>6174</v>
      </c>
      <c r="B2285" s="389">
        <v>44316</v>
      </c>
      <c r="C2285" s="390" t="s">
        <v>4534</v>
      </c>
      <c r="D2285" s="391" t="s">
        <v>4540</v>
      </c>
      <c r="E2285" s="391" t="s">
        <v>4272</v>
      </c>
      <c r="F2285" s="392">
        <v>48648.649000000005</v>
      </c>
      <c r="G2285" s="393" t="s">
        <v>3800</v>
      </c>
      <c r="H2285" s="394">
        <v>18.101794235382112</v>
      </c>
      <c r="I2285" s="394"/>
      <c r="J2285" s="392"/>
      <c r="K2285" s="392"/>
      <c r="L2285" s="392"/>
      <c r="M2285" s="392"/>
      <c r="N2285" s="392">
        <f t="shared" si="90"/>
        <v>18.101794235382112</v>
      </c>
    </row>
    <row r="2286" spans="1:14" hidden="1" outlineLevel="2" x14ac:dyDescent="0.35">
      <c r="A2286" s="388" t="s">
        <v>6174</v>
      </c>
      <c r="B2286" s="389">
        <v>44316</v>
      </c>
      <c r="C2286" s="390" t="s">
        <v>4536</v>
      </c>
      <c r="D2286" s="391" t="s">
        <v>4542</v>
      </c>
      <c r="E2286" s="391" t="s">
        <v>4042</v>
      </c>
      <c r="F2286" s="392">
        <v>4864.8648999999996</v>
      </c>
      <c r="G2286" s="393" t="s">
        <v>3800</v>
      </c>
      <c r="H2286" s="394">
        <v>1.8101794235382109</v>
      </c>
      <c r="I2286" s="394"/>
      <c r="J2286" s="392"/>
      <c r="K2286" s="392"/>
      <c r="L2286" s="392"/>
      <c r="M2286" s="392"/>
      <c r="N2286" s="392">
        <f t="shared" si="90"/>
        <v>1.8101794235382109</v>
      </c>
    </row>
    <row r="2287" spans="1:14" hidden="1" outlineLevel="2" x14ac:dyDescent="0.35">
      <c r="A2287" s="388" t="s">
        <v>6174</v>
      </c>
      <c r="B2287" s="389">
        <v>44343</v>
      </c>
      <c r="C2287" s="390" t="s">
        <v>4543</v>
      </c>
      <c r="D2287" s="391" t="s">
        <v>4544</v>
      </c>
      <c r="E2287" s="391" t="s">
        <v>6176</v>
      </c>
      <c r="F2287" s="392">
        <v>94158.68</v>
      </c>
      <c r="G2287" s="393" t="s">
        <v>3800</v>
      </c>
      <c r="H2287" s="394">
        <v>35.035732458576369</v>
      </c>
      <c r="I2287" s="394"/>
      <c r="J2287" s="392"/>
      <c r="K2287" s="392"/>
      <c r="L2287" s="392"/>
      <c r="M2287" s="392"/>
      <c r="N2287" s="392">
        <f t="shared" si="90"/>
        <v>35.035732458576369</v>
      </c>
    </row>
    <row r="2288" spans="1:14" hidden="1" outlineLevel="2" x14ac:dyDescent="0.35">
      <c r="A2288" s="388" t="s">
        <v>6174</v>
      </c>
      <c r="B2288" s="389">
        <v>44343</v>
      </c>
      <c r="C2288" s="390" t="s">
        <v>4545</v>
      </c>
      <c r="D2288" s="391" t="s">
        <v>4546</v>
      </c>
      <c r="E2288" s="391" t="s">
        <v>4272</v>
      </c>
      <c r="F2288" s="392">
        <v>9415.8700000000008</v>
      </c>
      <c r="G2288" s="393" t="s">
        <v>3800</v>
      </c>
      <c r="H2288" s="394">
        <v>3.503573990042506</v>
      </c>
      <c r="I2288" s="394"/>
      <c r="J2288" s="392"/>
      <c r="K2288" s="392"/>
      <c r="L2288" s="392"/>
      <c r="M2288" s="392"/>
      <c r="N2288" s="392">
        <f t="shared" si="90"/>
        <v>3.503573990042506</v>
      </c>
    </row>
    <row r="2289" spans="1:14" hidden="1" outlineLevel="2" x14ac:dyDescent="0.35">
      <c r="A2289" s="388" t="s">
        <v>6174</v>
      </c>
      <c r="B2289" s="389">
        <v>44343</v>
      </c>
      <c r="C2289" s="390" t="s">
        <v>4547</v>
      </c>
      <c r="D2289" s="391" t="s">
        <v>4548</v>
      </c>
      <c r="E2289" s="391" t="s">
        <v>4042</v>
      </c>
      <c r="F2289" s="392">
        <v>941.59</v>
      </c>
      <c r="G2289" s="393" t="s">
        <v>3800</v>
      </c>
      <c r="H2289" s="394">
        <v>0.35035851528155371</v>
      </c>
      <c r="I2289" s="394"/>
      <c r="J2289" s="392"/>
      <c r="K2289" s="392"/>
      <c r="L2289" s="392"/>
      <c r="M2289" s="392"/>
      <c r="N2289" s="392">
        <f t="shared" si="90"/>
        <v>0.35035851528155371</v>
      </c>
    </row>
    <row r="2290" spans="1:14" hidden="1" outlineLevel="2" x14ac:dyDescent="0.35">
      <c r="A2290" s="388" t="s">
        <v>6174</v>
      </c>
      <c r="B2290" s="389">
        <v>44343</v>
      </c>
      <c r="C2290" s="390" t="s">
        <v>4543</v>
      </c>
      <c r="D2290" s="391" t="s">
        <v>4544</v>
      </c>
      <c r="E2290" s="391" t="s">
        <v>6177</v>
      </c>
      <c r="F2290" s="392">
        <v>486486.49</v>
      </c>
      <c r="G2290" s="393" t="s">
        <v>3800</v>
      </c>
      <c r="H2290" s="394">
        <v>181.01794235382113</v>
      </c>
      <c r="I2290" s="394"/>
      <c r="J2290" s="392"/>
      <c r="K2290" s="392"/>
      <c r="L2290" s="392"/>
      <c r="M2290" s="392"/>
      <c r="N2290" s="392">
        <f t="shared" si="90"/>
        <v>181.01794235382113</v>
      </c>
    </row>
    <row r="2291" spans="1:14" hidden="1" outlineLevel="2" collapsed="1" x14ac:dyDescent="0.35">
      <c r="A2291" s="388" t="s">
        <v>6174</v>
      </c>
      <c r="B2291" s="389">
        <v>44343</v>
      </c>
      <c r="C2291" s="390" t="s">
        <v>4545</v>
      </c>
      <c r="D2291" s="391" t="s">
        <v>4546</v>
      </c>
      <c r="E2291" s="391" t="s">
        <v>4272</v>
      </c>
      <c r="F2291" s="392">
        <v>48648.649000000005</v>
      </c>
      <c r="G2291" s="393" t="s">
        <v>3800</v>
      </c>
      <c r="H2291" s="394">
        <v>18.101794235382112</v>
      </c>
      <c r="I2291" s="394"/>
      <c r="J2291" s="392"/>
      <c r="K2291" s="392"/>
      <c r="L2291" s="392"/>
      <c r="M2291" s="392"/>
      <c r="N2291" s="392">
        <f t="shared" si="90"/>
        <v>18.101794235382112</v>
      </c>
    </row>
    <row r="2292" spans="1:14" hidden="1" outlineLevel="2" x14ac:dyDescent="0.35">
      <c r="A2292" s="388" t="s">
        <v>6174</v>
      </c>
      <c r="B2292" s="389">
        <v>44343</v>
      </c>
      <c r="C2292" s="390" t="s">
        <v>4547</v>
      </c>
      <c r="D2292" s="391" t="s">
        <v>4548</v>
      </c>
      <c r="E2292" s="391" t="s">
        <v>4042</v>
      </c>
      <c r="F2292" s="392">
        <v>4864.8648999999996</v>
      </c>
      <c r="G2292" s="393" t="s">
        <v>3800</v>
      </c>
      <c r="H2292" s="394">
        <v>1.8101794235382109</v>
      </c>
      <c r="I2292" s="394"/>
      <c r="J2292" s="392"/>
      <c r="K2292" s="392"/>
      <c r="L2292" s="392"/>
      <c r="M2292" s="392"/>
      <c r="N2292" s="392">
        <f t="shared" si="90"/>
        <v>1.8101794235382109</v>
      </c>
    </row>
    <row r="2293" spans="1:14" hidden="1" outlineLevel="2" x14ac:dyDescent="0.35">
      <c r="A2293" s="388" t="s">
        <v>6174</v>
      </c>
      <c r="B2293" s="389">
        <v>44343</v>
      </c>
      <c r="C2293" s="390" t="s">
        <v>4543</v>
      </c>
      <c r="D2293" s="391" t="s">
        <v>4544</v>
      </c>
      <c r="E2293" s="391" t="s">
        <v>6178</v>
      </c>
      <c r="F2293" s="392">
        <v>298169.14</v>
      </c>
      <c r="G2293" s="393" t="s">
        <v>3800</v>
      </c>
      <c r="H2293" s="394">
        <v>110.94648115759273</v>
      </c>
      <c r="I2293" s="394"/>
      <c r="J2293" s="392"/>
      <c r="K2293" s="392"/>
      <c r="L2293" s="392"/>
      <c r="M2293" s="392"/>
      <c r="N2293" s="392">
        <f t="shared" si="90"/>
        <v>110.94648115759273</v>
      </c>
    </row>
    <row r="2294" spans="1:14" hidden="1" outlineLevel="2" x14ac:dyDescent="0.35">
      <c r="A2294" s="388" t="s">
        <v>6174</v>
      </c>
      <c r="B2294" s="389">
        <v>44343</v>
      </c>
      <c r="C2294" s="390" t="s">
        <v>4545</v>
      </c>
      <c r="D2294" s="391" t="s">
        <v>4546</v>
      </c>
      <c r="E2294" s="391" t="s">
        <v>4272</v>
      </c>
      <c r="F2294" s="392">
        <v>29816.91</v>
      </c>
      <c r="G2294" s="393" t="s">
        <v>3800</v>
      </c>
      <c r="H2294" s="394">
        <v>11.094646627389535</v>
      </c>
      <c r="I2294" s="394"/>
      <c r="J2294" s="392"/>
      <c r="K2294" s="392"/>
      <c r="L2294" s="392"/>
      <c r="M2294" s="392"/>
      <c r="N2294" s="392">
        <f t="shared" si="90"/>
        <v>11.094646627389535</v>
      </c>
    </row>
    <row r="2295" spans="1:14" hidden="1" outlineLevel="2" x14ac:dyDescent="0.35">
      <c r="A2295" s="388" t="s">
        <v>6174</v>
      </c>
      <c r="B2295" s="389">
        <v>44343</v>
      </c>
      <c r="C2295" s="390" t="s">
        <v>4547</v>
      </c>
      <c r="D2295" s="391" t="s">
        <v>4548</v>
      </c>
      <c r="E2295" s="391" t="s">
        <v>4042</v>
      </c>
      <c r="F2295" s="392">
        <v>2981.69</v>
      </c>
      <c r="G2295" s="393" t="s">
        <v>3800</v>
      </c>
      <c r="H2295" s="394">
        <v>1.1094642906465191</v>
      </c>
      <c r="I2295" s="394"/>
      <c r="J2295" s="392"/>
      <c r="K2295" s="392"/>
      <c r="L2295" s="392"/>
      <c r="M2295" s="392"/>
      <c r="N2295" s="392">
        <f t="shared" si="90"/>
        <v>1.1094642906465191</v>
      </c>
    </row>
    <row r="2296" spans="1:14" hidden="1" outlineLevel="2" x14ac:dyDescent="0.35">
      <c r="A2296" s="388" t="s">
        <v>6174</v>
      </c>
      <c r="B2296" s="389">
        <v>44343</v>
      </c>
      <c r="C2296" s="390" t="s">
        <v>4543</v>
      </c>
      <c r="D2296" s="391" t="s">
        <v>4544</v>
      </c>
      <c r="E2296" s="391" t="s">
        <v>6175</v>
      </c>
      <c r="F2296" s="392">
        <v>486486.49</v>
      </c>
      <c r="G2296" s="393" t="s">
        <v>3800</v>
      </c>
      <c r="H2296" s="394">
        <v>181.01794235382113</v>
      </c>
      <c r="I2296" s="394"/>
      <c r="J2296" s="392"/>
      <c r="K2296" s="392"/>
      <c r="L2296" s="392"/>
      <c r="M2296" s="392"/>
      <c r="N2296" s="392">
        <f t="shared" si="90"/>
        <v>181.01794235382113</v>
      </c>
    </row>
    <row r="2297" spans="1:14" hidden="1" outlineLevel="2" x14ac:dyDescent="0.35">
      <c r="A2297" s="388" t="s">
        <v>6174</v>
      </c>
      <c r="B2297" s="389">
        <v>44343</v>
      </c>
      <c r="C2297" s="390" t="s">
        <v>4545</v>
      </c>
      <c r="D2297" s="391" t="s">
        <v>4546</v>
      </c>
      <c r="E2297" s="391" t="s">
        <v>4272</v>
      </c>
      <c r="F2297" s="392">
        <v>48648.649000000005</v>
      </c>
      <c r="G2297" s="393" t="s">
        <v>3800</v>
      </c>
      <c r="H2297" s="394">
        <v>18.101794235382112</v>
      </c>
      <c r="I2297" s="394"/>
      <c r="J2297" s="392"/>
      <c r="K2297" s="392"/>
      <c r="L2297" s="392"/>
      <c r="M2297" s="392"/>
      <c r="N2297" s="392">
        <f t="shared" si="90"/>
        <v>18.101794235382112</v>
      </c>
    </row>
    <row r="2298" spans="1:14" hidden="1" outlineLevel="2" collapsed="1" x14ac:dyDescent="0.35">
      <c r="A2298" s="388" t="s">
        <v>6174</v>
      </c>
      <c r="B2298" s="389">
        <v>44343</v>
      </c>
      <c r="C2298" s="390" t="s">
        <v>4547</v>
      </c>
      <c r="D2298" s="391" t="s">
        <v>4548</v>
      </c>
      <c r="E2298" s="391" t="s">
        <v>4042</v>
      </c>
      <c r="F2298" s="392">
        <v>4864.8648999999996</v>
      </c>
      <c r="G2298" s="393" t="s">
        <v>3800</v>
      </c>
      <c r="H2298" s="394">
        <v>1.8101794235382109</v>
      </c>
      <c r="I2298" s="394"/>
      <c r="J2298" s="392"/>
      <c r="K2298" s="392"/>
      <c r="L2298" s="392"/>
      <c r="M2298" s="392"/>
      <c r="N2298" s="392">
        <f t="shared" si="90"/>
        <v>1.8101794235382109</v>
      </c>
    </row>
    <row r="2299" spans="1:14" hidden="1" outlineLevel="2" x14ac:dyDescent="0.35">
      <c r="A2299" s="388" t="s">
        <v>6174</v>
      </c>
      <c r="B2299" s="389">
        <v>44376</v>
      </c>
      <c r="C2299" s="390" t="s">
        <v>4549</v>
      </c>
      <c r="D2299" s="391" t="s">
        <v>4550</v>
      </c>
      <c r="E2299" s="391" t="s">
        <v>6177</v>
      </c>
      <c r="F2299" s="392">
        <v>486486.49</v>
      </c>
      <c r="G2299" s="393" t="s">
        <v>3800</v>
      </c>
      <c r="H2299" s="394">
        <v>181.01794235382113</v>
      </c>
      <c r="I2299" s="394"/>
      <c r="J2299" s="392"/>
      <c r="K2299" s="392"/>
      <c r="L2299" s="392"/>
      <c r="M2299" s="392"/>
      <c r="N2299" s="392">
        <f t="shared" si="90"/>
        <v>181.01794235382113</v>
      </c>
    </row>
    <row r="2300" spans="1:14" hidden="1" outlineLevel="2" x14ac:dyDescent="0.35">
      <c r="A2300" s="388" t="s">
        <v>6174</v>
      </c>
      <c r="B2300" s="389">
        <v>44376</v>
      </c>
      <c r="C2300" s="390" t="s">
        <v>4551</v>
      </c>
      <c r="D2300" s="391" t="s">
        <v>4552</v>
      </c>
      <c r="E2300" s="391" t="s">
        <v>4272</v>
      </c>
      <c r="F2300" s="392">
        <v>48648.649000000005</v>
      </c>
      <c r="G2300" s="393" t="s">
        <v>3800</v>
      </c>
      <c r="H2300" s="394">
        <v>18.101794235382112</v>
      </c>
      <c r="I2300" s="394"/>
      <c r="J2300" s="392"/>
      <c r="K2300" s="392"/>
      <c r="L2300" s="392"/>
      <c r="M2300" s="392"/>
      <c r="N2300" s="392">
        <f t="shared" si="90"/>
        <v>18.101794235382112</v>
      </c>
    </row>
    <row r="2301" spans="1:14" hidden="1" outlineLevel="2" x14ac:dyDescent="0.35">
      <c r="A2301" s="388" t="s">
        <v>6174</v>
      </c>
      <c r="B2301" s="389">
        <v>44376</v>
      </c>
      <c r="C2301" s="390" t="s">
        <v>4553</v>
      </c>
      <c r="D2301" s="391" t="s">
        <v>4554</v>
      </c>
      <c r="E2301" s="391" t="s">
        <v>4042</v>
      </c>
      <c r="F2301" s="392">
        <v>4864.8648999999996</v>
      </c>
      <c r="G2301" s="393" t="s">
        <v>3800</v>
      </c>
      <c r="H2301" s="394">
        <v>1.8101794235382109</v>
      </c>
      <c r="I2301" s="394"/>
      <c r="J2301" s="392"/>
      <c r="K2301" s="392"/>
      <c r="L2301" s="392"/>
      <c r="M2301" s="392"/>
      <c r="N2301" s="392">
        <f t="shared" si="90"/>
        <v>1.8101794235382109</v>
      </c>
    </row>
    <row r="2302" spans="1:14" hidden="1" outlineLevel="2" x14ac:dyDescent="0.35">
      <c r="A2302" s="388" t="s">
        <v>6174</v>
      </c>
      <c r="B2302" s="389">
        <v>44376</v>
      </c>
      <c r="C2302" s="390" t="s">
        <v>4549</v>
      </c>
      <c r="D2302" s="391" t="s">
        <v>4550</v>
      </c>
      <c r="E2302" s="391" t="s">
        <v>6178</v>
      </c>
      <c r="F2302" s="392">
        <v>486486.49</v>
      </c>
      <c r="G2302" s="393" t="s">
        <v>3800</v>
      </c>
      <c r="H2302" s="394">
        <v>181.01794235382113</v>
      </c>
      <c r="I2302" s="394"/>
      <c r="J2302" s="392"/>
      <c r="K2302" s="392"/>
      <c r="L2302" s="392"/>
      <c r="M2302" s="392"/>
      <c r="N2302" s="392">
        <f t="shared" si="90"/>
        <v>181.01794235382113</v>
      </c>
    </row>
    <row r="2303" spans="1:14" hidden="1" outlineLevel="2" x14ac:dyDescent="0.35">
      <c r="A2303" s="388" t="s">
        <v>6174</v>
      </c>
      <c r="B2303" s="389">
        <v>44376</v>
      </c>
      <c r="C2303" s="390" t="s">
        <v>4551</v>
      </c>
      <c r="D2303" s="391" t="s">
        <v>4552</v>
      </c>
      <c r="E2303" s="391" t="s">
        <v>4272</v>
      </c>
      <c r="F2303" s="392">
        <v>48648.649000000005</v>
      </c>
      <c r="G2303" s="393" t="s">
        <v>3800</v>
      </c>
      <c r="H2303" s="394">
        <v>18.101794235382112</v>
      </c>
      <c r="I2303" s="394"/>
      <c r="J2303" s="392"/>
      <c r="K2303" s="392"/>
      <c r="L2303" s="392"/>
      <c r="M2303" s="392"/>
      <c r="N2303" s="392">
        <f t="shared" si="90"/>
        <v>18.101794235382112</v>
      </c>
    </row>
    <row r="2304" spans="1:14" hidden="1" outlineLevel="2" x14ac:dyDescent="0.35">
      <c r="A2304" s="388" t="s">
        <v>6174</v>
      </c>
      <c r="B2304" s="389">
        <v>44376</v>
      </c>
      <c r="C2304" s="390" t="s">
        <v>4553</v>
      </c>
      <c r="D2304" s="391" t="s">
        <v>4554</v>
      </c>
      <c r="E2304" s="391" t="s">
        <v>4042</v>
      </c>
      <c r="F2304" s="392">
        <v>4864.8648999999996</v>
      </c>
      <c r="G2304" s="393" t="s">
        <v>3800</v>
      </c>
      <c r="H2304" s="394">
        <v>1.8101794235382109</v>
      </c>
      <c r="I2304" s="394"/>
      <c r="J2304" s="392"/>
      <c r="K2304" s="392"/>
      <c r="L2304" s="392"/>
      <c r="M2304" s="392"/>
      <c r="N2304" s="392">
        <f t="shared" si="90"/>
        <v>1.8101794235382109</v>
      </c>
    </row>
    <row r="2305" spans="1:14" hidden="1" outlineLevel="2" collapsed="1" x14ac:dyDescent="0.35">
      <c r="A2305" s="388" t="s">
        <v>6174</v>
      </c>
      <c r="B2305" s="389">
        <v>44376</v>
      </c>
      <c r="C2305" s="390" t="s">
        <v>4549</v>
      </c>
      <c r="D2305" s="391" t="s">
        <v>4550</v>
      </c>
      <c r="E2305" s="391" t="s">
        <v>6175</v>
      </c>
      <c r="F2305" s="392">
        <v>486486.49</v>
      </c>
      <c r="G2305" s="393" t="s">
        <v>3800</v>
      </c>
      <c r="H2305" s="394">
        <v>181.01794235382113</v>
      </c>
      <c r="I2305" s="394"/>
      <c r="J2305" s="392"/>
      <c r="K2305" s="392"/>
      <c r="L2305" s="392"/>
      <c r="M2305" s="392"/>
      <c r="N2305" s="392">
        <f t="shared" si="90"/>
        <v>181.01794235382113</v>
      </c>
    </row>
    <row r="2306" spans="1:14" hidden="1" outlineLevel="2" x14ac:dyDescent="0.35">
      <c r="A2306" s="388" t="s">
        <v>6174</v>
      </c>
      <c r="B2306" s="389">
        <v>44376</v>
      </c>
      <c r="C2306" s="390" t="s">
        <v>4551</v>
      </c>
      <c r="D2306" s="391" t="s">
        <v>4552</v>
      </c>
      <c r="E2306" s="391" t="s">
        <v>4272</v>
      </c>
      <c r="F2306" s="392">
        <v>48648.649000000005</v>
      </c>
      <c r="G2306" s="393" t="s">
        <v>3800</v>
      </c>
      <c r="H2306" s="394">
        <v>18.101794235382112</v>
      </c>
      <c r="I2306" s="394"/>
      <c r="J2306" s="392"/>
      <c r="K2306" s="392"/>
      <c r="L2306" s="392"/>
      <c r="M2306" s="392"/>
      <c r="N2306" s="392">
        <f t="shared" si="90"/>
        <v>18.101794235382112</v>
      </c>
    </row>
    <row r="2307" spans="1:14" hidden="1" outlineLevel="2" collapsed="1" x14ac:dyDescent="0.35">
      <c r="A2307" s="388" t="s">
        <v>6174</v>
      </c>
      <c r="B2307" s="389">
        <v>44376</v>
      </c>
      <c r="C2307" s="390" t="s">
        <v>4553</v>
      </c>
      <c r="D2307" s="391" t="s">
        <v>4554</v>
      </c>
      <c r="E2307" s="391" t="s">
        <v>4042</v>
      </c>
      <c r="F2307" s="392">
        <v>4864.8648999999996</v>
      </c>
      <c r="G2307" s="393" t="s">
        <v>3800</v>
      </c>
      <c r="H2307" s="394">
        <v>1.8101794235382109</v>
      </c>
      <c r="I2307" s="394"/>
      <c r="J2307" s="392"/>
      <c r="K2307" s="392"/>
      <c r="L2307" s="392"/>
      <c r="M2307" s="392"/>
      <c r="N2307" s="392">
        <f t="shared" si="90"/>
        <v>1.8101794235382109</v>
      </c>
    </row>
    <row r="2308" spans="1:14" hidden="1" outlineLevel="2" x14ac:dyDescent="0.35">
      <c r="A2308" s="388" t="s">
        <v>6174</v>
      </c>
      <c r="B2308" s="389">
        <v>44407</v>
      </c>
      <c r="C2308" s="390" t="s">
        <v>4555</v>
      </c>
      <c r="D2308" s="391" t="s">
        <v>4556</v>
      </c>
      <c r="E2308" s="391" t="s">
        <v>6177</v>
      </c>
      <c r="F2308" s="392">
        <v>486486.49</v>
      </c>
      <c r="G2308" s="393" t="s">
        <v>3800</v>
      </c>
      <c r="H2308" s="394">
        <v>181.01794235382113</v>
      </c>
      <c r="I2308" s="394"/>
      <c r="J2308" s="392"/>
      <c r="K2308" s="392"/>
      <c r="L2308" s="392"/>
      <c r="M2308" s="392"/>
      <c r="N2308" s="392">
        <f t="shared" si="90"/>
        <v>181.01794235382113</v>
      </c>
    </row>
    <row r="2309" spans="1:14" hidden="1" outlineLevel="2" x14ac:dyDescent="0.35">
      <c r="A2309" s="388" t="s">
        <v>6174</v>
      </c>
      <c r="B2309" s="389">
        <v>44407</v>
      </c>
      <c r="C2309" s="390" t="s">
        <v>4557</v>
      </c>
      <c r="D2309" s="391" t="s">
        <v>4558</v>
      </c>
      <c r="E2309" s="391" t="s">
        <v>4272</v>
      </c>
      <c r="F2309" s="392">
        <v>48648.649000000005</v>
      </c>
      <c r="G2309" s="393" t="s">
        <v>3800</v>
      </c>
      <c r="H2309" s="394">
        <v>18.101794235382112</v>
      </c>
      <c r="I2309" s="394"/>
      <c r="J2309" s="392"/>
      <c r="K2309" s="392"/>
      <c r="L2309" s="392"/>
      <c r="M2309" s="392"/>
      <c r="N2309" s="392">
        <f t="shared" si="90"/>
        <v>18.101794235382112</v>
      </c>
    </row>
    <row r="2310" spans="1:14" hidden="1" outlineLevel="2" x14ac:dyDescent="0.35">
      <c r="A2310" s="388" t="s">
        <v>6174</v>
      </c>
      <c r="B2310" s="389">
        <v>44407</v>
      </c>
      <c r="C2310" s="390" t="s">
        <v>4559</v>
      </c>
      <c r="D2310" s="391" t="s">
        <v>4560</v>
      </c>
      <c r="E2310" s="391" t="s">
        <v>4042</v>
      </c>
      <c r="F2310" s="392">
        <v>2918.91894</v>
      </c>
      <c r="G2310" s="393" t="s">
        <v>3800</v>
      </c>
      <c r="H2310" s="394">
        <v>1.0861076541229266</v>
      </c>
      <c r="I2310" s="394"/>
      <c r="J2310" s="392"/>
      <c r="K2310" s="392"/>
      <c r="L2310" s="392"/>
      <c r="M2310" s="392"/>
      <c r="N2310" s="392">
        <f t="shared" si="90"/>
        <v>1.0861076541229266</v>
      </c>
    </row>
    <row r="2311" spans="1:14" hidden="1" outlineLevel="2" x14ac:dyDescent="0.35">
      <c r="A2311" s="388" t="s">
        <v>6174</v>
      </c>
      <c r="B2311" s="389">
        <v>44407</v>
      </c>
      <c r="C2311" s="390" t="s">
        <v>4555</v>
      </c>
      <c r="D2311" s="391" t="s">
        <v>4556</v>
      </c>
      <c r="E2311" s="391" t="s">
        <v>6178</v>
      </c>
      <c r="F2311" s="392">
        <v>298169.14</v>
      </c>
      <c r="G2311" s="393" t="s">
        <v>3800</v>
      </c>
      <c r="H2311" s="394">
        <v>110.94648115759273</v>
      </c>
      <c r="I2311" s="394"/>
      <c r="J2311" s="392"/>
      <c r="K2311" s="392"/>
      <c r="L2311" s="392"/>
      <c r="M2311" s="392"/>
      <c r="N2311" s="392">
        <f t="shared" si="90"/>
        <v>110.94648115759273</v>
      </c>
    </row>
    <row r="2312" spans="1:14" hidden="1" outlineLevel="2" x14ac:dyDescent="0.35">
      <c r="A2312" s="388" t="s">
        <v>6174</v>
      </c>
      <c r="B2312" s="389">
        <v>44407</v>
      </c>
      <c r="C2312" s="390" t="s">
        <v>4557</v>
      </c>
      <c r="D2312" s="391" t="s">
        <v>4558</v>
      </c>
      <c r="E2312" s="391" t="s">
        <v>4272</v>
      </c>
      <c r="F2312" s="392">
        <v>29816.914000000004</v>
      </c>
      <c r="G2312" s="393" t="s">
        <v>3800</v>
      </c>
      <c r="H2312" s="394">
        <v>11.094648115759274</v>
      </c>
      <c r="I2312" s="394"/>
      <c r="J2312" s="392"/>
      <c r="K2312" s="392"/>
      <c r="L2312" s="392"/>
      <c r="M2312" s="392"/>
      <c r="N2312" s="392">
        <f t="shared" si="90"/>
        <v>11.094648115759274</v>
      </c>
    </row>
    <row r="2313" spans="1:14" hidden="1" outlineLevel="2" x14ac:dyDescent="0.35">
      <c r="A2313" s="388" t="s">
        <v>6174</v>
      </c>
      <c r="B2313" s="389">
        <v>44407</v>
      </c>
      <c r="C2313" s="390" t="s">
        <v>4559</v>
      </c>
      <c r="D2313" s="391" t="s">
        <v>4560</v>
      </c>
      <c r="E2313" s="391" t="s">
        <v>4042</v>
      </c>
      <c r="F2313" s="392">
        <v>1789.01484</v>
      </c>
      <c r="G2313" s="393" t="s">
        <v>3800</v>
      </c>
      <c r="H2313" s="394">
        <v>0.66567888694555633</v>
      </c>
      <c r="I2313" s="394"/>
      <c r="J2313" s="392"/>
      <c r="K2313" s="392"/>
      <c r="L2313" s="392"/>
      <c r="M2313" s="392"/>
      <c r="N2313" s="392">
        <f t="shared" si="90"/>
        <v>0.66567888694555633</v>
      </c>
    </row>
    <row r="2314" spans="1:14" hidden="1" outlineLevel="2" x14ac:dyDescent="0.35">
      <c r="A2314" s="388" t="s">
        <v>6174</v>
      </c>
      <c r="B2314" s="389">
        <v>44407</v>
      </c>
      <c r="C2314" s="390" t="s">
        <v>4555</v>
      </c>
      <c r="D2314" s="391" t="s">
        <v>4556</v>
      </c>
      <c r="E2314" s="391" t="s">
        <v>6175</v>
      </c>
      <c r="F2314" s="392">
        <v>486486.49</v>
      </c>
      <c r="G2314" s="393" t="s">
        <v>3800</v>
      </c>
      <c r="H2314" s="394">
        <v>181.01794235382113</v>
      </c>
      <c r="I2314" s="394"/>
      <c r="J2314" s="392"/>
      <c r="K2314" s="392"/>
      <c r="L2314" s="392"/>
      <c r="M2314" s="392"/>
      <c r="N2314" s="392">
        <f t="shared" si="90"/>
        <v>181.01794235382113</v>
      </c>
    </row>
    <row r="2315" spans="1:14" hidden="1" outlineLevel="2" collapsed="1" x14ac:dyDescent="0.35">
      <c r="A2315" s="388" t="s">
        <v>6174</v>
      </c>
      <c r="B2315" s="389">
        <v>44407</v>
      </c>
      <c r="C2315" s="390" t="s">
        <v>4557</v>
      </c>
      <c r="D2315" s="391" t="s">
        <v>4558</v>
      </c>
      <c r="E2315" s="391" t="s">
        <v>4272</v>
      </c>
      <c r="F2315" s="392">
        <v>48648.649000000005</v>
      </c>
      <c r="G2315" s="393" t="s">
        <v>3800</v>
      </c>
      <c r="H2315" s="394">
        <v>18.101794235382112</v>
      </c>
      <c r="I2315" s="394"/>
      <c r="J2315" s="392"/>
      <c r="K2315" s="392"/>
      <c r="L2315" s="392"/>
      <c r="M2315" s="392"/>
      <c r="N2315" s="392">
        <f t="shared" si="90"/>
        <v>18.101794235382112</v>
      </c>
    </row>
    <row r="2316" spans="1:14" hidden="1" outlineLevel="2" x14ac:dyDescent="0.35">
      <c r="A2316" s="388" t="s">
        <v>6174</v>
      </c>
      <c r="B2316" s="389">
        <v>44407</v>
      </c>
      <c r="C2316" s="390" t="s">
        <v>4559</v>
      </c>
      <c r="D2316" s="391" t="s">
        <v>4560</v>
      </c>
      <c r="E2316" s="391" t="s">
        <v>4042</v>
      </c>
      <c r="F2316" s="392">
        <v>2918.91894</v>
      </c>
      <c r="G2316" s="393" t="s">
        <v>3800</v>
      </c>
      <c r="H2316" s="394">
        <v>1.0861076541229266</v>
      </c>
      <c r="I2316" s="394"/>
      <c r="J2316" s="392"/>
      <c r="K2316" s="392"/>
      <c r="L2316" s="392"/>
      <c r="M2316" s="392"/>
      <c r="N2316" s="392">
        <f t="shared" si="90"/>
        <v>1.0861076541229266</v>
      </c>
    </row>
    <row r="2317" spans="1:14" hidden="1" outlineLevel="2" x14ac:dyDescent="0.35">
      <c r="A2317" s="388" t="s">
        <v>6174</v>
      </c>
      <c r="B2317" s="389">
        <v>44407</v>
      </c>
      <c r="C2317" s="390" t="s">
        <v>4555</v>
      </c>
      <c r="D2317" s="391" t="s">
        <v>4556</v>
      </c>
      <c r="E2317" s="391" t="s">
        <v>6179</v>
      </c>
      <c r="F2317" s="392">
        <v>243243.245</v>
      </c>
      <c r="G2317" s="393" t="s">
        <v>3800</v>
      </c>
      <c r="H2317" s="394">
        <v>90.508971176910563</v>
      </c>
      <c r="I2317" s="394"/>
      <c r="J2317" s="392"/>
      <c r="K2317" s="392"/>
      <c r="L2317" s="392"/>
      <c r="M2317" s="392"/>
      <c r="N2317" s="392">
        <f t="shared" si="90"/>
        <v>90.508971176910563</v>
      </c>
    </row>
    <row r="2318" spans="1:14" hidden="1" outlineLevel="2" x14ac:dyDescent="0.35">
      <c r="A2318" s="388" t="s">
        <v>6174</v>
      </c>
      <c r="B2318" s="389">
        <v>44407</v>
      </c>
      <c r="C2318" s="390" t="s">
        <v>4557</v>
      </c>
      <c r="D2318" s="391" t="s">
        <v>4558</v>
      </c>
      <c r="E2318" s="391" t="s">
        <v>4272</v>
      </c>
      <c r="F2318" s="392">
        <v>24324.324500000002</v>
      </c>
      <c r="G2318" s="393" t="s">
        <v>3800</v>
      </c>
      <c r="H2318" s="394">
        <v>9.050897117691056</v>
      </c>
      <c r="I2318" s="394"/>
      <c r="J2318" s="392"/>
      <c r="K2318" s="392"/>
      <c r="L2318" s="392"/>
      <c r="M2318" s="392"/>
      <c r="N2318" s="392">
        <f t="shared" si="90"/>
        <v>9.050897117691056</v>
      </c>
    </row>
    <row r="2319" spans="1:14" hidden="1" outlineLevel="2" x14ac:dyDescent="0.35">
      <c r="A2319" s="388" t="s">
        <v>6174</v>
      </c>
      <c r="B2319" s="389">
        <v>44407</v>
      </c>
      <c r="C2319" s="390" t="s">
        <v>4559</v>
      </c>
      <c r="D2319" s="391" t="s">
        <v>4560</v>
      </c>
      <c r="E2319" s="391" t="s">
        <v>4042</v>
      </c>
      <c r="F2319" s="392">
        <v>1459.45947</v>
      </c>
      <c r="G2319" s="393" t="s">
        <v>3800</v>
      </c>
      <c r="H2319" s="394">
        <v>0.54305382706146332</v>
      </c>
      <c r="I2319" s="394"/>
      <c r="J2319" s="392"/>
      <c r="K2319" s="392"/>
      <c r="L2319" s="392"/>
      <c r="M2319" s="392"/>
      <c r="N2319" s="392">
        <f t="shared" si="90"/>
        <v>0.54305382706146332</v>
      </c>
    </row>
    <row r="2320" spans="1:14" hidden="1" outlineLevel="2" x14ac:dyDescent="0.35">
      <c r="A2320" s="388" t="s">
        <v>6174</v>
      </c>
      <c r="B2320" s="389">
        <v>44438</v>
      </c>
      <c r="C2320" s="390" t="s">
        <v>4561</v>
      </c>
      <c r="D2320" s="391" t="s">
        <v>4562</v>
      </c>
      <c r="E2320" s="391" t="s">
        <v>6177</v>
      </c>
      <c r="F2320" s="392">
        <v>486486.49</v>
      </c>
      <c r="G2320" s="393" t="s">
        <v>3800</v>
      </c>
      <c r="H2320" s="394">
        <v>181.01794235382113</v>
      </c>
      <c r="I2320" s="394"/>
      <c r="J2320" s="392"/>
      <c r="K2320" s="392"/>
      <c r="L2320" s="392"/>
      <c r="M2320" s="392"/>
      <c r="N2320" s="392">
        <f t="shared" si="90"/>
        <v>181.01794235382113</v>
      </c>
    </row>
    <row r="2321" spans="1:14" hidden="1" outlineLevel="2" x14ac:dyDescent="0.35">
      <c r="A2321" s="388" t="s">
        <v>6174</v>
      </c>
      <c r="B2321" s="389">
        <v>44438</v>
      </c>
      <c r="C2321" s="390" t="s">
        <v>4564</v>
      </c>
      <c r="D2321" s="391" t="s">
        <v>4565</v>
      </c>
      <c r="E2321" s="391" t="s">
        <v>4272</v>
      </c>
      <c r="F2321" s="392">
        <v>48648.649000000005</v>
      </c>
      <c r="G2321" s="393" t="s">
        <v>3800</v>
      </c>
      <c r="H2321" s="394">
        <v>18.101794235382112</v>
      </c>
      <c r="I2321" s="394"/>
      <c r="J2321" s="392"/>
      <c r="K2321" s="392"/>
      <c r="L2321" s="392"/>
      <c r="M2321" s="392"/>
      <c r="N2321" s="392">
        <f t="shared" si="90"/>
        <v>18.101794235382112</v>
      </c>
    </row>
    <row r="2322" spans="1:14" hidden="1" outlineLevel="2" collapsed="1" x14ac:dyDescent="0.35">
      <c r="A2322" s="388" t="s">
        <v>6174</v>
      </c>
      <c r="B2322" s="389">
        <v>44438</v>
      </c>
      <c r="C2322" s="390" t="s">
        <v>4566</v>
      </c>
      <c r="D2322" s="391" t="s">
        <v>4567</v>
      </c>
      <c r="E2322" s="391" t="s">
        <v>4042</v>
      </c>
      <c r="F2322" s="392">
        <v>2918.91894</v>
      </c>
      <c r="G2322" s="393" t="s">
        <v>3800</v>
      </c>
      <c r="H2322" s="394">
        <v>1.0861076541229266</v>
      </c>
      <c r="I2322" s="394"/>
      <c r="J2322" s="392"/>
      <c r="K2322" s="392"/>
      <c r="L2322" s="392"/>
      <c r="M2322" s="392"/>
      <c r="N2322" s="392">
        <f t="shared" si="90"/>
        <v>1.0861076541229266</v>
      </c>
    </row>
    <row r="2323" spans="1:14" hidden="1" outlineLevel="2" x14ac:dyDescent="0.35">
      <c r="A2323" s="388" t="s">
        <v>6174</v>
      </c>
      <c r="B2323" s="389">
        <v>44438</v>
      </c>
      <c r="C2323" s="390" t="s">
        <v>4561</v>
      </c>
      <c r="D2323" s="391" t="s">
        <v>4562</v>
      </c>
      <c r="E2323" s="391" t="s">
        <v>6178</v>
      </c>
      <c r="F2323" s="392">
        <v>674803.84</v>
      </c>
      <c r="G2323" s="393" t="s">
        <v>3800</v>
      </c>
      <c r="H2323" s="394">
        <v>251.0894035500495</v>
      </c>
      <c r="I2323" s="394"/>
      <c r="J2323" s="392"/>
      <c r="K2323" s="392"/>
      <c r="L2323" s="392"/>
      <c r="M2323" s="392"/>
      <c r="N2323" s="392">
        <f t="shared" si="90"/>
        <v>251.0894035500495</v>
      </c>
    </row>
    <row r="2324" spans="1:14" hidden="1" outlineLevel="2" x14ac:dyDescent="0.35">
      <c r="A2324" s="388" t="s">
        <v>6174</v>
      </c>
      <c r="B2324" s="389">
        <v>44438</v>
      </c>
      <c r="C2324" s="390" t="s">
        <v>4564</v>
      </c>
      <c r="D2324" s="391" t="s">
        <v>4565</v>
      </c>
      <c r="E2324" s="391" t="s">
        <v>4272</v>
      </c>
      <c r="F2324" s="392">
        <v>67480.384000000005</v>
      </c>
      <c r="G2324" s="393" t="s">
        <v>3800</v>
      </c>
      <c r="H2324" s="394">
        <v>25.108940355004954</v>
      </c>
      <c r="I2324" s="394"/>
      <c r="J2324" s="392"/>
      <c r="K2324" s="392"/>
      <c r="L2324" s="392"/>
      <c r="M2324" s="392"/>
      <c r="N2324" s="392">
        <f t="shared" ref="N2324:N2379" si="91">H2324</f>
        <v>25.108940355004954</v>
      </c>
    </row>
    <row r="2325" spans="1:14" hidden="1" outlineLevel="2" x14ac:dyDescent="0.35">
      <c r="A2325" s="388" t="s">
        <v>6174</v>
      </c>
      <c r="B2325" s="389">
        <v>44438</v>
      </c>
      <c r="C2325" s="390" t="s">
        <v>4566</v>
      </c>
      <c r="D2325" s="391" t="s">
        <v>4567</v>
      </c>
      <c r="E2325" s="391" t="s">
        <v>4042</v>
      </c>
      <c r="F2325" s="392">
        <v>4048.8230399999998</v>
      </c>
      <c r="G2325" s="393" t="s">
        <v>3800</v>
      </c>
      <c r="H2325" s="394">
        <v>1.506536421300297</v>
      </c>
      <c r="I2325" s="394"/>
      <c r="J2325" s="392"/>
      <c r="K2325" s="392"/>
      <c r="L2325" s="392"/>
      <c r="M2325" s="392"/>
      <c r="N2325" s="392">
        <f t="shared" si="91"/>
        <v>1.506536421300297</v>
      </c>
    </row>
    <row r="2326" spans="1:14" hidden="1" outlineLevel="2" x14ac:dyDescent="0.35">
      <c r="A2326" s="388" t="s">
        <v>6174</v>
      </c>
      <c r="B2326" s="389">
        <v>44438</v>
      </c>
      <c r="C2326" s="390" t="s">
        <v>4561</v>
      </c>
      <c r="D2326" s="391" t="s">
        <v>4562</v>
      </c>
      <c r="E2326" s="391" t="s">
        <v>6175</v>
      </c>
      <c r="F2326" s="392">
        <v>486486.49</v>
      </c>
      <c r="G2326" s="393" t="s">
        <v>3800</v>
      </c>
      <c r="H2326" s="394">
        <v>181.01794235382113</v>
      </c>
      <c r="I2326" s="394"/>
      <c r="J2326" s="392"/>
      <c r="K2326" s="392"/>
      <c r="L2326" s="392"/>
      <c r="M2326" s="392"/>
      <c r="N2326" s="392">
        <f t="shared" si="91"/>
        <v>181.01794235382113</v>
      </c>
    </row>
    <row r="2327" spans="1:14" hidden="1" outlineLevel="2" x14ac:dyDescent="0.35">
      <c r="A2327" s="388" t="s">
        <v>6174</v>
      </c>
      <c r="B2327" s="389">
        <v>44438</v>
      </c>
      <c r="C2327" s="390" t="s">
        <v>4564</v>
      </c>
      <c r="D2327" s="391" t="s">
        <v>4565</v>
      </c>
      <c r="E2327" s="391" t="s">
        <v>4272</v>
      </c>
      <c r="F2327" s="392">
        <v>48648.649000000005</v>
      </c>
      <c r="G2327" s="393" t="s">
        <v>3800</v>
      </c>
      <c r="H2327" s="394">
        <v>18.101794235382112</v>
      </c>
      <c r="I2327" s="394"/>
      <c r="J2327" s="392"/>
      <c r="K2327" s="392"/>
      <c r="L2327" s="392"/>
      <c r="M2327" s="392"/>
      <c r="N2327" s="392">
        <f t="shared" si="91"/>
        <v>18.101794235382112</v>
      </c>
    </row>
    <row r="2328" spans="1:14" hidden="1" outlineLevel="2" x14ac:dyDescent="0.35">
      <c r="A2328" s="388" t="s">
        <v>6174</v>
      </c>
      <c r="B2328" s="389">
        <v>44438</v>
      </c>
      <c r="C2328" s="390" t="s">
        <v>4566</v>
      </c>
      <c r="D2328" s="391" t="s">
        <v>4567</v>
      </c>
      <c r="E2328" s="391" t="s">
        <v>4042</v>
      </c>
      <c r="F2328" s="392">
        <v>2918.91894</v>
      </c>
      <c r="G2328" s="393" t="s">
        <v>3800</v>
      </c>
      <c r="H2328" s="394">
        <v>1.0861076541229266</v>
      </c>
      <c r="I2328" s="394"/>
      <c r="J2328" s="392"/>
      <c r="K2328" s="392"/>
      <c r="L2328" s="392"/>
      <c r="M2328" s="392"/>
      <c r="N2328" s="392">
        <f t="shared" si="91"/>
        <v>1.0861076541229266</v>
      </c>
    </row>
    <row r="2329" spans="1:14" hidden="1" outlineLevel="2" x14ac:dyDescent="0.35">
      <c r="A2329" s="388" t="s">
        <v>6174</v>
      </c>
      <c r="B2329" s="389">
        <v>44438</v>
      </c>
      <c r="C2329" s="390" t="s">
        <v>4561</v>
      </c>
      <c r="D2329" s="391" t="s">
        <v>4562</v>
      </c>
      <c r="E2329" s="391" t="s">
        <v>6179</v>
      </c>
      <c r="F2329" s="392">
        <v>486486.49</v>
      </c>
      <c r="G2329" s="393" t="s">
        <v>3800</v>
      </c>
      <c r="H2329" s="394">
        <v>181.01794235382113</v>
      </c>
      <c r="I2329" s="394"/>
      <c r="J2329" s="392"/>
      <c r="K2329" s="392"/>
      <c r="L2329" s="392"/>
      <c r="M2329" s="392"/>
      <c r="N2329" s="392">
        <f t="shared" si="91"/>
        <v>181.01794235382113</v>
      </c>
    </row>
    <row r="2330" spans="1:14" hidden="1" outlineLevel="2" x14ac:dyDescent="0.35">
      <c r="A2330" s="388" t="s">
        <v>6174</v>
      </c>
      <c r="B2330" s="389">
        <v>44438</v>
      </c>
      <c r="C2330" s="390" t="s">
        <v>4564</v>
      </c>
      <c r="D2330" s="391" t="s">
        <v>4565</v>
      </c>
      <c r="E2330" s="391" t="s">
        <v>4272</v>
      </c>
      <c r="F2330" s="392">
        <v>48648.649000000005</v>
      </c>
      <c r="G2330" s="393" t="s">
        <v>3800</v>
      </c>
      <c r="H2330" s="394">
        <v>18.101794235382112</v>
      </c>
      <c r="I2330" s="394"/>
      <c r="J2330" s="392"/>
      <c r="K2330" s="392"/>
      <c r="L2330" s="392"/>
      <c r="M2330" s="392"/>
      <c r="N2330" s="392">
        <f t="shared" si="91"/>
        <v>18.101794235382112</v>
      </c>
    </row>
    <row r="2331" spans="1:14" hidden="1" outlineLevel="2" x14ac:dyDescent="0.35">
      <c r="A2331" s="388" t="s">
        <v>6174</v>
      </c>
      <c r="B2331" s="389">
        <v>44438</v>
      </c>
      <c r="C2331" s="390" t="s">
        <v>4566</v>
      </c>
      <c r="D2331" s="391" t="s">
        <v>4567</v>
      </c>
      <c r="E2331" s="391" t="s">
        <v>4042</v>
      </c>
      <c r="F2331" s="392">
        <v>2918.91894</v>
      </c>
      <c r="G2331" s="393" t="s">
        <v>3800</v>
      </c>
      <c r="H2331" s="394">
        <v>1.0861076541229266</v>
      </c>
      <c r="I2331" s="394"/>
      <c r="J2331" s="392"/>
      <c r="K2331" s="392"/>
      <c r="L2331" s="392"/>
      <c r="M2331" s="392"/>
      <c r="N2331" s="392">
        <f t="shared" si="91"/>
        <v>1.0861076541229266</v>
      </c>
    </row>
    <row r="2332" spans="1:14" hidden="1" outlineLevel="2" x14ac:dyDescent="0.35">
      <c r="A2332" s="388" t="s">
        <v>6174</v>
      </c>
      <c r="B2332" s="389">
        <v>44467</v>
      </c>
      <c r="C2332" s="390" t="s">
        <v>4568</v>
      </c>
      <c r="D2332" s="391" t="s">
        <v>4569</v>
      </c>
      <c r="E2332" s="391" t="s">
        <v>6177</v>
      </c>
      <c r="F2332" s="392">
        <v>486486.49</v>
      </c>
      <c r="G2332" s="393" t="s">
        <v>3800</v>
      </c>
      <c r="H2332" s="394">
        <v>181.01794235382113</v>
      </c>
      <c r="I2332" s="394"/>
      <c r="J2332" s="392"/>
      <c r="K2332" s="392"/>
      <c r="L2332" s="392"/>
      <c r="M2332" s="392"/>
      <c r="N2332" s="392">
        <f t="shared" si="91"/>
        <v>181.01794235382113</v>
      </c>
    </row>
    <row r="2333" spans="1:14" hidden="1" outlineLevel="2" x14ac:dyDescent="0.35">
      <c r="A2333" s="388" t="s">
        <v>6174</v>
      </c>
      <c r="B2333" s="389">
        <v>44467</v>
      </c>
      <c r="C2333" s="390" t="s">
        <v>4570</v>
      </c>
      <c r="D2333" s="391" t="s">
        <v>4602</v>
      </c>
      <c r="E2333" s="391" t="s">
        <v>4272</v>
      </c>
      <c r="F2333" s="392">
        <v>48648.649000000005</v>
      </c>
      <c r="G2333" s="393" t="s">
        <v>3800</v>
      </c>
      <c r="H2333" s="394">
        <v>18.101794235382112</v>
      </c>
      <c r="I2333" s="394"/>
      <c r="J2333" s="392"/>
      <c r="K2333" s="392"/>
      <c r="L2333" s="392"/>
      <c r="M2333" s="392"/>
      <c r="N2333" s="392">
        <f t="shared" si="91"/>
        <v>18.101794235382112</v>
      </c>
    </row>
    <row r="2334" spans="1:14" hidden="1" outlineLevel="2" x14ac:dyDescent="0.35">
      <c r="A2334" s="388" t="s">
        <v>6174</v>
      </c>
      <c r="B2334" s="389">
        <v>44467</v>
      </c>
      <c r="C2334" s="390" t="s">
        <v>4572</v>
      </c>
      <c r="D2334" s="391" t="s">
        <v>4603</v>
      </c>
      <c r="E2334" s="391" t="s">
        <v>4042</v>
      </c>
      <c r="F2334" s="392">
        <v>2918.91894</v>
      </c>
      <c r="G2334" s="393" t="s">
        <v>3800</v>
      </c>
      <c r="H2334" s="394">
        <v>1.0861076541229266</v>
      </c>
      <c r="I2334" s="394"/>
      <c r="J2334" s="392"/>
      <c r="K2334" s="392"/>
      <c r="L2334" s="392"/>
      <c r="M2334" s="392"/>
      <c r="N2334" s="392">
        <f t="shared" si="91"/>
        <v>1.0861076541229266</v>
      </c>
    </row>
    <row r="2335" spans="1:14" hidden="1" outlineLevel="2" x14ac:dyDescent="0.35">
      <c r="A2335" s="388" t="s">
        <v>6174</v>
      </c>
      <c r="B2335" s="389">
        <v>44467</v>
      </c>
      <c r="C2335" s="390" t="s">
        <v>4568</v>
      </c>
      <c r="D2335" s="391" t="s">
        <v>4569</v>
      </c>
      <c r="E2335" s="391" t="s">
        <v>6178</v>
      </c>
      <c r="F2335" s="392">
        <v>486486.49</v>
      </c>
      <c r="G2335" s="393" t="s">
        <v>3800</v>
      </c>
      <c r="H2335" s="394">
        <v>181.01794235382113</v>
      </c>
      <c r="I2335" s="394"/>
      <c r="J2335" s="392"/>
      <c r="K2335" s="392"/>
      <c r="L2335" s="392"/>
      <c r="M2335" s="392"/>
      <c r="N2335" s="392">
        <f t="shared" si="91"/>
        <v>181.01794235382113</v>
      </c>
    </row>
    <row r="2336" spans="1:14" hidden="1" outlineLevel="2" x14ac:dyDescent="0.35">
      <c r="A2336" s="388" t="s">
        <v>6174</v>
      </c>
      <c r="B2336" s="389">
        <v>44467</v>
      </c>
      <c r="C2336" s="390" t="s">
        <v>4570</v>
      </c>
      <c r="D2336" s="391" t="s">
        <v>4602</v>
      </c>
      <c r="E2336" s="391" t="s">
        <v>4272</v>
      </c>
      <c r="F2336" s="392">
        <v>48648.649000000005</v>
      </c>
      <c r="G2336" s="393" t="s">
        <v>3800</v>
      </c>
      <c r="H2336" s="394">
        <v>18.101794235382112</v>
      </c>
      <c r="I2336" s="394"/>
      <c r="J2336" s="392"/>
      <c r="K2336" s="392"/>
      <c r="L2336" s="392"/>
      <c r="M2336" s="392"/>
      <c r="N2336" s="392">
        <f t="shared" si="91"/>
        <v>18.101794235382112</v>
      </c>
    </row>
    <row r="2337" spans="1:14" hidden="1" outlineLevel="2" x14ac:dyDescent="0.35">
      <c r="A2337" s="388" t="s">
        <v>6174</v>
      </c>
      <c r="B2337" s="389">
        <v>44467</v>
      </c>
      <c r="C2337" s="390" t="s">
        <v>4572</v>
      </c>
      <c r="D2337" s="391" t="s">
        <v>4603</v>
      </c>
      <c r="E2337" s="391" t="s">
        <v>4042</v>
      </c>
      <c r="F2337" s="392">
        <v>2918.91894</v>
      </c>
      <c r="G2337" s="393" t="s">
        <v>3800</v>
      </c>
      <c r="H2337" s="394">
        <v>1.0861076541229266</v>
      </c>
      <c r="I2337" s="394"/>
      <c r="J2337" s="392"/>
      <c r="K2337" s="392"/>
      <c r="L2337" s="392"/>
      <c r="M2337" s="392"/>
      <c r="N2337" s="392">
        <f t="shared" si="91"/>
        <v>1.0861076541229266</v>
      </c>
    </row>
    <row r="2338" spans="1:14" hidden="1" outlineLevel="2" x14ac:dyDescent="0.35">
      <c r="A2338" s="388" t="s">
        <v>6174</v>
      </c>
      <c r="B2338" s="389">
        <v>44467</v>
      </c>
      <c r="C2338" s="390" t="s">
        <v>4568</v>
      </c>
      <c r="D2338" s="391" t="s">
        <v>4569</v>
      </c>
      <c r="E2338" s="391" t="s">
        <v>6175</v>
      </c>
      <c r="F2338" s="392">
        <v>486486.49</v>
      </c>
      <c r="G2338" s="393" t="s">
        <v>3800</v>
      </c>
      <c r="H2338" s="394">
        <v>181.01794235382113</v>
      </c>
      <c r="I2338" s="394"/>
      <c r="J2338" s="392"/>
      <c r="K2338" s="392"/>
      <c r="L2338" s="392"/>
      <c r="M2338" s="392"/>
      <c r="N2338" s="392">
        <f t="shared" si="91"/>
        <v>181.01794235382113</v>
      </c>
    </row>
    <row r="2339" spans="1:14" hidden="1" outlineLevel="2" x14ac:dyDescent="0.35">
      <c r="A2339" s="388" t="s">
        <v>6174</v>
      </c>
      <c r="B2339" s="389">
        <v>44467</v>
      </c>
      <c r="C2339" s="390" t="s">
        <v>4570</v>
      </c>
      <c r="D2339" s="391" t="s">
        <v>4602</v>
      </c>
      <c r="E2339" s="391" t="s">
        <v>4272</v>
      </c>
      <c r="F2339" s="392">
        <v>48648.649000000005</v>
      </c>
      <c r="G2339" s="393" t="s">
        <v>3800</v>
      </c>
      <c r="H2339" s="394">
        <v>18.101794235382112</v>
      </c>
      <c r="I2339" s="394"/>
      <c r="J2339" s="392"/>
      <c r="K2339" s="392"/>
      <c r="L2339" s="392"/>
      <c r="M2339" s="392"/>
      <c r="N2339" s="392">
        <f t="shared" si="91"/>
        <v>18.101794235382112</v>
      </c>
    </row>
    <row r="2340" spans="1:14" hidden="1" outlineLevel="2" x14ac:dyDescent="0.35">
      <c r="A2340" s="388" t="s">
        <v>6174</v>
      </c>
      <c r="B2340" s="389">
        <v>44467</v>
      </c>
      <c r="C2340" s="390" t="s">
        <v>4572</v>
      </c>
      <c r="D2340" s="391" t="s">
        <v>4603</v>
      </c>
      <c r="E2340" s="391" t="s">
        <v>4042</v>
      </c>
      <c r="F2340" s="392">
        <v>2918.91894</v>
      </c>
      <c r="G2340" s="393" t="s">
        <v>3800</v>
      </c>
      <c r="H2340" s="394">
        <v>1.0861076541229266</v>
      </c>
      <c r="I2340" s="394"/>
      <c r="J2340" s="392"/>
      <c r="K2340" s="392"/>
      <c r="L2340" s="392"/>
      <c r="M2340" s="392"/>
      <c r="N2340" s="392">
        <f t="shared" si="91"/>
        <v>1.0861076541229266</v>
      </c>
    </row>
    <row r="2341" spans="1:14" hidden="1" outlineLevel="2" x14ac:dyDescent="0.35">
      <c r="A2341" s="388" t="s">
        <v>6174</v>
      </c>
      <c r="B2341" s="389">
        <v>44467</v>
      </c>
      <c r="C2341" s="390" t="s">
        <v>4568</v>
      </c>
      <c r="D2341" s="391" t="s">
        <v>4569</v>
      </c>
      <c r="E2341" s="391" t="s">
        <v>6179</v>
      </c>
      <c r="F2341" s="392">
        <v>486486.49</v>
      </c>
      <c r="G2341" s="393" t="s">
        <v>3800</v>
      </c>
      <c r="H2341" s="394">
        <v>181.01794235382113</v>
      </c>
      <c r="I2341" s="394"/>
      <c r="J2341" s="392"/>
      <c r="K2341" s="392"/>
      <c r="L2341" s="392"/>
      <c r="M2341" s="392"/>
      <c r="N2341" s="392">
        <f t="shared" si="91"/>
        <v>181.01794235382113</v>
      </c>
    </row>
    <row r="2342" spans="1:14" hidden="1" outlineLevel="2" x14ac:dyDescent="0.35">
      <c r="A2342" s="388" t="s">
        <v>6174</v>
      </c>
      <c r="B2342" s="389">
        <v>44467</v>
      </c>
      <c r="C2342" s="390" t="s">
        <v>4570</v>
      </c>
      <c r="D2342" s="391" t="s">
        <v>4602</v>
      </c>
      <c r="E2342" s="391" t="s">
        <v>4272</v>
      </c>
      <c r="F2342" s="392">
        <v>48648.649000000005</v>
      </c>
      <c r="G2342" s="393" t="s">
        <v>3800</v>
      </c>
      <c r="H2342" s="394">
        <v>18.101794235382112</v>
      </c>
      <c r="I2342" s="394"/>
      <c r="J2342" s="392"/>
      <c r="K2342" s="392"/>
      <c r="L2342" s="392"/>
      <c r="M2342" s="392"/>
      <c r="N2342" s="392">
        <f t="shared" si="91"/>
        <v>18.101794235382112</v>
      </c>
    </row>
    <row r="2343" spans="1:14" hidden="1" outlineLevel="2" x14ac:dyDescent="0.35">
      <c r="A2343" s="388" t="s">
        <v>6174</v>
      </c>
      <c r="B2343" s="389">
        <v>44467</v>
      </c>
      <c r="C2343" s="390" t="s">
        <v>4572</v>
      </c>
      <c r="D2343" s="391" t="s">
        <v>4603</v>
      </c>
      <c r="E2343" s="391" t="s">
        <v>4042</v>
      </c>
      <c r="F2343" s="392">
        <v>2918.91894</v>
      </c>
      <c r="G2343" s="393" t="s">
        <v>3800</v>
      </c>
      <c r="H2343" s="394">
        <v>1.0861076541229266</v>
      </c>
      <c r="I2343" s="394"/>
      <c r="J2343" s="392"/>
      <c r="K2343" s="392"/>
      <c r="L2343" s="392"/>
      <c r="M2343" s="392"/>
      <c r="N2343" s="392">
        <f t="shared" si="91"/>
        <v>1.0861076541229266</v>
      </c>
    </row>
    <row r="2344" spans="1:14" hidden="1" outlineLevel="2" x14ac:dyDescent="0.35">
      <c r="A2344" s="388" t="s">
        <v>6174</v>
      </c>
      <c r="B2344" s="389">
        <v>44497</v>
      </c>
      <c r="C2344" s="390" t="s">
        <v>4574</v>
      </c>
      <c r="D2344" s="391" t="s">
        <v>4575</v>
      </c>
      <c r="E2344" s="391" t="s">
        <v>6177</v>
      </c>
      <c r="F2344" s="392">
        <v>486486.49</v>
      </c>
      <c r="G2344" s="393" t="s">
        <v>3800</v>
      </c>
      <c r="H2344" s="394">
        <v>181.01794235382113</v>
      </c>
      <c r="I2344" s="394"/>
      <c r="J2344" s="392"/>
      <c r="K2344" s="392"/>
      <c r="L2344" s="392"/>
      <c r="M2344" s="392"/>
      <c r="N2344" s="392">
        <f t="shared" si="91"/>
        <v>181.01794235382113</v>
      </c>
    </row>
    <row r="2345" spans="1:14" hidden="1" outlineLevel="2" x14ac:dyDescent="0.35">
      <c r="A2345" s="388" t="s">
        <v>6174</v>
      </c>
      <c r="B2345" s="389">
        <v>44497</v>
      </c>
      <c r="C2345" s="390" t="s">
        <v>4576</v>
      </c>
      <c r="D2345" s="391" t="s">
        <v>4604</v>
      </c>
      <c r="E2345" s="391" t="s">
        <v>4272</v>
      </c>
      <c r="F2345" s="392">
        <v>48648.649000000005</v>
      </c>
      <c r="G2345" s="393" t="s">
        <v>3800</v>
      </c>
      <c r="H2345" s="394">
        <v>18.101794235382112</v>
      </c>
      <c r="I2345" s="394"/>
      <c r="J2345" s="392"/>
      <c r="K2345" s="392"/>
      <c r="L2345" s="392"/>
      <c r="M2345" s="392"/>
      <c r="N2345" s="392">
        <f t="shared" si="91"/>
        <v>18.101794235382112</v>
      </c>
    </row>
    <row r="2346" spans="1:14" hidden="1" outlineLevel="2" x14ac:dyDescent="0.35">
      <c r="A2346" s="388" t="s">
        <v>6174</v>
      </c>
      <c r="B2346" s="389">
        <v>44497</v>
      </c>
      <c r="C2346" s="390" t="s">
        <v>4578</v>
      </c>
      <c r="D2346" s="391" t="s">
        <v>4605</v>
      </c>
      <c r="E2346" s="391" t="s">
        <v>4042</v>
      </c>
      <c r="F2346" s="392">
        <v>2918.91894</v>
      </c>
      <c r="G2346" s="393" t="s">
        <v>3800</v>
      </c>
      <c r="H2346" s="394">
        <v>1.0861076541229266</v>
      </c>
      <c r="I2346" s="394"/>
      <c r="J2346" s="392"/>
      <c r="K2346" s="392"/>
      <c r="L2346" s="392"/>
      <c r="M2346" s="392"/>
      <c r="N2346" s="392">
        <f t="shared" si="91"/>
        <v>1.0861076541229266</v>
      </c>
    </row>
    <row r="2347" spans="1:14" hidden="1" outlineLevel="2" x14ac:dyDescent="0.35">
      <c r="A2347" s="388" t="s">
        <v>6174</v>
      </c>
      <c r="B2347" s="389">
        <v>44497</v>
      </c>
      <c r="C2347" s="390" t="s">
        <v>4574</v>
      </c>
      <c r="D2347" s="391" t="s">
        <v>4575</v>
      </c>
      <c r="E2347" s="391" t="s">
        <v>6178</v>
      </c>
      <c r="F2347" s="392">
        <v>486486.49</v>
      </c>
      <c r="G2347" s="393" t="s">
        <v>3800</v>
      </c>
      <c r="H2347" s="394">
        <v>181.01794235382113</v>
      </c>
      <c r="I2347" s="394"/>
      <c r="J2347" s="392"/>
      <c r="K2347" s="392"/>
      <c r="L2347" s="392"/>
      <c r="M2347" s="392"/>
      <c r="N2347" s="392">
        <f t="shared" si="91"/>
        <v>181.01794235382113</v>
      </c>
    </row>
    <row r="2348" spans="1:14" hidden="1" outlineLevel="2" x14ac:dyDescent="0.35">
      <c r="A2348" s="388" t="s">
        <v>6174</v>
      </c>
      <c r="B2348" s="389">
        <v>44497</v>
      </c>
      <c r="C2348" s="390" t="s">
        <v>4576</v>
      </c>
      <c r="D2348" s="391" t="s">
        <v>4604</v>
      </c>
      <c r="E2348" s="391" t="s">
        <v>4272</v>
      </c>
      <c r="F2348" s="392">
        <v>48648.649000000005</v>
      </c>
      <c r="G2348" s="393" t="s">
        <v>3800</v>
      </c>
      <c r="H2348" s="394">
        <v>18.101794235382112</v>
      </c>
      <c r="I2348" s="394"/>
      <c r="J2348" s="392"/>
      <c r="K2348" s="392"/>
      <c r="L2348" s="392"/>
      <c r="M2348" s="392"/>
      <c r="N2348" s="392">
        <f t="shared" si="91"/>
        <v>18.101794235382112</v>
      </c>
    </row>
    <row r="2349" spans="1:14" hidden="1" outlineLevel="2" x14ac:dyDescent="0.35">
      <c r="A2349" s="388" t="s">
        <v>6174</v>
      </c>
      <c r="B2349" s="389">
        <v>44497</v>
      </c>
      <c r="C2349" s="390" t="s">
        <v>4578</v>
      </c>
      <c r="D2349" s="391" t="s">
        <v>4605</v>
      </c>
      <c r="E2349" s="391" t="s">
        <v>4042</v>
      </c>
      <c r="F2349" s="392">
        <v>2918.91894</v>
      </c>
      <c r="G2349" s="393" t="s">
        <v>3800</v>
      </c>
      <c r="H2349" s="394">
        <v>1.0861076541229266</v>
      </c>
      <c r="I2349" s="394"/>
      <c r="J2349" s="392"/>
      <c r="K2349" s="392"/>
      <c r="L2349" s="392"/>
      <c r="M2349" s="392"/>
      <c r="N2349" s="392">
        <f t="shared" si="91"/>
        <v>1.0861076541229266</v>
      </c>
    </row>
    <row r="2350" spans="1:14" hidden="1" outlineLevel="2" x14ac:dyDescent="0.35">
      <c r="A2350" s="388" t="s">
        <v>6174</v>
      </c>
      <c r="B2350" s="389">
        <v>44497</v>
      </c>
      <c r="C2350" s="390" t="s">
        <v>4574</v>
      </c>
      <c r="D2350" s="391" t="s">
        <v>4575</v>
      </c>
      <c r="E2350" s="391" t="s">
        <v>6175</v>
      </c>
      <c r="F2350" s="392">
        <v>486486.49</v>
      </c>
      <c r="G2350" s="393" t="s">
        <v>3800</v>
      </c>
      <c r="H2350" s="394">
        <v>181.01794235382113</v>
      </c>
      <c r="I2350" s="394"/>
      <c r="J2350" s="392"/>
      <c r="K2350" s="392"/>
      <c r="L2350" s="392"/>
      <c r="M2350" s="392"/>
      <c r="N2350" s="392">
        <f t="shared" si="91"/>
        <v>181.01794235382113</v>
      </c>
    </row>
    <row r="2351" spans="1:14" hidden="1" outlineLevel="2" x14ac:dyDescent="0.35">
      <c r="A2351" s="388" t="s">
        <v>6174</v>
      </c>
      <c r="B2351" s="389">
        <v>44497</v>
      </c>
      <c r="C2351" s="390" t="s">
        <v>4576</v>
      </c>
      <c r="D2351" s="391" t="s">
        <v>4604</v>
      </c>
      <c r="E2351" s="391" t="s">
        <v>4272</v>
      </c>
      <c r="F2351" s="392">
        <v>48648.649000000005</v>
      </c>
      <c r="G2351" s="393" t="s">
        <v>3800</v>
      </c>
      <c r="H2351" s="394">
        <v>18.101794235382112</v>
      </c>
      <c r="I2351" s="394"/>
      <c r="J2351" s="392"/>
      <c r="K2351" s="392"/>
      <c r="L2351" s="392"/>
      <c r="M2351" s="392"/>
      <c r="N2351" s="392">
        <f t="shared" si="91"/>
        <v>18.101794235382112</v>
      </c>
    </row>
    <row r="2352" spans="1:14" hidden="1" outlineLevel="2" x14ac:dyDescent="0.35">
      <c r="A2352" s="388" t="s">
        <v>6174</v>
      </c>
      <c r="B2352" s="389">
        <v>44497</v>
      </c>
      <c r="C2352" s="390" t="s">
        <v>4578</v>
      </c>
      <c r="D2352" s="391" t="s">
        <v>4605</v>
      </c>
      <c r="E2352" s="391" t="s">
        <v>4042</v>
      </c>
      <c r="F2352" s="392">
        <v>2918.91894</v>
      </c>
      <c r="G2352" s="393" t="s">
        <v>3800</v>
      </c>
      <c r="H2352" s="394">
        <v>1.0861076541229266</v>
      </c>
      <c r="I2352" s="394"/>
      <c r="J2352" s="392"/>
      <c r="K2352" s="392"/>
      <c r="L2352" s="392"/>
      <c r="M2352" s="392"/>
      <c r="N2352" s="392">
        <f t="shared" si="91"/>
        <v>1.0861076541229266</v>
      </c>
    </row>
    <row r="2353" spans="1:14" hidden="1" outlineLevel="2" x14ac:dyDescent="0.35">
      <c r="A2353" s="388" t="s">
        <v>6174</v>
      </c>
      <c r="B2353" s="389">
        <v>44497</v>
      </c>
      <c r="C2353" s="390" t="s">
        <v>4574</v>
      </c>
      <c r="D2353" s="391" t="s">
        <v>4575</v>
      </c>
      <c r="E2353" s="391" t="s">
        <v>6179</v>
      </c>
      <c r="F2353" s="392">
        <v>486486.49</v>
      </c>
      <c r="G2353" s="393" t="s">
        <v>3800</v>
      </c>
      <c r="H2353" s="394">
        <v>181.01794235382113</v>
      </c>
      <c r="I2353" s="394"/>
      <c r="J2353" s="392"/>
      <c r="K2353" s="392"/>
      <c r="L2353" s="392"/>
      <c r="M2353" s="392"/>
      <c r="N2353" s="392">
        <f t="shared" si="91"/>
        <v>181.01794235382113</v>
      </c>
    </row>
    <row r="2354" spans="1:14" hidden="1" outlineLevel="2" x14ac:dyDescent="0.35">
      <c r="A2354" s="388" t="s">
        <v>6174</v>
      </c>
      <c r="B2354" s="389">
        <v>44497</v>
      </c>
      <c r="C2354" s="390" t="s">
        <v>4576</v>
      </c>
      <c r="D2354" s="391" t="s">
        <v>4604</v>
      </c>
      <c r="E2354" s="391" t="s">
        <v>4272</v>
      </c>
      <c r="F2354" s="392">
        <v>48648.649000000005</v>
      </c>
      <c r="G2354" s="393" t="s">
        <v>3800</v>
      </c>
      <c r="H2354" s="394">
        <v>18.101794235382112</v>
      </c>
      <c r="I2354" s="394"/>
      <c r="J2354" s="392"/>
      <c r="K2354" s="392"/>
      <c r="L2354" s="392"/>
      <c r="M2354" s="392"/>
      <c r="N2354" s="392">
        <f t="shared" si="91"/>
        <v>18.101794235382112</v>
      </c>
    </row>
    <row r="2355" spans="1:14" hidden="1" outlineLevel="2" x14ac:dyDescent="0.35">
      <c r="A2355" s="388" t="s">
        <v>6174</v>
      </c>
      <c r="B2355" s="389">
        <v>44497</v>
      </c>
      <c r="C2355" s="390" t="s">
        <v>4578</v>
      </c>
      <c r="D2355" s="391" t="s">
        <v>4605</v>
      </c>
      <c r="E2355" s="391" t="s">
        <v>4042</v>
      </c>
      <c r="F2355" s="392">
        <v>2918.91894</v>
      </c>
      <c r="G2355" s="393" t="s">
        <v>3800</v>
      </c>
      <c r="H2355" s="394">
        <v>1.0861076541229266</v>
      </c>
      <c r="I2355" s="394"/>
      <c r="J2355" s="392"/>
      <c r="K2355" s="392"/>
      <c r="L2355" s="392"/>
      <c r="M2355" s="392"/>
      <c r="N2355" s="392">
        <f t="shared" si="91"/>
        <v>1.0861076541229266</v>
      </c>
    </row>
    <row r="2356" spans="1:14" hidden="1" outlineLevel="2" x14ac:dyDescent="0.35">
      <c r="A2356" s="388" t="s">
        <v>6174</v>
      </c>
      <c r="B2356" s="389">
        <v>44525</v>
      </c>
      <c r="C2356" s="390" t="s">
        <v>4580</v>
      </c>
      <c r="D2356" s="391" t="s">
        <v>4581</v>
      </c>
      <c r="E2356" s="391" t="s">
        <v>6177</v>
      </c>
      <c r="F2356" s="392">
        <v>486486.49</v>
      </c>
      <c r="G2356" s="393" t="s">
        <v>3800</v>
      </c>
      <c r="H2356" s="394">
        <v>181.01794235382113</v>
      </c>
      <c r="I2356" s="394"/>
      <c r="J2356" s="392"/>
      <c r="K2356" s="392"/>
      <c r="L2356" s="392"/>
      <c r="M2356" s="392"/>
      <c r="N2356" s="392">
        <f t="shared" si="91"/>
        <v>181.01794235382113</v>
      </c>
    </row>
    <row r="2357" spans="1:14" hidden="1" outlineLevel="2" x14ac:dyDescent="0.35">
      <c r="A2357" s="388" t="s">
        <v>6174</v>
      </c>
      <c r="B2357" s="389">
        <v>44525</v>
      </c>
      <c r="C2357" s="390" t="s">
        <v>4582</v>
      </c>
      <c r="D2357" s="391" t="s">
        <v>4583</v>
      </c>
      <c r="E2357" s="391" t="s">
        <v>4272</v>
      </c>
      <c r="F2357" s="392">
        <v>48648.649000000005</v>
      </c>
      <c r="G2357" s="393" t="s">
        <v>3800</v>
      </c>
      <c r="H2357" s="394">
        <v>18.101794235382112</v>
      </c>
      <c r="I2357" s="394"/>
      <c r="J2357" s="392"/>
      <c r="K2357" s="392"/>
      <c r="L2357" s="392"/>
      <c r="M2357" s="392"/>
      <c r="N2357" s="392">
        <f t="shared" si="91"/>
        <v>18.101794235382112</v>
      </c>
    </row>
    <row r="2358" spans="1:14" hidden="1" outlineLevel="2" x14ac:dyDescent="0.35">
      <c r="A2358" s="388" t="s">
        <v>6174</v>
      </c>
      <c r="B2358" s="389">
        <v>44525</v>
      </c>
      <c r="C2358" s="390" t="s">
        <v>4584</v>
      </c>
      <c r="D2358" s="391" t="s">
        <v>4585</v>
      </c>
      <c r="E2358" s="391" t="s">
        <v>4042</v>
      </c>
      <c r="F2358" s="392">
        <v>2918.91894</v>
      </c>
      <c r="G2358" s="393" t="s">
        <v>3800</v>
      </c>
      <c r="H2358" s="394">
        <v>1.0861076541229266</v>
      </c>
      <c r="I2358" s="394"/>
      <c r="J2358" s="392"/>
      <c r="K2358" s="392"/>
      <c r="L2358" s="392"/>
      <c r="M2358" s="392"/>
      <c r="N2358" s="392">
        <f t="shared" si="91"/>
        <v>1.0861076541229266</v>
      </c>
    </row>
    <row r="2359" spans="1:14" hidden="1" outlineLevel="2" x14ac:dyDescent="0.35">
      <c r="A2359" s="388" t="s">
        <v>6174</v>
      </c>
      <c r="B2359" s="389">
        <v>44525</v>
      </c>
      <c r="C2359" s="390" t="s">
        <v>4580</v>
      </c>
      <c r="D2359" s="391" t="s">
        <v>4581</v>
      </c>
      <c r="E2359" s="391" t="s">
        <v>6178</v>
      </c>
      <c r="F2359" s="392">
        <v>486486.49</v>
      </c>
      <c r="G2359" s="393" t="s">
        <v>3800</v>
      </c>
      <c r="H2359" s="394">
        <v>181.01794235382113</v>
      </c>
      <c r="I2359" s="394"/>
      <c r="J2359" s="392"/>
      <c r="K2359" s="392"/>
      <c r="L2359" s="392"/>
      <c r="M2359" s="392"/>
      <c r="N2359" s="392">
        <f t="shared" si="91"/>
        <v>181.01794235382113</v>
      </c>
    </row>
    <row r="2360" spans="1:14" hidden="1" outlineLevel="2" x14ac:dyDescent="0.35">
      <c r="A2360" s="388" t="s">
        <v>6174</v>
      </c>
      <c r="B2360" s="389">
        <v>44525</v>
      </c>
      <c r="C2360" s="390" t="s">
        <v>4582</v>
      </c>
      <c r="D2360" s="391" t="s">
        <v>4583</v>
      </c>
      <c r="E2360" s="391" t="s">
        <v>4272</v>
      </c>
      <c r="F2360" s="392">
        <v>48648.649000000005</v>
      </c>
      <c r="G2360" s="393" t="s">
        <v>3800</v>
      </c>
      <c r="H2360" s="394">
        <v>18.101794235382112</v>
      </c>
      <c r="I2360" s="394"/>
      <c r="J2360" s="392"/>
      <c r="K2360" s="392"/>
      <c r="L2360" s="392"/>
      <c r="M2360" s="392"/>
      <c r="N2360" s="392">
        <f t="shared" si="91"/>
        <v>18.101794235382112</v>
      </c>
    </row>
    <row r="2361" spans="1:14" hidden="1" outlineLevel="2" x14ac:dyDescent="0.35">
      <c r="A2361" s="388" t="s">
        <v>6174</v>
      </c>
      <c r="B2361" s="389">
        <v>44525</v>
      </c>
      <c r="C2361" s="390" t="s">
        <v>4584</v>
      </c>
      <c r="D2361" s="391" t="s">
        <v>4585</v>
      </c>
      <c r="E2361" s="391" t="s">
        <v>4042</v>
      </c>
      <c r="F2361" s="392">
        <v>2918.91894</v>
      </c>
      <c r="G2361" s="393" t="s">
        <v>3800</v>
      </c>
      <c r="H2361" s="394">
        <v>1.0861076541229266</v>
      </c>
      <c r="I2361" s="394"/>
      <c r="J2361" s="392"/>
      <c r="K2361" s="392"/>
      <c r="L2361" s="392"/>
      <c r="M2361" s="392"/>
      <c r="N2361" s="392">
        <f t="shared" si="91"/>
        <v>1.0861076541229266</v>
      </c>
    </row>
    <row r="2362" spans="1:14" hidden="1" outlineLevel="2" x14ac:dyDescent="0.35">
      <c r="A2362" s="388" t="s">
        <v>6174</v>
      </c>
      <c r="B2362" s="389">
        <v>44525</v>
      </c>
      <c r="C2362" s="390" t="s">
        <v>4580</v>
      </c>
      <c r="D2362" s="391" t="s">
        <v>4581</v>
      </c>
      <c r="E2362" s="391" t="s">
        <v>6175</v>
      </c>
      <c r="F2362" s="392">
        <v>486486.49</v>
      </c>
      <c r="G2362" s="393" t="s">
        <v>3800</v>
      </c>
      <c r="H2362" s="394">
        <v>181.01794235382113</v>
      </c>
      <c r="I2362" s="394"/>
      <c r="J2362" s="392"/>
      <c r="K2362" s="392"/>
      <c r="L2362" s="392"/>
      <c r="M2362" s="392"/>
      <c r="N2362" s="392">
        <f t="shared" si="91"/>
        <v>181.01794235382113</v>
      </c>
    </row>
    <row r="2363" spans="1:14" hidden="1" outlineLevel="2" collapsed="1" x14ac:dyDescent="0.35">
      <c r="A2363" s="388" t="s">
        <v>6174</v>
      </c>
      <c r="B2363" s="389">
        <v>44525</v>
      </c>
      <c r="C2363" s="390" t="s">
        <v>4582</v>
      </c>
      <c r="D2363" s="391" t="s">
        <v>4583</v>
      </c>
      <c r="E2363" s="391" t="s">
        <v>4272</v>
      </c>
      <c r="F2363" s="392">
        <v>48648.649000000005</v>
      </c>
      <c r="G2363" s="393" t="s">
        <v>3800</v>
      </c>
      <c r="H2363" s="394">
        <v>18.101794235382112</v>
      </c>
      <c r="I2363" s="394"/>
      <c r="J2363" s="392"/>
      <c r="K2363" s="392"/>
      <c r="L2363" s="392"/>
      <c r="M2363" s="392"/>
      <c r="N2363" s="392">
        <f t="shared" si="91"/>
        <v>18.101794235382112</v>
      </c>
    </row>
    <row r="2364" spans="1:14" hidden="1" outlineLevel="2" x14ac:dyDescent="0.35">
      <c r="A2364" s="388" t="s">
        <v>6174</v>
      </c>
      <c r="B2364" s="389">
        <v>44525</v>
      </c>
      <c r="C2364" s="390" t="s">
        <v>4584</v>
      </c>
      <c r="D2364" s="391" t="s">
        <v>4585</v>
      </c>
      <c r="E2364" s="391" t="s">
        <v>4042</v>
      </c>
      <c r="F2364" s="392">
        <v>2918.91894</v>
      </c>
      <c r="G2364" s="393" t="s">
        <v>3800</v>
      </c>
      <c r="H2364" s="394">
        <v>1.0861076541229266</v>
      </c>
      <c r="I2364" s="394"/>
      <c r="J2364" s="392"/>
      <c r="K2364" s="392"/>
      <c r="L2364" s="392"/>
      <c r="M2364" s="392"/>
      <c r="N2364" s="392">
        <f t="shared" si="91"/>
        <v>1.0861076541229266</v>
      </c>
    </row>
    <row r="2365" spans="1:14" hidden="1" outlineLevel="2" collapsed="1" x14ac:dyDescent="0.35">
      <c r="A2365" s="388" t="s">
        <v>6174</v>
      </c>
      <c r="B2365" s="389">
        <v>44525</v>
      </c>
      <c r="C2365" s="390" t="s">
        <v>4580</v>
      </c>
      <c r="D2365" s="391" t="s">
        <v>4581</v>
      </c>
      <c r="E2365" s="391" t="s">
        <v>6179</v>
      </c>
      <c r="F2365" s="392">
        <v>486486.49</v>
      </c>
      <c r="G2365" s="393" t="s">
        <v>3800</v>
      </c>
      <c r="H2365" s="394">
        <v>181.01794235382113</v>
      </c>
      <c r="I2365" s="394"/>
      <c r="J2365" s="392"/>
      <c r="K2365" s="392"/>
      <c r="L2365" s="392"/>
      <c r="M2365" s="392"/>
      <c r="N2365" s="392">
        <f t="shared" si="91"/>
        <v>181.01794235382113</v>
      </c>
    </row>
    <row r="2366" spans="1:14" hidden="1" outlineLevel="2" x14ac:dyDescent="0.35">
      <c r="A2366" s="388" t="s">
        <v>6174</v>
      </c>
      <c r="B2366" s="389">
        <v>44525</v>
      </c>
      <c r="C2366" s="390" t="s">
        <v>4582</v>
      </c>
      <c r="D2366" s="391" t="s">
        <v>4583</v>
      </c>
      <c r="E2366" s="391" t="s">
        <v>4272</v>
      </c>
      <c r="F2366" s="392">
        <v>48648.649000000005</v>
      </c>
      <c r="G2366" s="393" t="s">
        <v>3800</v>
      </c>
      <c r="H2366" s="394">
        <v>18.101794235382112</v>
      </c>
      <c r="I2366" s="394"/>
      <c r="J2366" s="392"/>
      <c r="K2366" s="392"/>
      <c r="L2366" s="392"/>
      <c r="M2366" s="392"/>
      <c r="N2366" s="392">
        <f t="shared" si="91"/>
        <v>18.101794235382112</v>
      </c>
    </row>
    <row r="2367" spans="1:14" hidden="1" outlineLevel="2" collapsed="1" x14ac:dyDescent="0.35">
      <c r="A2367" s="388" t="s">
        <v>6174</v>
      </c>
      <c r="B2367" s="389">
        <v>44525</v>
      </c>
      <c r="C2367" s="390" t="s">
        <v>4584</v>
      </c>
      <c r="D2367" s="391" t="s">
        <v>4585</v>
      </c>
      <c r="E2367" s="391" t="s">
        <v>4042</v>
      </c>
      <c r="F2367" s="392">
        <v>2918.91894</v>
      </c>
      <c r="G2367" s="393" t="s">
        <v>3800</v>
      </c>
      <c r="H2367" s="394">
        <v>1.0861076541229266</v>
      </c>
      <c r="I2367" s="394"/>
      <c r="J2367" s="392"/>
      <c r="K2367" s="392"/>
      <c r="L2367" s="392"/>
      <c r="M2367" s="392"/>
      <c r="N2367" s="392">
        <f t="shared" si="91"/>
        <v>1.0861076541229266</v>
      </c>
    </row>
    <row r="2368" spans="1:14" hidden="1" outlineLevel="2" x14ac:dyDescent="0.35">
      <c r="A2368" s="388" t="s">
        <v>6174</v>
      </c>
      <c r="B2368" s="389">
        <v>44547</v>
      </c>
      <c r="C2368" s="390" t="s">
        <v>4586</v>
      </c>
      <c r="D2368" s="391" t="s">
        <v>4587</v>
      </c>
      <c r="E2368" s="391" t="s">
        <v>6177</v>
      </c>
      <c r="F2368" s="392">
        <v>486486.49</v>
      </c>
      <c r="G2368" s="393" t="s">
        <v>3800</v>
      </c>
      <c r="H2368" s="394">
        <v>181.01794235382113</v>
      </c>
      <c r="I2368" s="394"/>
      <c r="J2368" s="392"/>
      <c r="K2368" s="392"/>
      <c r="L2368" s="392"/>
      <c r="M2368" s="392"/>
      <c r="N2368" s="392">
        <f t="shared" si="91"/>
        <v>181.01794235382113</v>
      </c>
    </row>
    <row r="2369" spans="1:14" hidden="1" outlineLevel="2" x14ac:dyDescent="0.35">
      <c r="A2369" s="388" t="s">
        <v>6174</v>
      </c>
      <c r="B2369" s="389">
        <v>44547</v>
      </c>
      <c r="C2369" s="390" t="s">
        <v>4588</v>
      </c>
      <c r="D2369" s="391" t="s">
        <v>4589</v>
      </c>
      <c r="E2369" s="391" t="s">
        <v>4272</v>
      </c>
      <c r="F2369" s="392">
        <v>48648.649000000005</v>
      </c>
      <c r="G2369" s="393" t="s">
        <v>3800</v>
      </c>
      <c r="H2369" s="394">
        <v>18.101794235382112</v>
      </c>
      <c r="I2369" s="394"/>
      <c r="J2369" s="392"/>
      <c r="K2369" s="392"/>
      <c r="L2369" s="392"/>
      <c r="M2369" s="392"/>
      <c r="N2369" s="392">
        <f t="shared" si="91"/>
        <v>18.101794235382112</v>
      </c>
    </row>
    <row r="2370" spans="1:14" hidden="1" outlineLevel="2" x14ac:dyDescent="0.35">
      <c r="A2370" s="388" t="s">
        <v>6174</v>
      </c>
      <c r="B2370" s="389">
        <v>44547</v>
      </c>
      <c r="C2370" s="390" t="s">
        <v>4590</v>
      </c>
      <c r="D2370" s="391" t="s">
        <v>4591</v>
      </c>
      <c r="E2370" s="391" t="s">
        <v>4042</v>
      </c>
      <c r="F2370" s="392">
        <v>2918.91894</v>
      </c>
      <c r="G2370" s="393" t="s">
        <v>3800</v>
      </c>
      <c r="H2370" s="394">
        <v>1.0861076541229266</v>
      </c>
      <c r="I2370" s="394"/>
      <c r="J2370" s="392"/>
      <c r="K2370" s="392"/>
      <c r="L2370" s="392"/>
      <c r="M2370" s="392"/>
      <c r="N2370" s="392">
        <f t="shared" si="91"/>
        <v>1.0861076541229266</v>
      </c>
    </row>
    <row r="2371" spans="1:14" hidden="1" outlineLevel="2" x14ac:dyDescent="0.35">
      <c r="A2371" s="388" t="s">
        <v>6174</v>
      </c>
      <c r="B2371" s="389">
        <v>44547</v>
      </c>
      <c r="C2371" s="390" t="s">
        <v>4586</v>
      </c>
      <c r="D2371" s="391" t="s">
        <v>4587</v>
      </c>
      <c r="E2371" s="391" t="s">
        <v>6178</v>
      </c>
      <c r="F2371" s="392">
        <v>486486.49</v>
      </c>
      <c r="G2371" s="393" t="s">
        <v>3800</v>
      </c>
      <c r="H2371" s="394">
        <v>181.01794235382113</v>
      </c>
      <c r="I2371" s="394"/>
      <c r="J2371" s="392"/>
      <c r="K2371" s="392"/>
      <c r="L2371" s="392"/>
      <c r="M2371" s="392"/>
      <c r="N2371" s="392">
        <f t="shared" si="91"/>
        <v>181.01794235382113</v>
      </c>
    </row>
    <row r="2372" spans="1:14" hidden="1" outlineLevel="2" x14ac:dyDescent="0.35">
      <c r="A2372" s="388" t="s">
        <v>6174</v>
      </c>
      <c r="B2372" s="389">
        <v>44547</v>
      </c>
      <c r="C2372" s="390" t="s">
        <v>4588</v>
      </c>
      <c r="D2372" s="391" t="s">
        <v>4589</v>
      </c>
      <c r="E2372" s="391" t="s">
        <v>4272</v>
      </c>
      <c r="F2372" s="392">
        <v>48648.649000000005</v>
      </c>
      <c r="G2372" s="393" t="s">
        <v>3800</v>
      </c>
      <c r="H2372" s="394">
        <v>18.101794235382112</v>
      </c>
      <c r="I2372" s="394"/>
      <c r="J2372" s="392"/>
      <c r="K2372" s="392"/>
      <c r="L2372" s="392"/>
      <c r="M2372" s="392"/>
      <c r="N2372" s="392">
        <f t="shared" si="91"/>
        <v>18.101794235382112</v>
      </c>
    </row>
    <row r="2373" spans="1:14" hidden="1" outlineLevel="2" x14ac:dyDescent="0.35">
      <c r="A2373" s="388" t="s">
        <v>6174</v>
      </c>
      <c r="B2373" s="389">
        <v>44547</v>
      </c>
      <c r="C2373" s="390" t="s">
        <v>4590</v>
      </c>
      <c r="D2373" s="391" t="s">
        <v>4591</v>
      </c>
      <c r="E2373" s="391" t="s">
        <v>4042</v>
      </c>
      <c r="F2373" s="392">
        <v>2918.91894</v>
      </c>
      <c r="G2373" s="393" t="s">
        <v>3800</v>
      </c>
      <c r="H2373" s="394">
        <v>1.0861076541229266</v>
      </c>
      <c r="I2373" s="394"/>
      <c r="J2373" s="392"/>
      <c r="K2373" s="392"/>
      <c r="L2373" s="392"/>
      <c r="M2373" s="392"/>
      <c r="N2373" s="392">
        <f t="shared" si="91"/>
        <v>1.0861076541229266</v>
      </c>
    </row>
    <row r="2374" spans="1:14" hidden="1" outlineLevel="2" x14ac:dyDescent="0.35">
      <c r="A2374" s="388" t="s">
        <v>6174</v>
      </c>
      <c r="B2374" s="389">
        <v>44547</v>
      </c>
      <c r="C2374" s="390" t="s">
        <v>4586</v>
      </c>
      <c r="D2374" s="391" t="s">
        <v>4587</v>
      </c>
      <c r="E2374" s="391" t="s">
        <v>6175</v>
      </c>
      <c r="F2374" s="392">
        <v>486486.49</v>
      </c>
      <c r="G2374" s="393" t="s">
        <v>3800</v>
      </c>
      <c r="H2374" s="394">
        <v>181.01794235382113</v>
      </c>
      <c r="I2374" s="394"/>
      <c r="J2374" s="392"/>
      <c r="K2374" s="392"/>
      <c r="L2374" s="392"/>
      <c r="M2374" s="392"/>
      <c r="N2374" s="392">
        <f t="shared" si="91"/>
        <v>181.01794235382113</v>
      </c>
    </row>
    <row r="2375" spans="1:14" hidden="1" outlineLevel="2" x14ac:dyDescent="0.35">
      <c r="A2375" s="388" t="s">
        <v>6174</v>
      </c>
      <c r="B2375" s="389">
        <v>44547</v>
      </c>
      <c r="C2375" s="390" t="s">
        <v>4588</v>
      </c>
      <c r="D2375" s="391" t="s">
        <v>4589</v>
      </c>
      <c r="E2375" s="391" t="s">
        <v>4272</v>
      </c>
      <c r="F2375" s="392">
        <v>48648.649000000005</v>
      </c>
      <c r="G2375" s="393" t="s">
        <v>3800</v>
      </c>
      <c r="H2375" s="394">
        <v>18.101794235382112</v>
      </c>
      <c r="I2375" s="394"/>
      <c r="J2375" s="392"/>
      <c r="K2375" s="392"/>
      <c r="L2375" s="392"/>
      <c r="M2375" s="392"/>
      <c r="N2375" s="392">
        <f t="shared" si="91"/>
        <v>18.101794235382112</v>
      </c>
    </row>
    <row r="2376" spans="1:14" hidden="1" outlineLevel="2" x14ac:dyDescent="0.35">
      <c r="A2376" s="388" t="s">
        <v>6174</v>
      </c>
      <c r="B2376" s="389">
        <v>44547</v>
      </c>
      <c r="C2376" s="390" t="s">
        <v>4590</v>
      </c>
      <c r="D2376" s="391" t="s">
        <v>4591</v>
      </c>
      <c r="E2376" s="391" t="s">
        <v>4042</v>
      </c>
      <c r="F2376" s="392">
        <v>2918.91894</v>
      </c>
      <c r="G2376" s="393" t="s">
        <v>3800</v>
      </c>
      <c r="H2376" s="394">
        <v>1.0861076541229266</v>
      </c>
      <c r="I2376" s="394"/>
      <c r="J2376" s="392"/>
      <c r="K2376" s="392"/>
      <c r="L2376" s="392"/>
      <c r="M2376" s="392"/>
      <c r="N2376" s="392">
        <f t="shared" si="91"/>
        <v>1.0861076541229266</v>
      </c>
    </row>
    <row r="2377" spans="1:14" hidden="1" outlineLevel="2" x14ac:dyDescent="0.35">
      <c r="A2377" s="388" t="s">
        <v>6174</v>
      </c>
      <c r="B2377" s="389">
        <v>44547</v>
      </c>
      <c r="C2377" s="390" t="s">
        <v>4586</v>
      </c>
      <c r="D2377" s="391" t="s">
        <v>4587</v>
      </c>
      <c r="E2377" s="391" t="s">
        <v>6179</v>
      </c>
      <c r="F2377" s="392">
        <v>486486.49</v>
      </c>
      <c r="G2377" s="393" t="s">
        <v>3800</v>
      </c>
      <c r="H2377" s="394">
        <v>181.01794235382113</v>
      </c>
      <c r="I2377" s="394"/>
      <c r="J2377" s="392"/>
      <c r="K2377" s="392"/>
      <c r="L2377" s="392"/>
      <c r="M2377" s="392"/>
      <c r="N2377" s="392">
        <f t="shared" si="91"/>
        <v>181.01794235382113</v>
      </c>
    </row>
    <row r="2378" spans="1:14" hidden="1" outlineLevel="2" x14ac:dyDescent="0.35">
      <c r="A2378" s="388" t="s">
        <v>6174</v>
      </c>
      <c r="B2378" s="389">
        <v>44547</v>
      </c>
      <c r="C2378" s="390" t="s">
        <v>4588</v>
      </c>
      <c r="D2378" s="391" t="s">
        <v>4589</v>
      </c>
      <c r="E2378" s="391" t="s">
        <v>4272</v>
      </c>
      <c r="F2378" s="392">
        <v>48648.649000000005</v>
      </c>
      <c r="G2378" s="393" t="s">
        <v>3800</v>
      </c>
      <c r="H2378" s="394">
        <v>18.101794235382112</v>
      </c>
      <c r="I2378" s="394"/>
      <c r="J2378" s="392"/>
      <c r="K2378" s="392"/>
      <c r="L2378" s="392"/>
      <c r="M2378" s="392"/>
      <c r="N2378" s="392">
        <f t="shared" si="91"/>
        <v>18.101794235382112</v>
      </c>
    </row>
    <row r="2379" spans="1:14" hidden="1" outlineLevel="2" collapsed="1" x14ac:dyDescent="0.35">
      <c r="A2379" s="388" t="s">
        <v>6174</v>
      </c>
      <c r="B2379" s="389">
        <v>44547</v>
      </c>
      <c r="C2379" s="390" t="s">
        <v>4590</v>
      </c>
      <c r="D2379" s="391" t="s">
        <v>4591</v>
      </c>
      <c r="E2379" s="391" t="s">
        <v>4042</v>
      </c>
      <c r="F2379" s="392">
        <v>2918.91894</v>
      </c>
      <c r="G2379" s="393" t="s">
        <v>3800</v>
      </c>
      <c r="H2379" s="394">
        <v>1.0861076541229266</v>
      </c>
      <c r="I2379" s="394"/>
      <c r="J2379" s="392"/>
      <c r="K2379" s="392"/>
      <c r="L2379" s="392"/>
      <c r="M2379" s="392"/>
      <c r="N2379" s="392">
        <f t="shared" si="91"/>
        <v>1.0861076541229266</v>
      </c>
    </row>
    <row r="2380" spans="1:14" hidden="1" outlineLevel="2" x14ac:dyDescent="0.35">
      <c r="A2380" s="388" t="s">
        <v>6174</v>
      </c>
      <c r="B2380" s="389">
        <v>44587</v>
      </c>
      <c r="C2380" s="390" t="s">
        <v>4592</v>
      </c>
      <c r="D2380" s="391" t="s">
        <v>4593</v>
      </c>
      <c r="E2380" s="391" t="s">
        <v>6177</v>
      </c>
      <c r="F2380" s="392">
        <v>486486.49</v>
      </c>
      <c r="G2380" s="393" t="s">
        <v>3800</v>
      </c>
      <c r="H2380" s="394">
        <v>181.01794235382113</v>
      </c>
      <c r="I2380" s="394"/>
      <c r="J2380" s="392"/>
      <c r="K2380" s="392"/>
      <c r="L2380" s="392"/>
      <c r="M2380" s="392"/>
      <c r="N2380" s="392">
        <v>181.01794235382113</v>
      </c>
    </row>
    <row r="2381" spans="1:14" hidden="1" outlineLevel="2" x14ac:dyDescent="0.35">
      <c r="A2381" s="388" t="s">
        <v>6174</v>
      </c>
      <c r="B2381" s="389">
        <v>44587</v>
      </c>
      <c r="C2381" s="390" t="s">
        <v>4594</v>
      </c>
      <c r="D2381" s="391" t="s">
        <v>4595</v>
      </c>
      <c r="E2381" s="391" t="s">
        <v>4272</v>
      </c>
      <c r="F2381" s="392">
        <v>48648.649000000005</v>
      </c>
      <c r="G2381" s="393" t="s">
        <v>3800</v>
      </c>
      <c r="H2381" s="394">
        <v>18.101794235382112</v>
      </c>
      <c r="I2381" s="394"/>
      <c r="J2381" s="392"/>
      <c r="K2381" s="392"/>
      <c r="L2381" s="392"/>
      <c r="M2381" s="392"/>
      <c r="N2381" s="392">
        <v>18.101794235382112</v>
      </c>
    </row>
    <row r="2382" spans="1:14" hidden="1" outlineLevel="2" collapsed="1" x14ac:dyDescent="0.35">
      <c r="A2382" s="388" t="s">
        <v>6174</v>
      </c>
      <c r="B2382" s="389">
        <v>44587</v>
      </c>
      <c r="C2382" s="390" t="s">
        <v>4596</v>
      </c>
      <c r="D2382" s="391" t="s">
        <v>4597</v>
      </c>
      <c r="E2382" s="391" t="s">
        <v>4042</v>
      </c>
      <c r="F2382" s="392">
        <v>2918.91894</v>
      </c>
      <c r="G2382" s="393" t="s">
        <v>3800</v>
      </c>
      <c r="H2382" s="394">
        <v>1.0861076541229266</v>
      </c>
      <c r="I2382" s="394"/>
      <c r="J2382" s="392"/>
      <c r="K2382" s="392"/>
      <c r="L2382" s="392"/>
      <c r="M2382" s="392"/>
      <c r="N2382" s="392">
        <v>1.0861076541229266</v>
      </c>
    </row>
    <row r="2383" spans="1:14" hidden="1" outlineLevel="2" x14ac:dyDescent="0.35">
      <c r="A2383" s="388" t="s">
        <v>6174</v>
      </c>
      <c r="B2383" s="389">
        <v>44587</v>
      </c>
      <c r="C2383" s="390" t="s">
        <v>4592</v>
      </c>
      <c r="D2383" s="391" t="s">
        <v>4593</v>
      </c>
      <c r="E2383" s="391" t="s">
        <v>6178</v>
      </c>
      <c r="F2383" s="392">
        <v>486486.49</v>
      </c>
      <c r="G2383" s="393" t="s">
        <v>3800</v>
      </c>
      <c r="H2383" s="394">
        <v>181.01794235382113</v>
      </c>
      <c r="I2383" s="394"/>
      <c r="J2383" s="392"/>
      <c r="K2383" s="392"/>
      <c r="L2383" s="392"/>
      <c r="M2383" s="392"/>
      <c r="N2383" s="392">
        <v>181.01794235382113</v>
      </c>
    </row>
    <row r="2384" spans="1:14" hidden="1" outlineLevel="2" x14ac:dyDescent="0.35">
      <c r="A2384" s="388" t="s">
        <v>6174</v>
      </c>
      <c r="B2384" s="389">
        <v>44587</v>
      </c>
      <c r="C2384" s="390" t="s">
        <v>4594</v>
      </c>
      <c r="D2384" s="391" t="s">
        <v>4595</v>
      </c>
      <c r="E2384" s="391" t="s">
        <v>4272</v>
      </c>
      <c r="F2384" s="392">
        <v>48648.649000000005</v>
      </c>
      <c r="G2384" s="393" t="s">
        <v>3800</v>
      </c>
      <c r="H2384" s="394">
        <v>18.101794235382112</v>
      </c>
      <c r="I2384" s="394"/>
      <c r="J2384" s="392"/>
      <c r="K2384" s="392"/>
      <c r="L2384" s="392"/>
      <c r="M2384" s="392"/>
      <c r="N2384" s="392">
        <v>18.101794235382112</v>
      </c>
    </row>
    <row r="2385" spans="1:14" hidden="1" outlineLevel="2" x14ac:dyDescent="0.35">
      <c r="A2385" s="388" t="s">
        <v>6174</v>
      </c>
      <c r="B2385" s="389">
        <v>44587</v>
      </c>
      <c r="C2385" s="390" t="s">
        <v>4596</v>
      </c>
      <c r="D2385" s="391" t="s">
        <v>4597</v>
      </c>
      <c r="E2385" s="391" t="s">
        <v>4042</v>
      </c>
      <c r="F2385" s="392">
        <v>2918.91894</v>
      </c>
      <c r="G2385" s="393" t="s">
        <v>3800</v>
      </c>
      <c r="H2385" s="394">
        <v>1.0861076541229266</v>
      </c>
      <c r="I2385" s="394"/>
      <c r="J2385" s="392"/>
      <c r="K2385" s="392"/>
      <c r="L2385" s="392"/>
      <c r="M2385" s="392"/>
      <c r="N2385" s="392">
        <v>1.0861076541229266</v>
      </c>
    </row>
    <row r="2386" spans="1:14" hidden="1" outlineLevel="2" x14ac:dyDescent="0.35">
      <c r="A2386" s="388" t="s">
        <v>6174</v>
      </c>
      <c r="B2386" s="389">
        <v>44587</v>
      </c>
      <c r="C2386" s="390" t="s">
        <v>4592</v>
      </c>
      <c r="D2386" s="391" t="s">
        <v>4593</v>
      </c>
      <c r="E2386" s="391" t="s">
        <v>6175</v>
      </c>
      <c r="F2386" s="392">
        <v>486486.49</v>
      </c>
      <c r="G2386" s="393" t="s">
        <v>3800</v>
      </c>
      <c r="H2386" s="394">
        <v>181.01794235382113</v>
      </c>
      <c r="I2386" s="394"/>
      <c r="J2386" s="392"/>
      <c r="K2386" s="392"/>
      <c r="L2386" s="392"/>
      <c r="M2386" s="392"/>
      <c r="N2386" s="392">
        <v>181.01794235382113</v>
      </c>
    </row>
    <row r="2387" spans="1:14" hidden="1" outlineLevel="2" x14ac:dyDescent="0.35">
      <c r="A2387" s="388" t="s">
        <v>6174</v>
      </c>
      <c r="B2387" s="389">
        <v>44587</v>
      </c>
      <c r="C2387" s="390" t="s">
        <v>4594</v>
      </c>
      <c r="D2387" s="391" t="s">
        <v>4595</v>
      </c>
      <c r="E2387" s="391" t="s">
        <v>4272</v>
      </c>
      <c r="F2387" s="392">
        <v>48648.649000000005</v>
      </c>
      <c r="G2387" s="393" t="s">
        <v>3800</v>
      </c>
      <c r="H2387" s="394">
        <v>18.101794235382112</v>
      </c>
      <c r="I2387" s="394"/>
      <c r="J2387" s="392"/>
      <c r="K2387" s="392"/>
      <c r="L2387" s="392"/>
      <c r="M2387" s="392"/>
      <c r="N2387" s="392">
        <v>18.101794235382112</v>
      </c>
    </row>
    <row r="2388" spans="1:14" hidden="1" outlineLevel="2" x14ac:dyDescent="0.35">
      <c r="A2388" s="388" t="s">
        <v>6174</v>
      </c>
      <c r="B2388" s="389">
        <v>44587</v>
      </c>
      <c r="C2388" s="390" t="s">
        <v>4596</v>
      </c>
      <c r="D2388" s="391" t="s">
        <v>4597</v>
      </c>
      <c r="E2388" s="391" t="s">
        <v>4042</v>
      </c>
      <c r="F2388" s="392">
        <v>2918.91894</v>
      </c>
      <c r="G2388" s="393" t="s">
        <v>3800</v>
      </c>
      <c r="H2388" s="394">
        <v>1.0861076541229266</v>
      </c>
      <c r="I2388" s="394"/>
      <c r="J2388" s="392"/>
      <c r="K2388" s="392"/>
      <c r="L2388" s="392"/>
      <c r="M2388" s="392"/>
      <c r="N2388" s="392">
        <v>1.0861076541229266</v>
      </c>
    </row>
    <row r="2389" spans="1:14" hidden="1" outlineLevel="2" x14ac:dyDescent="0.35">
      <c r="A2389" s="388" t="s">
        <v>6174</v>
      </c>
      <c r="B2389" s="389">
        <v>44587</v>
      </c>
      <c r="C2389" s="390" t="s">
        <v>4592</v>
      </c>
      <c r="D2389" s="391" t="s">
        <v>4593</v>
      </c>
      <c r="E2389" s="391" t="s">
        <v>6179</v>
      </c>
      <c r="F2389" s="392">
        <v>486486.49</v>
      </c>
      <c r="G2389" s="393" t="s">
        <v>3800</v>
      </c>
      <c r="H2389" s="394">
        <v>181.01794235382113</v>
      </c>
      <c r="I2389" s="394"/>
      <c r="J2389" s="392"/>
      <c r="K2389" s="392"/>
      <c r="L2389" s="392"/>
      <c r="M2389" s="392"/>
      <c r="N2389" s="392">
        <v>181.01794235382113</v>
      </c>
    </row>
    <row r="2390" spans="1:14" hidden="1" outlineLevel="2" x14ac:dyDescent="0.35">
      <c r="A2390" s="388" t="s">
        <v>6174</v>
      </c>
      <c r="B2390" s="389">
        <v>44587</v>
      </c>
      <c r="C2390" s="390" t="s">
        <v>4594</v>
      </c>
      <c r="D2390" s="391" t="s">
        <v>4595</v>
      </c>
      <c r="E2390" s="391" t="s">
        <v>4272</v>
      </c>
      <c r="F2390" s="392">
        <v>48648.649000000005</v>
      </c>
      <c r="G2390" s="393" t="s">
        <v>3800</v>
      </c>
      <c r="H2390" s="394">
        <v>18.101794235382112</v>
      </c>
      <c r="I2390" s="394"/>
      <c r="J2390" s="392"/>
      <c r="K2390" s="392"/>
      <c r="L2390" s="392"/>
      <c r="M2390" s="392"/>
      <c r="N2390" s="392">
        <v>18.101794235382112</v>
      </c>
    </row>
    <row r="2391" spans="1:14" hidden="1" outlineLevel="2" x14ac:dyDescent="0.35">
      <c r="A2391" s="388" t="s">
        <v>6174</v>
      </c>
      <c r="B2391" s="389">
        <v>44587</v>
      </c>
      <c r="C2391" s="390" t="s">
        <v>4596</v>
      </c>
      <c r="D2391" s="391" t="s">
        <v>4597</v>
      </c>
      <c r="E2391" s="391" t="s">
        <v>4042</v>
      </c>
      <c r="F2391" s="392">
        <v>2918.91894</v>
      </c>
      <c r="G2391" s="393" t="s">
        <v>3800</v>
      </c>
      <c r="H2391" s="394">
        <v>1.0861076541229266</v>
      </c>
      <c r="I2391" s="394"/>
      <c r="J2391" s="392"/>
      <c r="K2391" s="392"/>
      <c r="L2391" s="392"/>
      <c r="M2391" s="392"/>
      <c r="N2391" s="392">
        <v>1.0861076541229266</v>
      </c>
    </row>
    <row r="2392" spans="1:14" outlineLevel="1" collapsed="1" x14ac:dyDescent="0.35">
      <c r="A2392" s="395" t="s">
        <v>6180</v>
      </c>
      <c r="B2392" s="389"/>
      <c r="C2392" s="390"/>
      <c r="D2392" s="391"/>
      <c r="E2392" s="391"/>
      <c r="F2392" s="392"/>
      <c r="G2392" s="393"/>
      <c r="H2392" s="394">
        <f t="shared" ref="H2392:N2392" si="92">SUBTOTAL(9,H2260:H2391)</f>
        <v>8179.324930085606</v>
      </c>
      <c r="I2392" s="394"/>
      <c r="J2392" s="392">
        <f t="shared" si="92"/>
        <v>0</v>
      </c>
      <c r="K2392" s="392">
        <f t="shared" si="92"/>
        <v>0</v>
      </c>
      <c r="L2392" s="392">
        <f t="shared" si="92"/>
        <v>0</v>
      </c>
      <c r="M2392" s="392">
        <f t="shared" si="92"/>
        <v>0</v>
      </c>
      <c r="N2392" s="392">
        <f t="shared" si="92"/>
        <v>8179.324930085606</v>
      </c>
    </row>
    <row r="2393" spans="1:14" hidden="1" outlineLevel="2" x14ac:dyDescent="0.35">
      <c r="A2393" s="388" t="s">
        <v>6181</v>
      </c>
      <c r="B2393" s="389">
        <v>43833</v>
      </c>
      <c r="C2393" s="390" t="s">
        <v>4367</v>
      </c>
      <c r="D2393" s="391" t="s">
        <v>4368</v>
      </c>
      <c r="E2393" s="391" t="s">
        <v>6182</v>
      </c>
      <c r="F2393" s="392">
        <v>955000</v>
      </c>
      <c r="G2393" s="393" t="s">
        <v>3800</v>
      </c>
      <c r="H2393" s="394">
        <v>366.67852992599984</v>
      </c>
      <c r="I2393" s="394"/>
      <c r="J2393" s="392">
        <v>91.66963248149996</v>
      </c>
      <c r="K2393" s="392">
        <v>91.66963248149996</v>
      </c>
      <c r="L2393" s="392">
        <v>91.66963248149996</v>
      </c>
      <c r="M2393" s="392">
        <v>91.66963248149996</v>
      </c>
      <c r="N2393" s="392"/>
    </row>
    <row r="2394" spans="1:14" hidden="1" outlineLevel="2" x14ac:dyDescent="0.35">
      <c r="A2394" s="388" t="s">
        <v>6181</v>
      </c>
      <c r="B2394" s="389">
        <v>43833</v>
      </c>
      <c r="C2394" s="390" t="s">
        <v>4367</v>
      </c>
      <c r="D2394" s="391" t="s">
        <v>4370</v>
      </c>
      <c r="E2394" s="391" t="s">
        <v>6182</v>
      </c>
      <c r="F2394" s="392">
        <v>143250</v>
      </c>
      <c r="G2394" s="393" t="s">
        <v>3800</v>
      </c>
      <c r="H2394" s="394">
        <v>55.001779488899977</v>
      </c>
      <c r="I2394" s="394"/>
      <c r="J2394" s="392">
        <v>13.750444872224994</v>
      </c>
      <c r="K2394" s="392">
        <v>13.750444872224994</v>
      </c>
      <c r="L2394" s="392">
        <v>13.750444872224994</v>
      </c>
      <c r="M2394" s="392">
        <v>13.750444872224994</v>
      </c>
      <c r="N2394" s="392"/>
    </row>
    <row r="2395" spans="1:14" hidden="1" outlineLevel="2" x14ac:dyDescent="0.35">
      <c r="A2395" s="388" t="s">
        <v>6181</v>
      </c>
      <c r="B2395" s="389">
        <v>43833</v>
      </c>
      <c r="C2395" s="390" t="s">
        <v>4371</v>
      </c>
      <c r="D2395" s="391" t="s">
        <v>4372</v>
      </c>
      <c r="E2395" s="391" t="s">
        <v>6183</v>
      </c>
      <c r="F2395" s="392">
        <v>119375</v>
      </c>
      <c r="G2395" s="393" t="s">
        <v>3800</v>
      </c>
      <c r="H2395" s="394">
        <v>45.83481624074998</v>
      </c>
      <c r="I2395" s="394"/>
      <c r="J2395" s="392">
        <v>11.458704060187495</v>
      </c>
      <c r="K2395" s="392">
        <v>11.458704060187495</v>
      </c>
      <c r="L2395" s="392">
        <v>11.458704060187495</v>
      </c>
      <c r="M2395" s="392">
        <v>11.458704060187495</v>
      </c>
      <c r="N2395" s="392"/>
    </row>
    <row r="2396" spans="1:14" hidden="1" outlineLevel="2" x14ac:dyDescent="0.35">
      <c r="A2396" s="388" t="s">
        <v>6181</v>
      </c>
      <c r="B2396" s="389">
        <v>43833</v>
      </c>
      <c r="C2396" s="390" t="s">
        <v>4367</v>
      </c>
      <c r="D2396" s="391" t="s">
        <v>4373</v>
      </c>
      <c r="E2396" s="391" t="s">
        <v>6182</v>
      </c>
      <c r="F2396" s="392">
        <v>47750</v>
      </c>
      <c r="G2396" s="393" t="s">
        <v>3800</v>
      </c>
      <c r="H2396" s="394">
        <v>18.333926496299991</v>
      </c>
      <c r="I2396" s="394"/>
      <c r="J2396" s="392">
        <v>4.5834816240749978</v>
      </c>
      <c r="K2396" s="392">
        <v>4.5834816240749978</v>
      </c>
      <c r="L2396" s="392">
        <v>4.5834816240749978</v>
      </c>
      <c r="M2396" s="392">
        <v>4.5834816240749978</v>
      </c>
      <c r="N2396" s="392"/>
    </row>
    <row r="2397" spans="1:14" hidden="1" outlineLevel="2" x14ac:dyDescent="0.35">
      <c r="A2397" s="388" t="s">
        <v>6181</v>
      </c>
      <c r="B2397" s="389">
        <v>43833</v>
      </c>
      <c r="C2397" s="390" t="s">
        <v>4374</v>
      </c>
      <c r="D2397" s="391" t="s">
        <v>6130</v>
      </c>
      <c r="E2397" s="391" t="s">
        <v>4376</v>
      </c>
      <c r="F2397" s="392">
        <v>47750</v>
      </c>
      <c r="G2397" s="393" t="s">
        <v>3800</v>
      </c>
      <c r="H2397" s="394">
        <v>18.333926496299991</v>
      </c>
      <c r="I2397" s="394"/>
      <c r="J2397" s="392">
        <v>4.5834816240749978</v>
      </c>
      <c r="K2397" s="392">
        <v>4.5834816240749978</v>
      </c>
      <c r="L2397" s="392">
        <v>4.5834816240749978</v>
      </c>
      <c r="M2397" s="392">
        <v>4.5834816240749978</v>
      </c>
      <c r="N2397" s="392"/>
    </row>
    <row r="2398" spans="1:14" hidden="1" outlineLevel="2" x14ac:dyDescent="0.35">
      <c r="A2398" s="388" t="s">
        <v>6181</v>
      </c>
      <c r="B2398" s="389">
        <v>43833</v>
      </c>
      <c r="C2398" s="390" t="s">
        <v>4377</v>
      </c>
      <c r="D2398" s="391" t="s">
        <v>4378</v>
      </c>
      <c r="E2398" s="391" t="s">
        <v>4042</v>
      </c>
      <c r="F2398" s="392">
        <v>11937.5</v>
      </c>
      <c r="G2398" s="393" t="s">
        <v>3800</v>
      </c>
      <c r="H2398" s="394">
        <v>4.5834816240749978</v>
      </c>
      <c r="I2398" s="394"/>
      <c r="J2398" s="392">
        <v>1.1458704060187495</v>
      </c>
      <c r="K2398" s="392">
        <v>1.1458704060187495</v>
      </c>
      <c r="L2398" s="392">
        <v>1.1458704060187495</v>
      </c>
      <c r="M2398" s="392">
        <v>1.1458704060187495</v>
      </c>
      <c r="N2398" s="392"/>
    </row>
    <row r="2399" spans="1:14" hidden="1" outlineLevel="2" x14ac:dyDescent="0.35">
      <c r="A2399" s="388" t="s">
        <v>6181</v>
      </c>
      <c r="B2399" s="389">
        <v>43890</v>
      </c>
      <c r="C2399" s="390" t="s">
        <v>4379</v>
      </c>
      <c r="D2399" s="391" t="s">
        <v>4380</v>
      </c>
      <c r="E2399" s="391" t="s">
        <v>6182</v>
      </c>
      <c r="F2399" s="392">
        <v>955000</v>
      </c>
      <c r="G2399" s="393" t="s">
        <v>3800</v>
      </c>
      <c r="H2399" s="394">
        <v>366.67852992599984</v>
      </c>
      <c r="I2399" s="394"/>
      <c r="J2399" s="392">
        <v>91.66963248149996</v>
      </c>
      <c r="K2399" s="392">
        <v>91.66963248149996</v>
      </c>
      <c r="L2399" s="392">
        <v>91.66963248149996</v>
      </c>
      <c r="M2399" s="392">
        <v>91.66963248149996</v>
      </c>
      <c r="N2399" s="392"/>
    </row>
    <row r="2400" spans="1:14" hidden="1" outlineLevel="2" x14ac:dyDescent="0.35">
      <c r="A2400" s="388" t="s">
        <v>6181</v>
      </c>
      <c r="B2400" s="389">
        <v>43890</v>
      </c>
      <c r="C2400" s="390" t="s">
        <v>4379</v>
      </c>
      <c r="D2400" s="391" t="s">
        <v>4381</v>
      </c>
      <c r="E2400" s="391" t="s">
        <v>6182</v>
      </c>
      <c r="F2400" s="392">
        <v>143250</v>
      </c>
      <c r="G2400" s="393" t="s">
        <v>3800</v>
      </c>
      <c r="H2400" s="394">
        <v>55.001779488899977</v>
      </c>
      <c r="I2400" s="394"/>
      <c r="J2400" s="392">
        <v>13.750444872224994</v>
      </c>
      <c r="K2400" s="392">
        <v>13.750444872224994</v>
      </c>
      <c r="L2400" s="392">
        <v>13.750444872224994</v>
      </c>
      <c r="M2400" s="392">
        <v>13.750444872224994</v>
      </c>
      <c r="N2400" s="392"/>
    </row>
    <row r="2401" spans="1:14" hidden="1" outlineLevel="2" x14ac:dyDescent="0.35">
      <c r="A2401" s="388" t="s">
        <v>6181</v>
      </c>
      <c r="B2401" s="389">
        <v>43890</v>
      </c>
      <c r="C2401" s="390" t="s">
        <v>4382</v>
      </c>
      <c r="D2401" s="391" t="s">
        <v>4383</v>
      </c>
      <c r="E2401" s="391" t="s">
        <v>6183</v>
      </c>
      <c r="F2401" s="392">
        <v>119375</v>
      </c>
      <c r="G2401" s="393" t="s">
        <v>3800</v>
      </c>
      <c r="H2401" s="394">
        <v>45.83481624074998</v>
      </c>
      <c r="I2401" s="394"/>
      <c r="J2401" s="392">
        <v>11.458704060187495</v>
      </c>
      <c r="K2401" s="392">
        <v>11.458704060187495</v>
      </c>
      <c r="L2401" s="392">
        <v>11.458704060187495</v>
      </c>
      <c r="M2401" s="392">
        <v>11.458704060187495</v>
      </c>
      <c r="N2401" s="392"/>
    </row>
    <row r="2402" spans="1:14" hidden="1" outlineLevel="2" x14ac:dyDescent="0.35">
      <c r="A2402" s="388" t="s">
        <v>6181</v>
      </c>
      <c r="B2402" s="389">
        <v>43890</v>
      </c>
      <c r="C2402" s="390" t="s">
        <v>4379</v>
      </c>
      <c r="D2402" s="391" t="s">
        <v>4384</v>
      </c>
      <c r="E2402" s="391" t="s">
        <v>6182</v>
      </c>
      <c r="F2402" s="392">
        <v>47750</v>
      </c>
      <c r="G2402" s="393" t="s">
        <v>3800</v>
      </c>
      <c r="H2402" s="394">
        <v>18.333926496299991</v>
      </c>
      <c r="I2402" s="394"/>
      <c r="J2402" s="392">
        <v>4.5834816240749978</v>
      </c>
      <c r="K2402" s="392">
        <v>4.5834816240749978</v>
      </c>
      <c r="L2402" s="392">
        <v>4.5834816240749978</v>
      </c>
      <c r="M2402" s="392">
        <v>4.5834816240749978</v>
      </c>
      <c r="N2402" s="392"/>
    </row>
    <row r="2403" spans="1:14" hidden="1" outlineLevel="2" x14ac:dyDescent="0.35">
      <c r="A2403" s="388" t="s">
        <v>6181</v>
      </c>
      <c r="B2403" s="389">
        <v>43890</v>
      </c>
      <c r="C2403" s="390" t="s">
        <v>4385</v>
      </c>
      <c r="D2403" s="391" t="s">
        <v>4386</v>
      </c>
      <c r="E2403" s="391" t="s">
        <v>4376</v>
      </c>
      <c r="F2403" s="392">
        <v>47750</v>
      </c>
      <c r="G2403" s="393" t="s">
        <v>3800</v>
      </c>
      <c r="H2403" s="394">
        <v>18.333926496299991</v>
      </c>
      <c r="I2403" s="394"/>
      <c r="J2403" s="392">
        <v>4.5834816240749978</v>
      </c>
      <c r="K2403" s="392">
        <v>4.5834816240749978</v>
      </c>
      <c r="L2403" s="392">
        <v>4.5834816240749978</v>
      </c>
      <c r="M2403" s="392">
        <v>4.5834816240749978</v>
      </c>
      <c r="N2403" s="392"/>
    </row>
    <row r="2404" spans="1:14" hidden="1" outlineLevel="2" x14ac:dyDescent="0.35">
      <c r="A2404" s="388" t="s">
        <v>6181</v>
      </c>
      <c r="B2404" s="389">
        <v>43890</v>
      </c>
      <c r="C2404" s="390" t="s">
        <v>4387</v>
      </c>
      <c r="D2404" s="391" t="s">
        <v>4388</v>
      </c>
      <c r="E2404" s="391" t="s">
        <v>4042</v>
      </c>
      <c r="F2404" s="392">
        <v>11937.5</v>
      </c>
      <c r="G2404" s="393" t="s">
        <v>3800</v>
      </c>
      <c r="H2404" s="394">
        <v>4.5834816240749978</v>
      </c>
      <c r="I2404" s="394"/>
      <c r="J2404" s="392">
        <v>1.1458704060187495</v>
      </c>
      <c r="K2404" s="392">
        <v>1.1458704060187495</v>
      </c>
      <c r="L2404" s="392">
        <v>1.1458704060187495</v>
      </c>
      <c r="M2404" s="392">
        <v>1.1458704060187495</v>
      </c>
      <c r="N2404" s="392"/>
    </row>
    <row r="2405" spans="1:14" hidden="1" outlineLevel="2" x14ac:dyDescent="0.35">
      <c r="A2405" s="388" t="s">
        <v>6181</v>
      </c>
      <c r="B2405" s="389">
        <v>43833</v>
      </c>
      <c r="C2405" s="390" t="s">
        <v>4367</v>
      </c>
      <c r="D2405" s="391" t="s">
        <v>4368</v>
      </c>
      <c r="E2405" s="391" t="s">
        <v>6184</v>
      </c>
      <c r="F2405" s="392">
        <v>955000</v>
      </c>
      <c r="G2405" s="393" t="s">
        <v>3800</v>
      </c>
      <c r="H2405" s="394">
        <v>366.67852992599984</v>
      </c>
      <c r="I2405" s="394"/>
      <c r="J2405" s="392">
        <v>91.66963248149996</v>
      </c>
      <c r="K2405" s="392">
        <v>91.66963248149996</v>
      </c>
      <c r="L2405" s="392">
        <v>91.66963248149996</v>
      </c>
      <c r="M2405" s="392">
        <v>91.66963248149996</v>
      </c>
      <c r="N2405" s="392"/>
    </row>
    <row r="2406" spans="1:14" hidden="1" outlineLevel="2" x14ac:dyDescent="0.35">
      <c r="A2406" s="388" t="s">
        <v>6181</v>
      </c>
      <c r="B2406" s="389">
        <v>43833</v>
      </c>
      <c r="C2406" s="390" t="s">
        <v>4367</v>
      </c>
      <c r="D2406" s="391" t="s">
        <v>4370</v>
      </c>
      <c r="E2406" s="391" t="s">
        <v>6184</v>
      </c>
      <c r="F2406" s="392">
        <v>143250</v>
      </c>
      <c r="G2406" s="393" t="s">
        <v>3800</v>
      </c>
      <c r="H2406" s="394">
        <v>55.001779488899977</v>
      </c>
      <c r="I2406" s="394"/>
      <c r="J2406" s="392">
        <v>13.750444872224994</v>
      </c>
      <c r="K2406" s="392">
        <v>13.750444872224994</v>
      </c>
      <c r="L2406" s="392">
        <v>13.750444872224994</v>
      </c>
      <c r="M2406" s="392">
        <v>13.750444872224994</v>
      </c>
      <c r="N2406" s="392"/>
    </row>
    <row r="2407" spans="1:14" hidden="1" outlineLevel="2" x14ac:dyDescent="0.35">
      <c r="A2407" s="388" t="s">
        <v>6181</v>
      </c>
      <c r="B2407" s="389">
        <v>43833</v>
      </c>
      <c r="C2407" s="390" t="s">
        <v>4371</v>
      </c>
      <c r="D2407" s="391" t="s">
        <v>4372</v>
      </c>
      <c r="E2407" s="391" t="s">
        <v>4272</v>
      </c>
      <c r="F2407" s="392">
        <v>119375</v>
      </c>
      <c r="G2407" s="393" t="s">
        <v>3800</v>
      </c>
      <c r="H2407" s="394">
        <v>45.83481624074998</v>
      </c>
      <c r="I2407" s="394"/>
      <c r="J2407" s="392">
        <v>11.458704060187495</v>
      </c>
      <c r="K2407" s="392">
        <v>11.458704060187495</v>
      </c>
      <c r="L2407" s="392">
        <v>11.458704060187495</v>
      </c>
      <c r="M2407" s="392">
        <v>11.458704060187495</v>
      </c>
      <c r="N2407" s="392"/>
    </row>
    <row r="2408" spans="1:14" hidden="1" outlineLevel="2" x14ac:dyDescent="0.35">
      <c r="A2408" s="388" t="s">
        <v>6181</v>
      </c>
      <c r="B2408" s="389">
        <v>43833</v>
      </c>
      <c r="C2408" s="390" t="s">
        <v>4367</v>
      </c>
      <c r="D2408" s="391" t="s">
        <v>4373</v>
      </c>
      <c r="E2408" s="391" t="s">
        <v>6184</v>
      </c>
      <c r="F2408" s="392">
        <v>47750</v>
      </c>
      <c r="G2408" s="393" t="s">
        <v>3800</v>
      </c>
      <c r="H2408" s="394">
        <v>18.333926496299991</v>
      </c>
      <c r="I2408" s="394"/>
      <c r="J2408" s="392">
        <v>4.5834816240749978</v>
      </c>
      <c r="K2408" s="392">
        <v>4.5834816240749978</v>
      </c>
      <c r="L2408" s="392">
        <v>4.5834816240749978</v>
      </c>
      <c r="M2408" s="392">
        <v>4.5834816240749978</v>
      </c>
      <c r="N2408" s="392"/>
    </row>
    <row r="2409" spans="1:14" hidden="1" outlineLevel="2" x14ac:dyDescent="0.35">
      <c r="A2409" s="388" t="s">
        <v>6181</v>
      </c>
      <c r="B2409" s="389">
        <v>43833</v>
      </c>
      <c r="C2409" s="390" t="s">
        <v>4374</v>
      </c>
      <c r="D2409" s="391" t="s">
        <v>6130</v>
      </c>
      <c r="E2409" s="391" t="s">
        <v>4376</v>
      </c>
      <c r="F2409" s="392">
        <v>47750</v>
      </c>
      <c r="G2409" s="393" t="s">
        <v>3800</v>
      </c>
      <c r="H2409" s="394">
        <v>18.333926496299991</v>
      </c>
      <c r="I2409" s="394"/>
      <c r="J2409" s="392">
        <v>4.5834816240749978</v>
      </c>
      <c r="K2409" s="392">
        <v>4.5834816240749978</v>
      </c>
      <c r="L2409" s="392">
        <v>4.5834816240749978</v>
      </c>
      <c r="M2409" s="392">
        <v>4.5834816240749978</v>
      </c>
      <c r="N2409" s="392"/>
    </row>
    <row r="2410" spans="1:14" hidden="1" outlineLevel="2" x14ac:dyDescent="0.35">
      <c r="A2410" s="388" t="s">
        <v>6181</v>
      </c>
      <c r="B2410" s="389">
        <v>43833</v>
      </c>
      <c r="C2410" s="390" t="s">
        <v>4377</v>
      </c>
      <c r="D2410" s="391" t="s">
        <v>4378</v>
      </c>
      <c r="E2410" s="391" t="s">
        <v>4042</v>
      </c>
      <c r="F2410" s="392">
        <v>11937.5</v>
      </c>
      <c r="G2410" s="393" t="s">
        <v>3800</v>
      </c>
      <c r="H2410" s="394">
        <v>4.5834816240749978</v>
      </c>
      <c r="I2410" s="394"/>
      <c r="J2410" s="392">
        <v>1.1458704060187495</v>
      </c>
      <c r="K2410" s="392">
        <v>1.1458704060187495</v>
      </c>
      <c r="L2410" s="392">
        <v>1.1458704060187495</v>
      </c>
      <c r="M2410" s="392">
        <v>1.1458704060187495</v>
      </c>
      <c r="N2410" s="392"/>
    </row>
    <row r="2411" spans="1:14" hidden="1" outlineLevel="2" x14ac:dyDescent="0.35">
      <c r="A2411" s="388" t="s">
        <v>6181</v>
      </c>
      <c r="B2411" s="389">
        <v>43890</v>
      </c>
      <c r="C2411" s="390" t="s">
        <v>4379</v>
      </c>
      <c r="D2411" s="391" t="s">
        <v>4380</v>
      </c>
      <c r="E2411" s="391" t="s">
        <v>6184</v>
      </c>
      <c r="F2411" s="392">
        <v>955000</v>
      </c>
      <c r="G2411" s="393" t="s">
        <v>3800</v>
      </c>
      <c r="H2411" s="394">
        <v>366.67852992599984</v>
      </c>
      <c r="I2411" s="394"/>
      <c r="J2411" s="392">
        <v>91.66963248149996</v>
      </c>
      <c r="K2411" s="392">
        <v>91.66963248149996</v>
      </c>
      <c r="L2411" s="392">
        <v>91.66963248149996</v>
      </c>
      <c r="M2411" s="392">
        <v>91.66963248149996</v>
      </c>
      <c r="N2411" s="392"/>
    </row>
    <row r="2412" spans="1:14" hidden="1" outlineLevel="2" x14ac:dyDescent="0.35">
      <c r="A2412" s="388" t="s">
        <v>6181</v>
      </c>
      <c r="B2412" s="389">
        <v>43890</v>
      </c>
      <c r="C2412" s="390" t="s">
        <v>4379</v>
      </c>
      <c r="D2412" s="391" t="s">
        <v>4381</v>
      </c>
      <c r="E2412" s="391" t="s">
        <v>6184</v>
      </c>
      <c r="F2412" s="392">
        <v>143250</v>
      </c>
      <c r="G2412" s="393" t="s">
        <v>3800</v>
      </c>
      <c r="H2412" s="394">
        <v>55.001779488899977</v>
      </c>
      <c r="I2412" s="394"/>
      <c r="J2412" s="392">
        <v>13.750444872224994</v>
      </c>
      <c r="K2412" s="392">
        <v>13.750444872224994</v>
      </c>
      <c r="L2412" s="392">
        <v>13.750444872224994</v>
      </c>
      <c r="M2412" s="392">
        <v>13.750444872224994</v>
      </c>
      <c r="N2412" s="392"/>
    </row>
    <row r="2413" spans="1:14" hidden="1" outlineLevel="2" x14ac:dyDescent="0.35">
      <c r="A2413" s="388" t="s">
        <v>6181</v>
      </c>
      <c r="B2413" s="389">
        <v>43890</v>
      </c>
      <c r="C2413" s="390" t="s">
        <v>4382</v>
      </c>
      <c r="D2413" s="391" t="s">
        <v>4383</v>
      </c>
      <c r="E2413" s="391" t="s">
        <v>4272</v>
      </c>
      <c r="F2413" s="392">
        <v>119375</v>
      </c>
      <c r="G2413" s="393" t="s">
        <v>3800</v>
      </c>
      <c r="H2413" s="394">
        <v>45.83481624074998</v>
      </c>
      <c r="I2413" s="394"/>
      <c r="J2413" s="392">
        <v>11.458704060187495</v>
      </c>
      <c r="K2413" s="392">
        <v>11.458704060187495</v>
      </c>
      <c r="L2413" s="392">
        <v>11.458704060187495</v>
      </c>
      <c r="M2413" s="392">
        <v>11.458704060187495</v>
      </c>
      <c r="N2413" s="392"/>
    </row>
    <row r="2414" spans="1:14" hidden="1" outlineLevel="2" x14ac:dyDescent="0.35">
      <c r="A2414" s="388" t="s">
        <v>6181</v>
      </c>
      <c r="B2414" s="389">
        <v>43890</v>
      </c>
      <c r="C2414" s="390" t="s">
        <v>4379</v>
      </c>
      <c r="D2414" s="391" t="s">
        <v>4384</v>
      </c>
      <c r="E2414" s="391" t="s">
        <v>6184</v>
      </c>
      <c r="F2414" s="392">
        <v>47750</v>
      </c>
      <c r="G2414" s="393" t="s">
        <v>3800</v>
      </c>
      <c r="H2414" s="394">
        <v>18.333926496299991</v>
      </c>
      <c r="I2414" s="394"/>
      <c r="J2414" s="392">
        <v>4.5834816240749978</v>
      </c>
      <c r="K2414" s="392">
        <v>4.5834816240749978</v>
      </c>
      <c r="L2414" s="392">
        <v>4.5834816240749978</v>
      </c>
      <c r="M2414" s="392">
        <v>4.5834816240749978</v>
      </c>
      <c r="N2414" s="392"/>
    </row>
    <row r="2415" spans="1:14" hidden="1" outlineLevel="2" x14ac:dyDescent="0.35">
      <c r="A2415" s="388" t="s">
        <v>6181</v>
      </c>
      <c r="B2415" s="389">
        <v>43890</v>
      </c>
      <c r="C2415" s="390" t="s">
        <v>4385</v>
      </c>
      <c r="D2415" s="391" t="s">
        <v>4386</v>
      </c>
      <c r="E2415" s="391" t="s">
        <v>4376</v>
      </c>
      <c r="F2415" s="392">
        <v>47750</v>
      </c>
      <c r="G2415" s="393" t="s">
        <v>3800</v>
      </c>
      <c r="H2415" s="394">
        <v>18.333926496299991</v>
      </c>
      <c r="I2415" s="394"/>
      <c r="J2415" s="392">
        <v>4.5834816240749978</v>
      </c>
      <c r="K2415" s="392">
        <v>4.5834816240749978</v>
      </c>
      <c r="L2415" s="392">
        <v>4.5834816240749978</v>
      </c>
      <c r="M2415" s="392">
        <v>4.5834816240749978</v>
      </c>
      <c r="N2415" s="392"/>
    </row>
    <row r="2416" spans="1:14" hidden="1" outlineLevel="2" x14ac:dyDescent="0.35">
      <c r="A2416" s="388" t="s">
        <v>6181</v>
      </c>
      <c r="B2416" s="389">
        <v>43890</v>
      </c>
      <c r="C2416" s="390" t="s">
        <v>4387</v>
      </c>
      <c r="D2416" s="391" t="s">
        <v>4388</v>
      </c>
      <c r="E2416" s="391" t="s">
        <v>4042</v>
      </c>
      <c r="F2416" s="392">
        <v>11937.5</v>
      </c>
      <c r="G2416" s="393" t="s">
        <v>3800</v>
      </c>
      <c r="H2416" s="394">
        <v>4.5834816240749978</v>
      </c>
      <c r="I2416" s="394"/>
      <c r="J2416" s="392">
        <v>1.1458704060187495</v>
      </c>
      <c r="K2416" s="392">
        <v>1.1458704060187495</v>
      </c>
      <c r="L2416" s="392">
        <v>1.1458704060187495</v>
      </c>
      <c r="M2416" s="392">
        <v>1.1458704060187495</v>
      </c>
      <c r="N2416" s="392"/>
    </row>
    <row r="2417" spans="1:14" hidden="1" outlineLevel="2" x14ac:dyDescent="0.35">
      <c r="A2417" s="388" t="s">
        <v>6181</v>
      </c>
      <c r="B2417" s="389">
        <v>43950</v>
      </c>
      <c r="C2417" s="390" t="s">
        <v>4266</v>
      </c>
      <c r="D2417" s="391" t="s">
        <v>4267</v>
      </c>
      <c r="E2417" s="391" t="s">
        <v>6182</v>
      </c>
      <c r="F2417" s="392">
        <v>955000</v>
      </c>
      <c r="G2417" s="393" t="s">
        <v>3800</v>
      </c>
      <c r="H2417" s="394">
        <v>366.67852992599984</v>
      </c>
      <c r="I2417" s="394"/>
      <c r="J2417" s="392">
        <v>91.66963248149996</v>
      </c>
      <c r="K2417" s="392">
        <v>91.66963248149996</v>
      </c>
      <c r="L2417" s="392">
        <v>91.66963248149996</v>
      </c>
      <c r="M2417" s="392">
        <v>91.66963248149996</v>
      </c>
      <c r="N2417" s="392"/>
    </row>
    <row r="2418" spans="1:14" hidden="1" outlineLevel="2" x14ac:dyDescent="0.35">
      <c r="A2418" s="388" t="s">
        <v>6181</v>
      </c>
      <c r="B2418" s="389">
        <v>43950</v>
      </c>
      <c r="C2418" s="390" t="s">
        <v>4266</v>
      </c>
      <c r="D2418" s="391" t="s">
        <v>4269</v>
      </c>
      <c r="E2418" s="391" t="s">
        <v>6182</v>
      </c>
      <c r="F2418" s="392">
        <v>143250</v>
      </c>
      <c r="G2418" s="393" t="s">
        <v>3800</v>
      </c>
      <c r="H2418" s="394">
        <v>55.001779488899977</v>
      </c>
      <c r="I2418" s="394"/>
      <c r="J2418" s="392">
        <v>13.750444872224994</v>
      </c>
      <c r="K2418" s="392">
        <v>13.750444872224994</v>
      </c>
      <c r="L2418" s="392">
        <v>13.750444872224994</v>
      </c>
      <c r="M2418" s="392">
        <v>13.750444872224994</v>
      </c>
      <c r="N2418" s="392"/>
    </row>
    <row r="2419" spans="1:14" hidden="1" outlineLevel="2" collapsed="1" x14ac:dyDescent="0.35">
      <c r="A2419" s="388" t="s">
        <v>6181</v>
      </c>
      <c r="B2419" s="389">
        <v>43950</v>
      </c>
      <c r="C2419" s="390" t="s">
        <v>4270</v>
      </c>
      <c r="D2419" s="391" t="s">
        <v>4271</v>
      </c>
      <c r="E2419" s="391" t="s">
        <v>6183</v>
      </c>
      <c r="F2419" s="392">
        <v>119375</v>
      </c>
      <c r="G2419" s="393" t="s">
        <v>3800</v>
      </c>
      <c r="H2419" s="394">
        <v>45.83481624074998</v>
      </c>
      <c r="I2419" s="394"/>
      <c r="J2419" s="392">
        <v>11.458704060187495</v>
      </c>
      <c r="K2419" s="392">
        <v>11.458704060187495</v>
      </c>
      <c r="L2419" s="392">
        <v>11.458704060187495</v>
      </c>
      <c r="M2419" s="392">
        <v>11.458704060187495</v>
      </c>
      <c r="N2419" s="392"/>
    </row>
    <row r="2420" spans="1:14" hidden="1" outlineLevel="2" x14ac:dyDescent="0.35">
      <c r="A2420" s="388" t="s">
        <v>6181</v>
      </c>
      <c r="B2420" s="389">
        <v>43950</v>
      </c>
      <c r="C2420" s="390" t="s">
        <v>4266</v>
      </c>
      <c r="D2420" s="391" t="s">
        <v>4273</v>
      </c>
      <c r="E2420" s="391" t="s">
        <v>6182</v>
      </c>
      <c r="F2420" s="392">
        <v>47750</v>
      </c>
      <c r="G2420" s="393" t="s">
        <v>3800</v>
      </c>
      <c r="H2420" s="394">
        <v>18.333926496299991</v>
      </c>
      <c r="I2420" s="394"/>
      <c r="J2420" s="392">
        <v>4.5834816240749978</v>
      </c>
      <c r="K2420" s="392">
        <v>4.5834816240749978</v>
      </c>
      <c r="L2420" s="392">
        <v>4.5834816240749978</v>
      </c>
      <c r="M2420" s="392">
        <v>4.5834816240749978</v>
      </c>
      <c r="N2420" s="392"/>
    </row>
    <row r="2421" spans="1:14" hidden="1" outlineLevel="2" x14ac:dyDescent="0.35">
      <c r="A2421" s="388" t="s">
        <v>6181</v>
      </c>
      <c r="B2421" s="389">
        <v>43950</v>
      </c>
      <c r="C2421" s="390" t="s">
        <v>4274</v>
      </c>
      <c r="D2421" s="391" t="s">
        <v>4275</v>
      </c>
      <c r="E2421" s="391" t="s">
        <v>4376</v>
      </c>
      <c r="F2421" s="392">
        <v>47750</v>
      </c>
      <c r="G2421" s="393" t="s">
        <v>3800</v>
      </c>
      <c r="H2421" s="394">
        <v>18.333926496299991</v>
      </c>
      <c r="I2421" s="394"/>
      <c r="J2421" s="392">
        <v>4.5834816240749978</v>
      </c>
      <c r="K2421" s="392">
        <v>4.5834816240749978</v>
      </c>
      <c r="L2421" s="392">
        <v>4.5834816240749978</v>
      </c>
      <c r="M2421" s="392">
        <v>4.5834816240749978</v>
      </c>
      <c r="N2421" s="392"/>
    </row>
    <row r="2422" spans="1:14" hidden="1" outlineLevel="2" x14ac:dyDescent="0.35">
      <c r="A2422" s="388" t="s">
        <v>6181</v>
      </c>
      <c r="B2422" s="389">
        <v>43950</v>
      </c>
      <c r="C2422" s="390" t="s">
        <v>4277</v>
      </c>
      <c r="D2422" s="391" t="s">
        <v>4278</v>
      </c>
      <c r="E2422" s="391" t="s">
        <v>4042</v>
      </c>
      <c r="F2422" s="392">
        <v>11937.5</v>
      </c>
      <c r="G2422" s="393" t="s">
        <v>3800</v>
      </c>
      <c r="H2422" s="394">
        <v>4.5834816240749978</v>
      </c>
      <c r="I2422" s="394"/>
      <c r="J2422" s="392">
        <v>1.1458704060187495</v>
      </c>
      <c r="K2422" s="392">
        <v>1.1458704060187495</v>
      </c>
      <c r="L2422" s="392">
        <v>1.1458704060187495</v>
      </c>
      <c r="M2422" s="392">
        <v>1.1458704060187495</v>
      </c>
      <c r="N2422" s="392"/>
    </row>
    <row r="2423" spans="1:14" hidden="1" outlineLevel="2" x14ac:dyDescent="0.35">
      <c r="A2423" s="388" t="s">
        <v>6181</v>
      </c>
      <c r="B2423" s="389">
        <v>43950</v>
      </c>
      <c r="C2423" s="390" t="s">
        <v>4266</v>
      </c>
      <c r="D2423" s="391" t="s">
        <v>4267</v>
      </c>
      <c r="E2423" s="391" t="s">
        <v>6184</v>
      </c>
      <c r="F2423" s="392">
        <v>955000</v>
      </c>
      <c r="G2423" s="393" t="s">
        <v>3800</v>
      </c>
      <c r="H2423" s="394">
        <v>366.67852992599984</v>
      </c>
      <c r="I2423" s="394"/>
      <c r="J2423" s="392">
        <v>91.66963248149996</v>
      </c>
      <c r="K2423" s="392">
        <v>91.66963248149996</v>
      </c>
      <c r="L2423" s="392">
        <v>91.66963248149996</v>
      </c>
      <c r="M2423" s="392">
        <v>91.66963248149996</v>
      </c>
      <c r="N2423" s="392"/>
    </row>
    <row r="2424" spans="1:14" hidden="1" outlineLevel="2" collapsed="1" x14ac:dyDescent="0.35">
      <c r="A2424" s="388" t="s">
        <v>6181</v>
      </c>
      <c r="B2424" s="389">
        <v>43950</v>
      </c>
      <c r="C2424" s="390" t="s">
        <v>4266</v>
      </c>
      <c r="D2424" s="391" t="s">
        <v>4269</v>
      </c>
      <c r="E2424" s="391" t="s">
        <v>6184</v>
      </c>
      <c r="F2424" s="392">
        <v>143250</v>
      </c>
      <c r="G2424" s="393" t="s">
        <v>3800</v>
      </c>
      <c r="H2424" s="394">
        <v>55.001779488899977</v>
      </c>
      <c r="I2424" s="394"/>
      <c r="J2424" s="392">
        <v>13.750444872224994</v>
      </c>
      <c r="K2424" s="392">
        <v>13.750444872224994</v>
      </c>
      <c r="L2424" s="392">
        <v>13.750444872224994</v>
      </c>
      <c r="M2424" s="392">
        <v>13.750444872224994</v>
      </c>
      <c r="N2424" s="392"/>
    </row>
    <row r="2425" spans="1:14" hidden="1" outlineLevel="2" x14ac:dyDescent="0.35">
      <c r="A2425" s="388" t="s">
        <v>6181</v>
      </c>
      <c r="B2425" s="389">
        <v>43950</v>
      </c>
      <c r="C2425" s="390" t="s">
        <v>4270</v>
      </c>
      <c r="D2425" s="391" t="s">
        <v>4271</v>
      </c>
      <c r="E2425" s="391" t="s">
        <v>4272</v>
      </c>
      <c r="F2425" s="392">
        <v>119375</v>
      </c>
      <c r="G2425" s="393" t="s">
        <v>3800</v>
      </c>
      <c r="H2425" s="394">
        <v>45.83481624074998</v>
      </c>
      <c r="I2425" s="394"/>
      <c r="J2425" s="392">
        <v>11.458704060187495</v>
      </c>
      <c r="K2425" s="392">
        <v>11.458704060187495</v>
      </c>
      <c r="L2425" s="392">
        <v>11.458704060187495</v>
      </c>
      <c r="M2425" s="392">
        <v>11.458704060187495</v>
      </c>
      <c r="N2425" s="392"/>
    </row>
    <row r="2426" spans="1:14" hidden="1" outlineLevel="2" x14ac:dyDescent="0.35">
      <c r="A2426" s="388" t="s">
        <v>6181</v>
      </c>
      <c r="B2426" s="389">
        <v>43950</v>
      </c>
      <c r="C2426" s="390" t="s">
        <v>4266</v>
      </c>
      <c r="D2426" s="391" t="s">
        <v>4273</v>
      </c>
      <c r="E2426" s="391" t="s">
        <v>6184</v>
      </c>
      <c r="F2426" s="392">
        <v>47750</v>
      </c>
      <c r="G2426" s="393" t="s">
        <v>3800</v>
      </c>
      <c r="H2426" s="394">
        <v>18.333926496299991</v>
      </c>
      <c r="I2426" s="394"/>
      <c r="J2426" s="392">
        <v>4.5834816240749978</v>
      </c>
      <c r="K2426" s="392">
        <v>4.5834816240749978</v>
      </c>
      <c r="L2426" s="392">
        <v>4.5834816240749978</v>
      </c>
      <c r="M2426" s="392">
        <v>4.5834816240749978</v>
      </c>
      <c r="N2426" s="392"/>
    </row>
    <row r="2427" spans="1:14" hidden="1" outlineLevel="2" x14ac:dyDescent="0.35">
      <c r="A2427" s="388" t="s">
        <v>6181</v>
      </c>
      <c r="B2427" s="389">
        <v>43950</v>
      </c>
      <c r="C2427" s="390" t="s">
        <v>4274</v>
      </c>
      <c r="D2427" s="391" t="s">
        <v>4275</v>
      </c>
      <c r="E2427" s="391" t="s">
        <v>4376</v>
      </c>
      <c r="F2427" s="392">
        <v>47750</v>
      </c>
      <c r="G2427" s="393" t="s">
        <v>3800</v>
      </c>
      <c r="H2427" s="394">
        <v>18.333926496299991</v>
      </c>
      <c r="I2427" s="394"/>
      <c r="J2427" s="392">
        <v>4.5834816240749978</v>
      </c>
      <c r="K2427" s="392">
        <v>4.5834816240749978</v>
      </c>
      <c r="L2427" s="392">
        <v>4.5834816240749978</v>
      </c>
      <c r="M2427" s="392">
        <v>4.5834816240749978</v>
      </c>
      <c r="N2427" s="392"/>
    </row>
    <row r="2428" spans="1:14" hidden="1" outlineLevel="2" collapsed="1" x14ac:dyDescent="0.35">
      <c r="A2428" s="388" t="s">
        <v>6181</v>
      </c>
      <c r="B2428" s="389">
        <v>43950</v>
      </c>
      <c r="C2428" s="390" t="s">
        <v>4277</v>
      </c>
      <c r="D2428" s="391" t="s">
        <v>4278</v>
      </c>
      <c r="E2428" s="391" t="s">
        <v>4042</v>
      </c>
      <c r="F2428" s="392">
        <v>11937.5</v>
      </c>
      <c r="G2428" s="393" t="s">
        <v>3800</v>
      </c>
      <c r="H2428" s="394">
        <v>4.5834816240749978</v>
      </c>
      <c r="I2428" s="394"/>
      <c r="J2428" s="392">
        <v>1.1458704060187495</v>
      </c>
      <c r="K2428" s="392">
        <v>1.1458704060187495</v>
      </c>
      <c r="L2428" s="392">
        <v>1.1458704060187495</v>
      </c>
      <c r="M2428" s="392">
        <v>1.1458704060187495</v>
      </c>
      <c r="N2428" s="392"/>
    </row>
    <row r="2429" spans="1:14" hidden="1" outlineLevel="2" x14ac:dyDescent="0.35">
      <c r="A2429" s="388" t="s">
        <v>6181</v>
      </c>
      <c r="B2429" s="389">
        <v>43959</v>
      </c>
      <c r="C2429" s="390" t="s">
        <v>4253</v>
      </c>
      <c r="D2429" s="391" t="s">
        <v>4279</v>
      </c>
      <c r="E2429" s="391" t="s">
        <v>6182</v>
      </c>
      <c r="F2429" s="392">
        <v>955000</v>
      </c>
      <c r="G2429" s="393" t="s">
        <v>3800</v>
      </c>
      <c r="H2429" s="394">
        <v>366.67852992599984</v>
      </c>
      <c r="I2429" s="394"/>
      <c r="J2429" s="392">
        <v>91.66963248149996</v>
      </c>
      <c r="K2429" s="392">
        <v>91.66963248149996</v>
      </c>
      <c r="L2429" s="392">
        <v>91.66963248149996</v>
      </c>
      <c r="M2429" s="392">
        <v>91.66963248149996</v>
      </c>
      <c r="N2429" s="392"/>
    </row>
    <row r="2430" spans="1:14" hidden="1" outlineLevel="2" x14ac:dyDescent="0.35">
      <c r="A2430" s="388" t="s">
        <v>6181</v>
      </c>
      <c r="B2430" s="389">
        <v>43959</v>
      </c>
      <c r="C2430" s="390" t="s">
        <v>4253</v>
      </c>
      <c r="D2430" s="391" t="s">
        <v>4280</v>
      </c>
      <c r="E2430" s="391" t="s">
        <v>6182</v>
      </c>
      <c r="F2430" s="392">
        <v>143250</v>
      </c>
      <c r="G2430" s="393" t="s">
        <v>3800</v>
      </c>
      <c r="H2430" s="394">
        <v>55.001779488899977</v>
      </c>
      <c r="I2430" s="394"/>
      <c r="J2430" s="392">
        <v>13.750444872224994</v>
      </c>
      <c r="K2430" s="392">
        <v>13.750444872224994</v>
      </c>
      <c r="L2430" s="392">
        <v>13.750444872224994</v>
      </c>
      <c r="M2430" s="392">
        <v>13.750444872224994</v>
      </c>
      <c r="N2430" s="392"/>
    </row>
    <row r="2431" spans="1:14" hidden="1" outlineLevel="2" collapsed="1" x14ac:dyDescent="0.35">
      <c r="A2431" s="388" t="s">
        <v>6181</v>
      </c>
      <c r="B2431" s="389">
        <v>43963</v>
      </c>
      <c r="C2431" s="390" t="s">
        <v>4281</v>
      </c>
      <c r="D2431" s="391" t="s">
        <v>4282</v>
      </c>
      <c r="E2431" s="391" t="s">
        <v>6183</v>
      </c>
      <c r="F2431" s="392">
        <v>119375</v>
      </c>
      <c r="G2431" s="393" t="s">
        <v>3800</v>
      </c>
      <c r="H2431" s="394">
        <v>45.83481624074998</v>
      </c>
      <c r="I2431" s="394"/>
      <c r="J2431" s="392">
        <v>11.458704060187495</v>
      </c>
      <c r="K2431" s="392">
        <v>11.458704060187495</v>
      </c>
      <c r="L2431" s="392">
        <v>11.458704060187495</v>
      </c>
      <c r="M2431" s="392">
        <v>11.458704060187495</v>
      </c>
      <c r="N2431" s="392"/>
    </row>
    <row r="2432" spans="1:14" hidden="1" outlineLevel="2" x14ac:dyDescent="0.35">
      <c r="A2432" s="388" t="s">
        <v>6181</v>
      </c>
      <c r="B2432" s="389">
        <v>43959</v>
      </c>
      <c r="C2432" s="390" t="s">
        <v>4253</v>
      </c>
      <c r="D2432" s="391" t="s">
        <v>4283</v>
      </c>
      <c r="E2432" s="391" t="s">
        <v>6182</v>
      </c>
      <c r="F2432" s="392">
        <v>47750</v>
      </c>
      <c r="G2432" s="393" t="s">
        <v>3800</v>
      </c>
      <c r="H2432" s="394">
        <v>18.333926496299991</v>
      </c>
      <c r="I2432" s="394"/>
      <c r="J2432" s="392">
        <v>4.5834816240749978</v>
      </c>
      <c r="K2432" s="392">
        <v>4.5834816240749978</v>
      </c>
      <c r="L2432" s="392">
        <v>4.5834816240749978</v>
      </c>
      <c r="M2432" s="392">
        <v>4.5834816240749978</v>
      </c>
      <c r="N2432" s="392"/>
    </row>
    <row r="2433" spans="1:14" hidden="1" outlineLevel="2" x14ac:dyDescent="0.35">
      <c r="A2433" s="388" t="s">
        <v>6181</v>
      </c>
      <c r="B2433" s="389">
        <v>43964</v>
      </c>
      <c r="C2433" s="390" t="s">
        <v>4284</v>
      </c>
      <c r="D2433" s="391" t="s">
        <v>6185</v>
      </c>
      <c r="E2433" s="391" t="s">
        <v>4376</v>
      </c>
      <c r="F2433" s="392">
        <v>47750</v>
      </c>
      <c r="G2433" s="393" t="s">
        <v>3800</v>
      </c>
      <c r="H2433" s="394">
        <v>18.333926496299991</v>
      </c>
      <c r="I2433" s="394"/>
      <c r="J2433" s="392">
        <v>4.5834816240749978</v>
      </c>
      <c r="K2433" s="392">
        <v>4.5834816240749978</v>
      </c>
      <c r="L2433" s="392">
        <v>4.5834816240749978</v>
      </c>
      <c r="M2433" s="392">
        <v>4.5834816240749978</v>
      </c>
      <c r="N2433" s="392"/>
    </row>
    <row r="2434" spans="1:14" hidden="1" outlineLevel="2" x14ac:dyDescent="0.35">
      <c r="A2434" s="388" t="s">
        <v>6181</v>
      </c>
      <c r="B2434" s="389">
        <v>43959</v>
      </c>
      <c r="C2434" s="390" t="s">
        <v>4286</v>
      </c>
      <c r="D2434" s="391" t="s">
        <v>4287</v>
      </c>
      <c r="E2434" s="391" t="s">
        <v>4042</v>
      </c>
      <c r="F2434" s="392">
        <v>11937.5</v>
      </c>
      <c r="G2434" s="393" t="s">
        <v>3800</v>
      </c>
      <c r="H2434" s="394">
        <v>4.5834816240749978</v>
      </c>
      <c r="I2434" s="394"/>
      <c r="J2434" s="392">
        <v>1.1458704060187495</v>
      </c>
      <c r="K2434" s="392">
        <v>1.1458704060187495</v>
      </c>
      <c r="L2434" s="392">
        <v>1.1458704060187495</v>
      </c>
      <c r="M2434" s="392">
        <v>1.1458704060187495</v>
      </c>
      <c r="N2434" s="392"/>
    </row>
    <row r="2435" spans="1:14" hidden="1" outlineLevel="2" x14ac:dyDescent="0.35">
      <c r="A2435" s="388" t="s">
        <v>6181</v>
      </c>
      <c r="B2435" s="389">
        <v>43980</v>
      </c>
      <c r="C2435" s="390" t="s">
        <v>4288</v>
      </c>
      <c r="D2435" s="391" t="s">
        <v>4289</v>
      </c>
      <c r="E2435" s="391" t="s">
        <v>6182</v>
      </c>
      <c r="F2435" s="392">
        <v>955000</v>
      </c>
      <c r="G2435" s="393" t="s">
        <v>3800</v>
      </c>
      <c r="H2435" s="394">
        <v>366.67852992599984</v>
      </c>
      <c r="I2435" s="394"/>
      <c r="J2435" s="392">
        <v>91.66963248149996</v>
      </c>
      <c r="K2435" s="392">
        <v>91.66963248149996</v>
      </c>
      <c r="L2435" s="392">
        <v>91.66963248149996</v>
      </c>
      <c r="M2435" s="392">
        <v>91.66963248149996</v>
      </c>
      <c r="N2435" s="392"/>
    </row>
    <row r="2436" spans="1:14" hidden="1" outlineLevel="2" collapsed="1" x14ac:dyDescent="0.35">
      <c r="A2436" s="388" t="s">
        <v>6181</v>
      </c>
      <c r="B2436" s="389">
        <v>43980</v>
      </c>
      <c r="C2436" s="390" t="s">
        <v>4290</v>
      </c>
      <c r="D2436" s="391" t="s">
        <v>4291</v>
      </c>
      <c r="E2436" s="391" t="s">
        <v>6182</v>
      </c>
      <c r="F2436" s="392">
        <v>143250</v>
      </c>
      <c r="G2436" s="393" t="s">
        <v>3800</v>
      </c>
      <c r="H2436" s="394">
        <v>55.001779488899977</v>
      </c>
      <c r="I2436" s="394"/>
      <c r="J2436" s="392">
        <v>13.750444872224994</v>
      </c>
      <c r="K2436" s="392">
        <v>13.750444872224994</v>
      </c>
      <c r="L2436" s="392">
        <v>13.750444872224994</v>
      </c>
      <c r="M2436" s="392">
        <v>13.750444872224994</v>
      </c>
      <c r="N2436" s="392"/>
    </row>
    <row r="2437" spans="1:14" hidden="1" outlineLevel="2" x14ac:dyDescent="0.35">
      <c r="A2437" s="388" t="s">
        <v>6181</v>
      </c>
      <c r="B2437" s="389">
        <v>43980</v>
      </c>
      <c r="C2437" s="390" t="s">
        <v>4281</v>
      </c>
      <c r="D2437" s="391" t="s">
        <v>4390</v>
      </c>
      <c r="E2437" s="391" t="s">
        <v>6183</v>
      </c>
      <c r="F2437" s="392">
        <v>119375</v>
      </c>
      <c r="G2437" s="393" t="s">
        <v>3800</v>
      </c>
      <c r="H2437" s="394">
        <v>45.83481624074998</v>
      </c>
      <c r="I2437" s="394"/>
      <c r="J2437" s="392">
        <v>11.458704060187495</v>
      </c>
      <c r="K2437" s="392">
        <v>11.458704060187495</v>
      </c>
      <c r="L2437" s="392">
        <v>11.458704060187495</v>
      </c>
      <c r="M2437" s="392">
        <v>11.458704060187495</v>
      </c>
      <c r="N2437" s="392"/>
    </row>
    <row r="2438" spans="1:14" hidden="1" outlineLevel="2" collapsed="1" x14ac:dyDescent="0.35">
      <c r="A2438" s="388" t="s">
        <v>6181</v>
      </c>
      <c r="B2438" s="389">
        <v>43980</v>
      </c>
      <c r="C2438" s="390" t="s">
        <v>4288</v>
      </c>
      <c r="D2438" s="391" t="s">
        <v>4292</v>
      </c>
      <c r="E2438" s="391" t="s">
        <v>6182</v>
      </c>
      <c r="F2438" s="392">
        <v>47750</v>
      </c>
      <c r="G2438" s="393" t="s">
        <v>3800</v>
      </c>
      <c r="H2438" s="394">
        <v>18.333926496299991</v>
      </c>
      <c r="I2438" s="394"/>
      <c r="J2438" s="392">
        <v>4.5834816240749978</v>
      </c>
      <c r="K2438" s="392">
        <v>4.5834816240749978</v>
      </c>
      <c r="L2438" s="392">
        <v>4.5834816240749978</v>
      </c>
      <c r="M2438" s="392">
        <v>4.5834816240749978</v>
      </c>
      <c r="N2438" s="392"/>
    </row>
    <row r="2439" spans="1:14" hidden="1" outlineLevel="2" collapsed="1" x14ac:dyDescent="0.35">
      <c r="A2439" s="388" t="s">
        <v>6181</v>
      </c>
      <c r="B2439" s="389">
        <v>43980</v>
      </c>
      <c r="C2439" s="390" t="s">
        <v>4184</v>
      </c>
      <c r="D2439" s="391" t="s">
        <v>4293</v>
      </c>
      <c r="E2439" s="391" t="s">
        <v>4376</v>
      </c>
      <c r="F2439" s="392">
        <v>47750</v>
      </c>
      <c r="G2439" s="393" t="s">
        <v>3800</v>
      </c>
      <c r="H2439" s="394">
        <v>18.333926496299991</v>
      </c>
      <c r="I2439" s="394"/>
      <c r="J2439" s="392">
        <v>4.5834816240749978</v>
      </c>
      <c r="K2439" s="392">
        <v>4.5834816240749978</v>
      </c>
      <c r="L2439" s="392">
        <v>4.5834816240749978</v>
      </c>
      <c r="M2439" s="392">
        <v>4.5834816240749978</v>
      </c>
      <c r="N2439" s="392"/>
    </row>
    <row r="2440" spans="1:14" hidden="1" outlineLevel="2" x14ac:dyDescent="0.35">
      <c r="A2440" s="388" t="s">
        <v>6181</v>
      </c>
      <c r="B2440" s="389">
        <v>43980</v>
      </c>
      <c r="C2440" s="390" t="s">
        <v>4294</v>
      </c>
      <c r="D2440" s="391" t="s">
        <v>4295</v>
      </c>
      <c r="E2440" s="391" t="s">
        <v>4042</v>
      </c>
      <c r="F2440" s="392">
        <v>11937.5</v>
      </c>
      <c r="G2440" s="393" t="s">
        <v>3800</v>
      </c>
      <c r="H2440" s="394">
        <v>4.5834816240749978</v>
      </c>
      <c r="I2440" s="394"/>
      <c r="J2440" s="392">
        <v>1.1458704060187495</v>
      </c>
      <c r="K2440" s="392">
        <v>1.1458704060187495</v>
      </c>
      <c r="L2440" s="392">
        <v>1.1458704060187495</v>
      </c>
      <c r="M2440" s="392">
        <v>1.1458704060187495</v>
      </c>
      <c r="N2440" s="392"/>
    </row>
    <row r="2441" spans="1:14" hidden="1" outlineLevel="2" x14ac:dyDescent="0.35">
      <c r="A2441" s="388" t="s">
        <v>6181</v>
      </c>
      <c r="B2441" s="389">
        <v>44018</v>
      </c>
      <c r="C2441" s="390" t="s">
        <v>4192</v>
      </c>
      <c r="D2441" s="391" t="s">
        <v>4296</v>
      </c>
      <c r="E2441" s="391" t="s">
        <v>6182</v>
      </c>
      <c r="F2441" s="392">
        <v>955000</v>
      </c>
      <c r="G2441" s="393" t="s">
        <v>3800</v>
      </c>
      <c r="H2441" s="394">
        <v>366.67852992599984</v>
      </c>
      <c r="I2441" s="394"/>
      <c r="J2441" s="392">
        <v>91.66963248149996</v>
      </c>
      <c r="K2441" s="392">
        <v>91.66963248149996</v>
      </c>
      <c r="L2441" s="392">
        <v>91.66963248149996</v>
      </c>
      <c r="M2441" s="392">
        <v>91.66963248149996</v>
      </c>
      <c r="N2441" s="392"/>
    </row>
    <row r="2442" spans="1:14" hidden="1" outlineLevel="2" x14ac:dyDescent="0.35">
      <c r="A2442" s="388" t="s">
        <v>6181</v>
      </c>
      <c r="B2442" s="389">
        <v>44018</v>
      </c>
      <c r="C2442" s="390" t="s">
        <v>4192</v>
      </c>
      <c r="D2442" s="391" t="s">
        <v>4297</v>
      </c>
      <c r="E2442" s="391" t="s">
        <v>6182</v>
      </c>
      <c r="F2442" s="392">
        <v>143250</v>
      </c>
      <c r="G2442" s="393" t="s">
        <v>3800</v>
      </c>
      <c r="H2442" s="394">
        <v>55.001779488899977</v>
      </c>
      <c r="I2442" s="394"/>
      <c r="J2442" s="392">
        <v>13.750444872224994</v>
      </c>
      <c r="K2442" s="392">
        <v>13.750444872224994</v>
      </c>
      <c r="L2442" s="392">
        <v>13.750444872224994</v>
      </c>
      <c r="M2442" s="392">
        <v>13.750444872224994</v>
      </c>
      <c r="N2442" s="392"/>
    </row>
    <row r="2443" spans="1:14" hidden="1" outlineLevel="2" x14ac:dyDescent="0.35">
      <c r="A2443" s="388" t="s">
        <v>6181</v>
      </c>
      <c r="B2443" s="389">
        <v>44022</v>
      </c>
      <c r="C2443" s="390" t="s">
        <v>4298</v>
      </c>
      <c r="D2443" s="391" t="s">
        <v>4299</v>
      </c>
      <c r="E2443" s="391" t="s">
        <v>6183</v>
      </c>
      <c r="F2443" s="392">
        <v>119375</v>
      </c>
      <c r="G2443" s="393" t="s">
        <v>3800</v>
      </c>
      <c r="H2443" s="394">
        <v>45.83481624074998</v>
      </c>
      <c r="I2443" s="394"/>
      <c r="J2443" s="392">
        <v>11.458704060187495</v>
      </c>
      <c r="K2443" s="392">
        <v>11.458704060187495</v>
      </c>
      <c r="L2443" s="392">
        <v>11.458704060187495</v>
      </c>
      <c r="M2443" s="392">
        <v>11.458704060187495</v>
      </c>
      <c r="N2443" s="392"/>
    </row>
    <row r="2444" spans="1:14" hidden="1" outlineLevel="2" x14ac:dyDescent="0.35">
      <c r="A2444" s="388" t="s">
        <v>6181</v>
      </c>
      <c r="B2444" s="389">
        <v>44018</v>
      </c>
      <c r="C2444" s="390" t="s">
        <v>4192</v>
      </c>
      <c r="D2444" s="391" t="s">
        <v>4300</v>
      </c>
      <c r="E2444" s="391" t="s">
        <v>6182</v>
      </c>
      <c r="F2444" s="392">
        <v>47750</v>
      </c>
      <c r="G2444" s="393" t="s">
        <v>3800</v>
      </c>
      <c r="H2444" s="394">
        <v>18.333926496299991</v>
      </c>
      <c r="I2444" s="394"/>
      <c r="J2444" s="392">
        <v>4.5834816240749978</v>
      </c>
      <c r="K2444" s="392">
        <v>4.5834816240749978</v>
      </c>
      <c r="L2444" s="392">
        <v>4.5834816240749978</v>
      </c>
      <c r="M2444" s="392">
        <v>4.5834816240749978</v>
      </c>
      <c r="N2444" s="392"/>
    </row>
    <row r="2445" spans="1:14" hidden="1" outlineLevel="2" x14ac:dyDescent="0.35">
      <c r="A2445" s="388" t="s">
        <v>6181</v>
      </c>
      <c r="B2445" s="389">
        <v>44022</v>
      </c>
      <c r="C2445" s="390" t="s">
        <v>4301</v>
      </c>
      <c r="D2445" s="391" t="s">
        <v>4302</v>
      </c>
      <c r="E2445" s="391" t="s">
        <v>4376</v>
      </c>
      <c r="F2445" s="392">
        <v>47750</v>
      </c>
      <c r="G2445" s="393" t="s">
        <v>3800</v>
      </c>
      <c r="H2445" s="394">
        <v>18.333926496299991</v>
      </c>
      <c r="I2445" s="394"/>
      <c r="J2445" s="392">
        <v>4.5834816240749978</v>
      </c>
      <c r="K2445" s="392">
        <v>4.5834816240749978</v>
      </c>
      <c r="L2445" s="392">
        <v>4.5834816240749978</v>
      </c>
      <c r="M2445" s="392">
        <v>4.5834816240749978</v>
      </c>
      <c r="N2445" s="392"/>
    </row>
    <row r="2446" spans="1:14" hidden="1" outlineLevel="2" x14ac:dyDescent="0.35">
      <c r="A2446" s="388" t="s">
        <v>6181</v>
      </c>
      <c r="B2446" s="389">
        <v>44022</v>
      </c>
      <c r="C2446" s="390" t="s">
        <v>4303</v>
      </c>
      <c r="D2446" s="391" t="s">
        <v>4304</v>
      </c>
      <c r="E2446" s="391" t="s">
        <v>4042</v>
      </c>
      <c r="F2446" s="392">
        <v>11937.23</v>
      </c>
      <c r="G2446" s="393" t="s">
        <v>3800</v>
      </c>
      <c r="H2446" s="394">
        <v>4.5833779557995218</v>
      </c>
      <c r="I2446" s="394"/>
      <c r="J2446" s="392">
        <v>1.1458444889498804</v>
      </c>
      <c r="K2446" s="392">
        <v>1.1458444889498804</v>
      </c>
      <c r="L2446" s="392">
        <v>1.1458444889498804</v>
      </c>
      <c r="M2446" s="392">
        <v>1.1458444889498804</v>
      </c>
      <c r="N2446" s="392"/>
    </row>
    <row r="2447" spans="1:14" hidden="1" outlineLevel="2" collapsed="1" x14ac:dyDescent="0.35">
      <c r="A2447" s="388" t="s">
        <v>6181</v>
      </c>
      <c r="B2447" s="389">
        <v>43959</v>
      </c>
      <c r="C2447" s="390" t="s">
        <v>4253</v>
      </c>
      <c r="D2447" s="391" t="s">
        <v>4279</v>
      </c>
      <c r="E2447" s="391" t="s">
        <v>6184</v>
      </c>
      <c r="F2447" s="392">
        <v>955000</v>
      </c>
      <c r="G2447" s="393" t="s">
        <v>3800</v>
      </c>
      <c r="H2447" s="394">
        <v>366.67852992599984</v>
      </c>
      <c r="I2447" s="394"/>
      <c r="J2447" s="392">
        <v>91.66963248149996</v>
      </c>
      <c r="K2447" s="392">
        <v>91.66963248149996</v>
      </c>
      <c r="L2447" s="392">
        <v>91.66963248149996</v>
      </c>
      <c r="M2447" s="392">
        <v>91.66963248149996</v>
      </c>
      <c r="N2447" s="392"/>
    </row>
    <row r="2448" spans="1:14" hidden="1" outlineLevel="2" x14ac:dyDescent="0.35">
      <c r="A2448" s="388" t="s">
        <v>6181</v>
      </c>
      <c r="B2448" s="389">
        <v>43959</v>
      </c>
      <c r="C2448" s="390" t="s">
        <v>4253</v>
      </c>
      <c r="D2448" s="391" t="s">
        <v>4280</v>
      </c>
      <c r="E2448" s="391" t="s">
        <v>6184</v>
      </c>
      <c r="F2448" s="392">
        <v>143250</v>
      </c>
      <c r="G2448" s="393" t="s">
        <v>3800</v>
      </c>
      <c r="H2448" s="394">
        <v>55.001779488899977</v>
      </c>
      <c r="I2448" s="394"/>
      <c r="J2448" s="392">
        <v>13.750444872224994</v>
      </c>
      <c r="K2448" s="392">
        <v>13.750444872224994</v>
      </c>
      <c r="L2448" s="392">
        <v>13.750444872224994</v>
      </c>
      <c r="M2448" s="392">
        <v>13.750444872224994</v>
      </c>
      <c r="N2448" s="392"/>
    </row>
    <row r="2449" spans="1:14" hidden="1" outlineLevel="2" x14ac:dyDescent="0.35">
      <c r="A2449" s="388" t="s">
        <v>6181</v>
      </c>
      <c r="B2449" s="389">
        <v>43963</v>
      </c>
      <c r="C2449" s="390" t="s">
        <v>4281</v>
      </c>
      <c r="D2449" s="391" t="s">
        <v>4282</v>
      </c>
      <c r="E2449" s="391" t="s">
        <v>4272</v>
      </c>
      <c r="F2449" s="392">
        <v>119375</v>
      </c>
      <c r="G2449" s="393" t="s">
        <v>3800</v>
      </c>
      <c r="H2449" s="394">
        <v>45.83481624074998</v>
      </c>
      <c r="I2449" s="394"/>
      <c r="J2449" s="392">
        <v>11.458704060187495</v>
      </c>
      <c r="K2449" s="392">
        <v>11.458704060187495</v>
      </c>
      <c r="L2449" s="392">
        <v>11.458704060187495</v>
      </c>
      <c r="M2449" s="392">
        <v>11.458704060187495</v>
      </c>
      <c r="N2449" s="392"/>
    </row>
    <row r="2450" spans="1:14" hidden="1" outlineLevel="2" x14ac:dyDescent="0.35">
      <c r="A2450" s="388" t="s">
        <v>6181</v>
      </c>
      <c r="B2450" s="389">
        <v>43959</v>
      </c>
      <c r="C2450" s="390" t="s">
        <v>4253</v>
      </c>
      <c r="D2450" s="391" t="s">
        <v>4283</v>
      </c>
      <c r="E2450" s="391" t="s">
        <v>6184</v>
      </c>
      <c r="F2450" s="392">
        <v>47750</v>
      </c>
      <c r="G2450" s="393" t="s">
        <v>3800</v>
      </c>
      <c r="H2450" s="394">
        <v>18.333926496299991</v>
      </c>
      <c r="I2450" s="394"/>
      <c r="J2450" s="392">
        <v>4.5834816240749978</v>
      </c>
      <c r="K2450" s="392">
        <v>4.5834816240749978</v>
      </c>
      <c r="L2450" s="392">
        <v>4.5834816240749978</v>
      </c>
      <c r="M2450" s="392">
        <v>4.5834816240749978</v>
      </c>
      <c r="N2450" s="392"/>
    </row>
    <row r="2451" spans="1:14" hidden="1" outlineLevel="2" x14ac:dyDescent="0.35">
      <c r="A2451" s="388" t="s">
        <v>6181</v>
      </c>
      <c r="B2451" s="389">
        <v>43964</v>
      </c>
      <c r="C2451" s="390" t="s">
        <v>4284</v>
      </c>
      <c r="D2451" s="391" t="s">
        <v>4389</v>
      </c>
      <c r="E2451" s="391" t="s">
        <v>4376</v>
      </c>
      <c r="F2451" s="392">
        <v>47750</v>
      </c>
      <c r="G2451" s="393" t="s">
        <v>3800</v>
      </c>
      <c r="H2451" s="394">
        <v>18.333926496299991</v>
      </c>
      <c r="I2451" s="394"/>
      <c r="J2451" s="392">
        <v>4.5834816240749978</v>
      </c>
      <c r="K2451" s="392">
        <v>4.5834816240749978</v>
      </c>
      <c r="L2451" s="392">
        <v>4.5834816240749978</v>
      </c>
      <c r="M2451" s="392">
        <v>4.5834816240749978</v>
      </c>
      <c r="N2451" s="392"/>
    </row>
    <row r="2452" spans="1:14" hidden="1" outlineLevel="2" x14ac:dyDescent="0.35">
      <c r="A2452" s="388" t="s">
        <v>6181</v>
      </c>
      <c r="B2452" s="389">
        <v>43959</v>
      </c>
      <c r="C2452" s="390" t="s">
        <v>4286</v>
      </c>
      <c r="D2452" s="391" t="s">
        <v>4287</v>
      </c>
      <c r="E2452" s="391" t="s">
        <v>4042</v>
      </c>
      <c r="F2452" s="392">
        <v>11937.5</v>
      </c>
      <c r="G2452" s="393" t="s">
        <v>3800</v>
      </c>
      <c r="H2452" s="394">
        <v>4.5834816240749978</v>
      </c>
      <c r="I2452" s="394"/>
      <c r="J2452" s="392">
        <v>1.1458704060187495</v>
      </c>
      <c r="K2452" s="392">
        <v>1.1458704060187495</v>
      </c>
      <c r="L2452" s="392">
        <v>1.1458704060187495</v>
      </c>
      <c r="M2452" s="392">
        <v>1.1458704060187495</v>
      </c>
      <c r="N2452" s="392"/>
    </row>
    <row r="2453" spans="1:14" hidden="1" outlineLevel="2" x14ac:dyDescent="0.35">
      <c r="A2453" s="388" t="s">
        <v>6181</v>
      </c>
      <c r="B2453" s="389">
        <v>43980</v>
      </c>
      <c r="C2453" s="390" t="s">
        <v>4288</v>
      </c>
      <c r="D2453" s="391" t="s">
        <v>4289</v>
      </c>
      <c r="E2453" s="391" t="s">
        <v>6184</v>
      </c>
      <c r="F2453" s="392">
        <v>955000</v>
      </c>
      <c r="G2453" s="393" t="s">
        <v>3800</v>
      </c>
      <c r="H2453" s="394">
        <v>366.67852992599984</v>
      </c>
      <c r="I2453" s="394"/>
      <c r="J2453" s="392">
        <v>91.66963248149996</v>
      </c>
      <c r="K2453" s="392">
        <v>91.66963248149996</v>
      </c>
      <c r="L2453" s="392">
        <v>91.66963248149996</v>
      </c>
      <c r="M2453" s="392">
        <v>91.66963248149996</v>
      </c>
      <c r="N2453" s="392"/>
    </row>
    <row r="2454" spans="1:14" hidden="1" outlineLevel="2" x14ac:dyDescent="0.35">
      <c r="A2454" s="388" t="s">
        <v>6181</v>
      </c>
      <c r="B2454" s="389">
        <v>43980</v>
      </c>
      <c r="C2454" s="390" t="s">
        <v>4290</v>
      </c>
      <c r="D2454" s="391" t="s">
        <v>4291</v>
      </c>
      <c r="E2454" s="391" t="s">
        <v>6184</v>
      </c>
      <c r="F2454" s="392">
        <v>143250</v>
      </c>
      <c r="G2454" s="393" t="s">
        <v>3800</v>
      </c>
      <c r="H2454" s="394">
        <v>55.001779488899977</v>
      </c>
      <c r="I2454" s="394"/>
      <c r="J2454" s="392">
        <v>13.750444872224994</v>
      </c>
      <c r="K2454" s="392">
        <v>13.750444872224994</v>
      </c>
      <c r="L2454" s="392">
        <v>13.750444872224994</v>
      </c>
      <c r="M2454" s="392">
        <v>13.750444872224994</v>
      </c>
      <c r="N2454" s="392"/>
    </row>
    <row r="2455" spans="1:14" hidden="1" outlineLevel="2" x14ac:dyDescent="0.35">
      <c r="A2455" s="388" t="s">
        <v>6181</v>
      </c>
      <c r="B2455" s="389">
        <v>43980</v>
      </c>
      <c r="C2455" s="390" t="s">
        <v>4281</v>
      </c>
      <c r="D2455" s="391" t="s">
        <v>4390</v>
      </c>
      <c r="E2455" s="391" t="s">
        <v>4272</v>
      </c>
      <c r="F2455" s="392">
        <v>119375</v>
      </c>
      <c r="G2455" s="393" t="s">
        <v>3800</v>
      </c>
      <c r="H2455" s="394">
        <v>45.83481624074998</v>
      </c>
      <c r="I2455" s="394"/>
      <c r="J2455" s="392">
        <v>11.458704060187495</v>
      </c>
      <c r="K2455" s="392">
        <v>11.458704060187495</v>
      </c>
      <c r="L2455" s="392">
        <v>11.458704060187495</v>
      </c>
      <c r="M2455" s="392">
        <v>11.458704060187495</v>
      </c>
      <c r="N2455" s="392"/>
    </row>
    <row r="2456" spans="1:14" hidden="1" outlineLevel="2" x14ac:dyDescent="0.35">
      <c r="A2456" s="388" t="s">
        <v>6181</v>
      </c>
      <c r="B2456" s="389">
        <v>43980</v>
      </c>
      <c r="C2456" s="390" t="s">
        <v>4288</v>
      </c>
      <c r="D2456" s="391" t="s">
        <v>4292</v>
      </c>
      <c r="E2456" s="391" t="s">
        <v>6184</v>
      </c>
      <c r="F2456" s="392">
        <v>47750</v>
      </c>
      <c r="G2456" s="393" t="s">
        <v>3800</v>
      </c>
      <c r="H2456" s="394">
        <v>18.333926496299991</v>
      </c>
      <c r="I2456" s="394"/>
      <c r="J2456" s="392">
        <v>4.5834816240749978</v>
      </c>
      <c r="K2456" s="392">
        <v>4.5834816240749978</v>
      </c>
      <c r="L2456" s="392">
        <v>4.5834816240749978</v>
      </c>
      <c r="M2456" s="392">
        <v>4.5834816240749978</v>
      </c>
      <c r="N2456" s="392"/>
    </row>
    <row r="2457" spans="1:14" hidden="1" outlineLevel="2" x14ac:dyDescent="0.35">
      <c r="A2457" s="388" t="s">
        <v>6181</v>
      </c>
      <c r="B2457" s="389">
        <v>43980</v>
      </c>
      <c r="C2457" s="390" t="s">
        <v>4184</v>
      </c>
      <c r="D2457" s="391" t="s">
        <v>4391</v>
      </c>
      <c r="E2457" s="391" t="s">
        <v>4376</v>
      </c>
      <c r="F2457" s="392">
        <v>47750</v>
      </c>
      <c r="G2457" s="393" t="s">
        <v>3800</v>
      </c>
      <c r="H2457" s="394">
        <v>18.333926496299991</v>
      </c>
      <c r="I2457" s="394"/>
      <c r="J2457" s="392">
        <v>4.5834816240749978</v>
      </c>
      <c r="K2457" s="392">
        <v>4.5834816240749978</v>
      </c>
      <c r="L2457" s="392">
        <v>4.5834816240749978</v>
      </c>
      <c r="M2457" s="392">
        <v>4.5834816240749978</v>
      </c>
      <c r="N2457" s="392"/>
    </row>
    <row r="2458" spans="1:14" hidden="1" outlineLevel="2" x14ac:dyDescent="0.35">
      <c r="A2458" s="388" t="s">
        <v>6181</v>
      </c>
      <c r="B2458" s="389">
        <v>43980</v>
      </c>
      <c r="C2458" s="390" t="s">
        <v>4294</v>
      </c>
      <c r="D2458" s="391" t="s">
        <v>4295</v>
      </c>
      <c r="E2458" s="391" t="s">
        <v>4042</v>
      </c>
      <c r="F2458" s="392">
        <v>11937.5</v>
      </c>
      <c r="G2458" s="393" t="s">
        <v>3800</v>
      </c>
      <c r="H2458" s="394">
        <v>4.5834816240749978</v>
      </c>
      <c r="I2458" s="394"/>
      <c r="J2458" s="392">
        <v>1.1458704060187495</v>
      </c>
      <c r="K2458" s="392">
        <v>1.1458704060187495</v>
      </c>
      <c r="L2458" s="392">
        <v>1.1458704060187495</v>
      </c>
      <c r="M2458" s="392">
        <v>1.1458704060187495</v>
      </c>
      <c r="N2458" s="392"/>
    </row>
    <row r="2459" spans="1:14" hidden="1" outlineLevel="2" x14ac:dyDescent="0.35">
      <c r="A2459" s="388" t="s">
        <v>6181</v>
      </c>
      <c r="B2459" s="389">
        <v>44018</v>
      </c>
      <c r="C2459" s="390" t="s">
        <v>4192</v>
      </c>
      <c r="D2459" s="391" t="s">
        <v>4296</v>
      </c>
      <c r="E2459" s="391" t="s">
        <v>6184</v>
      </c>
      <c r="F2459" s="392">
        <v>955000</v>
      </c>
      <c r="G2459" s="393" t="s">
        <v>3800</v>
      </c>
      <c r="H2459" s="394">
        <v>366.67852992599984</v>
      </c>
      <c r="I2459" s="394"/>
      <c r="J2459" s="392">
        <v>91.66963248149996</v>
      </c>
      <c r="K2459" s="392">
        <v>91.66963248149996</v>
      </c>
      <c r="L2459" s="392">
        <v>91.66963248149996</v>
      </c>
      <c r="M2459" s="392">
        <v>91.66963248149996</v>
      </c>
      <c r="N2459" s="392"/>
    </row>
    <row r="2460" spans="1:14" hidden="1" outlineLevel="2" x14ac:dyDescent="0.35">
      <c r="A2460" s="388" t="s">
        <v>6181</v>
      </c>
      <c r="B2460" s="389">
        <v>44018</v>
      </c>
      <c r="C2460" s="390" t="s">
        <v>4192</v>
      </c>
      <c r="D2460" s="391" t="s">
        <v>4297</v>
      </c>
      <c r="E2460" s="391" t="s">
        <v>6184</v>
      </c>
      <c r="F2460" s="392">
        <v>143250</v>
      </c>
      <c r="G2460" s="393" t="s">
        <v>3800</v>
      </c>
      <c r="H2460" s="394">
        <v>55.001779488899977</v>
      </c>
      <c r="I2460" s="394"/>
      <c r="J2460" s="392">
        <v>13.750444872224994</v>
      </c>
      <c r="K2460" s="392">
        <v>13.750444872224994</v>
      </c>
      <c r="L2460" s="392">
        <v>13.750444872224994</v>
      </c>
      <c r="M2460" s="392">
        <v>13.750444872224994</v>
      </c>
      <c r="N2460" s="392"/>
    </row>
    <row r="2461" spans="1:14" hidden="1" outlineLevel="2" x14ac:dyDescent="0.35">
      <c r="A2461" s="388" t="s">
        <v>6181</v>
      </c>
      <c r="B2461" s="389">
        <v>44022</v>
      </c>
      <c r="C2461" s="390" t="s">
        <v>4298</v>
      </c>
      <c r="D2461" s="391" t="s">
        <v>4299</v>
      </c>
      <c r="E2461" s="391" t="s">
        <v>4272</v>
      </c>
      <c r="F2461" s="392">
        <v>119375</v>
      </c>
      <c r="G2461" s="393" t="s">
        <v>3800</v>
      </c>
      <c r="H2461" s="394">
        <v>45.83481624074998</v>
      </c>
      <c r="I2461" s="394"/>
      <c r="J2461" s="392">
        <v>11.458704060187495</v>
      </c>
      <c r="K2461" s="392">
        <v>11.458704060187495</v>
      </c>
      <c r="L2461" s="392">
        <v>11.458704060187495</v>
      </c>
      <c r="M2461" s="392">
        <v>11.458704060187495</v>
      </c>
      <c r="N2461" s="392"/>
    </row>
    <row r="2462" spans="1:14" hidden="1" outlineLevel="2" x14ac:dyDescent="0.35">
      <c r="A2462" s="388" t="s">
        <v>6181</v>
      </c>
      <c r="B2462" s="389">
        <v>44018</v>
      </c>
      <c r="C2462" s="390" t="s">
        <v>4192</v>
      </c>
      <c r="D2462" s="391" t="s">
        <v>4300</v>
      </c>
      <c r="E2462" s="391" t="s">
        <v>6184</v>
      </c>
      <c r="F2462" s="392">
        <v>47750</v>
      </c>
      <c r="G2462" s="393" t="s">
        <v>3800</v>
      </c>
      <c r="H2462" s="394">
        <v>18.333926496299991</v>
      </c>
      <c r="I2462" s="394"/>
      <c r="J2462" s="392">
        <v>4.5834816240749978</v>
      </c>
      <c r="K2462" s="392">
        <v>4.5834816240749978</v>
      </c>
      <c r="L2462" s="392">
        <v>4.5834816240749978</v>
      </c>
      <c r="M2462" s="392">
        <v>4.5834816240749978</v>
      </c>
      <c r="N2462" s="392"/>
    </row>
    <row r="2463" spans="1:14" hidden="1" outlineLevel="2" collapsed="1" x14ac:dyDescent="0.35">
      <c r="A2463" s="388" t="s">
        <v>6181</v>
      </c>
      <c r="B2463" s="389">
        <v>44022</v>
      </c>
      <c r="C2463" s="390" t="s">
        <v>4301</v>
      </c>
      <c r="D2463" s="391" t="s">
        <v>4302</v>
      </c>
      <c r="E2463" s="391" t="s">
        <v>4376</v>
      </c>
      <c r="F2463" s="392">
        <v>47750</v>
      </c>
      <c r="G2463" s="393" t="s">
        <v>3800</v>
      </c>
      <c r="H2463" s="394">
        <v>18.333926496299991</v>
      </c>
      <c r="I2463" s="394"/>
      <c r="J2463" s="392">
        <v>4.5834816240749978</v>
      </c>
      <c r="K2463" s="392">
        <v>4.5834816240749978</v>
      </c>
      <c r="L2463" s="392">
        <v>4.5834816240749978</v>
      </c>
      <c r="M2463" s="392">
        <v>4.5834816240749978</v>
      </c>
      <c r="N2463" s="392"/>
    </row>
    <row r="2464" spans="1:14" hidden="1" outlineLevel="2" x14ac:dyDescent="0.35">
      <c r="A2464" s="388" t="s">
        <v>6181</v>
      </c>
      <c r="B2464" s="389">
        <v>44022</v>
      </c>
      <c r="C2464" s="390" t="s">
        <v>4303</v>
      </c>
      <c r="D2464" s="391" t="s">
        <v>4304</v>
      </c>
      <c r="E2464" s="391" t="s">
        <v>4042</v>
      </c>
      <c r="F2464" s="392">
        <v>11937.5</v>
      </c>
      <c r="G2464" s="393" t="s">
        <v>3800</v>
      </c>
      <c r="H2464" s="394">
        <v>4.5834816240749978</v>
      </c>
      <c r="I2464" s="394"/>
      <c r="J2464" s="392">
        <v>1.1458704060187495</v>
      </c>
      <c r="K2464" s="392">
        <v>1.1458704060187495</v>
      </c>
      <c r="L2464" s="392">
        <v>1.1458704060187495</v>
      </c>
      <c r="M2464" s="392">
        <v>1.1458704060187495</v>
      </c>
      <c r="N2464" s="392"/>
    </row>
    <row r="2465" spans="1:14" hidden="1" outlineLevel="2" x14ac:dyDescent="0.35">
      <c r="A2465" s="388" t="s">
        <v>6181</v>
      </c>
      <c r="B2465" s="389">
        <v>44047</v>
      </c>
      <c r="C2465" s="390" t="s">
        <v>4305</v>
      </c>
      <c r="D2465" s="391" t="s">
        <v>4306</v>
      </c>
      <c r="E2465" s="391" t="s">
        <v>6182</v>
      </c>
      <c r="F2465" s="392">
        <v>955000</v>
      </c>
      <c r="G2465" s="393" t="s">
        <v>3800</v>
      </c>
      <c r="H2465" s="394">
        <v>366.67852992599984</v>
      </c>
      <c r="I2465" s="394"/>
      <c r="J2465" s="392">
        <v>91.66963248149996</v>
      </c>
      <c r="K2465" s="392">
        <v>91.66963248149996</v>
      </c>
      <c r="L2465" s="392">
        <v>91.66963248149996</v>
      </c>
      <c r="M2465" s="392">
        <v>91.66963248149996</v>
      </c>
      <c r="N2465" s="392"/>
    </row>
    <row r="2466" spans="1:14" hidden="1" outlineLevel="2" x14ac:dyDescent="0.35">
      <c r="A2466" s="388" t="s">
        <v>6181</v>
      </c>
      <c r="B2466" s="389">
        <v>44047</v>
      </c>
      <c r="C2466" s="390" t="s">
        <v>4305</v>
      </c>
      <c r="D2466" s="391" t="s">
        <v>4307</v>
      </c>
      <c r="E2466" s="391" t="s">
        <v>6182</v>
      </c>
      <c r="F2466" s="392">
        <v>143250</v>
      </c>
      <c r="G2466" s="393" t="s">
        <v>3800</v>
      </c>
      <c r="H2466" s="394">
        <v>55.001779488899977</v>
      </c>
      <c r="I2466" s="394"/>
      <c r="J2466" s="392">
        <v>13.750444872224994</v>
      </c>
      <c r="K2466" s="392">
        <v>13.750444872224994</v>
      </c>
      <c r="L2466" s="392">
        <v>13.750444872224994</v>
      </c>
      <c r="M2466" s="392">
        <v>13.750444872224994</v>
      </c>
      <c r="N2466" s="392"/>
    </row>
    <row r="2467" spans="1:14" hidden="1" outlineLevel="2" x14ac:dyDescent="0.35">
      <c r="A2467" s="388" t="s">
        <v>6181</v>
      </c>
      <c r="B2467" s="389">
        <v>44047</v>
      </c>
      <c r="C2467" s="390" t="s">
        <v>4308</v>
      </c>
      <c r="D2467" s="391" t="s">
        <v>4309</v>
      </c>
      <c r="E2467" s="391" t="s">
        <v>6183</v>
      </c>
      <c r="F2467" s="392">
        <v>119375</v>
      </c>
      <c r="G2467" s="393" t="s">
        <v>3800</v>
      </c>
      <c r="H2467" s="394">
        <v>45.83481624074998</v>
      </c>
      <c r="I2467" s="394"/>
      <c r="J2467" s="392">
        <v>11.458704060187495</v>
      </c>
      <c r="K2467" s="392">
        <v>11.458704060187495</v>
      </c>
      <c r="L2467" s="392">
        <v>11.458704060187495</v>
      </c>
      <c r="M2467" s="392">
        <v>11.458704060187495</v>
      </c>
      <c r="N2467" s="392"/>
    </row>
    <row r="2468" spans="1:14" hidden="1" outlineLevel="2" x14ac:dyDescent="0.35">
      <c r="A2468" s="388" t="s">
        <v>6181</v>
      </c>
      <c r="B2468" s="389">
        <v>44047</v>
      </c>
      <c r="C2468" s="390" t="s">
        <v>4305</v>
      </c>
      <c r="D2468" s="391" t="s">
        <v>4310</v>
      </c>
      <c r="E2468" s="391" t="s">
        <v>6182</v>
      </c>
      <c r="F2468" s="392">
        <v>47750</v>
      </c>
      <c r="G2468" s="393" t="s">
        <v>3800</v>
      </c>
      <c r="H2468" s="394">
        <v>18.333926496299991</v>
      </c>
      <c r="I2468" s="394"/>
      <c r="J2468" s="392">
        <v>4.5834816240749978</v>
      </c>
      <c r="K2468" s="392">
        <v>4.5834816240749978</v>
      </c>
      <c r="L2468" s="392">
        <v>4.5834816240749978</v>
      </c>
      <c r="M2468" s="392">
        <v>4.5834816240749978</v>
      </c>
      <c r="N2468" s="392"/>
    </row>
    <row r="2469" spans="1:14" hidden="1" outlineLevel="2" x14ac:dyDescent="0.35">
      <c r="A2469" s="388" t="s">
        <v>6181</v>
      </c>
      <c r="B2469" s="389">
        <v>44047</v>
      </c>
      <c r="C2469" s="390" t="s">
        <v>4311</v>
      </c>
      <c r="D2469" s="391" t="s">
        <v>4312</v>
      </c>
      <c r="E2469" s="391" t="s">
        <v>4376</v>
      </c>
      <c r="F2469" s="392">
        <v>47750</v>
      </c>
      <c r="G2469" s="393" t="s">
        <v>3800</v>
      </c>
      <c r="H2469" s="394">
        <v>18.333926496299991</v>
      </c>
      <c r="I2469" s="394"/>
      <c r="J2469" s="392">
        <v>4.5834816240749978</v>
      </c>
      <c r="K2469" s="392">
        <v>4.5834816240749978</v>
      </c>
      <c r="L2469" s="392">
        <v>4.5834816240749978</v>
      </c>
      <c r="M2469" s="392">
        <v>4.5834816240749978</v>
      </c>
      <c r="N2469" s="392"/>
    </row>
    <row r="2470" spans="1:14" hidden="1" outlineLevel="2" x14ac:dyDescent="0.35">
      <c r="A2470" s="388" t="s">
        <v>6181</v>
      </c>
      <c r="B2470" s="389">
        <v>44047</v>
      </c>
      <c r="C2470" s="390" t="s">
        <v>4313</v>
      </c>
      <c r="D2470" s="391" t="s">
        <v>4314</v>
      </c>
      <c r="E2470" s="391" t="s">
        <v>4042</v>
      </c>
      <c r="F2470" s="392">
        <v>11937.5</v>
      </c>
      <c r="G2470" s="393" t="s">
        <v>3800</v>
      </c>
      <c r="H2470" s="394">
        <v>4.5834816240749978</v>
      </c>
      <c r="I2470" s="394"/>
      <c r="J2470" s="392">
        <v>1.1458704060187495</v>
      </c>
      <c r="K2470" s="392">
        <v>1.1458704060187495</v>
      </c>
      <c r="L2470" s="392">
        <v>1.1458704060187495</v>
      </c>
      <c r="M2470" s="392">
        <v>1.1458704060187495</v>
      </c>
      <c r="N2470" s="392"/>
    </row>
    <row r="2471" spans="1:14" hidden="1" outlineLevel="2" x14ac:dyDescent="0.35">
      <c r="A2471" s="388" t="s">
        <v>6181</v>
      </c>
      <c r="B2471" s="389">
        <v>44070</v>
      </c>
      <c r="C2471" s="390" t="s">
        <v>4315</v>
      </c>
      <c r="D2471" s="391" t="s">
        <v>4316</v>
      </c>
      <c r="E2471" s="391" t="s">
        <v>6182</v>
      </c>
      <c r="F2471" s="392">
        <v>955000</v>
      </c>
      <c r="G2471" s="393" t="s">
        <v>3800</v>
      </c>
      <c r="H2471" s="394">
        <v>366.67852992599984</v>
      </c>
      <c r="I2471" s="394"/>
      <c r="J2471" s="392">
        <v>91.66963248149996</v>
      </c>
      <c r="K2471" s="392">
        <v>91.66963248149996</v>
      </c>
      <c r="L2471" s="392">
        <v>91.66963248149996</v>
      </c>
      <c r="M2471" s="392">
        <v>91.66963248149996</v>
      </c>
      <c r="N2471" s="392"/>
    </row>
    <row r="2472" spans="1:14" hidden="1" outlineLevel="2" x14ac:dyDescent="0.35">
      <c r="A2472" s="388" t="s">
        <v>6181</v>
      </c>
      <c r="B2472" s="389">
        <v>44070</v>
      </c>
      <c r="C2472" s="390" t="s">
        <v>4315</v>
      </c>
      <c r="D2472" s="391" t="s">
        <v>4317</v>
      </c>
      <c r="E2472" s="391" t="s">
        <v>6182</v>
      </c>
      <c r="F2472" s="392">
        <v>143250</v>
      </c>
      <c r="G2472" s="393" t="s">
        <v>3800</v>
      </c>
      <c r="H2472" s="394">
        <v>55.001779488899977</v>
      </c>
      <c r="I2472" s="394"/>
      <c r="J2472" s="392">
        <v>13.750444872224994</v>
      </c>
      <c r="K2472" s="392">
        <v>13.750444872224994</v>
      </c>
      <c r="L2472" s="392">
        <v>13.750444872224994</v>
      </c>
      <c r="M2472" s="392">
        <v>13.750444872224994</v>
      </c>
      <c r="N2472" s="392"/>
    </row>
    <row r="2473" spans="1:14" hidden="1" outlineLevel="2" x14ac:dyDescent="0.35">
      <c r="A2473" s="388" t="s">
        <v>6181</v>
      </c>
      <c r="B2473" s="389">
        <v>44070</v>
      </c>
      <c r="C2473" s="390" t="s">
        <v>4318</v>
      </c>
      <c r="D2473" s="391" t="s">
        <v>4319</v>
      </c>
      <c r="E2473" s="391" t="s">
        <v>6183</v>
      </c>
      <c r="F2473" s="392">
        <v>119375</v>
      </c>
      <c r="G2473" s="393" t="s">
        <v>3800</v>
      </c>
      <c r="H2473" s="394">
        <v>45.83481624074998</v>
      </c>
      <c r="I2473" s="394"/>
      <c r="J2473" s="392">
        <v>11.458704060187495</v>
      </c>
      <c r="K2473" s="392">
        <v>11.458704060187495</v>
      </c>
      <c r="L2473" s="392">
        <v>11.458704060187495</v>
      </c>
      <c r="M2473" s="392">
        <v>11.458704060187495</v>
      </c>
      <c r="N2473" s="392"/>
    </row>
    <row r="2474" spans="1:14" hidden="1" outlineLevel="2" x14ac:dyDescent="0.35">
      <c r="A2474" s="388" t="s">
        <v>6181</v>
      </c>
      <c r="B2474" s="389">
        <v>44070</v>
      </c>
      <c r="C2474" s="390" t="s">
        <v>4315</v>
      </c>
      <c r="D2474" s="391" t="s">
        <v>4320</v>
      </c>
      <c r="E2474" s="391" t="s">
        <v>6182</v>
      </c>
      <c r="F2474" s="392">
        <v>47750</v>
      </c>
      <c r="G2474" s="393" t="s">
        <v>3800</v>
      </c>
      <c r="H2474" s="394">
        <v>18.333926496299991</v>
      </c>
      <c r="I2474" s="394"/>
      <c r="J2474" s="392">
        <v>4.5834816240749978</v>
      </c>
      <c r="K2474" s="392">
        <v>4.5834816240749978</v>
      </c>
      <c r="L2474" s="392">
        <v>4.5834816240749978</v>
      </c>
      <c r="M2474" s="392">
        <v>4.5834816240749978</v>
      </c>
      <c r="N2474" s="392"/>
    </row>
    <row r="2475" spans="1:14" hidden="1" outlineLevel="2" x14ac:dyDescent="0.35">
      <c r="A2475" s="388" t="s">
        <v>6181</v>
      </c>
      <c r="B2475" s="389">
        <v>44070</v>
      </c>
      <c r="C2475" s="390" t="s">
        <v>4321</v>
      </c>
      <c r="D2475" s="391" t="s">
        <v>4322</v>
      </c>
      <c r="E2475" s="391" t="s">
        <v>4376</v>
      </c>
      <c r="F2475" s="392">
        <v>47750</v>
      </c>
      <c r="G2475" s="393" t="s">
        <v>3800</v>
      </c>
      <c r="H2475" s="394">
        <v>18.333926496299991</v>
      </c>
      <c r="I2475" s="394"/>
      <c r="J2475" s="392">
        <v>4.5834816240749978</v>
      </c>
      <c r="K2475" s="392">
        <v>4.5834816240749978</v>
      </c>
      <c r="L2475" s="392">
        <v>4.5834816240749978</v>
      </c>
      <c r="M2475" s="392">
        <v>4.5834816240749978</v>
      </c>
      <c r="N2475" s="392"/>
    </row>
    <row r="2476" spans="1:14" hidden="1" outlineLevel="2" x14ac:dyDescent="0.35">
      <c r="A2476" s="388" t="s">
        <v>6181</v>
      </c>
      <c r="B2476" s="389">
        <v>44070</v>
      </c>
      <c r="C2476" s="390" t="s">
        <v>4323</v>
      </c>
      <c r="D2476" s="391" t="s">
        <v>4324</v>
      </c>
      <c r="E2476" s="391" t="s">
        <v>4042</v>
      </c>
      <c r="F2476" s="392">
        <v>11937.23</v>
      </c>
      <c r="G2476" s="393" t="s">
        <v>3800</v>
      </c>
      <c r="H2476" s="394">
        <v>4.5833779557995218</v>
      </c>
      <c r="I2476" s="394"/>
      <c r="J2476" s="392">
        <v>1.1458444889498804</v>
      </c>
      <c r="K2476" s="392">
        <v>1.1458444889498804</v>
      </c>
      <c r="L2476" s="392">
        <v>1.1458444889498804</v>
      </c>
      <c r="M2476" s="392">
        <v>1.1458444889498804</v>
      </c>
      <c r="N2476" s="392"/>
    </row>
    <row r="2477" spans="1:14" hidden="1" outlineLevel="2" x14ac:dyDescent="0.35">
      <c r="A2477" s="388" t="s">
        <v>6181</v>
      </c>
      <c r="B2477" s="389">
        <v>44104</v>
      </c>
      <c r="C2477" s="390" t="s">
        <v>4325</v>
      </c>
      <c r="D2477" s="391" t="s">
        <v>4326</v>
      </c>
      <c r="E2477" s="391" t="s">
        <v>6182</v>
      </c>
      <c r="F2477" s="392">
        <v>955000</v>
      </c>
      <c r="G2477" s="393" t="s">
        <v>3800</v>
      </c>
      <c r="H2477" s="394">
        <v>366.67852992599984</v>
      </c>
      <c r="I2477" s="394"/>
      <c r="J2477" s="392">
        <v>91.66963248149996</v>
      </c>
      <c r="K2477" s="392">
        <v>91.66963248149996</v>
      </c>
      <c r="L2477" s="392">
        <v>91.66963248149996</v>
      </c>
      <c r="M2477" s="392">
        <v>91.66963248149996</v>
      </c>
      <c r="N2477" s="392"/>
    </row>
    <row r="2478" spans="1:14" hidden="1" outlineLevel="2" x14ac:dyDescent="0.35">
      <c r="A2478" s="388" t="s">
        <v>6181</v>
      </c>
      <c r="B2478" s="389">
        <v>44104</v>
      </c>
      <c r="C2478" s="390" t="s">
        <v>4325</v>
      </c>
      <c r="D2478" s="391" t="s">
        <v>4327</v>
      </c>
      <c r="E2478" s="391" t="s">
        <v>6182</v>
      </c>
      <c r="F2478" s="392">
        <v>143250</v>
      </c>
      <c r="G2478" s="393" t="s">
        <v>3800</v>
      </c>
      <c r="H2478" s="394">
        <v>55.001779488899977</v>
      </c>
      <c r="I2478" s="394"/>
      <c r="J2478" s="392">
        <v>13.750444872224994</v>
      </c>
      <c r="K2478" s="392">
        <v>13.750444872224994</v>
      </c>
      <c r="L2478" s="392">
        <v>13.750444872224994</v>
      </c>
      <c r="M2478" s="392">
        <v>13.750444872224994</v>
      </c>
      <c r="N2478" s="392"/>
    </row>
    <row r="2479" spans="1:14" hidden="1" outlineLevel="2" x14ac:dyDescent="0.35">
      <c r="A2479" s="388" t="s">
        <v>6181</v>
      </c>
      <c r="B2479" s="389">
        <v>44104</v>
      </c>
      <c r="C2479" s="390" t="s">
        <v>4328</v>
      </c>
      <c r="D2479" s="391" t="s">
        <v>4329</v>
      </c>
      <c r="E2479" s="391" t="s">
        <v>6183</v>
      </c>
      <c r="F2479" s="392">
        <v>119375</v>
      </c>
      <c r="G2479" s="393" t="s">
        <v>3800</v>
      </c>
      <c r="H2479" s="394">
        <v>45.83481624074998</v>
      </c>
      <c r="I2479" s="394"/>
      <c r="J2479" s="392">
        <v>11.458704060187495</v>
      </c>
      <c r="K2479" s="392">
        <v>11.458704060187495</v>
      </c>
      <c r="L2479" s="392">
        <v>11.458704060187495</v>
      </c>
      <c r="M2479" s="392">
        <v>11.458704060187495</v>
      </c>
      <c r="N2479" s="392"/>
    </row>
    <row r="2480" spans="1:14" hidden="1" outlineLevel="2" x14ac:dyDescent="0.35">
      <c r="A2480" s="388" t="s">
        <v>6181</v>
      </c>
      <c r="B2480" s="389">
        <v>44104</v>
      </c>
      <c r="C2480" s="390" t="s">
        <v>4325</v>
      </c>
      <c r="D2480" s="391" t="s">
        <v>4330</v>
      </c>
      <c r="E2480" s="391" t="s">
        <v>6182</v>
      </c>
      <c r="F2480" s="392">
        <v>47750</v>
      </c>
      <c r="G2480" s="393" t="s">
        <v>3800</v>
      </c>
      <c r="H2480" s="394">
        <v>18.333926496299991</v>
      </c>
      <c r="I2480" s="394"/>
      <c r="J2480" s="392">
        <v>4.5834816240749978</v>
      </c>
      <c r="K2480" s="392">
        <v>4.5834816240749978</v>
      </c>
      <c r="L2480" s="392">
        <v>4.5834816240749978</v>
      </c>
      <c r="M2480" s="392">
        <v>4.5834816240749978</v>
      </c>
      <c r="N2480" s="392"/>
    </row>
    <row r="2481" spans="1:14" hidden="1" outlineLevel="2" x14ac:dyDescent="0.35">
      <c r="A2481" s="388" t="s">
        <v>6181</v>
      </c>
      <c r="B2481" s="389">
        <v>44104</v>
      </c>
      <c r="C2481" s="390" t="s">
        <v>4331</v>
      </c>
      <c r="D2481" s="391" t="s">
        <v>4332</v>
      </c>
      <c r="E2481" s="391" t="s">
        <v>4376</v>
      </c>
      <c r="F2481" s="392">
        <v>47750</v>
      </c>
      <c r="G2481" s="393" t="s">
        <v>3800</v>
      </c>
      <c r="H2481" s="394">
        <v>18.333926496299991</v>
      </c>
      <c r="I2481" s="394"/>
      <c r="J2481" s="392">
        <v>4.5834816240749978</v>
      </c>
      <c r="K2481" s="392">
        <v>4.5834816240749978</v>
      </c>
      <c r="L2481" s="392">
        <v>4.5834816240749978</v>
      </c>
      <c r="M2481" s="392">
        <v>4.5834816240749978</v>
      </c>
      <c r="N2481" s="392"/>
    </row>
    <row r="2482" spans="1:14" hidden="1" outlineLevel="2" x14ac:dyDescent="0.35">
      <c r="A2482" s="388" t="s">
        <v>6181</v>
      </c>
      <c r="B2482" s="389">
        <v>44104</v>
      </c>
      <c r="C2482" s="390" t="s">
        <v>4333</v>
      </c>
      <c r="D2482" s="391" t="s">
        <v>4334</v>
      </c>
      <c r="E2482" s="391" t="s">
        <v>4042</v>
      </c>
      <c r="F2482" s="392">
        <v>11937.23</v>
      </c>
      <c r="G2482" s="393" t="s">
        <v>3800</v>
      </c>
      <c r="H2482" s="394">
        <v>4.5833779557995218</v>
      </c>
      <c r="I2482" s="394"/>
      <c r="J2482" s="392">
        <v>1.1458444889498804</v>
      </c>
      <c r="K2482" s="392">
        <v>1.1458444889498804</v>
      </c>
      <c r="L2482" s="392">
        <v>1.1458444889498804</v>
      </c>
      <c r="M2482" s="392">
        <v>1.1458444889498804</v>
      </c>
      <c r="N2482" s="392"/>
    </row>
    <row r="2483" spans="1:14" hidden="1" outlineLevel="2" collapsed="1" x14ac:dyDescent="0.35">
      <c r="A2483" s="388" t="s">
        <v>6181</v>
      </c>
      <c r="B2483" s="389">
        <v>44047</v>
      </c>
      <c r="C2483" s="390" t="s">
        <v>4305</v>
      </c>
      <c r="D2483" s="391" t="s">
        <v>4306</v>
      </c>
      <c r="E2483" s="391" t="s">
        <v>6184</v>
      </c>
      <c r="F2483" s="392">
        <v>955000</v>
      </c>
      <c r="G2483" s="393" t="s">
        <v>3800</v>
      </c>
      <c r="H2483" s="394">
        <v>366.67852992599984</v>
      </c>
      <c r="I2483" s="394"/>
      <c r="J2483" s="392">
        <v>91.66963248149996</v>
      </c>
      <c r="K2483" s="392">
        <v>91.66963248149996</v>
      </c>
      <c r="L2483" s="392">
        <v>91.66963248149996</v>
      </c>
      <c r="M2483" s="392">
        <v>91.66963248149996</v>
      </c>
      <c r="N2483" s="392"/>
    </row>
    <row r="2484" spans="1:14" hidden="1" outlineLevel="2" x14ac:dyDescent="0.35">
      <c r="A2484" s="388" t="s">
        <v>6181</v>
      </c>
      <c r="B2484" s="389">
        <v>44047</v>
      </c>
      <c r="C2484" s="390" t="s">
        <v>4305</v>
      </c>
      <c r="D2484" s="391" t="s">
        <v>4307</v>
      </c>
      <c r="E2484" s="391" t="s">
        <v>6184</v>
      </c>
      <c r="F2484" s="392">
        <v>143250</v>
      </c>
      <c r="G2484" s="393" t="s">
        <v>3800</v>
      </c>
      <c r="H2484" s="394">
        <v>55.001779488899977</v>
      </c>
      <c r="I2484" s="394"/>
      <c r="J2484" s="392">
        <v>13.750444872224994</v>
      </c>
      <c r="K2484" s="392">
        <v>13.750444872224994</v>
      </c>
      <c r="L2484" s="392">
        <v>13.750444872224994</v>
      </c>
      <c r="M2484" s="392">
        <v>13.750444872224994</v>
      </c>
      <c r="N2484" s="392"/>
    </row>
    <row r="2485" spans="1:14" hidden="1" outlineLevel="2" x14ac:dyDescent="0.35">
      <c r="A2485" s="388" t="s">
        <v>6181</v>
      </c>
      <c r="B2485" s="389">
        <v>44047</v>
      </c>
      <c r="C2485" s="390" t="s">
        <v>4308</v>
      </c>
      <c r="D2485" s="391" t="s">
        <v>4309</v>
      </c>
      <c r="E2485" s="391" t="s">
        <v>4272</v>
      </c>
      <c r="F2485" s="392">
        <v>119375</v>
      </c>
      <c r="G2485" s="393" t="s">
        <v>3800</v>
      </c>
      <c r="H2485" s="394">
        <v>45.83481624074998</v>
      </c>
      <c r="I2485" s="394"/>
      <c r="J2485" s="392">
        <v>11.458704060187495</v>
      </c>
      <c r="K2485" s="392">
        <v>11.458704060187495</v>
      </c>
      <c r="L2485" s="392">
        <v>11.458704060187495</v>
      </c>
      <c r="M2485" s="392">
        <v>11.458704060187495</v>
      </c>
      <c r="N2485" s="392"/>
    </row>
    <row r="2486" spans="1:14" hidden="1" outlineLevel="2" x14ac:dyDescent="0.35">
      <c r="A2486" s="388" t="s">
        <v>6181</v>
      </c>
      <c r="B2486" s="389">
        <v>44047</v>
      </c>
      <c r="C2486" s="390" t="s">
        <v>4305</v>
      </c>
      <c r="D2486" s="391" t="s">
        <v>4310</v>
      </c>
      <c r="E2486" s="391" t="s">
        <v>6184</v>
      </c>
      <c r="F2486" s="392">
        <v>47750</v>
      </c>
      <c r="G2486" s="393" t="s">
        <v>3800</v>
      </c>
      <c r="H2486" s="394">
        <v>18.333926496299991</v>
      </c>
      <c r="I2486" s="394"/>
      <c r="J2486" s="392">
        <v>4.5834816240749978</v>
      </c>
      <c r="K2486" s="392">
        <v>4.5834816240749978</v>
      </c>
      <c r="L2486" s="392">
        <v>4.5834816240749978</v>
      </c>
      <c r="M2486" s="392">
        <v>4.5834816240749978</v>
      </c>
      <c r="N2486" s="392"/>
    </row>
    <row r="2487" spans="1:14" hidden="1" outlineLevel="2" x14ac:dyDescent="0.35">
      <c r="A2487" s="388" t="s">
        <v>6181</v>
      </c>
      <c r="B2487" s="389">
        <v>44047</v>
      </c>
      <c r="C2487" s="390" t="s">
        <v>4311</v>
      </c>
      <c r="D2487" s="391" t="s">
        <v>4312</v>
      </c>
      <c r="E2487" s="391" t="s">
        <v>4376</v>
      </c>
      <c r="F2487" s="392">
        <v>47750</v>
      </c>
      <c r="G2487" s="393" t="s">
        <v>3800</v>
      </c>
      <c r="H2487" s="394">
        <v>18.333926496299991</v>
      </c>
      <c r="I2487" s="394"/>
      <c r="J2487" s="392">
        <v>4.5834816240749978</v>
      </c>
      <c r="K2487" s="392">
        <v>4.5834816240749978</v>
      </c>
      <c r="L2487" s="392">
        <v>4.5834816240749978</v>
      </c>
      <c r="M2487" s="392">
        <v>4.5834816240749978</v>
      </c>
      <c r="N2487" s="392"/>
    </row>
    <row r="2488" spans="1:14" hidden="1" outlineLevel="2" collapsed="1" x14ac:dyDescent="0.35">
      <c r="A2488" s="388" t="s">
        <v>6181</v>
      </c>
      <c r="B2488" s="389">
        <v>44047</v>
      </c>
      <c r="C2488" s="390" t="s">
        <v>4313</v>
      </c>
      <c r="D2488" s="391" t="s">
        <v>4314</v>
      </c>
      <c r="E2488" s="391" t="s">
        <v>4042</v>
      </c>
      <c r="F2488" s="392">
        <v>11937.5</v>
      </c>
      <c r="G2488" s="393" t="s">
        <v>3800</v>
      </c>
      <c r="H2488" s="394">
        <v>4.5834816240749978</v>
      </c>
      <c r="I2488" s="394"/>
      <c r="J2488" s="392">
        <v>1.1458704060187495</v>
      </c>
      <c r="K2488" s="392">
        <v>1.1458704060187495</v>
      </c>
      <c r="L2488" s="392">
        <v>1.1458704060187495</v>
      </c>
      <c r="M2488" s="392">
        <v>1.1458704060187495</v>
      </c>
      <c r="N2488" s="392"/>
    </row>
    <row r="2489" spans="1:14" hidden="1" outlineLevel="2" x14ac:dyDescent="0.35">
      <c r="A2489" s="388" t="s">
        <v>6181</v>
      </c>
      <c r="B2489" s="389">
        <v>44070</v>
      </c>
      <c r="C2489" s="390" t="s">
        <v>4315</v>
      </c>
      <c r="D2489" s="391" t="s">
        <v>4316</v>
      </c>
      <c r="E2489" s="391" t="s">
        <v>6184</v>
      </c>
      <c r="F2489" s="392">
        <v>955000</v>
      </c>
      <c r="G2489" s="393" t="s">
        <v>3800</v>
      </c>
      <c r="H2489" s="394">
        <v>366.67852992599984</v>
      </c>
      <c r="I2489" s="394"/>
      <c r="J2489" s="392">
        <v>91.66963248149996</v>
      </c>
      <c r="K2489" s="392">
        <v>91.66963248149996</v>
      </c>
      <c r="L2489" s="392">
        <v>91.66963248149996</v>
      </c>
      <c r="M2489" s="392">
        <v>91.66963248149996</v>
      </c>
      <c r="N2489" s="392"/>
    </row>
    <row r="2490" spans="1:14" hidden="1" outlineLevel="2" x14ac:dyDescent="0.35">
      <c r="A2490" s="388" t="s">
        <v>6181</v>
      </c>
      <c r="B2490" s="389">
        <v>44070</v>
      </c>
      <c r="C2490" s="390" t="s">
        <v>4315</v>
      </c>
      <c r="D2490" s="391" t="s">
        <v>4317</v>
      </c>
      <c r="E2490" s="391" t="s">
        <v>6184</v>
      </c>
      <c r="F2490" s="392">
        <v>143250</v>
      </c>
      <c r="G2490" s="393" t="s">
        <v>3800</v>
      </c>
      <c r="H2490" s="394">
        <v>55.001779488899977</v>
      </c>
      <c r="I2490" s="394"/>
      <c r="J2490" s="392">
        <v>13.750444872224994</v>
      </c>
      <c r="K2490" s="392">
        <v>13.750444872224994</v>
      </c>
      <c r="L2490" s="392">
        <v>13.750444872224994</v>
      </c>
      <c r="M2490" s="392">
        <v>13.750444872224994</v>
      </c>
      <c r="N2490" s="392"/>
    </row>
    <row r="2491" spans="1:14" hidden="1" outlineLevel="2" x14ac:dyDescent="0.35">
      <c r="A2491" s="388" t="s">
        <v>6181</v>
      </c>
      <c r="B2491" s="389">
        <v>44070</v>
      </c>
      <c r="C2491" s="390" t="s">
        <v>4318</v>
      </c>
      <c r="D2491" s="391" t="s">
        <v>4319</v>
      </c>
      <c r="E2491" s="391" t="s">
        <v>4272</v>
      </c>
      <c r="F2491" s="392">
        <v>119375</v>
      </c>
      <c r="G2491" s="393" t="s">
        <v>3800</v>
      </c>
      <c r="H2491" s="394">
        <v>45.83481624074998</v>
      </c>
      <c r="I2491" s="394"/>
      <c r="J2491" s="392">
        <v>11.458704060187495</v>
      </c>
      <c r="K2491" s="392">
        <v>11.458704060187495</v>
      </c>
      <c r="L2491" s="392">
        <v>11.458704060187495</v>
      </c>
      <c r="M2491" s="392">
        <v>11.458704060187495</v>
      </c>
      <c r="N2491" s="392"/>
    </row>
    <row r="2492" spans="1:14" hidden="1" outlineLevel="2" x14ac:dyDescent="0.35">
      <c r="A2492" s="388" t="s">
        <v>6181</v>
      </c>
      <c r="B2492" s="389">
        <v>44070</v>
      </c>
      <c r="C2492" s="390" t="s">
        <v>4315</v>
      </c>
      <c r="D2492" s="391" t="s">
        <v>4320</v>
      </c>
      <c r="E2492" s="391" t="s">
        <v>6184</v>
      </c>
      <c r="F2492" s="392">
        <v>47750</v>
      </c>
      <c r="G2492" s="393" t="s">
        <v>3800</v>
      </c>
      <c r="H2492" s="394">
        <v>18.333926496299991</v>
      </c>
      <c r="I2492" s="394"/>
      <c r="J2492" s="392">
        <v>4.5834816240749978</v>
      </c>
      <c r="K2492" s="392">
        <v>4.5834816240749978</v>
      </c>
      <c r="L2492" s="392">
        <v>4.5834816240749978</v>
      </c>
      <c r="M2492" s="392">
        <v>4.5834816240749978</v>
      </c>
      <c r="N2492" s="392"/>
    </row>
    <row r="2493" spans="1:14" hidden="1" outlineLevel="2" x14ac:dyDescent="0.35">
      <c r="A2493" s="388" t="s">
        <v>6181</v>
      </c>
      <c r="B2493" s="389">
        <v>44070</v>
      </c>
      <c r="C2493" s="390" t="s">
        <v>4321</v>
      </c>
      <c r="D2493" s="391" t="s">
        <v>4322</v>
      </c>
      <c r="E2493" s="391" t="s">
        <v>4376</v>
      </c>
      <c r="F2493" s="392">
        <v>47750</v>
      </c>
      <c r="G2493" s="393" t="s">
        <v>3800</v>
      </c>
      <c r="H2493" s="394">
        <v>18.333926496299991</v>
      </c>
      <c r="I2493" s="394"/>
      <c r="J2493" s="392">
        <v>4.5834816240749978</v>
      </c>
      <c r="K2493" s="392">
        <v>4.5834816240749978</v>
      </c>
      <c r="L2493" s="392">
        <v>4.5834816240749978</v>
      </c>
      <c r="M2493" s="392">
        <v>4.5834816240749978</v>
      </c>
      <c r="N2493" s="392"/>
    </row>
    <row r="2494" spans="1:14" hidden="1" outlineLevel="2" x14ac:dyDescent="0.35">
      <c r="A2494" s="388" t="s">
        <v>6181</v>
      </c>
      <c r="B2494" s="389">
        <v>44070</v>
      </c>
      <c r="C2494" s="390" t="s">
        <v>4323</v>
      </c>
      <c r="D2494" s="391" t="s">
        <v>4324</v>
      </c>
      <c r="E2494" s="391" t="s">
        <v>4042</v>
      </c>
      <c r="F2494" s="392">
        <v>11937.5</v>
      </c>
      <c r="G2494" s="393" t="s">
        <v>3800</v>
      </c>
      <c r="H2494" s="394">
        <v>4.5834816240749978</v>
      </c>
      <c r="I2494" s="394"/>
      <c r="J2494" s="392">
        <v>1.1458704060187495</v>
      </c>
      <c r="K2494" s="392">
        <v>1.1458704060187495</v>
      </c>
      <c r="L2494" s="392">
        <v>1.1458704060187495</v>
      </c>
      <c r="M2494" s="392">
        <v>1.1458704060187495</v>
      </c>
      <c r="N2494" s="392"/>
    </row>
    <row r="2495" spans="1:14" hidden="1" outlineLevel="2" x14ac:dyDescent="0.35">
      <c r="A2495" s="388" t="s">
        <v>6181</v>
      </c>
      <c r="B2495" s="389">
        <v>44104</v>
      </c>
      <c r="C2495" s="390" t="s">
        <v>4325</v>
      </c>
      <c r="D2495" s="391" t="s">
        <v>4326</v>
      </c>
      <c r="E2495" s="391" t="s">
        <v>6184</v>
      </c>
      <c r="F2495" s="392">
        <v>955000</v>
      </c>
      <c r="G2495" s="393" t="s">
        <v>3800</v>
      </c>
      <c r="H2495" s="394">
        <v>366.67852992599984</v>
      </c>
      <c r="I2495" s="394"/>
      <c r="J2495" s="392">
        <v>91.66963248149996</v>
      </c>
      <c r="K2495" s="392">
        <v>91.66963248149996</v>
      </c>
      <c r="L2495" s="392">
        <v>91.66963248149996</v>
      </c>
      <c r="M2495" s="392">
        <v>91.66963248149996</v>
      </c>
      <c r="N2495" s="392"/>
    </row>
    <row r="2496" spans="1:14" hidden="1" outlineLevel="2" x14ac:dyDescent="0.35">
      <c r="A2496" s="388" t="s">
        <v>6181</v>
      </c>
      <c r="B2496" s="389">
        <v>44104</v>
      </c>
      <c r="C2496" s="390" t="s">
        <v>4325</v>
      </c>
      <c r="D2496" s="391" t="s">
        <v>4327</v>
      </c>
      <c r="E2496" s="391" t="s">
        <v>6184</v>
      </c>
      <c r="F2496" s="392">
        <v>143250</v>
      </c>
      <c r="G2496" s="393" t="s">
        <v>3800</v>
      </c>
      <c r="H2496" s="394">
        <v>55.001779488899977</v>
      </c>
      <c r="I2496" s="394"/>
      <c r="J2496" s="392">
        <v>13.750444872224994</v>
      </c>
      <c r="K2496" s="392">
        <v>13.750444872224994</v>
      </c>
      <c r="L2496" s="392">
        <v>13.750444872224994</v>
      </c>
      <c r="M2496" s="392">
        <v>13.750444872224994</v>
      </c>
      <c r="N2496" s="392"/>
    </row>
    <row r="2497" spans="1:14" hidden="1" outlineLevel="2" x14ac:dyDescent="0.35">
      <c r="A2497" s="388" t="s">
        <v>6181</v>
      </c>
      <c r="B2497" s="389">
        <v>44104</v>
      </c>
      <c r="C2497" s="390" t="s">
        <v>4328</v>
      </c>
      <c r="D2497" s="391" t="s">
        <v>4329</v>
      </c>
      <c r="E2497" s="391" t="s">
        <v>4272</v>
      </c>
      <c r="F2497" s="392">
        <v>119375</v>
      </c>
      <c r="G2497" s="393" t="s">
        <v>3800</v>
      </c>
      <c r="H2497" s="394">
        <v>45.83481624074998</v>
      </c>
      <c r="I2497" s="394"/>
      <c r="J2497" s="392">
        <v>11.458704060187495</v>
      </c>
      <c r="K2497" s="392">
        <v>11.458704060187495</v>
      </c>
      <c r="L2497" s="392">
        <v>11.458704060187495</v>
      </c>
      <c r="M2497" s="392">
        <v>11.458704060187495</v>
      </c>
      <c r="N2497" s="392"/>
    </row>
    <row r="2498" spans="1:14" hidden="1" outlineLevel="2" x14ac:dyDescent="0.35">
      <c r="A2498" s="388" t="s">
        <v>6181</v>
      </c>
      <c r="B2498" s="389">
        <v>44104</v>
      </c>
      <c r="C2498" s="390" t="s">
        <v>4325</v>
      </c>
      <c r="D2498" s="391" t="s">
        <v>4330</v>
      </c>
      <c r="E2498" s="391" t="s">
        <v>6184</v>
      </c>
      <c r="F2498" s="392">
        <v>47750</v>
      </c>
      <c r="G2498" s="393" t="s">
        <v>3800</v>
      </c>
      <c r="H2498" s="394">
        <v>18.333926496299991</v>
      </c>
      <c r="I2498" s="394"/>
      <c r="J2498" s="392">
        <v>4.5834816240749978</v>
      </c>
      <c r="K2498" s="392">
        <v>4.5834816240749978</v>
      </c>
      <c r="L2498" s="392">
        <v>4.5834816240749978</v>
      </c>
      <c r="M2498" s="392">
        <v>4.5834816240749978</v>
      </c>
      <c r="N2498" s="392"/>
    </row>
    <row r="2499" spans="1:14" hidden="1" outlineLevel="2" x14ac:dyDescent="0.35">
      <c r="A2499" s="388" t="s">
        <v>6181</v>
      </c>
      <c r="B2499" s="389">
        <v>44104</v>
      </c>
      <c r="C2499" s="390" t="s">
        <v>4331</v>
      </c>
      <c r="D2499" s="391" t="s">
        <v>4332</v>
      </c>
      <c r="E2499" s="391" t="s">
        <v>4376</v>
      </c>
      <c r="F2499" s="392">
        <v>47750</v>
      </c>
      <c r="G2499" s="393" t="s">
        <v>3800</v>
      </c>
      <c r="H2499" s="394">
        <v>18.333926496299991</v>
      </c>
      <c r="I2499" s="394"/>
      <c r="J2499" s="392">
        <v>4.5834816240749978</v>
      </c>
      <c r="K2499" s="392">
        <v>4.5834816240749978</v>
      </c>
      <c r="L2499" s="392">
        <v>4.5834816240749978</v>
      </c>
      <c r="M2499" s="392">
        <v>4.5834816240749978</v>
      </c>
      <c r="N2499" s="392"/>
    </row>
    <row r="2500" spans="1:14" hidden="1" outlineLevel="2" x14ac:dyDescent="0.35">
      <c r="A2500" s="388" t="s">
        <v>6181</v>
      </c>
      <c r="B2500" s="389">
        <v>44104</v>
      </c>
      <c r="C2500" s="390" t="s">
        <v>4333</v>
      </c>
      <c r="D2500" s="391" t="s">
        <v>4334</v>
      </c>
      <c r="E2500" s="391" t="s">
        <v>4042</v>
      </c>
      <c r="F2500" s="392">
        <v>11937.5</v>
      </c>
      <c r="G2500" s="393" t="s">
        <v>3800</v>
      </c>
      <c r="H2500" s="394">
        <v>4.5834816240749978</v>
      </c>
      <c r="I2500" s="394"/>
      <c r="J2500" s="392">
        <v>1.1458704060187495</v>
      </c>
      <c r="K2500" s="392">
        <v>1.1458704060187495</v>
      </c>
      <c r="L2500" s="392">
        <v>1.1458704060187495</v>
      </c>
      <c r="M2500" s="392">
        <v>1.1458704060187495</v>
      </c>
      <c r="N2500" s="392"/>
    </row>
    <row r="2501" spans="1:14" hidden="1" outlineLevel="2" collapsed="1" x14ac:dyDescent="0.35">
      <c r="A2501" s="388" t="s">
        <v>6181</v>
      </c>
      <c r="B2501" s="389">
        <v>44131</v>
      </c>
      <c r="C2501" s="390" t="s">
        <v>4335</v>
      </c>
      <c r="D2501" s="391" t="s">
        <v>4336</v>
      </c>
      <c r="E2501" s="391" t="s">
        <v>6182</v>
      </c>
      <c r="F2501" s="392">
        <v>955000</v>
      </c>
      <c r="G2501" s="393" t="s">
        <v>3800</v>
      </c>
      <c r="H2501" s="394">
        <v>366.67852992599984</v>
      </c>
      <c r="I2501" s="394"/>
      <c r="J2501" s="392">
        <v>91.66963248149996</v>
      </c>
      <c r="K2501" s="392">
        <v>91.66963248149996</v>
      </c>
      <c r="L2501" s="392">
        <v>91.66963248149996</v>
      </c>
      <c r="M2501" s="392">
        <v>91.66963248149996</v>
      </c>
      <c r="N2501" s="392"/>
    </row>
    <row r="2502" spans="1:14" hidden="1" outlineLevel="2" x14ac:dyDescent="0.35">
      <c r="A2502" s="388" t="s">
        <v>6181</v>
      </c>
      <c r="B2502" s="389">
        <v>44131</v>
      </c>
      <c r="C2502" s="390" t="s">
        <v>4335</v>
      </c>
      <c r="D2502" s="391" t="s">
        <v>4337</v>
      </c>
      <c r="E2502" s="391" t="s">
        <v>6182</v>
      </c>
      <c r="F2502" s="392">
        <v>143250</v>
      </c>
      <c r="G2502" s="393" t="s">
        <v>3800</v>
      </c>
      <c r="H2502" s="394">
        <v>55.001779488899977</v>
      </c>
      <c r="I2502" s="394"/>
      <c r="J2502" s="392">
        <v>13.750444872224994</v>
      </c>
      <c r="K2502" s="392">
        <v>13.750444872224994</v>
      </c>
      <c r="L2502" s="392">
        <v>13.750444872224994</v>
      </c>
      <c r="M2502" s="392">
        <v>13.750444872224994</v>
      </c>
      <c r="N2502" s="392"/>
    </row>
    <row r="2503" spans="1:14" hidden="1" outlineLevel="2" collapsed="1" x14ac:dyDescent="0.35">
      <c r="A2503" s="388" t="s">
        <v>6181</v>
      </c>
      <c r="B2503" s="389">
        <v>44131</v>
      </c>
      <c r="C2503" s="390" t="s">
        <v>4338</v>
      </c>
      <c r="D2503" s="391" t="s">
        <v>4339</v>
      </c>
      <c r="E2503" s="391" t="s">
        <v>6183</v>
      </c>
      <c r="F2503" s="392">
        <v>119375</v>
      </c>
      <c r="G2503" s="393" t="s">
        <v>3800</v>
      </c>
      <c r="H2503" s="394">
        <v>45.83481624074998</v>
      </c>
      <c r="I2503" s="394"/>
      <c r="J2503" s="392">
        <v>11.458704060187495</v>
      </c>
      <c r="K2503" s="392">
        <v>11.458704060187495</v>
      </c>
      <c r="L2503" s="392">
        <v>11.458704060187495</v>
      </c>
      <c r="M2503" s="392">
        <v>11.458704060187495</v>
      </c>
      <c r="N2503" s="392"/>
    </row>
    <row r="2504" spans="1:14" hidden="1" outlineLevel="2" x14ac:dyDescent="0.35">
      <c r="A2504" s="388" t="s">
        <v>6181</v>
      </c>
      <c r="B2504" s="389">
        <v>44131</v>
      </c>
      <c r="C2504" s="390" t="s">
        <v>4325</v>
      </c>
      <c r="D2504" s="391" t="s">
        <v>4340</v>
      </c>
      <c r="E2504" s="391" t="s">
        <v>6182</v>
      </c>
      <c r="F2504" s="392">
        <v>47750</v>
      </c>
      <c r="G2504" s="393" t="s">
        <v>3800</v>
      </c>
      <c r="H2504" s="394">
        <v>18.333926496299991</v>
      </c>
      <c r="I2504" s="394"/>
      <c r="J2504" s="392">
        <v>4.5834816240749978</v>
      </c>
      <c r="K2504" s="392">
        <v>4.5834816240749978</v>
      </c>
      <c r="L2504" s="392">
        <v>4.5834816240749978</v>
      </c>
      <c r="M2504" s="392">
        <v>4.5834816240749978</v>
      </c>
      <c r="N2504" s="392"/>
    </row>
    <row r="2505" spans="1:14" hidden="1" outlineLevel="2" x14ac:dyDescent="0.35">
      <c r="A2505" s="388" t="s">
        <v>6181</v>
      </c>
      <c r="B2505" s="389">
        <v>44131</v>
      </c>
      <c r="C2505" s="390" t="s">
        <v>4341</v>
      </c>
      <c r="D2505" s="391" t="s">
        <v>4342</v>
      </c>
      <c r="E2505" s="391" t="s">
        <v>4376</v>
      </c>
      <c r="F2505" s="392">
        <v>47750</v>
      </c>
      <c r="G2505" s="393" t="s">
        <v>3800</v>
      </c>
      <c r="H2505" s="394">
        <v>18.333926496299991</v>
      </c>
      <c r="I2505" s="394"/>
      <c r="J2505" s="392">
        <v>4.5834816240749978</v>
      </c>
      <c r="K2505" s="392">
        <v>4.5834816240749978</v>
      </c>
      <c r="L2505" s="392">
        <v>4.5834816240749978</v>
      </c>
      <c r="M2505" s="392">
        <v>4.5834816240749978</v>
      </c>
      <c r="N2505" s="392"/>
    </row>
    <row r="2506" spans="1:14" hidden="1" outlineLevel="2" x14ac:dyDescent="0.35">
      <c r="A2506" s="388" t="s">
        <v>6181</v>
      </c>
      <c r="B2506" s="389">
        <v>44131</v>
      </c>
      <c r="C2506" s="390" t="s">
        <v>4343</v>
      </c>
      <c r="D2506" s="391" t="s">
        <v>4344</v>
      </c>
      <c r="E2506" s="391" t="s">
        <v>4042</v>
      </c>
      <c r="F2506" s="392">
        <v>11937.5</v>
      </c>
      <c r="G2506" s="393" t="s">
        <v>3800</v>
      </c>
      <c r="H2506" s="394">
        <v>4.5834816240749978</v>
      </c>
      <c r="I2506" s="394"/>
      <c r="J2506" s="392">
        <v>1.1458704060187495</v>
      </c>
      <c r="K2506" s="392">
        <v>1.1458704060187495</v>
      </c>
      <c r="L2506" s="392">
        <v>1.1458704060187495</v>
      </c>
      <c r="M2506" s="392">
        <v>1.1458704060187495</v>
      </c>
      <c r="N2506" s="392"/>
    </row>
    <row r="2507" spans="1:14" hidden="1" outlineLevel="2" x14ac:dyDescent="0.35">
      <c r="A2507" s="388" t="s">
        <v>6181</v>
      </c>
      <c r="B2507" s="389">
        <v>44165</v>
      </c>
      <c r="C2507" s="390" t="s">
        <v>4345</v>
      </c>
      <c r="D2507" s="391" t="s">
        <v>4346</v>
      </c>
      <c r="E2507" s="391" t="s">
        <v>6182</v>
      </c>
      <c r="F2507" s="392">
        <v>955000</v>
      </c>
      <c r="G2507" s="393" t="s">
        <v>3800</v>
      </c>
      <c r="H2507" s="394">
        <v>366.67852992599984</v>
      </c>
      <c r="I2507" s="394"/>
      <c r="J2507" s="392">
        <v>91.66963248149996</v>
      </c>
      <c r="K2507" s="392">
        <v>91.66963248149996</v>
      </c>
      <c r="L2507" s="392">
        <v>91.66963248149996</v>
      </c>
      <c r="M2507" s="392">
        <v>91.66963248149996</v>
      </c>
      <c r="N2507" s="392"/>
    </row>
    <row r="2508" spans="1:14" hidden="1" outlineLevel="2" x14ac:dyDescent="0.35">
      <c r="A2508" s="388" t="s">
        <v>6181</v>
      </c>
      <c r="B2508" s="389">
        <v>44165</v>
      </c>
      <c r="C2508" s="390" t="s">
        <v>4345</v>
      </c>
      <c r="D2508" s="391" t="s">
        <v>4347</v>
      </c>
      <c r="E2508" s="391" t="s">
        <v>6182</v>
      </c>
      <c r="F2508" s="392">
        <v>143250</v>
      </c>
      <c r="G2508" s="393" t="s">
        <v>3800</v>
      </c>
      <c r="H2508" s="394">
        <v>55.001779488899977</v>
      </c>
      <c r="I2508" s="394"/>
      <c r="J2508" s="392">
        <v>13.750444872224994</v>
      </c>
      <c r="K2508" s="392">
        <v>13.750444872224994</v>
      </c>
      <c r="L2508" s="392">
        <v>13.750444872224994</v>
      </c>
      <c r="M2508" s="392">
        <v>13.750444872224994</v>
      </c>
      <c r="N2508" s="392"/>
    </row>
    <row r="2509" spans="1:14" hidden="1" outlineLevel="2" x14ac:dyDescent="0.35">
      <c r="A2509" s="388" t="s">
        <v>6181</v>
      </c>
      <c r="B2509" s="389">
        <v>44165</v>
      </c>
      <c r="C2509" s="390" t="s">
        <v>4348</v>
      </c>
      <c r="D2509" s="391" t="s">
        <v>4349</v>
      </c>
      <c r="E2509" s="391" t="s">
        <v>6183</v>
      </c>
      <c r="F2509" s="392">
        <v>119375</v>
      </c>
      <c r="G2509" s="393" t="s">
        <v>3800</v>
      </c>
      <c r="H2509" s="394">
        <v>45.83481624074998</v>
      </c>
      <c r="I2509" s="394"/>
      <c r="J2509" s="392">
        <v>11.458704060187495</v>
      </c>
      <c r="K2509" s="392">
        <v>11.458704060187495</v>
      </c>
      <c r="L2509" s="392">
        <v>11.458704060187495</v>
      </c>
      <c r="M2509" s="392">
        <v>11.458704060187495</v>
      </c>
      <c r="N2509" s="392"/>
    </row>
    <row r="2510" spans="1:14" hidden="1" outlineLevel="2" collapsed="1" x14ac:dyDescent="0.35">
      <c r="A2510" s="388" t="s">
        <v>6181</v>
      </c>
      <c r="B2510" s="389">
        <v>44165</v>
      </c>
      <c r="C2510" s="390" t="s">
        <v>4345</v>
      </c>
      <c r="D2510" s="391" t="s">
        <v>4350</v>
      </c>
      <c r="E2510" s="391" t="s">
        <v>6182</v>
      </c>
      <c r="F2510" s="392">
        <v>47750</v>
      </c>
      <c r="G2510" s="393" t="s">
        <v>3800</v>
      </c>
      <c r="H2510" s="394">
        <v>18.333926496299991</v>
      </c>
      <c r="I2510" s="394"/>
      <c r="J2510" s="392">
        <v>4.5834816240749978</v>
      </c>
      <c r="K2510" s="392">
        <v>4.5834816240749978</v>
      </c>
      <c r="L2510" s="392">
        <v>4.5834816240749978</v>
      </c>
      <c r="M2510" s="392">
        <v>4.5834816240749978</v>
      </c>
      <c r="N2510" s="392"/>
    </row>
    <row r="2511" spans="1:14" hidden="1" outlineLevel="2" x14ac:dyDescent="0.35">
      <c r="A2511" s="388" t="s">
        <v>6181</v>
      </c>
      <c r="B2511" s="389">
        <v>44165</v>
      </c>
      <c r="C2511" s="390" t="s">
        <v>4351</v>
      </c>
      <c r="D2511" s="391" t="s">
        <v>4352</v>
      </c>
      <c r="E2511" s="391" t="s">
        <v>4376</v>
      </c>
      <c r="F2511" s="392">
        <v>47750</v>
      </c>
      <c r="G2511" s="393" t="s">
        <v>3800</v>
      </c>
      <c r="H2511" s="394">
        <v>18.333926496299991</v>
      </c>
      <c r="I2511" s="394"/>
      <c r="J2511" s="392">
        <v>4.5834816240749978</v>
      </c>
      <c r="K2511" s="392">
        <v>4.5834816240749978</v>
      </c>
      <c r="L2511" s="392">
        <v>4.5834816240749978</v>
      </c>
      <c r="M2511" s="392">
        <v>4.5834816240749978</v>
      </c>
      <c r="N2511" s="392"/>
    </row>
    <row r="2512" spans="1:14" hidden="1" outlineLevel="2" x14ac:dyDescent="0.35">
      <c r="A2512" s="388" t="s">
        <v>6181</v>
      </c>
      <c r="B2512" s="389">
        <v>44165</v>
      </c>
      <c r="C2512" s="390" t="s">
        <v>4353</v>
      </c>
      <c r="D2512" s="391" t="s">
        <v>4354</v>
      </c>
      <c r="E2512" s="391" t="s">
        <v>4042</v>
      </c>
      <c r="F2512" s="392">
        <v>11937.5</v>
      </c>
      <c r="G2512" s="393" t="s">
        <v>3800</v>
      </c>
      <c r="H2512" s="394">
        <v>4.5834816240749978</v>
      </c>
      <c r="I2512" s="394"/>
      <c r="J2512" s="392">
        <v>1.1458704060187495</v>
      </c>
      <c r="K2512" s="392">
        <v>1.1458704060187495</v>
      </c>
      <c r="L2512" s="392">
        <v>1.1458704060187495</v>
      </c>
      <c r="M2512" s="392">
        <v>1.1458704060187495</v>
      </c>
      <c r="N2512" s="392"/>
    </row>
    <row r="2513" spans="1:14" hidden="1" outlineLevel="2" x14ac:dyDescent="0.35">
      <c r="A2513" s="388" t="s">
        <v>6181</v>
      </c>
      <c r="B2513" s="389">
        <v>44187</v>
      </c>
      <c r="C2513" s="390" t="s">
        <v>4355</v>
      </c>
      <c r="D2513" s="391" t="s">
        <v>4356</v>
      </c>
      <c r="E2513" s="391" t="s">
        <v>6182</v>
      </c>
      <c r="F2513" s="392">
        <v>955000</v>
      </c>
      <c r="G2513" s="393" t="s">
        <v>3800</v>
      </c>
      <c r="H2513" s="394">
        <v>366.67852992599984</v>
      </c>
      <c r="I2513" s="394"/>
      <c r="J2513" s="392">
        <v>91.66963248149996</v>
      </c>
      <c r="K2513" s="392">
        <v>91.66963248149996</v>
      </c>
      <c r="L2513" s="392">
        <v>91.66963248149996</v>
      </c>
      <c r="M2513" s="392">
        <v>91.66963248149996</v>
      </c>
      <c r="N2513" s="392"/>
    </row>
    <row r="2514" spans="1:14" hidden="1" outlineLevel="2" x14ac:dyDescent="0.35">
      <c r="A2514" s="388" t="s">
        <v>6181</v>
      </c>
      <c r="B2514" s="389">
        <v>44187</v>
      </c>
      <c r="C2514" s="390" t="s">
        <v>4355</v>
      </c>
      <c r="D2514" s="391" t="s">
        <v>4357</v>
      </c>
      <c r="E2514" s="391" t="s">
        <v>6182</v>
      </c>
      <c r="F2514" s="392">
        <v>143250</v>
      </c>
      <c r="G2514" s="393" t="s">
        <v>3800</v>
      </c>
      <c r="H2514" s="394">
        <v>55.001779488899977</v>
      </c>
      <c r="I2514" s="394"/>
      <c r="J2514" s="392">
        <v>13.750444872224994</v>
      </c>
      <c r="K2514" s="392">
        <v>13.750444872224994</v>
      </c>
      <c r="L2514" s="392">
        <v>13.750444872224994</v>
      </c>
      <c r="M2514" s="392">
        <v>13.750444872224994</v>
      </c>
      <c r="N2514" s="392"/>
    </row>
    <row r="2515" spans="1:14" hidden="1" outlineLevel="2" x14ac:dyDescent="0.35">
      <c r="A2515" s="388" t="s">
        <v>6181</v>
      </c>
      <c r="B2515" s="389">
        <v>44187</v>
      </c>
      <c r="C2515" s="390" t="s">
        <v>4358</v>
      </c>
      <c r="D2515" s="391" t="s">
        <v>4359</v>
      </c>
      <c r="E2515" s="391" t="s">
        <v>6183</v>
      </c>
      <c r="F2515" s="392">
        <v>119375</v>
      </c>
      <c r="G2515" s="393" t="s">
        <v>3800</v>
      </c>
      <c r="H2515" s="394">
        <v>45.83481624074998</v>
      </c>
      <c r="I2515" s="394"/>
      <c r="J2515" s="392">
        <v>11.458704060187495</v>
      </c>
      <c r="K2515" s="392">
        <v>11.458704060187495</v>
      </c>
      <c r="L2515" s="392">
        <v>11.458704060187495</v>
      </c>
      <c r="M2515" s="392">
        <v>11.458704060187495</v>
      </c>
      <c r="N2515" s="392"/>
    </row>
    <row r="2516" spans="1:14" hidden="1" outlineLevel="2" collapsed="1" x14ac:dyDescent="0.35">
      <c r="A2516" s="388" t="s">
        <v>6181</v>
      </c>
      <c r="B2516" s="389">
        <v>44187</v>
      </c>
      <c r="C2516" s="390" t="s">
        <v>4355</v>
      </c>
      <c r="D2516" s="391" t="s">
        <v>4360</v>
      </c>
      <c r="E2516" s="391" t="s">
        <v>6182</v>
      </c>
      <c r="F2516" s="392">
        <v>47750</v>
      </c>
      <c r="G2516" s="393" t="s">
        <v>3800</v>
      </c>
      <c r="H2516" s="394">
        <v>18.333926496299991</v>
      </c>
      <c r="I2516" s="394"/>
      <c r="J2516" s="392">
        <v>4.5834816240749978</v>
      </c>
      <c r="K2516" s="392">
        <v>4.5834816240749978</v>
      </c>
      <c r="L2516" s="392">
        <v>4.5834816240749978</v>
      </c>
      <c r="M2516" s="392">
        <v>4.5834816240749978</v>
      </c>
      <c r="N2516" s="392"/>
    </row>
    <row r="2517" spans="1:14" hidden="1" outlineLevel="2" x14ac:dyDescent="0.35">
      <c r="A2517" s="388" t="s">
        <v>6181</v>
      </c>
      <c r="B2517" s="389">
        <v>44187</v>
      </c>
      <c r="C2517" s="390" t="s">
        <v>4361</v>
      </c>
      <c r="D2517" s="391" t="s">
        <v>4362</v>
      </c>
      <c r="E2517" s="391" t="s">
        <v>4376</v>
      </c>
      <c r="F2517" s="392">
        <v>47750</v>
      </c>
      <c r="G2517" s="393" t="s">
        <v>3800</v>
      </c>
      <c r="H2517" s="394">
        <v>18.333926496299991</v>
      </c>
      <c r="I2517" s="394"/>
      <c r="J2517" s="392">
        <v>4.5834816240749978</v>
      </c>
      <c r="K2517" s="392">
        <v>4.5834816240749978</v>
      </c>
      <c r="L2517" s="392">
        <v>4.5834816240749978</v>
      </c>
      <c r="M2517" s="392">
        <v>4.5834816240749978</v>
      </c>
      <c r="N2517" s="392"/>
    </row>
    <row r="2518" spans="1:14" hidden="1" outlineLevel="2" x14ac:dyDescent="0.35">
      <c r="A2518" s="388" t="s">
        <v>6181</v>
      </c>
      <c r="B2518" s="389">
        <v>44187</v>
      </c>
      <c r="C2518" s="390" t="s">
        <v>4363</v>
      </c>
      <c r="D2518" s="391" t="s">
        <v>4364</v>
      </c>
      <c r="E2518" s="391" t="s">
        <v>4042</v>
      </c>
      <c r="F2518" s="392">
        <v>11937.5</v>
      </c>
      <c r="G2518" s="393" t="s">
        <v>3800</v>
      </c>
      <c r="H2518" s="394">
        <v>4.5834816240749978</v>
      </c>
      <c r="I2518" s="394"/>
      <c r="J2518" s="392">
        <v>1.1458704060187495</v>
      </c>
      <c r="K2518" s="392">
        <v>1.1458704060187495</v>
      </c>
      <c r="L2518" s="392">
        <v>1.1458704060187495</v>
      </c>
      <c r="M2518" s="392">
        <v>1.1458704060187495</v>
      </c>
      <c r="N2518" s="392"/>
    </row>
    <row r="2519" spans="1:14" hidden="1" outlineLevel="2" x14ac:dyDescent="0.35">
      <c r="A2519" s="388" t="s">
        <v>6181</v>
      </c>
      <c r="B2519" s="389">
        <v>44131</v>
      </c>
      <c r="C2519" s="390" t="s">
        <v>4335</v>
      </c>
      <c r="D2519" s="391" t="s">
        <v>4336</v>
      </c>
      <c r="E2519" s="391" t="s">
        <v>6184</v>
      </c>
      <c r="F2519" s="392">
        <v>955000</v>
      </c>
      <c r="G2519" s="393" t="s">
        <v>3800</v>
      </c>
      <c r="H2519" s="394">
        <v>366.67852992599984</v>
      </c>
      <c r="I2519" s="394"/>
      <c r="J2519" s="392">
        <v>91.66963248149996</v>
      </c>
      <c r="K2519" s="392">
        <v>91.66963248149996</v>
      </c>
      <c r="L2519" s="392">
        <v>91.66963248149996</v>
      </c>
      <c r="M2519" s="392">
        <v>91.66963248149996</v>
      </c>
      <c r="N2519" s="392"/>
    </row>
    <row r="2520" spans="1:14" hidden="1" outlineLevel="2" x14ac:dyDescent="0.35">
      <c r="A2520" s="388" t="s">
        <v>6181</v>
      </c>
      <c r="B2520" s="389">
        <v>44131</v>
      </c>
      <c r="C2520" s="390" t="s">
        <v>4335</v>
      </c>
      <c r="D2520" s="391" t="s">
        <v>4337</v>
      </c>
      <c r="E2520" s="391" t="s">
        <v>6184</v>
      </c>
      <c r="F2520" s="392">
        <v>143250</v>
      </c>
      <c r="G2520" s="393" t="s">
        <v>3800</v>
      </c>
      <c r="H2520" s="394">
        <v>55.001779488899977</v>
      </c>
      <c r="I2520" s="394"/>
      <c r="J2520" s="392">
        <v>13.750444872224994</v>
      </c>
      <c r="K2520" s="392">
        <v>13.750444872224994</v>
      </c>
      <c r="L2520" s="392">
        <v>13.750444872224994</v>
      </c>
      <c r="M2520" s="392">
        <v>13.750444872224994</v>
      </c>
      <c r="N2520" s="392"/>
    </row>
    <row r="2521" spans="1:14" hidden="1" outlineLevel="2" x14ac:dyDescent="0.35">
      <c r="A2521" s="388" t="s">
        <v>6181</v>
      </c>
      <c r="B2521" s="389">
        <v>44131</v>
      </c>
      <c r="C2521" s="390" t="s">
        <v>4338</v>
      </c>
      <c r="D2521" s="391" t="s">
        <v>4339</v>
      </c>
      <c r="E2521" s="391" t="s">
        <v>4272</v>
      </c>
      <c r="F2521" s="392">
        <v>119375</v>
      </c>
      <c r="G2521" s="393" t="s">
        <v>3800</v>
      </c>
      <c r="H2521" s="394">
        <v>45.83481624074998</v>
      </c>
      <c r="I2521" s="394"/>
      <c r="J2521" s="392">
        <v>11.458704060187495</v>
      </c>
      <c r="K2521" s="392">
        <v>11.458704060187495</v>
      </c>
      <c r="L2521" s="392">
        <v>11.458704060187495</v>
      </c>
      <c r="M2521" s="392">
        <v>11.458704060187495</v>
      </c>
      <c r="N2521" s="392"/>
    </row>
    <row r="2522" spans="1:14" hidden="1" outlineLevel="2" x14ac:dyDescent="0.35">
      <c r="A2522" s="388" t="s">
        <v>6181</v>
      </c>
      <c r="B2522" s="389">
        <v>44131</v>
      </c>
      <c r="C2522" s="390" t="s">
        <v>4325</v>
      </c>
      <c r="D2522" s="391" t="s">
        <v>4340</v>
      </c>
      <c r="E2522" s="391" t="s">
        <v>6184</v>
      </c>
      <c r="F2522" s="392">
        <v>47750</v>
      </c>
      <c r="G2522" s="393" t="s">
        <v>3800</v>
      </c>
      <c r="H2522" s="394">
        <v>18.333926496299991</v>
      </c>
      <c r="I2522" s="394"/>
      <c r="J2522" s="392">
        <v>4.5834816240749978</v>
      </c>
      <c r="K2522" s="392">
        <v>4.5834816240749978</v>
      </c>
      <c r="L2522" s="392">
        <v>4.5834816240749978</v>
      </c>
      <c r="M2522" s="392">
        <v>4.5834816240749978</v>
      </c>
      <c r="N2522" s="392"/>
    </row>
    <row r="2523" spans="1:14" hidden="1" outlineLevel="2" collapsed="1" x14ac:dyDescent="0.35">
      <c r="A2523" s="388" t="s">
        <v>6181</v>
      </c>
      <c r="B2523" s="389">
        <v>44131</v>
      </c>
      <c r="C2523" s="390" t="s">
        <v>4341</v>
      </c>
      <c r="D2523" s="391" t="s">
        <v>4342</v>
      </c>
      <c r="E2523" s="391" t="s">
        <v>4376</v>
      </c>
      <c r="F2523" s="392">
        <v>47750</v>
      </c>
      <c r="G2523" s="393" t="s">
        <v>3800</v>
      </c>
      <c r="H2523" s="394">
        <v>18.333926496299991</v>
      </c>
      <c r="I2523" s="394"/>
      <c r="J2523" s="392">
        <v>4.5834816240749978</v>
      </c>
      <c r="K2523" s="392">
        <v>4.5834816240749978</v>
      </c>
      <c r="L2523" s="392">
        <v>4.5834816240749978</v>
      </c>
      <c r="M2523" s="392">
        <v>4.5834816240749978</v>
      </c>
      <c r="N2523" s="392"/>
    </row>
    <row r="2524" spans="1:14" hidden="1" outlineLevel="2" x14ac:dyDescent="0.35">
      <c r="A2524" s="388" t="s">
        <v>6181</v>
      </c>
      <c r="B2524" s="389">
        <v>44131</v>
      </c>
      <c r="C2524" s="390" t="s">
        <v>4343</v>
      </c>
      <c r="D2524" s="391" t="s">
        <v>4344</v>
      </c>
      <c r="E2524" s="391" t="s">
        <v>4042</v>
      </c>
      <c r="F2524" s="392">
        <v>11937.5</v>
      </c>
      <c r="G2524" s="393" t="s">
        <v>3800</v>
      </c>
      <c r="H2524" s="394">
        <v>4.5834816240749978</v>
      </c>
      <c r="I2524" s="394"/>
      <c r="J2524" s="392">
        <v>1.1458704060187495</v>
      </c>
      <c r="K2524" s="392">
        <v>1.1458704060187495</v>
      </c>
      <c r="L2524" s="392">
        <v>1.1458704060187495</v>
      </c>
      <c r="M2524" s="392">
        <v>1.1458704060187495</v>
      </c>
      <c r="N2524" s="392"/>
    </row>
    <row r="2525" spans="1:14" hidden="1" outlineLevel="2" x14ac:dyDescent="0.35">
      <c r="A2525" s="388" t="s">
        <v>6181</v>
      </c>
      <c r="B2525" s="389">
        <v>44165</v>
      </c>
      <c r="C2525" s="390" t="s">
        <v>4345</v>
      </c>
      <c r="D2525" s="391" t="s">
        <v>4346</v>
      </c>
      <c r="E2525" s="391" t="s">
        <v>6184</v>
      </c>
      <c r="F2525" s="392">
        <v>955000</v>
      </c>
      <c r="G2525" s="393" t="s">
        <v>3800</v>
      </c>
      <c r="H2525" s="394">
        <v>366.67852992599984</v>
      </c>
      <c r="I2525" s="394"/>
      <c r="J2525" s="392">
        <v>91.66963248149996</v>
      </c>
      <c r="K2525" s="392">
        <v>91.66963248149996</v>
      </c>
      <c r="L2525" s="392">
        <v>91.66963248149996</v>
      </c>
      <c r="M2525" s="392">
        <v>91.66963248149996</v>
      </c>
      <c r="N2525" s="392"/>
    </row>
    <row r="2526" spans="1:14" hidden="1" outlineLevel="2" x14ac:dyDescent="0.35">
      <c r="A2526" s="388" t="s">
        <v>6181</v>
      </c>
      <c r="B2526" s="389">
        <v>44165</v>
      </c>
      <c r="C2526" s="390" t="s">
        <v>4345</v>
      </c>
      <c r="D2526" s="391" t="s">
        <v>4347</v>
      </c>
      <c r="E2526" s="391" t="s">
        <v>6184</v>
      </c>
      <c r="F2526" s="392">
        <v>143250</v>
      </c>
      <c r="G2526" s="393" t="s">
        <v>3800</v>
      </c>
      <c r="H2526" s="394">
        <v>55.001779488899977</v>
      </c>
      <c r="I2526" s="394"/>
      <c r="J2526" s="392">
        <v>13.750444872224994</v>
      </c>
      <c r="K2526" s="392">
        <v>13.750444872224994</v>
      </c>
      <c r="L2526" s="392">
        <v>13.750444872224994</v>
      </c>
      <c r="M2526" s="392">
        <v>13.750444872224994</v>
      </c>
      <c r="N2526" s="392"/>
    </row>
    <row r="2527" spans="1:14" hidden="1" outlineLevel="2" x14ac:dyDescent="0.35">
      <c r="A2527" s="388" t="s">
        <v>6181</v>
      </c>
      <c r="B2527" s="389">
        <v>44165</v>
      </c>
      <c r="C2527" s="390" t="s">
        <v>4348</v>
      </c>
      <c r="D2527" s="391" t="s">
        <v>4349</v>
      </c>
      <c r="E2527" s="391" t="s">
        <v>4272</v>
      </c>
      <c r="F2527" s="392">
        <v>119375</v>
      </c>
      <c r="G2527" s="393" t="s">
        <v>3800</v>
      </c>
      <c r="H2527" s="394">
        <v>45.83481624074998</v>
      </c>
      <c r="I2527" s="394"/>
      <c r="J2527" s="392">
        <v>11.458704060187495</v>
      </c>
      <c r="K2527" s="392">
        <v>11.458704060187495</v>
      </c>
      <c r="L2527" s="392">
        <v>11.458704060187495</v>
      </c>
      <c r="M2527" s="392">
        <v>11.458704060187495</v>
      </c>
      <c r="N2527" s="392"/>
    </row>
    <row r="2528" spans="1:14" hidden="1" outlineLevel="2" x14ac:dyDescent="0.35">
      <c r="A2528" s="388" t="s">
        <v>6181</v>
      </c>
      <c r="B2528" s="389">
        <v>44165</v>
      </c>
      <c r="C2528" s="390" t="s">
        <v>4345</v>
      </c>
      <c r="D2528" s="391" t="s">
        <v>4350</v>
      </c>
      <c r="E2528" s="391" t="s">
        <v>6184</v>
      </c>
      <c r="F2528" s="392">
        <v>47750</v>
      </c>
      <c r="G2528" s="393" t="s">
        <v>3800</v>
      </c>
      <c r="H2528" s="394">
        <v>18.333926496299991</v>
      </c>
      <c r="I2528" s="394"/>
      <c r="J2528" s="392">
        <v>4.5834816240749978</v>
      </c>
      <c r="K2528" s="392">
        <v>4.5834816240749978</v>
      </c>
      <c r="L2528" s="392">
        <v>4.5834816240749978</v>
      </c>
      <c r="M2528" s="392">
        <v>4.5834816240749978</v>
      </c>
      <c r="N2528" s="392"/>
    </row>
    <row r="2529" spans="1:14" hidden="1" outlineLevel="2" x14ac:dyDescent="0.35">
      <c r="A2529" s="388" t="s">
        <v>6181</v>
      </c>
      <c r="B2529" s="389">
        <v>44165</v>
      </c>
      <c r="C2529" s="390" t="s">
        <v>4351</v>
      </c>
      <c r="D2529" s="391" t="s">
        <v>4352</v>
      </c>
      <c r="E2529" s="391" t="s">
        <v>4376</v>
      </c>
      <c r="F2529" s="392">
        <v>47750</v>
      </c>
      <c r="G2529" s="393" t="s">
        <v>3800</v>
      </c>
      <c r="H2529" s="394">
        <v>18.333926496299991</v>
      </c>
      <c r="I2529" s="394"/>
      <c r="J2529" s="392">
        <v>4.5834816240749978</v>
      </c>
      <c r="K2529" s="392">
        <v>4.5834816240749978</v>
      </c>
      <c r="L2529" s="392">
        <v>4.5834816240749978</v>
      </c>
      <c r="M2529" s="392">
        <v>4.5834816240749978</v>
      </c>
      <c r="N2529" s="392"/>
    </row>
    <row r="2530" spans="1:14" hidden="1" outlineLevel="2" collapsed="1" x14ac:dyDescent="0.35">
      <c r="A2530" s="388" t="s">
        <v>6181</v>
      </c>
      <c r="B2530" s="389">
        <v>44165</v>
      </c>
      <c r="C2530" s="390" t="s">
        <v>4353</v>
      </c>
      <c r="D2530" s="391" t="s">
        <v>4354</v>
      </c>
      <c r="E2530" s="391" t="s">
        <v>4042</v>
      </c>
      <c r="F2530" s="392">
        <v>11937.5</v>
      </c>
      <c r="G2530" s="393" t="s">
        <v>3800</v>
      </c>
      <c r="H2530" s="394">
        <v>4.5834816240749978</v>
      </c>
      <c r="I2530" s="394"/>
      <c r="J2530" s="392">
        <v>1.1458704060187495</v>
      </c>
      <c r="K2530" s="392">
        <v>1.1458704060187495</v>
      </c>
      <c r="L2530" s="392">
        <v>1.1458704060187495</v>
      </c>
      <c r="M2530" s="392">
        <v>1.1458704060187495</v>
      </c>
      <c r="N2530" s="392"/>
    </row>
    <row r="2531" spans="1:14" hidden="1" outlineLevel="2" x14ac:dyDescent="0.35">
      <c r="A2531" s="388" t="s">
        <v>6181</v>
      </c>
      <c r="B2531" s="389">
        <v>44187</v>
      </c>
      <c r="C2531" s="390" t="s">
        <v>4355</v>
      </c>
      <c r="D2531" s="391" t="s">
        <v>4356</v>
      </c>
      <c r="E2531" s="391" t="s">
        <v>6184</v>
      </c>
      <c r="F2531" s="392">
        <v>955000</v>
      </c>
      <c r="G2531" s="393" t="s">
        <v>3800</v>
      </c>
      <c r="H2531" s="394">
        <v>366.67852992599984</v>
      </c>
      <c r="I2531" s="394"/>
      <c r="J2531" s="392">
        <v>91.66963248149996</v>
      </c>
      <c r="K2531" s="392">
        <v>91.66963248149996</v>
      </c>
      <c r="L2531" s="392">
        <v>91.66963248149996</v>
      </c>
      <c r="M2531" s="392">
        <v>91.66963248149996</v>
      </c>
      <c r="N2531" s="392"/>
    </row>
    <row r="2532" spans="1:14" hidden="1" outlineLevel="2" x14ac:dyDescent="0.35">
      <c r="A2532" s="388" t="s">
        <v>6181</v>
      </c>
      <c r="B2532" s="389">
        <v>44187</v>
      </c>
      <c r="C2532" s="390" t="s">
        <v>4355</v>
      </c>
      <c r="D2532" s="391" t="s">
        <v>4357</v>
      </c>
      <c r="E2532" s="391" t="s">
        <v>6184</v>
      </c>
      <c r="F2532" s="392">
        <v>143250</v>
      </c>
      <c r="G2532" s="393" t="s">
        <v>3800</v>
      </c>
      <c r="H2532" s="394">
        <v>55.001779488899977</v>
      </c>
      <c r="I2532" s="394"/>
      <c r="J2532" s="392">
        <v>13.750444872224994</v>
      </c>
      <c r="K2532" s="392">
        <v>13.750444872224994</v>
      </c>
      <c r="L2532" s="392">
        <v>13.750444872224994</v>
      </c>
      <c r="M2532" s="392">
        <v>13.750444872224994</v>
      </c>
      <c r="N2532" s="392"/>
    </row>
    <row r="2533" spans="1:14" hidden="1" outlineLevel="2" x14ac:dyDescent="0.35">
      <c r="A2533" s="388" t="s">
        <v>6181</v>
      </c>
      <c r="B2533" s="389">
        <v>44187</v>
      </c>
      <c r="C2533" s="390" t="s">
        <v>4358</v>
      </c>
      <c r="D2533" s="391" t="s">
        <v>4359</v>
      </c>
      <c r="E2533" s="391" t="s">
        <v>4272</v>
      </c>
      <c r="F2533" s="392">
        <v>119375</v>
      </c>
      <c r="G2533" s="393" t="s">
        <v>3800</v>
      </c>
      <c r="H2533" s="394">
        <v>45.83481624074998</v>
      </c>
      <c r="I2533" s="394"/>
      <c r="J2533" s="392">
        <v>11.458704060187495</v>
      </c>
      <c r="K2533" s="392">
        <v>11.458704060187495</v>
      </c>
      <c r="L2533" s="392">
        <v>11.458704060187495</v>
      </c>
      <c r="M2533" s="392">
        <v>11.458704060187495</v>
      </c>
      <c r="N2533" s="392"/>
    </row>
    <row r="2534" spans="1:14" hidden="1" outlineLevel="2" x14ac:dyDescent="0.35">
      <c r="A2534" s="388" t="s">
        <v>6181</v>
      </c>
      <c r="B2534" s="389">
        <v>44187</v>
      </c>
      <c r="C2534" s="390" t="s">
        <v>4355</v>
      </c>
      <c r="D2534" s="391" t="s">
        <v>4360</v>
      </c>
      <c r="E2534" s="391" t="s">
        <v>6184</v>
      </c>
      <c r="F2534" s="392">
        <v>47750</v>
      </c>
      <c r="G2534" s="393" t="s">
        <v>3800</v>
      </c>
      <c r="H2534" s="394">
        <v>18.333926496299991</v>
      </c>
      <c r="I2534" s="394"/>
      <c r="J2534" s="392">
        <v>4.5834816240749978</v>
      </c>
      <c r="K2534" s="392">
        <v>4.5834816240749978</v>
      </c>
      <c r="L2534" s="392">
        <v>4.5834816240749978</v>
      </c>
      <c r="M2534" s="392">
        <v>4.5834816240749978</v>
      </c>
      <c r="N2534" s="392"/>
    </row>
    <row r="2535" spans="1:14" hidden="1" outlineLevel="2" x14ac:dyDescent="0.35">
      <c r="A2535" s="388" t="s">
        <v>6181</v>
      </c>
      <c r="B2535" s="389">
        <v>44187</v>
      </c>
      <c r="C2535" s="390" t="s">
        <v>4361</v>
      </c>
      <c r="D2535" s="391" t="s">
        <v>4362</v>
      </c>
      <c r="E2535" s="391" t="s">
        <v>4376</v>
      </c>
      <c r="F2535" s="392">
        <v>47750</v>
      </c>
      <c r="G2535" s="393" t="s">
        <v>3800</v>
      </c>
      <c r="H2535" s="394">
        <v>18.333926496299991</v>
      </c>
      <c r="I2535" s="394"/>
      <c r="J2535" s="392">
        <v>4.5834816240749978</v>
      </c>
      <c r="K2535" s="392">
        <v>4.5834816240749978</v>
      </c>
      <c r="L2535" s="392">
        <v>4.5834816240749978</v>
      </c>
      <c r="M2535" s="392">
        <v>4.5834816240749978</v>
      </c>
      <c r="N2535" s="392"/>
    </row>
    <row r="2536" spans="1:14" hidden="1" outlineLevel="2" x14ac:dyDescent="0.35">
      <c r="A2536" s="388" t="s">
        <v>6181</v>
      </c>
      <c r="B2536" s="389">
        <v>44187</v>
      </c>
      <c r="C2536" s="390" t="s">
        <v>4363</v>
      </c>
      <c r="D2536" s="391" t="s">
        <v>4364</v>
      </c>
      <c r="E2536" s="391" t="s">
        <v>4042</v>
      </c>
      <c r="F2536" s="392">
        <v>11937.5</v>
      </c>
      <c r="G2536" s="393" t="s">
        <v>3800</v>
      </c>
      <c r="H2536" s="394">
        <v>4.5834816240749978</v>
      </c>
      <c r="I2536" s="394"/>
      <c r="J2536" s="392">
        <v>1.1458704060187495</v>
      </c>
      <c r="K2536" s="392">
        <v>1.1458704060187495</v>
      </c>
      <c r="L2536" s="392">
        <v>1.1458704060187495</v>
      </c>
      <c r="M2536" s="392">
        <v>1.1458704060187495</v>
      </c>
      <c r="N2536" s="392"/>
    </row>
    <row r="2537" spans="1:14" s="360" customFormat="1" outlineLevel="1" collapsed="1" x14ac:dyDescent="0.35">
      <c r="A2537" s="396" t="s">
        <v>6186</v>
      </c>
      <c r="B2537" s="397"/>
      <c r="C2537" s="398"/>
      <c r="D2537" s="399"/>
      <c r="E2537" s="399"/>
      <c r="F2537" s="400"/>
      <c r="G2537" s="401"/>
      <c r="H2537" s="402">
        <f t="shared" ref="H2537:N2537" si="93">SUBTOTAL(9,H2393:H2536)</f>
        <v>12210.394735530957</v>
      </c>
      <c r="I2537" s="402"/>
      <c r="J2537" s="400">
        <f t="shared" si="93"/>
        <v>3052.5986838827394</v>
      </c>
      <c r="K2537" s="400">
        <f t="shared" si="93"/>
        <v>3052.5986838827394</v>
      </c>
      <c r="L2537" s="400">
        <f t="shared" si="93"/>
        <v>3052.5986838827394</v>
      </c>
      <c r="M2537" s="400">
        <f t="shared" si="93"/>
        <v>3052.5986838827394</v>
      </c>
      <c r="N2537" s="400">
        <f t="shared" si="93"/>
        <v>0</v>
      </c>
    </row>
    <row r="2538" spans="1:14" hidden="1" outlineLevel="2" x14ac:dyDescent="0.35">
      <c r="A2538" s="388" t="s">
        <v>3971</v>
      </c>
      <c r="B2538" s="389">
        <v>44222</v>
      </c>
      <c r="C2538" s="390" t="s">
        <v>4029</v>
      </c>
      <c r="D2538" s="391" t="s">
        <v>4030</v>
      </c>
      <c r="E2538" s="391" t="s">
        <v>6182</v>
      </c>
      <c r="F2538" s="392">
        <v>955000</v>
      </c>
      <c r="G2538" s="393" t="s">
        <v>3800</v>
      </c>
      <c r="H2538" s="394">
        <v>355.34827482649962</v>
      </c>
      <c r="I2538" s="394"/>
      <c r="J2538" s="392">
        <v>88.837068706624905</v>
      </c>
      <c r="K2538" s="392">
        <v>88.837068706624905</v>
      </c>
      <c r="L2538" s="392">
        <v>88.837068706624905</v>
      </c>
      <c r="M2538" s="392">
        <v>88.837068706624905</v>
      </c>
      <c r="N2538" s="392"/>
    </row>
    <row r="2539" spans="1:14" hidden="1" outlineLevel="2" x14ac:dyDescent="0.35">
      <c r="A2539" s="388" t="s">
        <v>3971</v>
      </c>
      <c r="B2539" s="389">
        <v>44222</v>
      </c>
      <c r="C2539" s="390" t="s">
        <v>4029</v>
      </c>
      <c r="D2539" s="391" t="s">
        <v>4032</v>
      </c>
      <c r="E2539" s="391" t="s">
        <v>6182</v>
      </c>
      <c r="F2539" s="392">
        <v>143250</v>
      </c>
      <c r="G2539" s="393" t="s">
        <v>3800</v>
      </c>
      <c r="H2539" s="394">
        <v>53.302241223974946</v>
      </c>
      <c r="I2539" s="394"/>
      <c r="J2539" s="392">
        <v>13.325560305993736</v>
      </c>
      <c r="K2539" s="392">
        <v>13.325560305993736</v>
      </c>
      <c r="L2539" s="392">
        <v>13.325560305993736</v>
      </c>
      <c r="M2539" s="392">
        <v>13.325560305993736</v>
      </c>
      <c r="N2539" s="392"/>
    </row>
    <row r="2540" spans="1:14" hidden="1" outlineLevel="2" x14ac:dyDescent="0.35">
      <c r="A2540" s="388" t="s">
        <v>3971</v>
      </c>
      <c r="B2540" s="389">
        <v>44222</v>
      </c>
      <c r="C2540" s="390" t="s">
        <v>4033</v>
      </c>
      <c r="D2540" s="391" t="s">
        <v>4034</v>
      </c>
      <c r="E2540" s="391" t="s">
        <v>6183</v>
      </c>
      <c r="F2540" s="392">
        <v>119375</v>
      </c>
      <c r="G2540" s="393" t="s">
        <v>3800</v>
      </c>
      <c r="H2540" s="394">
        <v>44.418534353312452</v>
      </c>
      <c r="I2540" s="394"/>
      <c r="J2540" s="392">
        <v>11.104633588328113</v>
      </c>
      <c r="K2540" s="392">
        <v>11.104633588328113</v>
      </c>
      <c r="L2540" s="392">
        <v>11.104633588328113</v>
      </c>
      <c r="M2540" s="392">
        <v>11.104633588328113</v>
      </c>
      <c r="N2540" s="392"/>
    </row>
    <row r="2541" spans="1:14" hidden="1" outlineLevel="2" collapsed="1" x14ac:dyDescent="0.35">
      <c r="A2541" s="388" t="s">
        <v>3971</v>
      </c>
      <c r="B2541" s="389">
        <v>44222</v>
      </c>
      <c r="C2541" s="390" t="s">
        <v>4029</v>
      </c>
      <c r="D2541" s="391" t="s">
        <v>4036</v>
      </c>
      <c r="E2541" s="391" t="s">
        <v>6182</v>
      </c>
      <c r="F2541" s="392">
        <v>47750</v>
      </c>
      <c r="G2541" s="393" t="s">
        <v>3800</v>
      </c>
      <c r="H2541" s="394">
        <v>17.767413741324983</v>
      </c>
      <c r="I2541" s="394"/>
      <c r="J2541" s="392">
        <v>4.4418534353312458</v>
      </c>
      <c r="K2541" s="392">
        <v>4.4418534353312458</v>
      </c>
      <c r="L2541" s="392">
        <v>4.4418534353312458</v>
      </c>
      <c r="M2541" s="392">
        <v>4.4418534353312458</v>
      </c>
      <c r="N2541" s="392"/>
    </row>
    <row r="2542" spans="1:14" hidden="1" outlineLevel="2" x14ac:dyDescent="0.35">
      <c r="A2542" s="388" t="s">
        <v>3971</v>
      </c>
      <c r="B2542" s="389">
        <v>44222</v>
      </c>
      <c r="C2542" s="390" t="s">
        <v>4037</v>
      </c>
      <c r="D2542" s="391" t="s">
        <v>4038</v>
      </c>
      <c r="E2542" s="391" t="s">
        <v>4376</v>
      </c>
      <c r="F2542" s="392">
        <v>47750</v>
      </c>
      <c r="G2542" s="393" t="s">
        <v>3800</v>
      </c>
      <c r="H2542" s="394">
        <v>17.767413741324983</v>
      </c>
      <c r="I2542" s="394"/>
      <c r="J2542" s="392">
        <v>4.4418534353312458</v>
      </c>
      <c r="K2542" s="392">
        <v>4.4418534353312458</v>
      </c>
      <c r="L2542" s="392">
        <v>4.4418534353312458</v>
      </c>
      <c r="M2542" s="392">
        <v>4.4418534353312458</v>
      </c>
      <c r="N2542" s="392"/>
    </row>
    <row r="2543" spans="1:14" hidden="1" outlineLevel="2" x14ac:dyDescent="0.35">
      <c r="A2543" s="388" t="s">
        <v>3971</v>
      </c>
      <c r="B2543" s="389">
        <v>44222</v>
      </c>
      <c r="C2543" s="390" t="s">
        <v>4040</v>
      </c>
      <c r="D2543" s="391" t="s">
        <v>4041</v>
      </c>
      <c r="E2543" s="391" t="s">
        <v>4042</v>
      </c>
      <c r="F2543" s="392">
        <v>11937.5</v>
      </c>
      <c r="G2543" s="393" t="s">
        <v>3800</v>
      </c>
      <c r="H2543" s="394">
        <v>4.4418534353312458</v>
      </c>
      <c r="I2543" s="394"/>
      <c r="J2543" s="392">
        <v>1.1104633588328114</v>
      </c>
      <c r="K2543" s="392">
        <v>1.1104633588328114</v>
      </c>
      <c r="L2543" s="392">
        <v>1.1104633588328114</v>
      </c>
      <c r="M2543" s="392">
        <v>1.1104633588328114</v>
      </c>
      <c r="N2543" s="392"/>
    </row>
    <row r="2544" spans="1:14" hidden="1" outlineLevel="2" x14ac:dyDescent="0.35">
      <c r="A2544" s="388" t="s">
        <v>3971</v>
      </c>
      <c r="B2544" s="389">
        <v>44259</v>
      </c>
      <c r="C2544" s="390" t="s">
        <v>4043</v>
      </c>
      <c r="D2544" s="391" t="s">
        <v>4044</v>
      </c>
      <c r="E2544" s="391" t="s">
        <v>6182</v>
      </c>
      <c r="F2544" s="392">
        <v>955000</v>
      </c>
      <c r="G2544" s="393" t="s">
        <v>3800</v>
      </c>
      <c r="H2544" s="394">
        <v>355.34827482649962</v>
      </c>
      <c r="I2544" s="394"/>
      <c r="J2544" s="392">
        <v>88.837068706624905</v>
      </c>
      <c r="K2544" s="392">
        <v>88.837068706624905</v>
      </c>
      <c r="L2544" s="392">
        <v>88.837068706624905</v>
      </c>
      <c r="M2544" s="392">
        <v>88.837068706624905</v>
      </c>
      <c r="N2544" s="392"/>
    </row>
    <row r="2545" spans="1:14" hidden="1" outlineLevel="2" x14ac:dyDescent="0.35">
      <c r="A2545" s="388" t="s">
        <v>3971</v>
      </c>
      <c r="B2545" s="389">
        <v>44259</v>
      </c>
      <c r="C2545" s="390" t="s">
        <v>4043</v>
      </c>
      <c r="D2545" s="391" t="s">
        <v>4045</v>
      </c>
      <c r="E2545" s="391" t="s">
        <v>6182</v>
      </c>
      <c r="F2545" s="392">
        <v>143250</v>
      </c>
      <c r="G2545" s="393" t="s">
        <v>3800</v>
      </c>
      <c r="H2545" s="394">
        <v>53.302241223974946</v>
      </c>
      <c r="I2545" s="394"/>
      <c r="J2545" s="392">
        <v>13.325560305993736</v>
      </c>
      <c r="K2545" s="392">
        <v>13.325560305993736</v>
      </c>
      <c r="L2545" s="392">
        <v>13.325560305993736</v>
      </c>
      <c r="M2545" s="392">
        <v>13.325560305993736</v>
      </c>
      <c r="N2545" s="392"/>
    </row>
    <row r="2546" spans="1:14" hidden="1" outlineLevel="2" collapsed="1" x14ac:dyDescent="0.35">
      <c r="A2546" s="388" t="s">
        <v>3971</v>
      </c>
      <c r="B2546" s="389">
        <v>44259</v>
      </c>
      <c r="C2546" s="390" t="s">
        <v>4043</v>
      </c>
      <c r="D2546" s="391" t="s">
        <v>4046</v>
      </c>
      <c r="E2546" s="391" t="s">
        <v>6183</v>
      </c>
      <c r="F2546" s="392">
        <v>119375</v>
      </c>
      <c r="G2546" s="393" t="s">
        <v>3800</v>
      </c>
      <c r="H2546" s="394">
        <v>44.418534353312452</v>
      </c>
      <c r="I2546" s="394"/>
      <c r="J2546" s="392">
        <v>11.104633588328113</v>
      </c>
      <c r="K2546" s="392">
        <v>11.104633588328113</v>
      </c>
      <c r="L2546" s="392">
        <v>11.104633588328113</v>
      </c>
      <c r="M2546" s="392">
        <v>11.104633588328113</v>
      </c>
      <c r="N2546" s="392"/>
    </row>
    <row r="2547" spans="1:14" hidden="1" outlineLevel="2" x14ac:dyDescent="0.35">
      <c r="A2547" s="388" t="s">
        <v>3971</v>
      </c>
      <c r="B2547" s="389">
        <v>44259</v>
      </c>
      <c r="C2547" s="390" t="s">
        <v>4043</v>
      </c>
      <c r="D2547" s="391" t="s">
        <v>4047</v>
      </c>
      <c r="E2547" s="391" t="s">
        <v>6182</v>
      </c>
      <c r="F2547" s="392">
        <v>47750</v>
      </c>
      <c r="G2547" s="393" t="s">
        <v>3800</v>
      </c>
      <c r="H2547" s="394">
        <v>17.767413741324983</v>
      </c>
      <c r="I2547" s="394"/>
      <c r="J2547" s="392">
        <v>4.4418534353312458</v>
      </c>
      <c r="K2547" s="392">
        <v>4.4418534353312458</v>
      </c>
      <c r="L2547" s="392">
        <v>4.4418534353312458</v>
      </c>
      <c r="M2547" s="392">
        <v>4.4418534353312458</v>
      </c>
      <c r="N2547" s="392"/>
    </row>
    <row r="2548" spans="1:14" hidden="1" outlineLevel="2" x14ac:dyDescent="0.35">
      <c r="A2548" s="388" t="s">
        <v>3971</v>
      </c>
      <c r="B2548" s="389">
        <v>44259</v>
      </c>
      <c r="C2548" s="390" t="s">
        <v>4048</v>
      </c>
      <c r="D2548" s="391" t="s">
        <v>4049</v>
      </c>
      <c r="E2548" s="391" t="s">
        <v>4376</v>
      </c>
      <c r="F2548" s="392">
        <v>47750</v>
      </c>
      <c r="G2548" s="393" t="s">
        <v>3800</v>
      </c>
      <c r="H2548" s="394">
        <v>17.767413741324983</v>
      </c>
      <c r="I2548" s="394"/>
      <c r="J2548" s="392">
        <v>4.4418534353312458</v>
      </c>
      <c r="K2548" s="392">
        <v>4.4418534353312458</v>
      </c>
      <c r="L2548" s="392">
        <v>4.4418534353312458</v>
      </c>
      <c r="M2548" s="392">
        <v>4.4418534353312458</v>
      </c>
      <c r="N2548" s="392"/>
    </row>
    <row r="2549" spans="1:14" hidden="1" outlineLevel="2" x14ac:dyDescent="0.35">
      <c r="A2549" s="388" t="s">
        <v>3971</v>
      </c>
      <c r="B2549" s="389">
        <v>44259</v>
      </c>
      <c r="C2549" s="390" t="s">
        <v>4050</v>
      </c>
      <c r="D2549" s="391" t="s">
        <v>4051</v>
      </c>
      <c r="E2549" s="391" t="s">
        <v>4042</v>
      </c>
      <c r="F2549" s="392">
        <v>11937.5</v>
      </c>
      <c r="G2549" s="393" t="s">
        <v>3800</v>
      </c>
      <c r="H2549" s="394">
        <v>4.4418534353312458</v>
      </c>
      <c r="I2549" s="394"/>
      <c r="J2549" s="392">
        <v>1.1104633588328114</v>
      </c>
      <c r="K2549" s="392">
        <v>1.1104633588328114</v>
      </c>
      <c r="L2549" s="392">
        <v>1.1104633588328114</v>
      </c>
      <c r="M2549" s="392">
        <v>1.1104633588328114</v>
      </c>
      <c r="N2549" s="392"/>
    </row>
    <row r="2550" spans="1:14" hidden="1" outlineLevel="2" collapsed="1" x14ac:dyDescent="0.35">
      <c r="A2550" s="388" t="s">
        <v>3971</v>
      </c>
      <c r="B2550" s="389">
        <v>44284</v>
      </c>
      <c r="C2550" s="390" t="s">
        <v>4052</v>
      </c>
      <c r="D2550" s="391" t="s">
        <v>4053</v>
      </c>
      <c r="E2550" s="391" t="s">
        <v>6182</v>
      </c>
      <c r="F2550" s="392">
        <v>955000</v>
      </c>
      <c r="G2550" s="393" t="s">
        <v>3800</v>
      </c>
      <c r="H2550" s="394">
        <v>355.34827482649962</v>
      </c>
      <c r="I2550" s="394"/>
      <c r="J2550" s="392">
        <v>88.837068706624905</v>
      </c>
      <c r="K2550" s="392">
        <v>88.837068706624905</v>
      </c>
      <c r="L2550" s="392">
        <v>88.837068706624905</v>
      </c>
      <c r="M2550" s="392">
        <v>88.837068706624905</v>
      </c>
      <c r="N2550" s="392"/>
    </row>
    <row r="2551" spans="1:14" hidden="1" outlineLevel="2" x14ac:dyDescent="0.35">
      <c r="A2551" s="388" t="s">
        <v>3971</v>
      </c>
      <c r="B2551" s="389">
        <v>44284</v>
      </c>
      <c r="C2551" s="390" t="s">
        <v>4052</v>
      </c>
      <c r="D2551" s="391" t="s">
        <v>4054</v>
      </c>
      <c r="E2551" s="391" t="s">
        <v>6182</v>
      </c>
      <c r="F2551" s="392">
        <v>143250</v>
      </c>
      <c r="G2551" s="393" t="s">
        <v>3800</v>
      </c>
      <c r="H2551" s="394">
        <v>53.302241223974946</v>
      </c>
      <c r="I2551" s="394"/>
      <c r="J2551" s="392">
        <v>13.325560305993736</v>
      </c>
      <c r="K2551" s="392">
        <v>13.325560305993736</v>
      </c>
      <c r="L2551" s="392">
        <v>13.325560305993736</v>
      </c>
      <c r="M2551" s="392">
        <v>13.325560305993736</v>
      </c>
      <c r="N2551" s="392"/>
    </row>
    <row r="2552" spans="1:14" hidden="1" outlineLevel="2" collapsed="1" x14ac:dyDescent="0.35">
      <c r="A2552" s="388" t="s">
        <v>3971</v>
      </c>
      <c r="B2552" s="389">
        <v>44284</v>
      </c>
      <c r="C2552" s="390" t="s">
        <v>4055</v>
      </c>
      <c r="D2552" s="391" t="s">
        <v>4056</v>
      </c>
      <c r="E2552" s="391" t="s">
        <v>6183</v>
      </c>
      <c r="F2552" s="392">
        <v>119375</v>
      </c>
      <c r="G2552" s="393" t="s">
        <v>3800</v>
      </c>
      <c r="H2552" s="394">
        <v>44.418534353312452</v>
      </c>
      <c r="I2552" s="394"/>
      <c r="J2552" s="392">
        <v>11.104633588328113</v>
      </c>
      <c r="K2552" s="392">
        <v>11.104633588328113</v>
      </c>
      <c r="L2552" s="392">
        <v>11.104633588328113</v>
      </c>
      <c r="M2552" s="392">
        <v>11.104633588328113</v>
      </c>
      <c r="N2552" s="392"/>
    </row>
    <row r="2553" spans="1:14" hidden="1" outlineLevel="2" x14ac:dyDescent="0.35">
      <c r="A2553" s="388" t="s">
        <v>3971</v>
      </c>
      <c r="B2553" s="389">
        <v>44284</v>
      </c>
      <c r="C2553" s="390" t="s">
        <v>4052</v>
      </c>
      <c r="D2553" s="391" t="s">
        <v>4057</v>
      </c>
      <c r="E2553" s="391" t="s">
        <v>6182</v>
      </c>
      <c r="F2553" s="392">
        <v>47750</v>
      </c>
      <c r="G2553" s="393" t="s">
        <v>3800</v>
      </c>
      <c r="H2553" s="394">
        <v>17.767413741324983</v>
      </c>
      <c r="I2553" s="394"/>
      <c r="J2553" s="392">
        <v>4.4418534353312458</v>
      </c>
      <c r="K2553" s="392">
        <v>4.4418534353312458</v>
      </c>
      <c r="L2553" s="392">
        <v>4.4418534353312458</v>
      </c>
      <c r="M2553" s="392">
        <v>4.4418534353312458</v>
      </c>
      <c r="N2553" s="392"/>
    </row>
    <row r="2554" spans="1:14" hidden="1" outlineLevel="2" x14ac:dyDescent="0.35">
      <c r="A2554" s="388" t="s">
        <v>3971</v>
      </c>
      <c r="B2554" s="389">
        <v>44284</v>
      </c>
      <c r="C2554" s="390" t="s">
        <v>4058</v>
      </c>
      <c r="D2554" s="391" t="s">
        <v>4059</v>
      </c>
      <c r="E2554" s="391" t="s">
        <v>4376</v>
      </c>
      <c r="F2554" s="392">
        <v>47750</v>
      </c>
      <c r="G2554" s="393" t="s">
        <v>3800</v>
      </c>
      <c r="H2554" s="394">
        <v>17.767413741324983</v>
      </c>
      <c r="I2554" s="394"/>
      <c r="J2554" s="392">
        <v>4.4418534353312458</v>
      </c>
      <c r="K2554" s="392">
        <v>4.4418534353312458</v>
      </c>
      <c r="L2554" s="392">
        <v>4.4418534353312458</v>
      </c>
      <c r="M2554" s="392">
        <v>4.4418534353312458</v>
      </c>
      <c r="N2554" s="392"/>
    </row>
    <row r="2555" spans="1:14" hidden="1" outlineLevel="2" x14ac:dyDescent="0.35">
      <c r="A2555" s="388" t="s">
        <v>3971</v>
      </c>
      <c r="B2555" s="389">
        <v>44284</v>
      </c>
      <c r="C2555" s="390" t="s">
        <v>4060</v>
      </c>
      <c r="D2555" s="391" t="s">
        <v>4061</v>
      </c>
      <c r="E2555" s="391" t="s">
        <v>4042</v>
      </c>
      <c r="F2555" s="392">
        <v>11937.5</v>
      </c>
      <c r="G2555" s="393" t="s">
        <v>3800</v>
      </c>
      <c r="H2555" s="394">
        <v>4.4418534353312458</v>
      </c>
      <c r="I2555" s="394"/>
      <c r="J2555" s="392">
        <v>1.1104633588328114</v>
      </c>
      <c r="K2555" s="392">
        <v>1.1104633588328114</v>
      </c>
      <c r="L2555" s="392">
        <v>1.1104633588328114</v>
      </c>
      <c r="M2555" s="392">
        <v>1.1104633588328114</v>
      </c>
      <c r="N2555" s="392"/>
    </row>
    <row r="2556" spans="1:14" hidden="1" outlineLevel="2" collapsed="1" x14ac:dyDescent="0.35">
      <c r="A2556" s="388" t="s">
        <v>3971</v>
      </c>
      <c r="B2556" s="389">
        <v>44222</v>
      </c>
      <c r="C2556" s="390" t="s">
        <v>4029</v>
      </c>
      <c r="D2556" s="391" t="s">
        <v>4030</v>
      </c>
      <c r="E2556" s="391" t="s">
        <v>6184</v>
      </c>
      <c r="F2556" s="392">
        <v>955000</v>
      </c>
      <c r="G2556" s="393" t="s">
        <v>3800</v>
      </c>
      <c r="H2556" s="394">
        <v>355.34827482649962</v>
      </c>
      <c r="I2556" s="394"/>
      <c r="J2556" s="392">
        <v>88.837068706624905</v>
      </c>
      <c r="K2556" s="392">
        <v>88.837068706624905</v>
      </c>
      <c r="L2556" s="392">
        <v>88.837068706624905</v>
      </c>
      <c r="M2556" s="392">
        <v>88.837068706624905</v>
      </c>
      <c r="N2556" s="392"/>
    </row>
    <row r="2557" spans="1:14" hidden="1" outlineLevel="2" x14ac:dyDescent="0.35">
      <c r="A2557" s="388" t="s">
        <v>3971</v>
      </c>
      <c r="B2557" s="389">
        <v>44222</v>
      </c>
      <c r="C2557" s="390" t="s">
        <v>4029</v>
      </c>
      <c r="D2557" s="391" t="s">
        <v>4032</v>
      </c>
      <c r="E2557" s="391" t="s">
        <v>6184</v>
      </c>
      <c r="F2557" s="392">
        <v>143250</v>
      </c>
      <c r="G2557" s="393" t="s">
        <v>3800</v>
      </c>
      <c r="H2557" s="394">
        <v>53.302241223974946</v>
      </c>
      <c r="I2557" s="394"/>
      <c r="J2557" s="392">
        <v>13.325560305993736</v>
      </c>
      <c r="K2557" s="392">
        <v>13.325560305993736</v>
      </c>
      <c r="L2557" s="392">
        <v>13.325560305993736</v>
      </c>
      <c r="M2557" s="392">
        <v>13.325560305993736</v>
      </c>
      <c r="N2557" s="392"/>
    </row>
    <row r="2558" spans="1:14" hidden="1" outlineLevel="2" x14ac:dyDescent="0.35">
      <c r="A2558" s="388" t="s">
        <v>3971</v>
      </c>
      <c r="B2558" s="389">
        <v>44222</v>
      </c>
      <c r="C2558" s="390" t="s">
        <v>4033</v>
      </c>
      <c r="D2558" s="391" t="s">
        <v>4034</v>
      </c>
      <c r="E2558" s="391" t="s">
        <v>4272</v>
      </c>
      <c r="F2558" s="392">
        <v>119375</v>
      </c>
      <c r="G2558" s="393" t="s">
        <v>3800</v>
      </c>
      <c r="H2558" s="394">
        <v>44.418534353312452</v>
      </c>
      <c r="I2558" s="394"/>
      <c r="J2558" s="392">
        <v>11.104633588328113</v>
      </c>
      <c r="K2558" s="392">
        <v>11.104633588328113</v>
      </c>
      <c r="L2558" s="392">
        <v>11.104633588328113</v>
      </c>
      <c r="M2558" s="392">
        <v>11.104633588328113</v>
      </c>
      <c r="N2558" s="392"/>
    </row>
    <row r="2559" spans="1:14" hidden="1" outlineLevel="2" collapsed="1" x14ac:dyDescent="0.35">
      <c r="A2559" s="388" t="s">
        <v>3971</v>
      </c>
      <c r="B2559" s="389">
        <v>44222</v>
      </c>
      <c r="C2559" s="390" t="s">
        <v>4029</v>
      </c>
      <c r="D2559" s="391" t="s">
        <v>4036</v>
      </c>
      <c r="E2559" s="391" t="s">
        <v>6184</v>
      </c>
      <c r="F2559" s="392">
        <v>47750</v>
      </c>
      <c r="G2559" s="393" t="s">
        <v>3800</v>
      </c>
      <c r="H2559" s="394">
        <v>17.767413741324983</v>
      </c>
      <c r="I2559" s="394"/>
      <c r="J2559" s="392">
        <v>4.4418534353312458</v>
      </c>
      <c r="K2559" s="392">
        <v>4.4418534353312458</v>
      </c>
      <c r="L2559" s="392">
        <v>4.4418534353312458</v>
      </c>
      <c r="M2559" s="392">
        <v>4.4418534353312458</v>
      </c>
      <c r="N2559" s="392"/>
    </row>
    <row r="2560" spans="1:14" hidden="1" outlineLevel="2" x14ac:dyDescent="0.35">
      <c r="A2560" s="388" t="s">
        <v>3971</v>
      </c>
      <c r="B2560" s="389">
        <v>44222</v>
      </c>
      <c r="C2560" s="390" t="s">
        <v>4037</v>
      </c>
      <c r="D2560" s="391" t="s">
        <v>4038</v>
      </c>
      <c r="E2560" s="391" t="s">
        <v>4376</v>
      </c>
      <c r="F2560" s="392">
        <v>47750</v>
      </c>
      <c r="G2560" s="393" t="s">
        <v>3800</v>
      </c>
      <c r="H2560" s="394">
        <v>17.767413741324983</v>
      </c>
      <c r="I2560" s="394"/>
      <c r="J2560" s="392">
        <v>4.4418534353312458</v>
      </c>
      <c r="K2560" s="392">
        <v>4.4418534353312458</v>
      </c>
      <c r="L2560" s="392">
        <v>4.4418534353312458</v>
      </c>
      <c r="M2560" s="392">
        <v>4.4418534353312458</v>
      </c>
      <c r="N2560" s="392"/>
    </row>
    <row r="2561" spans="1:14" hidden="1" outlineLevel="2" x14ac:dyDescent="0.35">
      <c r="A2561" s="388" t="s">
        <v>3971</v>
      </c>
      <c r="B2561" s="389">
        <v>44222</v>
      </c>
      <c r="C2561" s="390" t="s">
        <v>4040</v>
      </c>
      <c r="D2561" s="391" t="s">
        <v>4041</v>
      </c>
      <c r="E2561" s="391" t="s">
        <v>4042</v>
      </c>
      <c r="F2561" s="392">
        <v>11937.5</v>
      </c>
      <c r="G2561" s="393" t="s">
        <v>3800</v>
      </c>
      <c r="H2561" s="394">
        <v>4.4418534353312458</v>
      </c>
      <c r="I2561" s="394"/>
      <c r="J2561" s="392">
        <v>1.1104633588328114</v>
      </c>
      <c r="K2561" s="392">
        <v>1.1104633588328114</v>
      </c>
      <c r="L2561" s="392">
        <v>1.1104633588328114</v>
      </c>
      <c r="M2561" s="392">
        <v>1.1104633588328114</v>
      </c>
      <c r="N2561" s="392"/>
    </row>
    <row r="2562" spans="1:14" hidden="1" outlineLevel="2" x14ac:dyDescent="0.35">
      <c r="A2562" s="388" t="s">
        <v>3971</v>
      </c>
      <c r="B2562" s="389">
        <v>44259</v>
      </c>
      <c r="C2562" s="390" t="s">
        <v>4043</v>
      </c>
      <c r="D2562" s="391" t="s">
        <v>4044</v>
      </c>
      <c r="E2562" s="391" t="s">
        <v>6184</v>
      </c>
      <c r="F2562" s="392">
        <v>955000</v>
      </c>
      <c r="G2562" s="393" t="s">
        <v>3800</v>
      </c>
      <c r="H2562" s="394">
        <v>355.34827482649962</v>
      </c>
      <c r="I2562" s="394"/>
      <c r="J2562" s="392">
        <v>88.837068706624905</v>
      </c>
      <c r="K2562" s="392">
        <v>88.837068706624905</v>
      </c>
      <c r="L2562" s="392">
        <v>88.837068706624905</v>
      </c>
      <c r="M2562" s="392">
        <v>88.837068706624905</v>
      </c>
      <c r="N2562" s="392"/>
    </row>
    <row r="2563" spans="1:14" hidden="1" outlineLevel="2" x14ac:dyDescent="0.35">
      <c r="A2563" s="388" t="s">
        <v>3971</v>
      </c>
      <c r="B2563" s="389">
        <v>44259</v>
      </c>
      <c r="C2563" s="390" t="s">
        <v>4043</v>
      </c>
      <c r="D2563" s="391" t="s">
        <v>4045</v>
      </c>
      <c r="E2563" s="391" t="s">
        <v>6184</v>
      </c>
      <c r="F2563" s="392">
        <v>143250</v>
      </c>
      <c r="G2563" s="393" t="s">
        <v>3800</v>
      </c>
      <c r="H2563" s="394">
        <v>53.302241223974946</v>
      </c>
      <c r="I2563" s="394"/>
      <c r="J2563" s="392">
        <v>13.325560305993736</v>
      </c>
      <c r="K2563" s="392">
        <v>13.325560305993736</v>
      </c>
      <c r="L2563" s="392">
        <v>13.325560305993736</v>
      </c>
      <c r="M2563" s="392">
        <v>13.325560305993736</v>
      </c>
      <c r="N2563" s="392"/>
    </row>
    <row r="2564" spans="1:14" hidden="1" outlineLevel="2" x14ac:dyDescent="0.35">
      <c r="A2564" s="388" t="s">
        <v>3971</v>
      </c>
      <c r="B2564" s="389">
        <v>44259</v>
      </c>
      <c r="C2564" s="390" t="s">
        <v>4043</v>
      </c>
      <c r="D2564" s="391" t="s">
        <v>4046</v>
      </c>
      <c r="E2564" s="391" t="s">
        <v>4272</v>
      </c>
      <c r="F2564" s="392">
        <v>119375</v>
      </c>
      <c r="G2564" s="393" t="s">
        <v>3800</v>
      </c>
      <c r="H2564" s="394">
        <v>44.418534353312452</v>
      </c>
      <c r="I2564" s="394"/>
      <c r="J2564" s="392">
        <v>11.104633588328113</v>
      </c>
      <c r="K2564" s="392">
        <v>11.104633588328113</v>
      </c>
      <c r="L2564" s="392">
        <v>11.104633588328113</v>
      </c>
      <c r="M2564" s="392">
        <v>11.104633588328113</v>
      </c>
      <c r="N2564" s="392"/>
    </row>
    <row r="2565" spans="1:14" hidden="1" outlineLevel="2" x14ac:dyDescent="0.35">
      <c r="A2565" s="388" t="s">
        <v>3971</v>
      </c>
      <c r="B2565" s="389">
        <v>44259</v>
      </c>
      <c r="C2565" s="390" t="s">
        <v>4043</v>
      </c>
      <c r="D2565" s="391" t="s">
        <v>4047</v>
      </c>
      <c r="E2565" s="391" t="s">
        <v>6184</v>
      </c>
      <c r="F2565" s="392">
        <v>47750</v>
      </c>
      <c r="G2565" s="393" t="s">
        <v>3800</v>
      </c>
      <c r="H2565" s="394">
        <v>17.767413741324983</v>
      </c>
      <c r="I2565" s="394"/>
      <c r="J2565" s="392">
        <v>4.4418534353312458</v>
      </c>
      <c r="K2565" s="392">
        <v>4.4418534353312458</v>
      </c>
      <c r="L2565" s="392">
        <v>4.4418534353312458</v>
      </c>
      <c r="M2565" s="392">
        <v>4.4418534353312458</v>
      </c>
      <c r="N2565" s="392"/>
    </row>
    <row r="2566" spans="1:14" hidden="1" outlineLevel="2" x14ac:dyDescent="0.35">
      <c r="A2566" s="388" t="s">
        <v>3971</v>
      </c>
      <c r="B2566" s="389">
        <v>44259</v>
      </c>
      <c r="C2566" s="390" t="s">
        <v>4048</v>
      </c>
      <c r="D2566" s="391" t="s">
        <v>4049</v>
      </c>
      <c r="E2566" s="391" t="s">
        <v>4376</v>
      </c>
      <c r="F2566" s="392">
        <v>47750</v>
      </c>
      <c r="G2566" s="393" t="s">
        <v>3800</v>
      </c>
      <c r="H2566" s="394">
        <v>17.767413741324983</v>
      </c>
      <c r="I2566" s="394"/>
      <c r="J2566" s="392">
        <v>4.4418534353312458</v>
      </c>
      <c r="K2566" s="392">
        <v>4.4418534353312458</v>
      </c>
      <c r="L2566" s="392">
        <v>4.4418534353312458</v>
      </c>
      <c r="M2566" s="392">
        <v>4.4418534353312458</v>
      </c>
      <c r="N2566" s="392"/>
    </row>
    <row r="2567" spans="1:14" hidden="1" outlineLevel="2" x14ac:dyDescent="0.35">
      <c r="A2567" s="388" t="s">
        <v>3971</v>
      </c>
      <c r="B2567" s="389">
        <v>44259</v>
      </c>
      <c r="C2567" s="390" t="s">
        <v>4050</v>
      </c>
      <c r="D2567" s="391" t="s">
        <v>4051</v>
      </c>
      <c r="E2567" s="391" t="s">
        <v>4042</v>
      </c>
      <c r="F2567" s="392">
        <v>11937.5</v>
      </c>
      <c r="G2567" s="393" t="s">
        <v>3800</v>
      </c>
      <c r="H2567" s="394">
        <v>4.4418534353312458</v>
      </c>
      <c r="I2567" s="394"/>
      <c r="J2567" s="392">
        <v>1.1104633588328114</v>
      </c>
      <c r="K2567" s="392">
        <v>1.1104633588328114</v>
      </c>
      <c r="L2567" s="392">
        <v>1.1104633588328114</v>
      </c>
      <c r="M2567" s="392">
        <v>1.1104633588328114</v>
      </c>
      <c r="N2567" s="392"/>
    </row>
    <row r="2568" spans="1:14" hidden="1" outlineLevel="2" x14ac:dyDescent="0.35">
      <c r="A2568" s="388" t="s">
        <v>3971</v>
      </c>
      <c r="B2568" s="389">
        <v>44284</v>
      </c>
      <c r="C2568" s="390" t="s">
        <v>4052</v>
      </c>
      <c r="D2568" s="391" t="s">
        <v>4053</v>
      </c>
      <c r="E2568" s="391" t="s">
        <v>6184</v>
      </c>
      <c r="F2568" s="392">
        <v>955000</v>
      </c>
      <c r="G2568" s="393" t="s">
        <v>3800</v>
      </c>
      <c r="H2568" s="394">
        <v>355.34827482649962</v>
      </c>
      <c r="I2568" s="394"/>
      <c r="J2568" s="392">
        <v>88.837068706624905</v>
      </c>
      <c r="K2568" s="392">
        <v>88.837068706624905</v>
      </c>
      <c r="L2568" s="392">
        <v>88.837068706624905</v>
      </c>
      <c r="M2568" s="392">
        <v>88.837068706624905</v>
      </c>
      <c r="N2568" s="392"/>
    </row>
    <row r="2569" spans="1:14" hidden="1" outlineLevel="2" collapsed="1" x14ac:dyDescent="0.35">
      <c r="A2569" s="388" t="s">
        <v>3971</v>
      </c>
      <c r="B2569" s="389">
        <v>44284</v>
      </c>
      <c r="C2569" s="390" t="s">
        <v>4052</v>
      </c>
      <c r="D2569" s="391" t="s">
        <v>4054</v>
      </c>
      <c r="E2569" s="391" t="s">
        <v>6184</v>
      </c>
      <c r="F2569" s="392">
        <v>143250</v>
      </c>
      <c r="G2569" s="393" t="s">
        <v>3800</v>
      </c>
      <c r="H2569" s="394">
        <v>53.302241223974946</v>
      </c>
      <c r="I2569" s="394"/>
      <c r="J2569" s="392">
        <v>13.325560305993736</v>
      </c>
      <c r="K2569" s="392">
        <v>13.325560305993736</v>
      </c>
      <c r="L2569" s="392">
        <v>13.325560305993736</v>
      </c>
      <c r="M2569" s="392">
        <v>13.325560305993736</v>
      </c>
      <c r="N2569" s="392"/>
    </row>
    <row r="2570" spans="1:14" hidden="1" outlineLevel="2" x14ac:dyDescent="0.35">
      <c r="A2570" s="388" t="s">
        <v>3971</v>
      </c>
      <c r="B2570" s="389">
        <v>44284</v>
      </c>
      <c r="C2570" s="390" t="s">
        <v>4055</v>
      </c>
      <c r="D2570" s="391" t="s">
        <v>4056</v>
      </c>
      <c r="E2570" s="391" t="s">
        <v>4272</v>
      </c>
      <c r="F2570" s="392">
        <v>119375</v>
      </c>
      <c r="G2570" s="393" t="s">
        <v>3800</v>
      </c>
      <c r="H2570" s="394">
        <v>44.418534353312452</v>
      </c>
      <c r="I2570" s="394"/>
      <c r="J2570" s="392">
        <v>11.104633588328113</v>
      </c>
      <c r="K2570" s="392">
        <v>11.104633588328113</v>
      </c>
      <c r="L2570" s="392">
        <v>11.104633588328113</v>
      </c>
      <c r="M2570" s="392">
        <v>11.104633588328113</v>
      </c>
      <c r="N2570" s="392"/>
    </row>
    <row r="2571" spans="1:14" hidden="1" outlineLevel="2" x14ac:dyDescent="0.35">
      <c r="A2571" s="388" t="s">
        <v>3971</v>
      </c>
      <c r="B2571" s="389">
        <v>44284</v>
      </c>
      <c r="C2571" s="390" t="s">
        <v>4052</v>
      </c>
      <c r="D2571" s="391" t="s">
        <v>4057</v>
      </c>
      <c r="E2571" s="391" t="s">
        <v>6184</v>
      </c>
      <c r="F2571" s="392">
        <v>47750</v>
      </c>
      <c r="G2571" s="393" t="s">
        <v>3800</v>
      </c>
      <c r="H2571" s="394">
        <v>17.767413741324983</v>
      </c>
      <c r="I2571" s="394"/>
      <c r="J2571" s="392">
        <v>4.4418534353312458</v>
      </c>
      <c r="K2571" s="392">
        <v>4.4418534353312458</v>
      </c>
      <c r="L2571" s="392">
        <v>4.4418534353312458</v>
      </c>
      <c r="M2571" s="392">
        <v>4.4418534353312458</v>
      </c>
      <c r="N2571" s="392"/>
    </row>
    <row r="2572" spans="1:14" hidden="1" outlineLevel="2" x14ac:dyDescent="0.35">
      <c r="A2572" s="388" t="s">
        <v>3971</v>
      </c>
      <c r="B2572" s="389">
        <v>44284</v>
      </c>
      <c r="C2572" s="390" t="s">
        <v>4058</v>
      </c>
      <c r="D2572" s="391" t="s">
        <v>4059</v>
      </c>
      <c r="E2572" s="391" t="s">
        <v>4376</v>
      </c>
      <c r="F2572" s="392">
        <v>47750</v>
      </c>
      <c r="G2572" s="393" t="s">
        <v>3800</v>
      </c>
      <c r="H2572" s="394">
        <v>17.767413741324983</v>
      </c>
      <c r="I2572" s="394"/>
      <c r="J2572" s="392">
        <v>4.4418534353312458</v>
      </c>
      <c r="K2572" s="392">
        <v>4.4418534353312458</v>
      </c>
      <c r="L2572" s="392">
        <v>4.4418534353312458</v>
      </c>
      <c r="M2572" s="392">
        <v>4.4418534353312458</v>
      </c>
      <c r="N2572" s="392"/>
    </row>
    <row r="2573" spans="1:14" hidden="1" outlineLevel="2" x14ac:dyDescent="0.35">
      <c r="A2573" s="388" t="s">
        <v>3971</v>
      </c>
      <c r="B2573" s="389">
        <v>44284</v>
      </c>
      <c r="C2573" s="390" t="s">
        <v>4060</v>
      </c>
      <c r="D2573" s="391" t="s">
        <v>4061</v>
      </c>
      <c r="E2573" s="391" t="s">
        <v>4042</v>
      </c>
      <c r="F2573" s="392">
        <v>11937.5</v>
      </c>
      <c r="G2573" s="393" t="s">
        <v>3800</v>
      </c>
      <c r="H2573" s="394">
        <v>4.4418534353312458</v>
      </c>
      <c r="I2573" s="394"/>
      <c r="J2573" s="392">
        <v>1.1104633588328114</v>
      </c>
      <c r="K2573" s="392">
        <v>1.1104633588328114</v>
      </c>
      <c r="L2573" s="392">
        <v>1.1104633588328114</v>
      </c>
      <c r="M2573" s="392">
        <v>1.1104633588328114</v>
      </c>
      <c r="N2573" s="392"/>
    </row>
    <row r="2574" spans="1:14" hidden="1" outlineLevel="2" x14ac:dyDescent="0.35">
      <c r="A2574" s="388" t="s">
        <v>3971</v>
      </c>
      <c r="B2574" s="389">
        <v>44315</v>
      </c>
      <c r="C2574" s="390" t="s">
        <v>4062</v>
      </c>
      <c r="D2574" s="391" t="s">
        <v>4063</v>
      </c>
      <c r="E2574" s="391" t="s">
        <v>6182</v>
      </c>
      <c r="F2574" s="392">
        <v>955000</v>
      </c>
      <c r="G2574" s="393" t="s">
        <v>3800</v>
      </c>
      <c r="H2574" s="394">
        <v>355.34827482649962</v>
      </c>
      <c r="I2574" s="394"/>
      <c r="J2574" s="392">
        <v>88.837068706624905</v>
      </c>
      <c r="K2574" s="392">
        <v>88.837068706624905</v>
      </c>
      <c r="L2574" s="392">
        <v>88.837068706624905</v>
      </c>
      <c r="M2574" s="392">
        <v>88.837068706624905</v>
      </c>
      <c r="N2574" s="392"/>
    </row>
    <row r="2575" spans="1:14" hidden="1" outlineLevel="2" collapsed="1" x14ac:dyDescent="0.35">
      <c r="A2575" s="388" t="s">
        <v>3971</v>
      </c>
      <c r="B2575" s="389">
        <v>44315</v>
      </c>
      <c r="C2575" s="390" t="s">
        <v>4062</v>
      </c>
      <c r="D2575" s="391" t="s">
        <v>4064</v>
      </c>
      <c r="E2575" s="391" t="s">
        <v>6182</v>
      </c>
      <c r="F2575" s="392">
        <v>143250</v>
      </c>
      <c r="G2575" s="393" t="s">
        <v>3800</v>
      </c>
      <c r="H2575" s="394">
        <v>53.302241223974946</v>
      </c>
      <c r="I2575" s="394"/>
      <c r="J2575" s="392">
        <v>13.325560305993736</v>
      </c>
      <c r="K2575" s="392">
        <v>13.325560305993736</v>
      </c>
      <c r="L2575" s="392">
        <v>13.325560305993736</v>
      </c>
      <c r="M2575" s="392">
        <v>13.325560305993736</v>
      </c>
      <c r="N2575" s="392"/>
    </row>
    <row r="2576" spans="1:14" hidden="1" outlineLevel="2" x14ac:dyDescent="0.35">
      <c r="A2576" s="388" t="s">
        <v>3971</v>
      </c>
      <c r="B2576" s="389">
        <v>44315</v>
      </c>
      <c r="C2576" s="390" t="s">
        <v>4065</v>
      </c>
      <c r="D2576" s="391" t="s">
        <v>4066</v>
      </c>
      <c r="E2576" s="391" t="s">
        <v>6183</v>
      </c>
      <c r="F2576" s="392">
        <v>119375</v>
      </c>
      <c r="G2576" s="393" t="s">
        <v>3800</v>
      </c>
      <c r="H2576" s="394">
        <v>44.418534353312452</v>
      </c>
      <c r="I2576" s="394"/>
      <c r="J2576" s="392">
        <v>11.104633588328113</v>
      </c>
      <c r="K2576" s="392">
        <v>11.104633588328113</v>
      </c>
      <c r="L2576" s="392">
        <v>11.104633588328113</v>
      </c>
      <c r="M2576" s="392">
        <v>11.104633588328113</v>
      </c>
      <c r="N2576" s="392"/>
    </row>
    <row r="2577" spans="1:14" hidden="1" outlineLevel="2" collapsed="1" x14ac:dyDescent="0.35">
      <c r="A2577" s="388" t="s">
        <v>3971</v>
      </c>
      <c r="B2577" s="389">
        <v>44315</v>
      </c>
      <c r="C2577" s="390" t="s">
        <v>4062</v>
      </c>
      <c r="D2577" s="391" t="s">
        <v>4067</v>
      </c>
      <c r="E2577" s="391" t="s">
        <v>6182</v>
      </c>
      <c r="F2577" s="392">
        <v>47750</v>
      </c>
      <c r="G2577" s="393" t="s">
        <v>3800</v>
      </c>
      <c r="H2577" s="394">
        <v>17.767413741324983</v>
      </c>
      <c r="I2577" s="394"/>
      <c r="J2577" s="392">
        <v>4.4418534353312458</v>
      </c>
      <c r="K2577" s="392">
        <v>4.4418534353312458</v>
      </c>
      <c r="L2577" s="392">
        <v>4.4418534353312458</v>
      </c>
      <c r="M2577" s="392">
        <v>4.4418534353312458</v>
      </c>
      <c r="N2577" s="392"/>
    </row>
    <row r="2578" spans="1:14" hidden="1" outlineLevel="2" x14ac:dyDescent="0.35">
      <c r="A2578" s="388" t="s">
        <v>3971</v>
      </c>
      <c r="B2578" s="389">
        <v>44315</v>
      </c>
      <c r="C2578" s="390" t="s">
        <v>4068</v>
      </c>
      <c r="D2578" s="391" t="s">
        <v>4069</v>
      </c>
      <c r="E2578" s="391" t="s">
        <v>4376</v>
      </c>
      <c r="F2578" s="392">
        <v>47750</v>
      </c>
      <c r="G2578" s="393" t="s">
        <v>3800</v>
      </c>
      <c r="H2578" s="394">
        <v>17.767413741324983</v>
      </c>
      <c r="I2578" s="394"/>
      <c r="J2578" s="392">
        <v>4.4418534353312458</v>
      </c>
      <c r="K2578" s="392">
        <v>4.4418534353312458</v>
      </c>
      <c r="L2578" s="392">
        <v>4.4418534353312458</v>
      </c>
      <c r="M2578" s="392">
        <v>4.4418534353312458</v>
      </c>
      <c r="N2578" s="392"/>
    </row>
    <row r="2579" spans="1:14" hidden="1" outlineLevel="2" x14ac:dyDescent="0.35">
      <c r="A2579" s="388" t="s">
        <v>3971</v>
      </c>
      <c r="B2579" s="389">
        <v>44315</v>
      </c>
      <c r="C2579" s="390" t="s">
        <v>4070</v>
      </c>
      <c r="D2579" s="391" t="s">
        <v>4071</v>
      </c>
      <c r="E2579" s="391" t="s">
        <v>4042</v>
      </c>
      <c r="F2579" s="392">
        <v>11937.36</v>
      </c>
      <c r="G2579" s="393" t="s">
        <v>3800</v>
      </c>
      <c r="H2579" s="394">
        <v>4.4418013423904332</v>
      </c>
      <c r="I2579" s="394"/>
      <c r="J2579" s="392">
        <v>1.1104503355976083</v>
      </c>
      <c r="K2579" s="392">
        <v>1.1104503355976083</v>
      </c>
      <c r="L2579" s="392">
        <v>1.1104503355976083</v>
      </c>
      <c r="M2579" s="392">
        <v>1.1104503355976083</v>
      </c>
      <c r="N2579" s="392"/>
    </row>
    <row r="2580" spans="1:14" hidden="1" outlineLevel="2" collapsed="1" x14ac:dyDescent="0.35">
      <c r="A2580" s="388" t="s">
        <v>3971</v>
      </c>
      <c r="B2580" s="389">
        <v>44342</v>
      </c>
      <c r="C2580" s="390" t="s">
        <v>4072</v>
      </c>
      <c r="D2580" s="391" t="s">
        <v>4073</v>
      </c>
      <c r="E2580" s="391" t="s">
        <v>6182</v>
      </c>
      <c r="F2580" s="392">
        <v>955000</v>
      </c>
      <c r="G2580" s="393" t="s">
        <v>3800</v>
      </c>
      <c r="H2580" s="394">
        <v>355.34827482649962</v>
      </c>
      <c r="I2580" s="394"/>
      <c r="J2580" s="392">
        <v>88.837068706624905</v>
      </c>
      <c r="K2580" s="392">
        <v>88.837068706624905</v>
      </c>
      <c r="L2580" s="392">
        <v>88.837068706624905</v>
      </c>
      <c r="M2580" s="392">
        <v>88.837068706624905</v>
      </c>
      <c r="N2580" s="392"/>
    </row>
    <row r="2581" spans="1:14" hidden="1" outlineLevel="2" x14ac:dyDescent="0.35">
      <c r="A2581" s="388" t="s">
        <v>3971</v>
      </c>
      <c r="B2581" s="389">
        <v>44342</v>
      </c>
      <c r="C2581" s="390" t="s">
        <v>4072</v>
      </c>
      <c r="D2581" s="391" t="s">
        <v>4074</v>
      </c>
      <c r="E2581" s="391" t="s">
        <v>6182</v>
      </c>
      <c r="F2581" s="392">
        <v>143250</v>
      </c>
      <c r="G2581" s="393" t="s">
        <v>3800</v>
      </c>
      <c r="H2581" s="394">
        <v>53.302241223974946</v>
      </c>
      <c r="I2581" s="394"/>
      <c r="J2581" s="392">
        <v>13.325560305993736</v>
      </c>
      <c r="K2581" s="392">
        <v>13.325560305993736</v>
      </c>
      <c r="L2581" s="392">
        <v>13.325560305993736</v>
      </c>
      <c r="M2581" s="392">
        <v>13.325560305993736</v>
      </c>
      <c r="N2581" s="392"/>
    </row>
    <row r="2582" spans="1:14" hidden="1" outlineLevel="2" x14ac:dyDescent="0.35">
      <c r="A2582" s="388" t="s">
        <v>3971</v>
      </c>
      <c r="B2582" s="389">
        <v>44342</v>
      </c>
      <c r="C2582" s="390" t="s">
        <v>4075</v>
      </c>
      <c r="D2582" s="391" t="s">
        <v>4076</v>
      </c>
      <c r="E2582" s="391" t="s">
        <v>6183</v>
      </c>
      <c r="F2582" s="392">
        <v>119375</v>
      </c>
      <c r="G2582" s="393" t="s">
        <v>3800</v>
      </c>
      <c r="H2582" s="394">
        <v>44.418534353312452</v>
      </c>
      <c r="I2582" s="394"/>
      <c r="J2582" s="392">
        <v>11.104633588328113</v>
      </c>
      <c r="K2582" s="392">
        <v>11.104633588328113</v>
      </c>
      <c r="L2582" s="392">
        <v>11.104633588328113</v>
      </c>
      <c r="M2582" s="392">
        <v>11.104633588328113</v>
      </c>
      <c r="N2582" s="392"/>
    </row>
    <row r="2583" spans="1:14" hidden="1" outlineLevel="2" collapsed="1" x14ac:dyDescent="0.35">
      <c r="A2583" s="388" t="s">
        <v>3971</v>
      </c>
      <c r="B2583" s="389">
        <v>44342</v>
      </c>
      <c r="C2583" s="390" t="s">
        <v>4072</v>
      </c>
      <c r="D2583" s="391" t="s">
        <v>4077</v>
      </c>
      <c r="E2583" s="391" t="s">
        <v>6182</v>
      </c>
      <c r="F2583" s="392">
        <v>47750</v>
      </c>
      <c r="G2583" s="393" t="s">
        <v>3800</v>
      </c>
      <c r="H2583" s="394">
        <v>17.767413741324983</v>
      </c>
      <c r="I2583" s="394"/>
      <c r="J2583" s="392">
        <v>4.4418534353312458</v>
      </c>
      <c r="K2583" s="392">
        <v>4.4418534353312458</v>
      </c>
      <c r="L2583" s="392">
        <v>4.4418534353312458</v>
      </c>
      <c r="M2583" s="392">
        <v>4.4418534353312458</v>
      </c>
      <c r="N2583" s="392"/>
    </row>
    <row r="2584" spans="1:14" hidden="1" outlineLevel="2" x14ac:dyDescent="0.35">
      <c r="A2584" s="388" t="s">
        <v>3971</v>
      </c>
      <c r="B2584" s="389">
        <v>44342</v>
      </c>
      <c r="C2584" s="390" t="s">
        <v>4078</v>
      </c>
      <c r="D2584" s="391" t="s">
        <v>4079</v>
      </c>
      <c r="E2584" s="391" t="s">
        <v>4376</v>
      </c>
      <c r="F2584" s="392">
        <v>47750</v>
      </c>
      <c r="G2584" s="393" t="s">
        <v>3800</v>
      </c>
      <c r="H2584" s="394">
        <v>17.767413741324983</v>
      </c>
      <c r="I2584" s="394"/>
      <c r="J2584" s="392">
        <v>4.4418534353312458</v>
      </c>
      <c r="K2584" s="392">
        <v>4.4418534353312458</v>
      </c>
      <c r="L2584" s="392">
        <v>4.4418534353312458</v>
      </c>
      <c r="M2584" s="392">
        <v>4.4418534353312458</v>
      </c>
      <c r="N2584" s="392"/>
    </row>
    <row r="2585" spans="1:14" hidden="1" outlineLevel="2" x14ac:dyDescent="0.35">
      <c r="A2585" s="388" t="s">
        <v>3971</v>
      </c>
      <c r="B2585" s="389">
        <v>44342</v>
      </c>
      <c r="C2585" s="390" t="s">
        <v>4080</v>
      </c>
      <c r="D2585" s="391" t="s">
        <v>4081</v>
      </c>
      <c r="E2585" s="391" t="s">
        <v>4042</v>
      </c>
      <c r="F2585" s="392">
        <v>11937.36</v>
      </c>
      <c r="G2585" s="393" t="s">
        <v>3800</v>
      </c>
      <c r="H2585" s="394">
        <v>4.4418013423904332</v>
      </c>
      <c r="I2585" s="394"/>
      <c r="J2585" s="392">
        <v>1.1104503355976083</v>
      </c>
      <c r="K2585" s="392">
        <v>1.1104503355976083</v>
      </c>
      <c r="L2585" s="392">
        <v>1.1104503355976083</v>
      </c>
      <c r="M2585" s="392">
        <v>1.1104503355976083</v>
      </c>
      <c r="N2585" s="392"/>
    </row>
    <row r="2586" spans="1:14" hidden="1" outlineLevel="2" x14ac:dyDescent="0.35">
      <c r="A2586" s="388" t="s">
        <v>3971</v>
      </c>
      <c r="B2586" s="389">
        <v>44376</v>
      </c>
      <c r="C2586" s="390" t="s">
        <v>4082</v>
      </c>
      <c r="D2586" s="391" t="s">
        <v>4083</v>
      </c>
      <c r="E2586" s="391" t="s">
        <v>6182</v>
      </c>
      <c r="F2586" s="392">
        <v>955000</v>
      </c>
      <c r="G2586" s="393" t="s">
        <v>3800</v>
      </c>
      <c r="H2586" s="394">
        <v>355.34827482649962</v>
      </c>
      <c r="I2586" s="394"/>
      <c r="J2586" s="392">
        <v>88.837068706624905</v>
      </c>
      <c r="K2586" s="392">
        <v>88.837068706624905</v>
      </c>
      <c r="L2586" s="392">
        <v>88.837068706624905</v>
      </c>
      <c r="M2586" s="392">
        <v>88.837068706624905</v>
      </c>
      <c r="N2586" s="392"/>
    </row>
    <row r="2587" spans="1:14" hidden="1" outlineLevel="2" x14ac:dyDescent="0.35">
      <c r="A2587" s="388" t="s">
        <v>3971</v>
      </c>
      <c r="B2587" s="389">
        <v>44376</v>
      </c>
      <c r="C2587" s="390" t="s">
        <v>4082</v>
      </c>
      <c r="D2587" s="391" t="s">
        <v>4084</v>
      </c>
      <c r="E2587" s="391" t="s">
        <v>6182</v>
      </c>
      <c r="F2587" s="392">
        <v>143250</v>
      </c>
      <c r="G2587" s="393" t="s">
        <v>3800</v>
      </c>
      <c r="H2587" s="394">
        <v>53.302241223974946</v>
      </c>
      <c r="I2587" s="394"/>
      <c r="J2587" s="392">
        <v>13.325560305993736</v>
      </c>
      <c r="K2587" s="392">
        <v>13.325560305993736</v>
      </c>
      <c r="L2587" s="392">
        <v>13.325560305993736</v>
      </c>
      <c r="M2587" s="392">
        <v>13.325560305993736</v>
      </c>
      <c r="N2587" s="392"/>
    </row>
    <row r="2588" spans="1:14" hidden="1" outlineLevel="2" x14ac:dyDescent="0.35">
      <c r="A2588" s="388" t="s">
        <v>3971</v>
      </c>
      <c r="B2588" s="389">
        <v>44376</v>
      </c>
      <c r="C2588" s="390" t="s">
        <v>4085</v>
      </c>
      <c r="D2588" s="391" t="s">
        <v>4086</v>
      </c>
      <c r="E2588" s="391" t="s">
        <v>6183</v>
      </c>
      <c r="F2588" s="392">
        <v>119375</v>
      </c>
      <c r="G2588" s="393" t="s">
        <v>3800</v>
      </c>
      <c r="H2588" s="394">
        <v>44.418534353312452</v>
      </c>
      <c r="I2588" s="394"/>
      <c r="J2588" s="392">
        <v>11.104633588328113</v>
      </c>
      <c r="K2588" s="392">
        <v>11.104633588328113</v>
      </c>
      <c r="L2588" s="392">
        <v>11.104633588328113</v>
      </c>
      <c r="M2588" s="392">
        <v>11.104633588328113</v>
      </c>
      <c r="N2588" s="392"/>
    </row>
    <row r="2589" spans="1:14" hidden="1" outlineLevel="2" x14ac:dyDescent="0.35">
      <c r="A2589" s="388" t="s">
        <v>3971</v>
      </c>
      <c r="B2589" s="389">
        <v>44376</v>
      </c>
      <c r="C2589" s="390" t="s">
        <v>4082</v>
      </c>
      <c r="D2589" s="391" t="s">
        <v>4087</v>
      </c>
      <c r="E2589" s="391" t="s">
        <v>6182</v>
      </c>
      <c r="F2589" s="392">
        <v>47750</v>
      </c>
      <c r="G2589" s="393" t="s">
        <v>3800</v>
      </c>
      <c r="H2589" s="394">
        <v>17.767413741324983</v>
      </c>
      <c r="I2589" s="394"/>
      <c r="J2589" s="392">
        <v>4.4418534353312458</v>
      </c>
      <c r="K2589" s="392">
        <v>4.4418534353312458</v>
      </c>
      <c r="L2589" s="392">
        <v>4.4418534353312458</v>
      </c>
      <c r="M2589" s="392">
        <v>4.4418534353312458</v>
      </c>
      <c r="N2589" s="392"/>
    </row>
    <row r="2590" spans="1:14" hidden="1" outlineLevel="2" x14ac:dyDescent="0.35">
      <c r="A2590" s="388" t="s">
        <v>3971</v>
      </c>
      <c r="B2590" s="389">
        <v>44376</v>
      </c>
      <c r="C2590" s="390" t="s">
        <v>4088</v>
      </c>
      <c r="D2590" s="391" t="s">
        <v>4089</v>
      </c>
      <c r="E2590" s="391" t="s">
        <v>4376</v>
      </c>
      <c r="F2590" s="392">
        <v>47750</v>
      </c>
      <c r="G2590" s="393" t="s">
        <v>3800</v>
      </c>
      <c r="H2590" s="394">
        <v>17.767413741324983</v>
      </c>
      <c r="I2590" s="394"/>
      <c r="J2590" s="392">
        <v>4.4418534353312458</v>
      </c>
      <c r="K2590" s="392">
        <v>4.4418534353312458</v>
      </c>
      <c r="L2590" s="392">
        <v>4.4418534353312458</v>
      </c>
      <c r="M2590" s="392">
        <v>4.4418534353312458</v>
      </c>
      <c r="N2590" s="392"/>
    </row>
    <row r="2591" spans="1:14" hidden="1" outlineLevel="2" x14ac:dyDescent="0.35">
      <c r="A2591" s="388" t="s">
        <v>3971</v>
      </c>
      <c r="B2591" s="389">
        <v>44376</v>
      </c>
      <c r="C2591" s="390" t="s">
        <v>4090</v>
      </c>
      <c r="D2591" s="391" t="s">
        <v>4091</v>
      </c>
      <c r="E2591" s="391" t="s">
        <v>4042</v>
      </c>
      <c r="F2591" s="392">
        <v>11937.36</v>
      </c>
      <c r="G2591" s="393" t="s">
        <v>3800</v>
      </c>
      <c r="H2591" s="394">
        <v>4.4418013423904332</v>
      </c>
      <c r="I2591" s="394"/>
      <c r="J2591" s="392">
        <v>1.1104503355976083</v>
      </c>
      <c r="K2591" s="392">
        <v>1.1104503355976083</v>
      </c>
      <c r="L2591" s="392">
        <v>1.1104503355976083</v>
      </c>
      <c r="M2591" s="392">
        <v>1.1104503355976083</v>
      </c>
      <c r="N2591" s="392"/>
    </row>
    <row r="2592" spans="1:14" hidden="1" outlineLevel="2" x14ac:dyDescent="0.35">
      <c r="A2592" s="388" t="s">
        <v>3971</v>
      </c>
      <c r="B2592" s="389">
        <v>44315</v>
      </c>
      <c r="C2592" s="390" t="s">
        <v>4062</v>
      </c>
      <c r="D2592" s="391" t="s">
        <v>4063</v>
      </c>
      <c r="E2592" s="391" t="s">
        <v>6184</v>
      </c>
      <c r="F2592" s="392">
        <v>955000</v>
      </c>
      <c r="G2592" s="393" t="s">
        <v>3800</v>
      </c>
      <c r="H2592" s="394">
        <v>355.34827482649962</v>
      </c>
      <c r="I2592" s="394"/>
      <c r="J2592" s="392">
        <v>88.837068706624905</v>
      </c>
      <c r="K2592" s="392">
        <v>88.837068706624905</v>
      </c>
      <c r="L2592" s="392">
        <v>88.837068706624905</v>
      </c>
      <c r="M2592" s="392">
        <v>88.837068706624905</v>
      </c>
      <c r="N2592" s="392"/>
    </row>
    <row r="2593" spans="1:14" hidden="1" outlineLevel="2" x14ac:dyDescent="0.35">
      <c r="A2593" s="388" t="s">
        <v>3971</v>
      </c>
      <c r="B2593" s="389">
        <v>44315</v>
      </c>
      <c r="C2593" s="390" t="s">
        <v>4062</v>
      </c>
      <c r="D2593" s="391" t="s">
        <v>4064</v>
      </c>
      <c r="E2593" s="391" t="s">
        <v>6184</v>
      </c>
      <c r="F2593" s="392">
        <v>143250</v>
      </c>
      <c r="G2593" s="393" t="s">
        <v>3800</v>
      </c>
      <c r="H2593" s="394">
        <v>53.302241223974946</v>
      </c>
      <c r="I2593" s="394"/>
      <c r="J2593" s="392">
        <v>13.325560305993736</v>
      </c>
      <c r="K2593" s="392">
        <v>13.325560305993736</v>
      </c>
      <c r="L2593" s="392">
        <v>13.325560305993736</v>
      </c>
      <c r="M2593" s="392">
        <v>13.325560305993736</v>
      </c>
      <c r="N2593" s="392"/>
    </row>
    <row r="2594" spans="1:14" hidden="1" outlineLevel="2" x14ac:dyDescent="0.35">
      <c r="A2594" s="388" t="s">
        <v>3971</v>
      </c>
      <c r="B2594" s="389">
        <v>44315</v>
      </c>
      <c r="C2594" s="390" t="s">
        <v>4065</v>
      </c>
      <c r="D2594" s="391" t="s">
        <v>4066</v>
      </c>
      <c r="E2594" s="391" t="s">
        <v>4272</v>
      </c>
      <c r="F2594" s="392">
        <v>119375</v>
      </c>
      <c r="G2594" s="393" t="s">
        <v>3800</v>
      </c>
      <c r="H2594" s="394">
        <v>44.418534353312452</v>
      </c>
      <c r="I2594" s="394"/>
      <c r="J2594" s="392">
        <v>11.104633588328113</v>
      </c>
      <c r="K2594" s="392">
        <v>11.104633588328113</v>
      </c>
      <c r="L2594" s="392">
        <v>11.104633588328113</v>
      </c>
      <c r="M2594" s="392">
        <v>11.104633588328113</v>
      </c>
      <c r="N2594" s="392"/>
    </row>
    <row r="2595" spans="1:14" hidden="1" outlineLevel="2" x14ac:dyDescent="0.35">
      <c r="A2595" s="388" t="s">
        <v>3971</v>
      </c>
      <c r="B2595" s="389">
        <v>44315</v>
      </c>
      <c r="C2595" s="390" t="s">
        <v>4062</v>
      </c>
      <c r="D2595" s="391" t="s">
        <v>4067</v>
      </c>
      <c r="E2595" s="391" t="s">
        <v>6184</v>
      </c>
      <c r="F2595" s="392">
        <v>47750</v>
      </c>
      <c r="G2595" s="393" t="s">
        <v>3800</v>
      </c>
      <c r="H2595" s="394">
        <v>17.767413741324983</v>
      </c>
      <c r="I2595" s="394"/>
      <c r="J2595" s="392">
        <v>4.4418534353312458</v>
      </c>
      <c r="K2595" s="392">
        <v>4.4418534353312458</v>
      </c>
      <c r="L2595" s="392">
        <v>4.4418534353312458</v>
      </c>
      <c r="M2595" s="392">
        <v>4.4418534353312458</v>
      </c>
      <c r="N2595" s="392"/>
    </row>
    <row r="2596" spans="1:14" hidden="1" outlineLevel="2" x14ac:dyDescent="0.35">
      <c r="A2596" s="388" t="s">
        <v>3971</v>
      </c>
      <c r="B2596" s="389">
        <v>44315</v>
      </c>
      <c r="C2596" s="390" t="s">
        <v>4068</v>
      </c>
      <c r="D2596" s="391" t="s">
        <v>4069</v>
      </c>
      <c r="E2596" s="391" t="s">
        <v>4376</v>
      </c>
      <c r="F2596" s="392">
        <v>47750</v>
      </c>
      <c r="G2596" s="393" t="s">
        <v>3800</v>
      </c>
      <c r="H2596" s="394">
        <v>17.767413741324983</v>
      </c>
      <c r="I2596" s="394"/>
      <c r="J2596" s="392">
        <v>4.4418534353312458</v>
      </c>
      <c r="K2596" s="392">
        <v>4.4418534353312458</v>
      </c>
      <c r="L2596" s="392">
        <v>4.4418534353312458</v>
      </c>
      <c r="M2596" s="392">
        <v>4.4418534353312458</v>
      </c>
      <c r="N2596" s="392"/>
    </row>
    <row r="2597" spans="1:14" hidden="1" outlineLevel="2" x14ac:dyDescent="0.35">
      <c r="A2597" s="388" t="s">
        <v>3971</v>
      </c>
      <c r="B2597" s="389">
        <v>44315</v>
      </c>
      <c r="C2597" s="390" t="s">
        <v>4070</v>
      </c>
      <c r="D2597" s="391" t="s">
        <v>4071</v>
      </c>
      <c r="E2597" s="391" t="s">
        <v>4042</v>
      </c>
      <c r="F2597" s="392">
        <v>11937.5</v>
      </c>
      <c r="G2597" s="393" t="s">
        <v>3800</v>
      </c>
      <c r="H2597" s="394">
        <v>4.4418534353312458</v>
      </c>
      <c r="I2597" s="394"/>
      <c r="J2597" s="392">
        <v>1.1104633588328114</v>
      </c>
      <c r="K2597" s="392">
        <v>1.1104633588328114</v>
      </c>
      <c r="L2597" s="392">
        <v>1.1104633588328114</v>
      </c>
      <c r="M2597" s="392">
        <v>1.1104633588328114</v>
      </c>
      <c r="N2597" s="392"/>
    </row>
    <row r="2598" spans="1:14" hidden="1" outlineLevel="2" x14ac:dyDescent="0.35">
      <c r="A2598" s="388" t="s">
        <v>3971</v>
      </c>
      <c r="B2598" s="389">
        <v>44342</v>
      </c>
      <c r="C2598" s="390" t="s">
        <v>4072</v>
      </c>
      <c r="D2598" s="391" t="s">
        <v>4073</v>
      </c>
      <c r="E2598" s="391" t="s">
        <v>6184</v>
      </c>
      <c r="F2598" s="392">
        <v>955000</v>
      </c>
      <c r="G2598" s="393" t="s">
        <v>3800</v>
      </c>
      <c r="H2598" s="394">
        <v>355.34827482649962</v>
      </c>
      <c r="I2598" s="394"/>
      <c r="J2598" s="392">
        <v>88.837068706624905</v>
      </c>
      <c r="K2598" s="392">
        <v>88.837068706624905</v>
      </c>
      <c r="L2598" s="392">
        <v>88.837068706624905</v>
      </c>
      <c r="M2598" s="392">
        <v>88.837068706624905</v>
      </c>
      <c r="N2598" s="392"/>
    </row>
    <row r="2599" spans="1:14" hidden="1" outlineLevel="2" x14ac:dyDescent="0.35">
      <c r="A2599" s="388" t="s">
        <v>3971</v>
      </c>
      <c r="B2599" s="389">
        <v>44342</v>
      </c>
      <c r="C2599" s="390" t="s">
        <v>4072</v>
      </c>
      <c r="D2599" s="391" t="s">
        <v>4074</v>
      </c>
      <c r="E2599" s="391" t="s">
        <v>6184</v>
      </c>
      <c r="F2599" s="392">
        <v>143250</v>
      </c>
      <c r="G2599" s="393" t="s">
        <v>3800</v>
      </c>
      <c r="H2599" s="394">
        <v>53.302241223974946</v>
      </c>
      <c r="I2599" s="394"/>
      <c r="J2599" s="392">
        <v>13.325560305993736</v>
      </c>
      <c r="K2599" s="392">
        <v>13.325560305993736</v>
      </c>
      <c r="L2599" s="392">
        <v>13.325560305993736</v>
      </c>
      <c r="M2599" s="392">
        <v>13.325560305993736</v>
      </c>
      <c r="N2599" s="392"/>
    </row>
    <row r="2600" spans="1:14" hidden="1" outlineLevel="2" x14ac:dyDescent="0.35">
      <c r="A2600" s="388" t="s">
        <v>3971</v>
      </c>
      <c r="B2600" s="389">
        <v>44342</v>
      </c>
      <c r="C2600" s="390" t="s">
        <v>4075</v>
      </c>
      <c r="D2600" s="391" t="s">
        <v>4076</v>
      </c>
      <c r="E2600" s="391" t="s">
        <v>4272</v>
      </c>
      <c r="F2600" s="392">
        <v>119375</v>
      </c>
      <c r="G2600" s="393" t="s">
        <v>3800</v>
      </c>
      <c r="H2600" s="394">
        <v>44.418534353312452</v>
      </c>
      <c r="I2600" s="394"/>
      <c r="J2600" s="392">
        <v>11.104633588328113</v>
      </c>
      <c r="K2600" s="392">
        <v>11.104633588328113</v>
      </c>
      <c r="L2600" s="392">
        <v>11.104633588328113</v>
      </c>
      <c r="M2600" s="392">
        <v>11.104633588328113</v>
      </c>
      <c r="N2600" s="392"/>
    </row>
    <row r="2601" spans="1:14" hidden="1" outlineLevel="2" x14ac:dyDescent="0.35">
      <c r="A2601" s="388" t="s">
        <v>3971</v>
      </c>
      <c r="B2601" s="389">
        <v>44342</v>
      </c>
      <c r="C2601" s="390" t="s">
        <v>4072</v>
      </c>
      <c r="D2601" s="391" t="s">
        <v>4077</v>
      </c>
      <c r="E2601" s="391" t="s">
        <v>6184</v>
      </c>
      <c r="F2601" s="392">
        <v>47750</v>
      </c>
      <c r="G2601" s="393" t="s">
        <v>3800</v>
      </c>
      <c r="H2601" s="394">
        <v>17.767413741324983</v>
      </c>
      <c r="I2601" s="394"/>
      <c r="J2601" s="392">
        <v>4.4418534353312458</v>
      </c>
      <c r="K2601" s="392">
        <v>4.4418534353312458</v>
      </c>
      <c r="L2601" s="392">
        <v>4.4418534353312458</v>
      </c>
      <c r="M2601" s="392">
        <v>4.4418534353312458</v>
      </c>
      <c r="N2601" s="392"/>
    </row>
    <row r="2602" spans="1:14" hidden="1" outlineLevel="2" x14ac:dyDescent="0.35">
      <c r="A2602" s="388" t="s">
        <v>3971</v>
      </c>
      <c r="B2602" s="389">
        <v>44342</v>
      </c>
      <c r="C2602" s="390" t="s">
        <v>4078</v>
      </c>
      <c r="D2602" s="391" t="s">
        <v>4079</v>
      </c>
      <c r="E2602" s="391" t="s">
        <v>4376</v>
      </c>
      <c r="F2602" s="392">
        <v>47750</v>
      </c>
      <c r="G2602" s="393" t="s">
        <v>3800</v>
      </c>
      <c r="H2602" s="394">
        <v>17.767413741324983</v>
      </c>
      <c r="I2602" s="394"/>
      <c r="J2602" s="392">
        <v>4.4418534353312458</v>
      </c>
      <c r="K2602" s="392">
        <v>4.4418534353312458</v>
      </c>
      <c r="L2602" s="392">
        <v>4.4418534353312458</v>
      </c>
      <c r="M2602" s="392">
        <v>4.4418534353312458</v>
      </c>
      <c r="N2602" s="392"/>
    </row>
    <row r="2603" spans="1:14" hidden="1" outlineLevel="2" x14ac:dyDescent="0.35">
      <c r="A2603" s="388" t="s">
        <v>3971</v>
      </c>
      <c r="B2603" s="389">
        <v>44342</v>
      </c>
      <c r="C2603" s="390" t="s">
        <v>4080</v>
      </c>
      <c r="D2603" s="391" t="s">
        <v>4081</v>
      </c>
      <c r="E2603" s="391" t="s">
        <v>4042</v>
      </c>
      <c r="F2603" s="392">
        <v>11937.5</v>
      </c>
      <c r="G2603" s="393" t="s">
        <v>3800</v>
      </c>
      <c r="H2603" s="394">
        <v>4.4418534353312458</v>
      </c>
      <c r="I2603" s="394"/>
      <c r="J2603" s="392">
        <v>1.1104633588328114</v>
      </c>
      <c r="K2603" s="392">
        <v>1.1104633588328114</v>
      </c>
      <c r="L2603" s="392">
        <v>1.1104633588328114</v>
      </c>
      <c r="M2603" s="392">
        <v>1.1104633588328114</v>
      </c>
      <c r="N2603" s="392"/>
    </row>
    <row r="2604" spans="1:14" hidden="1" outlineLevel="2" x14ac:dyDescent="0.35">
      <c r="A2604" s="388" t="s">
        <v>3971</v>
      </c>
      <c r="B2604" s="389">
        <v>44376</v>
      </c>
      <c r="C2604" s="390" t="s">
        <v>4082</v>
      </c>
      <c r="D2604" s="391" t="s">
        <v>4083</v>
      </c>
      <c r="E2604" s="391" t="s">
        <v>6184</v>
      </c>
      <c r="F2604" s="392">
        <v>955000</v>
      </c>
      <c r="G2604" s="393" t="s">
        <v>3800</v>
      </c>
      <c r="H2604" s="394">
        <v>355.34827482649962</v>
      </c>
      <c r="I2604" s="394"/>
      <c r="J2604" s="392">
        <v>88.837068706624905</v>
      </c>
      <c r="K2604" s="392">
        <v>88.837068706624905</v>
      </c>
      <c r="L2604" s="392">
        <v>88.837068706624905</v>
      </c>
      <c r="M2604" s="392">
        <v>88.837068706624905</v>
      </c>
      <c r="N2604" s="392"/>
    </row>
    <row r="2605" spans="1:14" hidden="1" outlineLevel="2" x14ac:dyDescent="0.35">
      <c r="A2605" s="388" t="s">
        <v>3971</v>
      </c>
      <c r="B2605" s="389">
        <v>44376</v>
      </c>
      <c r="C2605" s="390" t="s">
        <v>4082</v>
      </c>
      <c r="D2605" s="391" t="s">
        <v>4084</v>
      </c>
      <c r="E2605" s="391" t="s">
        <v>6184</v>
      </c>
      <c r="F2605" s="392">
        <v>143250</v>
      </c>
      <c r="G2605" s="393" t="s">
        <v>3800</v>
      </c>
      <c r="H2605" s="394">
        <v>53.302241223974946</v>
      </c>
      <c r="I2605" s="394"/>
      <c r="J2605" s="392">
        <v>13.325560305993736</v>
      </c>
      <c r="K2605" s="392">
        <v>13.325560305993736</v>
      </c>
      <c r="L2605" s="392">
        <v>13.325560305993736</v>
      </c>
      <c r="M2605" s="392">
        <v>13.325560305993736</v>
      </c>
      <c r="N2605" s="392"/>
    </row>
    <row r="2606" spans="1:14" hidden="1" outlineLevel="2" collapsed="1" x14ac:dyDescent="0.35">
      <c r="A2606" s="388" t="s">
        <v>3971</v>
      </c>
      <c r="B2606" s="389">
        <v>44376</v>
      </c>
      <c r="C2606" s="390" t="s">
        <v>4085</v>
      </c>
      <c r="D2606" s="391" t="s">
        <v>4086</v>
      </c>
      <c r="E2606" s="391" t="s">
        <v>4272</v>
      </c>
      <c r="F2606" s="392">
        <v>119375</v>
      </c>
      <c r="G2606" s="393" t="s">
        <v>3800</v>
      </c>
      <c r="H2606" s="394">
        <v>44.418534353312452</v>
      </c>
      <c r="I2606" s="394"/>
      <c r="J2606" s="392">
        <v>11.104633588328113</v>
      </c>
      <c r="K2606" s="392">
        <v>11.104633588328113</v>
      </c>
      <c r="L2606" s="392">
        <v>11.104633588328113</v>
      </c>
      <c r="M2606" s="392">
        <v>11.104633588328113</v>
      </c>
      <c r="N2606" s="392"/>
    </row>
    <row r="2607" spans="1:14" hidden="1" outlineLevel="2" x14ac:dyDescent="0.35">
      <c r="A2607" s="388" t="s">
        <v>3971</v>
      </c>
      <c r="B2607" s="389">
        <v>44376</v>
      </c>
      <c r="C2607" s="390" t="s">
        <v>4082</v>
      </c>
      <c r="D2607" s="391" t="s">
        <v>4087</v>
      </c>
      <c r="E2607" s="391" t="s">
        <v>6184</v>
      </c>
      <c r="F2607" s="392">
        <v>47750</v>
      </c>
      <c r="G2607" s="393" t="s">
        <v>3800</v>
      </c>
      <c r="H2607" s="394">
        <v>17.767413741324983</v>
      </c>
      <c r="I2607" s="394"/>
      <c r="J2607" s="392">
        <v>4.4418534353312458</v>
      </c>
      <c r="K2607" s="392">
        <v>4.4418534353312458</v>
      </c>
      <c r="L2607" s="392">
        <v>4.4418534353312458</v>
      </c>
      <c r="M2607" s="392">
        <v>4.4418534353312458</v>
      </c>
      <c r="N2607" s="392"/>
    </row>
    <row r="2608" spans="1:14" hidden="1" outlineLevel="2" x14ac:dyDescent="0.35">
      <c r="A2608" s="388" t="s">
        <v>3971</v>
      </c>
      <c r="B2608" s="389">
        <v>44376</v>
      </c>
      <c r="C2608" s="390" t="s">
        <v>4088</v>
      </c>
      <c r="D2608" s="391" t="s">
        <v>4089</v>
      </c>
      <c r="E2608" s="391" t="s">
        <v>4376</v>
      </c>
      <c r="F2608" s="392">
        <v>47750</v>
      </c>
      <c r="G2608" s="393" t="s">
        <v>3800</v>
      </c>
      <c r="H2608" s="394">
        <v>17.767413741324983</v>
      </c>
      <c r="I2608" s="394"/>
      <c r="J2608" s="392">
        <v>4.4418534353312458</v>
      </c>
      <c r="K2608" s="392">
        <v>4.4418534353312458</v>
      </c>
      <c r="L2608" s="392">
        <v>4.4418534353312458</v>
      </c>
      <c r="M2608" s="392">
        <v>4.4418534353312458</v>
      </c>
      <c r="N2608" s="392"/>
    </row>
    <row r="2609" spans="1:14" hidden="1" outlineLevel="2" x14ac:dyDescent="0.35">
      <c r="A2609" s="388" t="s">
        <v>3971</v>
      </c>
      <c r="B2609" s="389">
        <v>44376</v>
      </c>
      <c r="C2609" s="390" t="s">
        <v>4090</v>
      </c>
      <c r="D2609" s="391" t="s">
        <v>4091</v>
      </c>
      <c r="E2609" s="391" t="s">
        <v>4042</v>
      </c>
      <c r="F2609" s="392">
        <v>11937.5</v>
      </c>
      <c r="G2609" s="393" t="s">
        <v>3800</v>
      </c>
      <c r="H2609" s="394">
        <v>4.4418534353312458</v>
      </c>
      <c r="I2609" s="394"/>
      <c r="J2609" s="392">
        <v>1.1104633588328114</v>
      </c>
      <c r="K2609" s="392">
        <v>1.1104633588328114</v>
      </c>
      <c r="L2609" s="392">
        <v>1.1104633588328114</v>
      </c>
      <c r="M2609" s="392">
        <v>1.1104633588328114</v>
      </c>
      <c r="N2609" s="392"/>
    </row>
    <row r="2610" spans="1:14" hidden="1" outlineLevel="2" x14ac:dyDescent="0.35">
      <c r="A2610" s="388" t="s">
        <v>3971</v>
      </c>
      <c r="B2610" s="389">
        <v>44407</v>
      </c>
      <c r="C2610" s="390" t="s">
        <v>4092</v>
      </c>
      <c r="D2610" s="391" t="s">
        <v>4093</v>
      </c>
      <c r="E2610" s="391" t="s">
        <v>6182</v>
      </c>
      <c r="F2610" s="392">
        <v>955000</v>
      </c>
      <c r="G2610" s="393" t="s">
        <v>3800</v>
      </c>
      <c r="H2610" s="394">
        <v>355.34827482649962</v>
      </c>
      <c r="I2610" s="394"/>
      <c r="J2610" s="392">
        <v>88.837068706624905</v>
      </c>
      <c r="K2610" s="392">
        <v>88.837068706624905</v>
      </c>
      <c r="L2610" s="392">
        <v>88.837068706624905</v>
      </c>
      <c r="M2610" s="392">
        <v>88.837068706624905</v>
      </c>
      <c r="N2610" s="392"/>
    </row>
    <row r="2611" spans="1:14" hidden="1" outlineLevel="2" collapsed="1" x14ac:dyDescent="0.35">
      <c r="A2611" s="388" t="s">
        <v>3971</v>
      </c>
      <c r="B2611" s="389">
        <v>44407</v>
      </c>
      <c r="C2611" s="390" t="s">
        <v>4092</v>
      </c>
      <c r="D2611" s="391" t="s">
        <v>4094</v>
      </c>
      <c r="E2611" s="391" t="s">
        <v>6182</v>
      </c>
      <c r="F2611" s="392">
        <v>143250</v>
      </c>
      <c r="G2611" s="393" t="s">
        <v>3800</v>
      </c>
      <c r="H2611" s="394">
        <v>53.302241223974946</v>
      </c>
      <c r="I2611" s="394"/>
      <c r="J2611" s="392">
        <v>13.325560305993736</v>
      </c>
      <c r="K2611" s="392">
        <v>13.325560305993736</v>
      </c>
      <c r="L2611" s="392">
        <v>13.325560305993736</v>
      </c>
      <c r="M2611" s="392">
        <v>13.325560305993736</v>
      </c>
      <c r="N2611" s="392"/>
    </row>
    <row r="2612" spans="1:14" hidden="1" outlineLevel="2" x14ac:dyDescent="0.35">
      <c r="A2612" s="388" t="s">
        <v>3971</v>
      </c>
      <c r="B2612" s="389">
        <v>44407</v>
      </c>
      <c r="C2612" s="390" t="s">
        <v>4095</v>
      </c>
      <c r="D2612" s="391" t="s">
        <v>4096</v>
      </c>
      <c r="E2612" s="391" t="s">
        <v>6183</v>
      </c>
      <c r="F2612" s="392">
        <v>119375</v>
      </c>
      <c r="G2612" s="393" t="s">
        <v>3800</v>
      </c>
      <c r="H2612" s="394">
        <v>44.418534353312452</v>
      </c>
      <c r="I2612" s="394"/>
      <c r="J2612" s="392">
        <v>11.104633588328113</v>
      </c>
      <c r="K2612" s="392">
        <v>11.104633588328113</v>
      </c>
      <c r="L2612" s="392">
        <v>11.104633588328113</v>
      </c>
      <c r="M2612" s="392">
        <v>11.104633588328113</v>
      </c>
      <c r="N2612" s="392"/>
    </row>
    <row r="2613" spans="1:14" hidden="1" outlineLevel="2" collapsed="1" x14ac:dyDescent="0.35">
      <c r="A2613" s="388" t="s">
        <v>3971</v>
      </c>
      <c r="B2613" s="389">
        <v>44407</v>
      </c>
      <c r="C2613" s="390" t="s">
        <v>4062</v>
      </c>
      <c r="D2613" s="391" t="s">
        <v>4097</v>
      </c>
      <c r="E2613" s="391" t="s">
        <v>6182</v>
      </c>
      <c r="F2613" s="392">
        <v>47750</v>
      </c>
      <c r="G2613" s="393" t="s">
        <v>3800</v>
      </c>
      <c r="H2613" s="394">
        <v>17.767413741324983</v>
      </c>
      <c r="I2613" s="394"/>
      <c r="J2613" s="392">
        <v>4.4418534353312458</v>
      </c>
      <c r="K2613" s="392">
        <v>4.4418534353312458</v>
      </c>
      <c r="L2613" s="392">
        <v>4.4418534353312458</v>
      </c>
      <c r="M2613" s="392">
        <v>4.4418534353312458</v>
      </c>
      <c r="N2613" s="392"/>
    </row>
    <row r="2614" spans="1:14" hidden="1" outlineLevel="2" x14ac:dyDescent="0.35">
      <c r="A2614" s="388" t="s">
        <v>3971</v>
      </c>
      <c r="B2614" s="389">
        <v>44407</v>
      </c>
      <c r="C2614" s="390" t="s">
        <v>4092</v>
      </c>
      <c r="D2614" s="391" t="s">
        <v>4098</v>
      </c>
      <c r="E2614" s="391" t="s">
        <v>4376</v>
      </c>
      <c r="F2614" s="392">
        <v>47750</v>
      </c>
      <c r="G2614" s="393" t="s">
        <v>3800</v>
      </c>
      <c r="H2614" s="394">
        <v>17.767413741324983</v>
      </c>
      <c r="I2614" s="394"/>
      <c r="J2614" s="392">
        <v>4.4418534353312458</v>
      </c>
      <c r="K2614" s="392">
        <v>4.4418534353312458</v>
      </c>
      <c r="L2614" s="392">
        <v>4.4418534353312458</v>
      </c>
      <c r="M2614" s="392">
        <v>4.4418534353312458</v>
      </c>
      <c r="N2614" s="392"/>
    </row>
    <row r="2615" spans="1:14" hidden="1" outlineLevel="2" collapsed="1" x14ac:dyDescent="0.35">
      <c r="A2615" s="388" t="s">
        <v>3971</v>
      </c>
      <c r="B2615" s="389">
        <v>44407</v>
      </c>
      <c r="C2615" s="390" t="s">
        <v>4099</v>
      </c>
      <c r="D2615" s="391" t="s">
        <v>4100</v>
      </c>
      <c r="E2615" s="391" t="s">
        <v>4042</v>
      </c>
      <c r="F2615" s="392">
        <v>7162.5</v>
      </c>
      <c r="G2615" s="393" t="s">
        <v>3800</v>
      </c>
      <c r="H2615" s="394">
        <v>2.6651120611987471</v>
      </c>
      <c r="I2615" s="394"/>
      <c r="J2615" s="392">
        <v>0.66627801529968678</v>
      </c>
      <c r="K2615" s="392">
        <v>0.66627801529968678</v>
      </c>
      <c r="L2615" s="392">
        <v>0.66627801529968678</v>
      </c>
      <c r="M2615" s="392">
        <v>0.66627801529968678</v>
      </c>
      <c r="N2615" s="392"/>
    </row>
    <row r="2616" spans="1:14" hidden="1" outlineLevel="2" x14ac:dyDescent="0.35">
      <c r="A2616" s="388" t="s">
        <v>3971</v>
      </c>
      <c r="B2616" s="389">
        <v>44407</v>
      </c>
      <c r="C2616" s="390" t="s">
        <v>4092</v>
      </c>
      <c r="D2616" s="391" t="s">
        <v>4093</v>
      </c>
      <c r="E2616" s="391" t="s">
        <v>6184</v>
      </c>
      <c r="F2616" s="392">
        <v>955000</v>
      </c>
      <c r="G2616" s="393" t="s">
        <v>3800</v>
      </c>
      <c r="H2616" s="394">
        <v>355.34827482649962</v>
      </c>
      <c r="I2616" s="394"/>
      <c r="J2616" s="392">
        <v>88.837068706624905</v>
      </c>
      <c r="K2616" s="392">
        <v>88.837068706624905</v>
      </c>
      <c r="L2616" s="392">
        <v>88.837068706624905</v>
      </c>
      <c r="M2616" s="392">
        <v>88.837068706624905</v>
      </c>
      <c r="N2616" s="392"/>
    </row>
    <row r="2617" spans="1:14" hidden="1" outlineLevel="2" collapsed="1" x14ac:dyDescent="0.35">
      <c r="A2617" s="388" t="s">
        <v>3971</v>
      </c>
      <c r="B2617" s="389">
        <v>44407</v>
      </c>
      <c r="C2617" s="390" t="s">
        <v>4092</v>
      </c>
      <c r="D2617" s="391" t="s">
        <v>4094</v>
      </c>
      <c r="E2617" s="391" t="s">
        <v>6184</v>
      </c>
      <c r="F2617" s="392">
        <v>143250</v>
      </c>
      <c r="G2617" s="393" t="s">
        <v>3800</v>
      </c>
      <c r="H2617" s="394">
        <v>53.302241223974946</v>
      </c>
      <c r="I2617" s="394"/>
      <c r="J2617" s="392">
        <v>13.325560305993736</v>
      </c>
      <c r="K2617" s="392">
        <v>13.325560305993736</v>
      </c>
      <c r="L2617" s="392">
        <v>13.325560305993736</v>
      </c>
      <c r="M2617" s="392">
        <v>13.325560305993736</v>
      </c>
      <c r="N2617" s="392"/>
    </row>
    <row r="2618" spans="1:14" hidden="1" outlineLevel="2" x14ac:dyDescent="0.35">
      <c r="A2618" s="388" t="s">
        <v>3971</v>
      </c>
      <c r="B2618" s="389">
        <v>44407</v>
      </c>
      <c r="C2618" s="390" t="s">
        <v>4095</v>
      </c>
      <c r="D2618" s="391" t="s">
        <v>4096</v>
      </c>
      <c r="E2618" s="391" t="s">
        <v>4272</v>
      </c>
      <c r="F2618" s="392">
        <v>119375</v>
      </c>
      <c r="G2618" s="393" t="s">
        <v>3800</v>
      </c>
      <c r="H2618" s="394">
        <v>44.418534353312452</v>
      </c>
      <c r="I2618" s="394"/>
      <c r="J2618" s="392">
        <v>11.104633588328113</v>
      </c>
      <c r="K2618" s="392">
        <v>11.104633588328113</v>
      </c>
      <c r="L2618" s="392">
        <v>11.104633588328113</v>
      </c>
      <c r="M2618" s="392">
        <v>11.104633588328113</v>
      </c>
      <c r="N2618" s="392"/>
    </row>
    <row r="2619" spans="1:14" hidden="1" outlineLevel="2" x14ac:dyDescent="0.35">
      <c r="A2619" s="388" t="s">
        <v>3971</v>
      </c>
      <c r="B2619" s="389">
        <v>44407</v>
      </c>
      <c r="C2619" s="390" t="s">
        <v>4062</v>
      </c>
      <c r="D2619" s="391" t="s">
        <v>4097</v>
      </c>
      <c r="E2619" s="391" t="s">
        <v>6184</v>
      </c>
      <c r="F2619" s="392">
        <v>47750</v>
      </c>
      <c r="G2619" s="393" t="s">
        <v>3800</v>
      </c>
      <c r="H2619" s="394">
        <v>17.767413741324983</v>
      </c>
      <c r="I2619" s="394"/>
      <c r="J2619" s="392">
        <v>4.4418534353312458</v>
      </c>
      <c r="K2619" s="392">
        <v>4.4418534353312458</v>
      </c>
      <c r="L2619" s="392">
        <v>4.4418534353312458</v>
      </c>
      <c r="M2619" s="392">
        <v>4.4418534353312458</v>
      </c>
      <c r="N2619" s="392"/>
    </row>
    <row r="2620" spans="1:14" hidden="1" outlineLevel="2" x14ac:dyDescent="0.35">
      <c r="A2620" s="388" t="s">
        <v>3971</v>
      </c>
      <c r="B2620" s="389">
        <v>44407</v>
      </c>
      <c r="C2620" s="390" t="s">
        <v>4092</v>
      </c>
      <c r="D2620" s="391" t="s">
        <v>4098</v>
      </c>
      <c r="E2620" s="391" t="s">
        <v>4376</v>
      </c>
      <c r="F2620" s="392">
        <v>47750</v>
      </c>
      <c r="G2620" s="393" t="s">
        <v>3800</v>
      </c>
      <c r="H2620" s="394">
        <v>17.767413741324983</v>
      </c>
      <c r="I2620" s="394"/>
      <c r="J2620" s="392">
        <v>4.4418534353312458</v>
      </c>
      <c r="K2620" s="392">
        <v>4.4418534353312458</v>
      </c>
      <c r="L2620" s="392">
        <v>4.4418534353312458</v>
      </c>
      <c r="M2620" s="392">
        <v>4.4418534353312458</v>
      </c>
      <c r="N2620" s="392"/>
    </row>
    <row r="2621" spans="1:14" hidden="1" outlineLevel="2" x14ac:dyDescent="0.35">
      <c r="A2621" s="388" t="s">
        <v>3971</v>
      </c>
      <c r="B2621" s="389">
        <v>44407</v>
      </c>
      <c r="C2621" s="390" t="s">
        <v>4099</v>
      </c>
      <c r="D2621" s="391" t="s">
        <v>4100</v>
      </c>
      <c r="E2621" s="391" t="s">
        <v>4042</v>
      </c>
      <c r="F2621" s="392">
        <v>7162.5</v>
      </c>
      <c r="G2621" s="393" t="s">
        <v>3800</v>
      </c>
      <c r="H2621" s="394">
        <v>2.6651120611987471</v>
      </c>
      <c r="I2621" s="394"/>
      <c r="J2621" s="392">
        <v>0.66627801529968678</v>
      </c>
      <c r="K2621" s="392">
        <v>0.66627801529968678</v>
      </c>
      <c r="L2621" s="392">
        <v>0.66627801529968678</v>
      </c>
      <c r="M2621" s="392">
        <v>0.66627801529968678</v>
      </c>
      <c r="N2621" s="392"/>
    </row>
    <row r="2622" spans="1:14" outlineLevel="1" collapsed="1" x14ac:dyDescent="0.35">
      <c r="A2622" s="395" t="s">
        <v>6187</v>
      </c>
      <c r="B2622" s="389"/>
      <c r="C2622" s="390"/>
      <c r="D2622" s="391"/>
      <c r="E2622" s="391"/>
      <c r="F2622" s="392"/>
      <c r="G2622" s="393"/>
      <c r="H2622" s="394">
        <f t="shared" ref="H2622:N2622" si="94">SUBTOTAL(9,H2538:H2621)</f>
        <v>6899.0865994776723</v>
      </c>
      <c r="I2622" s="394"/>
      <c r="J2622" s="392">
        <f t="shared" si="94"/>
        <v>1724.7716498694181</v>
      </c>
      <c r="K2622" s="392">
        <f t="shared" si="94"/>
        <v>1724.7716498694181</v>
      </c>
      <c r="L2622" s="392">
        <f t="shared" si="94"/>
        <v>1724.7716498694181</v>
      </c>
      <c r="M2622" s="392">
        <f t="shared" si="94"/>
        <v>1724.7716498694181</v>
      </c>
      <c r="N2622" s="392">
        <f t="shared" si="94"/>
        <v>0</v>
      </c>
    </row>
    <row r="2623" spans="1:14" hidden="1" outlineLevel="2" x14ac:dyDescent="0.35">
      <c r="A2623" s="403" t="s">
        <v>3867</v>
      </c>
      <c r="B2623" s="397">
        <v>43950</v>
      </c>
      <c r="C2623" s="398" t="s">
        <v>6188</v>
      </c>
      <c r="D2623" s="399" t="s">
        <v>6189</v>
      </c>
      <c r="E2623" s="399" t="s">
        <v>6190</v>
      </c>
      <c r="F2623" s="400">
        <v>42.51</v>
      </c>
      <c r="G2623" s="401" t="s">
        <v>56</v>
      </c>
      <c r="H2623" s="402">
        <v>42.51</v>
      </c>
      <c r="I2623" s="402"/>
      <c r="J2623" s="400">
        <f t="shared" ref="J2623:M2625" si="95">$H2623/4</f>
        <v>10.6275</v>
      </c>
      <c r="K2623" s="400">
        <f t="shared" si="95"/>
        <v>10.6275</v>
      </c>
      <c r="L2623" s="400">
        <f t="shared" si="95"/>
        <v>10.6275</v>
      </c>
      <c r="M2623" s="400">
        <f t="shared" si="95"/>
        <v>10.6275</v>
      </c>
      <c r="N2623" s="400"/>
    </row>
    <row r="2624" spans="1:14" hidden="1" outlineLevel="2" x14ac:dyDescent="0.35">
      <c r="A2624" s="403" t="s">
        <v>3867</v>
      </c>
      <c r="B2624" s="397">
        <v>43950</v>
      </c>
      <c r="C2624" s="398" t="s">
        <v>6188</v>
      </c>
      <c r="D2624" s="399" t="s">
        <v>6191</v>
      </c>
      <c r="E2624" s="399" t="s">
        <v>6190</v>
      </c>
      <c r="F2624" s="400">
        <v>33.880000000000003</v>
      </c>
      <c r="G2624" s="401" t="s">
        <v>56</v>
      </c>
      <c r="H2624" s="402">
        <v>33.880000000000003</v>
      </c>
      <c r="I2624" s="402"/>
      <c r="J2624" s="400">
        <f t="shared" si="95"/>
        <v>8.4700000000000006</v>
      </c>
      <c r="K2624" s="400">
        <f t="shared" si="95"/>
        <v>8.4700000000000006</v>
      </c>
      <c r="L2624" s="400">
        <f t="shared" si="95"/>
        <v>8.4700000000000006</v>
      </c>
      <c r="M2624" s="400">
        <f t="shared" si="95"/>
        <v>8.4700000000000006</v>
      </c>
      <c r="N2624" s="400"/>
    </row>
    <row r="2625" spans="1:14" hidden="1" outlineLevel="2" x14ac:dyDescent="0.35">
      <c r="A2625" s="403" t="s">
        <v>3867</v>
      </c>
      <c r="B2625" s="397">
        <v>43950</v>
      </c>
      <c r="C2625" s="398" t="s">
        <v>6188</v>
      </c>
      <c r="D2625" s="399" t="s">
        <v>6192</v>
      </c>
      <c r="E2625" s="399" t="s">
        <v>6190</v>
      </c>
      <c r="F2625" s="400">
        <v>15.99</v>
      </c>
      <c r="G2625" s="401" t="s">
        <v>56</v>
      </c>
      <c r="H2625" s="402">
        <v>15.99</v>
      </c>
      <c r="I2625" s="402"/>
      <c r="J2625" s="400">
        <f t="shared" si="95"/>
        <v>3.9975000000000001</v>
      </c>
      <c r="K2625" s="400">
        <f t="shared" si="95"/>
        <v>3.9975000000000001</v>
      </c>
      <c r="L2625" s="400">
        <f t="shared" si="95"/>
        <v>3.9975000000000001</v>
      </c>
      <c r="M2625" s="400">
        <f t="shared" si="95"/>
        <v>3.9975000000000001</v>
      </c>
      <c r="N2625" s="400"/>
    </row>
    <row r="2626" spans="1:14" outlineLevel="1" collapsed="1" x14ac:dyDescent="0.35">
      <c r="A2626" s="396" t="s">
        <v>6193</v>
      </c>
      <c r="B2626" s="397"/>
      <c r="C2626" s="398"/>
      <c r="D2626" s="399"/>
      <c r="E2626" s="399"/>
      <c r="F2626" s="400"/>
      <c r="G2626" s="401"/>
      <c r="H2626" s="402">
        <f t="shared" ref="H2626:N2626" si="96">SUBTOTAL(9,H2623:H2625)</f>
        <v>92.38</v>
      </c>
      <c r="I2626" s="402"/>
      <c r="J2626" s="400">
        <f t="shared" si="96"/>
        <v>23.094999999999999</v>
      </c>
      <c r="K2626" s="400">
        <f t="shared" si="96"/>
        <v>23.094999999999999</v>
      </c>
      <c r="L2626" s="400">
        <f t="shared" si="96"/>
        <v>23.094999999999999</v>
      </c>
      <c r="M2626" s="400">
        <f t="shared" si="96"/>
        <v>23.094999999999999</v>
      </c>
      <c r="N2626" s="400">
        <f t="shared" si="96"/>
        <v>0</v>
      </c>
    </row>
    <row r="2627" spans="1:14" hidden="1" outlineLevel="2" x14ac:dyDescent="0.35">
      <c r="A2627" s="388" t="s">
        <v>220</v>
      </c>
      <c r="B2627" s="389">
        <v>43738</v>
      </c>
      <c r="C2627" s="390" t="s">
        <v>1087</v>
      </c>
      <c r="D2627" s="391" t="s">
        <v>1544</v>
      </c>
      <c r="E2627" s="391" t="s">
        <v>1545</v>
      </c>
      <c r="F2627" s="392">
        <v>366.63</v>
      </c>
      <c r="G2627" s="393" t="s">
        <v>56</v>
      </c>
      <c r="H2627" s="394">
        <v>366.63</v>
      </c>
      <c r="I2627" s="394"/>
      <c r="J2627" s="392">
        <f t="shared" ref="J2627:N2637" si="97">$H2627/5</f>
        <v>73.325999999999993</v>
      </c>
      <c r="K2627" s="392">
        <f t="shared" si="97"/>
        <v>73.325999999999993</v>
      </c>
      <c r="L2627" s="392">
        <f t="shared" si="97"/>
        <v>73.325999999999993</v>
      </c>
      <c r="M2627" s="392">
        <f t="shared" si="97"/>
        <v>73.325999999999993</v>
      </c>
      <c r="N2627" s="392">
        <f t="shared" si="97"/>
        <v>73.325999999999993</v>
      </c>
    </row>
    <row r="2628" spans="1:14" hidden="1" outlineLevel="2" collapsed="1" x14ac:dyDescent="0.35">
      <c r="A2628" s="388" t="s">
        <v>220</v>
      </c>
      <c r="B2628" s="389">
        <v>43830</v>
      </c>
      <c r="C2628" s="390" t="s">
        <v>1090</v>
      </c>
      <c r="D2628" s="391" t="s">
        <v>1546</v>
      </c>
      <c r="E2628" s="391" t="s">
        <v>1545</v>
      </c>
      <c r="F2628" s="392">
        <v>366.63</v>
      </c>
      <c r="G2628" s="393" t="s">
        <v>56</v>
      </c>
      <c r="H2628" s="394">
        <v>366.63</v>
      </c>
      <c r="I2628" s="394"/>
      <c r="J2628" s="392">
        <f t="shared" si="97"/>
        <v>73.325999999999993</v>
      </c>
      <c r="K2628" s="392">
        <f t="shared" si="97"/>
        <v>73.325999999999993</v>
      </c>
      <c r="L2628" s="392">
        <f t="shared" si="97"/>
        <v>73.325999999999993</v>
      </c>
      <c r="M2628" s="392">
        <f t="shared" si="97"/>
        <v>73.325999999999993</v>
      </c>
      <c r="N2628" s="392">
        <f t="shared" si="97"/>
        <v>73.325999999999993</v>
      </c>
    </row>
    <row r="2629" spans="1:14" hidden="1" outlineLevel="2" x14ac:dyDescent="0.35">
      <c r="A2629" s="388" t="s">
        <v>220</v>
      </c>
      <c r="B2629" s="389">
        <v>43921</v>
      </c>
      <c r="C2629" s="390" t="s">
        <v>1092</v>
      </c>
      <c r="D2629" s="391" t="s">
        <v>1547</v>
      </c>
      <c r="E2629" s="391" t="s">
        <v>1545</v>
      </c>
      <c r="F2629" s="392">
        <v>439.95</v>
      </c>
      <c r="G2629" s="393" t="s">
        <v>56</v>
      </c>
      <c r="H2629" s="394">
        <v>439.95</v>
      </c>
      <c r="I2629" s="394"/>
      <c r="J2629" s="392">
        <f t="shared" si="97"/>
        <v>87.99</v>
      </c>
      <c r="K2629" s="392">
        <f t="shared" si="97"/>
        <v>87.99</v>
      </c>
      <c r="L2629" s="392">
        <f t="shared" si="97"/>
        <v>87.99</v>
      </c>
      <c r="M2629" s="392">
        <f t="shared" si="97"/>
        <v>87.99</v>
      </c>
      <c r="N2629" s="392">
        <f t="shared" si="97"/>
        <v>87.99</v>
      </c>
    </row>
    <row r="2630" spans="1:14" hidden="1" outlineLevel="2" x14ac:dyDescent="0.35">
      <c r="A2630" s="388" t="s">
        <v>220</v>
      </c>
      <c r="B2630" s="389">
        <v>44012</v>
      </c>
      <c r="C2630" s="390" t="s">
        <v>1094</v>
      </c>
      <c r="D2630" s="391" t="s">
        <v>1548</v>
      </c>
      <c r="E2630" s="391" t="s">
        <v>1545</v>
      </c>
      <c r="F2630" s="392">
        <v>439.95</v>
      </c>
      <c r="G2630" s="393" t="s">
        <v>56</v>
      </c>
      <c r="H2630" s="394">
        <v>439.95</v>
      </c>
      <c r="I2630" s="394"/>
      <c r="J2630" s="392">
        <f t="shared" si="97"/>
        <v>87.99</v>
      </c>
      <c r="K2630" s="392">
        <f t="shared" si="97"/>
        <v>87.99</v>
      </c>
      <c r="L2630" s="392">
        <f t="shared" si="97"/>
        <v>87.99</v>
      </c>
      <c r="M2630" s="392">
        <f t="shared" si="97"/>
        <v>87.99</v>
      </c>
      <c r="N2630" s="392">
        <f t="shared" si="97"/>
        <v>87.99</v>
      </c>
    </row>
    <row r="2631" spans="1:14" hidden="1" outlineLevel="2" x14ac:dyDescent="0.35">
      <c r="A2631" s="388" t="s">
        <v>220</v>
      </c>
      <c r="B2631" s="389">
        <v>44104</v>
      </c>
      <c r="C2631" s="390" t="s">
        <v>1096</v>
      </c>
      <c r="D2631" s="391" t="s">
        <v>1549</v>
      </c>
      <c r="E2631" s="391" t="s">
        <v>1545</v>
      </c>
      <c r="F2631" s="392">
        <v>256.64</v>
      </c>
      <c r="G2631" s="393" t="s">
        <v>56</v>
      </c>
      <c r="H2631" s="394">
        <v>256.64</v>
      </c>
      <c r="I2631" s="394"/>
      <c r="J2631" s="392">
        <f t="shared" si="97"/>
        <v>51.327999999999996</v>
      </c>
      <c r="K2631" s="392">
        <f t="shared" si="97"/>
        <v>51.327999999999996</v>
      </c>
      <c r="L2631" s="392">
        <f t="shared" si="97"/>
        <v>51.327999999999996</v>
      </c>
      <c r="M2631" s="392">
        <f t="shared" si="97"/>
        <v>51.327999999999996</v>
      </c>
      <c r="N2631" s="392">
        <f t="shared" si="97"/>
        <v>51.327999999999996</v>
      </c>
    </row>
    <row r="2632" spans="1:14" hidden="1" outlineLevel="2" x14ac:dyDescent="0.35">
      <c r="A2632" s="388" t="s">
        <v>220</v>
      </c>
      <c r="B2632" s="389">
        <v>44196</v>
      </c>
      <c r="C2632" s="390" t="s">
        <v>1099</v>
      </c>
      <c r="D2632" s="391" t="s">
        <v>1550</v>
      </c>
      <c r="E2632" s="391" t="s">
        <v>1545</v>
      </c>
      <c r="F2632" s="392">
        <v>256.64</v>
      </c>
      <c r="G2632" s="393" t="s">
        <v>56</v>
      </c>
      <c r="H2632" s="394">
        <v>256.64</v>
      </c>
      <c r="I2632" s="394"/>
      <c r="J2632" s="392">
        <f t="shared" si="97"/>
        <v>51.327999999999996</v>
      </c>
      <c r="K2632" s="392">
        <f t="shared" si="97"/>
        <v>51.327999999999996</v>
      </c>
      <c r="L2632" s="392">
        <f t="shared" si="97"/>
        <v>51.327999999999996</v>
      </c>
      <c r="M2632" s="392">
        <f t="shared" si="97"/>
        <v>51.327999999999996</v>
      </c>
      <c r="N2632" s="392">
        <f t="shared" si="97"/>
        <v>51.327999999999996</v>
      </c>
    </row>
    <row r="2633" spans="1:14" hidden="1" outlineLevel="2" collapsed="1" x14ac:dyDescent="0.35">
      <c r="A2633" s="388" t="s">
        <v>220</v>
      </c>
      <c r="B2633" s="389">
        <v>44286</v>
      </c>
      <c r="C2633" s="390" t="s">
        <v>1101</v>
      </c>
      <c r="D2633" s="391" t="s">
        <v>6194</v>
      </c>
      <c r="E2633" s="391" t="s">
        <v>1545</v>
      </c>
      <c r="F2633" s="392">
        <v>348.29</v>
      </c>
      <c r="G2633" s="393" t="s">
        <v>56</v>
      </c>
      <c r="H2633" s="394">
        <v>348.29</v>
      </c>
      <c r="I2633" s="394"/>
      <c r="J2633" s="392">
        <f t="shared" si="97"/>
        <v>69.658000000000001</v>
      </c>
      <c r="K2633" s="392">
        <f t="shared" si="97"/>
        <v>69.658000000000001</v>
      </c>
      <c r="L2633" s="392">
        <f t="shared" si="97"/>
        <v>69.658000000000001</v>
      </c>
      <c r="M2633" s="392">
        <f t="shared" si="97"/>
        <v>69.658000000000001</v>
      </c>
      <c r="N2633" s="392">
        <f t="shared" si="97"/>
        <v>69.658000000000001</v>
      </c>
    </row>
    <row r="2634" spans="1:14" hidden="1" outlineLevel="2" x14ac:dyDescent="0.35">
      <c r="A2634" s="388" t="s">
        <v>220</v>
      </c>
      <c r="B2634" s="389">
        <v>44377</v>
      </c>
      <c r="C2634" s="390" t="s">
        <v>1103</v>
      </c>
      <c r="D2634" s="391" t="s">
        <v>6195</v>
      </c>
      <c r="E2634" s="391" t="s">
        <v>1545</v>
      </c>
      <c r="F2634" s="392">
        <v>348.29</v>
      </c>
      <c r="G2634" s="393" t="s">
        <v>56</v>
      </c>
      <c r="H2634" s="394">
        <v>348.29</v>
      </c>
      <c r="I2634" s="394"/>
      <c r="J2634" s="392">
        <f t="shared" si="97"/>
        <v>69.658000000000001</v>
      </c>
      <c r="K2634" s="392">
        <f t="shared" si="97"/>
        <v>69.658000000000001</v>
      </c>
      <c r="L2634" s="392">
        <f t="shared" si="97"/>
        <v>69.658000000000001</v>
      </c>
      <c r="M2634" s="392">
        <f t="shared" si="97"/>
        <v>69.658000000000001</v>
      </c>
      <c r="N2634" s="392">
        <f t="shared" si="97"/>
        <v>69.658000000000001</v>
      </c>
    </row>
    <row r="2635" spans="1:14" hidden="1" outlineLevel="2" x14ac:dyDescent="0.35">
      <c r="A2635" s="388" t="s">
        <v>220</v>
      </c>
      <c r="B2635" s="389">
        <v>44469</v>
      </c>
      <c r="C2635" s="390" t="s">
        <v>6196</v>
      </c>
      <c r="D2635" s="391" t="s">
        <v>6197</v>
      </c>
      <c r="E2635" s="391" t="s">
        <v>1545</v>
      </c>
      <c r="F2635" s="392">
        <v>348.29</v>
      </c>
      <c r="G2635" s="393" t="s">
        <v>56</v>
      </c>
      <c r="H2635" s="394">
        <v>348.29</v>
      </c>
      <c r="I2635" s="394"/>
      <c r="J2635" s="392">
        <f t="shared" si="97"/>
        <v>69.658000000000001</v>
      </c>
      <c r="K2635" s="392">
        <f t="shared" si="97"/>
        <v>69.658000000000001</v>
      </c>
      <c r="L2635" s="392">
        <f t="shared" si="97"/>
        <v>69.658000000000001</v>
      </c>
      <c r="M2635" s="392">
        <f t="shared" si="97"/>
        <v>69.658000000000001</v>
      </c>
      <c r="N2635" s="392">
        <f t="shared" si="97"/>
        <v>69.658000000000001</v>
      </c>
    </row>
    <row r="2636" spans="1:14" hidden="1" outlineLevel="2" collapsed="1" x14ac:dyDescent="0.35">
      <c r="A2636" s="388" t="s">
        <v>220</v>
      </c>
      <c r="B2636" s="389">
        <v>44561</v>
      </c>
      <c r="C2636" s="390" t="s">
        <v>6198</v>
      </c>
      <c r="D2636" s="391" t="s">
        <v>6199</v>
      </c>
      <c r="E2636" s="391" t="s">
        <v>1545</v>
      </c>
      <c r="F2636" s="392">
        <v>174.14</v>
      </c>
      <c r="G2636" s="393" t="s">
        <v>56</v>
      </c>
      <c r="H2636" s="394">
        <v>174.14</v>
      </c>
      <c r="I2636" s="394"/>
      <c r="J2636" s="392">
        <f t="shared" si="97"/>
        <v>34.827999999999996</v>
      </c>
      <c r="K2636" s="392">
        <f t="shared" si="97"/>
        <v>34.827999999999996</v>
      </c>
      <c r="L2636" s="392">
        <f t="shared" si="97"/>
        <v>34.827999999999996</v>
      </c>
      <c r="M2636" s="392">
        <f t="shared" si="97"/>
        <v>34.827999999999996</v>
      </c>
      <c r="N2636" s="392">
        <f t="shared" si="97"/>
        <v>34.827999999999996</v>
      </c>
    </row>
    <row r="2637" spans="1:14" hidden="1" outlineLevel="2" x14ac:dyDescent="0.35">
      <c r="A2637" s="388" t="s">
        <v>220</v>
      </c>
      <c r="B2637" s="389">
        <v>44561</v>
      </c>
      <c r="C2637" s="390" t="s">
        <v>6200</v>
      </c>
      <c r="D2637" s="391" t="s">
        <v>6201</v>
      </c>
      <c r="E2637" s="391" t="s">
        <v>1545</v>
      </c>
      <c r="F2637" s="392">
        <v>174.15</v>
      </c>
      <c r="G2637" s="393" t="s">
        <v>56</v>
      </c>
      <c r="H2637" s="394">
        <v>174.15</v>
      </c>
      <c r="I2637" s="394"/>
      <c r="J2637" s="392">
        <f t="shared" si="97"/>
        <v>34.83</v>
      </c>
      <c r="K2637" s="392">
        <f t="shared" si="97"/>
        <v>34.83</v>
      </c>
      <c r="L2637" s="392">
        <f t="shared" si="97"/>
        <v>34.83</v>
      </c>
      <c r="M2637" s="392">
        <f t="shared" si="97"/>
        <v>34.83</v>
      </c>
      <c r="N2637" s="392">
        <f t="shared" si="97"/>
        <v>34.83</v>
      </c>
    </row>
    <row r="2638" spans="1:14" outlineLevel="1" collapsed="1" x14ac:dyDescent="0.35">
      <c r="A2638" s="395" t="s">
        <v>1559</v>
      </c>
      <c r="B2638" s="389"/>
      <c r="C2638" s="390"/>
      <c r="D2638" s="391"/>
      <c r="E2638" s="391"/>
      <c r="F2638" s="392"/>
      <c r="G2638" s="393"/>
      <c r="H2638" s="394">
        <f t="shared" ref="H2638:N2638" si="98">SUBTOTAL(9,H2627:H2637)</f>
        <v>3519.6</v>
      </c>
      <c r="I2638" s="394"/>
      <c r="J2638" s="392">
        <f t="shared" si="98"/>
        <v>703.92</v>
      </c>
      <c r="K2638" s="392">
        <f t="shared" si="98"/>
        <v>703.92</v>
      </c>
      <c r="L2638" s="392">
        <f t="shared" si="98"/>
        <v>703.92</v>
      </c>
      <c r="M2638" s="392">
        <f t="shared" si="98"/>
        <v>703.92</v>
      </c>
      <c r="N2638" s="392">
        <f t="shared" si="98"/>
        <v>703.92</v>
      </c>
    </row>
    <row r="2639" spans="1:14" hidden="1" outlineLevel="2" x14ac:dyDescent="0.35">
      <c r="A2639" s="388" t="s">
        <v>3970</v>
      </c>
      <c r="B2639" s="389">
        <v>44222</v>
      </c>
      <c r="C2639" s="390" t="s">
        <v>4029</v>
      </c>
      <c r="D2639" s="391" t="s">
        <v>4030</v>
      </c>
      <c r="E2639" s="391" t="s">
        <v>6202</v>
      </c>
      <c r="F2639" s="392">
        <v>2500000</v>
      </c>
      <c r="G2639" s="393" t="s">
        <v>3800</v>
      </c>
      <c r="H2639" s="394">
        <v>930.23108593324514</v>
      </c>
      <c r="I2639" s="394"/>
      <c r="J2639" s="392">
        <v>232.55777148331129</v>
      </c>
      <c r="K2639" s="392">
        <v>232.55777148331129</v>
      </c>
      <c r="L2639" s="392">
        <v>232.55777148331129</v>
      </c>
      <c r="M2639" s="392">
        <v>232.55777148331129</v>
      </c>
      <c r="N2639" s="392"/>
    </row>
    <row r="2640" spans="1:14" hidden="1" outlineLevel="2" x14ac:dyDescent="0.35">
      <c r="A2640" s="388" t="s">
        <v>3970</v>
      </c>
      <c r="B2640" s="389">
        <v>44222</v>
      </c>
      <c r="C2640" s="390" t="s">
        <v>4029</v>
      </c>
      <c r="D2640" s="391" t="s">
        <v>4032</v>
      </c>
      <c r="E2640" s="391" t="s">
        <v>6202</v>
      </c>
      <c r="F2640" s="392">
        <v>375000</v>
      </c>
      <c r="G2640" s="393" t="s">
        <v>3800</v>
      </c>
      <c r="H2640" s="394">
        <v>139.53466288998678</v>
      </c>
      <c r="I2640" s="394"/>
      <c r="J2640" s="392">
        <v>34.883665722496694</v>
      </c>
      <c r="K2640" s="392">
        <v>34.883665722496694</v>
      </c>
      <c r="L2640" s="392">
        <v>34.883665722496694</v>
      </c>
      <c r="M2640" s="392">
        <v>34.883665722496694</v>
      </c>
      <c r="N2640" s="392"/>
    </row>
    <row r="2641" spans="1:14" hidden="1" outlineLevel="2" x14ac:dyDescent="0.35">
      <c r="A2641" s="388" t="s">
        <v>3970</v>
      </c>
      <c r="B2641" s="389">
        <v>44222</v>
      </c>
      <c r="C2641" s="390" t="s">
        <v>4033</v>
      </c>
      <c r="D2641" s="391" t="s">
        <v>4034</v>
      </c>
      <c r="E2641" s="391" t="s">
        <v>4272</v>
      </c>
      <c r="F2641" s="392">
        <v>312500</v>
      </c>
      <c r="G2641" s="393" t="s">
        <v>3800</v>
      </c>
      <c r="H2641" s="394">
        <v>116.27888574165564</v>
      </c>
      <c r="I2641" s="394"/>
      <c r="J2641" s="392">
        <v>29.069721435413911</v>
      </c>
      <c r="K2641" s="392">
        <v>29.069721435413911</v>
      </c>
      <c r="L2641" s="392">
        <v>29.069721435413911</v>
      </c>
      <c r="M2641" s="392">
        <v>29.069721435413911</v>
      </c>
      <c r="N2641" s="392"/>
    </row>
    <row r="2642" spans="1:14" hidden="1" outlineLevel="2" x14ac:dyDescent="0.35">
      <c r="A2642" s="388" t="s">
        <v>3970</v>
      </c>
      <c r="B2642" s="389">
        <v>44222</v>
      </c>
      <c r="C2642" s="390" t="s">
        <v>4029</v>
      </c>
      <c r="D2642" s="391" t="s">
        <v>4036</v>
      </c>
      <c r="E2642" s="391" t="s">
        <v>6202</v>
      </c>
      <c r="F2642" s="392">
        <v>125000</v>
      </c>
      <c r="G2642" s="393" t="s">
        <v>3800</v>
      </c>
      <c r="H2642" s="394">
        <v>46.511554296662254</v>
      </c>
      <c r="I2642" s="394"/>
      <c r="J2642" s="392">
        <v>11.627888574165564</v>
      </c>
      <c r="K2642" s="392">
        <v>11.627888574165564</v>
      </c>
      <c r="L2642" s="392">
        <v>11.627888574165564</v>
      </c>
      <c r="M2642" s="392">
        <v>11.627888574165564</v>
      </c>
      <c r="N2642" s="392"/>
    </row>
    <row r="2643" spans="1:14" hidden="1" outlineLevel="2" x14ac:dyDescent="0.35">
      <c r="A2643" s="388" t="s">
        <v>3970</v>
      </c>
      <c r="B2643" s="389">
        <v>44222</v>
      </c>
      <c r="C2643" s="390" t="s">
        <v>4037</v>
      </c>
      <c r="D2643" s="391" t="s">
        <v>4038</v>
      </c>
      <c r="E2643" s="391" t="s">
        <v>4039</v>
      </c>
      <c r="F2643" s="392">
        <v>125000</v>
      </c>
      <c r="G2643" s="393" t="s">
        <v>3800</v>
      </c>
      <c r="H2643" s="394">
        <v>46.511554296662254</v>
      </c>
      <c r="I2643" s="394"/>
      <c r="J2643" s="392">
        <v>11.627888574165564</v>
      </c>
      <c r="K2643" s="392">
        <v>11.627888574165564</v>
      </c>
      <c r="L2643" s="392">
        <v>11.627888574165564</v>
      </c>
      <c r="M2643" s="392">
        <v>11.627888574165564</v>
      </c>
      <c r="N2643" s="392"/>
    </row>
    <row r="2644" spans="1:14" hidden="1" outlineLevel="2" x14ac:dyDescent="0.35">
      <c r="A2644" s="388" t="s">
        <v>3970</v>
      </c>
      <c r="B2644" s="389">
        <v>44222</v>
      </c>
      <c r="C2644" s="390" t="s">
        <v>4040</v>
      </c>
      <c r="D2644" s="391" t="s">
        <v>4041</v>
      </c>
      <c r="E2644" s="391" t="s">
        <v>4042</v>
      </c>
      <c r="F2644" s="392">
        <v>31250</v>
      </c>
      <c r="G2644" s="393" t="s">
        <v>3800</v>
      </c>
      <c r="H2644" s="394">
        <v>11.627888574165564</v>
      </c>
      <c r="I2644" s="394"/>
      <c r="J2644" s="392">
        <v>2.9069721435413909</v>
      </c>
      <c r="K2644" s="392">
        <v>2.9069721435413909</v>
      </c>
      <c r="L2644" s="392">
        <v>2.9069721435413909</v>
      </c>
      <c r="M2644" s="392">
        <v>2.9069721435413909</v>
      </c>
      <c r="N2644" s="392"/>
    </row>
    <row r="2645" spans="1:14" hidden="1" outlineLevel="2" x14ac:dyDescent="0.35">
      <c r="A2645" s="388" t="s">
        <v>3970</v>
      </c>
      <c r="B2645" s="389">
        <v>44259</v>
      </c>
      <c r="C2645" s="390" t="s">
        <v>4043</v>
      </c>
      <c r="D2645" s="391" t="s">
        <v>4044</v>
      </c>
      <c r="E2645" s="391" t="s">
        <v>6202</v>
      </c>
      <c r="F2645" s="392">
        <v>2500000</v>
      </c>
      <c r="G2645" s="393" t="s">
        <v>3800</v>
      </c>
      <c r="H2645" s="394">
        <v>930.23108593324514</v>
      </c>
      <c r="I2645" s="394"/>
      <c r="J2645" s="392">
        <v>232.55777148331129</v>
      </c>
      <c r="K2645" s="392">
        <v>232.55777148331129</v>
      </c>
      <c r="L2645" s="392">
        <v>232.55777148331129</v>
      </c>
      <c r="M2645" s="392">
        <v>232.55777148331129</v>
      </c>
      <c r="N2645" s="392"/>
    </row>
    <row r="2646" spans="1:14" hidden="1" outlineLevel="2" x14ac:dyDescent="0.35">
      <c r="A2646" s="388" t="s">
        <v>3970</v>
      </c>
      <c r="B2646" s="389">
        <v>44259</v>
      </c>
      <c r="C2646" s="390" t="s">
        <v>4043</v>
      </c>
      <c r="D2646" s="391" t="s">
        <v>4045</v>
      </c>
      <c r="E2646" s="391" t="s">
        <v>6202</v>
      </c>
      <c r="F2646" s="392">
        <v>375000</v>
      </c>
      <c r="G2646" s="393" t="s">
        <v>3800</v>
      </c>
      <c r="H2646" s="394">
        <v>139.53466288998678</v>
      </c>
      <c r="I2646" s="394"/>
      <c r="J2646" s="392">
        <v>34.883665722496694</v>
      </c>
      <c r="K2646" s="392">
        <v>34.883665722496694</v>
      </c>
      <c r="L2646" s="392">
        <v>34.883665722496694</v>
      </c>
      <c r="M2646" s="392">
        <v>34.883665722496694</v>
      </c>
      <c r="N2646" s="392"/>
    </row>
    <row r="2647" spans="1:14" hidden="1" outlineLevel="2" collapsed="1" x14ac:dyDescent="0.35">
      <c r="A2647" s="388" t="s">
        <v>3970</v>
      </c>
      <c r="B2647" s="389">
        <v>44259</v>
      </c>
      <c r="C2647" s="390" t="s">
        <v>4043</v>
      </c>
      <c r="D2647" s="391" t="s">
        <v>4046</v>
      </c>
      <c r="E2647" s="391" t="s">
        <v>4272</v>
      </c>
      <c r="F2647" s="392">
        <v>312500</v>
      </c>
      <c r="G2647" s="393" t="s">
        <v>3800</v>
      </c>
      <c r="H2647" s="394">
        <v>116.27888574165564</v>
      </c>
      <c r="I2647" s="394"/>
      <c r="J2647" s="392">
        <v>29.069721435413911</v>
      </c>
      <c r="K2647" s="392">
        <v>29.069721435413911</v>
      </c>
      <c r="L2647" s="392">
        <v>29.069721435413911</v>
      </c>
      <c r="M2647" s="392">
        <v>29.069721435413911</v>
      </c>
      <c r="N2647" s="392"/>
    </row>
    <row r="2648" spans="1:14" hidden="1" outlineLevel="2" x14ac:dyDescent="0.35">
      <c r="A2648" s="388" t="s">
        <v>3970</v>
      </c>
      <c r="B2648" s="389">
        <v>44259</v>
      </c>
      <c r="C2648" s="390" t="s">
        <v>4043</v>
      </c>
      <c r="D2648" s="391" t="s">
        <v>4047</v>
      </c>
      <c r="E2648" s="391" t="s">
        <v>6202</v>
      </c>
      <c r="F2648" s="392">
        <v>125000</v>
      </c>
      <c r="G2648" s="393" t="s">
        <v>3800</v>
      </c>
      <c r="H2648" s="394">
        <v>46.511554296662254</v>
      </c>
      <c r="I2648" s="394"/>
      <c r="J2648" s="392">
        <v>11.627888574165564</v>
      </c>
      <c r="K2648" s="392">
        <v>11.627888574165564</v>
      </c>
      <c r="L2648" s="392">
        <v>11.627888574165564</v>
      </c>
      <c r="M2648" s="392">
        <v>11.627888574165564</v>
      </c>
      <c r="N2648" s="392"/>
    </row>
    <row r="2649" spans="1:14" hidden="1" outlineLevel="2" x14ac:dyDescent="0.35">
      <c r="A2649" s="388" t="s">
        <v>3970</v>
      </c>
      <c r="B2649" s="389">
        <v>44259</v>
      </c>
      <c r="C2649" s="390" t="s">
        <v>4048</v>
      </c>
      <c r="D2649" s="391" t="s">
        <v>4049</v>
      </c>
      <c r="E2649" s="391" t="s">
        <v>4039</v>
      </c>
      <c r="F2649" s="392">
        <v>125000</v>
      </c>
      <c r="G2649" s="393" t="s">
        <v>3800</v>
      </c>
      <c r="H2649" s="394">
        <v>46.511554296662254</v>
      </c>
      <c r="I2649" s="394"/>
      <c r="J2649" s="392">
        <v>11.627888574165564</v>
      </c>
      <c r="K2649" s="392">
        <v>11.627888574165564</v>
      </c>
      <c r="L2649" s="392">
        <v>11.627888574165564</v>
      </c>
      <c r="M2649" s="392">
        <v>11.627888574165564</v>
      </c>
      <c r="N2649" s="392"/>
    </row>
    <row r="2650" spans="1:14" hidden="1" outlineLevel="2" x14ac:dyDescent="0.35">
      <c r="A2650" s="388" t="s">
        <v>3970</v>
      </c>
      <c r="B2650" s="389">
        <v>44259</v>
      </c>
      <c r="C2650" s="390" t="s">
        <v>4050</v>
      </c>
      <c r="D2650" s="391" t="s">
        <v>4051</v>
      </c>
      <c r="E2650" s="391" t="s">
        <v>4042</v>
      </c>
      <c r="F2650" s="392">
        <v>31250</v>
      </c>
      <c r="G2650" s="393" t="s">
        <v>3800</v>
      </c>
      <c r="H2650" s="394">
        <v>11.627888574165564</v>
      </c>
      <c r="I2650" s="394"/>
      <c r="J2650" s="392">
        <v>2.9069721435413909</v>
      </c>
      <c r="K2650" s="392">
        <v>2.9069721435413909</v>
      </c>
      <c r="L2650" s="392">
        <v>2.9069721435413909</v>
      </c>
      <c r="M2650" s="392">
        <v>2.9069721435413909</v>
      </c>
      <c r="N2650" s="392"/>
    </row>
    <row r="2651" spans="1:14" hidden="1" outlineLevel="2" x14ac:dyDescent="0.35">
      <c r="A2651" s="388" t="s">
        <v>3970</v>
      </c>
      <c r="B2651" s="389">
        <v>44284</v>
      </c>
      <c r="C2651" s="390" t="s">
        <v>4052</v>
      </c>
      <c r="D2651" s="391" t="s">
        <v>4053</v>
      </c>
      <c r="E2651" s="391" t="s">
        <v>6202</v>
      </c>
      <c r="F2651" s="392">
        <v>2500000</v>
      </c>
      <c r="G2651" s="393" t="s">
        <v>3800</v>
      </c>
      <c r="H2651" s="394">
        <v>930.23108593324514</v>
      </c>
      <c r="I2651" s="394"/>
      <c r="J2651" s="392">
        <v>232.55777148331129</v>
      </c>
      <c r="K2651" s="392">
        <v>232.55777148331129</v>
      </c>
      <c r="L2651" s="392">
        <v>232.55777148331129</v>
      </c>
      <c r="M2651" s="392">
        <v>232.55777148331129</v>
      </c>
      <c r="N2651" s="392"/>
    </row>
    <row r="2652" spans="1:14" hidden="1" outlineLevel="2" x14ac:dyDescent="0.35">
      <c r="A2652" s="388" t="s">
        <v>3970</v>
      </c>
      <c r="B2652" s="389">
        <v>44284</v>
      </c>
      <c r="C2652" s="390" t="s">
        <v>4052</v>
      </c>
      <c r="D2652" s="391" t="s">
        <v>4054</v>
      </c>
      <c r="E2652" s="391" t="s">
        <v>6202</v>
      </c>
      <c r="F2652" s="392">
        <v>375000</v>
      </c>
      <c r="G2652" s="393" t="s">
        <v>3800</v>
      </c>
      <c r="H2652" s="394">
        <v>139.53466288998678</v>
      </c>
      <c r="I2652" s="394"/>
      <c r="J2652" s="392">
        <v>34.883665722496694</v>
      </c>
      <c r="K2652" s="392">
        <v>34.883665722496694</v>
      </c>
      <c r="L2652" s="392">
        <v>34.883665722496694</v>
      </c>
      <c r="M2652" s="392">
        <v>34.883665722496694</v>
      </c>
      <c r="N2652" s="392"/>
    </row>
    <row r="2653" spans="1:14" hidden="1" outlineLevel="2" x14ac:dyDescent="0.35">
      <c r="A2653" s="388" t="s">
        <v>3970</v>
      </c>
      <c r="B2653" s="389">
        <v>44284</v>
      </c>
      <c r="C2653" s="390" t="s">
        <v>4055</v>
      </c>
      <c r="D2653" s="391" t="s">
        <v>4056</v>
      </c>
      <c r="E2653" s="391" t="s">
        <v>4272</v>
      </c>
      <c r="F2653" s="392">
        <v>312500</v>
      </c>
      <c r="G2653" s="393" t="s">
        <v>3800</v>
      </c>
      <c r="H2653" s="394">
        <v>116.27888574165564</v>
      </c>
      <c r="I2653" s="394"/>
      <c r="J2653" s="392">
        <v>29.069721435413911</v>
      </c>
      <c r="K2653" s="392">
        <v>29.069721435413911</v>
      </c>
      <c r="L2653" s="392">
        <v>29.069721435413911</v>
      </c>
      <c r="M2653" s="392">
        <v>29.069721435413911</v>
      </c>
      <c r="N2653" s="392"/>
    </row>
    <row r="2654" spans="1:14" hidden="1" outlineLevel="2" x14ac:dyDescent="0.35">
      <c r="A2654" s="388" t="s">
        <v>3970</v>
      </c>
      <c r="B2654" s="389">
        <v>44284</v>
      </c>
      <c r="C2654" s="390" t="s">
        <v>4052</v>
      </c>
      <c r="D2654" s="391" t="s">
        <v>4057</v>
      </c>
      <c r="E2654" s="391" t="s">
        <v>6202</v>
      </c>
      <c r="F2654" s="392">
        <v>125000</v>
      </c>
      <c r="G2654" s="393" t="s">
        <v>3800</v>
      </c>
      <c r="H2654" s="394">
        <v>46.511554296662254</v>
      </c>
      <c r="I2654" s="394"/>
      <c r="J2654" s="392">
        <v>11.627888574165564</v>
      </c>
      <c r="K2654" s="392">
        <v>11.627888574165564</v>
      </c>
      <c r="L2654" s="392">
        <v>11.627888574165564</v>
      </c>
      <c r="M2654" s="392">
        <v>11.627888574165564</v>
      </c>
      <c r="N2654" s="392"/>
    </row>
    <row r="2655" spans="1:14" hidden="1" outlineLevel="2" x14ac:dyDescent="0.35">
      <c r="A2655" s="388" t="s">
        <v>3970</v>
      </c>
      <c r="B2655" s="389">
        <v>44284</v>
      </c>
      <c r="C2655" s="390" t="s">
        <v>4058</v>
      </c>
      <c r="D2655" s="391" t="s">
        <v>4059</v>
      </c>
      <c r="E2655" s="391" t="s">
        <v>4039</v>
      </c>
      <c r="F2655" s="392">
        <v>125000</v>
      </c>
      <c r="G2655" s="393" t="s">
        <v>3800</v>
      </c>
      <c r="H2655" s="394">
        <v>46.511554296662254</v>
      </c>
      <c r="I2655" s="394"/>
      <c r="J2655" s="392">
        <v>11.627888574165564</v>
      </c>
      <c r="K2655" s="392">
        <v>11.627888574165564</v>
      </c>
      <c r="L2655" s="392">
        <v>11.627888574165564</v>
      </c>
      <c r="M2655" s="392">
        <v>11.627888574165564</v>
      </c>
      <c r="N2655" s="392"/>
    </row>
    <row r="2656" spans="1:14" hidden="1" outlineLevel="2" x14ac:dyDescent="0.35">
      <c r="A2656" s="388" t="s">
        <v>3970</v>
      </c>
      <c r="B2656" s="389">
        <v>44284</v>
      </c>
      <c r="C2656" s="390" t="s">
        <v>4060</v>
      </c>
      <c r="D2656" s="391" t="s">
        <v>4061</v>
      </c>
      <c r="E2656" s="391" t="s">
        <v>4042</v>
      </c>
      <c r="F2656" s="392">
        <v>31250</v>
      </c>
      <c r="G2656" s="393" t="s">
        <v>3800</v>
      </c>
      <c r="H2656" s="394">
        <v>11.627888574165564</v>
      </c>
      <c r="I2656" s="394"/>
      <c r="J2656" s="392">
        <v>2.9069721435413909</v>
      </c>
      <c r="K2656" s="392">
        <v>2.9069721435413909</v>
      </c>
      <c r="L2656" s="392">
        <v>2.9069721435413909</v>
      </c>
      <c r="M2656" s="392">
        <v>2.9069721435413909</v>
      </c>
      <c r="N2656" s="392"/>
    </row>
    <row r="2657" spans="1:14" hidden="1" outlineLevel="2" x14ac:dyDescent="0.35">
      <c r="A2657" s="388" t="s">
        <v>3970</v>
      </c>
      <c r="B2657" s="389">
        <v>44315</v>
      </c>
      <c r="C2657" s="390" t="s">
        <v>4062</v>
      </c>
      <c r="D2657" s="391" t="s">
        <v>4063</v>
      </c>
      <c r="E2657" s="391" t="s">
        <v>6202</v>
      </c>
      <c r="F2657" s="392">
        <v>2500000</v>
      </c>
      <c r="G2657" s="393" t="s">
        <v>3800</v>
      </c>
      <c r="H2657" s="394">
        <v>930.23108593324514</v>
      </c>
      <c r="I2657" s="394"/>
      <c r="J2657" s="392">
        <v>232.55777148331129</v>
      </c>
      <c r="K2657" s="392">
        <v>232.55777148331129</v>
      </c>
      <c r="L2657" s="392">
        <v>232.55777148331129</v>
      </c>
      <c r="M2657" s="392">
        <v>232.55777148331129</v>
      </c>
      <c r="N2657" s="392"/>
    </row>
    <row r="2658" spans="1:14" hidden="1" outlineLevel="2" x14ac:dyDescent="0.35">
      <c r="A2658" s="388" t="s">
        <v>3970</v>
      </c>
      <c r="B2658" s="389">
        <v>44315</v>
      </c>
      <c r="C2658" s="390" t="s">
        <v>4062</v>
      </c>
      <c r="D2658" s="391" t="s">
        <v>4064</v>
      </c>
      <c r="E2658" s="391" t="s">
        <v>6202</v>
      </c>
      <c r="F2658" s="392">
        <v>375000</v>
      </c>
      <c r="G2658" s="393" t="s">
        <v>3800</v>
      </c>
      <c r="H2658" s="394">
        <v>139.53466288998678</v>
      </c>
      <c r="I2658" s="394"/>
      <c r="J2658" s="392">
        <v>34.883665722496694</v>
      </c>
      <c r="K2658" s="392">
        <v>34.883665722496694</v>
      </c>
      <c r="L2658" s="392">
        <v>34.883665722496694</v>
      </c>
      <c r="M2658" s="392">
        <v>34.883665722496694</v>
      </c>
      <c r="N2658" s="392"/>
    </row>
    <row r="2659" spans="1:14" hidden="1" outlineLevel="2" x14ac:dyDescent="0.35">
      <c r="A2659" s="388" t="s">
        <v>3970</v>
      </c>
      <c r="B2659" s="389">
        <v>44315</v>
      </c>
      <c r="C2659" s="390" t="s">
        <v>4065</v>
      </c>
      <c r="D2659" s="391" t="s">
        <v>4066</v>
      </c>
      <c r="E2659" s="391" t="s">
        <v>4272</v>
      </c>
      <c r="F2659" s="392">
        <v>312500</v>
      </c>
      <c r="G2659" s="393" t="s">
        <v>3800</v>
      </c>
      <c r="H2659" s="394">
        <v>116.27888574165564</v>
      </c>
      <c r="I2659" s="394"/>
      <c r="J2659" s="392">
        <v>29.069721435413911</v>
      </c>
      <c r="K2659" s="392">
        <v>29.069721435413911</v>
      </c>
      <c r="L2659" s="392">
        <v>29.069721435413911</v>
      </c>
      <c r="M2659" s="392">
        <v>29.069721435413911</v>
      </c>
      <c r="N2659" s="392"/>
    </row>
    <row r="2660" spans="1:14" hidden="1" outlineLevel="2" x14ac:dyDescent="0.35">
      <c r="A2660" s="388" t="s">
        <v>3970</v>
      </c>
      <c r="B2660" s="389">
        <v>44315</v>
      </c>
      <c r="C2660" s="390" t="s">
        <v>4062</v>
      </c>
      <c r="D2660" s="391" t="s">
        <v>4067</v>
      </c>
      <c r="E2660" s="391" t="s">
        <v>6202</v>
      </c>
      <c r="F2660" s="392">
        <v>125000</v>
      </c>
      <c r="G2660" s="393" t="s">
        <v>3800</v>
      </c>
      <c r="H2660" s="394">
        <v>46.511554296662254</v>
      </c>
      <c r="I2660" s="394"/>
      <c r="J2660" s="392">
        <v>11.627888574165564</v>
      </c>
      <c r="K2660" s="392">
        <v>11.627888574165564</v>
      </c>
      <c r="L2660" s="392">
        <v>11.627888574165564</v>
      </c>
      <c r="M2660" s="392">
        <v>11.627888574165564</v>
      </c>
      <c r="N2660" s="392"/>
    </row>
    <row r="2661" spans="1:14" hidden="1" outlineLevel="2" x14ac:dyDescent="0.35">
      <c r="A2661" s="388" t="s">
        <v>3970</v>
      </c>
      <c r="B2661" s="389">
        <v>44315</v>
      </c>
      <c r="C2661" s="390" t="s">
        <v>4068</v>
      </c>
      <c r="D2661" s="391" t="s">
        <v>4069</v>
      </c>
      <c r="E2661" s="391" t="s">
        <v>4039</v>
      </c>
      <c r="F2661" s="392">
        <v>125000</v>
      </c>
      <c r="G2661" s="393" t="s">
        <v>3800</v>
      </c>
      <c r="H2661" s="394">
        <v>46.511554296662254</v>
      </c>
      <c r="I2661" s="394"/>
      <c r="J2661" s="392">
        <v>11.627888574165564</v>
      </c>
      <c r="K2661" s="392">
        <v>11.627888574165564</v>
      </c>
      <c r="L2661" s="392">
        <v>11.627888574165564</v>
      </c>
      <c r="M2661" s="392">
        <v>11.627888574165564</v>
      </c>
      <c r="N2661" s="392"/>
    </row>
    <row r="2662" spans="1:14" hidden="1" outlineLevel="2" x14ac:dyDescent="0.35">
      <c r="A2662" s="388" t="s">
        <v>3970</v>
      </c>
      <c r="B2662" s="389">
        <v>44315</v>
      </c>
      <c r="C2662" s="390" t="s">
        <v>4070</v>
      </c>
      <c r="D2662" s="391" t="s">
        <v>4071</v>
      </c>
      <c r="E2662" s="391" t="s">
        <v>4042</v>
      </c>
      <c r="F2662" s="392">
        <v>31250</v>
      </c>
      <c r="G2662" s="393" t="s">
        <v>3800</v>
      </c>
      <c r="H2662" s="394">
        <v>11.627888574165564</v>
      </c>
      <c r="I2662" s="394"/>
      <c r="J2662" s="392">
        <v>2.9069721435413909</v>
      </c>
      <c r="K2662" s="392">
        <v>2.9069721435413909</v>
      </c>
      <c r="L2662" s="392">
        <v>2.9069721435413909</v>
      </c>
      <c r="M2662" s="392">
        <v>2.9069721435413909</v>
      </c>
      <c r="N2662" s="392"/>
    </row>
    <row r="2663" spans="1:14" hidden="1" outlineLevel="2" x14ac:dyDescent="0.35">
      <c r="A2663" s="388" t="s">
        <v>3970</v>
      </c>
      <c r="B2663" s="389">
        <v>44342</v>
      </c>
      <c r="C2663" s="390" t="s">
        <v>4072</v>
      </c>
      <c r="D2663" s="391" t="s">
        <v>4073</v>
      </c>
      <c r="E2663" s="391" t="s">
        <v>6202</v>
      </c>
      <c r="F2663" s="392">
        <v>2500000</v>
      </c>
      <c r="G2663" s="393" t="s">
        <v>3800</v>
      </c>
      <c r="H2663" s="394">
        <v>930.23108593324514</v>
      </c>
      <c r="I2663" s="394"/>
      <c r="J2663" s="392">
        <v>232.55777148331129</v>
      </c>
      <c r="K2663" s="392">
        <v>232.55777148331129</v>
      </c>
      <c r="L2663" s="392">
        <v>232.55777148331129</v>
      </c>
      <c r="M2663" s="392">
        <v>232.55777148331129</v>
      </c>
      <c r="N2663" s="392"/>
    </row>
    <row r="2664" spans="1:14" hidden="1" outlineLevel="2" x14ac:dyDescent="0.35">
      <c r="A2664" s="388" t="s">
        <v>3970</v>
      </c>
      <c r="B2664" s="389">
        <v>44342</v>
      </c>
      <c r="C2664" s="390" t="s">
        <v>4072</v>
      </c>
      <c r="D2664" s="391" t="s">
        <v>4074</v>
      </c>
      <c r="E2664" s="391" t="s">
        <v>6202</v>
      </c>
      <c r="F2664" s="392">
        <v>375000</v>
      </c>
      <c r="G2664" s="393" t="s">
        <v>3800</v>
      </c>
      <c r="H2664" s="394">
        <v>139.53466288998678</v>
      </c>
      <c r="I2664" s="394"/>
      <c r="J2664" s="392">
        <v>34.883665722496694</v>
      </c>
      <c r="K2664" s="392">
        <v>34.883665722496694</v>
      </c>
      <c r="L2664" s="392">
        <v>34.883665722496694</v>
      </c>
      <c r="M2664" s="392">
        <v>34.883665722496694</v>
      </c>
      <c r="N2664" s="392"/>
    </row>
    <row r="2665" spans="1:14" hidden="1" outlineLevel="2" x14ac:dyDescent="0.35">
      <c r="A2665" s="388" t="s">
        <v>3970</v>
      </c>
      <c r="B2665" s="389">
        <v>44342</v>
      </c>
      <c r="C2665" s="390" t="s">
        <v>4075</v>
      </c>
      <c r="D2665" s="391" t="s">
        <v>4076</v>
      </c>
      <c r="E2665" s="391" t="s">
        <v>4272</v>
      </c>
      <c r="F2665" s="392">
        <v>312500</v>
      </c>
      <c r="G2665" s="393" t="s">
        <v>3800</v>
      </c>
      <c r="H2665" s="394">
        <v>116.27888574165564</v>
      </c>
      <c r="I2665" s="394"/>
      <c r="J2665" s="392">
        <v>29.069721435413911</v>
      </c>
      <c r="K2665" s="392">
        <v>29.069721435413911</v>
      </c>
      <c r="L2665" s="392">
        <v>29.069721435413911</v>
      </c>
      <c r="M2665" s="392">
        <v>29.069721435413911</v>
      </c>
      <c r="N2665" s="392"/>
    </row>
    <row r="2666" spans="1:14" hidden="1" outlineLevel="2" x14ac:dyDescent="0.35">
      <c r="A2666" s="388" t="s">
        <v>3970</v>
      </c>
      <c r="B2666" s="389">
        <v>44342</v>
      </c>
      <c r="C2666" s="390" t="s">
        <v>4072</v>
      </c>
      <c r="D2666" s="391" t="s">
        <v>4077</v>
      </c>
      <c r="E2666" s="391" t="s">
        <v>6202</v>
      </c>
      <c r="F2666" s="392">
        <v>125000</v>
      </c>
      <c r="G2666" s="393" t="s">
        <v>3800</v>
      </c>
      <c r="H2666" s="394">
        <v>46.511554296662254</v>
      </c>
      <c r="I2666" s="394"/>
      <c r="J2666" s="392">
        <v>11.627888574165564</v>
      </c>
      <c r="K2666" s="392">
        <v>11.627888574165564</v>
      </c>
      <c r="L2666" s="392">
        <v>11.627888574165564</v>
      </c>
      <c r="M2666" s="392">
        <v>11.627888574165564</v>
      </c>
      <c r="N2666" s="392"/>
    </row>
    <row r="2667" spans="1:14" hidden="1" outlineLevel="2" x14ac:dyDescent="0.35">
      <c r="A2667" s="388" t="s">
        <v>3970</v>
      </c>
      <c r="B2667" s="389">
        <v>44342</v>
      </c>
      <c r="C2667" s="390" t="s">
        <v>4078</v>
      </c>
      <c r="D2667" s="391" t="s">
        <v>4079</v>
      </c>
      <c r="E2667" s="391" t="s">
        <v>4039</v>
      </c>
      <c r="F2667" s="392">
        <v>125000</v>
      </c>
      <c r="G2667" s="393" t="s">
        <v>3800</v>
      </c>
      <c r="H2667" s="394">
        <v>46.511554296662254</v>
      </c>
      <c r="I2667" s="394"/>
      <c r="J2667" s="392">
        <v>11.627888574165564</v>
      </c>
      <c r="K2667" s="392">
        <v>11.627888574165564</v>
      </c>
      <c r="L2667" s="392">
        <v>11.627888574165564</v>
      </c>
      <c r="M2667" s="392">
        <v>11.627888574165564</v>
      </c>
      <c r="N2667" s="392"/>
    </row>
    <row r="2668" spans="1:14" hidden="1" outlineLevel="2" x14ac:dyDescent="0.35">
      <c r="A2668" s="388" t="s">
        <v>3970</v>
      </c>
      <c r="B2668" s="389">
        <v>44342</v>
      </c>
      <c r="C2668" s="390" t="s">
        <v>4080</v>
      </c>
      <c r="D2668" s="391" t="s">
        <v>4081</v>
      </c>
      <c r="E2668" s="391" t="s">
        <v>4042</v>
      </c>
      <c r="F2668" s="392">
        <v>31250</v>
      </c>
      <c r="G2668" s="393" t="s">
        <v>3800</v>
      </c>
      <c r="H2668" s="394">
        <v>11.627888574165564</v>
      </c>
      <c r="I2668" s="394"/>
      <c r="J2668" s="392">
        <v>2.9069721435413909</v>
      </c>
      <c r="K2668" s="392">
        <v>2.9069721435413909</v>
      </c>
      <c r="L2668" s="392">
        <v>2.9069721435413909</v>
      </c>
      <c r="M2668" s="392">
        <v>2.9069721435413909</v>
      </c>
      <c r="N2668" s="392"/>
    </row>
    <row r="2669" spans="1:14" hidden="1" outlineLevel="2" x14ac:dyDescent="0.35">
      <c r="A2669" s="388" t="s">
        <v>3970</v>
      </c>
      <c r="B2669" s="389">
        <v>44376</v>
      </c>
      <c r="C2669" s="390" t="s">
        <v>4082</v>
      </c>
      <c r="D2669" s="391" t="s">
        <v>4083</v>
      </c>
      <c r="E2669" s="391" t="s">
        <v>6202</v>
      </c>
      <c r="F2669" s="392">
        <v>2500000</v>
      </c>
      <c r="G2669" s="393" t="s">
        <v>3800</v>
      </c>
      <c r="H2669" s="394">
        <v>930.23108593324514</v>
      </c>
      <c r="I2669" s="394"/>
      <c r="J2669" s="392">
        <v>232.55777148331129</v>
      </c>
      <c r="K2669" s="392">
        <v>232.55777148331129</v>
      </c>
      <c r="L2669" s="392">
        <v>232.55777148331129</v>
      </c>
      <c r="M2669" s="392">
        <v>232.55777148331129</v>
      </c>
      <c r="N2669" s="392"/>
    </row>
    <row r="2670" spans="1:14" hidden="1" outlineLevel="2" x14ac:dyDescent="0.35">
      <c r="A2670" s="388" t="s">
        <v>3970</v>
      </c>
      <c r="B2670" s="389">
        <v>44376</v>
      </c>
      <c r="C2670" s="390" t="s">
        <v>4082</v>
      </c>
      <c r="D2670" s="391" t="s">
        <v>4084</v>
      </c>
      <c r="E2670" s="391" t="s">
        <v>6202</v>
      </c>
      <c r="F2670" s="392">
        <v>375000</v>
      </c>
      <c r="G2670" s="393" t="s">
        <v>3800</v>
      </c>
      <c r="H2670" s="394">
        <v>139.53466288998678</v>
      </c>
      <c r="I2670" s="394"/>
      <c r="J2670" s="392">
        <v>34.883665722496694</v>
      </c>
      <c r="K2670" s="392">
        <v>34.883665722496694</v>
      </c>
      <c r="L2670" s="392">
        <v>34.883665722496694</v>
      </c>
      <c r="M2670" s="392">
        <v>34.883665722496694</v>
      </c>
      <c r="N2670" s="392"/>
    </row>
    <row r="2671" spans="1:14" hidden="1" outlineLevel="2" x14ac:dyDescent="0.35">
      <c r="A2671" s="388" t="s">
        <v>3970</v>
      </c>
      <c r="B2671" s="389">
        <v>44376</v>
      </c>
      <c r="C2671" s="390" t="s">
        <v>4085</v>
      </c>
      <c r="D2671" s="391" t="s">
        <v>4086</v>
      </c>
      <c r="E2671" s="391" t="s">
        <v>4272</v>
      </c>
      <c r="F2671" s="392">
        <v>312500</v>
      </c>
      <c r="G2671" s="393" t="s">
        <v>3800</v>
      </c>
      <c r="H2671" s="394">
        <v>116.27888574165564</v>
      </c>
      <c r="I2671" s="394"/>
      <c r="J2671" s="392">
        <v>29.069721435413911</v>
      </c>
      <c r="K2671" s="392">
        <v>29.069721435413911</v>
      </c>
      <c r="L2671" s="392">
        <v>29.069721435413911</v>
      </c>
      <c r="M2671" s="392">
        <v>29.069721435413911</v>
      </c>
      <c r="N2671" s="392"/>
    </row>
    <row r="2672" spans="1:14" hidden="1" outlineLevel="2" x14ac:dyDescent="0.35">
      <c r="A2672" s="388" t="s">
        <v>3970</v>
      </c>
      <c r="B2672" s="389">
        <v>44376</v>
      </c>
      <c r="C2672" s="390" t="s">
        <v>4082</v>
      </c>
      <c r="D2672" s="391" t="s">
        <v>4087</v>
      </c>
      <c r="E2672" s="391" t="s">
        <v>6202</v>
      </c>
      <c r="F2672" s="392">
        <v>125000</v>
      </c>
      <c r="G2672" s="393" t="s">
        <v>3800</v>
      </c>
      <c r="H2672" s="394">
        <v>46.511554296662254</v>
      </c>
      <c r="I2672" s="394"/>
      <c r="J2672" s="392">
        <v>11.627888574165564</v>
      </c>
      <c r="K2672" s="392">
        <v>11.627888574165564</v>
      </c>
      <c r="L2672" s="392">
        <v>11.627888574165564</v>
      </c>
      <c r="M2672" s="392">
        <v>11.627888574165564</v>
      </c>
      <c r="N2672" s="392"/>
    </row>
    <row r="2673" spans="1:14" hidden="1" outlineLevel="2" x14ac:dyDescent="0.35">
      <c r="A2673" s="388" t="s">
        <v>3970</v>
      </c>
      <c r="B2673" s="389">
        <v>44376</v>
      </c>
      <c r="C2673" s="390" t="s">
        <v>4088</v>
      </c>
      <c r="D2673" s="391" t="s">
        <v>4089</v>
      </c>
      <c r="E2673" s="391" t="s">
        <v>4039</v>
      </c>
      <c r="F2673" s="392">
        <v>125000</v>
      </c>
      <c r="G2673" s="393" t="s">
        <v>3800</v>
      </c>
      <c r="H2673" s="394">
        <v>46.511554296662254</v>
      </c>
      <c r="I2673" s="394"/>
      <c r="J2673" s="392">
        <v>11.627888574165564</v>
      </c>
      <c r="K2673" s="392">
        <v>11.627888574165564</v>
      </c>
      <c r="L2673" s="392">
        <v>11.627888574165564</v>
      </c>
      <c r="M2673" s="392">
        <v>11.627888574165564</v>
      </c>
      <c r="N2673" s="392"/>
    </row>
    <row r="2674" spans="1:14" hidden="1" outlineLevel="2" x14ac:dyDescent="0.35">
      <c r="A2674" s="388" t="s">
        <v>3970</v>
      </c>
      <c r="B2674" s="389">
        <v>44376</v>
      </c>
      <c r="C2674" s="390" t="s">
        <v>4090</v>
      </c>
      <c r="D2674" s="391" t="s">
        <v>4091</v>
      </c>
      <c r="E2674" s="391" t="s">
        <v>4042</v>
      </c>
      <c r="F2674" s="392">
        <v>31250</v>
      </c>
      <c r="G2674" s="393" t="s">
        <v>3800</v>
      </c>
      <c r="H2674" s="394">
        <v>11.627888574165564</v>
      </c>
      <c r="I2674" s="394"/>
      <c r="J2674" s="392">
        <v>2.9069721435413909</v>
      </c>
      <c r="K2674" s="392">
        <v>2.9069721435413909</v>
      </c>
      <c r="L2674" s="392">
        <v>2.9069721435413909</v>
      </c>
      <c r="M2674" s="392">
        <v>2.9069721435413909</v>
      </c>
      <c r="N2674" s="392"/>
    </row>
    <row r="2675" spans="1:14" hidden="1" outlineLevel="2" x14ac:dyDescent="0.35">
      <c r="A2675" s="388" t="s">
        <v>3970</v>
      </c>
      <c r="B2675" s="389">
        <v>44407</v>
      </c>
      <c r="C2675" s="390" t="s">
        <v>4092</v>
      </c>
      <c r="D2675" s="391" t="s">
        <v>4093</v>
      </c>
      <c r="E2675" s="391" t="s">
        <v>6202</v>
      </c>
      <c r="F2675" s="392">
        <v>2500000</v>
      </c>
      <c r="G2675" s="393" t="s">
        <v>3800</v>
      </c>
      <c r="H2675" s="394">
        <v>930.23108593324514</v>
      </c>
      <c r="I2675" s="394"/>
      <c r="J2675" s="392">
        <v>232.55777148331129</v>
      </c>
      <c r="K2675" s="392">
        <v>232.55777148331129</v>
      </c>
      <c r="L2675" s="392">
        <v>232.55777148331129</v>
      </c>
      <c r="M2675" s="392">
        <v>232.55777148331129</v>
      </c>
      <c r="N2675" s="392"/>
    </row>
    <row r="2676" spans="1:14" hidden="1" outlineLevel="2" x14ac:dyDescent="0.35">
      <c r="A2676" s="388" t="s">
        <v>3970</v>
      </c>
      <c r="B2676" s="389">
        <v>44407</v>
      </c>
      <c r="C2676" s="390" t="s">
        <v>4092</v>
      </c>
      <c r="D2676" s="391" t="s">
        <v>4094</v>
      </c>
      <c r="E2676" s="391" t="s">
        <v>6202</v>
      </c>
      <c r="F2676" s="392">
        <v>375000</v>
      </c>
      <c r="G2676" s="393" t="s">
        <v>3800</v>
      </c>
      <c r="H2676" s="394">
        <v>139.53466288998678</v>
      </c>
      <c r="I2676" s="394"/>
      <c r="J2676" s="392">
        <v>34.883665722496694</v>
      </c>
      <c r="K2676" s="392">
        <v>34.883665722496694</v>
      </c>
      <c r="L2676" s="392">
        <v>34.883665722496694</v>
      </c>
      <c r="M2676" s="392">
        <v>34.883665722496694</v>
      </c>
      <c r="N2676" s="392"/>
    </row>
    <row r="2677" spans="1:14" hidden="1" outlineLevel="2" x14ac:dyDescent="0.35">
      <c r="A2677" s="388" t="s">
        <v>3970</v>
      </c>
      <c r="B2677" s="389">
        <v>44407</v>
      </c>
      <c r="C2677" s="390" t="s">
        <v>4095</v>
      </c>
      <c r="D2677" s="391" t="s">
        <v>4096</v>
      </c>
      <c r="E2677" s="391" t="s">
        <v>4272</v>
      </c>
      <c r="F2677" s="392">
        <v>312500</v>
      </c>
      <c r="G2677" s="393" t="s">
        <v>3800</v>
      </c>
      <c r="H2677" s="394">
        <v>116.27888574165564</v>
      </c>
      <c r="I2677" s="394"/>
      <c r="J2677" s="392">
        <v>29.069721435413911</v>
      </c>
      <c r="K2677" s="392">
        <v>29.069721435413911</v>
      </c>
      <c r="L2677" s="392">
        <v>29.069721435413911</v>
      </c>
      <c r="M2677" s="392">
        <v>29.069721435413911</v>
      </c>
      <c r="N2677" s="392"/>
    </row>
    <row r="2678" spans="1:14" hidden="1" outlineLevel="2" x14ac:dyDescent="0.35">
      <c r="A2678" s="388" t="s">
        <v>3970</v>
      </c>
      <c r="B2678" s="389">
        <v>44407</v>
      </c>
      <c r="C2678" s="390" t="s">
        <v>4062</v>
      </c>
      <c r="D2678" s="391" t="s">
        <v>4097</v>
      </c>
      <c r="E2678" s="391" t="s">
        <v>6202</v>
      </c>
      <c r="F2678" s="392">
        <v>125000</v>
      </c>
      <c r="G2678" s="393" t="s">
        <v>3800</v>
      </c>
      <c r="H2678" s="394">
        <v>46.511554296662254</v>
      </c>
      <c r="I2678" s="394"/>
      <c r="J2678" s="392">
        <v>11.627888574165564</v>
      </c>
      <c r="K2678" s="392">
        <v>11.627888574165564</v>
      </c>
      <c r="L2678" s="392">
        <v>11.627888574165564</v>
      </c>
      <c r="M2678" s="392">
        <v>11.627888574165564</v>
      </c>
      <c r="N2678" s="392"/>
    </row>
    <row r="2679" spans="1:14" hidden="1" outlineLevel="2" x14ac:dyDescent="0.35">
      <c r="A2679" s="388" t="s">
        <v>3970</v>
      </c>
      <c r="B2679" s="389">
        <v>44407</v>
      </c>
      <c r="C2679" s="390" t="s">
        <v>4092</v>
      </c>
      <c r="D2679" s="391" t="s">
        <v>4098</v>
      </c>
      <c r="E2679" s="391" t="s">
        <v>4039</v>
      </c>
      <c r="F2679" s="392">
        <v>125000</v>
      </c>
      <c r="G2679" s="393" t="s">
        <v>3800</v>
      </c>
      <c r="H2679" s="394">
        <v>46.511554296662254</v>
      </c>
      <c r="I2679" s="394"/>
      <c r="J2679" s="392">
        <v>11.627888574165564</v>
      </c>
      <c r="K2679" s="392">
        <v>11.627888574165564</v>
      </c>
      <c r="L2679" s="392">
        <v>11.627888574165564</v>
      </c>
      <c r="M2679" s="392">
        <v>11.627888574165564</v>
      </c>
      <c r="N2679" s="392"/>
    </row>
    <row r="2680" spans="1:14" hidden="1" outlineLevel="2" x14ac:dyDescent="0.35">
      <c r="A2680" s="388" t="s">
        <v>3970</v>
      </c>
      <c r="B2680" s="389">
        <v>44407</v>
      </c>
      <c r="C2680" s="390" t="s">
        <v>4099</v>
      </c>
      <c r="D2680" s="391" t="s">
        <v>4100</v>
      </c>
      <c r="E2680" s="391" t="s">
        <v>4042</v>
      </c>
      <c r="F2680" s="392">
        <v>18750</v>
      </c>
      <c r="G2680" s="393" t="s">
        <v>3800</v>
      </c>
      <c r="H2680" s="394">
        <v>6.9767331444993381</v>
      </c>
      <c r="I2680" s="394"/>
      <c r="J2680" s="392">
        <v>1.7441832861248345</v>
      </c>
      <c r="K2680" s="392">
        <v>1.7441832861248345</v>
      </c>
      <c r="L2680" s="392">
        <v>1.7441832861248345</v>
      </c>
      <c r="M2680" s="392">
        <v>1.7441832861248345</v>
      </c>
      <c r="N2680" s="392"/>
    </row>
    <row r="2681" spans="1:14" hidden="1" outlineLevel="2" x14ac:dyDescent="0.35">
      <c r="A2681" s="388" t="s">
        <v>3970</v>
      </c>
      <c r="B2681" s="389">
        <v>44438</v>
      </c>
      <c r="C2681" s="390" t="s">
        <v>6131</v>
      </c>
      <c r="D2681" s="391" t="s">
        <v>6132</v>
      </c>
      <c r="E2681" s="391" t="s">
        <v>6202</v>
      </c>
      <c r="F2681" s="392">
        <v>2500000</v>
      </c>
      <c r="G2681" s="393" t="s">
        <v>3800</v>
      </c>
      <c r="H2681" s="394">
        <v>930.23108593324514</v>
      </c>
      <c r="I2681" s="394"/>
      <c r="J2681" s="392">
        <v>232.55777148331129</v>
      </c>
      <c r="K2681" s="392">
        <v>232.55777148331129</v>
      </c>
      <c r="L2681" s="392">
        <v>232.55777148331129</v>
      </c>
      <c r="M2681" s="392">
        <v>232.55777148331129</v>
      </c>
      <c r="N2681" s="392"/>
    </row>
    <row r="2682" spans="1:14" hidden="1" outlineLevel="2" x14ac:dyDescent="0.35">
      <c r="A2682" s="388" t="s">
        <v>3970</v>
      </c>
      <c r="B2682" s="389">
        <v>44438</v>
      </c>
      <c r="C2682" s="390" t="s">
        <v>6131</v>
      </c>
      <c r="D2682" s="391" t="s">
        <v>6133</v>
      </c>
      <c r="E2682" s="391" t="s">
        <v>6202</v>
      </c>
      <c r="F2682" s="392">
        <v>375000</v>
      </c>
      <c r="G2682" s="393" t="s">
        <v>3800</v>
      </c>
      <c r="H2682" s="394">
        <v>139.53466288998678</v>
      </c>
      <c r="I2682" s="394"/>
      <c r="J2682" s="392">
        <v>34.883665722496694</v>
      </c>
      <c r="K2682" s="392">
        <v>34.883665722496694</v>
      </c>
      <c r="L2682" s="392">
        <v>34.883665722496694</v>
      </c>
      <c r="M2682" s="392">
        <v>34.883665722496694</v>
      </c>
      <c r="N2682" s="392"/>
    </row>
    <row r="2683" spans="1:14" hidden="1" outlineLevel="2" x14ac:dyDescent="0.35">
      <c r="A2683" s="388" t="s">
        <v>3970</v>
      </c>
      <c r="B2683" s="389">
        <v>44438</v>
      </c>
      <c r="C2683" s="390" t="s">
        <v>6134</v>
      </c>
      <c r="D2683" s="391" t="s">
        <v>6135</v>
      </c>
      <c r="E2683" s="391" t="s">
        <v>4272</v>
      </c>
      <c r="F2683" s="392">
        <v>312500</v>
      </c>
      <c r="G2683" s="393" t="s">
        <v>3800</v>
      </c>
      <c r="H2683" s="394">
        <v>116.27888574165564</v>
      </c>
      <c r="I2683" s="394"/>
      <c r="J2683" s="392">
        <v>29.069721435413911</v>
      </c>
      <c r="K2683" s="392">
        <v>29.069721435413911</v>
      </c>
      <c r="L2683" s="392">
        <v>29.069721435413911</v>
      </c>
      <c r="M2683" s="392">
        <v>29.069721435413911</v>
      </c>
      <c r="N2683" s="392"/>
    </row>
    <row r="2684" spans="1:14" hidden="1" outlineLevel="2" x14ac:dyDescent="0.35">
      <c r="A2684" s="388" t="s">
        <v>3970</v>
      </c>
      <c r="B2684" s="389">
        <v>44438</v>
      </c>
      <c r="C2684" s="390" t="s">
        <v>6131</v>
      </c>
      <c r="D2684" s="391" t="s">
        <v>6136</v>
      </c>
      <c r="E2684" s="391" t="s">
        <v>6202</v>
      </c>
      <c r="F2684" s="392">
        <v>125000</v>
      </c>
      <c r="G2684" s="393" t="s">
        <v>3800</v>
      </c>
      <c r="H2684" s="394">
        <v>46.511554296662254</v>
      </c>
      <c r="I2684" s="394"/>
      <c r="J2684" s="392">
        <v>11.627888574165564</v>
      </c>
      <c r="K2684" s="392">
        <v>11.627888574165564</v>
      </c>
      <c r="L2684" s="392">
        <v>11.627888574165564</v>
      </c>
      <c r="M2684" s="392">
        <v>11.627888574165564</v>
      </c>
      <c r="N2684" s="392"/>
    </row>
    <row r="2685" spans="1:14" hidden="1" outlineLevel="2" x14ac:dyDescent="0.35">
      <c r="A2685" s="388" t="s">
        <v>3970</v>
      </c>
      <c r="B2685" s="389">
        <v>44438</v>
      </c>
      <c r="C2685" s="390" t="s">
        <v>6137</v>
      </c>
      <c r="D2685" s="391" t="s">
        <v>6138</v>
      </c>
      <c r="E2685" s="391" t="s">
        <v>4039</v>
      </c>
      <c r="F2685" s="392">
        <v>125000</v>
      </c>
      <c r="G2685" s="393" t="s">
        <v>3800</v>
      </c>
      <c r="H2685" s="394">
        <v>46.511554296662254</v>
      </c>
      <c r="I2685" s="394"/>
      <c r="J2685" s="392">
        <v>11.627888574165564</v>
      </c>
      <c r="K2685" s="392">
        <v>11.627888574165564</v>
      </c>
      <c r="L2685" s="392">
        <v>11.627888574165564</v>
      </c>
      <c r="M2685" s="392">
        <v>11.627888574165564</v>
      </c>
      <c r="N2685" s="392"/>
    </row>
    <row r="2686" spans="1:14" hidden="1" outlineLevel="2" x14ac:dyDescent="0.35">
      <c r="A2686" s="388" t="s">
        <v>3970</v>
      </c>
      <c r="B2686" s="389">
        <v>44438</v>
      </c>
      <c r="C2686" s="390" t="s">
        <v>6139</v>
      </c>
      <c r="D2686" s="391" t="s">
        <v>6140</v>
      </c>
      <c r="E2686" s="391" t="s">
        <v>4042</v>
      </c>
      <c r="F2686" s="392">
        <v>18750</v>
      </c>
      <c r="G2686" s="393" t="s">
        <v>3800</v>
      </c>
      <c r="H2686" s="394">
        <v>6.9767331444993381</v>
      </c>
      <c r="I2686" s="394"/>
      <c r="J2686" s="392">
        <v>1.7441832861248345</v>
      </c>
      <c r="K2686" s="392">
        <v>1.7441832861248345</v>
      </c>
      <c r="L2686" s="392">
        <v>1.7441832861248345</v>
      </c>
      <c r="M2686" s="392">
        <v>1.7441832861248345</v>
      </c>
      <c r="N2686" s="392"/>
    </row>
    <row r="2687" spans="1:14" hidden="1" outlineLevel="2" x14ac:dyDescent="0.35">
      <c r="A2687" s="388" t="s">
        <v>3970</v>
      </c>
      <c r="B2687" s="389">
        <v>44436</v>
      </c>
      <c r="C2687" s="390" t="s">
        <v>6141</v>
      </c>
      <c r="D2687" s="391" t="s">
        <v>6142</v>
      </c>
      <c r="E2687" s="391" t="s">
        <v>6202</v>
      </c>
      <c r="F2687" s="392">
        <v>2500000</v>
      </c>
      <c r="G2687" s="393" t="s">
        <v>3800</v>
      </c>
      <c r="H2687" s="394">
        <v>930.23108593324514</v>
      </c>
      <c r="I2687" s="394"/>
      <c r="J2687" s="392">
        <v>232.55777148331129</v>
      </c>
      <c r="K2687" s="392">
        <v>232.55777148331129</v>
      </c>
      <c r="L2687" s="392">
        <v>232.55777148331129</v>
      </c>
      <c r="M2687" s="392">
        <v>232.55777148331129</v>
      </c>
      <c r="N2687" s="392"/>
    </row>
    <row r="2688" spans="1:14" hidden="1" outlineLevel="2" x14ac:dyDescent="0.35">
      <c r="A2688" s="388" t="s">
        <v>3970</v>
      </c>
      <c r="B2688" s="389">
        <v>44436</v>
      </c>
      <c r="C2688" s="390" t="s">
        <v>6141</v>
      </c>
      <c r="D2688" s="391" t="s">
        <v>6133</v>
      </c>
      <c r="E2688" s="391" t="s">
        <v>6202</v>
      </c>
      <c r="F2688" s="392">
        <v>375000</v>
      </c>
      <c r="G2688" s="393" t="s">
        <v>3800</v>
      </c>
      <c r="H2688" s="394">
        <v>139.53466288998678</v>
      </c>
      <c r="I2688" s="394"/>
      <c r="J2688" s="392">
        <v>34.883665722496694</v>
      </c>
      <c r="K2688" s="392">
        <v>34.883665722496694</v>
      </c>
      <c r="L2688" s="392">
        <v>34.883665722496694</v>
      </c>
      <c r="M2688" s="392">
        <v>34.883665722496694</v>
      </c>
      <c r="N2688" s="392"/>
    </row>
    <row r="2689" spans="1:14" hidden="1" outlineLevel="2" x14ac:dyDescent="0.35">
      <c r="A2689" s="388" t="s">
        <v>3970</v>
      </c>
      <c r="B2689" s="389">
        <v>44436</v>
      </c>
      <c r="C2689" s="390" t="s">
        <v>6143</v>
      </c>
      <c r="D2689" s="391" t="s">
        <v>4602</v>
      </c>
      <c r="E2689" s="391" t="s">
        <v>4272</v>
      </c>
      <c r="F2689" s="392">
        <v>312500</v>
      </c>
      <c r="G2689" s="393" t="s">
        <v>3800</v>
      </c>
      <c r="H2689" s="394">
        <v>116.27888574165564</v>
      </c>
      <c r="I2689" s="394"/>
      <c r="J2689" s="392">
        <v>29.069721435413911</v>
      </c>
      <c r="K2689" s="392">
        <v>29.069721435413911</v>
      </c>
      <c r="L2689" s="392">
        <v>29.069721435413911</v>
      </c>
      <c r="M2689" s="392">
        <v>29.069721435413911</v>
      </c>
      <c r="N2689" s="392"/>
    </row>
    <row r="2690" spans="1:14" hidden="1" outlineLevel="2" x14ac:dyDescent="0.35">
      <c r="A2690" s="388" t="s">
        <v>3970</v>
      </c>
      <c r="B2690" s="389">
        <v>44436</v>
      </c>
      <c r="C2690" s="390" t="s">
        <v>6141</v>
      </c>
      <c r="D2690" s="391" t="s">
        <v>6136</v>
      </c>
      <c r="E2690" s="391" t="s">
        <v>6202</v>
      </c>
      <c r="F2690" s="392">
        <v>125000</v>
      </c>
      <c r="G2690" s="393" t="s">
        <v>3800</v>
      </c>
      <c r="H2690" s="394">
        <v>46.511554296662254</v>
      </c>
      <c r="I2690" s="394"/>
      <c r="J2690" s="392">
        <v>11.627888574165564</v>
      </c>
      <c r="K2690" s="392">
        <v>11.627888574165564</v>
      </c>
      <c r="L2690" s="392">
        <v>11.627888574165564</v>
      </c>
      <c r="M2690" s="392">
        <v>11.627888574165564</v>
      </c>
      <c r="N2690" s="392"/>
    </row>
    <row r="2691" spans="1:14" hidden="1" outlineLevel="2" x14ac:dyDescent="0.35">
      <c r="A2691" s="388" t="s">
        <v>3970</v>
      </c>
      <c r="B2691" s="389">
        <v>44436</v>
      </c>
      <c r="C2691" s="390" t="s">
        <v>6144</v>
      </c>
      <c r="D2691" s="391" t="s">
        <v>6145</v>
      </c>
      <c r="E2691" s="391" t="s">
        <v>4039</v>
      </c>
      <c r="F2691" s="392">
        <v>125000</v>
      </c>
      <c r="G2691" s="393" t="s">
        <v>3800</v>
      </c>
      <c r="H2691" s="394">
        <v>46.511554296662254</v>
      </c>
      <c r="I2691" s="394"/>
      <c r="J2691" s="392">
        <v>11.627888574165564</v>
      </c>
      <c r="K2691" s="392">
        <v>11.627888574165564</v>
      </c>
      <c r="L2691" s="392">
        <v>11.627888574165564</v>
      </c>
      <c r="M2691" s="392">
        <v>11.627888574165564</v>
      </c>
      <c r="N2691" s="392"/>
    </row>
    <row r="2692" spans="1:14" hidden="1" outlineLevel="2" x14ac:dyDescent="0.35">
      <c r="A2692" s="388" t="s">
        <v>3970</v>
      </c>
      <c r="B2692" s="389">
        <v>44436</v>
      </c>
      <c r="C2692" s="390" t="s">
        <v>6146</v>
      </c>
      <c r="D2692" s="391" t="s">
        <v>4603</v>
      </c>
      <c r="E2692" s="391" t="s">
        <v>4042</v>
      </c>
      <c r="F2692" s="392">
        <v>18750</v>
      </c>
      <c r="G2692" s="393" t="s">
        <v>3800</v>
      </c>
      <c r="H2692" s="394">
        <v>6.9767331444993381</v>
      </c>
      <c r="I2692" s="394"/>
      <c r="J2692" s="392">
        <v>1.7441832861248345</v>
      </c>
      <c r="K2692" s="392">
        <v>1.7441832861248345</v>
      </c>
      <c r="L2692" s="392">
        <v>1.7441832861248345</v>
      </c>
      <c r="M2692" s="392">
        <v>1.7441832861248345</v>
      </c>
      <c r="N2692" s="392"/>
    </row>
    <row r="2693" spans="1:14" hidden="1" outlineLevel="2" x14ac:dyDescent="0.35">
      <c r="A2693" s="388" t="s">
        <v>3970</v>
      </c>
      <c r="B2693" s="389">
        <v>44497</v>
      </c>
      <c r="C2693" s="390" t="s">
        <v>6203</v>
      </c>
      <c r="D2693" s="391" t="s">
        <v>6204</v>
      </c>
      <c r="E2693" s="391" t="s">
        <v>6202</v>
      </c>
      <c r="F2693" s="392">
        <v>2500000</v>
      </c>
      <c r="G2693" s="393" t="s">
        <v>3800</v>
      </c>
      <c r="H2693" s="394">
        <v>930.23108593324514</v>
      </c>
      <c r="I2693" s="394"/>
      <c r="J2693" s="392">
        <v>232.55777148331129</v>
      </c>
      <c r="K2693" s="392">
        <v>232.55777148331129</v>
      </c>
      <c r="L2693" s="392">
        <v>232.55777148331129</v>
      </c>
      <c r="M2693" s="392">
        <v>232.55777148331129</v>
      </c>
      <c r="N2693" s="392"/>
    </row>
    <row r="2694" spans="1:14" hidden="1" outlineLevel="2" x14ac:dyDescent="0.35">
      <c r="A2694" s="388" t="s">
        <v>3970</v>
      </c>
      <c r="B2694" s="389">
        <v>44497</v>
      </c>
      <c r="C2694" s="390" t="s">
        <v>6203</v>
      </c>
      <c r="D2694" s="391" t="s">
        <v>6205</v>
      </c>
      <c r="E2694" s="391" t="s">
        <v>6202</v>
      </c>
      <c r="F2694" s="392">
        <v>375000</v>
      </c>
      <c r="G2694" s="393" t="s">
        <v>3800</v>
      </c>
      <c r="H2694" s="394">
        <v>139.53466288998678</v>
      </c>
      <c r="I2694" s="394"/>
      <c r="J2694" s="392">
        <v>34.883665722496694</v>
      </c>
      <c r="K2694" s="392">
        <v>34.883665722496694</v>
      </c>
      <c r="L2694" s="392">
        <v>34.883665722496694</v>
      </c>
      <c r="M2694" s="392">
        <v>34.883665722496694</v>
      </c>
      <c r="N2694" s="392"/>
    </row>
    <row r="2695" spans="1:14" hidden="1" outlineLevel="2" x14ac:dyDescent="0.35">
      <c r="A2695" s="388" t="s">
        <v>3970</v>
      </c>
      <c r="B2695" s="389">
        <v>44497</v>
      </c>
      <c r="C2695" s="390" t="s">
        <v>6206</v>
      </c>
      <c r="D2695" s="391" t="s">
        <v>6207</v>
      </c>
      <c r="E2695" s="391" t="s">
        <v>4272</v>
      </c>
      <c r="F2695" s="392">
        <v>312500</v>
      </c>
      <c r="G2695" s="393" t="s">
        <v>3800</v>
      </c>
      <c r="H2695" s="394">
        <v>116.27888574165564</v>
      </c>
      <c r="I2695" s="394"/>
      <c r="J2695" s="392">
        <v>29.069721435413911</v>
      </c>
      <c r="K2695" s="392">
        <v>29.069721435413911</v>
      </c>
      <c r="L2695" s="392">
        <v>29.069721435413911</v>
      </c>
      <c r="M2695" s="392">
        <v>29.069721435413911</v>
      </c>
      <c r="N2695" s="392"/>
    </row>
    <row r="2696" spans="1:14" hidden="1" outlineLevel="2" x14ac:dyDescent="0.35">
      <c r="A2696" s="388" t="s">
        <v>3970</v>
      </c>
      <c r="B2696" s="389">
        <v>44497</v>
      </c>
      <c r="C2696" s="390" t="s">
        <v>6203</v>
      </c>
      <c r="D2696" s="391" t="s">
        <v>6208</v>
      </c>
      <c r="E2696" s="391" t="s">
        <v>6202</v>
      </c>
      <c r="F2696" s="392">
        <v>125000</v>
      </c>
      <c r="G2696" s="393" t="s">
        <v>3800</v>
      </c>
      <c r="H2696" s="394">
        <v>46.511554296662254</v>
      </c>
      <c r="I2696" s="394"/>
      <c r="J2696" s="392">
        <v>11.627888574165564</v>
      </c>
      <c r="K2696" s="392">
        <v>11.627888574165564</v>
      </c>
      <c r="L2696" s="392">
        <v>11.627888574165564</v>
      </c>
      <c r="M2696" s="392">
        <v>11.627888574165564</v>
      </c>
      <c r="N2696" s="392"/>
    </row>
    <row r="2697" spans="1:14" hidden="1" outlineLevel="2" x14ac:dyDescent="0.35">
      <c r="A2697" s="388" t="s">
        <v>3970</v>
      </c>
      <c r="B2697" s="389">
        <v>44497</v>
      </c>
      <c r="C2697" s="390" t="s">
        <v>6203</v>
      </c>
      <c r="D2697" s="391" t="s">
        <v>6209</v>
      </c>
      <c r="E2697" s="391" t="s">
        <v>4039</v>
      </c>
      <c r="F2697" s="392">
        <v>125000</v>
      </c>
      <c r="G2697" s="393" t="s">
        <v>3800</v>
      </c>
      <c r="H2697" s="394">
        <v>46.511554296662254</v>
      </c>
      <c r="I2697" s="394"/>
      <c r="J2697" s="392">
        <v>11.627888574165564</v>
      </c>
      <c r="K2697" s="392">
        <v>11.627888574165564</v>
      </c>
      <c r="L2697" s="392">
        <v>11.627888574165564</v>
      </c>
      <c r="M2697" s="392">
        <v>11.627888574165564</v>
      </c>
      <c r="N2697" s="392"/>
    </row>
    <row r="2698" spans="1:14" hidden="1" outlineLevel="2" x14ac:dyDescent="0.35">
      <c r="A2698" s="388" t="s">
        <v>3970</v>
      </c>
      <c r="B2698" s="389">
        <v>44497</v>
      </c>
      <c r="C2698" s="390" t="s">
        <v>6210</v>
      </c>
      <c r="D2698" s="391" t="s">
        <v>4605</v>
      </c>
      <c r="E2698" s="391" t="s">
        <v>4042</v>
      </c>
      <c r="F2698" s="392">
        <v>18750</v>
      </c>
      <c r="G2698" s="393" t="s">
        <v>3800</v>
      </c>
      <c r="H2698" s="394">
        <v>6.9767331444993381</v>
      </c>
      <c r="I2698" s="394"/>
      <c r="J2698" s="392">
        <v>1.7441832861248345</v>
      </c>
      <c r="K2698" s="392">
        <v>1.7441832861248345</v>
      </c>
      <c r="L2698" s="392">
        <v>1.7441832861248345</v>
      </c>
      <c r="M2698" s="392">
        <v>1.7441832861248345</v>
      </c>
      <c r="N2698" s="392"/>
    </row>
    <row r="2699" spans="1:14" hidden="1" outlineLevel="2" x14ac:dyDescent="0.35">
      <c r="A2699" s="388" t="s">
        <v>3970</v>
      </c>
      <c r="B2699" s="389">
        <v>44525</v>
      </c>
      <c r="C2699" s="390" t="s">
        <v>6211</v>
      </c>
      <c r="D2699" s="391" t="s">
        <v>6212</v>
      </c>
      <c r="E2699" s="391" t="s">
        <v>6202</v>
      </c>
      <c r="F2699" s="392">
        <v>2500000</v>
      </c>
      <c r="G2699" s="393" t="s">
        <v>3800</v>
      </c>
      <c r="H2699" s="394">
        <v>930.23108593324514</v>
      </c>
      <c r="I2699" s="394"/>
      <c r="J2699" s="392">
        <v>232.55777148331129</v>
      </c>
      <c r="K2699" s="392">
        <v>232.55777148331129</v>
      </c>
      <c r="L2699" s="392">
        <v>232.55777148331129</v>
      </c>
      <c r="M2699" s="392">
        <v>232.55777148331129</v>
      </c>
      <c r="N2699" s="392"/>
    </row>
    <row r="2700" spans="1:14" hidden="1" outlineLevel="2" x14ac:dyDescent="0.35">
      <c r="A2700" s="388" t="s">
        <v>3970</v>
      </c>
      <c r="B2700" s="389">
        <v>44525</v>
      </c>
      <c r="C2700" s="390" t="s">
        <v>6211</v>
      </c>
      <c r="D2700" s="391" t="s">
        <v>6213</v>
      </c>
      <c r="E2700" s="391" t="s">
        <v>6202</v>
      </c>
      <c r="F2700" s="392">
        <v>375000</v>
      </c>
      <c r="G2700" s="393" t="s">
        <v>3800</v>
      </c>
      <c r="H2700" s="394">
        <v>139.53466288998678</v>
      </c>
      <c r="I2700" s="394"/>
      <c r="J2700" s="392">
        <v>34.883665722496694</v>
      </c>
      <c r="K2700" s="392">
        <v>34.883665722496694</v>
      </c>
      <c r="L2700" s="392">
        <v>34.883665722496694</v>
      </c>
      <c r="M2700" s="392">
        <v>34.883665722496694</v>
      </c>
      <c r="N2700" s="392"/>
    </row>
    <row r="2701" spans="1:14" hidden="1" outlineLevel="2" x14ac:dyDescent="0.35">
      <c r="A2701" s="388" t="s">
        <v>3970</v>
      </c>
      <c r="B2701" s="389">
        <v>44525</v>
      </c>
      <c r="C2701" s="390" t="s">
        <v>6214</v>
      </c>
      <c r="D2701" s="391" t="s">
        <v>6215</v>
      </c>
      <c r="E2701" s="391" t="s">
        <v>4272</v>
      </c>
      <c r="F2701" s="392">
        <v>312500</v>
      </c>
      <c r="G2701" s="393" t="s">
        <v>3800</v>
      </c>
      <c r="H2701" s="394">
        <v>116.27888574165564</v>
      </c>
      <c r="I2701" s="394"/>
      <c r="J2701" s="392">
        <v>29.069721435413911</v>
      </c>
      <c r="K2701" s="392">
        <v>29.069721435413911</v>
      </c>
      <c r="L2701" s="392">
        <v>29.069721435413911</v>
      </c>
      <c r="M2701" s="392">
        <v>29.069721435413911</v>
      </c>
      <c r="N2701" s="392"/>
    </row>
    <row r="2702" spans="1:14" hidden="1" outlineLevel="2" collapsed="1" x14ac:dyDescent="0.35">
      <c r="A2702" s="388" t="s">
        <v>3970</v>
      </c>
      <c r="B2702" s="389">
        <v>44525</v>
      </c>
      <c r="C2702" s="390" t="s">
        <v>6211</v>
      </c>
      <c r="D2702" s="391" t="s">
        <v>6216</v>
      </c>
      <c r="E2702" s="391" t="s">
        <v>6202</v>
      </c>
      <c r="F2702" s="392">
        <v>125000</v>
      </c>
      <c r="G2702" s="393" t="s">
        <v>3800</v>
      </c>
      <c r="H2702" s="394">
        <v>46.511554296662254</v>
      </c>
      <c r="I2702" s="394"/>
      <c r="J2702" s="392">
        <v>11.627888574165564</v>
      </c>
      <c r="K2702" s="392">
        <v>11.627888574165564</v>
      </c>
      <c r="L2702" s="392">
        <v>11.627888574165564</v>
      </c>
      <c r="M2702" s="392">
        <v>11.627888574165564</v>
      </c>
      <c r="N2702" s="392"/>
    </row>
    <row r="2703" spans="1:14" hidden="1" outlineLevel="2" x14ac:dyDescent="0.35">
      <c r="A2703" s="388" t="s">
        <v>3970</v>
      </c>
      <c r="B2703" s="389">
        <v>44525</v>
      </c>
      <c r="C2703" s="390" t="s">
        <v>6211</v>
      </c>
      <c r="D2703" s="391" t="s">
        <v>6217</v>
      </c>
      <c r="E2703" s="391" t="s">
        <v>4039</v>
      </c>
      <c r="F2703" s="392">
        <v>125000</v>
      </c>
      <c r="G2703" s="393" t="s">
        <v>3800</v>
      </c>
      <c r="H2703" s="394">
        <v>46.511554296662254</v>
      </c>
      <c r="I2703" s="394"/>
      <c r="J2703" s="392">
        <v>11.627888574165564</v>
      </c>
      <c r="K2703" s="392">
        <v>11.627888574165564</v>
      </c>
      <c r="L2703" s="392">
        <v>11.627888574165564</v>
      </c>
      <c r="M2703" s="392">
        <v>11.627888574165564</v>
      </c>
      <c r="N2703" s="392"/>
    </row>
    <row r="2704" spans="1:14" hidden="1" outlineLevel="2" x14ac:dyDescent="0.35">
      <c r="A2704" s="388" t="s">
        <v>3970</v>
      </c>
      <c r="B2704" s="389">
        <v>44525</v>
      </c>
      <c r="C2704" s="390" t="s">
        <v>6218</v>
      </c>
      <c r="D2704" s="391" t="s">
        <v>6219</v>
      </c>
      <c r="E2704" s="391" t="s">
        <v>4042</v>
      </c>
      <c r="F2704" s="392">
        <v>18750</v>
      </c>
      <c r="G2704" s="393" t="s">
        <v>3800</v>
      </c>
      <c r="H2704" s="394">
        <v>6.9767331444993381</v>
      </c>
      <c r="I2704" s="394"/>
      <c r="J2704" s="392">
        <v>1.7441832861248345</v>
      </c>
      <c r="K2704" s="392">
        <v>1.7441832861248345</v>
      </c>
      <c r="L2704" s="392">
        <v>1.7441832861248345</v>
      </c>
      <c r="M2704" s="392">
        <v>1.7441832861248345</v>
      </c>
      <c r="N2704" s="392"/>
    </row>
    <row r="2705" spans="1:14" hidden="1" outlineLevel="2" x14ac:dyDescent="0.35">
      <c r="A2705" s="388" t="s">
        <v>3970</v>
      </c>
      <c r="B2705" s="389">
        <v>44540</v>
      </c>
      <c r="C2705" s="390" t="s">
        <v>6220</v>
      </c>
      <c r="D2705" s="391" t="s">
        <v>6221</v>
      </c>
      <c r="E2705" s="391" t="s">
        <v>6202</v>
      </c>
      <c r="F2705" s="392">
        <v>2500000</v>
      </c>
      <c r="G2705" s="393" t="s">
        <v>3800</v>
      </c>
      <c r="H2705" s="394">
        <v>930.23108593324514</v>
      </c>
      <c r="I2705" s="394"/>
      <c r="J2705" s="392">
        <v>232.55777148331129</v>
      </c>
      <c r="K2705" s="392">
        <v>232.55777148331129</v>
      </c>
      <c r="L2705" s="392">
        <v>232.55777148331129</v>
      </c>
      <c r="M2705" s="392">
        <v>232.55777148331129</v>
      </c>
      <c r="N2705" s="392"/>
    </row>
    <row r="2706" spans="1:14" hidden="1" outlineLevel="2" x14ac:dyDescent="0.35">
      <c r="A2706" s="388" t="s">
        <v>3970</v>
      </c>
      <c r="B2706" s="389">
        <v>44540</v>
      </c>
      <c r="C2706" s="390" t="s">
        <v>6220</v>
      </c>
      <c r="D2706" s="391" t="s">
        <v>6222</v>
      </c>
      <c r="E2706" s="391" t="s">
        <v>6202</v>
      </c>
      <c r="F2706" s="392">
        <v>375000</v>
      </c>
      <c r="G2706" s="393" t="s">
        <v>3800</v>
      </c>
      <c r="H2706" s="394">
        <v>139.53466288998678</v>
      </c>
      <c r="I2706" s="394"/>
      <c r="J2706" s="392">
        <v>34.883665722496694</v>
      </c>
      <c r="K2706" s="392">
        <v>34.883665722496694</v>
      </c>
      <c r="L2706" s="392">
        <v>34.883665722496694</v>
      </c>
      <c r="M2706" s="392">
        <v>34.883665722496694</v>
      </c>
      <c r="N2706" s="392"/>
    </row>
    <row r="2707" spans="1:14" hidden="1" outlineLevel="2" x14ac:dyDescent="0.35">
      <c r="A2707" s="388" t="s">
        <v>3970</v>
      </c>
      <c r="B2707" s="389">
        <v>44540</v>
      </c>
      <c r="C2707" s="390" t="s">
        <v>6220</v>
      </c>
      <c r="D2707" s="391" t="s">
        <v>6223</v>
      </c>
      <c r="E2707" s="391" t="s">
        <v>4272</v>
      </c>
      <c r="F2707" s="392">
        <v>312500</v>
      </c>
      <c r="G2707" s="393" t="s">
        <v>3800</v>
      </c>
      <c r="H2707" s="394">
        <v>116.27888574165564</v>
      </c>
      <c r="I2707" s="394"/>
      <c r="J2707" s="392">
        <v>29.069721435413911</v>
      </c>
      <c r="K2707" s="392">
        <v>29.069721435413911</v>
      </c>
      <c r="L2707" s="392">
        <v>29.069721435413911</v>
      </c>
      <c r="M2707" s="392">
        <v>29.069721435413911</v>
      </c>
      <c r="N2707" s="392"/>
    </row>
    <row r="2708" spans="1:14" hidden="1" outlineLevel="2" x14ac:dyDescent="0.35">
      <c r="A2708" s="388" t="s">
        <v>3970</v>
      </c>
      <c r="B2708" s="389">
        <v>44540</v>
      </c>
      <c r="C2708" s="390" t="s">
        <v>6220</v>
      </c>
      <c r="D2708" s="391" t="s">
        <v>6224</v>
      </c>
      <c r="E2708" s="391" t="s">
        <v>6202</v>
      </c>
      <c r="F2708" s="392">
        <v>125000</v>
      </c>
      <c r="G2708" s="393" t="s">
        <v>3800</v>
      </c>
      <c r="H2708" s="394">
        <v>46.511554296662254</v>
      </c>
      <c r="I2708" s="394"/>
      <c r="J2708" s="392">
        <v>11.627888574165564</v>
      </c>
      <c r="K2708" s="392">
        <v>11.627888574165564</v>
      </c>
      <c r="L2708" s="392">
        <v>11.627888574165564</v>
      </c>
      <c r="M2708" s="392">
        <v>11.627888574165564</v>
      </c>
      <c r="N2708" s="392"/>
    </row>
    <row r="2709" spans="1:14" hidden="1" outlineLevel="2" x14ac:dyDescent="0.35">
      <c r="A2709" s="388" t="s">
        <v>3970</v>
      </c>
      <c r="B2709" s="389">
        <v>44540</v>
      </c>
      <c r="C2709" s="390" t="s">
        <v>6220</v>
      </c>
      <c r="D2709" s="391" t="s">
        <v>6225</v>
      </c>
      <c r="E2709" s="391" t="s">
        <v>4039</v>
      </c>
      <c r="F2709" s="392">
        <v>125000</v>
      </c>
      <c r="G2709" s="393" t="s">
        <v>3800</v>
      </c>
      <c r="H2709" s="394">
        <v>46.511554296662254</v>
      </c>
      <c r="I2709" s="394"/>
      <c r="J2709" s="392">
        <v>11.627888574165564</v>
      </c>
      <c r="K2709" s="392">
        <v>11.627888574165564</v>
      </c>
      <c r="L2709" s="392">
        <v>11.627888574165564</v>
      </c>
      <c r="M2709" s="392">
        <v>11.627888574165564</v>
      </c>
      <c r="N2709" s="392"/>
    </row>
    <row r="2710" spans="1:14" hidden="1" outlineLevel="2" x14ac:dyDescent="0.35">
      <c r="A2710" s="388" t="s">
        <v>3970</v>
      </c>
      <c r="B2710" s="389">
        <v>44540</v>
      </c>
      <c r="C2710" s="390" t="s">
        <v>6220</v>
      </c>
      <c r="D2710" s="391" t="s">
        <v>6226</v>
      </c>
      <c r="E2710" s="391" t="s">
        <v>4042</v>
      </c>
      <c r="F2710" s="392">
        <v>18750</v>
      </c>
      <c r="G2710" s="393" t="s">
        <v>3800</v>
      </c>
      <c r="H2710" s="394">
        <v>6.9767331444993381</v>
      </c>
      <c r="I2710" s="394"/>
      <c r="J2710" s="392">
        <v>1.7441832861248345</v>
      </c>
      <c r="K2710" s="392">
        <v>1.7441832861248345</v>
      </c>
      <c r="L2710" s="392">
        <v>1.7441832861248345</v>
      </c>
      <c r="M2710" s="392">
        <v>1.7441832861248345</v>
      </c>
      <c r="N2710" s="392"/>
    </row>
    <row r="2711" spans="1:14" hidden="1" outlineLevel="2" x14ac:dyDescent="0.35">
      <c r="A2711" s="388" t="s">
        <v>3970</v>
      </c>
      <c r="B2711" s="389">
        <v>44592</v>
      </c>
      <c r="C2711" s="390" t="s">
        <v>6227</v>
      </c>
      <c r="D2711" s="391" t="s">
        <v>6228</v>
      </c>
      <c r="E2711" s="391" t="s">
        <v>6202</v>
      </c>
      <c r="F2711" s="392">
        <v>2500000</v>
      </c>
      <c r="G2711" s="393" t="s">
        <v>3800</v>
      </c>
      <c r="H2711" s="394">
        <v>930.23108593324514</v>
      </c>
      <c r="I2711" s="394"/>
      <c r="J2711" s="392">
        <v>232.55777148331129</v>
      </c>
      <c r="K2711" s="392">
        <v>232.55777148331129</v>
      </c>
      <c r="L2711" s="392">
        <v>232.55777148331129</v>
      </c>
      <c r="M2711" s="392">
        <v>232.55777148331129</v>
      </c>
      <c r="N2711" s="392"/>
    </row>
    <row r="2712" spans="1:14" hidden="1" outlineLevel="2" x14ac:dyDescent="0.35">
      <c r="A2712" s="388" t="s">
        <v>3970</v>
      </c>
      <c r="B2712" s="389">
        <v>44592</v>
      </c>
      <c r="C2712" s="390" t="s">
        <v>6227</v>
      </c>
      <c r="D2712" s="391" t="s">
        <v>6229</v>
      </c>
      <c r="E2712" s="391" t="s">
        <v>6202</v>
      </c>
      <c r="F2712" s="392">
        <v>375000</v>
      </c>
      <c r="G2712" s="393" t="s">
        <v>3800</v>
      </c>
      <c r="H2712" s="394">
        <v>139.53466288998678</v>
      </c>
      <c r="I2712" s="394"/>
      <c r="J2712" s="392">
        <v>34.883665722496694</v>
      </c>
      <c r="K2712" s="392">
        <v>34.883665722496694</v>
      </c>
      <c r="L2712" s="392">
        <v>34.883665722496694</v>
      </c>
      <c r="M2712" s="392">
        <v>34.883665722496694</v>
      </c>
      <c r="N2712" s="392"/>
    </row>
    <row r="2713" spans="1:14" hidden="1" outlineLevel="2" x14ac:dyDescent="0.35">
      <c r="A2713" s="388" t="s">
        <v>3970</v>
      </c>
      <c r="B2713" s="389">
        <v>44592</v>
      </c>
      <c r="C2713" s="390" t="s">
        <v>6227</v>
      </c>
      <c r="D2713" s="391" t="s">
        <v>6230</v>
      </c>
      <c r="E2713" s="391" t="s">
        <v>6231</v>
      </c>
      <c r="F2713" s="392">
        <v>312500</v>
      </c>
      <c r="G2713" s="393" t="s">
        <v>3800</v>
      </c>
      <c r="H2713" s="394">
        <v>116.27888574165564</v>
      </c>
      <c r="I2713" s="394"/>
      <c r="J2713" s="392">
        <v>29.069721435413911</v>
      </c>
      <c r="K2713" s="392">
        <v>29.069721435413911</v>
      </c>
      <c r="L2713" s="392">
        <v>29.069721435413911</v>
      </c>
      <c r="M2713" s="392">
        <v>29.069721435413911</v>
      </c>
      <c r="N2713" s="392"/>
    </row>
    <row r="2714" spans="1:14" hidden="1" outlineLevel="2" x14ac:dyDescent="0.35">
      <c r="A2714" s="388" t="s">
        <v>3970</v>
      </c>
      <c r="B2714" s="389">
        <v>44592</v>
      </c>
      <c r="C2714" s="390" t="s">
        <v>6227</v>
      </c>
      <c r="D2714" s="391" t="s">
        <v>6232</v>
      </c>
      <c r="E2714" s="391" t="s">
        <v>6202</v>
      </c>
      <c r="F2714" s="392">
        <v>125000</v>
      </c>
      <c r="G2714" s="393" t="s">
        <v>3800</v>
      </c>
      <c r="H2714" s="394">
        <v>46.511554296662254</v>
      </c>
      <c r="I2714" s="394"/>
      <c r="J2714" s="392">
        <v>11.627888574165564</v>
      </c>
      <c r="K2714" s="392">
        <v>11.627888574165564</v>
      </c>
      <c r="L2714" s="392">
        <v>11.627888574165564</v>
      </c>
      <c r="M2714" s="392">
        <v>11.627888574165564</v>
      </c>
      <c r="N2714" s="392"/>
    </row>
    <row r="2715" spans="1:14" hidden="1" outlineLevel="2" x14ac:dyDescent="0.35">
      <c r="A2715" s="388" t="s">
        <v>3970</v>
      </c>
      <c r="B2715" s="389">
        <v>44592</v>
      </c>
      <c r="C2715" s="390" t="s">
        <v>6233</v>
      </c>
      <c r="D2715" s="391" t="s">
        <v>6234</v>
      </c>
      <c r="E2715" s="391" t="s">
        <v>4039</v>
      </c>
      <c r="F2715" s="392">
        <v>125000</v>
      </c>
      <c r="G2715" s="393" t="s">
        <v>3800</v>
      </c>
      <c r="H2715" s="394">
        <v>46.511554296662254</v>
      </c>
      <c r="I2715" s="394"/>
      <c r="J2715" s="392">
        <v>11.627888574165564</v>
      </c>
      <c r="K2715" s="392">
        <v>11.627888574165564</v>
      </c>
      <c r="L2715" s="392">
        <v>11.627888574165564</v>
      </c>
      <c r="M2715" s="392">
        <v>11.627888574165564</v>
      </c>
      <c r="N2715" s="392"/>
    </row>
    <row r="2716" spans="1:14" hidden="1" outlineLevel="2" x14ac:dyDescent="0.35">
      <c r="A2716" s="388" t="s">
        <v>3970</v>
      </c>
      <c r="B2716" s="389">
        <v>44592</v>
      </c>
      <c r="C2716" s="390" t="s">
        <v>6235</v>
      </c>
      <c r="D2716" s="391" t="s">
        <v>6236</v>
      </c>
      <c r="E2716" s="391" t="s">
        <v>4042</v>
      </c>
      <c r="F2716" s="392">
        <v>18750</v>
      </c>
      <c r="G2716" s="393" t="s">
        <v>3800</v>
      </c>
      <c r="H2716" s="394">
        <v>6.9767331444993381</v>
      </c>
      <c r="I2716" s="394"/>
      <c r="J2716" s="392">
        <v>1.7441832861248345</v>
      </c>
      <c r="K2716" s="392">
        <v>1.7441832861248345</v>
      </c>
      <c r="L2716" s="392">
        <v>1.7441832861248345</v>
      </c>
      <c r="M2716" s="392">
        <v>1.7441832861248345</v>
      </c>
      <c r="N2716" s="392"/>
    </row>
    <row r="2717" spans="1:14" outlineLevel="1" collapsed="1" x14ac:dyDescent="0.35">
      <c r="A2717" s="395" t="s">
        <v>6237</v>
      </c>
      <c r="B2717" s="389"/>
      <c r="C2717" s="390"/>
      <c r="D2717" s="391"/>
      <c r="E2717" s="391"/>
      <c r="F2717" s="392"/>
      <c r="G2717" s="393"/>
      <c r="H2717" s="394">
        <f t="shared" ref="H2717:N2717" si="99">SUBTOTAL(9,H2639:H2716)</f>
        <v>16746.485124513241</v>
      </c>
      <c r="I2717" s="394"/>
      <c r="J2717" s="392">
        <f t="shared" si="99"/>
        <v>4186.6212811283103</v>
      </c>
      <c r="K2717" s="392">
        <f t="shared" si="99"/>
        <v>4186.6212811283103</v>
      </c>
      <c r="L2717" s="392">
        <f t="shared" si="99"/>
        <v>4186.6212811283103</v>
      </c>
      <c r="M2717" s="392">
        <f t="shared" si="99"/>
        <v>4186.6212811283103</v>
      </c>
      <c r="N2717" s="392">
        <f t="shared" si="99"/>
        <v>0</v>
      </c>
    </row>
    <row r="2718" spans="1:14" hidden="1" outlineLevel="2" x14ac:dyDescent="0.35">
      <c r="A2718" s="388" t="s">
        <v>6238</v>
      </c>
      <c r="B2718" s="389">
        <v>44266</v>
      </c>
      <c r="C2718" s="390" t="s">
        <v>4526</v>
      </c>
      <c r="D2718" s="391" t="s">
        <v>4527</v>
      </c>
      <c r="E2718" s="391" t="s">
        <v>6239</v>
      </c>
      <c r="F2718" s="392">
        <v>1621621.62</v>
      </c>
      <c r="G2718" s="393" t="s">
        <v>3800</v>
      </c>
      <c r="H2718" s="394">
        <v>603.39313621817132</v>
      </c>
      <c r="I2718" s="394"/>
      <c r="J2718" s="392"/>
      <c r="K2718" s="392"/>
      <c r="L2718" s="392"/>
      <c r="M2718" s="392"/>
      <c r="N2718" s="392">
        <f t="shared" ref="N2718:N2750" si="100">H2718</f>
        <v>603.39313621817132</v>
      </c>
    </row>
    <row r="2719" spans="1:14" hidden="1" outlineLevel="2" x14ac:dyDescent="0.35">
      <c r="A2719" s="388" t="s">
        <v>6238</v>
      </c>
      <c r="B2719" s="389">
        <v>44266</v>
      </c>
      <c r="C2719" s="390" t="s">
        <v>4529</v>
      </c>
      <c r="D2719" s="391" t="s">
        <v>4530</v>
      </c>
      <c r="E2719" s="391" t="s">
        <v>4272</v>
      </c>
      <c r="F2719" s="392">
        <v>162162.16200000001</v>
      </c>
      <c r="G2719" s="393" t="s">
        <v>3800</v>
      </c>
      <c r="H2719" s="394">
        <v>60.339313621817134</v>
      </c>
      <c r="I2719" s="394"/>
      <c r="J2719" s="392"/>
      <c r="K2719" s="392"/>
      <c r="L2719" s="392"/>
      <c r="M2719" s="392"/>
      <c r="N2719" s="392">
        <f t="shared" si="100"/>
        <v>60.339313621817134</v>
      </c>
    </row>
    <row r="2720" spans="1:14" hidden="1" outlineLevel="2" x14ac:dyDescent="0.35">
      <c r="A2720" s="388" t="s">
        <v>6238</v>
      </c>
      <c r="B2720" s="389">
        <v>44266</v>
      </c>
      <c r="C2720" s="390" t="s">
        <v>4531</v>
      </c>
      <c r="D2720" s="391" t="s">
        <v>4051</v>
      </c>
      <c r="E2720" s="391" t="s">
        <v>4042</v>
      </c>
      <c r="F2720" s="392">
        <v>16216.216200000001</v>
      </c>
      <c r="G2720" s="393" t="s">
        <v>3800</v>
      </c>
      <c r="H2720" s="394">
        <v>6.033931362181713</v>
      </c>
      <c r="I2720" s="394"/>
      <c r="J2720" s="392"/>
      <c r="K2720" s="392"/>
      <c r="L2720" s="392"/>
      <c r="M2720" s="392"/>
      <c r="N2720" s="392">
        <f t="shared" si="100"/>
        <v>6.033931362181713</v>
      </c>
    </row>
    <row r="2721" spans="1:14" hidden="1" outlineLevel="2" x14ac:dyDescent="0.35">
      <c r="A2721" s="388" t="s">
        <v>6238</v>
      </c>
      <c r="B2721" s="389">
        <v>44284</v>
      </c>
      <c r="C2721" s="390" t="s">
        <v>4532</v>
      </c>
      <c r="D2721" s="391" t="s">
        <v>4533</v>
      </c>
      <c r="E2721" s="391" t="s">
        <v>6239</v>
      </c>
      <c r="F2721" s="392">
        <v>1621621.62</v>
      </c>
      <c r="G2721" s="393" t="s">
        <v>3800</v>
      </c>
      <c r="H2721" s="394">
        <v>603.39313621817132</v>
      </c>
      <c r="I2721" s="394"/>
      <c r="J2721" s="392"/>
      <c r="K2721" s="392"/>
      <c r="L2721" s="392"/>
      <c r="M2721" s="392"/>
      <c r="N2721" s="392">
        <f t="shared" si="100"/>
        <v>603.39313621817132</v>
      </c>
    </row>
    <row r="2722" spans="1:14" hidden="1" outlineLevel="2" x14ac:dyDescent="0.35">
      <c r="A2722" s="388" t="s">
        <v>6238</v>
      </c>
      <c r="B2722" s="389">
        <v>44284</v>
      </c>
      <c r="C2722" s="390" t="s">
        <v>4534</v>
      </c>
      <c r="D2722" s="391" t="s">
        <v>4535</v>
      </c>
      <c r="E2722" s="391" t="s">
        <v>4272</v>
      </c>
      <c r="F2722" s="392">
        <v>162162.16200000001</v>
      </c>
      <c r="G2722" s="393" t="s">
        <v>3800</v>
      </c>
      <c r="H2722" s="394">
        <v>60.339313621817134</v>
      </c>
      <c r="I2722" s="394"/>
      <c r="J2722" s="392"/>
      <c r="K2722" s="392"/>
      <c r="L2722" s="392"/>
      <c r="M2722" s="392"/>
      <c r="N2722" s="392">
        <f t="shared" si="100"/>
        <v>60.339313621817134</v>
      </c>
    </row>
    <row r="2723" spans="1:14" hidden="1" outlineLevel="2" x14ac:dyDescent="0.35">
      <c r="A2723" s="388" t="s">
        <v>6238</v>
      </c>
      <c r="B2723" s="389">
        <v>44284</v>
      </c>
      <c r="C2723" s="390" t="s">
        <v>4536</v>
      </c>
      <c r="D2723" s="391" t="s">
        <v>4061</v>
      </c>
      <c r="E2723" s="391" t="s">
        <v>4042</v>
      </c>
      <c r="F2723" s="392">
        <v>16216.216200000001</v>
      </c>
      <c r="G2723" s="393" t="s">
        <v>3800</v>
      </c>
      <c r="H2723" s="394">
        <v>6.033931362181713</v>
      </c>
      <c r="I2723" s="394"/>
      <c r="J2723" s="392"/>
      <c r="K2723" s="392"/>
      <c r="L2723" s="392"/>
      <c r="M2723" s="392"/>
      <c r="N2723" s="392">
        <f t="shared" si="100"/>
        <v>6.033931362181713</v>
      </c>
    </row>
    <row r="2724" spans="1:14" hidden="1" outlineLevel="2" x14ac:dyDescent="0.35">
      <c r="A2724" s="388" t="s">
        <v>6238</v>
      </c>
      <c r="B2724" s="389">
        <v>44316</v>
      </c>
      <c r="C2724" s="390" t="s">
        <v>4537</v>
      </c>
      <c r="D2724" s="391" t="s">
        <v>4538</v>
      </c>
      <c r="E2724" s="391" t="s">
        <v>6239</v>
      </c>
      <c r="F2724" s="392">
        <v>1621621.62</v>
      </c>
      <c r="G2724" s="393" t="s">
        <v>3800</v>
      </c>
      <c r="H2724" s="394">
        <v>603.39313621817132</v>
      </c>
      <c r="I2724" s="394"/>
      <c r="J2724" s="392"/>
      <c r="K2724" s="392"/>
      <c r="L2724" s="392"/>
      <c r="M2724" s="392"/>
      <c r="N2724" s="392">
        <f t="shared" si="100"/>
        <v>603.39313621817132</v>
      </c>
    </row>
    <row r="2725" spans="1:14" hidden="1" outlineLevel="2" x14ac:dyDescent="0.35">
      <c r="A2725" s="388" t="s">
        <v>6238</v>
      </c>
      <c r="B2725" s="389">
        <v>44316</v>
      </c>
      <c r="C2725" s="390" t="s">
        <v>4539</v>
      </c>
      <c r="D2725" s="391" t="s">
        <v>4540</v>
      </c>
      <c r="E2725" s="391" t="s">
        <v>4272</v>
      </c>
      <c r="F2725" s="392">
        <v>162162.16200000001</v>
      </c>
      <c r="G2725" s="393" t="s">
        <v>3800</v>
      </c>
      <c r="H2725" s="394">
        <v>60.339313621817134</v>
      </c>
      <c r="I2725" s="394"/>
      <c r="J2725" s="392"/>
      <c r="K2725" s="392"/>
      <c r="L2725" s="392"/>
      <c r="M2725" s="392"/>
      <c r="N2725" s="392">
        <f t="shared" si="100"/>
        <v>60.339313621817134</v>
      </c>
    </row>
    <row r="2726" spans="1:14" hidden="1" outlineLevel="2" x14ac:dyDescent="0.35">
      <c r="A2726" s="388" t="s">
        <v>6238</v>
      </c>
      <c r="B2726" s="389">
        <v>44316</v>
      </c>
      <c r="C2726" s="390" t="s">
        <v>4541</v>
      </c>
      <c r="D2726" s="391" t="s">
        <v>4542</v>
      </c>
      <c r="E2726" s="391" t="s">
        <v>4042</v>
      </c>
      <c r="F2726" s="392">
        <v>16216.216200000001</v>
      </c>
      <c r="G2726" s="393" t="s">
        <v>3800</v>
      </c>
      <c r="H2726" s="394">
        <v>6.033931362181713</v>
      </c>
      <c r="I2726" s="394"/>
      <c r="J2726" s="392"/>
      <c r="K2726" s="392"/>
      <c r="L2726" s="392"/>
      <c r="M2726" s="392"/>
      <c r="N2726" s="392">
        <f t="shared" si="100"/>
        <v>6.033931362181713</v>
      </c>
    </row>
    <row r="2727" spans="1:14" hidden="1" outlineLevel="2" x14ac:dyDescent="0.35">
      <c r="A2727" s="388" t="s">
        <v>6238</v>
      </c>
      <c r="B2727" s="389">
        <v>44343</v>
      </c>
      <c r="C2727" s="390" t="s">
        <v>4543</v>
      </c>
      <c r="D2727" s="391" t="s">
        <v>4544</v>
      </c>
      <c r="E2727" s="391" t="s">
        <v>6239</v>
      </c>
      <c r="F2727" s="392">
        <v>1621621.62</v>
      </c>
      <c r="G2727" s="393" t="s">
        <v>3800</v>
      </c>
      <c r="H2727" s="394">
        <v>603.39313621817132</v>
      </c>
      <c r="I2727" s="394"/>
      <c r="J2727" s="392"/>
      <c r="K2727" s="392"/>
      <c r="L2727" s="392"/>
      <c r="M2727" s="392"/>
      <c r="N2727" s="392">
        <f t="shared" si="100"/>
        <v>603.39313621817132</v>
      </c>
    </row>
    <row r="2728" spans="1:14" hidden="1" outlineLevel="2" x14ac:dyDescent="0.35">
      <c r="A2728" s="388" t="s">
        <v>6238</v>
      </c>
      <c r="B2728" s="389">
        <v>44343</v>
      </c>
      <c r="C2728" s="390" t="s">
        <v>4545</v>
      </c>
      <c r="D2728" s="391" t="s">
        <v>4546</v>
      </c>
      <c r="E2728" s="391" t="s">
        <v>4272</v>
      </c>
      <c r="F2728" s="392">
        <v>162162.16200000001</v>
      </c>
      <c r="G2728" s="393" t="s">
        <v>3800</v>
      </c>
      <c r="H2728" s="394">
        <v>60.339313621817134</v>
      </c>
      <c r="I2728" s="394"/>
      <c r="J2728" s="392"/>
      <c r="K2728" s="392"/>
      <c r="L2728" s="392"/>
      <c r="M2728" s="392"/>
      <c r="N2728" s="392">
        <f t="shared" si="100"/>
        <v>60.339313621817134</v>
      </c>
    </row>
    <row r="2729" spans="1:14" hidden="1" outlineLevel="2" x14ac:dyDescent="0.35">
      <c r="A2729" s="388" t="s">
        <v>6238</v>
      </c>
      <c r="B2729" s="389">
        <v>44343</v>
      </c>
      <c r="C2729" s="390" t="s">
        <v>4547</v>
      </c>
      <c r="D2729" s="391" t="s">
        <v>4548</v>
      </c>
      <c r="E2729" s="391" t="s">
        <v>4042</v>
      </c>
      <c r="F2729" s="392">
        <v>16216.216200000001</v>
      </c>
      <c r="G2729" s="393" t="s">
        <v>3800</v>
      </c>
      <c r="H2729" s="394">
        <v>6.033931362181713</v>
      </c>
      <c r="I2729" s="394"/>
      <c r="J2729" s="392"/>
      <c r="K2729" s="392"/>
      <c r="L2729" s="392"/>
      <c r="M2729" s="392"/>
      <c r="N2729" s="392">
        <f t="shared" si="100"/>
        <v>6.033931362181713</v>
      </c>
    </row>
    <row r="2730" spans="1:14" hidden="1" outlineLevel="2" x14ac:dyDescent="0.35">
      <c r="A2730" s="388" t="s">
        <v>6238</v>
      </c>
      <c r="B2730" s="389">
        <v>44376</v>
      </c>
      <c r="C2730" s="390" t="s">
        <v>4549</v>
      </c>
      <c r="D2730" s="391" t="s">
        <v>4550</v>
      </c>
      <c r="E2730" s="391" t="s">
        <v>6239</v>
      </c>
      <c r="F2730" s="392">
        <v>1621621.62</v>
      </c>
      <c r="G2730" s="393" t="s">
        <v>3800</v>
      </c>
      <c r="H2730" s="394">
        <v>603.39313621817132</v>
      </c>
      <c r="I2730" s="394"/>
      <c r="J2730" s="392"/>
      <c r="K2730" s="392"/>
      <c r="L2730" s="392"/>
      <c r="M2730" s="392"/>
      <c r="N2730" s="392">
        <f t="shared" si="100"/>
        <v>603.39313621817132</v>
      </c>
    </row>
    <row r="2731" spans="1:14" hidden="1" outlineLevel="2" x14ac:dyDescent="0.35">
      <c r="A2731" s="388" t="s">
        <v>6238</v>
      </c>
      <c r="B2731" s="389">
        <v>44376</v>
      </c>
      <c r="C2731" s="390" t="s">
        <v>4551</v>
      </c>
      <c r="D2731" s="391" t="s">
        <v>4552</v>
      </c>
      <c r="E2731" s="391" t="s">
        <v>4272</v>
      </c>
      <c r="F2731" s="392">
        <v>162162.16200000001</v>
      </c>
      <c r="G2731" s="393" t="s">
        <v>3800</v>
      </c>
      <c r="H2731" s="394">
        <v>60.339313621817134</v>
      </c>
      <c r="I2731" s="394"/>
      <c r="J2731" s="392"/>
      <c r="K2731" s="392"/>
      <c r="L2731" s="392"/>
      <c r="M2731" s="392"/>
      <c r="N2731" s="392">
        <f t="shared" si="100"/>
        <v>60.339313621817134</v>
      </c>
    </row>
    <row r="2732" spans="1:14" hidden="1" outlineLevel="2" x14ac:dyDescent="0.35">
      <c r="A2732" s="388" t="s">
        <v>6238</v>
      </c>
      <c r="B2732" s="389">
        <v>44376</v>
      </c>
      <c r="C2732" s="390" t="s">
        <v>4553</v>
      </c>
      <c r="D2732" s="391" t="s">
        <v>4554</v>
      </c>
      <c r="E2732" s="391" t="s">
        <v>4042</v>
      </c>
      <c r="F2732" s="392">
        <v>16216.216200000001</v>
      </c>
      <c r="G2732" s="393" t="s">
        <v>3800</v>
      </c>
      <c r="H2732" s="394">
        <v>6.033931362181713</v>
      </c>
      <c r="I2732" s="394"/>
      <c r="J2732" s="392"/>
      <c r="K2732" s="392"/>
      <c r="L2732" s="392"/>
      <c r="M2732" s="392"/>
      <c r="N2732" s="392">
        <f t="shared" si="100"/>
        <v>6.033931362181713</v>
      </c>
    </row>
    <row r="2733" spans="1:14" hidden="1" outlineLevel="2" x14ac:dyDescent="0.35">
      <c r="A2733" s="388" t="s">
        <v>6238</v>
      </c>
      <c r="B2733" s="389">
        <v>44407</v>
      </c>
      <c r="C2733" s="390" t="s">
        <v>4555</v>
      </c>
      <c r="D2733" s="391" t="s">
        <v>4556</v>
      </c>
      <c r="E2733" s="391" t="s">
        <v>6239</v>
      </c>
      <c r="F2733" s="392">
        <v>1621621.62</v>
      </c>
      <c r="G2733" s="393" t="s">
        <v>3800</v>
      </c>
      <c r="H2733" s="394">
        <v>603.39313621817132</v>
      </c>
      <c r="I2733" s="394"/>
      <c r="J2733" s="392"/>
      <c r="K2733" s="392"/>
      <c r="L2733" s="392"/>
      <c r="M2733" s="392"/>
      <c r="N2733" s="392">
        <f t="shared" si="100"/>
        <v>603.39313621817132</v>
      </c>
    </row>
    <row r="2734" spans="1:14" hidden="1" outlineLevel="2" x14ac:dyDescent="0.35">
      <c r="A2734" s="388" t="s">
        <v>6238</v>
      </c>
      <c r="B2734" s="389">
        <v>44407</v>
      </c>
      <c r="C2734" s="390" t="s">
        <v>4557</v>
      </c>
      <c r="D2734" s="391" t="s">
        <v>4558</v>
      </c>
      <c r="E2734" s="391" t="s">
        <v>4272</v>
      </c>
      <c r="F2734" s="392">
        <v>162162.16200000001</v>
      </c>
      <c r="G2734" s="393" t="s">
        <v>3800</v>
      </c>
      <c r="H2734" s="394">
        <v>60.339313621817134</v>
      </c>
      <c r="I2734" s="394"/>
      <c r="J2734" s="392"/>
      <c r="K2734" s="392"/>
      <c r="L2734" s="392"/>
      <c r="M2734" s="392"/>
      <c r="N2734" s="392">
        <f t="shared" si="100"/>
        <v>60.339313621817134</v>
      </c>
    </row>
    <row r="2735" spans="1:14" hidden="1" outlineLevel="2" x14ac:dyDescent="0.35">
      <c r="A2735" s="388" t="s">
        <v>6238</v>
      </c>
      <c r="B2735" s="389">
        <v>44407</v>
      </c>
      <c r="C2735" s="390" t="s">
        <v>4559</v>
      </c>
      <c r="D2735" s="391" t="s">
        <v>4560</v>
      </c>
      <c r="E2735" s="391" t="s">
        <v>4042</v>
      </c>
      <c r="F2735" s="392">
        <v>9729.7297200000012</v>
      </c>
      <c r="G2735" s="393" t="s">
        <v>3800</v>
      </c>
      <c r="H2735" s="394">
        <v>3.620358817309028</v>
      </c>
      <c r="I2735" s="394"/>
      <c r="J2735" s="392"/>
      <c r="K2735" s="392"/>
      <c r="L2735" s="392"/>
      <c r="M2735" s="392"/>
      <c r="N2735" s="392">
        <f t="shared" si="100"/>
        <v>3.620358817309028</v>
      </c>
    </row>
    <row r="2736" spans="1:14" hidden="1" outlineLevel="2" x14ac:dyDescent="0.35">
      <c r="A2736" s="388" t="s">
        <v>6238</v>
      </c>
      <c r="B2736" s="389">
        <v>44438</v>
      </c>
      <c r="C2736" s="390" t="s">
        <v>4561</v>
      </c>
      <c r="D2736" s="391" t="s">
        <v>4562</v>
      </c>
      <c r="E2736" s="391" t="s">
        <v>4563</v>
      </c>
      <c r="F2736" s="392">
        <v>1621621.62</v>
      </c>
      <c r="G2736" s="393" t="s">
        <v>3800</v>
      </c>
      <c r="H2736" s="394">
        <v>603.39313621817132</v>
      </c>
      <c r="I2736" s="394"/>
      <c r="J2736" s="392"/>
      <c r="K2736" s="392"/>
      <c r="L2736" s="392"/>
      <c r="M2736" s="392"/>
      <c r="N2736" s="392">
        <f t="shared" si="100"/>
        <v>603.39313621817132</v>
      </c>
    </row>
    <row r="2737" spans="1:14" hidden="1" outlineLevel="2" x14ac:dyDescent="0.35">
      <c r="A2737" s="388" t="s">
        <v>6238</v>
      </c>
      <c r="B2737" s="389">
        <v>44438</v>
      </c>
      <c r="C2737" s="390" t="s">
        <v>4564</v>
      </c>
      <c r="D2737" s="391" t="s">
        <v>4565</v>
      </c>
      <c r="E2737" s="391" t="s">
        <v>4272</v>
      </c>
      <c r="F2737" s="392">
        <v>162162.16200000001</v>
      </c>
      <c r="G2737" s="393" t="s">
        <v>3800</v>
      </c>
      <c r="H2737" s="394">
        <v>60.339313621817134</v>
      </c>
      <c r="I2737" s="394"/>
      <c r="J2737" s="392"/>
      <c r="K2737" s="392"/>
      <c r="L2737" s="392"/>
      <c r="M2737" s="392"/>
      <c r="N2737" s="392">
        <f t="shared" si="100"/>
        <v>60.339313621817134</v>
      </c>
    </row>
    <row r="2738" spans="1:14" hidden="1" outlineLevel="2" x14ac:dyDescent="0.35">
      <c r="A2738" s="388" t="s">
        <v>6238</v>
      </c>
      <c r="B2738" s="389">
        <v>44438</v>
      </c>
      <c r="C2738" s="390" t="s">
        <v>4566</v>
      </c>
      <c r="D2738" s="391" t="s">
        <v>4567</v>
      </c>
      <c r="E2738" s="391" t="s">
        <v>4042</v>
      </c>
      <c r="F2738" s="392">
        <v>9729.7297200000012</v>
      </c>
      <c r="G2738" s="393" t="s">
        <v>3800</v>
      </c>
      <c r="H2738" s="394">
        <v>3.620358817309028</v>
      </c>
      <c r="I2738" s="394"/>
      <c r="J2738" s="392"/>
      <c r="K2738" s="392"/>
      <c r="L2738" s="392"/>
      <c r="M2738" s="392"/>
      <c r="N2738" s="392">
        <f t="shared" si="100"/>
        <v>3.620358817309028</v>
      </c>
    </row>
    <row r="2739" spans="1:14" hidden="1" outlineLevel="2" collapsed="1" x14ac:dyDescent="0.35">
      <c r="A2739" s="388" t="s">
        <v>6238</v>
      </c>
      <c r="B2739" s="389">
        <v>44467</v>
      </c>
      <c r="C2739" s="390" t="s">
        <v>4568</v>
      </c>
      <c r="D2739" s="391" t="s">
        <v>4569</v>
      </c>
      <c r="E2739" s="391" t="s">
        <v>4563</v>
      </c>
      <c r="F2739" s="392">
        <v>1621621.62</v>
      </c>
      <c r="G2739" s="393" t="s">
        <v>3800</v>
      </c>
      <c r="H2739" s="394">
        <v>603.39313621817132</v>
      </c>
      <c r="I2739" s="394"/>
      <c r="J2739" s="392"/>
      <c r="K2739" s="392"/>
      <c r="L2739" s="392"/>
      <c r="M2739" s="392"/>
      <c r="N2739" s="392">
        <f t="shared" si="100"/>
        <v>603.39313621817132</v>
      </c>
    </row>
    <row r="2740" spans="1:14" hidden="1" outlineLevel="2" x14ac:dyDescent="0.35">
      <c r="A2740" s="388" t="s">
        <v>6238</v>
      </c>
      <c r="B2740" s="389">
        <v>44467</v>
      </c>
      <c r="C2740" s="390" t="s">
        <v>4570</v>
      </c>
      <c r="D2740" s="391" t="s">
        <v>4571</v>
      </c>
      <c r="E2740" s="391" t="s">
        <v>4272</v>
      </c>
      <c r="F2740" s="392">
        <v>162162.16200000001</v>
      </c>
      <c r="G2740" s="393" t="s">
        <v>3800</v>
      </c>
      <c r="H2740" s="394">
        <v>60.339313621817134</v>
      </c>
      <c r="I2740" s="394"/>
      <c r="J2740" s="392"/>
      <c r="K2740" s="392"/>
      <c r="L2740" s="392"/>
      <c r="M2740" s="392"/>
      <c r="N2740" s="392">
        <f t="shared" si="100"/>
        <v>60.339313621817134</v>
      </c>
    </row>
    <row r="2741" spans="1:14" hidden="1" outlineLevel="2" x14ac:dyDescent="0.35">
      <c r="A2741" s="388" t="s">
        <v>6238</v>
      </c>
      <c r="B2741" s="389">
        <v>44467</v>
      </c>
      <c r="C2741" s="390" t="s">
        <v>4572</v>
      </c>
      <c r="D2741" s="391" t="s">
        <v>4573</v>
      </c>
      <c r="E2741" s="391" t="s">
        <v>4042</v>
      </c>
      <c r="F2741" s="392">
        <v>9729.7297200000012</v>
      </c>
      <c r="G2741" s="393" t="s">
        <v>3800</v>
      </c>
      <c r="H2741" s="394">
        <v>3.620358817309028</v>
      </c>
      <c r="I2741" s="394"/>
      <c r="J2741" s="392"/>
      <c r="K2741" s="392"/>
      <c r="L2741" s="392"/>
      <c r="M2741" s="392"/>
      <c r="N2741" s="392">
        <f t="shared" si="100"/>
        <v>3.620358817309028</v>
      </c>
    </row>
    <row r="2742" spans="1:14" hidden="1" outlineLevel="2" x14ac:dyDescent="0.35">
      <c r="A2742" s="388" t="s">
        <v>6238</v>
      </c>
      <c r="B2742" s="389">
        <v>44497</v>
      </c>
      <c r="C2742" s="390" t="s">
        <v>4574</v>
      </c>
      <c r="D2742" s="391" t="s">
        <v>4575</v>
      </c>
      <c r="E2742" s="391" t="s">
        <v>6239</v>
      </c>
      <c r="F2742" s="392">
        <v>1621621.62</v>
      </c>
      <c r="G2742" s="393" t="s">
        <v>3800</v>
      </c>
      <c r="H2742" s="394">
        <v>603.39313621817132</v>
      </c>
      <c r="I2742" s="394"/>
      <c r="J2742" s="392"/>
      <c r="K2742" s="392"/>
      <c r="L2742" s="392"/>
      <c r="M2742" s="392"/>
      <c r="N2742" s="392">
        <f t="shared" si="100"/>
        <v>603.39313621817132</v>
      </c>
    </row>
    <row r="2743" spans="1:14" hidden="1" outlineLevel="2" x14ac:dyDescent="0.35">
      <c r="A2743" s="388" t="s">
        <v>6238</v>
      </c>
      <c r="B2743" s="389">
        <v>44497</v>
      </c>
      <c r="C2743" s="390" t="s">
        <v>4576</v>
      </c>
      <c r="D2743" s="391" t="s">
        <v>4577</v>
      </c>
      <c r="E2743" s="391" t="s">
        <v>4272</v>
      </c>
      <c r="F2743" s="392">
        <v>162162.16200000001</v>
      </c>
      <c r="G2743" s="393" t="s">
        <v>3800</v>
      </c>
      <c r="H2743" s="394">
        <v>60.339313621817134</v>
      </c>
      <c r="I2743" s="394"/>
      <c r="J2743" s="392"/>
      <c r="K2743" s="392"/>
      <c r="L2743" s="392"/>
      <c r="M2743" s="392"/>
      <c r="N2743" s="392">
        <f t="shared" si="100"/>
        <v>60.339313621817134</v>
      </c>
    </row>
    <row r="2744" spans="1:14" hidden="1" outlineLevel="2" x14ac:dyDescent="0.35">
      <c r="A2744" s="388" t="s">
        <v>6238</v>
      </c>
      <c r="B2744" s="389">
        <v>44497</v>
      </c>
      <c r="C2744" s="390" t="s">
        <v>4578</v>
      </c>
      <c r="D2744" s="391" t="s">
        <v>4579</v>
      </c>
      <c r="E2744" s="391" t="s">
        <v>4042</v>
      </c>
      <c r="F2744" s="392">
        <v>9729.7297200000012</v>
      </c>
      <c r="G2744" s="393" t="s">
        <v>3800</v>
      </c>
      <c r="H2744" s="394">
        <v>3.620358817309028</v>
      </c>
      <c r="I2744" s="394"/>
      <c r="J2744" s="392"/>
      <c r="K2744" s="392"/>
      <c r="L2744" s="392"/>
      <c r="M2744" s="392"/>
      <c r="N2744" s="392">
        <f t="shared" si="100"/>
        <v>3.620358817309028</v>
      </c>
    </row>
    <row r="2745" spans="1:14" hidden="1" outlineLevel="2" x14ac:dyDescent="0.35">
      <c r="A2745" s="388" t="s">
        <v>6238</v>
      </c>
      <c r="B2745" s="389">
        <v>44525</v>
      </c>
      <c r="C2745" s="390" t="s">
        <v>4580</v>
      </c>
      <c r="D2745" s="391" t="s">
        <v>4581</v>
      </c>
      <c r="E2745" s="391" t="s">
        <v>6239</v>
      </c>
      <c r="F2745" s="392">
        <v>1621621.62</v>
      </c>
      <c r="G2745" s="393" t="s">
        <v>3800</v>
      </c>
      <c r="H2745" s="394">
        <v>603.39313621817132</v>
      </c>
      <c r="I2745" s="394"/>
      <c r="J2745" s="392"/>
      <c r="K2745" s="392"/>
      <c r="L2745" s="392"/>
      <c r="M2745" s="392"/>
      <c r="N2745" s="392">
        <f t="shared" si="100"/>
        <v>603.39313621817132</v>
      </c>
    </row>
    <row r="2746" spans="1:14" hidden="1" outlineLevel="2" x14ac:dyDescent="0.35">
      <c r="A2746" s="388" t="s">
        <v>6238</v>
      </c>
      <c r="B2746" s="389">
        <v>44525</v>
      </c>
      <c r="C2746" s="390" t="s">
        <v>4582</v>
      </c>
      <c r="D2746" s="391" t="s">
        <v>4583</v>
      </c>
      <c r="E2746" s="391" t="s">
        <v>4272</v>
      </c>
      <c r="F2746" s="392">
        <v>162162.16200000001</v>
      </c>
      <c r="G2746" s="393" t="s">
        <v>3800</v>
      </c>
      <c r="H2746" s="394">
        <v>60.339313621817134</v>
      </c>
      <c r="I2746" s="394"/>
      <c r="J2746" s="392"/>
      <c r="K2746" s="392"/>
      <c r="L2746" s="392"/>
      <c r="M2746" s="392"/>
      <c r="N2746" s="392">
        <f t="shared" si="100"/>
        <v>60.339313621817134</v>
      </c>
    </row>
    <row r="2747" spans="1:14" hidden="1" outlineLevel="2" x14ac:dyDescent="0.35">
      <c r="A2747" s="388" t="s">
        <v>6238</v>
      </c>
      <c r="B2747" s="389">
        <v>44525</v>
      </c>
      <c r="C2747" s="390" t="s">
        <v>4584</v>
      </c>
      <c r="D2747" s="391" t="s">
        <v>4585</v>
      </c>
      <c r="E2747" s="391" t="s">
        <v>4042</v>
      </c>
      <c r="F2747" s="392">
        <v>9729.7297200000012</v>
      </c>
      <c r="G2747" s="393" t="s">
        <v>3800</v>
      </c>
      <c r="H2747" s="394">
        <v>3.620358817309028</v>
      </c>
      <c r="I2747" s="394"/>
      <c r="J2747" s="392"/>
      <c r="K2747" s="392"/>
      <c r="L2747" s="392"/>
      <c r="M2747" s="392"/>
      <c r="N2747" s="392">
        <f t="shared" si="100"/>
        <v>3.620358817309028</v>
      </c>
    </row>
    <row r="2748" spans="1:14" hidden="1" outlineLevel="2" x14ac:dyDescent="0.35">
      <c r="A2748" s="388" t="s">
        <v>6238</v>
      </c>
      <c r="B2748" s="389">
        <v>44547</v>
      </c>
      <c r="C2748" s="390" t="s">
        <v>4586</v>
      </c>
      <c r="D2748" s="391" t="s">
        <v>4587</v>
      </c>
      <c r="E2748" s="391" t="s">
        <v>6239</v>
      </c>
      <c r="F2748" s="392">
        <v>1621621.62</v>
      </c>
      <c r="G2748" s="393" t="s">
        <v>3800</v>
      </c>
      <c r="H2748" s="394">
        <v>603.39313621817132</v>
      </c>
      <c r="I2748" s="394"/>
      <c r="J2748" s="392"/>
      <c r="K2748" s="392"/>
      <c r="L2748" s="392"/>
      <c r="M2748" s="392"/>
      <c r="N2748" s="392">
        <f t="shared" si="100"/>
        <v>603.39313621817132</v>
      </c>
    </row>
    <row r="2749" spans="1:14" hidden="1" outlineLevel="2" x14ac:dyDescent="0.35">
      <c r="A2749" s="388" t="s">
        <v>6238</v>
      </c>
      <c r="B2749" s="389">
        <v>44547</v>
      </c>
      <c r="C2749" s="390" t="s">
        <v>4588</v>
      </c>
      <c r="D2749" s="391" t="s">
        <v>4589</v>
      </c>
      <c r="E2749" s="391" t="s">
        <v>4272</v>
      </c>
      <c r="F2749" s="392">
        <v>162162.16200000001</v>
      </c>
      <c r="G2749" s="393" t="s">
        <v>3800</v>
      </c>
      <c r="H2749" s="394">
        <v>60.339313621817134</v>
      </c>
      <c r="I2749" s="394"/>
      <c r="J2749" s="392"/>
      <c r="K2749" s="392"/>
      <c r="L2749" s="392"/>
      <c r="M2749" s="392"/>
      <c r="N2749" s="392">
        <f t="shared" si="100"/>
        <v>60.339313621817134</v>
      </c>
    </row>
    <row r="2750" spans="1:14" hidden="1" outlineLevel="2" x14ac:dyDescent="0.35">
      <c r="A2750" s="388" t="s">
        <v>6238</v>
      </c>
      <c r="B2750" s="389">
        <v>44547</v>
      </c>
      <c r="C2750" s="390" t="s">
        <v>4590</v>
      </c>
      <c r="D2750" s="391" t="s">
        <v>4591</v>
      </c>
      <c r="E2750" s="391" t="s">
        <v>4042</v>
      </c>
      <c r="F2750" s="392">
        <v>9729.7297200000012</v>
      </c>
      <c r="G2750" s="393" t="s">
        <v>3800</v>
      </c>
      <c r="H2750" s="394">
        <v>3.620358817309028</v>
      </c>
      <c r="I2750" s="394"/>
      <c r="J2750" s="392"/>
      <c r="K2750" s="392"/>
      <c r="L2750" s="392"/>
      <c r="M2750" s="392"/>
      <c r="N2750" s="392">
        <f t="shared" si="100"/>
        <v>3.620358817309028</v>
      </c>
    </row>
    <row r="2751" spans="1:14" hidden="1" outlineLevel="2" x14ac:dyDescent="0.35">
      <c r="A2751" s="388" t="s">
        <v>6238</v>
      </c>
      <c r="B2751" s="389">
        <v>44587</v>
      </c>
      <c r="C2751" s="390" t="s">
        <v>4592</v>
      </c>
      <c r="D2751" s="391" t="s">
        <v>4593</v>
      </c>
      <c r="E2751" s="391" t="s">
        <v>6239</v>
      </c>
      <c r="F2751" s="392">
        <v>1621621.62</v>
      </c>
      <c r="G2751" s="393" t="s">
        <v>3800</v>
      </c>
      <c r="H2751" s="394">
        <v>603.39313621817132</v>
      </c>
      <c r="I2751" s="394"/>
      <c r="J2751" s="392"/>
      <c r="K2751" s="392"/>
      <c r="L2751" s="392"/>
      <c r="M2751" s="392"/>
      <c r="N2751" s="392">
        <v>603.39313621817132</v>
      </c>
    </row>
    <row r="2752" spans="1:14" hidden="1" outlineLevel="2" x14ac:dyDescent="0.35">
      <c r="A2752" s="388" t="s">
        <v>6238</v>
      </c>
      <c r="B2752" s="389">
        <v>44587</v>
      </c>
      <c r="C2752" s="390" t="s">
        <v>4594</v>
      </c>
      <c r="D2752" s="391" t="s">
        <v>4595</v>
      </c>
      <c r="E2752" s="391" t="s">
        <v>4272</v>
      </c>
      <c r="F2752" s="392">
        <v>162162.16200000001</v>
      </c>
      <c r="G2752" s="393" t="s">
        <v>3800</v>
      </c>
      <c r="H2752" s="394">
        <v>60.339313621817134</v>
      </c>
      <c r="I2752" s="394"/>
      <c r="J2752" s="392"/>
      <c r="K2752" s="392"/>
      <c r="L2752" s="392"/>
      <c r="M2752" s="392"/>
      <c r="N2752" s="392">
        <v>60.339313621817134</v>
      </c>
    </row>
    <row r="2753" spans="1:14" hidden="1" outlineLevel="2" x14ac:dyDescent="0.35">
      <c r="A2753" s="388" t="s">
        <v>6238</v>
      </c>
      <c r="B2753" s="389">
        <v>44587</v>
      </c>
      <c r="C2753" s="390" t="s">
        <v>4596</v>
      </c>
      <c r="D2753" s="391" t="s">
        <v>4597</v>
      </c>
      <c r="E2753" s="391" t="s">
        <v>4042</v>
      </c>
      <c r="F2753" s="392">
        <v>9729.7297200000012</v>
      </c>
      <c r="G2753" s="393" t="s">
        <v>3800</v>
      </c>
      <c r="H2753" s="394">
        <v>3.620358817309028</v>
      </c>
      <c r="I2753" s="394"/>
      <c r="J2753" s="392"/>
      <c r="K2753" s="392"/>
      <c r="L2753" s="392"/>
      <c r="M2753" s="392"/>
      <c r="N2753" s="392">
        <v>3.620358817309028</v>
      </c>
    </row>
    <row r="2754" spans="1:14" outlineLevel="1" collapsed="1" x14ac:dyDescent="0.35">
      <c r="A2754" s="395" t="s">
        <v>6240</v>
      </c>
      <c r="B2754" s="389"/>
      <c r="C2754" s="390"/>
      <c r="D2754" s="391"/>
      <c r="E2754" s="391"/>
      <c r="F2754" s="392"/>
      <c r="G2754" s="393"/>
      <c r="H2754" s="394">
        <f t="shared" ref="H2754:N2754" si="101">SUBTOTAL(9,H2718:H2753)</f>
        <v>8020.3015666119345</v>
      </c>
      <c r="I2754" s="394"/>
      <c r="J2754" s="392">
        <f t="shared" si="101"/>
        <v>0</v>
      </c>
      <c r="K2754" s="392">
        <f t="shared" si="101"/>
        <v>0</v>
      </c>
      <c r="L2754" s="392">
        <f t="shared" si="101"/>
        <v>0</v>
      </c>
      <c r="M2754" s="392">
        <f t="shared" si="101"/>
        <v>0</v>
      </c>
      <c r="N2754" s="392">
        <f t="shared" si="101"/>
        <v>8020.3015666119345</v>
      </c>
    </row>
    <row r="2755" spans="1:14" hidden="1" outlineLevel="2" x14ac:dyDescent="0.35">
      <c r="A2755" s="388" t="s">
        <v>217</v>
      </c>
      <c r="B2755" s="389">
        <v>43921</v>
      </c>
      <c r="C2755" s="390" t="s">
        <v>1092</v>
      </c>
      <c r="D2755" s="391" t="s">
        <v>1564</v>
      </c>
      <c r="E2755" s="391" t="s">
        <v>1098</v>
      </c>
      <c r="F2755" s="392">
        <v>1101.3699999999999</v>
      </c>
      <c r="G2755" s="393" t="s">
        <v>56</v>
      </c>
      <c r="H2755" s="394">
        <v>1101.3699999999999</v>
      </c>
      <c r="I2755" s="394"/>
      <c r="J2755" s="392">
        <f t="shared" ref="J2755:N2764" si="102">$H2755/5</f>
        <v>220.27399999999997</v>
      </c>
      <c r="K2755" s="392">
        <f t="shared" si="102"/>
        <v>220.27399999999997</v>
      </c>
      <c r="L2755" s="392">
        <f t="shared" si="102"/>
        <v>220.27399999999997</v>
      </c>
      <c r="M2755" s="392">
        <f t="shared" si="102"/>
        <v>220.27399999999997</v>
      </c>
      <c r="N2755" s="392">
        <f t="shared" si="102"/>
        <v>220.27399999999997</v>
      </c>
    </row>
    <row r="2756" spans="1:14" hidden="1" outlineLevel="2" x14ac:dyDescent="0.35">
      <c r="A2756" s="388" t="s">
        <v>217</v>
      </c>
      <c r="B2756" s="389">
        <v>44012</v>
      </c>
      <c r="C2756" s="390" t="s">
        <v>1094</v>
      </c>
      <c r="D2756" s="391" t="s">
        <v>1565</v>
      </c>
      <c r="E2756" s="391" t="s">
        <v>1098</v>
      </c>
      <c r="F2756" s="392">
        <v>1101.3699999999999</v>
      </c>
      <c r="G2756" s="393" t="s">
        <v>56</v>
      </c>
      <c r="H2756" s="394">
        <v>1101.3699999999999</v>
      </c>
      <c r="I2756" s="394"/>
      <c r="J2756" s="392">
        <f t="shared" si="102"/>
        <v>220.27399999999997</v>
      </c>
      <c r="K2756" s="392">
        <f t="shared" si="102"/>
        <v>220.27399999999997</v>
      </c>
      <c r="L2756" s="392">
        <f t="shared" si="102"/>
        <v>220.27399999999997</v>
      </c>
      <c r="M2756" s="392">
        <f t="shared" si="102"/>
        <v>220.27399999999997</v>
      </c>
      <c r="N2756" s="392">
        <f t="shared" si="102"/>
        <v>220.27399999999997</v>
      </c>
    </row>
    <row r="2757" spans="1:14" hidden="1" outlineLevel="2" x14ac:dyDescent="0.35">
      <c r="A2757" s="388" t="s">
        <v>217</v>
      </c>
      <c r="B2757" s="389">
        <v>44104</v>
      </c>
      <c r="C2757" s="390" t="s">
        <v>1096</v>
      </c>
      <c r="D2757" s="391" t="s">
        <v>1566</v>
      </c>
      <c r="E2757" s="391" t="s">
        <v>1098</v>
      </c>
      <c r="F2757" s="392">
        <v>-2202.75</v>
      </c>
      <c r="G2757" s="393" t="s">
        <v>56</v>
      </c>
      <c r="H2757" s="394">
        <v>-2202.75</v>
      </c>
      <c r="I2757" s="394"/>
      <c r="J2757" s="392">
        <f t="shared" si="102"/>
        <v>-440.55</v>
      </c>
      <c r="K2757" s="392">
        <f t="shared" si="102"/>
        <v>-440.55</v>
      </c>
      <c r="L2757" s="392">
        <f t="shared" si="102"/>
        <v>-440.55</v>
      </c>
      <c r="M2757" s="392">
        <f t="shared" si="102"/>
        <v>-440.55</v>
      </c>
      <c r="N2757" s="392">
        <f t="shared" si="102"/>
        <v>-440.55</v>
      </c>
    </row>
    <row r="2758" spans="1:14" hidden="1" outlineLevel="2" x14ac:dyDescent="0.35">
      <c r="A2758" s="388" t="s">
        <v>217</v>
      </c>
      <c r="B2758" s="389">
        <v>44469</v>
      </c>
      <c r="C2758" s="390" t="s">
        <v>6241</v>
      </c>
      <c r="D2758" s="391" t="s">
        <v>6242</v>
      </c>
      <c r="E2758" s="391" t="s">
        <v>1574</v>
      </c>
      <c r="F2758" s="392">
        <v>2612.44</v>
      </c>
      <c r="G2758" s="393" t="s">
        <v>56</v>
      </c>
      <c r="H2758" s="394">
        <v>2612.44</v>
      </c>
      <c r="I2758" s="394"/>
      <c r="J2758" s="392">
        <f t="shared" si="102"/>
        <v>522.48800000000006</v>
      </c>
      <c r="K2758" s="392">
        <f t="shared" si="102"/>
        <v>522.48800000000006</v>
      </c>
      <c r="L2758" s="392">
        <f t="shared" si="102"/>
        <v>522.48800000000006</v>
      </c>
      <c r="M2758" s="392">
        <f t="shared" si="102"/>
        <v>522.48800000000006</v>
      </c>
      <c r="N2758" s="392">
        <f t="shared" si="102"/>
        <v>522.48800000000006</v>
      </c>
    </row>
    <row r="2759" spans="1:14" hidden="1" outlineLevel="2" x14ac:dyDescent="0.35">
      <c r="A2759" s="388" t="s">
        <v>217</v>
      </c>
      <c r="B2759" s="389">
        <v>44469</v>
      </c>
      <c r="C2759" s="390" t="s">
        <v>6243</v>
      </c>
      <c r="D2759" s="391" t="s">
        <v>6244</v>
      </c>
      <c r="E2759" s="391" t="s">
        <v>1599</v>
      </c>
      <c r="F2759" s="392">
        <v>7705.72</v>
      </c>
      <c r="G2759" s="393" t="s">
        <v>56</v>
      </c>
      <c r="H2759" s="394">
        <v>7705.72</v>
      </c>
      <c r="I2759" s="394"/>
      <c r="J2759" s="392">
        <f t="shared" si="102"/>
        <v>1541.144</v>
      </c>
      <c r="K2759" s="392">
        <f t="shared" si="102"/>
        <v>1541.144</v>
      </c>
      <c r="L2759" s="392">
        <f t="shared" si="102"/>
        <v>1541.144</v>
      </c>
      <c r="M2759" s="392">
        <f t="shared" si="102"/>
        <v>1541.144</v>
      </c>
      <c r="N2759" s="392">
        <f t="shared" si="102"/>
        <v>1541.144</v>
      </c>
    </row>
    <row r="2760" spans="1:14" hidden="1" outlineLevel="2" x14ac:dyDescent="0.35">
      <c r="A2760" s="388" t="s">
        <v>217</v>
      </c>
      <c r="B2760" s="389">
        <v>44561</v>
      </c>
      <c r="C2760" s="390" t="s">
        <v>6245</v>
      </c>
      <c r="D2760" s="391" t="s">
        <v>6246</v>
      </c>
      <c r="E2760" s="391" t="s">
        <v>1574</v>
      </c>
      <c r="F2760" s="392">
        <v>1306.22</v>
      </c>
      <c r="G2760" s="393" t="s">
        <v>56</v>
      </c>
      <c r="H2760" s="394">
        <v>1306.22</v>
      </c>
      <c r="I2760" s="394"/>
      <c r="J2760" s="392">
        <f t="shared" si="102"/>
        <v>261.24400000000003</v>
      </c>
      <c r="K2760" s="392">
        <f t="shared" si="102"/>
        <v>261.24400000000003</v>
      </c>
      <c r="L2760" s="392">
        <f t="shared" si="102"/>
        <v>261.24400000000003</v>
      </c>
      <c r="M2760" s="392">
        <f t="shared" si="102"/>
        <v>261.24400000000003</v>
      </c>
      <c r="N2760" s="392">
        <f t="shared" si="102"/>
        <v>261.24400000000003</v>
      </c>
    </row>
    <row r="2761" spans="1:14" hidden="1" outlineLevel="2" x14ac:dyDescent="0.35">
      <c r="A2761" s="388" t="s">
        <v>217</v>
      </c>
      <c r="B2761" s="389">
        <v>44561</v>
      </c>
      <c r="C2761" s="390" t="s">
        <v>6247</v>
      </c>
      <c r="D2761" s="391" t="s">
        <v>6248</v>
      </c>
      <c r="E2761" s="391" t="s">
        <v>1599</v>
      </c>
      <c r="F2761" s="392">
        <v>3852.86</v>
      </c>
      <c r="G2761" s="393" t="s">
        <v>56</v>
      </c>
      <c r="H2761" s="394">
        <v>3852.86</v>
      </c>
      <c r="I2761" s="394"/>
      <c r="J2761" s="392">
        <f t="shared" si="102"/>
        <v>770.572</v>
      </c>
      <c r="K2761" s="392">
        <f t="shared" si="102"/>
        <v>770.572</v>
      </c>
      <c r="L2761" s="392">
        <f t="shared" si="102"/>
        <v>770.572</v>
      </c>
      <c r="M2761" s="392">
        <f t="shared" si="102"/>
        <v>770.572</v>
      </c>
      <c r="N2761" s="392">
        <f t="shared" si="102"/>
        <v>770.572</v>
      </c>
    </row>
    <row r="2762" spans="1:14" hidden="1" outlineLevel="2" x14ac:dyDescent="0.35">
      <c r="A2762" s="388" t="s">
        <v>217</v>
      </c>
      <c r="B2762" s="389">
        <v>44561</v>
      </c>
      <c r="C2762" s="390" t="s">
        <v>6249</v>
      </c>
      <c r="D2762" s="391" t="s">
        <v>6250</v>
      </c>
      <c r="E2762" s="391" t="s">
        <v>1574</v>
      </c>
      <c r="F2762" s="392">
        <v>1306.22</v>
      </c>
      <c r="G2762" s="393" t="s">
        <v>56</v>
      </c>
      <c r="H2762" s="394">
        <v>1306.22</v>
      </c>
      <c r="I2762" s="394"/>
      <c r="J2762" s="392">
        <f t="shared" si="102"/>
        <v>261.24400000000003</v>
      </c>
      <c r="K2762" s="392">
        <f t="shared" si="102"/>
        <v>261.24400000000003</v>
      </c>
      <c r="L2762" s="392">
        <f t="shared" si="102"/>
        <v>261.24400000000003</v>
      </c>
      <c r="M2762" s="392">
        <f t="shared" si="102"/>
        <v>261.24400000000003</v>
      </c>
      <c r="N2762" s="392">
        <f t="shared" si="102"/>
        <v>261.24400000000003</v>
      </c>
    </row>
    <row r="2763" spans="1:14" hidden="1" outlineLevel="2" x14ac:dyDescent="0.35">
      <c r="A2763" s="388" t="s">
        <v>217</v>
      </c>
      <c r="B2763" s="389">
        <v>44561</v>
      </c>
      <c r="C2763" s="390" t="s">
        <v>6251</v>
      </c>
      <c r="D2763" s="391" t="s">
        <v>6252</v>
      </c>
      <c r="E2763" s="391" t="s">
        <v>1599</v>
      </c>
      <c r="F2763" s="392">
        <v>1926.43</v>
      </c>
      <c r="G2763" s="393" t="s">
        <v>56</v>
      </c>
      <c r="H2763" s="394">
        <v>1926.43</v>
      </c>
      <c r="I2763" s="394"/>
      <c r="J2763" s="392">
        <f t="shared" si="102"/>
        <v>385.286</v>
      </c>
      <c r="K2763" s="392">
        <f t="shared" si="102"/>
        <v>385.286</v>
      </c>
      <c r="L2763" s="392">
        <f t="shared" si="102"/>
        <v>385.286</v>
      </c>
      <c r="M2763" s="392">
        <f t="shared" si="102"/>
        <v>385.286</v>
      </c>
      <c r="N2763" s="392">
        <f t="shared" si="102"/>
        <v>385.286</v>
      </c>
    </row>
    <row r="2764" spans="1:14" hidden="1" outlineLevel="2" x14ac:dyDescent="0.35">
      <c r="A2764" s="388" t="s">
        <v>217</v>
      </c>
      <c r="B2764" s="389">
        <v>44561</v>
      </c>
      <c r="C2764" s="390" t="s">
        <v>6253</v>
      </c>
      <c r="D2764" s="391" t="s">
        <v>6254</v>
      </c>
      <c r="E2764" s="391" t="s">
        <v>1599</v>
      </c>
      <c r="F2764" s="392">
        <v>1926.43</v>
      </c>
      <c r="G2764" s="393" t="s">
        <v>56</v>
      </c>
      <c r="H2764" s="394">
        <v>1926.43</v>
      </c>
      <c r="I2764" s="394"/>
      <c r="J2764" s="392">
        <f t="shared" si="102"/>
        <v>385.286</v>
      </c>
      <c r="K2764" s="392">
        <f t="shared" si="102"/>
        <v>385.286</v>
      </c>
      <c r="L2764" s="392">
        <f t="shared" si="102"/>
        <v>385.286</v>
      </c>
      <c r="M2764" s="392">
        <f t="shared" si="102"/>
        <v>385.286</v>
      </c>
      <c r="N2764" s="392">
        <f t="shared" si="102"/>
        <v>385.286</v>
      </c>
    </row>
    <row r="2765" spans="1:14" outlineLevel="1" collapsed="1" x14ac:dyDescent="0.35">
      <c r="A2765" s="395" t="s">
        <v>1581</v>
      </c>
      <c r="B2765" s="389"/>
      <c r="C2765" s="390"/>
      <c r="D2765" s="391"/>
      <c r="E2765" s="391"/>
      <c r="F2765" s="392"/>
      <c r="G2765" s="393"/>
      <c r="H2765" s="394">
        <f t="shared" ref="H2765:N2765" si="103">SUBTOTAL(9,H2755:H2764)</f>
        <v>20636.310000000001</v>
      </c>
      <c r="I2765" s="394"/>
      <c r="J2765" s="392">
        <f t="shared" si="103"/>
        <v>4127.2620000000006</v>
      </c>
      <c r="K2765" s="392">
        <f t="shared" si="103"/>
        <v>4127.2620000000006</v>
      </c>
      <c r="L2765" s="392">
        <f t="shared" si="103"/>
        <v>4127.2620000000006</v>
      </c>
      <c r="M2765" s="392">
        <f t="shared" si="103"/>
        <v>4127.2620000000006</v>
      </c>
      <c r="N2765" s="392">
        <f t="shared" si="103"/>
        <v>4127.2620000000006</v>
      </c>
    </row>
    <row r="2766" spans="1:14" hidden="1" outlineLevel="2" x14ac:dyDescent="0.35">
      <c r="A2766" s="388" t="s">
        <v>219</v>
      </c>
      <c r="B2766" s="389">
        <v>43738</v>
      </c>
      <c r="C2766" s="390" t="s">
        <v>1087</v>
      </c>
      <c r="D2766" s="391" t="s">
        <v>1582</v>
      </c>
      <c r="E2766" s="391" t="s">
        <v>1583</v>
      </c>
      <c r="F2766" s="392">
        <v>1331.8</v>
      </c>
      <c r="G2766" s="393" t="s">
        <v>56</v>
      </c>
      <c r="H2766" s="394">
        <v>1331.8</v>
      </c>
      <c r="I2766" s="394"/>
      <c r="J2766" s="392">
        <f t="shared" ref="J2766:N2777" si="104">$H2766/5</f>
        <v>266.36</v>
      </c>
      <c r="K2766" s="392">
        <f t="shared" si="104"/>
        <v>266.36</v>
      </c>
      <c r="L2766" s="392">
        <f t="shared" si="104"/>
        <v>266.36</v>
      </c>
      <c r="M2766" s="392">
        <f t="shared" si="104"/>
        <v>266.36</v>
      </c>
      <c r="N2766" s="392">
        <f t="shared" si="104"/>
        <v>266.36</v>
      </c>
    </row>
    <row r="2767" spans="1:14" hidden="1" outlineLevel="2" x14ac:dyDescent="0.35">
      <c r="A2767" s="388" t="s">
        <v>219</v>
      </c>
      <c r="B2767" s="389">
        <v>43830</v>
      </c>
      <c r="C2767" s="390" t="s">
        <v>1090</v>
      </c>
      <c r="D2767" s="391" t="s">
        <v>1584</v>
      </c>
      <c r="E2767" s="391" t="s">
        <v>1583</v>
      </c>
      <c r="F2767" s="392">
        <v>1331.8</v>
      </c>
      <c r="G2767" s="393" t="s">
        <v>56</v>
      </c>
      <c r="H2767" s="394">
        <v>1331.8</v>
      </c>
      <c r="I2767" s="394"/>
      <c r="J2767" s="392">
        <f t="shared" si="104"/>
        <v>266.36</v>
      </c>
      <c r="K2767" s="392">
        <f t="shared" si="104"/>
        <v>266.36</v>
      </c>
      <c r="L2767" s="392">
        <f t="shared" si="104"/>
        <v>266.36</v>
      </c>
      <c r="M2767" s="392">
        <f t="shared" si="104"/>
        <v>266.36</v>
      </c>
      <c r="N2767" s="392">
        <f t="shared" si="104"/>
        <v>266.36</v>
      </c>
    </row>
    <row r="2768" spans="1:14" hidden="1" outlineLevel="2" x14ac:dyDescent="0.35">
      <c r="A2768" s="388" t="s">
        <v>219</v>
      </c>
      <c r="B2768" s="389">
        <v>43921</v>
      </c>
      <c r="C2768" s="390" t="s">
        <v>1092</v>
      </c>
      <c r="D2768" s="391" t="s">
        <v>1585</v>
      </c>
      <c r="E2768" s="391" t="s">
        <v>1583</v>
      </c>
      <c r="F2768" s="392">
        <v>479.76</v>
      </c>
      <c r="G2768" s="393" t="s">
        <v>56</v>
      </c>
      <c r="H2768" s="394">
        <v>479.76</v>
      </c>
      <c r="I2768" s="394"/>
      <c r="J2768" s="392">
        <f t="shared" si="104"/>
        <v>95.951999999999998</v>
      </c>
      <c r="K2768" s="392">
        <f t="shared" si="104"/>
        <v>95.951999999999998</v>
      </c>
      <c r="L2768" s="392">
        <f t="shared" si="104"/>
        <v>95.951999999999998</v>
      </c>
      <c r="M2768" s="392">
        <f t="shared" si="104"/>
        <v>95.951999999999998</v>
      </c>
      <c r="N2768" s="392">
        <f t="shared" si="104"/>
        <v>95.951999999999998</v>
      </c>
    </row>
    <row r="2769" spans="1:14" hidden="1" outlineLevel="2" x14ac:dyDescent="0.35">
      <c r="A2769" s="388" t="s">
        <v>219</v>
      </c>
      <c r="B2769" s="389">
        <v>44012</v>
      </c>
      <c r="C2769" s="390" t="s">
        <v>1094</v>
      </c>
      <c r="D2769" s="391" t="s">
        <v>1586</v>
      </c>
      <c r="E2769" s="391" t="s">
        <v>1583</v>
      </c>
      <c r="F2769" s="392">
        <v>479.76</v>
      </c>
      <c r="G2769" s="393" t="s">
        <v>56</v>
      </c>
      <c r="H2769" s="394">
        <v>479.76</v>
      </c>
      <c r="I2769" s="394"/>
      <c r="J2769" s="392">
        <f t="shared" si="104"/>
        <v>95.951999999999998</v>
      </c>
      <c r="K2769" s="392">
        <f t="shared" si="104"/>
        <v>95.951999999999998</v>
      </c>
      <c r="L2769" s="392">
        <f t="shared" si="104"/>
        <v>95.951999999999998</v>
      </c>
      <c r="M2769" s="392">
        <f t="shared" si="104"/>
        <v>95.951999999999998</v>
      </c>
      <c r="N2769" s="392">
        <f t="shared" si="104"/>
        <v>95.951999999999998</v>
      </c>
    </row>
    <row r="2770" spans="1:14" hidden="1" outlineLevel="2" x14ac:dyDescent="0.35">
      <c r="A2770" s="388" t="s">
        <v>219</v>
      </c>
      <c r="B2770" s="389">
        <v>44104</v>
      </c>
      <c r="C2770" s="390" t="s">
        <v>1096</v>
      </c>
      <c r="D2770" s="391" t="s">
        <v>1587</v>
      </c>
      <c r="E2770" s="391" t="s">
        <v>1583</v>
      </c>
      <c r="F2770" s="392">
        <v>2050.66</v>
      </c>
      <c r="G2770" s="393" t="s">
        <v>56</v>
      </c>
      <c r="H2770" s="394">
        <v>2050.66</v>
      </c>
      <c r="I2770" s="394"/>
      <c r="J2770" s="392">
        <f t="shared" si="104"/>
        <v>410.13199999999995</v>
      </c>
      <c r="K2770" s="392">
        <f t="shared" si="104"/>
        <v>410.13199999999995</v>
      </c>
      <c r="L2770" s="392">
        <f t="shared" si="104"/>
        <v>410.13199999999995</v>
      </c>
      <c r="M2770" s="392">
        <f t="shared" si="104"/>
        <v>410.13199999999995</v>
      </c>
      <c r="N2770" s="392">
        <f t="shared" si="104"/>
        <v>410.13199999999995</v>
      </c>
    </row>
    <row r="2771" spans="1:14" hidden="1" outlineLevel="2" x14ac:dyDescent="0.35">
      <c r="A2771" s="388" t="s">
        <v>219</v>
      </c>
      <c r="B2771" s="389">
        <v>44196</v>
      </c>
      <c r="C2771" s="390" t="s">
        <v>1099</v>
      </c>
      <c r="D2771" s="391" t="s">
        <v>1588</v>
      </c>
      <c r="E2771" s="391" t="s">
        <v>1583</v>
      </c>
      <c r="F2771" s="392">
        <v>2050.66</v>
      </c>
      <c r="G2771" s="393" t="s">
        <v>56</v>
      </c>
      <c r="H2771" s="394">
        <v>2050.66</v>
      </c>
      <c r="I2771" s="394"/>
      <c r="J2771" s="392">
        <f t="shared" si="104"/>
        <v>410.13199999999995</v>
      </c>
      <c r="K2771" s="392">
        <f t="shared" si="104"/>
        <v>410.13199999999995</v>
      </c>
      <c r="L2771" s="392">
        <f t="shared" si="104"/>
        <v>410.13199999999995</v>
      </c>
      <c r="M2771" s="392">
        <f t="shared" si="104"/>
        <v>410.13199999999995</v>
      </c>
      <c r="N2771" s="392">
        <f t="shared" si="104"/>
        <v>410.13199999999995</v>
      </c>
    </row>
    <row r="2772" spans="1:14" hidden="1" outlineLevel="2" collapsed="1" x14ac:dyDescent="0.35">
      <c r="A2772" s="388" t="s">
        <v>219</v>
      </c>
      <c r="B2772" s="389">
        <v>44286</v>
      </c>
      <c r="C2772" s="390" t="s">
        <v>1101</v>
      </c>
      <c r="D2772" s="391" t="s">
        <v>6255</v>
      </c>
      <c r="E2772" s="391" t="s">
        <v>1583</v>
      </c>
      <c r="F2772" s="392">
        <v>1265.21</v>
      </c>
      <c r="G2772" s="393" t="s">
        <v>56</v>
      </c>
      <c r="H2772" s="394">
        <v>1265.21</v>
      </c>
      <c r="I2772" s="394"/>
      <c r="J2772" s="392">
        <f t="shared" si="104"/>
        <v>253.042</v>
      </c>
      <c r="K2772" s="392">
        <f t="shared" si="104"/>
        <v>253.042</v>
      </c>
      <c r="L2772" s="392">
        <f t="shared" si="104"/>
        <v>253.042</v>
      </c>
      <c r="M2772" s="392">
        <f t="shared" si="104"/>
        <v>253.042</v>
      </c>
      <c r="N2772" s="392">
        <f t="shared" si="104"/>
        <v>253.042</v>
      </c>
    </row>
    <row r="2773" spans="1:14" hidden="1" outlineLevel="2" x14ac:dyDescent="0.35">
      <c r="A2773" s="388" t="s">
        <v>219</v>
      </c>
      <c r="B2773" s="389">
        <v>44286</v>
      </c>
      <c r="C2773" s="390" t="s">
        <v>1101</v>
      </c>
      <c r="D2773" s="391" t="s">
        <v>6256</v>
      </c>
      <c r="E2773" s="391" t="s">
        <v>1602</v>
      </c>
      <c r="F2773" s="392">
        <v>1342.41</v>
      </c>
      <c r="G2773" s="393" t="s">
        <v>56</v>
      </c>
      <c r="H2773" s="394">
        <v>1342.41</v>
      </c>
      <c r="I2773" s="394"/>
      <c r="J2773" s="392">
        <f t="shared" si="104"/>
        <v>268.48200000000003</v>
      </c>
      <c r="K2773" s="392">
        <f t="shared" si="104"/>
        <v>268.48200000000003</v>
      </c>
      <c r="L2773" s="392">
        <f t="shared" si="104"/>
        <v>268.48200000000003</v>
      </c>
      <c r="M2773" s="392">
        <f t="shared" si="104"/>
        <v>268.48200000000003</v>
      </c>
      <c r="N2773" s="392">
        <f t="shared" si="104"/>
        <v>268.48200000000003</v>
      </c>
    </row>
    <row r="2774" spans="1:14" hidden="1" outlineLevel="2" x14ac:dyDescent="0.35">
      <c r="A2774" s="388" t="s">
        <v>219</v>
      </c>
      <c r="B2774" s="389">
        <v>44377</v>
      </c>
      <c r="C2774" s="390" t="s">
        <v>1103</v>
      </c>
      <c r="D2774" s="391" t="s">
        <v>6257</v>
      </c>
      <c r="E2774" s="391" t="s">
        <v>1583</v>
      </c>
      <c r="F2774" s="392">
        <v>1265.21</v>
      </c>
      <c r="G2774" s="393" t="s">
        <v>56</v>
      </c>
      <c r="H2774" s="394">
        <v>1265.21</v>
      </c>
      <c r="I2774" s="394"/>
      <c r="J2774" s="392">
        <f t="shared" si="104"/>
        <v>253.042</v>
      </c>
      <c r="K2774" s="392">
        <f t="shared" si="104"/>
        <v>253.042</v>
      </c>
      <c r="L2774" s="392">
        <f t="shared" si="104"/>
        <v>253.042</v>
      </c>
      <c r="M2774" s="392">
        <f t="shared" si="104"/>
        <v>253.042</v>
      </c>
      <c r="N2774" s="392">
        <f t="shared" si="104"/>
        <v>253.042</v>
      </c>
    </row>
    <row r="2775" spans="1:14" hidden="1" outlineLevel="2" x14ac:dyDescent="0.35">
      <c r="A2775" s="388" t="s">
        <v>219</v>
      </c>
      <c r="B2775" s="389">
        <v>44469</v>
      </c>
      <c r="C2775" s="390" t="s">
        <v>6258</v>
      </c>
      <c r="D2775" s="391" t="s">
        <v>6259</v>
      </c>
      <c r="E2775" s="391" t="s">
        <v>1583</v>
      </c>
      <c r="F2775" s="392">
        <v>1070.56</v>
      </c>
      <c r="G2775" s="393" t="s">
        <v>56</v>
      </c>
      <c r="H2775" s="394">
        <v>1070.56</v>
      </c>
      <c r="I2775" s="394"/>
      <c r="J2775" s="392">
        <f t="shared" si="104"/>
        <v>214.11199999999999</v>
      </c>
      <c r="K2775" s="392">
        <f t="shared" si="104"/>
        <v>214.11199999999999</v>
      </c>
      <c r="L2775" s="392">
        <f t="shared" si="104"/>
        <v>214.11199999999999</v>
      </c>
      <c r="M2775" s="392">
        <f t="shared" si="104"/>
        <v>214.11199999999999</v>
      </c>
      <c r="N2775" s="392">
        <f t="shared" si="104"/>
        <v>214.11199999999999</v>
      </c>
    </row>
    <row r="2776" spans="1:14" hidden="1" outlineLevel="2" x14ac:dyDescent="0.35">
      <c r="A2776" s="388" t="s">
        <v>219</v>
      </c>
      <c r="B2776" s="389">
        <v>44561</v>
      </c>
      <c r="C2776" s="390" t="s">
        <v>6260</v>
      </c>
      <c r="D2776" s="391" t="s">
        <v>6261</v>
      </c>
      <c r="E2776" s="391" t="s">
        <v>1583</v>
      </c>
      <c r="F2776" s="392">
        <v>535.28</v>
      </c>
      <c r="G2776" s="393" t="s">
        <v>56</v>
      </c>
      <c r="H2776" s="394">
        <v>535.28</v>
      </c>
      <c r="I2776" s="394"/>
      <c r="J2776" s="392">
        <f t="shared" si="104"/>
        <v>107.056</v>
      </c>
      <c r="K2776" s="392">
        <f t="shared" si="104"/>
        <v>107.056</v>
      </c>
      <c r="L2776" s="392">
        <f t="shared" si="104"/>
        <v>107.056</v>
      </c>
      <c r="M2776" s="392">
        <f t="shared" si="104"/>
        <v>107.056</v>
      </c>
      <c r="N2776" s="392">
        <f t="shared" si="104"/>
        <v>107.056</v>
      </c>
    </row>
    <row r="2777" spans="1:14" hidden="1" outlineLevel="2" x14ac:dyDescent="0.35">
      <c r="A2777" s="388" t="s">
        <v>219</v>
      </c>
      <c r="B2777" s="389">
        <v>44561</v>
      </c>
      <c r="C2777" s="390" t="s">
        <v>6262</v>
      </c>
      <c r="D2777" s="391" t="s">
        <v>6263</v>
      </c>
      <c r="E2777" s="391" t="s">
        <v>1583</v>
      </c>
      <c r="F2777" s="392">
        <v>535.28</v>
      </c>
      <c r="G2777" s="393" t="s">
        <v>56</v>
      </c>
      <c r="H2777" s="394">
        <v>535.28</v>
      </c>
      <c r="I2777" s="394"/>
      <c r="J2777" s="392">
        <f t="shared" si="104"/>
        <v>107.056</v>
      </c>
      <c r="K2777" s="392">
        <f t="shared" si="104"/>
        <v>107.056</v>
      </c>
      <c r="L2777" s="392">
        <f t="shared" si="104"/>
        <v>107.056</v>
      </c>
      <c r="M2777" s="392">
        <f t="shared" si="104"/>
        <v>107.056</v>
      </c>
      <c r="N2777" s="392">
        <f t="shared" si="104"/>
        <v>107.056</v>
      </c>
    </row>
    <row r="2778" spans="1:14" outlineLevel="1" collapsed="1" x14ac:dyDescent="0.35">
      <c r="A2778" s="395" t="s">
        <v>1600</v>
      </c>
      <c r="B2778" s="389"/>
      <c r="C2778" s="390"/>
      <c r="D2778" s="391"/>
      <c r="E2778" s="391"/>
      <c r="F2778" s="392"/>
      <c r="G2778" s="393"/>
      <c r="H2778" s="394">
        <f t="shared" ref="H2778:N2778" si="105">SUBTOTAL(9,H2766:H2777)</f>
        <v>13738.390000000001</v>
      </c>
      <c r="I2778" s="394"/>
      <c r="J2778" s="392">
        <f t="shared" si="105"/>
        <v>2747.6779999999999</v>
      </c>
      <c r="K2778" s="392">
        <f t="shared" si="105"/>
        <v>2747.6779999999999</v>
      </c>
      <c r="L2778" s="392">
        <f t="shared" si="105"/>
        <v>2747.6779999999999</v>
      </c>
      <c r="M2778" s="392">
        <f t="shared" si="105"/>
        <v>2747.6779999999999</v>
      </c>
      <c r="N2778" s="392">
        <f t="shared" si="105"/>
        <v>2747.6779999999999</v>
      </c>
    </row>
    <row r="2779" spans="1:14" hidden="1" outlineLevel="2" x14ac:dyDescent="0.35">
      <c r="A2779" s="388" t="s">
        <v>218</v>
      </c>
      <c r="B2779" s="389">
        <v>43738</v>
      </c>
      <c r="C2779" s="390" t="s">
        <v>1087</v>
      </c>
      <c r="D2779" s="391" t="s">
        <v>1601</v>
      </c>
      <c r="E2779" s="391" t="s">
        <v>1602</v>
      </c>
      <c r="F2779" s="392">
        <v>1082.45</v>
      </c>
      <c r="G2779" s="393" t="s">
        <v>56</v>
      </c>
      <c r="H2779" s="394">
        <v>1082.45</v>
      </c>
      <c r="I2779" s="394"/>
      <c r="J2779" s="392">
        <f t="shared" ref="J2779:N2788" si="106">$H2779/5</f>
        <v>216.49</v>
      </c>
      <c r="K2779" s="392">
        <f t="shared" si="106"/>
        <v>216.49</v>
      </c>
      <c r="L2779" s="392">
        <f t="shared" si="106"/>
        <v>216.49</v>
      </c>
      <c r="M2779" s="392">
        <f t="shared" si="106"/>
        <v>216.49</v>
      </c>
      <c r="N2779" s="392">
        <f t="shared" si="106"/>
        <v>216.49</v>
      </c>
    </row>
    <row r="2780" spans="1:14" hidden="1" outlineLevel="2" x14ac:dyDescent="0.35">
      <c r="A2780" s="388" t="s">
        <v>218</v>
      </c>
      <c r="B2780" s="389">
        <v>43830</v>
      </c>
      <c r="C2780" s="390" t="s">
        <v>1090</v>
      </c>
      <c r="D2780" s="391" t="s">
        <v>1603</v>
      </c>
      <c r="E2780" s="391" t="s">
        <v>1602</v>
      </c>
      <c r="F2780" s="392">
        <v>1082.45</v>
      </c>
      <c r="G2780" s="393" t="s">
        <v>56</v>
      </c>
      <c r="H2780" s="394">
        <v>1082.45</v>
      </c>
      <c r="I2780" s="394"/>
      <c r="J2780" s="392">
        <f t="shared" si="106"/>
        <v>216.49</v>
      </c>
      <c r="K2780" s="392">
        <f t="shared" si="106"/>
        <v>216.49</v>
      </c>
      <c r="L2780" s="392">
        <f t="shared" si="106"/>
        <v>216.49</v>
      </c>
      <c r="M2780" s="392">
        <f t="shared" si="106"/>
        <v>216.49</v>
      </c>
      <c r="N2780" s="392">
        <f t="shared" si="106"/>
        <v>216.49</v>
      </c>
    </row>
    <row r="2781" spans="1:14" hidden="1" outlineLevel="2" x14ac:dyDescent="0.35">
      <c r="A2781" s="388" t="s">
        <v>218</v>
      </c>
      <c r="B2781" s="389">
        <v>43921</v>
      </c>
      <c r="C2781" s="390" t="s">
        <v>1092</v>
      </c>
      <c r="D2781" s="391" t="s">
        <v>1604</v>
      </c>
      <c r="E2781" s="391" t="s">
        <v>1602</v>
      </c>
      <c r="F2781" s="392">
        <v>1885.72</v>
      </c>
      <c r="G2781" s="393" t="s">
        <v>56</v>
      </c>
      <c r="H2781" s="394">
        <v>1885.72</v>
      </c>
      <c r="I2781" s="394"/>
      <c r="J2781" s="392">
        <f t="shared" si="106"/>
        <v>377.14400000000001</v>
      </c>
      <c r="K2781" s="392">
        <f t="shared" si="106"/>
        <v>377.14400000000001</v>
      </c>
      <c r="L2781" s="392">
        <f t="shared" si="106"/>
        <v>377.14400000000001</v>
      </c>
      <c r="M2781" s="392">
        <f t="shared" si="106"/>
        <v>377.14400000000001</v>
      </c>
      <c r="N2781" s="392">
        <f t="shared" si="106"/>
        <v>377.14400000000001</v>
      </c>
    </row>
    <row r="2782" spans="1:14" hidden="1" outlineLevel="2" x14ac:dyDescent="0.35">
      <c r="A2782" s="388" t="s">
        <v>218</v>
      </c>
      <c r="B2782" s="389">
        <v>44012</v>
      </c>
      <c r="C2782" s="390" t="s">
        <v>1094</v>
      </c>
      <c r="D2782" s="391" t="s">
        <v>1605</v>
      </c>
      <c r="E2782" s="391" t="s">
        <v>1602</v>
      </c>
      <c r="F2782" s="392">
        <v>1885.72</v>
      </c>
      <c r="G2782" s="393" t="s">
        <v>56</v>
      </c>
      <c r="H2782" s="394">
        <v>1885.72</v>
      </c>
      <c r="I2782" s="394"/>
      <c r="J2782" s="392">
        <f t="shared" si="106"/>
        <v>377.14400000000001</v>
      </c>
      <c r="K2782" s="392">
        <f t="shared" si="106"/>
        <v>377.14400000000001</v>
      </c>
      <c r="L2782" s="392">
        <f t="shared" si="106"/>
        <v>377.14400000000001</v>
      </c>
      <c r="M2782" s="392">
        <f t="shared" si="106"/>
        <v>377.14400000000001</v>
      </c>
      <c r="N2782" s="392">
        <f t="shared" si="106"/>
        <v>377.14400000000001</v>
      </c>
    </row>
    <row r="2783" spans="1:14" hidden="1" outlineLevel="2" x14ac:dyDescent="0.35">
      <c r="A2783" s="388" t="s">
        <v>218</v>
      </c>
      <c r="B2783" s="389">
        <v>44104</v>
      </c>
      <c r="C2783" s="390" t="s">
        <v>1096</v>
      </c>
      <c r="D2783" s="391" t="s">
        <v>1606</v>
      </c>
      <c r="E2783" s="391" t="s">
        <v>1602</v>
      </c>
      <c r="F2783" s="392">
        <v>799.1</v>
      </c>
      <c r="G2783" s="393" t="s">
        <v>56</v>
      </c>
      <c r="H2783" s="394">
        <v>799.1</v>
      </c>
      <c r="I2783" s="394"/>
      <c r="J2783" s="392">
        <f t="shared" si="106"/>
        <v>159.82</v>
      </c>
      <c r="K2783" s="392">
        <f t="shared" si="106"/>
        <v>159.82</v>
      </c>
      <c r="L2783" s="392">
        <f t="shared" si="106"/>
        <v>159.82</v>
      </c>
      <c r="M2783" s="392">
        <f t="shared" si="106"/>
        <v>159.82</v>
      </c>
      <c r="N2783" s="392">
        <f t="shared" si="106"/>
        <v>159.82</v>
      </c>
    </row>
    <row r="2784" spans="1:14" hidden="1" outlineLevel="2" x14ac:dyDescent="0.35">
      <c r="A2784" s="388" t="s">
        <v>218</v>
      </c>
      <c r="B2784" s="389">
        <v>44196</v>
      </c>
      <c r="C2784" s="390" t="s">
        <v>1099</v>
      </c>
      <c r="D2784" s="391" t="s">
        <v>1607</v>
      </c>
      <c r="E2784" s="391" t="s">
        <v>1602</v>
      </c>
      <c r="F2784" s="392">
        <v>799.1</v>
      </c>
      <c r="G2784" s="393" t="s">
        <v>56</v>
      </c>
      <c r="H2784" s="394">
        <v>799.1</v>
      </c>
      <c r="I2784" s="394"/>
      <c r="J2784" s="392">
        <f t="shared" si="106"/>
        <v>159.82</v>
      </c>
      <c r="K2784" s="392">
        <f t="shared" si="106"/>
        <v>159.82</v>
      </c>
      <c r="L2784" s="392">
        <f t="shared" si="106"/>
        <v>159.82</v>
      </c>
      <c r="M2784" s="392">
        <f t="shared" si="106"/>
        <v>159.82</v>
      </c>
      <c r="N2784" s="392">
        <f t="shared" si="106"/>
        <v>159.82</v>
      </c>
    </row>
    <row r="2785" spans="1:14" hidden="1" outlineLevel="2" x14ac:dyDescent="0.35">
      <c r="A2785" s="388" t="s">
        <v>218</v>
      </c>
      <c r="B2785" s="389">
        <v>44377</v>
      </c>
      <c r="C2785" s="390" t="s">
        <v>1103</v>
      </c>
      <c r="D2785" s="391" t="s">
        <v>6264</v>
      </c>
      <c r="E2785" s="391" t="s">
        <v>1602</v>
      </c>
      <c r="F2785" s="392">
        <v>1342.41</v>
      </c>
      <c r="G2785" s="393" t="s">
        <v>56</v>
      </c>
      <c r="H2785" s="394">
        <v>1342.41</v>
      </c>
      <c r="I2785" s="394"/>
      <c r="J2785" s="392">
        <f t="shared" si="106"/>
        <v>268.48200000000003</v>
      </c>
      <c r="K2785" s="392">
        <f t="shared" si="106"/>
        <v>268.48200000000003</v>
      </c>
      <c r="L2785" s="392">
        <f t="shared" si="106"/>
        <v>268.48200000000003</v>
      </c>
      <c r="M2785" s="392">
        <f t="shared" si="106"/>
        <v>268.48200000000003</v>
      </c>
      <c r="N2785" s="392">
        <f t="shared" si="106"/>
        <v>268.48200000000003</v>
      </c>
    </row>
    <row r="2786" spans="1:14" hidden="1" outlineLevel="2" x14ac:dyDescent="0.35">
      <c r="A2786" s="388" t="s">
        <v>218</v>
      </c>
      <c r="B2786" s="389">
        <v>44469</v>
      </c>
      <c r="C2786" s="390" t="s">
        <v>6265</v>
      </c>
      <c r="D2786" s="391" t="s">
        <v>6266</v>
      </c>
      <c r="E2786" s="391" t="s">
        <v>1602</v>
      </c>
      <c r="F2786" s="392">
        <v>1922.24</v>
      </c>
      <c r="G2786" s="393" t="s">
        <v>56</v>
      </c>
      <c r="H2786" s="394">
        <v>1922.24</v>
      </c>
      <c r="I2786" s="394"/>
      <c r="J2786" s="392">
        <f t="shared" si="106"/>
        <v>384.44799999999998</v>
      </c>
      <c r="K2786" s="392">
        <f t="shared" si="106"/>
        <v>384.44799999999998</v>
      </c>
      <c r="L2786" s="392">
        <f t="shared" si="106"/>
        <v>384.44799999999998</v>
      </c>
      <c r="M2786" s="392">
        <f t="shared" si="106"/>
        <v>384.44799999999998</v>
      </c>
      <c r="N2786" s="392">
        <f t="shared" si="106"/>
        <v>384.44799999999998</v>
      </c>
    </row>
    <row r="2787" spans="1:14" hidden="1" outlineLevel="2" x14ac:dyDescent="0.35">
      <c r="A2787" s="388" t="s">
        <v>218</v>
      </c>
      <c r="B2787" s="389">
        <v>44561</v>
      </c>
      <c r="C2787" s="390" t="s">
        <v>6267</v>
      </c>
      <c r="D2787" s="391" t="s">
        <v>6268</v>
      </c>
      <c r="E2787" s="391" t="s">
        <v>1602</v>
      </c>
      <c r="F2787" s="392">
        <v>961.12</v>
      </c>
      <c r="G2787" s="393" t="s">
        <v>56</v>
      </c>
      <c r="H2787" s="394">
        <v>961.12</v>
      </c>
      <c r="I2787" s="394"/>
      <c r="J2787" s="392">
        <f t="shared" si="106"/>
        <v>192.22399999999999</v>
      </c>
      <c r="K2787" s="392">
        <f t="shared" si="106"/>
        <v>192.22399999999999</v>
      </c>
      <c r="L2787" s="392">
        <f t="shared" si="106"/>
        <v>192.22399999999999</v>
      </c>
      <c r="M2787" s="392">
        <f t="shared" si="106"/>
        <v>192.22399999999999</v>
      </c>
      <c r="N2787" s="392">
        <f t="shared" si="106"/>
        <v>192.22399999999999</v>
      </c>
    </row>
    <row r="2788" spans="1:14" hidden="1" outlineLevel="2" x14ac:dyDescent="0.35">
      <c r="A2788" s="388" t="s">
        <v>218</v>
      </c>
      <c r="B2788" s="389">
        <v>44561</v>
      </c>
      <c r="C2788" s="390" t="s">
        <v>6269</v>
      </c>
      <c r="D2788" s="391" t="s">
        <v>6270</v>
      </c>
      <c r="E2788" s="391" t="s">
        <v>1602</v>
      </c>
      <c r="F2788" s="392">
        <v>961.12</v>
      </c>
      <c r="G2788" s="393" t="s">
        <v>56</v>
      </c>
      <c r="H2788" s="394">
        <v>961.12</v>
      </c>
      <c r="I2788" s="394"/>
      <c r="J2788" s="392">
        <f t="shared" si="106"/>
        <v>192.22399999999999</v>
      </c>
      <c r="K2788" s="392">
        <f t="shared" si="106"/>
        <v>192.22399999999999</v>
      </c>
      <c r="L2788" s="392">
        <f t="shared" si="106"/>
        <v>192.22399999999999</v>
      </c>
      <c r="M2788" s="392">
        <f t="shared" si="106"/>
        <v>192.22399999999999</v>
      </c>
      <c r="N2788" s="392">
        <f t="shared" si="106"/>
        <v>192.22399999999999</v>
      </c>
    </row>
    <row r="2789" spans="1:14" outlineLevel="1" collapsed="1" x14ac:dyDescent="0.35">
      <c r="A2789" s="395" t="s">
        <v>1618</v>
      </c>
      <c r="B2789" s="389"/>
      <c r="C2789" s="390"/>
      <c r="D2789" s="391"/>
      <c r="E2789" s="391"/>
      <c r="F2789" s="392"/>
      <c r="G2789" s="393"/>
      <c r="H2789" s="394">
        <f t="shared" ref="H2789:N2789" si="107">SUBTOTAL(9,H2779:H2788)</f>
        <v>12721.430000000002</v>
      </c>
      <c r="I2789" s="394"/>
      <c r="J2789" s="392">
        <f t="shared" si="107"/>
        <v>2544.2860000000001</v>
      </c>
      <c r="K2789" s="392">
        <f t="shared" si="107"/>
        <v>2544.2860000000001</v>
      </c>
      <c r="L2789" s="392">
        <f t="shared" si="107"/>
        <v>2544.2860000000001</v>
      </c>
      <c r="M2789" s="392">
        <f t="shared" si="107"/>
        <v>2544.2860000000001</v>
      </c>
      <c r="N2789" s="392">
        <f t="shared" si="107"/>
        <v>2544.2860000000001</v>
      </c>
    </row>
    <row r="2790" spans="1:14" hidden="1" outlineLevel="2" x14ac:dyDescent="0.35">
      <c r="A2790" s="388" t="s">
        <v>3835</v>
      </c>
      <c r="B2790" s="389">
        <v>43875</v>
      </c>
      <c r="C2790" s="390" t="s">
        <v>6271</v>
      </c>
      <c r="D2790" s="391" t="s">
        <v>6272</v>
      </c>
      <c r="E2790" s="391" t="s">
        <v>4879</v>
      </c>
      <c r="F2790" s="392">
        <v>165000</v>
      </c>
      <c r="G2790" s="393" t="s">
        <v>3800</v>
      </c>
      <c r="H2790" s="394">
        <v>63.352835013392642</v>
      </c>
      <c r="I2790" s="394"/>
      <c r="J2790" s="392">
        <v>15.838208753348161</v>
      </c>
      <c r="K2790" s="392">
        <v>15.838208753348161</v>
      </c>
      <c r="L2790" s="392">
        <v>15.838208753348161</v>
      </c>
      <c r="M2790" s="392">
        <v>15.838208753348161</v>
      </c>
      <c r="N2790" s="392"/>
    </row>
    <row r="2791" spans="1:14" hidden="1" outlineLevel="2" x14ac:dyDescent="0.35">
      <c r="A2791" s="388" t="s">
        <v>3835</v>
      </c>
      <c r="B2791" s="389">
        <v>43913</v>
      </c>
      <c r="C2791" s="390" t="s">
        <v>6273</v>
      </c>
      <c r="D2791" s="391" t="s">
        <v>6274</v>
      </c>
      <c r="E2791" s="391" t="s">
        <v>6275</v>
      </c>
      <c r="F2791" s="392">
        <v>3728442.53</v>
      </c>
      <c r="G2791" s="393" t="s">
        <v>3800</v>
      </c>
      <c r="H2791" s="394">
        <v>1431.5600270303407</v>
      </c>
      <c r="I2791" s="394"/>
      <c r="J2791" s="392">
        <v>357.89000675758518</v>
      </c>
      <c r="K2791" s="392">
        <v>357.89000675758518</v>
      </c>
      <c r="L2791" s="392">
        <v>357.89000675758518</v>
      </c>
      <c r="M2791" s="392">
        <v>357.89000675758518</v>
      </c>
      <c r="N2791" s="392"/>
    </row>
    <row r="2792" spans="1:14" hidden="1" outlineLevel="2" x14ac:dyDescent="0.35">
      <c r="A2792" s="388" t="s">
        <v>3835</v>
      </c>
      <c r="B2792" s="389">
        <v>43913</v>
      </c>
      <c r="C2792" s="390" t="s">
        <v>6276</v>
      </c>
      <c r="D2792" s="391" t="s">
        <v>6277</v>
      </c>
      <c r="E2792" s="391" t="s">
        <v>6278</v>
      </c>
      <c r="F2792" s="392">
        <v>250000</v>
      </c>
      <c r="G2792" s="393" t="s">
        <v>3800</v>
      </c>
      <c r="H2792" s="394">
        <v>95.989143959685819</v>
      </c>
      <c r="I2792" s="394"/>
      <c r="J2792" s="392">
        <v>23.997285989921455</v>
      </c>
      <c r="K2792" s="392">
        <v>23.997285989921455</v>
      </c>
      <c r="L2792" s="392">
        <v>23.997285989921455</v>
      </c>
      <c r="M2792" s="392">
        <v>23.997285989921455</v>
      </c>
      <c r="N2792" s="392"/>
    </row>
    <row r="2793" spans="1:14" hidden="1" outlineLevel="2" x14ac:dyDescent="0.35">
      <c r="A2793" s="388" t="s">
        <v>3835</v>
      </c>
      <c r="B2793" s="389">
        <v>43973</v>
      </c>
      <c r="C2793" s="390" t="s">
        <v>4859</v>
      </c>
      <c r="D2793" s="391" t="s">
        <v>6279</v>
      </c>
      <c r="E2793" s="391" t="s">
        <v>6280</v>
      </c>
      <c r="F2793" s="392">
        <v>327361.5</v>
      </c>
      <c r="G2793" s="393" t="s">
        <v>3800</v>
      </c>
      <c r="H2793" s="394">
        <v>125.69260060143476</v>
      </c>
      <c r="I2793" s="394"/>
      <c r="J2793" s="392">
        <v>31.423150150358691</v>
      </c>
      <c r="K2793" s="392">
        <v>31.423150150358691</v>
      </c>
      <c r="L2793" s="392">
        <v>31.423150150358691</v>
      </c>
      <c r="M2793" s="392">
        <v>31.423150150358691</v>
      </c>
      <c r="N2793" s="392"/>
    </row>
    <row r="2794" spans="1:14" hidden="1" outlineLevel="2" x14ac:dyDescent="0.35">
      <c r="A2794" s="388" t="s">
        <v>3835</v>
      </c>
      <c r="B2794" s="389">
        <v>44070</v>
      </c>
      <c r="C2794" s="390" t="s">
        <v>6281</v>
      </c>
      <c r="D2794" s="391" t="s">
        <v>6282</v>
      </c>
      <c r="E2794" s="391" t="s">
        <v>6283</v>
      </c>
      <c r="F2794" s="392">
        <v>540000</v>
      </c>
      <c r="G2794" s="393" t="s">
        <v>3800</v>
      </c>
      <c r="H2794" s="394">
        <v>207.33655095292139</v>
      </c>
      <c r="I2794" s="394"/>
      <c r="J2794" s="392">
        <v>51.834137738230346</v>
      </c>
      <c r="K2794" s="392">
        <v>51.834137738230346</v>
      </c>
      <c r="L2794" s="392">
        <v>51.834137738230346</v>
      </c>
      <c r="M2794" s="392">
        <v>51.834137738230346</v>
      </c>
      <c r="N2794" s="392"/>
    </row>
    <row r="2795" spans="1:14" hidden="1" outlineLevel="2" x14ac:dyDescent="0.35">
      <c r="A2795" s="388" t="s">
        <v>3835</v>
      </c>
      <c r="B2795" s="389">
        <v>44081</v>
      </c>
      <c r="C2795" s="390" t="s">
        <v>6284</v>
      </c>
      <c r="D2795" s="391" t="s">
        <v>6285</v>
      </c>
      <c r="E2795" s="391" t="s">
        <v>6286</v>
      </c>
      <c r="F2795" s="392">
        <v>921000</v>
      </c>
      <c r="G2795" s="393" t="s">
        <v>3800</v>
      </c>
      <c r="H2795" s="394">
        <v>353.62400634748258</v>
      </c>
      <c r="I2795" s="394"/>
      <c r="J2795" s="392">
        <v>88.406001586870644</v>
      </c>
      <c r="K2795" s="392">
        <v>88.406001586870644</v>
      </c>
      <c r="L2795" s="392">
        <v>88.406001586870644</v>
      </c>
      <c r="M2795" s="392">
        <v>88.406001586870644</v>
      </c>
      <c r="N2795" s="392"/>
    </row>
    <row r="2796" spans="1:14" hidden="1" outlineLevel="2" x14ac:dyDescent="0.35">
      <c r="A2796" s="388" t="s">
        <v>3835</v>
      </c>
      <c r="B2796" s="389">
        <v>44088</v>
      </c>
      <c r="C2796" s="390" t="s">
        <v>6287</v>
      </c>
      <c r="D2796" s="391" t="s">
        <v>6288</v>
      </c>
      <c r="E2796" s="391" t="s">
        <v>6283</v>
      </c>
      <c r="F2796" s="392">
        <v>358750</v>
      </c>
      <c r="G2796" s="393" t="s">
        <v>3800</v>
      </c>
      <c r="H2796" s="394">
        <v>137.74442158214916</v>
      </c>
      <c r="I2796" s="394"/>
      <c r="J2796" s="392">
        <v>34.43610539553729</v>
      </c>
      <c r="K2796" s="392">
        <v>34.43610539553729</v>
      </c>
      <c r="L2796" s="392">
        <v>34.43610539553729</v>
      </c>
      <c r="M2796" s="392">
        <v>34.43610539553729</v>
      </c>
      <c r="N2796" s="392"/>
    </row>
    <row r="2797" spans="1:14" hidden="1" outlineLevel="2" x14ac:dyDescent="0.35">
      <c r="A2797" s="388" t="s">
        <v>3835</v>
      </c>
      <c r="B2797" s="389">
        <v>44098</v>
      </c>
      <c r="C2797" s="390" t="s">
        <v>6289</v>
      </c>
      <c r="D2797" s="391" t="s">
        <v>6290</v>
      </c>
      <c r="E2797" s="391" t="s">
        <v>6291</v>
      </c>
      <c r="F2797" s="392">
        <v>2478000</v>
      </c>
      <c r="G2797" s="393" t="s">
        <v>3800</v>
      </c>
      <c r="H2797" s="394">
        <v>951.44439492840593</v>
      </c>
      <c r="I2797" s="394"/>
      <c r="J2797" s="392">
        <v>237.86109873210148</v>
      </c>
      <c r="K2797" s="392">
        <v>237.86109873210148</v>
      </c>
      <c r="L2797" s="392">
        <v>237.86109873210148</v>
      </c>
      <c r="M2797" s="392">
        <v>237.86109873210148</v>
      </c>
      <c r="N2797" s="392"/>
    </row>
    <row r="2798" spans="1:14" hidden="1" outlineLevel="2" x14ac:dyDescent="0.35">
      <c r="A2798" s="388" t="s">
        <v>3835</v>
      </c>
      <c r="B2798" s="389">
        <v>44094</v>
      </c>
      <c r="C2798" s="390" t="s">
        <v>6292</v>
      </c>
      <c r="D2798" s="391" t="s">
        <v>6293</v>
      </c>
      <c r="E2798" s="391" t="s">
        <v>6172</v>
      </c>
      <c r="F2798" s="392">
        <v>157500</v>
      </c>
      <c r="G2798" s="393" t="s">
        <v>3800</v>
      </c>
      <c r="H2798" s="394">
        <v>60.473160694602065</v>
      </c>
      <c r="I2798" s="394"/>
      <c r="J2798" s="392">
        <v>15.118290173650516</v>
      </c>
      <c r="K2798" s="392">
        <v>15.118290173650516</v>
      </c>
      <c r="L2798" s="392">
        <v>15.118290173650516</v>
      </c>
      <c r="M2798" s="392">
        <v>15.118290173650516</v>
      </c>
      <c r="N2798" s="392"/>
    </row>
    <row r="2799" spans="1:14" hidden="1" outlineLevel="2" x14ac:dyDescent="0.35">
      <c r="A2799" s="388" t="s">
        <v>3835</v>
      </c>
      <c r="B2799" s="389">
        <v>44231</v>
      </c>
      <c r="C2799" s="390" t="s">
        <v>6294</v>
      </c>
      <c r="D2799" s="391" t="s">
        <v>6295</v>
      </c>
      <c r="E2799" s="391" t="s">
        <v>6296</v>
      </c>
      <c r="F2799" s="392">
        <v>530000</v>
      </c>
      <c r="G2799" s="393" t="s">
        <v>3800</v>
      </c>
      <c r="H2799" s="394">
        <v>197.20899021784797</v>
      </c>
      <c r="I2799" s="394"/>
      <c r="J2799" s="392">
        <v>49.302247554461992</v>
      </c>
      <c r="K2799" s="392">
        <v>49.302247554461992</v>
      </c>
      <c r="L2799" s="392">
        <v>49.302247554461992</v>
      </c>
      <c r="M2799" s="392">
        <v>49.302247554461992</v>
      </c>
      <c r="N2799" s="392"/>
    </row>
    <row r="2800" spans="1:14" hidden="1" outlineLevel="2" collapsed="1" x14ac:dyDescent="0.35">
      <c r="A2800" s="388" t="s">
        <v>3835</v>
      </c>
      <c r="B2800" s="389">
        <v>44300</v>
      </c>
      <c r="C2800" s="390" t="s">
        <v>6297</v>
      </c>
      <c r="D2800" s="391" t="s">
        <v>6274</v>
      </c>
      <c r="E2800" s="391" t="s">
        <v>6298</v>
      </c>
      <c r="F2800" s="392">
        <v>2876227.58</v>
      </c>
      <c r="G2800" s="393" t="s">
        <v>3800</v>
      </c>
      <c r="H2800" s="394">
        <v>1070.2225220538198</v>
      </c>
      <c r="I2800" s="394"/>
      <c r="J2800" s="392">
        <v>267.55563051345496</v>
      </c>
      <c r="K2800" s="392">
        <v>267.55563051345496</v>
      </c>
      <c r="L2800" s="392">
        <v>267.55563051345496</v>
      </c>
      <c r="M2800" s="392">
        <v>267.55563051345496</v>
      </c>
      <c r="N2800" s="392"/>
    </row>
    <row r="2801" spans="1:14" hidden="1" outlineLevel="2" x14ac:dyDescent="0.35">
      <c r="A2801" s="388" t="s">
        <v>3835</v>
      </c>
      <c r="B2801" s="389">
        <v>44377</v>
      </c>
      <c r="C2801" s="390" t="s">
        <v>6299</v>
      </c>
      <c r="D2801" s="391" t="s">
        <v>6300</v>
      </c>
      <c r="E2801" s="391" t="s">
        <v>6301</v>
      </c>
      <c r="F2801" s="392">
        <v>155000</v>
      </c>
      <c r="G2801" s="393" t="s">
        <v>3800</v>
      </c>
      <c r="H2801" s="394">
        <v>57.674327327861199</v>
      </c>
      <c r="I2801" s="394"/>
      <c r="J2801" s="392">
        <v>14.4185818319653</v>
      </c>
      <c r="K2801" s="392">
        <v>14.4185818319653</v>
      </c>
      <c r="L2801" s="392">
        <v>14.4185818319653</v>
      </c>
      <c r="M2801" s="392">
        <v>14.4185818319653</v>
      </c>
      <c r="N2801" s="392"/>
    </row>
    <row r="2802" spans="1:14" hidden="1" outlineLevel="2" x14ac:dyDescent="0.35">
      <c r="A2802" s="388" t="s">
        <v>3835</v>
      </c>
      <c r="B2802" s="389">
        <v>44348</v>
      </c>
      <c r="C2802" s="390" t="s">
        <v>6302</v>
      </c>
      <c r="D2802" s="391" t="s">
        <v>6303</v>
      </c>
      <c r="E2802" s="391" t="s">
        <v>6304</v>
      </c>
      <c r="F2802" s="392">
        <v>358750</v>
      </c>
      <c r="G2802" s="393" t="s">
        <v>3800</v>
      </c>
      <c r="H2802" s="394">
        <v>133.48816083142069</v>
      </c>
      <c r="I2802" s="394"/>
      <c r="J2802" s="392">
        <v>33.372040207855171</v>
      </c>
      <c r="K2802" s="392">
        <v>33.372040207855171</v>
      </c>
      <c r="L2802" s="392">
        <v>33.372040207855171</v>
      </c>
      <c r="M2802" s="392">
        <v>33.372040207855171</v>
      </c>
      <c r="N2802" s="392"/>
    </row>
    <row r="2803" spans="1:14" hidden="1" outlineLevel="2" x14ac:dyDescent="0.35">
      <c r="A2803" s="388" t="s">
        <v>3835</v>
      </c>
      <c r="B2803" s="389">
        <v>44300</v>
      </c>
      <c r="C2803" s="390" t="s">
        <v>6305</v>
      </c>
      <c r="D2803" s="391" t="s">
        <v>6306</v>
      </c>
      <c r="E2803" s="391" t="s">
        <v>6307</v>
      </c>
      <c r="F2803" s="392">
        <v>2439995</v>
      </c>
      <c r="G2803" s="393" t="s">
        <v>3800</v>
      </c>
      <c r="H2803" s="394">
        <v>907.90367940867543</v>
      </c>
      <c r="I2803" s="394"/>
      <c r="J2803" s="392">
        <v>226.97591985216886</v>
      </c>
      <c r="K2803" s="392">
        <v>226.97591985216886</v>
      </c>
      <c r="L2803" s="392">
        <v>226.97591985216886</v>
      </c>
      <c r="M2803" s="392">
        <v>226.97591985216886</v>
      </c>
      <c r="N2803" s="392"/>
    </row>
    <row r="2804" spans="1:14" hidden="1" outlineLevel="2" x14ac:dyDescent="0.35">
      <c r="A2804" s="388" t="s">
        <v>3835</v>
      </c>
      <c r="B2804" s="389">
        <v>44460</v>
      </c>
      <c r="C2804" s="390" t="s">
        <v>6308</v>
      </c>
      <c r="D2804" s="391" t="s">
        <v>6309</v>
      </c>
      <c r="E2804" s="391" t="s">
        <v>6310</v>
      </c>
      <c r="F2804" s="392">
        <v>561250</v>
      </c>
      <c r="G2804" s="393" t="s">
        <v>3800</v>
      </c>
      <c r="H2804" s="394">
        <v>208.83687879201352</v>
      </c>
      <c r="I2804" s="394"/>
      <c r="J2804" s="392">
        <v>52.20921969800338</v>
      </c>
      <c r="K2804" s="392">
        <v>52.20921969800338</v>
      </c>
      <c r="L2804" s="392">
        <v>52.20921969800338</v>
      </c>
      <c r="M2804" s="392">
        <v>52.20921969800338</v>
      </c>
      <c r="N2804" s="392"/>
    </row>
    <row r="2805" spans="1:14" hidden="1" outlineLevel="2" x14ac:dyDescent="0.35">
      <c r="A2805" s="388" t="s">
        <v>3835</v>
      </c>
      <c r="B2805" s="389">
        <v>44460</v>
      </c>
      <c r="C2805" s="390" t="s">
        <v>6311</v>
      </c>
      <c r="D2805" s="391" t="s">
        <v>6312</v>
      </c>
      <c r="E2805" s="391" t="s">
        <v>6313</v>
      </c>
      <c r="F2805" s="392">
        <v>45000</v>
      </c>
      <c r="G2805" s="393" t="s">
        <v>3800</v>
      </c>
      <c r="H2805" s="394">
        <v>16.744159546798411</v>
      </c>
      <c r="I2805" s="394"/>
      <c r="J2805" s="392">
        <v>4.1860398866996027</v>
      </c>
      <c r="K2805" s="392">
        <v>4.1860398866996027</v>
      </c>
      <c r="L2805" s="392">
        <v>4.1860398866996027</v>
      </c>
      <c r="M2805" s="392">
        <v>4.1860398866996027</v>
      </c>
      <c r="N2805" s="392"/>
    </row>
    <row r="2806" spans="1:14" hidden="1" outlineLevel="2" x14ac:dyDescent="0.35">
      <c r="A2806" s="388" t="s">
        <v>3835</v>
      </c>
      <c r="B2806" s="389">
        <v>44481</v>
      </c>
      <c r="C2806" s="390" t="s">
        <v>6314</v>
      </c>
      <c r="D2806" s="391" t="s">
        <v>6315</v>
      </c>
      <c r="E2806" s="391" t="s">
        <v>6316</v>
      </c>
      <c r="F2806" s="392">
        <v>80000</v>
      </c>
      <c r="G2806" s="393" t="s">
        <v>3800</v>
      </c>
      <c r="H2806" s="394">
        <v>29.767394749863843</v>
      </c>
      <c r="I2806" s="394"/>
      <c r="J2806" s="392">
        <v>7.4418486874659608</v>
      </c>
      <c r="K2806" s="392">
        <v>7.4418486874659608</v>
      </c>
      <c r="L2806" s="392">
        <v>7.4418486874659608</v>
      </c>
      <c r="M2806" s="392">
        <v>7.4418486874659608</v>
      </c>
      <c r="N2806" s="392"/>
    </row>
    <row r="2807" spans="1:14" hidden="1" outlineLevel="2" x14ac:dyDescent="0.35">
      <c r="A2807" s="388" t="s">
        <v>3835</v>
      </c>
      <c r="B2807" s="389">
        <v>44481</v>
      </c>
      <c r="C2807" s="390" t="s">
        <v>6314</v>
      </c>
      <c r="D2807" s="391" t="s">
        <v>6317</v>
      </c>
      <c r="E2807" s="391" t="s">
        <v>6318</v>
      </c>
      <c r="F2807" s="392">
        <v>80000</v>
      </c>
      <c r="G2807" s="393" t="s">
        <v>3800</v>
      </c>
      <c r="H2807" s="394">
        <v>29.767394749863843</v>
      </c>
      <c r="I2807" s="394"/>
      <c r="J2807" s="392">
        <v>7.4418486874659608</v>
      </c>
      <c r="K2807" s="392">
        <v>7.4418486874659608</v>
      </c>
      <c r="L2807" s="392">
        <v>7.4418486874659608</v>
      </c>
      <c r="M2807" s="392">
        <v>7.4418486874659608</v>
      </c>
      <c r="N2807" s="392"/>
    </row>
    <row r="2808" spans="1:14" hidden="1" outlineLevel="2" x14ac:dyDescent="0.35">
      <c r="A2808" s="388" t="s">
        <v>3835</v>
      </c>
      <c r="B2808" s="389">
        <v>44481</v>
      </c>
      <c r="C2808" s="390" t="s">
        <v>6314</v>
      </c>
      <c r="D2808" s="391" t="s">
        <v>6319</v>
      </c>
      <c r="E2808" s="391" t="s">
        <v>6172</v>
      </c>
      <c r="F2808" s="392">
        <v>82250</v>
      </c>
      <c r="G2808" s="393" t="s">
        <v>3800</v>
      </c>
      <c r="H2808" s="394">
        <v>30.604602727203766</v>
      </c>
      <c r="I2808" s="394"/>
      <c r="J2808" s="392">
        <v>7.6511506818009414</v>
      </c>
      <c r="K2808" s="392">
        <v>7.6511506818009414</v>
      </c>
      <c r="L2808" s="392">
        <v>7.6511506818009414</v>
      </c>
      <c r="M2808" s="392">
        <v>7.6511506818009414</v>
      </c>
      <c r="N2808" s="392"/>
    </row>
    <row r="2809" spans="1:14" hidden="1" outlineLevel="2" x14ac:dyDescent="0.35">
      <c r="A2809" s="388" t="s">
        <v>3835</v>
      </c>
      <c r="B2809" s="389">
        <v>44497</v>
      </c>
      <c r="C2809" s="390" t="s">
        <v>6233</v>
      </c>
      <c r="D2809" s="391" t="s">
        <v>6320</v>
      </c>
      <c r="E2809" s="391" t="s">
        <v>6184</v>
      </c>
      <c r="F2809" s="392">
        <v>600000</v>
      </c>
      <c r="G2809" s="393" t="s">
        <v>3800</v>
      </c>
      <c r="H2809" s="394">
        <v>223.25546062397882</v>
      </c>
      <c r="I2809" s="394"/>
      <c r="J2809" s="392">
        <v>55.813865155994705</v>
      </c>
      <c r="K2809" s="392">
        <v>55.813865155994705</v>
      </c>
      <c r="L2809" s="392">
        <v>55.813865155994705</v>
      </c>
      <c r="M2809" s="392">
        <v>55.813865155994705</v>
      </c>
      <c r="N2809" s="392"/>
    </row>
    <row r="2810" spans="1:14" hidden="1" outlineLevel="2" x14ac:dyDescent="0.35">
      <c r="A2810" s="388" t="s">
        <v>3835</v>
      </c>
      <c r="B2810" s="389">
        <v>44497</v>
      </c>
      <c r="C2810" s="390" t="s">
        <v>6321</v>
      </c>
      <c r="D2810" s="391" t="s">
        <v>6322</v>
      </c>
      <c r="E2810" s="391" t="s">
        <v>6184</v>
      </c>
      <c r="F2810" s="392">
        <v>600000</v>
      </c>
      <c r="G2810" s="393" t="s">
        <v>3800</v>
      </c>
      <c r="H2810" s="394">
        <v>223.25546062397882</v>
      </c>
      <c r="I2810" s="394"/>
      <c r="J2810" s="392">
        <v>55.813865155994705</v>
      </c>
      <c r="K2810" s="392">
        <v>55.813865155994705</v>
      </c>
      <c r="L2810" s="392">
        <v>55.813865155994705</v>
      </c>
      <c r="M2810" s="392">
        <v>55.813865155994705</v>
      </c>
      <c r="N2810" s="392"/>
    </row>
    <row r="2811" spans="1:14" hidden="1" outlineLevel="2" x14ac:dyDescent="0.35">
      <c r="A2811" s="388" t="s">
        <v>3835</v>
      </c>
      <c r="B2811" s="389">
        <v>44517</v>
      </c>
      <c r="C2811" s="390" t="s">
        <v>6323</v>
      </c>
      <c r="D2811" s="391" t="s">
        <v>6324</v>
      </c>
      <c r="E2811" s="391" t="s">
        <v>4734</v>
      </c>
      <c r="F2811" s="392">
        <v>600000</v>
      </c>
      <c r="G2811" s="393" t="s">
        <v>3800</v>
      </c>
      <c r="H2811" s="394">
        <v>223.25546062397882</v>
      </c>
      <c r="I2811" s="394"/>
      <c r="J2811" s="392">
        <v>55.813865155994705</v>
      </c>
      <c r="K2811" s="392">
        <v>55.813865155994705</v>
      </c>
      <c r="L2811" s="392">
        <v>55.813865155994705</v>
      </c>
      <c r="M2811" s="392">
        <v>55.813865155994705</v>
      </c>
      <c r="N2811" s="392"/>
    </row>
    <row r="2812" spans="1:14" hidden="1" outlineLevel="2" x14ac:dyDescent="0.35">
      <c r="A2812" s="388" t="s">
        <v>3835</v>
      </c>
      <c r="B2812" s="389">
        <v>44530</v>
      </c>
      <c r="C2812" s="390" t="s">
        <v>6325</v>
      </c>
      <c r="D2812" s="391" t="s">
        <v>6326</v>
      </c>
      <c r="E2812" s="391" t="s">
        <v>6184</v>
      </c>
      <c r="F2812" s="392">
        <v>600000</v>
      </c>
      <c r="G2812" s="393" t="s">
        <v>3800</v>
      </c>
      <c r="H2812" s="394">
        <v>223.25546062397882</v>
      </c>
      <c r="I2812" s="394"/>
      <c r="J2812" s="392">
        <v>55.813865155994705</v>
      </c>
      <c r="K2812" s="392">
        <v>55.813865155994705</v>
      </c>
      <c r="L2812" s="392">
        <v>55.813865155994705</v>
      </c>
      <c r="M2812" s="392">
        <v>55.813865155994705</v>
      </c>
      <c r="N2812" s="392"/>
    </row>
    <row r="2813" spans="1:14" hidden="1" outlineLevel="2" x14ac:dyDescent="0.35">
      <c r="A2813" s="388" t="s">
        <v>3835</v>
      </c>
      <c r="B2813" s="389">
        <v>44568</v>
      </c>
      <c r="C2813" s="390" t="s">
        <v>5013</v>
      </c>
      <c r="D2813" s="391" t="s">
        <v>6327</v>
      </c>
      <c r="E2813" s="391" t="s">
        <v>6184</v>
      </c>
      <c r="F2813" s="392">
        <v>580000</v>
      </c>
      <c r="G2813" s="393" t="s">
        <v>3800</v>
      </c>
      <c r="H2813" s="394">
        <v>215.81361193651287</v>
      </c>
      <c r="I2813" s="394"/>
      <c r="J2813" s="392">
        <v>53.953402984128218</v>
      </c>
      <c r="K2813" s="392">
        <v>53.953402984128218</v>
      </c>
      <c r="L2813" s="392">
        <v>53.953402984128218</v>
      </c>
      <c r="M2813" s="392">
        <v>53.953402984128218</v>
      </c>
      <c r="N2813" s="392"/>
    </row>
    <row r="2814" spans="1:14" hidden="1" outlineLevel="2" x14ac:dyDescent="0.35">
      <c r="A2814" s="388" t="s">
        <v>3835</v>
      </c>
      <c r="B2814" s="389">
        <v>44583</v>
      </c>
      <c r="C2814" s="390" t="s">
        <v>6328</v>
      </c>
      <c r="D2814" s="391" t="s">
        <v>6329</v>
      </c>
      <c r="E2814" s="391" t="s">
        <v>6184</v>
      </c>
      <c r="F2814" s="392">
        <v>600000</v>
      </c>
      <c r="G2814" s="393" t="s">
        <v>3800</v>
      </c>
      <c r="H2814" s="394">
        <v>223.25546062397882</v>
      </c>
      <c r="I2814" s="394"/>
      <c r="J2814" s="392">
        <v>55.813865155994705</v>
      </c>
      <c r="K2814" s="392">
        <v>55.813865155994705</v>
      </c>
      <c r="L2814" s="392">
        <v>55.813865155994705</v>
      </c>
      <c r="M2814" s="392">
        <v>55.813865155994705</v>
      </c>
      <c r="N2814" s="392"/>
    </row>
    <row r="2815" spans="1:14" hidden="1" outlineLevel="2" x14ac:dyDescent="0.35">
      <c r="A2815" s="388" t="s">
        <v>3835</v>
      </c>
      <c r="B2815" s="389">
        <v>44582</v>
      </c>
      <c r="C2815" s="390" t="s">
        <v>6330</v>
      </c>
      <c r="D2815" s="391" t="s">
        <v>6331</v>
      </c>
      <c r="E2815" s="391" t="s">
        <v>6332</v>
      </c>
      <c r="F2815" s="392">
        <v>2830500</v>
      </c>
      <c r="G2815" s="393" t="s">
        <v>3800</v>
      </c>
      <c r="H2815" s="394">
        <v>1053.20763549362</v>
      </c>
      <c r="I2815" s="394"/>
      <c r="J2815" s="392">
        <v>263.30190887340501</v>
      </c>
      <c r="K2815" s="392">
        <v>263.30190887340501</v>
      </c>
      <c r="L2815" s="392">
        <v>263.30190887340501</v>
      </c>
      <c r="M2815" s="392">
        <v>263.30190887340501</v>
      </c>
      <c r="N2815" s="392"/>
    </row>
    <row r="2816" spans="1:14" hidden="1" outlineLevel="2" x14ac:dyDescent="0.35">
      <c r="A2816" s="388" t="s">
        <v>3835</v>
      </c>
      <c r="B2816" s="389">
        <v>44592</v>
      </c>
      <c r="C2816" s="390" t="s">
        <v>6333</v>
      </c>
      <c r="D2816" s="391" t="s">
        <v>6334</v>
      </c>
      <c r="E2816" s="391" t="s">
        <v>4794</v>
      </c>
      <c r="F2816" s="392">
        <v>35000</v>
      </c>
      <c r="G2816" s="393" t="s">
        <v>3800</v>
      </c>
      <c r="H2816" s="394">
        <v>13.023235203065433</v>
      </c>
      <c r="I2816" s="394"/>
      <c r="J2816" s="392">
        <v>3.2558088007663581</v>
      </c>
      <c r="K2816" s="392">
        <v>3.2558088007663581</v>
      </c>
      <c r="L2816" s="392">
        <v>3.2558088007663581</v>
      </c>
      <c r="M2816" s="392">
        <v>3.2558088007663581</v>
      </c>
      <c r="N2816" s="392"/>
    </row>
    <row r="2817" spans="1:14" outlineLevel="1" collapsed="1" x14ac:dyDescent="0.35">
      <c r="A2817" s="395" t="s">
        <v>6335</v>
      </c>
      <c r="B2817" s="389"/>
      <c r="C2817" s="390"/>
      <c r="D2817" s="391"/>
      <c r="E2817" s="391"/>
      <c r="F2817" s="392"/>
      <c r="G2817" s="393"/>
      <c r="H2817" s="402">
        <f t="shared" ref="H2817:N2817" si="108">SUBTOTAL(9,H2790:H2816)</f>
        <v>8507.7570372688788</v>
      </c>
      <c r="I2817" s="402"/>
      <c r="J2817" s="392">
        <f t="shared" si="108"/>
        <v>2126.9392593172197</v>
      </c>
      <c r="K2817" s="392">
        <f t="shared" si="108"/>
        <v>2126.9392593172197</v>
      </c>
      <c r="L2817" s="392">
        <f t="shared" si="108"/>
        <v>2126.9392593172197</v>
      </c>
      <c r="M2817" s="392">
        <f t="shared" si="108"/>
        <v>2126.9392593172197</v>
      </c>
      <c r="N2817" s="392">
        <f t="shared" si="108"/>
        <v>0</v>
      </c>
    </row>
    <row r="2818" spans="1:14" hidden="1" outlineLevel="2" x14ac:dyDescent="0.35">
      <c r="A2818" s="388" t="s">
        <v>6336</v>
      </c>
      <c r="B2818" s="389">
        <v>44286</v>
      </c>
      <c r="C2818" s="390" t="s">
        <v>6337</v>
      </c>
      <c r="D2818" s="391" t="s">
        <v>6338</v>
      </c>
      <c r="E2818" s="391" t="s">
        <v>6339</v>
      </c>
      <c r="F2818" s="392">
        <v>160000</v>
      </c>
      <c r="G2818" s="393" t="s">
        <v>3800</v>
      </c>
      <c r="H2818" s="394">
        <v>59.534789499727687</v>
      </c>
      <c r="I2818" s="394"/>
      <c r="J2818" s="392"/>
      <c r="K2818" s="392"/>
      <c r="L2818" s="392"/>
      <c r="M2818" s="392"/>
      <c r="N2818" s="392">
        <f t="shared" ref="N2818:N2866" si="109">H2818</f>
        <v>59.534789499727687</v>
      </c>
    </row>
    <row r="2819" spans="1:14" hidden="1" outlineLevel="2" x14ac:dyDescent="0.35">
      <c r="A2819" s="388" t="s">
        <v>6336</v>
      </c>
      <c r="B2819" s="389">
        <v>44313</v>
      </c>
      <c r="C2819" s="390" t="s">
        <v>6340</v>
      </c>
      <c r="D2819" s="391" t="s">
        <v>6341</v>
      </c>
      <c r="E2819" s="391" t="s">
        <v>6342</v>
      </c>
      <c r="F2819" s="392">
        <v>70000</v>
      </c>
      <c r="G2819" s="393" t="s">
        <v>3800</v>
      </c>
      <c r="H2819" s="394">
        <v>26.046470406130865</v>
      </c>
      <c r="I2819" s="394"/>
      <c r="J2819" s="392"/>
      <c r="K2819" s="392"/>
      <c r="L2819" s="392"/>
      <c r="M2819" s="392"/>
      <c r="N2819" s="392">
        <f t="shared" si="109"/>
        <v>26.046470406130865</v>
      </c>
    </row>
    <row r="2820" spans="1:14" hidden="1" outlineLevel="2" x14ac:dyDescent="0.35">
      <c r="A2820" s="388" t="s">
        <v>6336</v>
      </c>
      <c r="B2820" s="389">
        <v>44678</v>
      </c>
      <c r="C2820" s="390" t="s">
        <v>6343</v>
      </c>
      <c r="D2820" s="391" t="s">
        <v>6344</v>
      </c>
      <c r="E2820" s="391" t="s">
        <v>6345</v>
      </c>
      <c r="F2820" s="392">
        <v>170000</v>
      </c>
      <c r="G2820" s="393" t="s">
        <v>3800</v>
      </c>
      <c r="H2820" s="394">
        <v>63.255713843460668</v>
      </c>
      <c r="I2820" s="394"/>
      <c r="J2820" s="392"/>
      <c r="K2820" s="392"/>
      <c r="L2820" s="392"/>
      <c r="M2820" s="392"/>
      <c r="N2820" s="392">
        <f t="shared" si="109"/>
        <v>63.255713843460668</v>
      </c>
    </row>
    <row r="2821" spans="1:14" hidden="1" outlineLevel="2" x14ac:dyDescent="0.35">
      <c r="A2821" s="388" t="s">
        <v>6336</v>
      </c>
      <c r="B2821" s="389">
        <v>44316</v>
      </c>
      <c r="C2821" s="390" t="s">
        <v>6346</v>
      </c>
      <c r="D2821" s="391" t="s">
        <v>6347</v>
      </c>
      <c r="E2821" s="391" t="s">
        <v>4158</v>
      </c>
      <c r="F2821" s="392">
        <v>3770</v>
      </c>
      <c r="G2821" s="393" t="s">
        <v>3800</v>
      </c>
      <c r="H2821" s="394">
        <v>1.4027884775873336</v>
      </c>
      <c r="I2821" s="394"/>
      <c r="J2821" s="392"/>
      <c r="K2821" s="392"/>
      <c r="L2821" s="392"/>
      <c r="M2821" s="392"/>
      <c r="N2821" s="392">
        <f t="shared" si="109"/>
        <v>1.4027884775873336</v>
      </c>
    </row>
    <row r="2822" spans="1:14" hidden="1" outlineLevel="2" x14ac:dyDescent="0.35">
      <c r="A2822" s="388" t="s">
        <v>6336</v>
      </c>
      <c r="B2822" s="389">
        <v>44326</v>
      </c>
      <c r="C2822" s="390" t="s">
        <v>6348</v>
      </c>
      <c r="D2822" s="391" t="s">
        <v>6349</v>
      </c>
      <c r="E2822" s="391" t="s">
        <v>6350</v>
      </c>
      <c r="F2822" s="392">
        <v>125000</v>
      </c>
      <c r="G2822" s="393" t="s">
        <v>3800</v>
      </c>
      <c r="H2822" s="394">
        <v>46.511554296662254</v>
      </c>
      <c r="I2822" s="394"/>
      <c r="J2822" s="392"/>
      <c r="K2822" s="392"/>
      <c r="L2822" s="392"/>
      <c r="M2822" s="392"/>
      <c r="N2822" s="392">
        <f t="shared" si="109"/>
        <v>46.511554296662254</v>
      </c>
    </row>
    <row r="2823" spans="1:14" hidden="1" outlineLevel="2" x14ac:dyDescent="0.35">
      <c r="A2823" s="388" t="s">
        <v>6336</v>
      </c>
      <c r="B2823" s="389">
        <v>44326</v>
      </c>
      <c r="C2823" s="390" t="s">
        <v>6348</v>
      </c>
      <c r="D2823" s="391" t="s">
        <v>6351</v>
      </c>
      <c r="E2823" s="391" t="s">
        <v>6350</v>
      </c>
      <c r="F2823" s="392">
        <v>250000</v>
      </c>
      <c r="G2823" s="393" t="s">
        <v>3800</v>
      </c>
      <c r="H2823" s="394">
        <v>93.023108593324508</v>
      </c>
      <c r="I2823" s="394"/>
      <c r="J2823" s="392"/>
      <c r="K2823" s="392"/>
      <c r="L2823" s="392"/>
      <c r="M2823" s="392"/>
      <c r="N2823" s="392">
        <f t="shared" si="109"/>
        <v>93.023108593324508</v>
      </c>
    </row>
    <row r="2824" spans="1:14" hidden="1" outlineLevel="2" x14ac:dyDescent="0.35">
      <c r="A2824" s="388" t="s">
        <v>6336</v>
      </c>
      <c r="B2824" s="389">
        <v>44326</v>
      </c>
      <c r="C2824" s="390" t="s">
        <v>6348</v>
      </c>
      <c r="D2824" s="391" t="s">
        <v>6352</v>
      </c>
      <c r="E2824" s="391" t="s">
        <v>6350</v>
      </c>
      <c r="F2824" s="392">
        <v>250000</v>
      </c>
      <c r="G2824" s="393" t="s">
        <v>3800</v>
      </c>
      <c r="H2824" s="394">
        <v>93.023108593324508</v>
      </c>
      <c r="I2824" s="394"/>
      <c r="J2824" s="392"/>
      <c r="K2824" s="392"/>
      <c r="L2824" s="392"/>
      <c r="M2824" s="392"/>
      <c r="N2824" s="392">
        <f t="shared" si="109"/>
        <v>93.023108593324508</v>
      </c>
    </row>
    <row r="2825" spans="1:14" hidden="1" outlineLevel="2" x14ac:dyDescent="0.35">
      <c r="A2825" s="388" t="s">
        <v>6336</v>
      </c>
      <c r="B2825" s="389">
        <v>44331</v>
      </c>
      <c r="C2825" s="390" t="s">
        <v>6353</v>
      </c>
      <c r="D2825" s="391" t="s">
        <v>6354</v>
      </c>
      <c r="E2825" s="391" t="s">
        <v>6342</v>
      </c>
      <c r="F2825" s="392">
        <v>70000</v>
      </c>
      <c r="G2825" s="393" t="s">
        <v>3800</v>
      </c>
      <c r="H2825" s="394">
        <v>26.046470406130865</v>
      </c>
      <c r="I2825" s="394"/>
      <c r="J2825" s="392"/>
      <c r="K2825" s="392"/>
      <c r="L2825" s="392"/>
      <c r="M2825" s="392"/>
      <c r="N2825" s="392">
        <f t="shared" si="109"/>
        <v>26.046470406130865</v>
      </c>
    </row>
    <row r="2826" spans="1:14" hidden="1" outlineLevel="2" x14ac:dyDescent="0.35">
      <c r="A2826" s="388" t="s">
        <v>6336</v>
      </c>
      <c r="B2826" s="389">
        <v>44347</v>
      </c>
      <c r="C2826" s="390" t="s">
        <v>6355</v>
      </c>
      <c r="D2826" s="391" t="s">
        <v>6356</v>
      </c>
      <c r="E2826" s="391" t="s">
        <v>6357</v>
      </c>
      <c r="F2826" s="392">
        <v>170000</v>
      </c>
      <c r="G2826" s="393" t="s">
        <v>3800</v>
      </c>
      <c r="H2826" s="394">
        <v>63.255713843460668</v>
      </c>
      <c r="I2826" s="394"/>
      <c r="J2826" s="392"/>
      <c r="K2826" s="392"/>
      <c r="L2826" s="392"/>
      <c r="M2826" s="392"/>
      <c r="N2826" s="392">
        <f t="shared" si="109"/>
        <v>63.255713843460668</v>
      </c>
    </row>
    <row r="2827" spans="1:14" hidden="1" outlineLevel="2" x14ac:dyDescent="0.35">
      <c r="A2827" s="388" t="s">
        <v>6336</v>
      </c>
      <c r="B2827" s="389">
        <v>44347</v>
      </c>
      <c r="C2827" s="390" t="s">
        <v>6358</v>
      </c>
      <c r="D2827" s="391" t="s">
        <v>6359</v>
      </c>
      <c r="E2827" s="391" t="s">
        <v>4158</v>
      </c>
      <c r="F2827" s="392">
        <v>3770</v>
      </c>
      <c r="G2827" s="393" t="s">
        <v>3800</v>
      </c>
      <c r="H2827" s="394">
        <v>1.4027884775873336</v>
      </c>
      <c r="I2827" s="394"/>
      <c r="J2827" s="392"/>
      <c r="K2827" s="392"/>
      <c r="L2827" s="392"/>
      <c r="M2827" s="392"/>
      <c r="N2827" s="392">
        <f t="shared" si="109"/>
        <v>1.4027884775873336</v>
      </c>
    </row>
    <row r="2828" spans="1:14" hidden="1" outlineLevel="2" x14ac:dyDescent="0.35">
      <c r="A2828" s="388" t="s">
        <v>6336</v>
      </c>
      <c r="B2828" s="389">
        <v>44354</v>
      </c>
      <c r="C2828" s="390" t="s">
        <v>6360</v>
      </c>
      <c r="D2828" s="391" t="s">
        <v>6361</v>
      </c>
      <c r="E2828" s="391" t="s">
        <v>6342</v>
      </c>
      <c r="F2828" s="392">
        <v>70000</v>
      </c>
      <c r="G2828" s="393" t="s">
        <v>3800</v>
      </c>
      <c r="H2828" s="394">
        <v>26.046470406130865</v>
      </c>
      <c r="I2828" s="394"/>
      <c r="J2828" s="392"/>
      <c r="K2828" s="392"/>
      <c r="L2828" s="392"/>
      <c r="M2828" s="392"/>
      <c r="N2828" s="392">
        <f t="shared" si="109"/>
        <v>26.046470406130865</v>
      </c>
    </row>
    <row r="2829" spans="1:14" hidden="1" outlineLevel="2" x14ac:dyDescent="0.35">
      <c r="A2829" s="388" t="s">
        <v>6336</v>
      </c>
      <c r="B2829" s="389">
        <v>44354</v>
      </c>
      <c r="C2829" s="390" t="s">
        <v>6362</v>
      </c>
      <c r="D2829" s="391" t="s">
        <v>6363</v>
      </c>
      <c r="E2829" s="391" t="s">
        <v>6350</v>
      </c>
      <c r="F2829" s="392">
        <v>250000</v>
      </c>
      <c r="G2829" s="393" t="s">
        <v>3800</v>
      </c>
      <c r="H2829" s="394">
        <v>93.023108593324508</v>
      </c>
      <c r="I2829" s="394"/>
      <c r="J2829" s="392"/>
      <c r="K2829" s="392"/>
      <c r="L2829" s="392"/>
      <c r="M2829" s="392"/>
      <c r="N2829" s="392">
        <f t="shared" si="109"/>
        <v>93.023108593324508</v>
      </c>
    </row>
    <row r="2830" spans="1:14" hidden="1" outlineLevel="2" x14ac:dyDescent="0.35">
      <c r="A2830" s="388" t="s">
        <v>6336</v>
      </c>
      <c r="B2830" s="389">
        <v>44377</v>
      </c>
      <c r="C2830" s="390" t="s">
        <v>6364</v>
      </c>
      <c r="D2830" s="391" t="s">
        <v>6365</v>
      </c>
      <c r="E2830" s="391" t="s">
        <v>6357</v>
      </c>
      <c r="F2830" s="392">
        <v>170000</v>
      </c>
      <c r="G2830" s="393" t="s">
        <v>3800</v>
      </c>
      <c r="H2830" s="394">
        <v>63.255713843460668</v>
      </c>
      <c r="I2830" s="394"/>
      <c r="J2830" s="392"/>
      <c r="K2830" s="392"/>
      <c r="L2830" s="392"/>
      <c r="M2830" s="392"/>
      <c r="N2830" s="392">
        <f t="shared" si="109"/>
        <v>63.255713843460668</v>
      </c>
    </row>
    <row r="2831" spans="1:14" hidden="1" outlineLevel="2" x14ac:dyDescent="0.35">
      <c r="A2831" s="388" t="s">
        <v>6336</v>
      </c>
      <c r="B2831" s="389">
        <v>44377</v>
      </c>
      <c r="C2831" s="390" t="s">
        <v>6366</v>
      </c>
      <c r="D2831" s="391" t="s">
        <v>6367</v>
      </c>
      <c r="E2831" s="391" t="s">
        <v>4158</v>
      </c>
      <c r="F2831" s="392">
        <v>1770</v>
      </c>
      <c r="G2831" s="393" t="s">
        <v>3800</v>
      </c>
      <c r="H2831" s="394">
        <v>0.65860360884073754</v>
      </c>
      <c r="I2831" s="394"/>
      <c r="J2831" s="392"/>
      <c r="K2831" s="392"/>
      <c r="L2831" s="392"/>
      <c r="M2831" s="392"/>
      <c r="N2831" s="392">
        <f t="shared" si="109"/>
        <v>0.65860360884073754</v>
      </c>
    </row>
    <row r="2832" spans="1:14" hidden="1" outlineLevel="2" x14ac:dyDescent="0.35">
      <c r="A2832" s="388" t="s">
        <v>6336</v>
      </c>
      <c r="B2832" s="389">
        <v>44383</v>
      </c>
      <c r="C2832" s="390" t="s">
        <v>6368</v>
      </c>
      <c r="D2832" s="391" t="s">
        <v>6369</v>
      </c>
      <c r="E2832" s="391" t="s">
        <v>6370</v>
      </c>
      <c r="F2832" s="392">
        <v>250000</v>
      </c>
      <c r="G2832" s="393" t="s">
        <v>3800</v>
      </c>
      <c r="H2832" s="394">
        <v>93.023108593324508</v>
      </c>
      <c r="I2832" s="394"/>
      <c r="J2832" s="392"/>
      <c r="K2832" s="392"/>
      <c r="L2832" s="392"/>
      <c r="M2832" s="392"/>
      <c r="N2832" s="392">
        <f t="shared" si="109"/>
        <v>93.023108593324508</v>
      </c>
    </row>
    <row r="2833" spans="1:14" hidden="1" outlineLevel="2" x14ac:dyDescent="0.35">
      <c r="A2833" s="388" t="s">
        <v>6336</v>
      </c>
      <c r="B2833" s="389">
        <v>44395</v>
      </c>
      <c r="C2833" s="390" t="s">
        <v>6371</v>
      </c>
      <c r="D2833" s="391" t="s">
        <v>6372</v>
      </c>
      <c r="E2833" s="391" t="s">
        <v>6342</v>
      </c>
      <c r="F2833" s="392">
        <v>60000</v>
      </c>
      <c r="G2833" s="393" t="s">
        <v>3800</v>
      </c>
      <c r="H2833" s="394">
        <v>22.325546062397883</v>
      </c>
      <c r="I2833" s="394"/>
      <c r="J2833" s="392"/>
      <c r="K2833" s="392"/>
      <c r="L2833" s="392"/>
      <c r="M2833" s="392"/>
      <c r="N2833" s="392">
        <f t="shared" si="109"/>
        <v>22.325546062397883</v>
      </c>
    </row>
    <row r="2834" spans="1:14" hidden="1" outlineLevel="2" x14ac:dyDescent="0.35">
      <c r="A2834" s="388" t="s">
        <v>6336</v>
      </c>
      <c r="B2834" s="389">
        <v>44397</v>
      </c>
      <c r="C2834" s="390" t="s">
        <v>6371</v>
      </c>
      <c r="D2834" s="391" t="s">
        <v>6372</v>
      </c>
      <c r="E2834" s="391" t="s">
        <v>6342</v>
      </c>
      <c r="F2834" s="392">
        <v>10000</v>
      </c>
      <c r="G2834" s="393" t="s">
        <v>3800</v>
      </c>
      <c r="H2834" s="394">
        <v>3.7209243437329804</v>
      </c>
      <c r="I2834" s="394"/>
      <c r="J2834" s="392"/>
      <c r="K2834" s="392"/>
      <c r="L2834" s="392"/>
      <c r="M2834" s="392"/>
      <c r="N2834" s="392">
        <f t="shared" si="109"/>
        <v>3.7209243437329804</v>
      </c>
    </row>
    <row r="2835" spans="1:14" hidden="1" outlineLevel="2" x14ac:dyDescent="0.35">
      <c r="A2835" s="388" t="s">
        <v>6336</v>
      </c>
      <c r="B2835" s="389">
        <v>44408</v>
      </c>
      <c r="C2835" s="390" t="s">
        <v>6373</v>
      </c>
      <c r="D2835" s="391" t="s">
        <v>6374</v>
      </c>
      <c r="E2835" s="391" t="s">
        <v>4395</v>
      </c>
      <c r="F2835" s="392">
        <v>1770</v>
      </c>
      <c r="G2835" s="393" t="s">
        <v>3800</v>
      </c>
      <c r="H2835" s="394">
        <v>0.65860360884073754</v>
      </c>
      <c r="I2835" s="394"/>
      <c r="J2835" s="392"/>
      <c r="K2835" s="392"/>
      <c r="L2835" s="392"/>
      <c r="M2835" s="392"/>
      <c r="N2835" s="392">
        <f t="shared" si="109"/>
        <v>0.65860360884073754</v>
      </c>
    </row>
    <row r="2836" spans="1:14" hidden="1" outlineLevel="2" x14ac:dyDescent="0.35">
      <c r="A2836" s="388" t="s">
        <v>6336</v>
      </c>
      <c r="B2836" s="389">
        <v>44439</v>
      </c>
      <c r="C2836" s="390" t="s">
        <v>6375</v>
      </c>
      <c r="D2836" s="391" t="s">
        <v>6376</v>
      </c>
      <c r="E2836" s="391" t="s">
        <v>4395</v>
      </c>
      <c r="F2836" s="392">
        <v>15570</v>
      </c>
      <c r="G2836" s="393" t="s">
        <v>3800</v>
      </c>
      <c r="H2836" s="394">
        <v>5.7934792031922511</v>
      </c>
      <c r="I2836" s="394"/>
      <c r="J2836" s="392"/>
      <c r="K2836" s="392"/>
      <c r="L2836" s="392"/>
      <c r="M2836" s="392"/>
      <c r="N2836" s="392">
        <f t="shared" si="109"/>
        <v>5.7934792031922511</v>
      </c>
    </row>
    <row r="2837" spans="1:14" hidden="1" outlineLevel="2" x14ac:dyDescent="0.35">
      <c r="A2837" s="388" t="s">
        <v>6336</v>
      </c>
      <c r="B2837" s="389">
        <v>44411</v>
      </c>
      <c r="C2837" s="390" t="s">
        <v>6377</v>
      </c>
      <c r="D2837" s="391" t="s">
        <v>6378</v>
      </c>
      <c r="E2837" s="391" t="s">
        <v>6342</v>
      </c>
      <c r="F2837" s="392">
        <v>60000</v>
      </c>
      <c r="G2837" s="393" t="s">
        <v>3800</v>
      </c>
      <c r="H2837" s="394">
        <v>22.325546062397883</v>
      </c>
      <c r="I2837" s="394"/>
      <c r="J2837" s="392"/>
      <c r="K2837" s="392"/>
      <c r="L2837" s="392"/>
      <c r="M2837" s="392"/>
      <c r="N2837" s="392">
        <f t="shared" si="109"/>
        <v>22.325546062397883</v>
      </c>
    </row>
    <row r="2838" spans="1:14" hidden="1" outlineLevel="2" x14ac:dyDescent="0.35">
      <c r="A2838" s="388" t="s">
        <v>6336</v>
      </c>
      <c r="B2838" s="389">
        <v>44432</v>
      </c>
      <c r="C2838" s="390" t="s">
        <v>6379</v>
      </c>
      <c r="D2838" s="391" t="s">
        <v>6378</v>
      </c>
      <c r="E2838" s="391" t="s">
        <v>6342</v>
      </c>
      <c r="F2838" s="392">
        <v>100000</v>
      </c>
      <c r="G2838" s="393" t="s">
        <v>3800</v>
      </c>
      <c r="H2838" s="394">
        <v>37.209243437329803</v>
      </c>
      <c r="I2838" s="394"/>
      <c r="J2838" s="392"/>
      <c r="K2838" s="392"/>
      <c r="L2838" s="392"/>
      <c r="M2838" s="392"/>
      <c r="N2838" s="392">
        <f t="shared" si="109"/>
        <v>37.209243437329803</v>
      </c>
    </row>
    <row r="2839" spans="1:14" hidden="1" outlineLevel="2" x14ac:dyDescent="0.35">
      <c r="A2839" s="388" t="s">
        <v>6336</v>
      </c>
      <c r="B2839" s="389">
        <v>44411</v>
      </c>
      <c r="C2839" s="390" t="s">
        <v>6380</v>
      </c>
      <c r="D2839" s="391" t="s">
        <v>6381</v>
      </c>
      <c r="E2839" s="391" t="s">
        <v>6339</v>
      </c>
      <c r="F2839" s="392">
        <v>170000</v>
      </c>
      <c r="G2839" s="393" t="s">
        <v>3800</v>
      </c>
      <c r="H2839" s="394">
        <v>63.255713843460668</v>
      </c>
      <c r="I2839" s="394"/>
      <c r="J2839" s="392"/>
      <c r="K2839" s="392"/>
      <c r="L2839" s="392"/>
      <c r="M2839" s="392"/>
      <c r="N2839" s="392">
        <f t="shared" si="109"/>
        <v>63.255713843460668</v>
      </c>
    </row>
    <row r="2840" spans="1:14" hidden="1" outlineLevel="2" x14ac:dyDescent="0.35">
      <c r="A2840" s="388" t="s">
        <v>6336</v>
      </c>
      <c r="B2840" s="389">
        <v>44432</v>
      </c>
      <c r="C2840" s="390" t="s">
        <v>6382</v>
      </c>
      <c r="D2840" s="391" t="s">
        <v>6383</v>
      </c>
      <c r="E2840" s="391" t="s">
        <v>6339</v>
      </c>
      <c r="F2840" s="392">
        <v>170000</v>
      </c>
      <c r="G2840" s="393" t="s">
        <v>3800</v>
      </c>
      <c r="H2840" s="394">
        <v>63.255713843460668</v>
      </c>
      <c r="I2840" s="394"/>
      <c r="J2840" s="392"/>
      <c r="K2840" s="392"/>
      <c r="L2840" s="392"/>
      <c r="M2840" s="392"/>
      <c r="N2840" s="392">
        <f t="shared" si="109"/>
        <v>63.255713843460668</v>
      </c>
    </row>
    <row r="2841" spans="1:14" hidden="1" outlineLevel="2" x14ac:dyDescent="0.35">
      <c r="A2841" s="388" t="s">
        <v>6336</v>
      </c>
      <c r="B2841" s="389">
        <v>44411</v>
      </c>
      <c r="C2841" s="390" t="s">
        <v>6384</v>
      </c>
      <c r="D2841" s="391" t="s">
        <v>6385</v>
      </c>
      <c r="E2841" s="391" t="s">
        <v>6386</v>
      </c>
      <c r="F2841" s="392">
        <v>4417000</v>
      </c>
      <c r="G2841" s="393" t="s">
        <v>3800</v>
      </c>
      <c r="H2841" s="394">
        <v>1643.5322826268575</v>
      </c>
      <c r="I2841" s="394"/>
      <c r="J2841" s="392"/>
      <c r="K2841" s="392"/>
      <c r="L2841" s="392"/>
      <c r="M2841" s="392"/>
      <c r="N2841" s="392">
        <f t="shared" si="109"/>
        <v>1643.5322826268575</v>
      </c>
    </row>
    <row r="2842" spans="1:14" hidden="1" outlineLevel="2" x14ac:dyDescent="0.35">
      <c r="A2842" s="388" t="s">
        <v>6336</v>
      </c>
      <c r="B2842" s="389">
        <v>44411</v>
      </c>
      <c r="C2842" s="390" t="s">
        <v>6387</v>
      </c>
      <c r="D2842" s="391" t="s">
        <v>6388</v>
      </c>
      <c r="E2842" s="391" t="s">
        <v>6389</v>
      </c>
      <c r="F2842" s="392">
        <v>600000</v>
      </c>
      <c r="G2842" s="393" t="s">
        <v>3800</v>
      </c>
      <c r="H2842" s="394">
        <v>223.25546062397882</v>
      </c>
      <c r="I2842" s="394"/>
      <c r="J2842" s="392"/>
      <c r="K2842" s="392"/>
      <c r="L2842" s="392"/>
      <c r="M2842" s="392"/>
      <c r="N2842" s="392">
        <f t="shared" si="109"/>
        <v>223.25546062397882</v>
      </c>
    </row>
    <row r="2843" spans="1:14" hidden="1" outlineLevel="2" x14ac:dyDescent="0.35">
      <c r="A2843" s="388" t="s">
        <v>6336</v>
      </c>
      <c r="B2843" s="389">
        <v>44414</v>
      </c>
      <c r="C2843" s="390" t="s">
        <v>6390</v>
      </c>
      <c r="D2843" s="391" t="s">
        <v>6391</v>
      </c>
      <c r="E2843" s="391" t="s">
        <v>6370</v>
      </c>
      <c r="F2843" s="392">
        <v>250000</v>
      </c>
      <c r="G2843" s="393" t="s">
        <v>3800</v>
      </c>
      <c r="H2843" s="394">
        <v>93.023108593324508</v>
      </c>
      <c r="I2843" s="394"/>
      <c r="J2843" s="392"/>
      <c r="K2843" s="392"/>
      <c r="L2843" s="392"/>
      <c r="M2843" s="392"/>
      <c r="N2843" s="392">
        <f t="shared" si="109"/>
        <v>93.023108593324508</v>
      </c>
    </row>
    <row r="2844" spans="1:14" hidden="1" outlineLevel="2" x14ac:dyDescent="0.35">
      <c r="A2844" s="388" t="s">
        <v>6336</v>
      </c>
      <c r="B2844" s="389">
        <v>44442</v>
      </c>
      <c r="C2844" s="390" t="s">
        <v>6392</v>
      </c>
      <c r="D2844" s="391" t="s">
        <v>6393</v>
      </c>
      <c r="E2844" s="391" t="s">
        <v>6370</v>
      </c>
      <c r="F2844" s="392">
        <v>250000</v>
      </c>
      <c r="G2844" s="393" t="s">
        <v>3800</v>
      </c>
      <c r="H2844" s="394">
        <v>93.023108593324508</v>
      </c>
      <c r="I2844" s="394"/>
      <c r="J2844" s="392"/>
      <c r="K2844" s="392"/>
      <c r="L2844" s="392"/>
      <c r="M2844" s="392"/>
      <c r="N2844" s="392">
        <f t="shared" si="109"/>
        <v>93.023108593324508</v>
      </c>
    </row>
    <row r="2845" spans="1:14" hidden="1" outlineLevel="2" x14ac:dyDescent="0.35">
      <c r="A2845" s="388" t="s">
        <v>6336</v>
      </c>
      <c r="B2845" s="389">
        <v>44467</v>
      </c>
      <c r="C2845" s="390" t="s">
        <v>6394</v>
      </c>
      <c r="D2845" s="391" t="s">
        <v>6395</v>
      </c>
      <c r="E2845" s="391" t="s">
        <v>6342</v>
      </c>
      <c r="F2845" s="392">
        <v>100000</v>
      </c>
      <c r="G2845" s="393" t="s">
        <v>3800</v>
      </c>
      <c r="H2845" s="394">
        <v>37.209243437329803</v>
      </c>
      <c r="I2845" s="394"/>
      <c r="J2845" s="392"/>
      <c r="K2845" s="392"/>
      <c r="L2845" s="392"/>
      <c r="M2845" s="392"/>
      <c r="N2845" s="392">
        <f t="shared" si="109"/>
        <v>37.209243437329803</v>
      </c>
    </row>
    <row r="2846" spans="1:14" hidden="1" outlineLevel="2" x14ac:dyDescent="0.35">
      <c r="A2846" s="388" t="s">
        <v>6336</v>
      </c>
      <c r="B2846" s="389">
        <v>44467</v>
      </c>
      <c r="C2846" s="390" t="s">
        <v>6396</v>
      </c>
      <c r="D2846" s="391" t="s">
        <v>6397</v>
      </c>
      <c r="E2846" s="391" t="s">
        <v>6339</v>
      </c>
      <c r="F2846" s="392">
        <v>170000</v>
      </c>
      <c r="G2846" s="393" t="s">
        <v>3800</v>
      </c>
      <c r="H2846" s="394">
        <v>63.255713843460668</v>
      </c>
      <c r="I2846" s="394"/>
      <c r="J2846" s="392"/>
      <c r="K2846" s="392"/>
      <c r="L2846" s="392"/>
      <c r="M2846" s="392"/>
      <c r="N2846" s="392">
        <f t="shared" si="109"/>
        <v>63.255713843460668</v>
      </c>
    </row>
    <row r="2847" spans="1:14" hidden="1" outlineLevel="2" x14ac:dyDescent="0.35">
      <c r="A2847" s="388" t="s">
        <v>6336</v>
      </c>
      <c r="B2847" s="389">
        <v>44469</v>
      </c>
      <c r="C2847" s="390" t="s">
        <v>6398</v>
      </c>
      <c r="D2847" s="391" t="s">
        <v>6399</v>
      </c>
      <c r="E2847" s="391" t="s">
        <v>4395</v>
      </c>
      <c r="F2847" s="392">
        <v>2770</v>
      </c>
      <c r="G2847" s="393" t="s">
        <v>3800</v>
      </c>
      <c r="H2847" s="394">
        <v>1.0306960432140355</v>
      </c>
      <c r="I2847" s="394"/>
      <c r="J2847" s="392"/>
      <c r="K2847" s="392"/>
      <c r="L2847" s="392"/>
      <c r="M2847" s="392"/>
      <c r="N2847" s="392">
        <f t="shared" si="109"/>
        <v>1.0306960432140355</v>
      </c>
    </row>
    <row r="2848" spans="1:14" hidden="1" outlineLevel="2" x14ac:dyDescent="0.35">
      <c r="A2848" s="388" t="s">
        <v>6336</v>
      </c>
      <c r="B2848" s="389">
        <v>44474</v>
      </c>
      <c r="C2848" s="390" t="s">
        <v>6400</v>
      </c>
      <c r="D2848" s="391" t="s">
        <v>6401</v>
      </c>
      <c r="E2848" s="391" t="s">
        <v>6339</v>
      </c>
      <c r="F2848" s="392">
        <v>340000</v>
      </c>
      <c r="G2848" s="393" t="s">
        <v>3800</v>
      </c>
      <c r="H2848" s="394">
        <v>126.51142768692134</v>
      </c>
      <c r="I2848" s="394"/>
      <c r="J2848" s="392"/>
      <c r="K2848" s="392"/>
      <c r="L2848" s="392"/>
      <c r="M2848" s="392"/>
      <c r="N2848" s="392">
        <f t="shared" si="109"/>
        <v>126.51142768692134</v>
      </c>
    </row>
    <row r="2849" spans="1:14" hidden="1" outlineLevel="2" x14ac:dyDescent="0.35">
      <c r="A2849" s="388" t="s">
        <v>6336</v>
      </c>
      <c r="B2849" s="389">
        <v>44482</v>
      </c>
      <c r="C2849" s="390" t="s">
        <v>6402</v>
      </c>
      <c r="D2849" s="391" t="s">
        <v>6403</v>
      </c>
      <c r="E2849" s="391" t="s">
        <v>6370</v>
      </c>
      <c r="F2849" s="392">
        <v>250000</v>
      </c>
      <c r="G2849" s="393" t="s">
        <v>3800</v>
      </c>
      <c r="H2849" s="394">
        <v>93.023108593324508</v>
      </c>
      <c r="I2849" s="394"/>
      <c r="J2849" s="392"/>
      <c r="K2849" s="392"/>
      <c r="L2849" s="392"/>
      <c r="M2849" s="392"/>
      <c r="N2849" s="392">
        <f t="shared" si="109"/>
        <v>93.023108593324508</v>
      </c>
    </row>
    <row r="2850" spans="1:14" hidden="1" outlineLevel="2" x14ac:dyDescent="0.35">
      <c r="A2850" s="388" t="s">
        <v>6336</v>
      </c>
      <c r="B2850" s="389">
        <v>44482</v>
      </c>
      <c r="C2850" s="390" t="s">
        <v>6404</v>
      </c>
      <c r="D2850" s="391" t="s">
        <v>6405</v>
      </c>
      <c r="E2850" s="391" t="s">
        <v>6342</v>
      </c>
      <c r="F2850" s="392">
        <v>200000</v>
      </c>
      <c r="G2850" s="393" t="s">
        <v>3800</v>
      </c>
      <c r="H2850" s="394">
        <v>74.418486874659607</v>
      </c>
      <c r="I2850" s="394"/>
      <c r="J2850" s="392"/>
      <c r="K2850" s="392"/>
      <c r="L2850" s="392"/>
      <c r="M2850" s="392"/>
      <c r="N2850" s="392">
        <f t="shared" si="109"/>
        <v>74.418486874659607</v>
      </c>
    </row>
    <row r="2851" spans="1:14" hidden="1" outlineLevel="2" x14ac:dyDescent="0.35">
      <c r="A2851" s="388" t="s">
        <v>6336</v>
      </c>
      <c r="B2851" s="389">
        <v>44498</v>
      </c>
      <c r="C2851" s="390" t="s">
        <v>6406</v>
      </c>
      <c r="D2851" s="391" t="s">
        <v>6407</v>
      </c>
      <c r="E2851" s="391" t="s">
        <v>6339</v>
      </c>
      <c r="F2851" s="392">
        <v>170000</v>
      </c>
      <c r="G2851" s="393" t="s">
        <v>3800</v>
      </c>
      <c r="H2851" s="394">
        <v>63.255713843460668</v>
      </c>
      <c r="I2851" s="394"/>
      <c r="J2851" s="392"/>
      <c r="K2851" s="392"/>
      <c r="L2851" s="392"/>
      <c r="M2851" s="392"/>
      <c r="N2851" s="392">
        <f t="shared" si="109"/>
        <v>63.255713843460668</v>
      </c>
    </row>
    <row r="2852" spans="1:14" hidden="1" outlineLevel="2" x14ac:dyDescent="0.35">
      <c r="A2852" s="388" t="s">
        <v>6336</v>
      </c>
      <c r="B2852" s="389">
        <v>44498</v>
      </c>
      <c r="C2852" s="390" t="s">
        <v>6408</v>
      </c>
      <c r="D2852" s="391" t="s">
        <v>6409</v>
      </c>
      <c r="E2852" s="391" t="s">
        <v>6410</v>
      </c>
      <c r="F2852" s="392">
        <v>350000</v>
      </c>
      <c r="G2852" s="393" t="s">
        <v>3800</v>
      </c>
      <c r="H2852" s="394">
        <v>130.23235203065431</v>
      </c>
      <c r="I2852" s="394"/>
      <c r="J2852" s="392"/>
      <c r="K2852" s="392"/>
      <c r="L2852" s="392"/>
      <c r="M2852" s="392"/>
      <c r="N2852" s="392">
        <f t="shared" si="109"/>
        <v>130.23235203065431</v>
      </c>
    </row>
    <row r="2853" spans="1:14" hidden="1" outlineLevel="2" x14ac:dyDescent="0.35">
      <c r="A2853" s="388" t="s">
        <v>6336</v>
      </c>
      <c r="B2853" s="389">
        <v>44498</v>
      </c>
      <c r="C2853" s="390" t="s">
        <v>6411</v>
      </c>
      <c r="D2853" s="391" t="s">
        <v>6412</v>
      </c>
      <c r="E2853" s="391" t="s">
        <v>6413</v>
      </c>
      <c r="F2853" s="392">
        <v>300000</v>
      </c>
      <c r="G2853" s="393" t="s">
        <v>3800</v>
      </c>
      <c r="H2853" s="394">
        <v>111.62773031198941</v>
      </c>
      <c r="I2853" s="394"/>
      <c r="J2853" s="392"/>
      <c r="K2853" s="392"/>
      <c r="L2853" s="392"/>
      <c r="M2853" s="392"/>
      <c r="N2853" s="392">
        <f t="shared" si="109"/>
        <v>111.62773031198941</v>
      </c>
    </row>
    <row r="2854" spans="1:14" hidden="1" outlineLevel="2" x14ac:dyDescent="0.35">
      <c r="A2854" s="388" t="s">
        <v>6336</v>
      </c>
      <c r="B2854" s="389">
        <v>44499</v>
      </c>
      <c r="C2854" s="390" t="s">
        <v>6414</v>
      </c>
      <c r="D2854" s="391" t="s">
        <v>6415</v>
      </c>
      <c r="E2854" s="391" t="s">
        <v>4395</v>
      </c>
      <c r="F2854" s="392">
        <v>2000</v>
      </c>
      <c r="G2854" s="393" t="s">
        <v>3800</v>
      </c>
      <c r="H2854" s="394">
        <v>0.74418486874659606</v>
      </c>
      <c r="I2854" s="394"/>
      <c r="J2854" s="392"/>
      <c r="K2854" s="392"/>
      <c r="L2854" s="392"/>
      <c r="M2854" s="392"/>
      <c r="N2854" s="392">
        <f t="shared" si="109"/>
        <v>0.74418486874659606</v>
      </c>
    </row>
    <row r="2855" spans="1:14" hidden="1" outlineLevel="2" x14ac:dyDescent="0.35">
      <c r="A2855" s="388" t="s">
        <v>6336</v>
      </c>
      <c r="B2855" s="389">
        <v>44508</v>
      </c>
      <c r="C2855" s="390" t="s">
        <v>6416</v>
      </c>
      <c r="D2855" s="391" t="s">
        <v>6417</v>
      </c>
      <c r="E2855" s="391" t="s">
        <v>6342</v>
      </c>
      <c r="F2855" s="392">
        <v>150000</v>
      </c>
      <c r="G2855" s="393" t="s">
        <v>3800</v>
      </c>
      <c r="H2855" s="394">
        <v>55.813865155994705</v>
      </c>
      <c r="I2855" s="394"/>
      <c r="J2855" s="392"/>
      <c r="K2855" s="392"/>
      <c r="L2855" s="392"/>
      <c r="M2855" s="392"/>
      <c r="N2855" s="392">
        <f t="shared" si="109"/>
        <v>55.813865155994705</v>
      </c>
    </row>
    <row r="2856" spans="1:14" hidden="1" outlineLevel="2" x14ac:dyDescent="0.35">
      <c r="A2856" s="388" t="s">
        <v>6336</v>
      </c>
      <c r="B2856" s="389">
        <v>44508</v>
      </c>
      <c r="C2856" s="390" t="s">
        <v>6418</v>
      </c>
      <c r="D2856" s="391" t="s">
        <v>6419</v>
      </c>
      <c r="E2856" s="391" t="s">
        <v>6342</v>
      </c>
      <c r="F2856" s="392">
        <v>200000</v>
      </c>
      <c r="G2856" s="393" t="s">
        <v>3800</v>
      </c>
      <c r="H2856" s="394">
        <v>74.418486874659607</v>
      </c>
      <c r="I2856" s="394"/>
      <c r="J2856" s="392"/>
      <c r="K2856" s="392"/>
      <c r="L2856" s="392"/>
      <c r="M2856" s="392"/>
      <c r="N2856" s="392">
        <f t="shared" si="109"/>
        <v>74.418486874659607</v>
      </c>
    </row>
    <row r="2857" spans="1:14" hidden="1" outlineLevel="2" x14ac:dyDescent="0.35">
      <c r="A2857" s="388" t="s">
        <v>6336</v>
      </c>
      <c r="B2857" s="389">
        <v>44508</v>
      </c>
      <c r="C2857" s="390" t="s">
        <v>6420</v>
      </c>
      <c r="D2857" s="391" t="s">
        <v>6421</v>
      </c>
      <c r="E2857" s="391" t="s">
        <v>6370</v>
      </c>
      <c r="F2857" s="392">
        <v>250000</v>
      </c>
      <c r="G2857" s="393" t="s">
        <v>3800</v>
      </c>
      <c r="H2857" s="394">
        <v>93.023108593324508</v>
      </c>
      <c r="I2857" s="394"/>
      <c r="J2857" s="392"/>
      <c r="K2857" s="392"/>
      <c r="L2857" s="392"/>
      <c r="M2857" s="392"/>
      <c r="N2857" s="392">
        <f t="shared" si="109"/>
        <v>93.023108593324508</v>
      </c>
    </row>
    <row r="2858" spans="1:14" hidden="1" outlineLevel="2" x14ac:dyDescent="0.35">
      <c r="A2858" s="388" t="s">
        <v>6336</v>
      </c>
      <c r="B2858" s="389">
        <v>44525</v>
      </c>
      <c r="C2858" s="390" t="s">
        <v>6422</v>
      </c>
      <c r="D2858" s="391" t="s">
        <v>6401</v>
      </c>
      <c r="E2858" s="391" t="s">
        <v>6410</v>
      </c>
      <c r="F2858" s="392">
        <v>350000</v>
      </c>
      <c r="G2858" s="393" t="s">
        <v>3800</v>
      </c>
      <c r="H2858" s="394">
        <v>130.23235203065431</v>
      </c>
      <c r="I2858" s="394"/>
      <c r="J2858" s="392"/>
      <c r="K2858" s="392"/>
      <c r="L2858" s="392"/>
      <c r="M2858" s="392"/>
      <c r="N2858" s="392">
        <f t="shared" si="109"/>
        <v>130.23235203065431</v>
      </c>
    </row>
    <row r="2859" spans="1:14" hidden="1" outlineLevel="2" x14ac:dyDescent="0.35">
      <c r="A2859" s="388" t="s">
        <v>6336</v>
      </c>
      <c r="B2859" s="389">
        <v>44525</v>
      </c>
      <c r="C2859" s="390" t="s">
        <v>6423</v>
      </c>
      <c r="D2859" s="391" t="s">
        <v>6424</v>
      </c>
      <c r="E2859" s="391" t="s">
        <v>6342</v>
      </c>
      <c r="F2859" s="392">
        <v>150000</v>
      </c>
      <c r="G2859" s="393" t="s">
        <v>3800</v>
      </c>
      <c r="H2859" s="394">
        <v>55.813865155994705</v>
      </c>
      <c r="I2859" s="394"/>
      <c r="J2859" s="392"/>
      <c r="K2859" s="392"/>
      <c r="L2859" s="392"/>
      <c r="M2859" s="392"/>
      <c r="N2859" s="392">
        <f t="shared" si="109"/>
        <v>55.813865155994705</v>
      </c>
    </row>
    <row r="2860" spans="1:14" hidden="1" outlineLevel="2" x14ac:dyDescent="0.35">
      <c r="A2860" s="388" t="s">
        <v>6336</v>
      </c>
      <c r="B2860" s="389">
        <v>44530</v>
      </c>
      <c r="C2860" s="390" t="s">
        <v>6425</v>
      </c>
      <c r="D2860" s="391" t="s">
        <v>6426</v>
      </c>
      <c r="E2860" s="391" t="s">
        <v>6339</v>
      </c>
      <c r="F2860" s="392">
        <v>170000</v>
      </c>
      <c r="G2860" s="393" t="s">
        <v>3800</v>
      </c>
      <c r="H2860" s="394">
        <v>63.255713843460668</v>
      </c>
      <c r="I2860" s="394"/>
      <c r="J2860" s="392"/>
      <c r="K2860" s="392"/>
      <c r="L2860" s="392"/>
      <c r="M2860" s="392"/>
      <c r="N2860" s="392">
        <f t="shared" si="109"/>
        <v>63.255713843460668</v>
      </c>
    </row>
    <row r="2861" spans="1:14" hidden="1" outlineLevel="2" x14ac:dyDescent="0.35">
      <c r="A2861" s="388" t="s">
        <v>6336</v>
      </c>
      <c r="B2861" s="389">
        <v>44538</v>
      </c>
      <c r="C2861" s="390" t="s">
        <v>6427</v>
      </c>
      <c r="D2861" s="391" t="s">
        <v>6428</v>
      </c>
      <c r="E2861" s="391" t="s">
        <v>6342</v>
      </c>
      <c r="F2861" s="392">
        <v>200000</v>
      </c>
      <c r="G2861" s="393" t="s">
        <v>3800</v>
      </c>
      <c r="H2861" s="394">
        <v>74.418486874659607</v>
      </c>
      <c r="I2861" s="394"/>
      <c r="J2861" s="392"/>
      <c r="K2861" s="392"/>
      <c r="L2861" s="392"/>
      <c r="M2861" s="392"/>
      <c r="N2861" s="392">
        <f t="shared" si="109"/>
        <v>74.418486874659607</v>
      </c>
    </row>
    <row r="2862" spans="1:14" hidden="1" outlineLevel="2" x14ac:dyDescent="0.35">
      <c r="A2862" s="388" t="s">
        <v>6336</v>
      </c>
      <c r="B2862" s="389">
        <v>44530</v>
      </c>
      <c r="C2862" s="390" t="s">
        <v>6429</v>
      </c>
      <c r="D2862" s="391" t="s">
        <v>6430</v>
      </c>
      <c r="E2862" s="391" t="s">
        <v>6431</v>
      </c>
      <c r="F2862" s="392">
        <v>600000</v>
      </c>
      <c r="G2862" s="393" t="s">
        <v>3800</v>
      </c>
      <c r="H2862" s="394">
        <v>223.25546062397882</v>
      </c>
      <c r="I2862" s="394"/>
      <c r="J2862" s="392"/>
      <c r="K2862" s="392"/>
      <c r="L2862" s="392"/>
      <c r="M2862" s="392"/>
      <c r="N2862" s="392">
        <f t="shared" si="109"/>
        <v>223.25546062397882</v>
      </c>
    </row>
    <row r="2863" spans="1:14" hidden="1" outlineLevel="2" x14ac:dyDescent="0.35">
      <c r="A2863" s="388" t="s">
        <v>6336</v>
      </c>
      <c r="B2863" s="389">
        <v>44530</v>
      </c>
      <c r="C2863" s="390" t="s">
        <v>6432</v>
      </c>
      <c r="D2863" s="391" t="s">
        <v>6433</v>
      </c>
      <c r="E2863" s="391" t="s">
        <v>4395</v>
      </c>
      <c r="F2863" s="392">
        <v>42360</v>
      </c>
      <c r="G2863" s="393" t="s">
        <v>3800</v>
      </c>
      <c r="H2863" s="394">
        <v>15.761835520052905</v>
      </c>
      <c r="I2863" s="394"/>
      <c r="J2863" s="392"/>
      <c r="K2863" s="392"/>
      <c r="L2863" s="392"/>
      <c r="M2863" s="392"/>
      <c r="N2863" s="392">
        <f t="shared" si="109"/>
        <v>15.761835520052905</v>
      </c>
    </row>
    <row r="2864" spans="1:14" hidden="1" outlineLevel="2" x14ac:dyDescent="0.35">
      <c r="A2864" s="388" t="s">
        <v>6336</v>
      </c>
      <c r="B2864" s="389">
        <v>44543</v>
      </c>
      <c r="C2864" s="390" t="s">
        <v>6434</v>
      </c>
      <c r="D2864" s="391" t="s">
        <v>6435</v>
      </c>
      <c r="E2864" s="391" t="s">
        <v>6370</v>
      </c>
      <c r="F2864" s="392">
        <v>250000</v>
      </c>
      <c r="G2864" s="393" t="s">
        <v>3800</v>
      </c>
      <c r="H2864" s="394">
        <v>93.023108593324508</v>
      </c>
      <c r="I2864" s="394"/>
      <c r="J2864" s="392"/>
      <c r="K2864" s="392"/>
      <c r="L2864" s="392"/>
      <c r="M2864" s="392"/>
      <c r="N2864" s="392">
        <f t="shared" si="109"/>
        <v>93.023108593324508</v>
      </c>
    </row>
    <row r="2865" spans="1:14" hidden="1" outlineLevel="2" x14ac:dyDescent="0.35">
      <c r="A2865" s="388" t="s">
        <v>6336</v>
      </c>
      <c r="B2865" s="389">
        <v>44548</v>
      </c>
      <c r="C2865" s="390" t="s">
        <v>6436</v>
      </c>
      <c r="D2865" s="391" t="s">
        <v>6437</v>
      </c>
      <c r="E2865" s="391" t="s">
        <v>6410</v>
      </c>
      <c r="F2865" s="392">
        <v>350000</v>
      </c>
      <c r="G2865" s="393" t="s">
        <v>3800</v>
      </c>
      <c r="H2865" s="394">
        <v>130.23235203065431</v>
      </c>
      <c r="I2865" s="394"/>
      <c r="J2865" s="392"/>
      <c r="K2865" s="392"/>
      <c r="L2865" s="392"/>
      <c r="M2865" s="392"/>
      <c r="N2865" s="392">
        <f t="shared" si="109"/>
        <v>130.23235203065431</v>
      </c>
    </row>
    <row r="2866" spans="1:14" hidden="1" outlineLevel="2" x14ac:dyDescent="0.35">
      <c r="A2866" s="388" t="s">
        <v>6336</v>
      </c>
      <c r="B2866" s="389">
        <v>44551</v>
      </c>
      <c r="C2866" s="390" t="s">
        <v>6438</v>
      </c>
      <c r="D2866" s="391" t="s">
        <v>6439</v>
      </c>
      <c r="E2866" s="391" t="s">
        <v>6440</v>
      </c>
      <c r="F2866" s="392">
        <v>170000</v>
      </c>
      <c r="G2866" s="393" t="s">
        <v>3800</v>
      </c>
      <c r="H2866" s="394">
        <v>63.255713843460668</v>
      </c>
      <c r="I2866" s="394"/>
      <c r="J2866" s="392"/>
      <c r="K2866" s="392"/>
      <c r="L2866" s="392"/>
      <c r="M2866" s="392"/>
      <c r="N2866" s="392">
        <f t="shared" si="109"/>
        <v>63.255713843460668</v>
      </c>
    </row>
    <row r="2867" spans="1:14" hidden="1" outlineLevel="2" x14ac:dyDescent="0.35">
      <c r="A2867" s="388" t="s">
        <v>6336</v>
      </c>
      <c r="B2867" s="389">
        <v>44569</v>
      </c>
      <c r="C2867" s="390" t="s">
        <v>6441</v>
      </c>
      <c r="D2867" s="391" t="s">
        <v>6442</v>
      </c>
      <c r="E2867" s="391" t="s">
        <v>6370</v>
      </c>
      <c r="F2867" s="392">
        <v>250000</v>
      </c>
      <c r="G2867" s="393" t="s">
        <v>3800</v>
      </c>
      <c r="H2867" s="394">
        <v>93.023108593324508</v>
      </c>
      <c r="I2867" s="394"/>
      <c r="J2867" s="392"/>
      <c r="K2867" s="392"/>
      <c r="L2867" s="392"/>
      <c r="M2867" s="392"/>
      <c r="N2867" s="392">
        <v>93.023108593324508</v>
      </c>
    </row>
    <row r="2868" spans="1:14" hidden="1" outlineLevel="2" x14ac:dyDescent="0.35">
      <c r="A2868" s="388" t="s">
        <v>6336</v>
      </c>
      <c r="B2868" s="389">
        <v>44585</v>
      </c>
      <c r="C2868" s="390" t="s">
        <v>6443</v>
      </c>
      <c r="D2868" s="391" t="s">
        <v>6444</v>
      </c>
      <c r="E2868" s="391" t="s">
        <v>6342</v>
      </c>
      <c r="F2868" s="392">
        <v>400000</v>
      </c>
      <c r="G2868" s="393" t="s">
        <v>3800</v>
      </c>
      <c r="H2868" s="394">
        <v>148.83697374931921</v>
      </c>
      <c r="I2868" s="394"/>
      <c r="J2868" s="392"/>
      <c r="K2868" s="392"/>
      <c r="L2868" s="392"/>
      <c r="M2868" s="392"/>
      <c r="N2868" s="392">
        <v>148.83697374931921</v>
      </c>
    </row>
    <row r="2869" spans="1:14" hidden="1" outlineLevel="2" x14ac:dyDescent="0.35">
      <c r="A2869" s="388" t="s">
        <v>6336</v>
      </c>
      <c r="B2869" s="389">
        <v>44585</v>
      </c>
      <c r="C2869" s="390" t="s">
        <v>6445</v>
      </c>
      <c r="D2869" s="391" t="s">
        <v>6446</v>
      </c>
      <c r="E2869" s="391" t="s">
        <v>6339</v>
      </c>
      <c r="F2869" s="392">
        <v>170000</v>
      </c>
      <c r="G2869" s="393" t="s">
        <v>3800</v>
      </c>
      <c r="H2869" s="394">
        <v>63.255713843460668</v>
      </c>
      <c r="I2869" s="394"/>
      <c r="J2869" s="392"/>
      <c r="K2869" s="392"/>
      <c r="L2869" s="392"/>
      <c r="M2869" s="392"/>
      <c r="N2869" s="392">
        <v>63.255713843460668</v>
      </c>
    </row>
    <row r="2870" spans="1:14" hidden="1" outlineLevel="2" x14ac:dyDescent="0.35">
      <c r="A2870" s="388" t="s">
        <v>6336</v>
      </c>
      <c r="B2870" s="389">
        <v>44588</v>
      </c>
      <c r="C2870" s="390" t="s">
        <v>6447</v>
      </c>
      <c r="D2870" s="391" t="s">
        <v>6448</v>
      </c>
      <c r="E2870" s="391" t="s">
        <v>6410</v>
      </c>
      <c r="F2870" s="392">
        <v>386000</v>
      </c>
      <c r="G2870" s="393" t="s">
        <v>3800</v>
      </c>
      <c r="H2870" s="394">
        <v>143.62767966809304</v>
      </c>
      <c r="I2870" s="394"/>
      <c r="J2870" s="392"/>
      <c r="K2870" s="392"/>
      <c r="L2870" s="392"/>
      <c r="M2870" s="392"/>
      <c r="N2870" s="392">
        <v>143.62767966809304</v>
      </c>
    </row>
    <row r="2871" spans="1:14" hidden="1" outlineLevel="2" x14ac:dyDescent="0.35">
      <c r="A2871" s="388" t="s">
        <v>6336</v>
      </c>
      <c r="B2871" s="389">
        <v>44590</v>
      </c>
      <c r="C2871" s="390" t="s">
        <v>6449</v>
      </c>
      <c r="D2871" s="391" t="s">
        <v>6450</v>
      </c>
      <c r="E2871" s="391" t="s">
        <v>6370</v>
      </c>
      <c r="F2871" s="392">
        <v>250000</v>
      </c>
      <c r="G2871" s="393" t="s">
        <v>3800</v>
      </c>
      <c r="H2871" s="394">
        <v>93.023108593324508</v>
      </c>
      <c r="I2871" s="394"/>
      <c r="J2871" s="392"/>
      <c r="K2871" s="392"/>
      <c r="L2871" s="392"/>
      <c r="M2871" s="392"/>
      <c r="N2871" s="392">
        <v>93.023108593324508</v>
      </c>
    </row>
    <row r="2872" spans="1:14" outlineLevel="1" collapsed="1" x14ac:dyDescent="0.35">
      <c r="A2872" s="395" t="s">
        <v>6451</v>
      </c>
      <c r="B2872" s="389"/>
      <c r="C2872" s="390"/>
      <c r="D2872" s="391"/>
      <c r="E2872" s="391"/>
      <c r="F2872" s="392"/>
      <c r="G2872" s="393"/>
      <c r="H2872" s="394">
        <f t="shared" ref="H2872:N2872" si="110">SUBTOTAL(9,H2818:H2871)</f>
        <v>5336.4678334462806</v>
      </c>
      <c r="I2872" s="394"/>
      <c r="J2872" s="392">
        <f t="shared" si="110"/>
        <v>0</v>
      </c>
      <c r="K2872" s="392">
        <f t="shared" si="110"/>
        <v>0</v>
      </c>
      <c r="L2872" s="392">
        <f t="shared" si="110"/>
        <v>0</v>
      </c>
      <c r="M2872" s="392">
        <f t="shared" si="110"/>
        <v>0</v>
      </c>
      <c r="N2872" s="392">
        <f t="shared" si="110"/>
        <v>5336.4678334462806</v>
      </c>
    </row>
    <row r="2873" spans="1:14" hidden="1" outlineLevel="2" x14ac:dyDescent="0.35">
      <c r="A2873" s="388" t="s">
        <v>6452</v>
      </c>
      <c r="B2873" s="389">
        <v>44266</v>
      </c>
      <c r="C2873" s="390" t="s">
        <v>4526</v>
      </c>
      <c r="D2873" s="391" t="s">
        <v>4527</v>
      </c>
      <c r="E2873" s="391" t="s">
        <v>6453</v>
      </c>
      <c r="F2873" s="392">
        <v>3153153</v>
      </c>
      <c r="G2873" s="393" t="s">
        <v>3800</v>
      </c>
      <c r="H2873" s="394">
        <v>1173.2643757214678</v>
      </c>
      <c r="I2873" s="394"/>
      <c r="J2873" s="392"/>
      <c r="K2873" s="392"/>
      <c r="L2873" s="392"/>
      <c r="M2873" s="392"/>
      <c r="N2873" s="392">
        <f t="shared" ref="N2873:N2905" si="111">H2873</f>
        <v>1173.2643757214678</v>
      </c>
    </row>
    <row r="2874" spans="1:14" hidden="1" outlineLevel="2" x14ac:dyDescent="0.35">
      <c r="A2874" s="388" t="s">
        <v>6452</v>
      </c>
      <c r="B2874" s="389">
        <v>44266</v>
      </c>
      <c r="C2874" s="390" t="s">
        <v>4529</v>
      </c>
      <c r="D2874" s="391" t="s">
        <v>4530</v>
      </c>
      <c r="E2874" s="391" t="s">
        <v>4272</v>
      </c>
      <c r="F2874" s="392">
        <v>315315.30000000005</v>
      </c>
      <c r="G2874" s="393" t="s">
        <v>3800</v>
      </c>
      <c r="H2874" s="394">
        <v>117.3264375721468</v>
      </c>
      <c r="I2874" s="394"/>
      <c r="J2874" s="392"/>
      <c r="K2874" s="392"/>
      <c r="L2874" s="392"/>
      <c r="M2874" s="392"/>
      <c r="N2874" s="392">
        <f t="shared" si="111"/>
        <v>117.3264375721468</v>
      </c>
    </row>
    <row r="2875" spans="1:14" hidden="1" outlineLevel="2" x14ac:dyDescent="0.35">
      <c r="A2875" s="388" t="s">
        <v>6452</v>
      </c>
      <c r="B2875" s="389">
        <v>44266</v>
      </c>
      <c r="C2875" s="390" t="s">
        <v>4531</v>
      </c>
      <c r="D2875" s="391" t="s">
        <v>4051</v>
      </c>
      <c r="E2875" s="391" t="s">
        <v>4042</v>
      </c>
      <c r="F2875" s="392">
        <v>31531.530000000002</v>
      </c>
      <c r="G2875" s="393" t="s">
        <v>3800</v>
      </c>
      <c r="H2875" s="394">
        <v>11.73264375721468</v>
      </c>
      <c r="I2875" s="394"/>
      <c r="J2875" s="392"/>
      <c r="K2875" s="392"/>
      <c r="L2875" s="392"/>
      <c r="M2875" s="392"/>
      <c r="N2875" s="392">
        <f t="shared" si="111"/>
        <v>11.73264375721468</v>
      </c>
    </row>
    <row r="2876" spans="1:14" hidden="1" outlineLevel="2" x14ac:dyDescent="0.35">
      <c r="A2876" s="388" t="s">
        <v>6452</v>
      </c>
      <c r="B2876" s="389">
        <v>44284</v>
      </c>
      <c r="C2876" s="390" t="s">
        <v>4532</v>
      </c>
      <c r="D2876" s="391" t="s">
        <v>4533</v>
      </c>
      <c r="E2876" s="391" t="s">
        <v>6453</v>
      </c>
      <c r="F2876" s="392">
        <v>3153153</v>
      </c>
      <c r="G2876" s="393" t="s">
        <v>3800</v>
      </c>
      <c r="H2876" s="394">
        <v>1173.2643757214678</v>
      </c>
      <c r="I2876" s="394"/>
      <c r="J2876" s="392"/>
      <c r="K2876" s="392"/>
      <c r="L2876" s="392"/>
      <c r="M2876" s="392"/>
      <c r="N2876" s="392">
        <f t="shared" si="111"/>
        <v>1173.2643757214678</v>
      </c>
    </row>
    <row r="2877" spans="1:14" hidden="1" outlineLevel="2" x14ac:dyDescent="0.35">
      <c r="A2877" s="388" t="s">
        <v>6452</v>
      </c>
      <c r="B2877" s="389">
        <v>44284</v>
      </c>
      <c r="C2877" s="390" t="s">
        <v>4534</v>
      </c>
      <c r="D2877" s="391" t="s">
        <v>4535</v>
      </c>
      <c r="E2877" s="391" t="s">
        <v>4272</v>
      </c>
      <c r="F2877" s="392">
        <v>315315.30000000005</v>
      </c>
      <c r="G2877" s="393" t="s">
        <v>3800</v>
      </c>
      <c r="H2877" s="394">
        <v>117.3264375721468</v>
      </c>
      <c r="I2877" s="394"/>
      <c r="J2877" s="392"/>
      <c r="K2877" s="392"/>
      <c r="L2877" s="392"/>
      <c r="M2877" s="392"/>
      <c r="N2877" s="392">
        <f t="shared" si="111"/>
        <v>117.3264375721468</v>
      </c>
    </row>
    <row r="2878" spans="1:14" hidden="1" outlineLevel="2" x14ac:dyDescent="0.35">
      <c r="A2878" s="388" t="s">
        <v>6452</v>
      </c>
      <c r="B2878" s="389">
        <v>44284</v>
      </c>
      <c r="C2878" s="390" t="s">
        <v>4536</v>
      </c>
      <c r="D2878" s="391" t="s">
        <v>4061</v>
      </c>
      <c r="E2878" s="391" t="s">
        <v>4042</v>
      </c>
      <c r="F2878" s="392">
        <v>31531.530000000002</v>
      </c>
      <c r="G2878" s="393" t="s">
        <v>3800</v>
      </c>
      <c r="H2878" s="394">
        <v>11.73264375721468</v>
      </c>
      <c r="I2878" s="394"/>
      <c r="J2878" s="392"/>
      <c r="K2878" s="392"/>
      <c r="L2878" s="392"/>
      <c r="M2878" s="392"/>
      <c r="N2878" s="392">
        <f t="shared" si="111"/>
        <v>11.73264375721468</v>
      </c>
    </row>
    <row r="2879" spans="1:14" hidden="1" outlineLevel="2" x14ac:dyDescent="0.35">
      <c r="A2879" s="388" t="s">
        <v>6452</v>
      </c>
      <c r="B2879" s="389">
        <v>44316</v>
      </c>
      <c r="C2879" s="390" t="s">
        <v>4537</v>
      </c>
      <c r="D2879" s="391" t="s">
        <v>4538</v>
      </c>
      <c r="E2879" s="391" t="s">
        <v>6453</v>
      </c>
      <c r="F2879" s="392">
        <v>3153153</v>
      </c>
      <c r="G2879" s="393" t="s">
        <v>3800</v>
      </c>
      <c r="H2879" s="394">
        <v>1173.2643757214678</v>
      </c>
      <c r="I2879" s="394"/>
      <c r="J2879" s="392"/>
      <c r="K2879" s="392"/>
      <c r="L2879" s="392"/>
      <c r="M2879" s="392"/>
      <c r="N2879" s="392">
        <f t="shared" si="111"/>
        <v>1173.2643757214678</v>
      </c>
    </row>
    <row r="2880" spans="1:14" hidden="1" outlineLevel="2" x14ac:dyDescent="0.35">
      <c r="A2880" s="388" t="s">
        <v>6452</v>
      </c>
      <c r="B2880" s="389">
        <v>44316</v>
      </c>
      <c r="C2880" s="390" t="s">
        <v>4539</v>
      </c>
      <c r="D2880" s="391" t="s">
        <v>4540</v>
      </c>
      <c r="E2880" s="391" t="s">
        <v>4272</v>
      </c>
      <c r="F2880" s="392">
        <v>315315.30000000005</v>
      </c>
      <c r="G2880" s="393" t="s">
        <v>3800</v>
      </c>
      <c r="H2880" s="394">
        <v>117.3264375721468</v>
      </c>
      <c r="I2880" s="394"/>
      <c r="J2880" s="392"/>
      <c r="K2880" s="392"/>
      <c r="L2880" s="392"/>
      <c r="M2880" s="392"/>
      <c r="N2880" s="392">
        <f t="shared" si="111"/>
        <v>117.3264375721468</v>
      </c>
    </row>
    <row r="2881" spans="1:14" hidden="1" outlineLevel="2" x14ac:dyDescent="0.35">
      <c r="A2881" s="388" t="s">
        <v>6452</v>
      </c>
      <c r="B2881" s="389">
        <v>44316</v>
      </c>
      <c r="C2881" s="390" t="s">
        <v>4541</v>
      </c>
      <c r="D2881" s="391" t="s">
        <v>4542</v>
      </c>
      <c r="E2881" s="391" t="s">
        <v>4042</v>
      </c>
      <c r="F2881" s="392">
        <v>31531.530000000002</v>
      </c>
      <c r="G2881" s="393" t="s">
        <v>3800</v>
      </c>
      <c r="H2881" s="394">
        <v>11.73264375721468</v>
      </c>
      <c r="I2881" s="394"/>
      <c r="J2881" s="392"/>
      <c r="K2881" s="392"/>
      <c r="L2881" s="392"/>
      <c r="M2881" s="392"/>
      <c r="N2881" s="392">
        <f t="shared" si="111"/>
        <v>11.73264375721468</v>
      </c>
    </row>
    <row r="2882" spans="1:14" hidden="1" outlineLevel="2" x14ac:dyDescent="0.35">
      <c r="A2882" s="388" t="s">
        <v>6452</v>
      </c>
      <c r="B2882" s="389">
        <v>44343</v>
      </c>
      <c r="C2882" s="390" t="s">
        <v>4543</v>
      </c>
      <c r="D2882" s="391" t="s">
        <v>4544</v>
      </c>
      <c r="E2882" s="391" t="s">
        <v>6453</v>
      </c>
      <c r="F2882" s="392">
        <v>3153153</v>
      </c>
      <c r="G2882" s="393" t="s">
        <v>3800</v>
      </c>
      <c r="H2882" s="394">
        <v>1173.2643757214678</v>
      </c>
      <c r="I2882" s="394"/>
      <c r="J2882" s="392"/>
      <c r="K2882" s="392"/>
      <c r="L2882" s="392"/>
      <c r="M2882" s="392"/>
      <c r="N2882" s="392">
        <f t="shared" si="111"/>
        <v>1173.2643757214678</v>
      </c>
    </row>
    <row r="2883" spans="1:14" hidden="1" outlineLevel="2" x14ac:dyDescent="0.35">
      <c r="A2883" s="388" t="s">
        <v>6452</v>
      </c>
      <c r="B2883" s="389">
        <v>44343</v>
      </c>
      <c r="C2883" s="390" t="s">
        <v>4545</v>
      </c>
      <c r="D2883" s="391" t="s">
        <v>4546</v>
      </c>
      <c r="E2883" s="391" t="s">
        <v>4272</v>
      </c>
      <c r="F2883" s="392">
        <v>315315.30000000005</v>
      </c>
      <c r="G2883" s="393" t="s">
        <v>3800</v>
      </c>
      <c r="H2883" s="394">
        <v>117.3264375721468</v>
      </c>
      <c r="I2883" s="394"/>
      <c r="J2883" s="392"/>
      <c r="K2883" s="392"/>
      <c r="L2883" s="392"/>
      <c r="M2883" s="392"/>
      <c r="N2883" s="392">
        <f t="shared" si="111"/>
        <v>117.3264375721468</v>
      </c>
    </row>
    <row r="2884" spans="1:14" hidden="1" outlineLevel="2" x14ac:dyDescent="0.35">
      <c r="A2884" s="388" t="s">
        <v>6452</v>
      </c>
      <c r="B2884" s="389">
        <v>44343</v>
      </c>
      <c r="C2884" s="390" t="s">
        <v>4547</v>
      </c>
      <c r="D2884" s="391" t="s">
        <v>4548</v>
      </c>
      <c r="E2884" s="391" t="s">
        <v>4042</v>
      </c>
      <c r="F2884" s="392">
        <v>31531.530000000002</v>
      </c>
      <c r="G2884" s="393" t="s">
        <v>3800</v>
      </c>
      <c r="H2884" s="394">
        <v>11.73264375721468</v>
      </c>
      <c r="I2884" s="394"/>
      <c r="J2884" s="392"/>
      <c r="K2884" s="392"/>
      <c r="L2884" s="392"/>
      <c r="M2884" s="392"/>
      <c r="N2884" s="392">
        <f t="shared" si="111"/>
        <v>11.73264375721468</v>
      </c>
    </row>
    <row r="2885" spans="1:14" hidden="1" outlineLevel="2" x14ac:dyDescent="0.35">
      <c r="A2885" s="388" t="s">
        <v>6452</v>
      </c>
      <c r="B2885" s="389">
        <v>44376</v>
      </c>
      <c r="C2885" s="390" t="s">
        <v>4549</v>
      </c>
      <c r="D2885" s="391" t="s">
        <v>4550</v>
      </c>
      <c r="E2885" s="391" t="s">
        <v>6453</v>
      </c>
      <c r="F2885" s="392">
        <v>3153153</v>
      </c>
      <c r="G2885" s="393" t="s">
        <v>3800</v>
      </c>
      <c r="H2885" s="394">
        <v>1173.2643757214678</v>
      </c>
      <c r="I2885" s="394"/>
      <c r="J2885" s="392"/>
      <c r="K2885" s="392"/>
      <c r="L2885" s="392"/>
      <c r="M2885" s="392"/>
      <c r="N2885" s="392">
        <f t="shared" si="111"/>
        <v>1173.2643757214678</v>
      </c>
    </row>
    <row r="2886" spans="1:14" hidden="1" outlineLevel="2" x14ac:dyDescent="0.35">
      <c r="A2886" s="388" t="s">
        <v>6452</v>
      </c>
      <c r="B2886" s="389">
        <v>44376</v>
      </c>
      <c r="C2886" s="390" t="s">
        <v>4551</v>
      </c>
      <c r="D2886" s="391" t="s">
        <v>4552</v>
      </c>
      <c r="E2886" s="391" t="s">
        <v>4272</v>
      </c>
      <c r="F2886" s="392">
        <v>315315.30000000005</v>
      </c>
      <c r="G2886" s="393" t="s">
        <v>3800</v>
      </c>
      <c r="H2886" s="394">
        <v>117.3264375721468</v>
      </c>
      <c r="I2886" s="394"/>
      <c r="J2886" s="392"/>
      <c r="K2886" s="392"/>
      <c r="L2886" s="392"/>
      <c r="M2886" s="392"/>
      <c r="N2886" s="392">
        <f t="shared" si="111"/>
        <v>117.3264375721468</v>
      </c>
    </row>
    <row r="2887" spans="1:14" hidden="1" outlineLevel="2" x14ac:dyDescent="0.35">
      <c r="A2887" s="388" t="s">
        <v>6452</v>
      </c>
      <c r="B2887" s="389">
        <v>44376</v>
      </c>
      <c r="C2887" s="390" t="s">
        <v>4553</v>
      </c>
      <c r="D2887" s="391" t="s">
        <v>4554</v>
      </c>
      <c r="E2887" s="391" t="s">
        <v>4042</v>
      </c>
      <c r="F2887" s="392">
        <v>31531.530000000002</v>
      </c>
      <c r="G2887" s="393" t="s">
        <v>3800</v>
      </c>
      <c r="H2887" s="394">
        <v>11.73264375721468</v>
      </c>
      <c r="I2887" s="394"/>
      <c r="J2887" s="392"/>
      <c r="K2887" s="392"/>
      <c r="L2887" s="392"/>
      <c r="M2887" s="392"/>
      <c r="N2887" s="392">
        <f t="shared" si="111"/>
        <v>11.73264375721468</v>
      </c>
    </row>
    <row r="2888" spans="1:14" hidden="1" outlineLevel="2" x14ac:dyDescent="0.35">
      <c r="A2888" s="388" t="s">
        <v>6452</v>
      </c>
      <c r="B2888" s="389">
        <v>44407</v>
      </c>
      <c r="C2888" s="390" t="s">
        <v>4555</v>
      </c>
      <c r="D2888" s="391" t="s">
        <v>6454</v>
      </c>
      <c r="E2888" s="391" t="s">
        <v>6453</v>
      </c>
      <c r="F2888" s="392">
        <v>3153153</v>
      </c>
      <c r="G2888" s="393" t="s">
        <v>3800</v>
      </c>
      <c r="H2888" s="394">
        <v>1173.2643757214678</v>
      </c>
      <c r="I2888" s="394"/>
      <c r="J2888" s="392"/>
      <c r="K2888" s="392"/>
      <c r="L2888" s="392"/>
      <c r="M2888" s="392"/>
      <c r="N2888" s="392">
        <f t="shared" si="111"/>
        <v>1173.2643757214678</v>
      </c>
    </row>
    <row r="2889" spans="1:14" hidden="1" outlineLevel="2" x14ac:dyDescent="0.35">
      <c r="A2889" s="388" t="s">
        <v>6452</v>
      </c>
      <c r="B2889" s="389">
        <v>44407</v>
      </c>
      <c r="C2889" s="390" t="s">
        <v>4557</v>
      </c>
      <c r="D2889" s="391" t="s">
        <v>6455</v>
      </c>
      <c r="E2889" s="391" t="s">
        <v>4272</v>
      </c>
      <c r="F2889" s="392">
        <v>315315.30000000005</v>
      </c>
      <c r="G2889" s="393" t="s">
        <v>3800</v>
      </c>
      <c r="H2889" s="394">
        <v>117.3264375721468</v>
      </c>
      <c r="I2889" s="394"/>
      <c r="J2889" s="392"/>
      <c r="K2889" s="392"/>
      <c r="L2889" s="392"/>
      <c r="M2889" s="392"/>
      <c r="N2889" s="392">
        <f t="shared" si="111"/>
        <v>117.3264375721468</v>
      </c>
    </row>
    <row r="2890" spans="1:14" hidden="1" outlineLevel="2" x14ac:dyDescent="0.35">
      <c r="A2890" s="388" t="s">
        <v>6452</v>
      </c>
      <c r="B2890" s="389">
        <v>44407</v>
      </c>
      <c r="C2890" s="390" t="s">
        <v>4559</v>
      </c>
      <c r="D2890" s="391" t="s">
        <v>4560</v>
      </c>
      <c r="E2890" s="391" t="s">
        <v>4042</v>
      </c>
      <c r="F2890" s="392">
        <v>18918.919999999998</v>
      </c>
      <c r="G2890" s="393" t="s">
        <v>3800</v>
      </c>
      <c r="H2890" s="394">
        <v>7.0395869985136752</v>
      </c>
      <c r="I2890" s="394"/>
      <c r="J2890" s="392"/>
      <c r="K2890" s="392"/>
      <c r="L2890" s="392"/>
      <c r="M2890" s="392"/>
      <c r="N2890" s="392">
        <f t="shared" si="111"/>
        <v>7.0395869985136752</v>
      </c>
    </row>
    <row r="2891" spans="1:14" hidden="1" outlineLevel="2" x14ac:dyDescent="0.35">
      <c r="A2891" s="388" t="s">
        <v>6452</v>
      </c>
      <c r="B2891" s="389">
        <v>44438</v>
      </c>
      <c r="C2891" s="390" t="s">
        <v>4561</v>
      </c>
      <c r="D2891" s="391" t="s">
        <v>4562</v>
      </c>
      <c r="E2891" s="391" t="s">
        <v>6453</v>
      </c>
      <c r="F2891" s="392">
        <v>3153153</v>
      </c>
      <c r="G2891" s="393" t="s">
        <v>3800</v>
      </c>
      <c r="H2891" s="394">
        <v>1173.2643757214678</v>
      </c>
      <c r="I2891" s="394"/>
      <c r="J2891" s="392"/>
      <c r="K2891" s="392"/>
      <c r="L2891" s="392"/>
      <c r="M2891" s="392"/>
      <c r="N2891" s="392">
        <f t="shared" si="111"/>
        <v>1173.2643757214678</v>
      </c>
    </row>
    <row r="2892" spans="1:14" hidden="1" outlineLevel="2" x14ac:dyDescent="0.35">
      <c r="A2892" s="388" t="s">
        <v>6452</v>
      </c>
      <c r="B2892" s="389">
        <v>44438</v>
      </c>
      <c r="C2892" s="390" t="s">
        <v>4564</v>
      </c>
      <c r="D2892" s="391" t="s">
        <v>4565</v>
      </c>
      <c r="E2892" s="391" t="s">
        <v>4272</v>
      </c>
      <c r="F2892" s="392">
        <v>315315.30000000005</v>
      </c>
      <c r="G2892" s="393" t="s">
        <v>3800</v>
      </c>
      <c r="H2892" s="394">
        <v>117.3264375721468</v>
      </c>
      <c r="I2892" s="394"/>
      <c r="J2892" s="392"/>
      <c r="K2892" s="392"/>
      <c r="L2892" s="392"/>
      <c r="M2892" s="392"/>
      <c r="N2892" s="392">
        <f t="shared" si="111"/>
        <v>117.3264375721468</v>
      </c>
    </row>
    <row r="2893" spans="1:14" hidden="1" outlineLevel="2" x14ac:dyDescent="0.35">
      <c r="A2893" s="388" t="s">
        <v>6452</v>
      </c>
      <c r="B2893" s="389">
        <v>44438</v>
      </c>
      <c r="C2893" s="390" t="s">
        <v>4566</v>
      </c>
      <c r="D2893" s="391" t="s">
        <v>4567</v>
      </c>
      <c r="E2893" s="391" t="s">
        <v>4042</v>
      </c>
      <c r="F2893" s="392">
        <v>18918.919999999998</v>
      </c>
      <c r="G2893" s="393" t="s">
        <v>3800</v>
      </c>
      <c r="H2893" s="394">
        <v>7.0395869985136752</v>
      </c>
      <c r="I2893" s="394"/>
      <c r="J2893" s="392"/>
      <c r="K2893" s="392"/>
      <c r="L2893" s="392"/>
      <c r="M2893" s="392"/>
      <c r="N2893" s="392">
        <f t="shared" si="111"/>
        <v>7.0395869985136752</v>
      </c>
    </row>
    <row r="2894" spans="1:14" hidden="1" outlineLevel="2" x14ac:dyDescent="0.35">
      <c r="A2894" s="388" t="s">
        <v>6452</v>
      </c>
      <c r="B2894" s="389">
        <v>44467</v>
      </c>
      <c r="C2894" s="390" t="s">
        <v>4568</v>
      </c>
      <c r="D2894" s="391" t="s">
        <v>4569</v>
      </c>
      <c r="E2894" s="391" t="s">
        <v>6453</v>
      </c>
      <c r="F2894" s="392">
        <v>3153153</v>
      </c>
      <c r="G2894" s="393" t="s">
        <v>3800</v>
      </c>
      <c r="H2894" s="394">
        <v>1173.2643757214678</v>
      </c>
      <c r="I2894" s="394"/>
      <c r="J2894" s="392"/>
      <c r="K2894" s="392"/>
      <c r="L2894" s="392"/>
      <c r="M2894" s="392"/>
      <c r="N2894" s="392">
        <f t="shared" si="111"/>
        <v>1173.2643757214678</v>
      </c>
    </row>
    <row r="2895" spans="1:14" hidden="1" outlineLevel="2" x14ac:dyDescent="0.35">
      <c r="A2895" s="388" t="s">
        <v>6452</v>
      </c>
      <c r="B2895" s="389">
        <v>44467</v>
      </c>
      <c r="C2895" s="390" t="s">
        <v>4570</v>
      </c>
      <c r="D2895" s="391" t="s">
        <v>4571</v>
      </c>
      <c r="E2895" s="391" t="s">
        <v>4272</v>
      </c>
      <c r="F2895" s="392">
        <v>315315.30000000005</v>
      </c>
      <c r="G2895" s="393" t="s">
        <v>3800</v>
      </c>
      <c r="H2895" s="394">
        <v>117.3264375721468</v>
      </c>
      <c r="I2895" s="394"/>
      <c r="J2895" s="392"/>
      <c r="K2895" s="392"/>
      <c r="L2895" s="392"/>
      <c r="M2895" s="392"/>
      <c r="N2895" s="392">
        <f t="shared" si="111"/>
        <v>117.3264375721468</v>
      </c>
    </row>
    <row r="2896" spans="1:14" hidden="1" outlineLevel="2" x14ac:dyDescent="0.35">
      <c r="A2896" s="388" t="s">
        <v>6452</v>
      </c>
      <c r="B2896" s="389">
        <v>44467</v>
      </c>
      <c r="C2896" s="390" t="s">
        <v>4572</v>
      </c>
      <c r="D2896" s="391" t="s">
        <v>4573</v>
      </c>
      <c r="E2896" s="391" t="s">
        <v>4042</v>
      </c>
      <c r="F2896" s="392">
        <v>18918.919999999998</v>
      </c>
      <c r="G2896" s="393" t="s">
        <v>3800</v>
      </c>
      <c r="H2896" s="394">
        <v>7.0395869985136752</v>
      </c>
      <c r="I2896" s="394"/>
      <c r="J2896" s="392"/>
      <c r="K2896" s="392"/>
      <c r="L2896" s="392"/>
      <c r="M2896" s="392"/>
      <c r="N2896" s="392">
        <f t="shared" si="111"/>
        <v>7.0395869985136752</v>
      </c>
    </row>
    <row r="2897" spans="1:14" hidden="1" outlineLevel="2" x14ac:dyDescent="0.35">
      <c r="A2897" s="388" t="s">
        <v>6452</v>
      </c>
      <c r="B2897" s="389">
        <v>44497</v>
      </c>
      <c r="C2897" s="390" t="s">
        <v>4574</v>
      </c>
      <c r="D2897" s="391" t="s">
        <v>4575</v>
      </c>
      <c r="E2897" s="391" t="s">
        <v>6453</v>
      </c>
      <c r="F2897" s="392">
        <v>3153153</v>
      </c>
      <c r="G2897" s="393" t="s">
        <v>3800</v>
      </c>
      <c r="H2897" s="394">
        <v>1173.2643757214678</v>
      </c>
      <c r="I2897" s="394"/>
      <c r="J2897" s="392"/>
      <c r="K2897" s="392"/>
      <c r="L2897" s="392"/>
      <c r="M2897" s="392"/>
      <c r="N2897" s="392">
        <f t="shared" si="111"/>
        <v>1173.2643757214678</v>
      </c>
    </row>
    <row r="2898" spans="1:14" hidden="1" outlineLevel="2" x14ac:dyDescent="0.35">
      <c r="A2898" s="388" t="s">
        <v>6452</v>
      </c>
      <c r="B2898" s="389">
        <v>44497</v>
      </c>
      <c r="C2898" s="390" t="s">
        <v>4576</v>
      </c>
      <c r="D2898" s="391" t="s">
        <v>4577</v>
      </c>
      <c r="E2898" s="391" t="s">
        <v>4272</v>
      </c>
      <c r="F2898" s="392">
        <v>315315.30000000005</v>
      </c>
      <c r="G2898" s="393" t="s">
        <v>3800</v>
      </c>
      <c r="H2898" s="394">
        <v>117.3264375721468</v>
      </c>
      <c r="I2898" s="394"/>
      <c r="J2898" s="392"/>
      <c r="K2898" s="392"/>
      <c r="L2898" s="392"/>
      <c r="M2898" s="392"/>
      <c r="N2898" s="392">
        <f t="shared" si="111"/>
        <v>117.3264375721468</v>
      </c>
    </row>
    <row r="2899" spans="1:14" hidden="1" outlineLevel="2" x14ac:dyDescent="0.35">
      <c r="A2899" s="388" t="s">
        <v>6452</v>
      </c>
      <c r="B2899" s="389">
        <v>44497</v>
      </c>
      <c r="C2899" s="390" t="s">
        <v>4578</v>
      </c>
      <c r="D2899" s="391" t="s">
        <v>4579</v>
      </c>
      <c r="E2899" s="391" t="s">
        <v>4042</v>
      </c>
      <c r="F2899" s="392">
        <v>18918.919999999998</v>
      </c>
      <c r="G2899" s="393" t="s">
        <v>3800</v>
      </c>
      <c r="H2899" s="394">
        <v>7.0395869985136752</v>
      </c>
      <c r="I2899" s="394"/>
      <c r="J2899" s="392"/>
      <c r="K2899" s="392"/>
      <c r="L2899" s="392"/>
      <c r="M2899" s="392"/>
      <c r="N2899" s="392">
        <f t="shared" si="111"/>
        <v>7.0395869985136752</v>
      </c>
    </row>
    <row r="2900" spans="1:14" hidden="1" outlineLevel="2" x14ac:dyDescent="0.35">
      <c r="A2900" s="388" t="s">
        <v>6452</v>
      </c>
      <c r="B2900" s="389">
        <v>44525</v>
      </c>
      <c r="C2900" s="390" t="s">
        <v>4580</v>
      </c>
      <c r="D2900" s="391" t="s">
        <v>4581</v>
      </c>
      <c r="E2900" s="391" t="s">
        <v>6453</v>
      </c>
      <c r="F2900" s="392">
        <v>3153153</v>
      </c>
      <c r="G2900" s="393" t="s">
        <v>3800</v>
      </c>
      <c r="H2900" s="394">
        <v>1173.2643757214678</v>
      </c>
      <c r="I2900" s="394"/>
      <c r="J2900" s="392"/>
      <c r="K2900" s="392"/>
      <c r="L2900" s="392"/>
      <c r="M2900" s="392"/>
      <c r="N2900" s="392">
        <f t="shared" si="111"/>
        <v>1173.2643757214678</v>
      </c>
    </row>
    <row r="2901" spans="1:14" hidden="1" outlineLevel="2" x14ac:dyDescent="0.35">
      <c r="A2901" s="388" t="s">
        <v>6452</v>
      </c>
      <c r="B2901" s="389">
        <v>44525</v>
      </c>
      <c r="C2901" s="390" t="s">
        <v>4582</v>
      </c>
      <c r="D2901" s="391" t="s">
        <v>4583</v>
      </c>
      <c r="E2901" s="391" t="s">
        <v>4272</v>
      </c>
      <c r="F2901" s="392">
        <v>315315.30000000005</v>
      </c>
      <c r="G2901" s="393" t="s">
        <v>3800</v>
      </c>
      <c r="H2901" s="394">
        <v>117.3264375721468</v>
      </c>
      <c r="I2901" s="394"/>
      <c r="J2901" s="392"/>
      <c r="K2901" s="392"/>
      <c r="L2901" s="392"/>
      <c r="M2901" s="392"/>
      <c r="N2901" s="392">
        <f t="shared" si="111"/>
        <v>117.3264375721468</v>
      </c>
    </row>
    <row r="2902" spans="1:14" hidden="1" outlineLevel="2" x14ac:dyDescent="0.35">
      <c r="A2902" s="388" t="s">
        <v>6452</v>
      </c>
      <c r="B2902" s="389">
        <v>44525</v>
      </c>
      <c r="C2902" s="390" t="s">
        <v>4584</v>
      </c>
      <c r="D2902" s="391" t="s">
        <v>4585</v>
      </c>
      <c r="E2902" s="391" t="s">
        <v>4042</v>
      </c>
      <c r="F2902" s="392">
        <v>18918.919999999998</v>
      </c>
      <c r="G2902" s="393" t="s">
        <v>3800</v>
      </c>
      <c r="H2902" s="394">
        <v>7.0395869985136752</v>
      </c>
      <c r="I2902" s="394"/>
      <c r="J2902" s="392"/>
      <c r="K2902" s="392"/>
      <c r="L2902" s="392"/>
      <c r="M2902" s="392"/>
      <c r="N2902" s="392">
        <f t="shared" si="111"/>
        <v>7.0395869985136752</v>
      </c>
    </row>
    <row r="2903" spans="1:14" hidden="1" outlineLevel="2" x14ac:dyDescent="0.35">
      <c r="A2903" s="388" t="s">
        <v>6452</v>
      </c>
      <c r="B2903" s="389">
        <v>44547</v>
      </c>
      <c r="C2903" s="390" t="s">
        <v>4586</v>
      </c>
      <c r="D2903" s="391" t="s">
        <v>4587</v>
      </c>
      <c r="E2903" s="391" t="s">
        <v>6453</v>
      </c>
      <c r="F2903" s="392">
        <v>3153153</v>
      </c>
      <c r="G2903" s="393" t="s">
        <v>3800</v>
      </c>
      <c r="H2903" s="394">
        <v>1173.2643757214678</v>
      </c>
      <c r="I2903" s="394"/>
      <c r="J2903" s="392"/>
      <c r="K2903" s="392"/>
      <c r="L2903" s="392"/>
      <c r="M2903" s="392"/>
      <c r="N2903" s="392">
        <f t="shared" si="111"/>
        <v>1173.2643757214678</v>
      </c>
    </row>
    <row r="2904" spans="1:14" hidden="1" outlineLevel="2" x14ac:dyDescent="0.35">
      <c r="A2904" s="388" t="s">
        <v>6452</v>
      </c>
      <c r="B2904" s="389">
        <v>44547</v>
      </c>
      <c r="C2904" s="390" t="s">
        <v>4588</v>
      </c>
      <c r="D2904" s="391" t="s">
        <v>4589</v>
      </c>
      <c r="E2904" s="391" t="s">
        <v>4272</v>
      </c>
      <c r="F2904" s="392">
        <v>315315.30000000005</v>
      </c>
      <c r="G2904" s="393" t="s">
        <v>3800</v>
      </c>
      <c r="H2904" s="394">
        <v>117.3264375721468</v>
      </c>
      <c r="I2904" s="394"/>
      <c r="J2904" s="392"/>
      <c r="K2904" s="392"/>
      <c r="L2904" s="392"/>
      <c r="M2904" s="392"/>
      <c r="N2904" s="392">
        <f t="shared" si="111"/>
        <v>117.3264375721468</v>
      </c>
    </row>
    <row r="2905" spans="1:14" hidden="1" outlineLevel="2" x14ac:dyDescent="0.35">
      <c r="A2905" s="388" t="s">
        <v>6452</v>
      </c>
      <c r="B2905" s="389">
        <v>44547</v>
      </c>
      <c r="C2905" s="390" t="s">
        <v>4590</v>
      </c>
      <c r="D2905" s="391" t="s">
        <v>6456</v>
      </c>
      <c r="E2905" s="391" t="s">
        <v>4042</v>
      </c>
      <c r="F2905" s="392">
        <v>18918.919999999998</v>
      </c>
      <c r="G2905" s="393" t="s">
        <v>3800</v>
      </c>
      <c r="H2905" s="394">
        <v>7.0395869985136752</v>
      </c>
      <c r="I2905" s="394"/>
      <c r="J2905" s="392"/>
      <c r="K2905" s="392"/>
      <c r="L2905" s="392"/>
      <c r="M2905" s="392"/>
      <c r="N2905" s="392">
        <f t="shared" si="111"/>
        <v>7.0395869985136752</v>
      </c>
    </row>
    <row r="2906" spans="1:14" hidden="1" outlineLevel="2" collapsed="1" x14ac:dyDescent="0.35">
      <c r="A2906" s="388" t="s">
        <v>6452</v>
      </c>
      <c r="B2906" s="389">
        <v>44587</v>
      </c>
      <c r="C2906" s="390" t="s">
        <v>4592</v>
      </c>
      <c r="D2906" s="391" t="s">
        <v>4593</v>
      </c>
      <c r="E2906" s="391" t="s">
        <v>6453</v>
      </c>
      <c r="F2906" s="392">
        <v>3153153</v>
      </c>
      <c r="G2906" s="393" t="s">
        <v>3800</v>
      </c>
      <c r="H2906" s="394">
        <v>1173.2643757214678</v>
      </c>
      <c r="I2906" s="394"/>
      <c r="J2906" s="392"/>
      <c r="K2906" s="392"/>
      <c r="L2906" s="392"/>
      <c r="M2906" s="392"/>
      <c r="N2906" s="392">
        <v>1173.2643757214678</v>
      </c>
    </row>
    <row r="2907" spans="1:14" hidden="1" outlineLevel="2" x14ac:dyDescent="0.35">
      <c r="A2907" s="388" t="s">
        <v>6452</v>
      </c>
      <c r="B2907" s="389">
        <v>44587</v>
      </c>
      <c r="C2907" s="390" t="s">
        <v>4594</v>
      </c>
      <c r="D2907" s="391" t="s">
        <v>4595</v>
      </c>
      <c r="E2907" s="391" t="s">
        <v>4272</v>
      </c>
      <c r="F2907" s="392">
        <v>315315.30000000005</v>
      </c>
      <c r="G2907" s="393" t="s">
        <v>3800</v>
      </c>
      <c r="H2907" s="394">
        <v>117.3264375721468</v>
      </c>
      <c r="I2907" s="394"/>
      <c r="J2907" s="392"/>
      <c r="K2907" s="392"/>
      <c r="L2907" s="392"/>
      <c r="M2907" s="392"/>
      <c r="N2907" s="392">
        <v>117.3264375721468</v>
      </c>
    </row>
    <row r="2908" spans="1:14" hidden="1" outlineLevel="2" collapsed="1" x14ac:dyDescent="0.35">
      <c r="A2908" s="388" t="s">
        <v>6452</v>
      </c>
      <c r="B2908" s="389">
        <v>44587</v>
      </c>
      <c r="C2908" s="390" t="s">
        <v>4596</v>
      </c>
      <c r="D2908" s="391" t="s">
        <v>4597</v>
      </c>
      <c r="E2908" s="391" t="s">
        <v>4042</v>
      </c>
      <c r="F2908" s="392">
        <v>18918.919999999998</v>
      </c>
      <c r="G2908" s="393" t="s">
        <v>3800</v>
      </c>
      <c r="H2908" s="394">
        <v>7.0395869985136752</v>
      </c>
      <c r="I2908" s="394"/>
      <c r="J2908" s="392"/>
      <c r="K2908" s="392"/>
      <c r="L2908" s="392"/>
      <c r="M2908" s="392"/>
      <c r="N2908" s="392">
        <v>7.0395869985136752</v>
      </c>
    </row>
    <row r="2909" spans="1:14" outlineLevel="1" collapsed="1" x14ac:dyDescent="0.35">
      <c r="A2909" s="395" t="s">
        <v>6457</v>
      </c>
      <c r="B2909" s="389"/>
      <c r="C2909" s="390"/>
      <c r="D2909" s="391"/>
      <c r="E2909" s="391"/>
      <c r="F2909" s="392"/>
      <c r="G2909" s="393"/>
      <c r="H2909" s="394">
        <f t="shared" ref="H2909:N2909" si="112">SUBTOTAL(9,H2873:H2908)</f>
        <v>15595.030087299039</v>
      </c>
      <c r="I2909" s="394"/>
      <c r="J2909" s="392">
        <f t="shared" si="112"/>
        <v>0</v>
      </c>
      <c r="K2909" s="392">
        <f t="shared" si="112"/>
        <v>0</v>
      </c>
      <c r="L2909" s="392">
        <f t="shared" si="112"/>
        <v>0</v>
      </c>
      <c r="M2909" s="392">
        <f t="shared" si="112"/>
        <v>0</v>
      </c>
      <c r="N2909" s="392">
        <f t="shared" si="112"/>
        <v>15595.030087299039</v>
      </c>
    </row>
    <row r="2910" spans="1:14" hidden="1" outlineLevel="2" x14ac:dyDescent="0.35">
      <c r="A2910" s="388" t="s">
        <v>6458</v>
      </c>
      <c r="B2910" s="389">
        <v>44266</v>
      </c>
      <c r="C2910" s="390" t="s">
        <v>4526</v>
      </c>
      <c r="D2910" s="391" t="s">
        <v>4527</v>
      </c>
      <c r="E2910" s="391" t="s">
        <v>6459</v>
      </c>
      <c r="F2910" s="392">
        <v>865765.77</v>
      </c>
      <c r="G2910" s="393" t="s">
        <v>3800</v>
      </c>
      <c r="H2910" s="394">
        <v>322.14489295637287</v>
      </c>
      <c r="I2910" s="394"/>
      <c r="J2910" s="392"/>
      <c r="K2910" s="392"/>
      <c r="L2910" s="392"/>
      <c r="M2910" s="392"/>
      <c r="N2910" s="392">
        <f t="shared" ref="N2910:N2942" si="113">H2910</f>
        <v>322.14489295637287</v>
      </c>
    </row>
    <row r="2911" spans="1:14" hidden="1" outlineLevel="2" x14ac:dyDescent="0.35">
      <c r="A2911" s="388" t="s">
        <v>6458</v>
      </c>
      <c r="B2911" s="389">
        <v>44266</v>
      </c>
      <c r="C2911" s="390" t="s">
        <v>4529</v>
      </c>
      <c r="D2911" s="391" t="s">
        <v>4530</v>
      </c>
      <c r="E2911" s="391" t="s">
        <v>4272</v>
      </c>
      <c r="F2911" s="392">
        <v>86576.577000000005</v>
      </c>
      <c r="G2911" s="393" t="s">
        <v>3800</v>
      </c>
      <c r="H2911" s="394">
        <v>32.214489295637286</v>
      </c>
      <c r="I2911" s="394"/>
      <c r="J2911" s="392"/>
      <c r="K2911" s="392"/>
      <c r="L2911" s="392"/>
      <c r="M2911" s="392"/>
      <c r="N2911" s="392">
        <f t="shared" si="113"/>
        <v>32.214489295637286</v>
      </c>
    </row>
    <row r="2912" spans="1:14" hidden="1" outlineLevel="2" x14ac:dyDescent="0.35">
      <c r="A2912" s="388" t="s">
        <v>6458</v>
      </c>
      <c r="B2912" s="389">
        <v>44266</v>
      </c>
      <c r="C2912" s="390" t="s">
        <v>4531</v>
      </c>
      <c r="D2912" s="391" t="s">
        <v>4051</v>
      </c>
      <c r="E2912" s="391" t="s">
        <v>4042</v>
      </c>
      <c r="F2912" s="392">
        <v>8657.6576999999997</v>
      </c>
      <c r="G2912" s="393" t="s">
        <v>3800</v>
      </c>
      <c r="H2912" s="394">
        <v>3.2214489295637283</v>
      </c>
      <c r="I2912" s="394"/>
      <c r="J2912" s="392"/>
      <c r="K2912" s="392"/>
      <c r="L2912" s="392"/>
      <c r="M2912" s="392"/>
      <c r="N2912" s="392">
        <f t="shared" si="113"/>
        <v>3.2214489295637283</v>
      </c>
    </row>
    <row r="2913" spans="1:14" hidden="1" outlineLevel="2" x14ac:dyDescent="0.35">
      <c r="A2913" s="388" t="s">
        <v>6458</v>
      </c>
      <c r="B2913" s="389">
        <v>44284</v>
      </c>
      <c r="C2913" s="390" t="s">
        <v>4532</v>
      </c>
      <c r="D2913" s="391" t="s">
        <v>4533</v>
      </c>
      <c r="E2913" s="391" t="s">
        <v>6459</v>
      </c>
      <c r="F2913" s="392">
        <v>865765.77</v>
      </c>
      <c r="G2913" s="393" t="s">
        <v>3800</v>
      </c>
      <c r="H2913" s="394">
        <v>322.14489295637287</v>
      </c>
      <c r="I2913" s="394"/>
      <c r="J2913" s="392"/>
      <c r="K2913" s="392"/>
      <c r="L2913" s="392"/>
      <c r="M2913" s="392"/>
      <c r="N2913" s="392">
        <f t="shared" si="113"/>
        <v>322.14489295637287</v>
      </c>
    </row>
    <row r="2914" spans="1:14" hidden="1" outlineLevel="2" collapsed="1" x14ac:dyDescent="0.35">
      <c r="A2914" s="388" t="s">
        <v>6458</v>
      </c>
      <c r="B2914" s="389">
        <v>44284</v>
      </c>
      <c r="C2914" s="390" t="s">
        <v>4534</v>
      </c>
      <c r="D2914" s="391" t="s">
        <v>4535</v>
      </c>
      <c r="E2914" s="391" t="s">
        <v>4272</v>
      </c>
      <c r="F2914" s="392">
        <v>86576.577000000005</v>
      </c>
      <c r="G2914" s="393" t="s">
        <v>3800</v>
      </c>
      <c r="H2914" s="394">
        <v>32.214489295637286</v>
      </c>
      <c r="I2914" s="394"/>
      <c r="J2914" s="392"/>
      <c r="K2914" s="392"/>
      <c r="L2914" s="392"/>
      <c r="M2914" s="392"/>
      <c r="N2914" s="392">
        <f t="shared" si="113"/>
        <v>32.214489295637286</v>
      </c>
    </row>
    <row r="2915" spans="1:14" hidden="1" outlineLevel="2" x14ac:dyDescent="0.35">
      <c r="A2915" s="388" t="s">
        <v>6458</v>
      </c>
      <c r="B2915" s="389">
        <v>44284</v>
      </c>
      <c r="C2915" s="390" t="s">
        <v>4536</v>
      </c>
      <c r="D2915" s="391" t="s">
        <v>4061</v>
      </c>
      <c r="E2915" s="391" t="s">
        <v>4042</v>
      </c>
      <c r="F2915" s="392">
        <v>8657.6576999999997</v>
      </c>
      <c r="G2915" s="393" t="s">
        <v>3800</v>
      </c>
      <c r="H2915" s="394">
        <v>3.2214489295637283</v>
      </c>
      <c r="I2915" s="394"/>
      <c r="J2915" s="392"/>
      <c r="K2915" s="392"/>
      <c r="L2915" s="392"/>
      <c r="M2915" s="392"/>
      <c r="N2915" s="392">
        <f t="shared" si="113"/>
        <v>3.2214489295637283</v>
      </c>
    </row>
    <row r="2916" spans="1:14" hidden="1" outlineLevel="2" x14ac:dyDescent="0.35">
      <c r="A2916" s="388" t="s">
        <v>6458</v>
      </c>
      <c r="B2916" s="389">
        <v>44316</v>
      </c>
      <c r="C2916" s="390" t="s">
        <v>4537</v>
      </c>
      <c r="D2916" s="391" t="s">
        <v>4538</v>
      </c>
      <c r="E2916" s="391" t="s">
        <v>6459</v>
      </c>
      <c r="F2916" s="392">
        <v>865765.77</v>
      </c>
      <c r="G2916" s="393" t="s">
        <v>3800</v>
      </c>
      <c r="H2916" s="394">
        <v>322.14489295637287</v>
      </c>
      <c r="I2916" s="394"/>
      <c r="J2916" s="392"/>
      <c r="K2916" s="392"/>
      <c r="L2916" s="392"/>
      <c r="M2916" s="392"/>
      <c r="N2916" s="392">
        <f t="shared" si="113"/>
        <v>322.14489295637287</v>
      </c>
    </row>
    <row r="2917" spans="1:14" hidden="1" outlineLevel="2" x14ac:dyDescent="0.35">
      <c r="A2917" s="388" t="s">
        <v>6458</v>
      </c>
      <c r="B2917" s="389">
        <v>44316</v>
      </c>
      <c r="C2917" s="390" t="s">
        <v>4539</v>
      </c>
      <c r="D2917" s="391" t="s">
        <v>4540</v>
      </c>
      <c r="E2917" s="391" t="s">
        <v>4272</v>
      </c>
      <c r="F2917" s="392">
        <v>86576.577000000005</v>
      </c>
      <c r="G2917" s="393" t="s">
        <v>3800</v>
      </c>
      <c r="H2917" s="394">
        <v>32.214489295637286</v>
      </c>
      <c r="I2917" s="394"/>
      <c r="J2917" s="392"/>
      <c r="K2917" s="392"/>
      <c r="L2917" s="392"/>
      <c r="M2917" s="392"/>
      <c r="N2917" s="392">
        <f t="shared" si="113"/>
        <v>32.214489295637286</v>
      </c>
    </row>
    <row r="2918" spans="1:14" hidden="1" outlineLevel="2" collapsed="1" x14ac:dyDescent="0.35">
      <c r="A2918" s="388" t="s">
        <v>6458</v>
      </c>
      <c r="B2918" s="389">
        <v>44316</v>
      </c>
      <c r="C2918" s="390" t="s">
        <v>4541</v>
      </c>
      <c r="D2918" s="391" t="s">
        <v>4542</v>
      </c>
      <c r="E2918" s="391" t="s">
        <v>4042</v>
      </c>
      <c r="F2918" s="392">
        <v>8657.6576999999997</v>
      </c>
      <c r="G2918" s="393" t="s">
        <v>3800</v>
      </c>
      <c r="H2918" s="394">
        <v>3.2214489295637283</v>
      </c>
      <c r="I2918" s="394"/>
      <c r="J2918" s="392"/>
      <c r="K2918" s="392"/>
      <c r="L2918" s="392"/>
      <c r="M2918" s="392"/>
      <c r="N2918" s="392">
        <f t="shared" si="113"/>
        <v>3.2214489295637283</v>
      </c>
    </row>
    <row r="2919" spans="1:14" hidden="1" outlineLevel="2" x14ac:dyDescent="0.35">
      <c r="A2919" s="388" t="s">
        <v>6458</v>
      </c>
      <c r="B2919" s="389">
        <v>44343</v>
      </c>
      <c r="C2919" s="390" t="s">
        <v>4537</v>
      </c>
      <c r="D2919" s="391" t="s">
        <v>4544</v>
      </c>
      <c r="E2919" s="391" t="s">
        <v>6459</v>
      </c>
      <c r="F2919" s="392">
        <v>865765.77</v>
      </c>
      <c r="G2919" s="393" t="s">
        <v>3800</v>
      </c>
      <c r="H2919" s="394">
        <v>322.14489295637287</v>
      </c>
      <c r="I2919" s="394"/>
      <c r="J2919" s="392"/>
      <c r="K2919" s="392"/>
      <c r="L2919" s="392"/>
      <c r="M2919" s="392"/>
      <c r="N2919" s="392">
        <f t="shared" si="113"/>
        <v>322.14489295637287</v>
      </c>
    </row>
    <row r="2920" spans="1:14" hidden="1" outlineLevel="2" x14ac:dyDescent="0.35">
      <c r="A2920" s="388" t="s">
        <v>6458</v>
      </c>
      <c r="B2920" s="389">
        <v>44343</v>
      </c>
      <c r="C2920" s="390" t="s">
        <v>4543</v>
      </c>
      <c r="D2920" s="391" t="s">
        <v>4546</v>
      </c>
      <c r="E2920" s="391" t="s">
        <v>4272</v>
      </c>
      <c r="F2920" s="392">
        <v>86576.577000000005</v>
      </c>
      <c r="G2920" s="393" t="s">
        <v>3800</v>
      </c>
      <c r="H2920" s="394">
        <v>32.214489295637286</v>
      </c>
      <c r="I2920" s="394"/>
      <c r="J2920" s="392"/>
      <c r="K2920" s="392"/>
      <c r="L2920" s="392"/>
      <c r="M2920" s="392"/>
      <c r="N2920" s="392">
        <f t="shared" si="113"/>
        <v>32.214489295637286</v>
      </c>
    </row>
    <row r="2921" spans="1:14" hidden="1" outlineLevel="2" x14ac:dyDescent="0.35">
      <c r="A2921" s="388" t="s">
        <v>6458</v>
      </c>
      <c r="B2921" s="389">
        <v>44343</v>
      </c>
      <c r="C2921" s="390" t="s">
        <v>4545</v>
      </c>
      <c r="D2921" s="391" t="s">
        <v>4548</v>
      </c>
      <c r="E2921" s="391" t="s">
        <v>4042</v>
      </c>
      <c r="F2921" s="392">
        <v>8657.6576999999997</v>
      </c>
      <c r="G2921" s="393" t="s">
        <v>3800</v>
      </c>
      <c r="H2921" s="394">
        <v>3.2214489295637283</v>
      </c>
      <c r="I2921" s="394"/>
      <c r="J2921" s="392"/>
      <c r="K2921" s="392"/>
      <c r="L2921" s="392"/>
      <c r="M2921" s="392"/>
      <c r="N2921" s="392">
        <f t="shared" si="113"/>
        <v>3.2214489295637283</v>
      </c>
    </row>
    <row r="2922" spans="1:14" hidden="1" outlineLevel="2" x14ac:dyDescent="0.35">
      <c r="A2922" s="388" t="s">
        <v>6458</v>
      </c>
      <c r="B2922" s="389">
        <v>44376</v>
      </c>
      <c r="C2922" s="390" t="s">
        <v>4549</v>
      </c>
      <c r="D2922" s="391" t="s">
        <v>4550</v>
      </c>
      <c r="E2922" s="391" t="s">
        <v>6459</v>
      </c>
      <c r="F2922" s="392">
        <v>865765.77</v>
      </c>
      <c r="G2922" s="393" t="s">
        <v>3800</v>
      </c>
      <c r="H2922" s="394">
        <v>322.14489295637287</v>
      </c>
      <c r="I2922" s="394"/>
      <c r="J2922" s="392"/>
      <c r="K2922" s="392"/>
      <c r="L2922" s="392"/>
      <c r="M2922" s="392"/>
      <c r="N2922" s="392">
        <f t="shared" si="113"/>
        <v>322.14489295637287</v>
      </c>
    </row>
    <row r="2923" spans="1:14" hidden="1" outlineLevel="2" x14ac:dyDescent="0.35">
      <c r="A2923" s="388" t="s">
        <v>6458</v>
      </c>
      <c r="B2923" s="389">
        <v>44376</v>
      </c>
      <c r="C2923" s="390" t="s">
        <v>4551</v>
      </c>
      <c r="D2923" s="391" t="s">
        <v>4552</v>
      </c>
      <c r="E2923" s="391" t="s">
        <v>4272</v>
      </c>
      <c r="F2923" s="392">
        <v>86576.577000000005</v>
      </c>
      <c r="G2923" s="393" t="s">
        <v>3800</v>
      </c>
      <c r="H2923" s="394">
        <v>32.214489295637286</v>
      </c>
      <c r="I2923" s="394"/>
      <c r="J2923" s="392"/>
      <c r="K2923" s="392"/>
      <c r="L2923" s="392"/>
      <c r="M2923" s="392"/>
      <c r="N2923" s="392">
        <f t="shared" si="113"/>
        <v>32.214489295637286</v>
      </c>
    </row>
    <row r="2924" spans="1:14" hidden="1" outlineLevel="2" x14ac:dyDescent="0.35">
      <c r="A2924" s="388" t="s">
        <v>6458</v>
      </c>
      <c r="B2924" s="389">
        <v>44376</v>
      </c>
      <c r="C2924" s="390" t="s">
        <v>4553</v>
      </c>
      <c r="D2924" s="391" t="s">
        <v>4554</v>
      </c>
      <c r="E2924" s="391" t="s">
        <v>4042</v>
      </c>
      <c r="F2924" s="392">
        <v>8657.6576999999997</v>
      </c>
      <c r="G2924" s="393" t="s">
        <v>3800</v>
      </c>
      <c r="H2924" s="394">
        <v>3.2214489295637283</v>
      </c>
      <c r="I2924" s="394"/>
      <c r="J2924" s="392"/>
      <c r="K2924" s="392"/>
      <c r="L2924" s="392"/>
      <c r="M2924" s="392"/>
      <c r="N2924" s="392">
        <f t="shared" si="113"/>
        <v>3.2214489295637283</v>
      </c>
    </row>
    <row r="2925" spans="1:14" hidden="1" outlineLevel="2" x14ac:dyDescent="0.35">
      <c r="A2925" s="388" t="s">
        <v>6458</v>
      </c>
      <c r="B2925" s="389">
        <v>44407</v>
      </c>
      <c r="C2925" s="390" t="s">
        <v>4555</v>
      </c>
      <c r="D2925" s="391" t="s">
        <v>4556</v>
      </c>
      <c r="E2925" s="391" t="s">
        <v>6459</v>
      </c>
      <c r="F2925" s="392">
        <v>865765.77</v>
      </c>
      <c r="G2925" s="393" t="s">
        <v>3800</v>
      </c>
      <c r="H2925" s="394">
        <v>322.14489295637287</v>
      </c>
      <c r="I2925" s="394"/>
      <c r="J2925" s="392"/>
      <c r="K2925" s="392"/>
      <c r="L2925" s="392"/>
      <c r="M2925" s="392"/>
      <c r="N2925" s="392">
        <f t="shared" si="113"/>
        <v>322.14489295637287</v>
      </c>
    </row>
    <row r="2926" spans="1:14" hidden="1" outlineLevel="2" x14ac:dyDescent="0.35">
      <c r="A2926" s="388" t="s">
        <v>6458</v>
      </c>
      <c r="B2926" s="389">
        <v>44407</v>
      </c>
      <c r="C2926" s="390" t="s">
        <v>4557</v>
      </c>
      <c r="D2926" s="391" t="s">
        <v>4558</v>
      </c>
      <c r="E2926" s="391" t="s">
        <v>4272</v>
      </c>
      <c r="F2926" s="392">
        <v>86576.58</v>
      </c>
      <c r="G2926" s="393" t="s">
        <v>3800</v>
      </c>
      <c r="H2926" s="394">
        <v>32.214490411914589</v>
      </c>
      <c r="I2926" s="394"/>
      <c r="J2926" s="392"/>
      <c r="K2926" s="392"/>
      <c r="L2926" s="392"/>
      <c r="M2926" s="392"/>
      <c r="N2926" s="392">
        <f t="shared" si="113"/>
        <v>32.214490411914589</v>
      </c>
    </row>
    <row r="2927" spans="1:14" hidden="1" outlineLevel="2" x14ac:dyDescent="0.35">
      <c r="A2927" s="388" t="s">
        <v>6458</v>
      </c>
      <c r="B2927" s="389">
        <v>44407</v>
      </c>
      <c r="C2927" s="390" t="s">
        <v>4559</v>
      </c>
      <c r="D2927" s="391" t="s">
        <v>4560</v>
      </c>
      <c r="E2927" s="391" t="s">
        <v>4042</v>
      </c>
      <c r="F2927" s="392">
        <v>5194.5946199999998</v>
      </c>
      <c r="G2927" s="393" t="s">
        <v>3800</v>
      </c>
      <c r="H2927" s="394">
        <v>1.932869357738237</v>
      </c>
      <c r="I2927" s="394"/>
      <c r="J2927" s="392"/>
      <c r="K2927" s="392"/>
      <c r="L2927" s="392"/>
      <c r="M2927" s="392"/>
      <c r="N2927" s="392">
        <f t="shared" si="113"/>
        <v>1.932869357738237</v>
      </c>
    </row>
    <row r="2928" spans="1:14" hidden="1" outlineLevel="2" x14ac:dyDescent="0.35">
      <c r="A2928" s="388" t="s">
        <v>6458</v>
      </c>
      <c r="B2928" s="389">
        <v>44438</v>
      </c>
      <c r="C2928" s="390" t="s">
        <v>4561</v>
      </c>
      <c r="D2928" s="391" t="s">
        <v>4562</v>
      </c>
      <c r="E2928" s="391" t="s">
        <v>6459</v>
      </c>
      <c r="F2928" s="392">
        <v>865765.77</v>
      </c>
      <c r="G2928" s="393" t="s">
        <v>3800</v>
      </c>
      <c r="H2928" s="394">
        <v>322.14489295637287</v>
      </c>
      <c r="I2928" s="394"/>
      <c r="J2928" s="392"/>
      <c r="K2928" s="392"/>
      <c r="L2928" s="392"/>
      <c r="M2928" s="392"/>
      <c r="N2928" s="392">
        <f t="shared" si="113"/>
        <v>322.14489295637287</v>
      </c>
    </row>
    <row r="2929" spans="1:14" hidden="1" outlineLevel="2" x14ac:dyDescent="0.35">
      <c r="A2929" s="388" t="s">
        <v>6458</v>
      </c>
      <c r="B2929" s="389">
        <v>44438</v>
      </c>
      <c r="C2929" s="390" t="s">
        <v>4564</v>
      </c>
      <c r="D2929" s="391" t="s">
        <v>4565</v>
      </c>
      <c r="E2929" s="391" t="s">
        <v>4272</v>
      </c>
      <c r="F2929" s="392">
        <v>86576.58</v>
      </c>
      <c r="G2929" s="393" t="s">
        <v>3800</v>
      </c>
      <c r="H2929" s="394">
        <v>32.214490411914589</v>
      </c>
      <c r="I2929" s="394"/>
      <c r="J2929" s="392"/>
      <c r="K2929" s="392"/>
      <c r="L2929" s="392"/>
      <c r="M2929" s="392"/>
      <c r="N2929" s="392">
        <f t="shared" si="113"/>
        <v>32.214490411914589</v>
      </c>
    </row>
    <row r="2930" spans="1:14" hidden="1" outlineLevel="2" x14ac:dyDescent="0.35">
      <c r="A2930" s="388" t="s">
        <v>6458</v>
      </c>
      <c r="B2930" s="389">
        <v>44438</v>
      </c>
      <c r="C2930" s="390" t="s">
        <v>4566</v>
      </c>
      <c r="D2930" s="391" t="s">
        <v>4567</v>
      </c>
      <c r="E2930" s="391" t="s">
        <v>4042</v>
      </c>
      <c r="F2930" s="392">
        <v>5194.5946199999998</v>
      </c>
      <c r="G2930" s="393" t="s">
        <v>3800</v>
      </c>
      <c r="H2930" s="394">
        <v>1.932869357738237</v>
      </c>
      <c r="I2930" s="394"/>
      <c r="J2930" s="392"/>
      <c r="K2930" s="392"/>
      <c r="L2930" s="392"/>
      <c r="M2930" s="392"/>
      <c r="N2930" s="392">
        <f t="shared" si="113"/>
        <v>1.932869357738237</v>
      </c>
    </row>
    <row r="2931" spans="1:14" hidden="1" outlineLevel="2" x14ac:dyDescent="0.35">
      <c r="A2931" s="388" t="s">
        <v>6458</v>
      </c>
      <c r="B2931" s="389">
        <v>44467</v>
      </c>
      <c r="C2931" s="390" t="s">
        <v>4568</v>
      </c>
      <c r="D2931" s="391" t="s">
        <v>4569</v>
      </c>
      <c r="E2931" s="391" t="s">
        <v>6459</v>
      </c>
      <c r="F2931" s="392">
        <v>865765.77</v>
      </c>
      <c r="G2931" s="393" t="s">
        <v>3800</v>
      </c>
      <c r="H2931" s="394">
        <v>322.14489295637287</v>
      </c>
      <c r="I2931" s="394"/>
      <c r="J2931" s="392"/>
      <c r="K2931" s="392"/>
      <c r="L2931" s="392"/>
      <c r="M2931" s="392"/>
      <c r="N2931" s="392">
        <f t="shared" si="113"/>
        <v>322.14489295637287</v>
      </c>
    </row>
    <row r="2932" spans="1:14" hidden="1" outlineLevel="2" x14ac:dyDescent="0.35">
      <c r="A2932" s="388" t="s">
        <v>6458</v>
      </c>
      <c r="B2932" s="389">
        <v>44467</v>
      </c>
      <c r="C2932" s="390" t="s">
        <v>4570</v>
      </c>
      <c r="D2932" s="391" t="s">
        <v>4571</v>
      </c>
      <c r="E2932" s="391" t="s">
        <v>4272</v>
      </c>
      <c r="F2932" s="392">
        <v>86576.58</v>
      </c>
      <c r="G2932" s="393" t="s">
        <v>3800</v>
      </c>
      <c r="H2932" s="394">
        <v>32.214490411914589</v>
      </c>
      <c r="I2932" s="394"/>
      <c r="J2932" s="392"/>
      <c r="K2932" s="392"/>
      <c r="L2932" s="392"/>
      <c r="M2932" s="392"/>
      <c r="N2932" s="392">
        <f t="shared" si="113"/>
        <v>32.214490411914589</v>
      </c>
    </row>
    <row r="2933" spans="1:14" hidden="1" outlineLevel="2" x14ac:dyDescent="0.35">
      <c r="A2933" s="388" t="s">
        <v>6458</v>
      </c>
      <c r="B2933" s="389">
        <v>44467</v>
      </c>
      <c r="C2933" s="390" t="s">
        <v>4572</v>
      </c>
      <c r="D2933" s="391" t="s">
        <v>4573</v>
      </c>
      <c r="E2933" s="391" t="s">
        <v>4042</v>
      </c>
      <c r="F2933" s="392">
        <v>5194.5946199999998</v>
      </c>
      <c r="G2933" s="393" t="s">
        <v>3800</v>
      </c>
      <c r="H2933" s="394">
        <v>1.932869357738237</v>
      </c>
      <c r="I2933" s="394"/>
      <c r="J2933" s="392"/>
      <c r="K2933" s="392"/>
      <c r="L2933" s="392"/>
      <c r="M2933" s="392"/>
      <c r="N2933" s="392">
        <f t="shared" si="113"/>
        <v>1.932869357738237</v>
      </c>
    </row>
    <row r="2934" spans="1:14" hidden="1" outlineLevel="2" x14ac:dyDescent="0.35">
      <c r="A2934" s="388" t="s">
        <v>6458</v>
      </c>
      <c r="B2934" s="389">
        <v>44497</v>
      </c>
      <c r="C2934" s="390" t="s">
        <v>4574</v>
      </c>
      <c r="D2934" s="391" t="s">
        <v>4575</v>
      </c>
      <c r="E2934" s="391" t="s">
        <v>6459</v>
      </c>
      <c r="F2934" s="392">
        <v>865765.77</v>
      </c>
      <c r="G2934" s="393" t="s">
        <v>3800</v>
      </c>
      <c r="H2934" s="394">
        <v>322.14489295637287</v>
      </c>
      <c r="I2934" s="394"/>
      <c r="J2934" s="392"/>
      <c r="K2934" s="392"/>
      <c r="L2934" s="392"/>
      <c r="M2934" s="392"/>
      <c r="N2934" s="392">
        <f t="shared" si="113"/>
        <v>322.14489295637287</v>
      </c>
    </row>
    <row r="2935" spans="1:14" hidden="1" outlineLevel="2" x14ac:dyDescent="0.35">
      <c r="A2935" s="388" t="s">
        <v>6458</v>
      </c>
      <c r="B2935" s="389">
        <v>44497</v>
      </c>
      <c r="C2935" s="390" t="s">
        <v>4576</v>
      </c>
      <c r="D2935" s="391" t="s">
        <v>4577</v>
      </c>
      <c r="E2935" s="391" t="s">
        <v>4272</v>
      </c>
      <c r="F2935" s="392">
        <v>86576.58</v>
      </c>
      <c r="G2935" s="393" t="s">
        <v>3800</v>
      </c>
      <c r="H2935" s="394">
        <v>32.214490411914589</v>
      </c>
      <c r="I2935" s="394"/>
      <c r="J2935" s="392"/>
      <c r="K2935" s="392"/>
      <c r="L2935" s="392"/>
      <c r="M2935" s="392"/>
      <c r="N2935" s="392">
        <f t="shared" si="113"/>
        <v>32.214490411914589</v>
      </c>
    </row>
    <row r="2936" spans="1:14" hidden="1" outlineLevel="2" x14ac:dyDescent="0.35">
      <c r="A2936" s="388" t="s">
        <v>6458</v>
      </c>
      <c r="B2936" s="389">
        <v>44497</v>
      </c>
      <c r="C2936" s="390" t="s">
        <v>4578</v>
      </c>
      <c r="D2936" s="391" t="s">
        <v>4579</v>
      </c>
      <c r="E2936" s="391" t="s">
        <v>4042</v>
      </c>
      <c r="F2936" s="392">
        <v>5194.5946199999998</v>
      </c>
      <c r="G2936" s="393" t="s">
        <v>3800</v>
      </c>
      <c r="H2936" s="394">
        <v>1.932869357738237</v>
      </c>
      <c r="I2936" s="394"/>
      <c r="J2936" s="392"/>
      <c r="K2936" s="392"/>
      <c r="L2936" s="392"/>
      <c r="M2936" s="392"/>
      <c r="N2936" s="392">
        <f t="shared" si="113"/>
        <v>1.932869357738237</v>
      </c>
    </row>
    <row r="2937" spans="1:14" hidden="1" outlineLevel="2" x14ac:dyDescent="0.35">
      <c r="A2937" s="388" t="s">
        <v>6458</v>
      </c>
      <c r="B2937" s="389">
        <v>44525</v>
      </c>
      <c r="C2937" s="390" t="s">
        <v>4580</v>
      </c>
      <c r="D2937" s="391" t="s">
        <v>4581</v>
      </c>
      <c r="E2937" s="391" t="s">
        <v>6459</v>
      </c>
      <c r="F2937" s="392">
        <v>865765.77</v>
      </c>
      <c r="G2937" s="393" t="s">
        <v>3800</v>
      </c>
      <c r="H2937" s="394">
        <v>322.14489295637287</v>
      </c>
      <c r="I2937" s="394"/>
      <c r="J2937" s="392"/>
      <c r="K2937" s="392"/>
      <c r="L2937" s="392"/>
      <c r="M2937" s="392"/>
      <c r="N2937" s="392">
        <f t="shared" si="113"/>
        <v>322.14489295637287</v>
      </c>
    </row>
    <row r="2938" spans="1:14" hidden="1" outlineLevel="2" x14ac:dyDescent="0.35">
      <c r="A2938" s="388" t="s">
        <v>6458</v>
      </c>
      <c r="B2938" s="389">
        <v>44525</v>
      </c>
      <c r="C2938" s="390" t="s">
        <v>4582</v>
      </c>
      <c r="D2938" s="391" t="s">
        <v>4583</v>
      </c>
      <c r="E2938" s="391" t="s">
        <v>4272</v>
      </c>
      <c r="F2938" s="392">
        <v>86576.58</v>
      </c>
      <c r="G2938" s="393" t="s">
        <v>3800</v>
      </c>
      <c r="H2938" s="394">
        <v>32.214490411914589</v>
      </c>
      <c r="I2938" s="394"/>
      <c r="J2938" s="392"/>
      <c r="K2938" s="392"/>
      <c r="L2938" s="392"/>
      <c r="M2938" s="392"/>
      <c r="N2938" s="392">
        <f t="shared" si="113"/>
        <v>32.214490411914589</v>
      </c>
    </row>
    <row r="2939" spans="1:14" hidden="1" outlineLevel="2" x14ac:dyDescent="0.35">
      <c r="A2939" s="388" t="s">
        <v>6458</v>
      </c>
      <c r="B2939" s="389">
        <v>44525</v>
      </c>
      <c r="C2939" s="390" t="s">
        <v>4584</v>
      </c>
      <c r="D2939" s="391" t="s">
        <v>4585</v>
      </c>
      <c r="E2939" s="391" t="s">
        <v>4042</v>
      </c>
      <c r="F2939" s="392">
        <v>5194.5946199999998</v>
      </c>
      <c r="G2939" s="393" t="s">
        <v>3800</v>
      </c>
      <c r="H2939" s="394">
        <v>1.932869357738237</v>
      </c>
      <c r="I2939" s="394"/>
      <c r="J2939" s="392"/>
      <c r="K2939" s="392"/>
      <c r="L2939" s="392"/>
      <c r="M2939" s="392"/>
      <c r="N2939" s="392">
        <f t="shared" si="113"/>
        <v>1.932869357738237</v>
      </c>
    </row>
    <row r="2940" spans="1:14" hidden="1" outlineLevel="2" x14ac:dyDescent="0.35">
      <c r="A2940" s="388" t="s">
        <v>6458</v>
      </c>
      <c r="B2940" s="389">
        <v>44547</v>
      </c>
      <c r="C2940" s="390" t="s">
        <v>4586</v>
      </c>
      <c r="D2940" s="391" t="s">
        <v>4587</v>
      </c>
      <c r="E2940" s="391" t="s">
        <v>6459</v>
      </c>
      <c r="F2940" s="392">
        <v>865765.77</v>
      </c>
      <c r="G2940" s="393" t="s">
        <v>3800</v>
      </c>
      <c r="H2940" s="394">
        <v>322.14489295637287</v>
      </c>
      <c r="I2940" s="394"/>
      <c r="J2940" s="392"/>
      <c r="K2940" s="392"/>
      <c r="L2940" s="392"/>
      <c r="M2940" s="392"/>
      <c r="N2940" s="392">
        <f t="shared" si="113"/>
        <v>322.14489295637287</v>
      </c>
    </row>
    <row r="2941" spans="1:14" hidden="1" outlineLevel="2" x14ac:dyDescent="0.35">
      <c r="A2941" s="388" t="s">
        <v>6458</v>
      </c>
      <c r="B2941" s="389">
        <v>44547</v>
      </c>
      <c r="C2941" s="390" t="s">
        <v>4588</v>
      </c>
      <c r="D2941" s="391" t="s">
        <v>4589</v>
      </c>
      <c r="E2941" s="391" t="s">
        <v>4272</v>
      </c>
      <c r="F2941" s="392">
        <v>86576.58</v>
      </c>
      <c r="G2941" s="393" t="s">
        <v>3800</v>
      </c>
      <c r="H2941" s="394">
        <v>32.214490411914589</v>
      </c>
      <c r="I2941" s="394"/>
      <c r="J2941" s="392"/>
      <c r="K2941" s="392"/>
      <c r="L2941" s="392"/>
      <c r="M2941" s="392"/>
      <c r="N2941" s="392">
        <f t="shared" si="113"/>
        <v>32.214490411914589</v>
      </c>
    </row>
    <row r="2942" spans="1:14" hidden="1" outlineLevel="2" x14ac:dyDescent="0.35">
      <c r="A2942" s="388" t="s">
        <v>6458</v>
      </c>
      <c r="B2942" s="389">
        <v>44547</v>
      </c>
      <c r="C2942" s="390" t="s">
        <v>4590</v>
      </c>
      <c r="D2942" s="391" t="s">
        <v>4591</v>
      </c>
      <c r="E2942" s="391" t="s">
        <v>4042</v>
      </c>
      <c r="F2942" s="392">
        <v>5194.5946199999998</v>
      </c>
      <c r="G2942" s="393" t="s">
        <v>3800</v>
      </c>
      <c r="H2942" s="394">
        <v>1.932869357738237</v>
      </c>
      <c r="I2942" s="394"/>
      <c r="J2942" s="392"/>
      <c r="K2942" s="392"/>
      <c r="L2942" s="392"/>
      <c r="M2942" s="392"/>
      <c r="N2942" s="392">
        <f t="shared" si="113"/>
        <v>1.932869357738237</v>
      </c>
    </row>
    <row r="2943" spans="1:14" hidden="1" outlineLevel="2" x14ac:dyDescent="0.35">
      <c r="A2943" s="388" t="s">
        <v>6458</v>
      </c>
      <c r="B2943" s="389">
        <v>44587</v>
      </c>
      <c r="C2943" s="390" t="s">
        <v>4592</v>
      </c>
      <c r="D2943" s="391" t="s">
        <v>4593</v>
      </c>
      <c r="E2943" s="391" t="s">
        <v>6459</v>
      </c>
      <c r="F2943" s="392">
        <v>865765.77</v>
      </c>
      <c r="G2943" s="393" t="s">
        <v>3800</v>
      </c>
      <c r="H2943" s="394">
        <v>322.14489295637287</v>
      </c>
      <c r="I2943" s="394"/>
      <c r="J2943" s="392"/>
      <c r="K2943" s="392"/>
      <c r="L2943" s="392"/>
      <c r="M2943" s="392"/>
      <c r="N2943" s="392">
        <v>322.14489295637287</v>
      </c>
    </row>
    <row r="2944" spans="1:14" hidden="1" outlineLevel="2" x14ac:dyDescent="0.35">
      <c r="A2944" s="388" t="s">
        <v>6458</v>
      </c>
      <c r="B2944" s="389">
        <v>44587</v>
      </c>
      <c r="C2944" s="390" t="s">
        <v>4594</v>
      </c>
      <c r="D2944" s="391" t="s">
        <v>4595</v>
      </c>
      <c r="E2944" s="391" t="s">
        <v>4272</v>
      </c>
      <c r="F2944" s="392">
        <v>86576.58</v>
      </c>
      <c r="G2944" s="393" t="s">
        <v>3800</v>
      </c>
      <c r="H2944" s="394">
        <v>32.214490411914589</v>
      </c>
      <c r="I2944" s="394"/>
      <c r="J2944" s="392"/>
      <c r="K2944" s="392"/>
      <c r="L2944" s="392"/>
      <c r="M2944" s="392"/>
      <c r="N2944" s="392">
        <v>32.214490411914589</v>
      </c>
    </row>
    <row r="2945" spans="1:14" hidden="1" outlineLevel="2" x14ac:dyDescent="0.35">
      <c r="A2945" s="388" t="s">
        <v>6458</v>
      </c>
      <c r="B2945" s="389">
        <v>44587</v>
      </c>
      <c r="C2945" s="390" t="s">
        <v>4596</v>
      </c>
      <c r="D2945" s="391" t="s">
        <v>4597</v>
      </c>
      <c r="E2945" s="391" t="s">
        <v>4042</v>
      </c>
      <c r="F2945" s="392">
        <v>5194.5946199999998</v>
      </c>
      <c r="G2945" s="393" t="s">
        <v>3800</v>
      </c>
      <c r="H2945" s="394">
        <v>1.932869357738237</v>
      </c>
      <c r="I2945" s="394"/>
      <c r="J2945" s="392"/>
      <c r="K2945" s="392"/>
      <c r="L2945" s="392"/>
      <c r="M2945" s="392"/>
      <c r="N2945" s="392">
        <v>1.932869357738237</v>
      </c>
    </row>
    <row r="2946" spans="1:14" outlineLevel="1" collapsed="1" x14ac:dyDescent="0.35">
      <c r="A2946" s="395" t="s">
        <v>6460</v>
      </c>
      <c r="B2946" s="389"/>
      <c r="C2946" s="390"/>
      <c r="D2946" s="391"/>
      <c r="E2946" s="391"/>
      <c r="F2946" s="392"/>
      <c r="G2946" s="393"/>
      <c r="H2946" s="394">
        <f t="shared" ref="H2946:N2946" si="114">SUBTOTAL(9,H2910:H2945)</f>
        <v>4281.9499249900491</v>
      </c>
      <c r="I2946" s="394"/>
      <c r="J2946" s="392">
        <f t="shared" si="114"/>
        <v>0</v>
      </c>
      <c r="K2946" s="392">
        <f t="shared" si="114"/>
        <v>0</v>
      </c>
      <c r="L2946" s="392">
        <f t="shared" si="114"/>
        <v>0</v>
      </c>
      <c r="M2946" s="392">
        <f t="shared" si="114"/>
        <v>0</v>
      </c>
      <c r="N2946" s="392">
        <f t="shared" si="114"/>
        <v>4281.9499249900491</v>
      </c>
    </row>
    <row r="2947" spans="1:14" hidden="1" outlineLevel="2" x14ac:dyDescent="0.35">
      <c r="A2947" s="388" t="s">
        <v>6461</v>
      </c>
      <c r="B2947" s="389">
        <v>44181</v>
      </c>
      <c r="C2947" s="390" t="s">
        <v>6462</v>
      </c>
      <c r="D2947" s="391" t="s">
        <v>6463</v>
      </c>
      <c r="E2947" s="391" t="s">
        <v>6296</v>
      </c>
      <c r="F2947" s="392">
        <v>1800000</v>
      </c>
      <c r="G2947" s="393" t="s">
        <v>3800</v>
      </c>
      <c r="H2947" s="394">
        <v>691.12183650973793</v>
      </c>
      <c r="I2947" s="394"/>
      <c r="J2947" s="392"/>
      <c r="K2947" s="392"/>
      <c r="L2947" s="392">
        <v>691.12183650973793</v>
      </c>
      <c r="M2947" s="392"/>
      <c r="N2947" s="392"/>
    </row>
    <row r="2948" spans="1:14" outlineLevel="1" collapsed="1" x14ac:dyDescent="0.35">
      <c r="A2948" s="395" t="s">
        <v>6464</v>
      </c>
      <c r="B2948" s="389"/>
      <c r="C2948" s="390"/>
      <c r="D2948" s="391"/>
      <c r="E2948" s="391"/>
      <c r="F2948" s="392"/>
      <c r="G2948" s="393"/>
      <c r="H2948" s="394">
        <f t="shared" ref="H2948:N2948" si="115">SUBTOTAL(9,H2947:H2947)</f>
        <v>691.12183650973793</v>
      </c>
      <c r="I2948" s="394"/>
      <c r="J2948" s="392">
        <f t="shared" si="115"/>
        <v>0</v>
      </c>
      <c r="K2948" s="392">
        <f t="shared" si="115"/>
        <v>0</v>
      </c>
      <c r="L2948" s="392">
        <f t="shared" si="115"/>
        <v>691.12183650973793</v>
      </c>
      <c r="M2948" s="392">
        <f t="shared" si="115"/>
        <v>0</v>
      </c>
      <c r="N2948" s="392">
        <f t="shared" si="115"/>
        <v>0</v>
      </c>
    </row>
    <row r="2949" spans="1:14" hidden="1" outlineLevel="2" x14ac:dyDescent="0.35">
      <c r="A2949" s="388" t="s">
        <v>3908</v>
      </c>
      <c r="B2949" s="389">
        <v>44209</v>
      </c>
      <c r="C2949" s="390" t="s">
        <v>6465</v>
      </c>
      <c r="D2949" s="391" t="s">
        <v>6466</v>
      </c>
      <c r="E2949" s="391" t="s">
        <v>4110</v>
      </c>
      <c r="F2949" s="392">
        <v>200000</v>
      </c>
      <c r="G2949" s="393" t="s">
        <v>3800</v>
      </c>
      <c r="H2949" s="394">
        <v>74.418486874659607</v>
      </c>
      <c r="I2949" s="394"/>
      <c r="J2949" s="392"/>
      <c r="K2949" s="392"/>
      <c r="L2949" s="392">
        <v>74.418486874659607</v>
      </c>
      <c r="M2949" s="392"/>
      <c r="N2949" s="392"/>
    </row>
    <row r="2950" spans="1:14" hidden="1" outlineLevel="2" x14ac:dyDescent="0.35">
      <c r="A2950" s="388" t="s">
        <v>3908</v>
      </c>
      <c r="B2950" s="389">
        <v>44221</v>
      </c>
      <c r="C2950" s="390" t="s">
        <v>6465</v>
      </c>
      <c r="D2950" s="391" t="s">
        <v>6467</v>
      </c>
      <c r="E2950" s="391" t="s">
        <v>6468</v>
      </c>
      <c r="F2950" s="392">
        <v>260000</v>
      </c>
      <c r="G2950" s="393" t="s">
        <v>3800</v>
      </c>
      <c r="H2950" s="394">
        <v>96.744032937057497</v>
      </c>
      <c r="I2950" s="394"/>
      <c r="J2950" s="392"/>
      <c r="K2950" s="392"/>
      <c r="L2950" s="392">
        <v>96.744032937057497</v>
      </c>
      <c r="M2950" s="392"/>
      <c r="N2950" s="392"/>
    </row>
    <row r="2951" spans="1:14" hidden="1" outlineLevel="2" x14ac:dyDescent="0.35">
      <c r="A2951" s="388" t="s">
        <v>3908</v>
      </c>
      <c r="B2951" s="389">
        <v>44221</v>
      </c>
      <c r="C2951" s="390" t="s">
        <v>6465</v>
      </c>
      <c r="D2951" s="391" t="s">
        <v>6469</v>
      </c>
      <c r="E2951" s="391" t="s">
        <v>4203</v>
      </c>
      <c r="F2951" s="392">
        <v>420000</v>
      </c>
      <c r="G2951" s="393" t="s">
        <v>3800</v>
      </c>
      <c r="H2951" s="394">
        <v>156.27882243678519</v>
      </c>
      <c r="I2951" s="394"/>
      <c r="J2951" s="392"/>
      <c r="K2951" s="392"/>
      <c r="L2951" s="392">
        <v>156.27882243678519</v>
      </c>
      <c r="M2951" s="392"/>
      <c r="N2951" s="392"/>
    </row>
    <row r="2952" spans="1:14" outlineLevel="1" collapsed="1" x14ac:dyDescent="0.35">
      <c r="A2952" s="395" t="s">
        <v>6470</v>
      </c>
      <c r="B2952" s="389"/>
      <c r="C2952" s="390"/>
      <c r="D2952" s="391"/>
      <c r="E2952" s="391"/>
      <c r="F2952" s="392"/>
      <c r="G2952" s="393"/>
      <c r="H2952" s="394">
        <f t="shared" ref="H2952:N2952" si="116">SUBTOTAL(9,H2949:H2951)</f>
        <v>327.44134224850234</v>
      </c>
      <c r="I2952" s="394"/>
      <c r="J2952" s="392">
        <f t="shared" si="116"/>
        <v>0</v>
      </c>
      <c r="K2952" s="392">
        <f t="shared" si="116"/>
        <v>0</v>
      </c>
      <c r="L2952" s="392">
        <f t="shared" si="116"/>
        <v>327.44134224850234</v>
      </c>
      <c r="M2952" s="392">
        <f t="shared" si="116"/>
        <v>0</v>
      </c>
      <c r="N2952" s="392">
        <f t="shared" si="116"/>
        <v>0</v>
      </c>
    </row>
    <row r="2953" spans="1:14" hidden="1" outlineLevel="2" x14ac:dyDescent="0.35">
      <c r="A2953" s="388" t="s">
        <v>3843</v>
      </c>
      <c r="B2953" s="389">
        <v>43896</v>
      </c>
      <c r="C2953" s="390" t="s">
        <v>6471</v>
      </c>
      <c r="D2953" s="391" t="s">
        <v>6472</v>
      </c>
      <c r="E2953" s="391" t="s">
        <v>6473</v>
      </c>
      <c r="F2953" s="392">
        <v>3717</v>
      </c>
      <c r="G2953" s="393" t="s">
        <v>805</v>
      </c>
      <c r="H2953" s="394">
        <v>3308.71</v>
      </c>
      <c r="I2953" s="394"/>
      <c r="J2953" s="392">
        <f t="shared" ref="J2953:M2958" si="117">$H2953/4</f>
        <v>827.17750000000001</v>
      </c>
      <c r="K2953" s="392">
        <f t="shared" si="117"/>
        <v>827.17750000000001</v>
      </c>
      <c r="L2953" s="392">
        <f t="shared" si="117"/>
        <v>827.17750000000001</v>
      </c>
      <c r="M2953" s="392">
        <f t="shared" si="117"/>
        <v>827.17750000000001</v>
      </c>
      <c r="N2953" s="392"/>
    </row>
    <row r="2954" spans="1:14" hidden="1" outlineLevel="2" x14ac:dyDescent="0.35">
      <c r="A2954" s="388" t="s">
        <v>3843</v>
      </c>
      <c r="B2954" s="389">
        <v>44246</v>
      </c>
      <c r="C2954" s="390" t="s">
        <v>6474</v>
      </c>
      <c r="D2954" s="391" t="s">
        <v>6475</v>
      </c>
      <c r="E2954" s="391" t="s">
        <v>6473</v>
      </c>
      <c r="F2954" s="392">
        <v>3567</v>
      </c>
      <c r="G2954" s="393" t="s">
        <v>805</v>
      </c>
      <c r="H2954" s="394">
        <v>2942.83</v>
      </c>
      <c r="I2954" s="394"/>
      <c r="J2954" s="392">
        <f t="shared" si="117"/>
        <v>735.70749999999998</v>
      </c>
      <c r="K2954" s="392">
        <f t="shared" si="117"/>
        <v>735.70749999999998</v>
      </c>
      <c r="L2954" s="392">
        <f t="shared" si="117"/>
        <v>735.70749999999998</v>
      </c>
      <c r="M2954" s="392">
        <f t="shared" si="117"/>
        <v>735.70749999999998</v>
      </c>
      <c r="N2954" s="392"/>
    </row>
    <row r="2955" spans="1:14" hidden="1" outlineLevel="2" x14ac:dyDescent="0.35">
      <c r="A2955" s="388" t="s">
        <v>3843</v>
      </c>
      <c r="B2955" s="389">
        <v>44246</v>
      </c>
      <c r="C2955" s="390" t="s">
        <v>6476</v>
      </c>
      <c r="D2955" s="391" t="s">
        <v>6475</v>
      </c>
      <c r="E2955" s="391" t="s">
        <v>6473</v>
      </c>
      <c r="F2955" s="392">
        <v>642.05999999999995</v>
      </c>
      <c r="G2955" s="393" t="s">
        <v>805</v>
      </c>
      <c r="H2955" s="394">
        <v>547.6</v>
      </c>
      <c r="I2955" s="394"/>
      <c r="J2955" s="392">
        <f t="shared" si="117"/>
        <v>136.9</v>
      </c>
      <c r="K2955" s="392">
        <f t="shared" si="117"/>
        <v>136.9</v>
      </c>
      <c r="L2955" s="392">
        <f t="shared" si="117"/>
        <v>136.9</v>
      </c>
      <c r="M2955" s="392">
        <f t="shared" si="117"/>
        <v>136.9</v>
      </c>
      <c r="N2955" s="392"/>
    </row>
    <row r="2956" spans="1:14" hidden="1" outlineLevel="2" x14ac:dyDescent="0.35">
      <c r="A2956" s="388" t="s">
        <v>3843</v>
      </c>
      <c r="B2956" s="389">
        <v>44377</v>
      </c>
      <c r="C2956" s="390" t="s">
        <v>6477</v>
      </c>
      <c r="D2956" s="391" t="s">
        <v>6478</v>
      </c>
      <c r="E2956" s="391" t="s">
        <v>6473</v>
      </c>
      <c r="F2956" s="392">
        <v>-362.71</v>
      </c>
      <c r="G2956" s="393" t="s">
        <v>56</v>
      </c>
      <c r="H2956" s="394">
        <v>-362.71</v>
      </c>
      <c r="I2956" s="394"/>
      <c r="J2956" s="392">
        <f t="shared" si="117"/>
        <v>-90.677499999999995</v>
      </c>
      <c r="K2956" s="392">
        <f t="shared" si="117"/>
        <v>-90.677499999999995</v>
      </c>
      <c r="L2956" s="392">
        <f t="shared" si="117"/>
        <v>-90.677499999999995</v>
      </c>
      <c r="M2956" s="392">
        <f t="shared" si="117"/>
        <v>-90.677499999999995</v>
      </c>
      <c r="N2956" s="392"/>
    </row>
    <row r="2957" spans="1:14" hidden="1" outlineLevel="2" x14ac:dyDescent="0.35">
      <c r="A2957" s="388" t="s">
        <v>3843</v>
      </c>
      <c r="B2957" s="389">
        <v>44561</v>
      </c>
      <c r="C2957" s="390" t="s">
        <v>6479</v>
      </c>
      <c r="D2957" s="391" t="s">
        <v>6480</v>
      </c>
      <c r="E2957" s="391" t="s">
        <v>6473</v>
      </c>
      <c r="F2957" s="392">
        <v>2453.96</v>
      </c>
      <c r="G2957" s="393" t="s">
        <v>805</v>
      </c>
      <c r="H2957" s="394">
        <v>2159.61</v>
      </c>
      <c r="I2957" s="394"/>
      <c r="J2957" s="392">
        <f t="shared" si="117"/>
        <v>539.90250000000003</v>
      </c>
      <c r="K2957" s="392">
        <f t="shared" si="117"/>
        <v>539.90250000000003</v>
      </c>
      <c r="L2957" s="392">
        <f t="shared" si="117"/>
        <v>539.90250000000003</v>
      </c>
      <c r="M2957" s="392">
        <f t="shared" si="117"/>
        <v>539.90250000000003</v>
      </c>
      <c r="N2957" s="392"/>
    </row>
    <row r="2958" spans="1:14" hidden="1" outlineLevel="2" x14ac:dyDescent="0.35">
      <c r="A2958" s="403" t="s">
        <v>3843</v>
      </c>
      <c r="B2958" s="397">
        <v>44592</v>
      </c>
      <c r="C2958" s="398" t="s">
        <v>6481</v>
      </c>
      <c r="D2958" s="399" t="s">
        <v>6482</v>
      </c>
      <c r="E2958" s="399" t="s">
        <v>6483</v>
      </c>
      <c r="F2958" s="400">
        <v>31572</v>
      </c>
      <c r="G2958" s="401" t="s">
        <v>805</v>
      </c>
      <c r="H2958" s="402">
        <v>29470.74</v>
      </c>
      <c r="I2958" s="402"/>
      <c r="J2958" s="400">
        <f t="shared" si="117"/>
        <v>7367.6850000000004</v>
      </c>
      <c r="K2958" s="400">
        <f t="shared" si="117"/>
        <v>7367.6850000000004</v>
      </c>
      <c r="L2958" s="400">
        <f t="shared" si="117"/>
        <v>7367.6850000000004</v>
      </c>
      <c r="M2958" s="400">
        <f t="shared" si="117"/>
        <v>7367.6850000000004</v>
      </c>
      <c r="N2958" s="400"/>
    </row>
    <row r="2959" spans="1:14" hidden="1" outlineLevel="2" x14ac:dyDescent="0.35">
      <c r="A2959" s="388" t="s">
        <v>3843</v>
      </c>
      <c r="B2959" s="389">
        <v>43929</v>
      </c>
      <c r="C2959" s="390" t="s">
        <v>6484</v>
      </c>
      <c r="D2959" s="391" t="s">
        <v>2624</v>
      </c>
      <c r="E2959" s="391" t="s">
        <v>6473</v>
      </c>
      <c r="F2959" s="392">
        <v>83.95</v>
      </c>
      <c r="G2959" s="393" t="s">
        <v>56</v>
      </c>
      <c r="H2959" s="394">
        <v>83.95</v>
      </c>
      <c r="I2959" s="394"/>
      <c r="J2959" s="392">
        <f t="shared" ref="J2959:N2960" si="118">$H2959/5</f>
        <v>16.79</v>
      </c>
      <c r="K2959" s="392">
        <f t="shared" si="118"/>
        <v>16.79</v>
      </c>
      <c r="L2959" s="392">
        <f t="shared" si="118"/>
        <v>16.79</v>
      </c>
      <c r="M2959" s="392">
        <f t="shared" si="118"/>
        <v>16.79</v>
      </c>
      <c r="N2959" s="392">
        <f t="shared" si="118"/>
        <v>16.79</v>
      </c>
    </row>
    <row r="2960" spans="1:14" hidden="1" outlineLevel="2" x14ac:dyDescent="0.35">
      <c r="A2960" s="388" t="s">
        <v>3843</v>
      </c>
      <c r="B2960" s="389">
        <v>44298</v>
      </c>
      <c r="C2960" s="390" t="s">
        <v>6485</v>
      </c>
      <c r="D2960" s="391" t="s">
        <v>2624</v>
      </c>
      <c r="E2960" s="391" t="s">
        <v>6473</v>
      </c>
      <c r="F2960" s="392">
        <v>99.39</v>
      </c>
      <c r="G2960" s="393" t="s">
        <v>56</v>
      </c>
      <c r="H2960" s="394">
        <v>99.39</v>
      </c>
      <c r="I2960" s="394"/>
      <c r="J2960" s="392">
        <f t="shared" si="118"/>
        <v>19.878</v>
      </c>
      <c r="K2960" s="392">
        <f t="shared" si="118"/>
        <v>19.878</v>
      </c>
      <c r="L2960" s="392">
        <f t="shared" si="118"/>
        <v>19.878</v>
      </c>
      <c r="M2960" s="392">
        <f t="shared" si="118"/>
        <v>19.878</v>
      </c>
      <c r="N2960" s="392">
        <f t="shared" si="118"/>
        <v>19.878</v>
      </c>
    </row>
    <row r="2961" spans="1:14" outlineLevel="1" collapsed="1" x14ac:dyDescent="0.35">
      <c r="A2961" s="395" t="s">
        <v>6486</v>
      </c>
      <c r="B2961" s="389"/>
      <c r="C2961" s="390"/>
      <c r="D2961" s="391"/>
      <c r="E2961" s="391"/>
      <c r="F2961" s="392"/>
      <c r="G2961" s="393"/>
      <c r="H2961" s="394">
        <f>SUBTOTAL(9,H2953:H2960)</f>
        <v>38250.119999999995</v>
      </c>
      <c r="I2961" s="394"/>
      <c r="J2961" s="392">
        <f>SUBTOTAL(9,J2953:J2960)</f>
        <v>9553.3630000000012</v>
      </c>
      <c r="K2961" s="392">
        <f>SUBTOTAL(9,K2953:K2960)</f>
        <v>9553.3630000000012</v>
      </c>
      <c r="L2961" s="392">
        <f>SUBTOTAL(9,L2953:L2960)</f>
        <v>9553.3630000000012</v>
      </c>
      <c r="M2961" s="392">
        <f>SUBTOTAL(9,M2953:M2960)</f>
        <v>9553.3630000000012</v>
      </c>
      <c r="N2961" s="392">
        <f>SUBTOTAL(9,N2953:N2960)</f>
        <v>36.667999999999999</v>
      </c>
    </row>
    <row r="2962" spans="1:14" hidden="1" outlineLevel="2" x14ac:dyDescent="0.35">
      <c r="A2962" s="388" t="s">
        <v>3977</v>
      </c>
      <c r="B2962" s="389">
        <v>43833</v>
      </c>
      <c r="C2962" s="390" t="s">
        <v>4367</v>
      </c>
      <c r="D2962" s="391" t="s">
        <v>4368</v>
      </c>
      <c r="E2962" s="391" t="s">
        <v>6487</v>
      </c>
      <c r="F2962" s="392">
        <v>540000</v>
      </c>
      <c r="G2962" s="393" t="s">
        <v>3800</v>
      </c>
      <c r="H2962" s="394">
        <v>207.33655095292139</v>
      </c>
      <c r="I2962" s="394"/>
      <c r="J2962" s="392">
        <v>51.834137738230346</v>
      </c>
      <c r="K2962" s="392">
        <v>51.834137738230346</v>
      </c>
      <c r="L2962" s="392">
        <v>51.834137738230346</v>
      </c>
      <c r="M2962" s="392">
        <v>51.834137738230346</v>
      </c>
      <c r="N2962" s="392"/>
    </row>
    <row r="2963" spans="1:14" hidden="1" outlineLevel="2" x14ac:dyDescent="0.35">
      <c r="A2963" s="388" t="s">
        <v>3977</v>
      </c>
      <c r="B2963" s="389">
        <v>43833</v>
      </c>
      <c r="C2963" s="390" t="s">
        <v>4367</v>
      </c>
      <c r="D2963" s="391" t="s">
        <v>4370</v>
      </c>
      <c r="E2963" s="391" t="s">
        <v>6487</v>
      </c>
      <c r="F2963" s="392">
        <v>81000</v>
      </c>
      <c r="G2963" s="393" t="s">
        <v>3800</v>
      </c>
      <c r="H2963" s="394">
        <v>31.100482642938207</v>
      </c>
      <c r="I2963" s="394"/>
      <c r="J2963" s="392">
        <v>7.7751206607345518</v>
      </c>
      <c r="K2963" s="392">
        <v>7.7751206607345518</v>
      </c>
      <c r="L2963" s="392">
        <v>7.7751206607345518</v>
      </c>
      <c r="M2963" s="392">
        <v>7.7751206607345518</v>
      </c>
      <c r="N2963" s="392"/>
    </row>
    <row r="2964" spans="1:14" hidden="1" outlineLevel="2" x14ac:dyDescent="0.35">
      <c r="A2964" s="388" t="s">
        <v>3977</v>
      </c>
      <c r="B2964" s="389">
        <v>43833</v>
      </c>
      <c r="C2964" s="390" t="s">
        <v>4371</v>
      </c>
      <c r="D2964" s="391" t="s">
        <v>4372</v>
      </c>
      <c r="E2964" s="391" t="s">
        <v>6487</v>
      </c>
      <c r="F2964" s="392">
        <v>67500</v>
      </c>
      <c r="G2964" s="393" t="s">
        <v>3800</v>
      </c>
      <c r="H2964" s="394">
        <v>25.917068869115173</v>
      </c>
      <c r="I2964" s="394"/>
      <c r="J2964" s="392">
        <v>6.4792672172787933</v>
      </c>
      <c r="K2964" s="392">
        <v>6.4792672172787933</v>
      </c>
      <c r="L2964" s="392">
        <v>6.4792672172787933</v>
      </c>
      <c r="M2964" s="392">
        <v>6.4792672172787933</v>
      </c>
      <c r="N2964" s="392"/>
    </row>
    <row r="2965" spans="1:14" hidden="1" outlineLevel="2" x14ac:dyDescent="0.35">
      <c r="A2965" s="388" t="s">
        <v>3977</v>
      </c>
      <c r="B2965" s="389">
        <v>43833</v>
      </c>
      <c r="C2965" s="390" t="s">
        <v>4367</v>
      </c>
      <c r="D2965" s="391" t="s">
        <v>4373</v>
      </c>
      <c r="E2965" s="391" t="s">
        <v>6487</v>
      </c>
      <c r="F2965" s="392">
        <v>27000</v>
      </c>
      <c r="G2965" s="393" t="s">
        <v>3800</v>
      </c>
      <c r="H2965" s="394">
        <v>10.36682754764607</v>
      </c>
      <c r="I2965" s="394"/>
      <c r="J2965" s="392">
        <v>2.5917068869115174</v>
      </c>
      <c r="K2965" s="392">
        <v>2.5917068869115174</v>
      </c>
      <c r="L2965" s="392">
        <v>2.5917068869115174</v>
      </c>
      <c r="M2965" s="392">
        <v>2.5917068869115174</v>
      </c>
      <c r="N2965" s="392"/>
    </row>
    <row r="2966" spans="1:14" hidden="1" outlineLevel="2" x14ac:dyDescent="0.35">
      <c r="A2966" s="388" t="s">
        <v>3977</v>
      </c>
      <c r="B2966" s="389">
        <v>43833</v>
      </c>
      <c r="C2966" s="390" t="s">
        <v>4374</v>
      </c>
      <c r="D2966" s="391" t="s">
        <v>6130</v>
      </c>
      <c r="E2966" s="391" t="s">
        <v>4039</v>
      </c>
      <c r="F2966" s="392">
        <v>27000</v>
      </c>
      <c r="G2966" s="393" t="s">
        <v>3800</v>
      </c>
      <c r="H2966" s="394">
        <v>10.36682754764607</v>
      </c>
      <c r="I2966" s="394"/>
      <c r="J2966" s="392">
        <v>2.5917068869115174</v>
      </c>
      <c r="K2966" s="392">
        <v>2.5917068869115174</v>
      </c>
      <c r="L2966" s="392">
        <v>2.5917068869115174</v>
      </c>
      <c r="M2966" s="392">
        <v>2.5917068869115174</v>
      </c>
      <c r="N2966" s="392"/>
    </row>
    <row r="2967" spans="1:14" hidden="1" outlineLevel="2" x14ac:dyDescent="0.35">
      <c r="A2967" s="388" t="s">
        <v>3977</v>
      </c>
      <c r="B2967" s="389">
        <v>43833</v>
      </c>
      <c r="C2967" s="390" t="s">
        <v>4377</v>
      </c>
      <c r="D2967" s="391" t="s">
        <v>4378</v>
      </c>
      <c r="E2967" s="391" t="s">
        <v>4042</v>
      </c>
      <c r="F2967" s="392">
        <v>6750</v>
      </c>
      <c r="G2967" s="393" t="s">
        <v>3800</v>
      </c>
      <c r="H2967" s="394">
        <v>2.5917068869115174</v>
      </c>
      <c r="I2967" s="394"/>
      <c r="J2967" s="392">
        <v>0.64792672172787935</v>
      </c>
      <c r="K2967" s="392">
        <v>0.64792672172787935</v>
      </c>
      <c r="L2967" s="392">
        <v>0.64792672172787935</v>
      </c>
      <c r="M2967" s="392">
        <v>0.64792672172787935</v>
      </c>
      <c r="N2967" s="392"/>
    </row>
    <row r="2968" spans="1:14" hidden="1" outlineLevel="2" x14ac:dyDescent="0.35">
      <c r="A2968" s="388" t="s">
        <v>3977</v>
      </c>
      <c r="B2968" s="389">
        <v>43890</v>
      </c>
      <c r="C2968" s="390" t="s">
        <v>4379</v>
      </c>
      <c r="D2968" s="391" t="s">
        <v>4380</v>
      </c>
      <c r="E2968" s="391" t="s">
        <v>6487</v>
      </c>
      <c r="F2968" s="392">
        <v>540000</v>
      </c>
      <c r="G2968" s="393" t="s">
        <v>3800</v>
      </c>
      <c r="H2968" s="394">
        <v>207.33655095292139</v>
      </c>
      <c r="I2968" s="394"/>
      <c r="J2968" s="392">
        <v>51.834137738230346</v>
      </c>
      <c r="K2968" s="392">
        <v>51.834137738230346</v>
      </c>
      <c r="L2968" s="392">
        <v>51.834137738230346</v>
      </c>
      <c r="M2968" s="392">
        <v>51.834137738230346</v>
      </c>
      <c r="N2968" s="392"/>
    </row>
    <row r="2969" spans="1:14" hidden="1" outlineLevel="2" x14ac:dyDescent="0.35">
      <c r="A2969" s="388" t="s">
        <v>3977</v>
      </c>
      <c r="B2969" s="389">
        <v>43890</v>
      </c>
      <c r="C2969" s="390" t="s">
        <v>4379</v>
      </c>
      <c r="D2969" s="391" t="s">
        <v>4381</v>
      </c>
      <c r="E2969" s="391" t="s">
        <v>6487</v>
      </c>
      <c r="F2969" s="392">
        <v>81000</v>
      </c>
      <c r="G2969" s="393" t="s">
        <v>3800</v>
      </c>
      <c r="H2969" s="394">
        <v>31.100482642938207</v>
      </c>
      <c r="I2969" s="394"/>
      <c r="J2969" s="392">
        <v>7.7751206607345518</v>
      </c>
      <c r="K2969" s="392">
        <v>7.7751206607345518</v>
      </c>
      <c r="L2969" s="392">
        <v>7.7751206607345518</v>
      </c>
      <c r="M2969" s="392">
        <v>7.7751206607345518</v>
      </c>
      <c r="N2969" s="392"/>
    </row>
    <row r="2970" spans="1:14" hidden="1" outlineLevel="2" x14ac:dyDescent="0.35">
      <c r="A2970" s="388" t="s">
        <v>3977</v>
      </c>
      <c r="B2970" s="389">
        <v>43890</v>
      </c>
      <c r="C2970" s="390" t="s">
        <v>4382</v>
      </c>
      <c r="D2970" s="391" t="s">
        <v>4383</v>
      </c>
      <c r="E2970" s="391" t="s">
        <v>6487</v>
      </c>
      <c r="F2970" s="392">
        <v>67500</v>
      </c>
      <c r="G2970" s="393" t="s">
        <v>3800</v>
      </c>
      <c r="H2970" s="394">
        <v>25.917068869115173</v>
      </c>
      <c r="I2970" s="394"/>
      <c r="J2970" s="392">
        <v>6.4792672172787933</v>
      </c>
      <c r="K2970" s="392">
        <v>6.4792672172787933</v>
      </c>
      <c r="L2970" s="392">
        <v>6.4792672172787933</v>
      </c>
      <c r="M2970" s="392">
        <v>6.4792672172787933</v>
      </c>
      <c r="N2970" s="392"/>
    </row>
    <row r="2971" spans="1:14" hidden="1" outlineLevel="2" x14ac:dyDescent="0.35">
      <c r="A2971" s="388" t="s">
        <v>3977</v>
      </c>
      <c r="B2971" s="389">
        <v>43890</v>
      </c>
      <c r="C2971" s="390" t="s">
        <v>4379</v>
      </c>
      <c r="D2971" s="391" t="s">
        <v>4384</v>
      </c>
      <c r="E2971" s="391" t="s">
        <v>6487</v>
      </c>
      <c r="F2971" s="392">
        <v>27000</v>
      </c>
      <c r="G2971" s="393" t="s">
        <v>3800</v>
      </c>
      <c r="H2971" s="394">
        <v>10.36682754764607</v>
      </c>
      <c r="I2971" s="394"/>
      <c r="J2971" s="392">
        <v>2.5917068869115174</v>
      </c>
      <c r="K2971" s="392">
        <v>2.5917068869115174</v>
      </c>
      <c r="L2971" s="392">
        <v>2.5917068869115174</v>
      </c>
      <c r="M2971" s="392">
        <v>2.5917068869115174</v>
      </c>
      <c r="N2971" s="392"/>
    </row>
    <row r="2972" spans="1:14" hidden="1" outlineLevel="2" x14ac:dyDescent="0.35">
      <c r="A2972" s="388" t="s">
        <v>3977</v>
      </c>
      <c r="B2972" s="389">
        <v>43890</v>
      </c>
      <c r="C2972" s="390" t="s">
        <v>4385</v>
      </c>
      <c r="D2972" s="391" t="s">
        <v>4386</v>
      </c>
      <c r="E2972" s="391" t="s">
        <v>4039</v>
      </c>
      <c r="F2972" s="392">
        <v>27000</v>
      </c>
      <c r="G2972" s="393" t="s">
        <v>3800</v>
      </c>
      <c r="H2972" s="394">
        <v>10.36682754764607</v>
      </c>
      <c r="I2972" s="394"/>
      <c r="J2972" s="392">
        <v>2.5917068869115174</v>
      </c>
      <c r="K2972" s="392">
        <v>2.5917068869115174</v>
      </c>
      <c r="L2972" s="392">
        <v>2.5917068869115174</v>
      </c>
      <c r="M2972" s="392">
        <v>2.5917068869115174</v>
      </c>
      <c r="N2972" s="392"/>
    </row>
    <row r="2973" spans="1:14" hidden="1" outlineLevel="2" x14ac:dyDescent="0.35">
      <c r="A2973" s="388" t="s">
        <v>3977</v>
      </c>
      <c r="B2973" s="389">
        <v>43890</v>
      </c>
      <c r="C2973" s="390" t="s">
        <v>4387</v>
      </c>
      <c r="D2973" s="391" t="s">
        <v>4388</v>
      </c>
      <c r="E2973" s="391" t="s">
        <v>4042</v>
      </c>
      <c r="F2973" s="392">
        <v>6750</v>
      </c>
      <c r="G2973" s="393" t="s">
        <v>3800</v>
      </c>
      <c r="H2973" s="394">
        <v>2.5917068869115174</v>
      </c>
      <c r="I2973" s="394"/>
      <c r="J2973" s="392">
        <v>0.64792672172787935</v>
      </c>
      <c r="K2973" s="392">
        <v>0.64792672172787935</v>
      </c>
      <c r="L2973" s="392">
        <v>0.64792672172787935</v>
      </c>
      <c r="M2973" s="392">
        <v>0.64792672172787935</v>
      </c>
      <c r="N2973" s="392"/>
    </row>
    <row r="2974" spans="1:14" hidden="1" outlineLevel="2" x14ac:dyDescent="0.35">
      <c r="A2974" s="388" t="s">
        <v>3977</v>
      </c>
      <c r="B2974" s="389">
        <v>43950</v>
      </c>
      <c r="C2974" s="390" t="s">
        <v>4266</v>
      </c>
      <c r="D2974" s="391" t="s">
        <v>4267</v>
      </c>
      <c r="E2974" s="391" t="s">
        <v>6487</v>
      </c>
      <c r="F2974" s="392">
        <v>540000</v>
      </c>
      <c r="G2974" s="393" t="s">
        <v>3800</v>
      </c>
      <c r="H2974" s="394">
        <v>207.33655095292139</v>
      </c>
      <c r="I2974" s="394"/>
      <c r="J2974" s="392">
        <v>51.834137738230346</v>
      </c>
      <c r="K2974" s="392">
        <v>51.834137738230346</v>
      </c>
      <c r="L2974" s="392">
        <v>51.834137738230346</v>
      </c>
      <c r="M2974" s="392">
        <v>51.834137738230346</v>
      </c>
      <c r="N2974" s="392"/>
    </row>
    <row r="2975" spans="1:14" hidden="1" outlineLevel="2" x14ac:dyDescent="0.35">
      <c r="A2975" s="388" t="s">
        <v>3977</v>
      </c>
      <c r="B2975" s="389">
        <v>43950</v>
      </c>
      <c r="C2975" s="390" t="s">
        <v>4266</v>
      </c>
      <c r="D2975" s="391" t="s">
        <v>4269</v>
      </c>
      <c r="E2975" s="391" t="s">
        <v>6487</v>
      </c>
      <c r="F2975" s="392">
        <v>81000</v>
      </c>
      <c r="G2975" s="393" t="s">
        <v>3800</v>
      </c>
      <c r="H2975" s="394">
        <v>31.100482642938207</v>
      </c>
      <c r="I2975" s="394"/>
      <c r="J2975" s="392">
        <v>7.7751206607345518</v>
      </c>
      <c r="K2975" s="392">
        <v>7.7751206607345518</v>
      </c>
      <c r="L2975" s="392">
        <v>7.7751206607345518</v>
      </c>
      <c r="M2975" s="392">
        <v>7.7751206607345518</v>
      </c>
      <c r="N2975" s="392"/>
    </row>
    <row r="2976" spans="1:14" hidden="1" outlineLevel="2" x14ac:dyDescent="0.35">
      <c r="A2976" s="388" t="s">
        <v>3977</v>
      </c>
      <c r="B2976" s="389">
        <v>43950</v>
      </c>
      <c r="C2976" s="390" t="s">
        <v>4270</v>
      </c>
      <c r="D2976" s="391" t="s">
        <v>4271</v>
      </c>
      <c r="E2976" s="391" t="s">
        <v>6487</v>
      </c>
      <c r="F2976" s="392">
        <v>67500</v>
      </c>
      <c r="G2976" s="393" t="s">
        <v>3800</v>
      </c>
      <c r="H2976" s="394">
        <v>25.917068869115173</v>
      </c>
      <c r="I2976" s="394"/>
      <c r="J2976" s="392">
        <v>6.4792672172787933</v>
      </c>
      <c r="K2976" s="392">
        <v>6.4792672172787933</v>
      </c>
      <c r="L2976" s="392">
        <v>6.4792672172787933</v>
      </c>
      <c r="M2976" s="392">
        <v>6.4792672172787933</v>
      </c>
      <c r="N2976" s="392"/>
    </row>
    <row r="2977" spans="1:14" hidden="1" outlineLevel="2" x14ac:dyDescent="0.35">
      <c r="A2977" s="388" t="s">
        <v>3977</v>
      </c>
      <c r="B2977" s="389">
        <v>43950</v>
      </c>
      <c r="C2977" s="390" t="s">
        <v>4266</v>
      </c>
      <c r="D2977" s="391" t="s">
        <v>4273</v>
      </c>
      <c r="E2977" s="391" t="s">
        <v>6487</v>
      </c>
      <c r="F2977" s="392">
        <v>27000</v>
      </c>
      <c r="G2977" s="393" t="s">
        <v>3800</v>
      </c>
      <c r="H2977" s="394">
        <v>10.36682754764607</v>
      </c>
      <c r="I2977" s="394"/>
      <c r="J2977" s="392">
        <v>2.5917068869115174</v>
      </c>
      <c r="K2977" s="392">
        <v>2.5917068869115174</v>
      </c>
      <c r="L2977" s="392">
        <v>2.5917068869115174</v>
      </c>
      <c r="M2977" s="392">
        <v>2.5917068869115174</v>
      </c>
      <c r="N2977" s="392"/>
    </row>
    <row r="2978" spans="1:14" hidden="1" outlineLevel="2" x14ac:dyDescent="0.35">
      <c r="A2978" s="388" t="s">
        <v>3977</v>
      </c>
      <c r="B2978" s="389">
        <v>43950</v>
      </c>
      <c r="C2978" s="390" t="s">
        <v>4274</v>
      </c>
      <c r="D2978" s="391" t="s">
        <v>4275</v>
      </c>
      <c r="E2978" s="391" t="s">
        <v>4039</v>
      </c>
      <c r="F2978" s="392">
        <v>27000</v>
      </c>
      <c r="G2978" s="393" t="s">
        <v>3800</v>
      </c>
      <c r="H2978" s="394">
        <v>10.36682754764607</v>
      </c>
      <c r="I2978" s="394"/>
      <c r="J2978" s="392">
        <v>2.5917068869115174</v>
      </c>
      <c r="K2978" s="392">
        <v>2.5917068869115174</v>
      </c>
      <c r="L2978" s="392">
        <v>2.5917068869115174</v>
      </c>
      <c r="M2978" s="392">
        <v>2.5917068869115174</v>
      </c>
      <c r="N2978" s="392"/>
    </row>
    <row r="2979" spans="1:14" hidden="1" outlineLevel="2" x14ac:dyDescent="0.35">
      <c r="A2979" s="388" t="s">
        <v>3977</v>
      </c>
      <c r="B2979" s="389">
        <v>43950</v>
      </c>
      <c r="C2979" s="390" t="s">
        <v>4277</v>
      </c>
      <c r="D2979" s="391" t="s">
        <v>4278</v>
      </c>
      <c r="E2979" s="391" t="s">
        <v>4042</v>
      </c>
      <c r="F2979" s="392">
        <v>6750</v>
      </c>
      <c r="G2979" s="393" t="s">
        <v>3800</v>
      </c>
      <c r="H2979" s="394">
        <v>2.5917068869115174</v>
      </c>
      <c r="I2979" s="394"/>
      <c r="J2979" s="392">
        <v>0.64792672172787935</v>
      </c>
      <c r="K2979" s="392">
        <v>0.64792672172787935</v>
      </c>
      <c r="L2979" s="392">
        <v>0.64792672172787935</v>
      </c>
      <c r="M2979" s="392">
        <v>0.64792672172787935</v>
      </c>
      <c r="N2979" s="392"/>
    </row>
    <row r="2980" spans="1:14" hidden="1" outlineLevel="2" x14ac:dyDescent="0.35">
      <c r="A2980" s="388" t="s">
        <v>3977</v>
      </c>
      <c r="B2980" s="389">
        <v>43959</v>
      </c>
      <c r="C2980" s="390" t="s">
        <v>4253</v>
      </c>
      <c r="D2980" s="391" t="s">
        <v>4279</v>
      </c>
      <c r="E2980" s="391" t="s">
        <v>6487</v>
      </c>
      <c r="F2980" s="392">
        <v>540000</v>
      </c>
      <c r="G2980" s="393" t="s">
        <v>3800</v>
      </c>
      <c r="H2980" s="394">
        <v>207.33655095292139</v>
      </c>
      <c r="I2980" s="394"/>
      <c r="J2980" s="392">
        <v>51.834137738230346</v>
      </c>
      <c r="K2980" s="392">
        <v>51.834137738230346</v>
      </c>
      <c r="L2980" s="392">
        <v>51.834137738230346</v>
      </c>
      <c r="M2980" s="392">
        <v>51.834137738230346</v>
      </c>
      <c r="N2980" s="392"/>
    </row>
    <row r="2981" spans="1:14" hidden="1" outlineLevel="2" x14ac:dyDescent="0.35">
      <c r="A2981" s="388" t="s">
        <v>3977</v>
      </c>
      <c r="B2981" s="389">
        <v>43959</v>
      </c>
      <c r="C2981" s="390" t="s">
        <v>4253</v>
      </c>
      <c r="D2981" s="391" t="s">
        <v>4280</v>
      </c>
      <c r="E2981" s="391" t="s">
        <v>6487</v>
      </c>
      <c r="F2981" s="392">
        <v>81000</v>
      </c>
      <c r="G2981" s="393" t="s">
        <v>3800</v>
      </c>
      <c r="H2981" s="394">
        <v>31.100482642938207</v>
      </c>
      <c r="I2981" s="394"/>
      <c r="J2981" s="392">
        <v>7.7751206607345518</v>
      </c>
      <c r="K2981" s="392">
        <v>7.7751206607345518</v>
      </c>
      <c r="L2981" s="392">
        <v>7.7751206607345518</v>
      </c>
      <c r="M2981" s="392">
        <v>7.7751206607345518</v>
      </c>
      <c r="N2981" s="392"/>
    </row>
    <row r="2982" spans="1:14" hidden="1" outlineLevel="2" x14ac:dyDescent="0.35">
      <c r="A2982" s="388" t="s">
        <v>3977</v>
      </c>
      <c r="B2982" s="389">
        <v>43963</v>
      </c>
      <c r="C2982" s="390" t="s">
        <v>4281</v>
      </c>
      <c r="D2982" s="391" t="s">
        <v>4282</v>
      </c>
      <c r="E2982" s="391" t="s">
        <v>6487</v>
      </c>
      <c r="F2982" s="392">
        <v>67500</v>
      </c>
      <c r="G2982" s="393" t="s">
        <v>3800</v>
      </c>
      <c r="H2982" s="394">
        <v>25.917068869115173</v>
      </c>
      <c r="I2982" s="394"/>
      <c r="J2982" s="392">
        <v>6.4792672172787933</v>
      </c>
      <c r="K2982" s="392">
        <v>6.4792672172787933</v>
      </c>
      <c r="L2982" s="392">
        <v>6.4792672172787933</v>
      </c>
      <c r="M2982" s="392">
        <v>6.4792672172787933</v>
      </c>
      <c r="N2982" s="392"/>
    </row>
    <row r="2983" spans="1:14" hidden="1" outlineLevel="2" x14ac:dyDescent="0.35">
      <c r="A2983" s="388" t="s">
        <v>3977</v>
      </c>
      <c r="B2983" s="389">
        <v>43959</v>
      </c>
      <c r="C2983" s="390" t="s">
        <v>4253</v>
      </c>
      <c r="D2983" s="391" t="s">
        <v>4283</v>
      </c>
      <c r="E2983" s="391" t="s">
        <v>6487</v>
      </c>
      <c r="F2983" s="392">
        <v>27000</v>
      </c>
      <c r="G2983" s="393" t="s">
        <v>3800</v>
      </c>
      <c r="H2983" s="394">
        <v>10.36682754764607</v>
      </c>
      <c r="I2983" s="394"/>
      <c r="J2983" s="392">
        <v>2.5917068869115174</v>
      </c>
      <c r="K2983" s="392">
        <v>2.5917068869115174</v>
      </c>
      <c r="L2983" s="392">
        <v>2.5917068869115174</v>
      </c>
      <c r="M2983" s="392">
        <v>2.5917068869115174</v>
      </c>
      <c r="N2983" s="392"/>
    </row>
    <row r="2984" spans="1:14" hidden="1" outlineLevel="2" x14ac:dyDescent="0.35">
      <c r="A2984" s="388" t="s">
        <v>3977</v>
      </c>
      <c r="B2984" s="389">
        <v>43964</v>
      </c>
      <c r="C2984" s="390" t="s">
        <v>4284</v>
      </c>
      <c r="D2984" s="391" t="s">
        <v>4285</v>
      </c>
      <c r="E2984" s="391" t="s">
        <v>4039</v>
      </c>
      <c r="F2984" s="392">
        <v>27000</v>
      </c>
      <c r="G2984" s="393" t="s">
        <v>3800</v>
      </c>
      <c r="H2984" s="394">
        <v>10.36682754764607</v>
      </c>
      <c r="I2984" s="394"/>
      <c r="J2984" s="392">
        <v>2.5917068869115174</v>
      </c>
      <c r="K2984" s="392">
        <v>2.5917068869115174</v>
      </c>
      <c r="L2984" s="392">
        <v>2.5917068869115174</v>
      </c>
      <c r="M2984" s="392">
        <v>2.5917068869115174</v>
      </c>
      <c r="N2984" s="392"/>
    </row>
    <row r="2985" spans="1:14" hidden="1" outlineLevel="2" collapsed="1" x14ac:dyDescent="0.35">
      <c r="A2985" s="388" t="s">
        <v>3977</v>
      </c>
      <c r="B2985" s="389">
        <v>43959</v>
      </c>
      <c r="C2985" s="390" t="s">
        <v>4286</v>
      </c>
      <c r="D2985" s="391" t="s">
        <v>4287</v>
      </c>
      <c r="E2985" s="391" t="s">
        <v>4042</v>
      </c>
      <c r="F2985" s="392">
        <v>6750</v>
      </c>
      <c r="G2985" s="393" t="s">
        <v>3800</v>
      </c>
      <c r="H2985" s="394">
        <v>2.5917068869115174</v>
      </c>
      <c r="I2985" s="394"/>
      <c r="J2985" s="392">
        <v>0.64792672172787935</v>
      </c>
      <c r="K2985" s="392">
        <v>0.64792672172787935</v>
      </c>
      <c r="L2985" s="392">
        <v>0.64792672172787935</v>
      </c>
      <c r="M2985" s="392">
        <v>0.64792672172787935</v>
      </c>
      <c r="N2985" s="392"/>
    </row>
    <row r="2986" spans="1:14" hidden="1" outlineLevel="2" x14ac:dyDescent="0.35">
      <c r="A2986" s="388" t="s">
        <v>3977</v>
      </c>
      <c r="B2986" s="389">
        <v>43980</v>
      </c>
      <c r="C2986" s="390" t="s">
        <v>4288</v>
      </c>
      <c r="D2986" s="391" t="s">
        <v>4289</v>
      </c>
      <c r="E2986" s="391" t="s">
        <v>6487</v>
      </c>
      <c r="F2986" s="392">
        <v>540000</v>
      </c>
      <c r="G2986" s="393" t="s">
        <v>3800</v>
      </c>
      <c r="H2986" s="394">
        <v>207.33655095292139</v>
      </c>
      <c r="I2986" s="394"/>
      <c r="J2986" s="392">
        <v>51.834137738230346</v>
      </c>
      <c r="K2986" s="392">
        <v>51.834137738230346</v>
      </c>
      <c r="L2986" s="392">
        <v>51.834137738230346</v>
      </c>
      <c r="M2986" s="392">
        <v>51.834137738230346</v>
      </c>
      <c r="N2986" s="392"/>
    </row>
    <row r="2987" spans="1:14" hidden="1" outlineLevel="2" x14ac:dyDescent="0.35">
      <c r="A2987" s="388" t="s">
        <v>3977</v>
      </c>
      <c r="B2987" s="389">
        <v>43980</v>
      </c>
      <c r="C2987" s="390" t="s">
        <v>4290</v>
      </c>
      <c r="D2987" s="391" t="s">
        <v>4291</v>
      </c>
      <c r="E2987" s="391" t="s">
        <v>6487</v>
      </c>
      <c r="F2987" s="392">
        <v>81000</v>
      </c>
      <c r="G2987" s="393" t="s">
        <v>3800</v>
      </c>
      <c r="H2987" s="394">
        <v>31.100482642938207</v>
      </c>
      <c r="I2987" s="394"/>
      <c r="J2987" s="392">
        <v>7.7751206607345518</v>
      </c>
      <c r="K2987" s="392">
        <v>7.7751206607345518</v>
      </c>
      <c r="L2987" s="392">
        <v>7.7751206607345518</v>
      </c>
      <c r="M2987" s="392">
        <v>7.7751206607345518</v>
      </c>
      <c r="N2987" s="392"/>
    </row>
    <row r="2988" spans="1:14" hidden="1" outlineLevel="2" x14ac:dyDescent="0.35">
      <c r="A2988" s="388" t="s">
        <v>3977</v>
      </c>
      <c r="B2988" s="389">
        <v>43980</v>
      </c>
      <c r="C2988" s="390" t="s">
        <v>4281</v>
      </c>
      <c r="D2988" s="391" t="s">
        <v>4390</v>
      </c>
      <c r="E2988" s="391" t="s">
        <v>6487</v>
      </c>
      <c r="F2988" s="392">
        <v>67500</v>
      </c>
      <c r="G2988" s="393" t="s">
        <v>3800</v>
      </c>
      <c r="H2988" s="394">
        <v>25.917068869115173</v>
      </c>
      <c r="I2988" s="394"/>
      <c r="J2988" s="392">
        <v>6.4792672172787933</v>
      </c>
      <c r="K2988" s="392">
        <v>6.4792672172787933</v>
      </c>
      <c r="L2988" s="392">
        <v>6.4792672172787933</v>
      </c>
      <c r="M2988" s="392">
        <v>6.4792672172787933</v>
      </c>
      <c r="N2988" s="392"/>
    </row>
    <row r="2989" spans="1:14" hidden="1" outlineLevel="2" x14ac:dyDescent="0.35">
      <c r="A2989" s="388" t="s">
        <v>3977</v>
      </c>
      <c r="B2989" s="389">
        <v>43980</v>
      </c>
      <c r="C2989" s="390" t="s">
        <v>4288</v>
      </c>
      <c r="D2989" s="391" t="s">
        <v>4292</v>
      </c>
      <c r="E2989" s="391" t="s">
        <v>6487</v>
      </c>
      <c r="F2989" s="392">
        <v>27000</v>
      </c>
      <c r="G2989" s="393" t="s">
        <v>3800</v>
      </c>
      <c r="H2989" s="394">
        <v>10.36682754764607</v>
      </c>
      <c r="I2989" s="394"/>
      <c r="J2989" s="392">
        <v>2.5917068869115174</v>
      </c>
      <c r="K2989" s="392">
        <v>2.5917068869115174</v>
      </c>
      <c r="L2989" s="392">
        <v>2.5917068869115174</v>
      </c>
      <c r="M2989" s="392">
        <v>2.5917068869115174</v>
      </c>
      <c r="N2989" s="392"/>
    </row>
    <row r="2990" spans="1:14" hidden="1" outlineLevel="2" x14ac:dyDescent="0.35">
      <c r="A2990" s="388" t="s">
        <v>3977</v>
      </c>
      <c r="B2990" s="389">
        <v>43980</v>
      </c>
      <c r="C2990" s="390" t="s">
        <v>4184</v>
      </c>
      <c r="D2990" s="391" t="s">
        <v>4391</v>
      </c>
      <c r="E2990" s="391" t="s">
        <v>4039</v>
      </c>
      <c r="F2990" s="392">
        <v>27000</v>
      </c>
      <c r="G2990" s="393" t="s">
        <v>3800</v>
      </c>
      <c r="H2990" s="394">
        <v>10.36682754764607</v>
      </c>
      <c r="I2990" s="394"/>
      <c r="J2990" s="392">
        <v>2.5917068869115174</v>
      </c>
      <c r="K2990" s="392">
        <v>2.5917068869115174</v>
      </c>
      <c r="L2990" s="392">
        <v>2.5917068869115174</v>
      </c>
      <c r="M2990" s="392">
        <v>2.5917068869115174</v>
      </c>
      <c r="N2990" s="392"/>
    </row>
    <row r="2991" spans="1:14" hidden="1" outlineLevel="2" x14ac:dyDescent="0.35">
      <c r="A2991" s="388" t="s">
        <v>3977</v>
      </c>
      <c r="B2991" s="389">
        <v>43980</v>
      </c>
      <c r="C2991" s="390" t="s">
        <v>4294</v>
      </c>
      <c r="D2991" s="391" t="s">
        <v>4295</v>
      </c>
      <c r="E2991" s="391" t="s">
        <v>4042</v>
      </c>
      <c r="F2991" s="392">
        <v>6750</v>
      </c>
      <c r="G2991" s="393" t="s">
        <v>3800</v>
      </c>
      <c r="H2991" s="394">
        <v>2.5917068869115174</v>
      </c>
      <c r="I2991" s="394"/>
      <c r="J2991" s="392">
        <v>0.64792672172787935</v>
      </c>
      <c r="K2991" s="392">
        <v>0.64792672172787935</v>
      </c>
      <c r="L2991" s="392">
        <v>0.64792672172787935</v>
      </c>
      <c r="M2991" s="392">
        <v>0.64792672172787935</v>
      </c>
      <c r="N2991" s="392"/>
    </row>
    <row r="2992" spans="1:14" hidden="1" outlineLevel="2" x14ac:dyDescent="0.35">
      <c r="A2992" s="388" t="s">
        <v>3977</v>
      </c>
      <c r="B2992" s="389">
        <v>44018</v>
      </c>
      <c r="C2992" s="390" t="s">
        <v>4192</v>
      </c>
      <c r="D2992" s="391" t="s">
        <v>4296</v>
      </c>
      <c r="E2992" s="391" t="s">
        <v>6487</v>
      </c>
      <c r="F2992" s="392">
        <v>540000</v>
      </c>
      <c r="G2992" s="393" t="s">
        <v>3800</v>
      </c>
      <c r="H2992" s="394">
        <v>207.33655095292139</v>
      </c>
      <c r="I2992" s="394"/>
      <c r="J2992" s="392">
        <v>51.834137738230346</v>
      </c>
      <c r="K2992" s="392">
        <v>51.834137738230346</v>
      </c>
      <c r="L2992" s="392">
        <v>51.834137738230346</v>
      </c>
      <c r="M2992" s="392">
        <v>51.834137738230346</v>
      </c>
      <c r="N2992" s="392"/>
    </row>
    <row r="2993" spans="1:14" hidden="1" outlineLevel="2" collapsed="1" x14ac:dyDescent="0.35">
      <c r="A2993" s="388" t="s">
        <v>3977</v>
      </c>
      <c r="B2993" s="389">
        <v>44018</v>
      </c>
      <c r="C2993" s="390" t="s">
        <v>4192</v>
      </c>
      <c r="D2993" s="391" t="s">
        <v>4297</v>
      </c>
      <c r="E2993" s="391" t="s">
        <v>6487</v>
      </c>
      <c r="F2993" s="392">
        <v>81000</v>
      </c>
      <c r="G2993" s="393" t="s">
        <v>3800</v>
      </c>
      <c r="H2993" s="394">
        <v>31.100482642938207</v>
      </c>
      <c r="I2993" s="394"/>
      <c r="J2993" s="392">
        <v>7.7751206607345518</v>
      </c>
      <c r="K2993" s="392">
        <v>7.7751206607345518</v>
      </c>
      <c r="L2993" s="392">
        <v>7.7751206607345518</v>
      </c>
      <c r="M2993" s="392">
        <v>7.7751206607345518</v>
      </c>
      <c r="N2993" s="392"/>
    </row>
    <row r="2994" spans="1:14" hidden="1" outlineLevel="2" x14ac:dyDescent="0.35">
      <c r="A2994" s="388" t="s">
        <v>3977</v>
      </c>
      <c r="B2994" s="389">
        <v>44022</v>
      </c>
      <c r="C2994" s="390" t="s">
        <v>4298</v>
      </c>
      <c r="D2994" s="391" t="s">
        <v>4299</v>
      </c>
      <c r="E2994" s="391" t="s">
        <v>6487</v>
      </c>
      <c r="F2994" s="392">
        <v>67500</v>
      </c>
      <c r="G2994" s="393" t="s">
        <v>3800</v>
      </c>
      <c r="H2994" s="394">
        <v>25.917068869115173</v>
      </c>
      <c r="I2994" s="394"/>
      <c r="J2994" s="392">
        <v>6.4792672172787933</v>
      </c>
      <c r="K2994" s="392">
        <v>6.4792672172787933</v>
      </c>
      <c r="L2994" s="392">
        <v>6.4792672172787933</v>
      </c>
      <c r="M2994" s="392">
        <v>6.4792672172787933</v>
      </c>
      <c r="N2994" s="392"/>
    </row>
    <row r="2995" spans="1:14" hidden="1" outlineLevel="2" x14ac:dyDescent="0.35">
      <c r="A2995" s="388" t="s">
        <v>3977</v>
      </c>
      <c r="B2995" s="389">
        <v>44018</v>
      </c>
      <c r="C2995" s="390" t="s">
        <v>4192</v>
      </c>
      <c r="D2995" s="391" t="s">
        <v>4300</v>
      </c>
      <c r="E2995" s="391" t="s">
        <v>6487</v>
      </c>
      <c r="F2995" s="392">
        <v>27000</v>
      </c>
      <c r="G2995" s="393" t="s">
        <v>3800</v>
      </c>
      <c r="H2995" s="394">
        <v>10.36682754764607</v>
      </c>
      <c r="I2995" s="394"/>
      <c r="J2995" s="392">
        <v>2.5917068869115174</v>
      </c>
      <c r="K2995" s="392">
        <v>2.5917068869115174</v>
      </c>
      <c r="L2995" s="392">
        <v>2.5917068869115174</v>
      </c>
      <c r="M2995" s="392">
        <v>2.5917068869115174</v>
      </c>
      <c r="N2995" s="392"/>
    </row>
    <row r="2996" spans="1:14" hidden="1" outlineLevel="2" x14ac:dyDescent="0.35">
      <c r="A2996" s="388" t="s">
        <v>3977</v>
      </c>
      <c r="B2996" s="389">
        <v>44022</v>
      </c>
      <c r="C2996" s="390" t="s">
        <v>4301</v>
      </c>
      <c r="D2996" s="391" t="s">
        <v>4302</v>
      </c>
      <c r="E2996" s="391" t="s">
        <v>4039</v>
      </c>
      <c r="F2996" s="392">
        <v>27000</v>
      </c>
      <c r="G2996" s="393" t="s">
        <v>3800</v>
      </c>
      <c r="H2996" s="394">
        <v>10.36682754764607</v>
      </c>
      <c r="I2996" s="394"/>
      <c r="J2996" s="392">
        <v>2.5917068869115174</v>
      </c>
      <c r="K2996" s="392">
        <v>2.5917068869115174</v>
      </c>
      <c r="L2996" s="392">
        <v>2.5917068869115174</v>
      </c>
      <c r="M2996" s="392">
        <v>2.5917068869115174</v>
      </c>
      <c r="N2996" s="392"/>
    </row>
    <row r="2997" spans="1:14" hidden="1" outlineLevel="2" x14ac:dyDescent="0.35">
      <c r="A2997" s="388" t="s">
        <v>3977</v>
      </c>
      <c r="B2997" s="389">
        <v>44022</v>
      </c>
      <c r="C2997" s="390" t="s">
        <v>4303</v>
      </c>
      <c r="D2997" s="391" t="s">
        <v>4304</v>
      </c>
      <c r="E2997" s="391" t="s">
        <v>4042</v>
      </c>
      <c r="F2997" s="392">
        <v>6750</v>
      </c>
      <c r="G2997" s="393" t="s">
        <v>3800</v>
      </c>
      <c r="H2997" s="394">
        <v>2.5917068869115174</v>
      </c>
      <c r="I2997" s="394"/>
      <c r="J2997" s="392">
        <v>0.64792672172787935</v>
      </c>
      <c r="K2997" s="392">
        <v>0.64792672172787935</v>
      </c>
      <c r="L2997" s="392">
        <v>0.64792672172787935</v>
      </c>
      <c r="M2997" s="392">
        <v>0.64792672172787935</v>
      </c>
      <c r="N2997" s="392"/>
    </row>
    <row r="2998" spans="1:14" hidden="1" outlineLevel="2" x14ac:dyDescent="0.35">
      <c r="A2998" s="388" t="s">
        <v>3977</v>
      </c>
      <c r="B2998" s="389">
        <v>44047</v>
      </c>
      <c r="C2998" s="390" t="s">
        <v>4305</v>
      </c>
      <c r="D2998" s="391" t="s">
        <v>4306</v>
      </c>
      <c r="E2998" s="391" t="s">
        <v>6487</v>
      </c>
      <c r="F2998" s="392">
        <v>540000</v>
      </c>
      <c r="G2998" s="393" t="s">
        <v>3800</v>
      </c>
      <c r="H2998" s="394">
        <v>207.33655095292139</v>
      </c>
      <c r="I2998" s="394"/>
      <c r="J2998" s="392">
        <v>51.834137738230346</v>
      </c>
      <c r="K2998" s="392">
        <v>51.834137738230346</v>
      </c>
      <c r="L2998" s="392">
        <v>51.834137738230346</v>
      </c>
      <c r="M2998" s="392">
        <v>51.834137738230346</v>
      </c>
      <c r="N2998" s="392"/>
    </row>
    <row r="2999" spans="1:14" hidden="1" outlineLevel="2" x14ac:dyDescent="0.35">
      <c r="A2999" s="388" t="s">
        <v>3977</v>
      </c>
      <c r="B2999" s="389">
        <v>44047</v>
      </c>
      <c r="C2999" s="390" t="s">
        <v>4305</v>
      </c>
      <c r="D2999" s="391" t="s">
        <v>4307</v>
      </c>
      <c r="E2999" s="391" t="s">
        <v>6487</v>
      </c>
      <c r="F2999" s="392">
        <v>81000</v>
      </c>
      <c r="G2999" s="393" t="s">
        <v>3800</v>
      </c>
      <c r="H2999" s="394">
        <v>31.100482642938207</v>
      </c>
      <c r="I2999" s="394"/>
      <c r="J2999" s="392">
        <v>7.7751206607345518</v>
      </c>
      <c r="K2999" s="392">
        <v>7.7751206607345518</v>
      </c>
      <c r="L2999" s="392">
        <v>7.7751206607345518</v>
      </c>
      <c r="M2999" s="392">
        <v>7.7751206607345518</v>
      </c>
      <c r="N2999" s="392"/>
    </row>
    <row r="3000" spans="1:14" hidden="1" outlineLevel="2" x14ac:dyDescent="0.35">
      <c r="A3000" s="388" t="s">
        <v>3977</v>
      </c>
      <c r="B3000" s="389">
        <v>44047</v>
      </c>
      <c r="C3000" s="390" t="s">
        <v>4308</v>
      </c>
      <c r="D3000" s="391" t="s">
        <v>4309</v>
      </c>
      <c r="E3000" s="391" t="s">
        <v>6487</v>
      </c>
      <c r="F3000" s="392">
        <v>67500</v>
      </c>
      <c r="G3000" s="393" t="s">
        <v>3800</v>
      </c>
      <c r="H3000" s="394">
        <v>25.917068869115173</v>
      </c>
      <c r="I3000" s="394"/>
      <c r="J3000" s="392">
        <v>6.4792672172787933</v>
      </c>
      <c r="K3000" s="392">
        <v>6.4792672172787933</v>
      </c>
      <c r="L3000" s="392">
        <v>6.4792672172787933</v>
      </c>
      <c r="M3000" s="392">
        <v>6.4792672172787933</v>
      </c>
      <c r="N3000" s="392"/>
    </row>
    <row r="3001" spans="1:14" hidden="1" outlineLevel="2" x14ac:dyDescent="0.35">
      <c r="A3001" s="388" t="s">
        <v>3977</v>
      </c>
      <c r="B3001" s="389">
        <v>44047</v>
      </c>
      <c r="C3001" s="390" t="s">
        <v>4305</v>
      </c>
      <c r="D3001" s="391" t="s">
        <v>4310</v>
      </c>
      <c r="E3001" s="391" t="s">
        <v>6487</v>
      </c>
      <c r="F3001" s="392">
        <v>27000</v>
      </c>
      <c r="G3001" s="393" t="s">
        <v>3800</v>
      </c>
      <c r="H3001" s="394">
        <v>10.36682754764607</v>
      </c>
      <c r="I3001" s="394"/>
      <c r="J3001" s="392">
        <v>2.5917068869115174</v>
      </c>
      <c r="K3001" s="392">
        <v>2.5917068869115174</v>
      </c>
      <c r="L3001" s="392">
        <v>2.5917068869115174</v>
      </c>
      <c r="M3001" s="392">
        <v>2.5917068869115174</v>
      </c>
      <c r="N3001" s="392"/>
    </row>
    <row r="3002" spans="1:14" hidden="1" outlineLevel="2" x14ac:dyDescent="0.35">
      <c r="A3002" s="388" t="s">
        <v>3977</v>
      </c>
      <c r="B3002" s="389">
        <v>44047</v>
      </c>
      <c r="C3002" s="390" t="s">
        <v>4311</v>
      </c>
      <c r="D3002" s="391" t="s">
        <v>4312</v>
      </c>
      <c r="E3002" s="391" t="s">
        <v>4039</v>
      </c>
      <c r="F3002" s="392">
        <v>27000</v>
      </c>
      <c r="G3002" s="393" t="s">
        <v>3800</v>
      </c>
      <c r="H3002" s="394">
        <v>10.36682754764607</v>
      </c>
      <c r="I3002" s="394"/>
      <c r="J3002" s="392">
        <v>2.5917068869115174</v>
      </c>
      <c r="K3002" s="392">
        <v>2.5917068869115174</v>
      </c>
      <c r="L3002" s="392">
        <v>2.5917068869115174</v>
      </c>
      <c r="M3002" s="392">
        <v>2.5917068869115174</v>
      </c>
      <c r="N3002" s="392"/>
    </row>
    <row r="3003" spans="1:14" hidden="1" outlineLevel="2" x14ac:dyDescent="0.35">
      <c r="A3003" s="388" t="s">
        <v>3977</v>
      </c>
      <c r="B3003" s="389">
        <v>44047</v>
      </c>
      <c r="C3003" s="390" t="s">
        <v>4313</v>
      </c>
      <c r="D3003" s="391" t="s">
        <v>4314</v>
      </c>
      <c r="E3003" s="391" t="s">
        <v>4042</v>
      </c>
      <c r="F3003" s="392">
        <v>6750</v>
      </c>
      <c r="G3003" s="393" t="s">
        <v>3800</v>
      </c>
      <c r="H3003" s="394">
        <v>2.5917068869115174</v>
      </c>
      <c r="I3003" s="394"/>
      <c r="J3003" s="392">
        <v>0.64792672172787935</v>
      </c>
      <c r="K3003" s="392">
        <v>0.64792672172787935</v>
      </c>
      <c r="L3003" s="392">
        <v>0.64792672172787935</v>
      </c>
      <c r="M3003" s="392">
        <v>0.64792672172787935</v>
      </c>
      <c r="N3003" s="392"/>
    </row>
    <row r="3004" spans="1:14" hidden="1" outlineLevel="2" x14ac:dyDescent="0.35">
      <c r="A3004" s="388" t="s">
        <v>3977</v>
      </c>
      <c r="B3004" s="389">
        <v>44070</v>
      </c>
      <c r="C3004" s="390" t="s">
        <v>4315</v>
      </c>
      <c r="D3004" s="391" t="s">
        <v>4316</v>
      </c>
      <c r="E3004" s="391" t="s">
        <v>6487</v>
      </c>
      <c r="F3004" s="392">
        <v>540000</v>
      </c>
      <c r="G3004" s="393" t="s">
        <v>3800</v>
      </c>
      <c r="H3004" s="394">
        <v>207.33655095292139</v>
      </c>
      <c r="I3004" s="394"/>
      <c r="J3004" s="392">
        <v>51.834137738230346</v>
      </c>
      <c r="K3004" s="392">
        <v>51.834137738230346</v>
      </c>
      <c r="L3004" s="392">
        <v>51.834137738230346</v>
      </c>
      <c r="M3004" s="392">
        <v>51.834137738230346</v>
      </c>
      <c r="N3004" s="392"/>
    </row>
    <row r="3005" spans="1:14" hidden="1" outlineLevel="2" collapsed="1" x14ac:dyDescent="0.35">
      <c r="A3005" s="388" t="s">
        <v>3977</v>
      </c>
      <c r="B3005" s="389">
        <v>44070</v>
      </c>
      <c r="C3005" s="390" t="s">
        <v>4315</v>
      </c>
      <c r="D3005" s="391" t="s">
        <v>4317</v>
      </c>
      <c r="E3005" s="391" t="s">
        <v>6487</v>
      </c>
      <c r="F3005" s="392">
        <v>81000</v>
      </c>
      <c r="G3005" s="393" t="s">
        <v>3800</v>
      </c>
      <c r="H3005" s="394">
        <v>31.100482642938207</v>
      </c>
      <c r="I3005" s="394"/>
      <c r="J3005" s="392">
        <v>7.7751206607345518</v>
      </c>
      <c r="K3005" s="392">
        <v>7.7751206607345518</v>
      </c>
      <c r="L3005" s="392">
        <v>7.7751206607345518</v>
      </c>
      <c r="M3005" s="392">
        <v>7.7751206607345518</v>
      </c>
      <c r="N3005" s="392"/>
    </row>
    <row r="3006" spans="1:14" hidden="1" outlineLevel="2" x14ac:dyDescent="0.35">
      <c r="A3006" s="388" t="s">
        <v>3977</v>
      </c>
      <c r="B3006" s="389">
        <v>44070</v>
      </c>
      <c r="C3006" s="390" t="s">
        <v>4318</v>
      </c>
      <c r="D3006" s="391" t="s">
        <v>4319</v>
      </c>
      <c r="E3006" s="391" t="s">
        <v>6487</v>
      </c>
      <c r="F3006" s="392">
        <v>67500</v>
      </c>
      <c r="G3006" s="393" t="s">
        <v>3800</v>
      </c>
      <c r="H3006" s="394">
        <v>25.917068869115173</v>
      </c>
      <c r="I3006" s="394"/>
      <c r="J3006" s="392">
        <v>6.4792672172787933</v>
      </c>
      <c r="K3006" s="392">
        <v>6.4792672172787933</v>
      </c>
      <c r="L3006" s="392">
        <v>6.4792672172787933</v>
      </c>
      <c r="M3006" s="392">
        <v>6.4792672172787933</v>
      </c>
      <c r="N3006" s="392"/>
    </row>
    <row r="3007" spans="1:14" hidden="1" outlineLevel="2" x14ac:dyDescent="0.35">
      <c r="A3007" s="388" t="s">
        <v>3977</v>
      </c>
      <c r="B3007" s="389">
        <v>44070</v>
      </c>
      <c r="C3007" s="390" t="s">
        <v>4315</v>
      </c>
      <c r="D3007" s="391" t="s">
        <v>4320</v>
      </c>
      <c r="E3007" s="391" t="s">
        <v>6487</v>
      </c>
      <c r="F3007" s="392">
        <v>27000</v>
      </c>
      <c r="G3007" s="393" t="s">
        <v>3800</v>
      </c>
      <c r="H3007" s="394">
        <v>10.36682754764607</v>
      </c>
      <c r="I3007" s="394"/>
      <c r="J3007" s="392">
        <v>2.5917068869115174</v>
      </c>
      <c r="K3007" s="392">
        <v>2.5917068869115174</v>
      </c>
      <c r="L3007" s="392">
        <v>2.5917068869115174</v>
      </c>
      <c r="M3007" s="392">
        <v>2.5917068869115174</v>
      </c>
      <c r="N3007" s="392"/>
    </row>
    <row r="3008" spans="1:14" hidden="1" outlineLevel="2" x14ac:dyDescent="0.35">
      <c r="A3008" s="388" t="s">
        <v>3977</v>
      </c>
      <c r="B3008" s="389">
        <v>44070</v>
      </c>
      <c r="C3008" s="390" t="s">
        <v>4321</v>
      </c>
      <c r="D3008" s="391" t="s">
        <v>4322</v>
      </c>
      <c r="E3008" s="391" t="s">
        <v>4039</v>
      </c>
      <c r="F3008" s="392">
        <v>27000</v>
      </c>
      <c r="G3008" s="393" t="s">
        <v>3800</v>
      </c>
      <c r="H3008" s="394">
        <v>10.36682754764607</v>
      </c>
      <c r="I3008" s="394"/>
      <c r="J3008" s="392">
        <v>2.5917068869115174</v>
      </c>
      <c r="K3008" s="392">
        <v>2.5917068869115174</v>
      </c>
      <c r="L3008" s="392">
        <v>2.5917068869115174</v>
      </c>
      <c r="M3008" s="392">
        <v>2.5917068869115174</v>
      </c>
      <c r="N3008" s="392"/>
    </row>
    <row r="3009" spans="1:14" hidden="1" outlineLevel="2" x14ac:dyDescent="0.35">
      <c r="A3009" s="388" t="s">
        <v>3977</v>
      </c>
      <c r="B3009" s="389">
        <v>44070</v>
      </c>
      <c r="C3009" s="390" t="s">
        <v>4323</v>
      </c>
      <c r="D3009" s="391" t="s">
        <v>4324</v>
      </c>
      <c r="E3009" s="391" t="s">
        <v>4042</v>
      </c>
      <c r="F3009" s="392">
        <v>6750</v>
      </c>
      <c r="G3009" s="393" t="s">
        <v>3800</v>
      </c>
      <c r="H3009" s="394">
        <v>2.5917068869115174</v>
      </c>
      <c r="I3009" s="394"/>
      <c r="J3009" s="392">
        <v>0.64792672172787935</v>
      </c>
      <c r="K3009" s="392">
        <v>0.64792672172787935</v>
      </c>
      <c r="L3009" s="392">
        <v>0.64792672172787935</v>
      </c>
      <c r="M3009" s="392">
        <v>0.64792672172787935</v>
      </c>
      <c r="N3009" s="392"/>
    </row>
    <row r="3010" spans="1:14" hidden="1" outlineLevel="2" x14ac:dyDescent="0.35">
      <c r="A3010" s="388" t="s">
        <v>3977</v>
      </c>
      <c r="B3010" s="389">
        <v>44104</v>
      </c>
      <c r="C3010" s="390" t="s">
        <v>4325</v>
      </c>
      <c r="D3010" s="391" t="s">
        <v>4326</v>
      </c>
      <c r="E3010" s="391" t="s">
        <v>6487</v>
      </c>
      <c r="F3010" s="392">
        <v>540000</v>
      </c>
      <c r="G3010" s="393" t="s">
        <v>3800</v>
      </c>
      <c r="H3010" s="394">
        <v>207.33655095292139</v>
      </c>
      <c r="I3010" s="394"/>
      <c r="J3010" s="392">
        <v>51.834137738230346</v>
      </c>
      <c r="K3010" s="392">
        <v>51.834137738230346</v>
      </c>
      <c r="L3010" s="392">
        <v>51.834137738230346</v>
      </c>
      <c r="M3010" s="392">
        <v>51.834137738230346</v>
      </c>
      <c r="N3010" s="392"/>
    </row>
    <row r="3011" spans="1:14" hidden="1" outlineLevel="2" x14ac:dyDescent="0.35">
      <c r="A3011" s="388" t="s">
        <v>3977</v>
      </c>
      <c r="B3011" s="389">
        <v>44104</v>
      </c>
      <c r="C3011" s="390" t="s">
        <v>4325</v>
      </c>
      <c r="D3011" s="391" t="s">
        <v>4327</v>
      </c>
      <c r="E3011" s="391" t="s">
        <v>6487</v>
      </c>
      <c r="F3011" s="392">
        <v>81000</v>
      </c>
      <c r="G3011" s="393" t="s">
        <v>3800</v>
      </c>
      <c r="H3011" s="394">
        <v>31.100482642938207</v>
      </c>
      <c r="I3011" s="394"/>
      <c r="J3011" s="392">
        <v>7.7751206607345518</v>
      </c>
      <c r="K3011" s="392">
        <v>7.7751206607345518</v>
      </c>
      <c r="L3011" s="392">
        <v>7.7751206607345518</v>
      </c>
      <c r="M3011" s="392">
        <v>7.7751206607345518</v>
      </c>
      <c r="N3011" s="392"/>
    </row>
    <row r="3012" spans="1:14" hidden="1" outlineLevel="2" x14ac:dyDescent="0.35">
      <c r="A3012" s="388" t="s">
        <v>3977</v>
      </c>
      <c r="B3012" s="389">
        <v>44104</v>
      </c>
      <c r="C3012" s="390" t="s">
        <v>4328</v>
      </c>
      <c r="D3012" s="391" t="s">
        <v>4329</v>
      </c>
      <c r="E3012" s="391" t="s">
        <v>6487</v>
      </c>
      <c r="F3012" s="392">
        <v>67500</v>
      </c>
      <c r="G3012" s="393" t="s">
        <v>3800</v>
      </c>
      <c r="H3012" s="394">
        <v>25.917068869115173</v>
      </c>
      <c r="I3012" s="394"/>
      <c r="J3012" s="392">
        <v>6.4792672172787933</v>
      </c>
      <c r="K3012" s="392">
        <v>6.4792672172787933</v>
      </c>
      <c r="L3012" s="392">
        <v>6.4792672172787933</v>
      </c>
      <c r="M3012" s="392">
        <v>6.4792672172787933</v>
      </c>
      <c r="N3012" s="392"/>
    </row>
    <row r="3013" spans="1:14" hidden="1" outlineLevel="2" x14ac:dyDescent="0.35">
      <c r="A3013" s="388" t="s">
        <v>3977</v>
      </c>
      <c r="B3013" s="389">
        <v>44104</v>
      </c>
      <c r="C3013" s="390" t="s">
        <v>4325</v>
      </c>
      <c r="D3013" s="391" t="s">
        <v>4330</v>
      </c>
      <c r="E3013" s="391" t="s">
        <v>6487</v>
      </c>
      <c r="F3013" s="392">
        <v>27000</v>
      </c>
      <c r="G3013" s="393" t="s">
        <v>3800</v>
      </c>
      <c r="H3013" s="394">
        <v>10.36682754764607</v>
      </c>
      <c r="I3013" s="394"/>
      <c r="J3013" s="392">
        <v>2.5917068869115174</v>
      </c>
      <c r="K3013" s="392">
        <v>2.5917068869115174</v>
      </c>
      <c r="L3013" s="392">
        <v>2.5917068869115174</v>
      </c>
      <c r="M3013" s="392">
        <v>2.5917068869115174</v>
      </c>
      <c r="N3013" s="392"/>
    </row>
    <row r="3014" spans="1:14" hidden="1" outlineLevel="2" x14ac:dyDescent="0.35">
      <c r="A3014" s="388" t="s">
        <v>3977</v>
      </c>
      <c r="B3014" s="389">
        <v>44104</v>
      </c>
      <c r="C3014" s="390" t="s">
        <v>4331</v>
      </c>
      <c r="D3014" s="391" t="s">
        <v>4332</v>
      </c>
      <c r="E3014" s="391" t="s">
        <v>4039</v>
      </c>
      <c r="F3014" s="392">
        <v>27000</v>
      </c>
      <c r="G3014" s="393" t="s">
        <v>3800</v>
      </c>
      <c r="H3014" s="394">
        <v>10.36682754764607</v>
      </c>
      <c r="I3014" s="394"/>
      <c r="J3014" s="392">
        <v>2.5917068869115174</v>
      </c>
      <c r="K3014" s="392">
        <v>2.5917068869115174</v>
      </c>
      <c r="L3014" s="392">
        <v>2.5917068869115174</v>
      </c>
      <c r="M3014" s="392">
        <v>2.5917068869115174</v>
      </c>
      <c r="N3014" s="392"/>
    </row>
    <row r="3015" spans="1:14" hidden="1" outlineLevel="2" collapsed="1" x14ac:dyDescent="0.35">
      <c r="A3015" s="388" t="s">
        <v>3977</v>
      </c>
      <c r="B3015" s="389">
        <v>44104</v>
      </c>
      <c r="C3015" s="390" t="s">
        <v>4333</v>
      </c>
      <c r="D3015" s="391" t="s">
        <v>4334</v>
      </c>
      <c r="E3015" s="391" t="s">
        <v>4042</v>
      </c>
      <c r="F3015" s="392">
        <v>6750</v>
      </c>
      <c r="G3015" s="393" t="s">
        <v>3800</v>
      </c>
      <c r="H3015" s="394">
        <v>2.5917068869115174</v>
      </c>
      <c r="I3015" s="394"/>
      <c r="J3015" s="392">
        <v>0.64792672172787935</v>
      </c>
      <c r="K3015" s="392">
        <v>0.64792672172787935</v>
      </c>
      <c r="L3015" s="392">
        <v>0.64792672172787935</v>
      </c>
      <c r="M3015" s="392">
        <v>0.64792672172787935</v>
      </c>
      <c r="N3015" s="392"/>
    </row>
    <row r="3016" spans="1:14" hidden="1" outlineLevel="2" x14ac:dyDescent="0.35">
      <c r="A3016" s="388" t="s">
        <v>3977</v>
      </c>
      <c r="B3016" s="389">
        <v>44131</v>
      </c>
      <c r="C3016" s="390" t="s">
        <v>4335</v>
      </c>
      <c r="D3016" s="391" t="s">
        <v>4336</v>
      </c>
      <c r="E3016" s="391" t="s">
        <v>6487</v>
      </c>
      <c r="F3016" s="392">
        <v>540000</v>
      </c>
      <c r="G3016" s="393" t="s">
        <v>3800</v>
      </c>
      <c r="H3016" s="394">
        <v>207.33655095292139</v>
      </c>
      <c r="I3016" s="394"/>
      <c r="J3016" s="392">
        <v>51.834137738230346</v>
      </c>
      <c r="K3016" s="392">
        <v>51.834137738230346</v>
      </c>
      <c r="L3016" s="392">
        <v>51.834137738230346</v>
      </c>
      <c r="M3016" s="392">
        <v>51.834137738230346</v>
      </c>
      <c r="N3016" s="392"/>
    </row>
    <row r="3017" spans="1:14" hidden="1" outlineLevel="2" x14ac:dyDescent="0.35">
      <c r="A3017" s="388" t="s">
        <v>3977</v>
      </c>
      <c r="B3017" s="389">
        <v>44131</v>
      </c>
      <c r="C3017" s="390" t="s">
        <v>4335</v>
      </c>
      <c r="D3017" s="391" t="s">
        <v>4337</v>
      </c>
      <c r="E3017" s="391" t="s">
        <v>6487</v>
      </c>
      <c r="F3017" s="392">
        <v>81000</v>
      </c>
      <c r="G3017" s="393" t="s">
        <v>3800</v>
      </c>
      <c r="H3017" s="394">
        <v>31.100482642938207</v>
      </c>
      <c r="I3017" s="394"/>
      <c r="J3017" s="392">
        <v>7.7751206607345518</v>
      </c>
      <c r="K3017" s="392">
        <v>7.7751206607345518</v>
      </c>
      <c r="L3017" s="392">
        <v>7.7751206607345518</v>
      </c>
      <c r="M3017" s="392">
        <v>7.7751206607345518</v>
      </c>
      <c r="N3017" s="392"/>
    </row>
    <row r="3018" spans="1:14" hidden="1" outlineLevel="2" x14ac:dyDescent="0.35">
      <c r="A3018" s="388" t="s">
        <v>3977</v>
      </c>
      <c r="B3018" s="389">
        <v>44131</v>
      </c>
      <c r="C3018" s="390" t="s">
        <v>4338</v>
      </c>
      <c r="D3018" s="391" t="s">
        <v>4339</v>
      </c>
      <c r="E3018" s="391" t="s">
        <v>6487</v>
      </c>
      <c r="F3018" s="392">
        <v>67500</v>
      </c>
      <c r="G3018" s="393" t="s">
        <v>3800</v>
      </c>
      <c r="H3018" s="394">
        <v>25.917068869115173</v>
      </c>
      <c r="I3018" s="394"/>
      <c r="J3018" s="392">
        <v>6.4792672172787933</v>
      </c>
      <c r="K3018" s="392">
        <v>6.4792672172787933</v>
      </c>
      <c r="L3018" s="392">
        <v>6.4792672172787933</v>
      </c>
      <c r="M3018" s="392">
        <v>6.4792672172787933</v>
      </c>
      <c r="N3018" s="392"/>
    </row>
    <row r="3019" spans="1:14" hidden="1" outlineLevel="2" x14ac:dyDescent="0.35">
      <c r="A3019" s="388" t="s">
        <v>3977</v>
      </c>
      <c r="B3019" s="389">
        <v>44131</v>
      </c>
      <c r="C3019" s="390" t="s">
        <v>4325</v>
      </c>
      <c r="D3019" s="391" t="s">
        <v>4340</v>
      </c>
      <c r="E3019" s="391" t="s">
        <v>6487</v>
      </c>
      <c r="F3019" s="392">
        <v>27000</v>
      </c>
      <c r="G3019" s="393" t="s">
        <v>3800</v>
      </c>
      <c r="H3019" s="394">
        <v>10.36682754764607</v>
      </c>
      <c r="I3019" s="394"/>
      <c r="J3019" s="392">
        <v>2.5917068869115174</v>
      </c>
      <c r="K3019" s="392">
        <v>2.5917068869115174</v>
      </c>
      <c r="L3019" s="392">
        <v>2.5917068869115174</v>
      </c>
      <c r="M3019" s="392">
        <v>2.5917068869115174</v>
      </c>
      <c r="N3019" s="392"/>
    </row>
    <row r="3020" spans="1:14" hidden="1" outlineLevel="2" x14ac:dyDescent="0.35">
      <c r="A3020" s="388" t="s">
        <v>3977</v>
      </c>
      <c r="B3020" s="389">
        <v>44131</v>
      </c>
      <c r="C3020" s="390" t="s">
        <v>4341</v>
      </c>
      <c r="D3020" s="391" t="s">
        <v>4342</v>
      </c>
      <c r="E3020" s="391" t="s">
        <v>4039</v>
      </c>
      <c r="F3020" s="392">
        <v>27000</v>
      </c>
      <c r="G3020" s="393" t="s">
        <v>3800</v>
      </c>
      <c r="H3020" s="394">
        <v>10.36682754764607</v>
      </c>
      <c r="I3020" s="394"/>
      <c r="J3020" s="392">
        <v>2.5917068869115174</v>
      </c>
      <c r="K3020" s="392">
        <v>2.5917068869115174</v>
      </c>
      <c r="L3020" s="392">
        <v>2.5917068869115174</v>
      </c>
      <c r="M3020" s="392">
        <v>2.5917068869115174</v>
      </c>
      <c r="N3020" s="392"/>
    </row>
    <row r="3021" spans="1:14" hidden="1" outlineLevel="2" x14ac:dyDescent="0.35">
      <c r="A3021" s="388" t="s">
        <v>3977</v>
      </c>
      <c r="B3021" s="389">
        <v>44131</v>
      </c>
      <c r="C3021" s="390" t="s">
        <v>4343</v>
      </c>
      <c r="D3021" s="391" t="s">
        <v>4344</v>
      </c>
      <c r="E3021" s="391" t="s">
        <v>4042</v>
      </c>
      <c r="F3021" s="392">
        <v>6750</v>
      </c>
      <c r="G3021" s="393" t="s">
        <v>3800</v>
      </c>
      <c r="H3021" s="394">
        <v>2.5917068869115174</v>
      </c>
      <c r="I3021" s="394"/>
      <c r="J3021" s="392">
        <v>0.64792672172787935</v>
      </c>
      <c r="K3021" s="392">
        <v>0.64792672172787935</v>
      </c>
      <c r="L3021" s="392">
        <v>0.64792672172787935</v>
      </c>
      <c r="M3021" s="392">
        <v>0.64792672172787935</v>
      </c>
      <c r="N3021" s="392"/>
    </row>
    <row r="3022" spans="1:14" hidden="1" outlineLevel="2" collapsed="1" x14ac:dyDescent="0.35">
      <c r="A3022" s="388" t="s">
        <v>3977</v>
      </c>
      <c r="B3022" s="389">
        <v>44165</v>
      </c>
      <c r="C3022" s="390" t="s">
        <v>4345</v>
      </c>
      <c r="D3022" s="391" t="s">
        <v>4346</v>
      </c>
      <c r="E3022" s="391" t="s">
        <v>6487</v>
      </c>
      <c r="F3022" s="392">
        <v>540000</v>
      </c>
      <c r="G3022" s="393" t="s">
        <v>3800</v>
      </c>
      <c r="H3022" s="394">
        <v>207.33655095292139</v>
      </c>
      <c r="I3022" s="394"/>
      <c r="J3022" s="392">
        <v>51.834137738230346</v>
      </c>
      <c r="K3022" s="392">
        <v>51.834137738230346</v>
      </c>
      <c r="L3022" s="392">
        <v>51.834137738230346</v>
      </c>
      <c r="M3022" s="392">
        <v>51.834137738230346</v>
      </c>
      <c r="N3022" s="392"/>
    </row>
    <row r="3023" spans="1:14" hidden="1" outlineLevel="2" x14ac:dyDescent="0.35">
      <c r="A3023" s="388" t="s">
        <v>3977</v>
      </c>
      <c r="B3023" s="389">
        <v>44165</v>
      </c>
      <c r="C3023" s="390" t="s">
        <v>4345</v>
      </c>
      <c r="D3023" s="391" t="s">
        <v>4347</v>
      </c>
      <c r="E3023" s="391" t="s">
        <v>6487</v>
      </c>
      <c r="F3023" s="392">
        <v>81000</v>
      </c>
      <c r="G3023" s="393" t="s">
        <v>3800</v>
      </c>
      <c r="H3023" s="394">
        <v>31.100482642938207</v>
      </c>
      <c r="I3023" s="394"/>
      <c r="J3023" s="392">
        <v>7.7751206607345518</v>
      </c>
      <c r="K3023" s="392">
        <v>7.7751206607345518</v>
      </c>
      <c r="L3023" s="392">
        <v>7.7751206607345518</v>
      </c>
      <c r="M3023" s="392">
        <v>7.7751206607345518</v>
      </c>
      <c r="N3023" s="392"/>
    </row>
    <row r="3024" spans="1:14" hidden="1" outlineLevel="2" x14ac:dyDescent="0.35">
      <c r="A3024" s="388" t="s">
        <v>3977</v>
      </c>
      <c r="B3024" s="389">
        <v>44165</v>
      </c>
      <c r="C3024" s="390" t="s">
        <v>4348</v>
      </c>
      <c r="D3024" s="391" t="s">
        <v>4349</v>
      </c>
      <c r="E3024" s="391" t="s">
        <v>6487</v>
      </c>
      <c r="F3024" s="392">
        <v>67500</v>
      </c>
      <c r="G3024" s="393" t="s">
        <v>3800</v>
      </c>
      <c r="H3024" s="394">
        <v>25.917068869115173</v>
      </c>
      <c r="I3024" s="394"/>
      <c r="J3024" s="392">
        <v>6.4792672172787933</v>
      </c>
      <c r="K3024" s="392">
        <v>6.4792672172787933</v>
      </c>
      <c r="L3024" s="392">
        <v>6.4792672172787933</v>
      </c>
      <c r="M3024" s="392">
        <v>6.4792672172787933</v>
      </c>
      <c r="N3024" s="392"/>
    </row>
    <row r="3025" spans="1:14" hidden="1" outlineLevel="2" x14ac:dyDescent="0.35">
      <c r="A3025" s="388" t="s">
        <v>3977</v>
      </c>
      <c r="B3025" s="389">
        <v>44165</v>
      </c>
      <c r="C3025" s="390" t="s">
        <v>4345</v>
      </c>
      <c r="D3025" s="391" t="s">
        <v>4350</v>
      </c>
      <c r="E3025" s="391" t="s">
        <v>6487</v>
      </c>
      <c r="F3025" s="392">
        <v>27000</v>
      </c>
      <c r="G3025" s="393" t="s">
        <v>3800</v>
      </c>
      <c r="H3025" s="394">
        <v>10.36682754764607</v>
      </c>
      <c r="I3025" s="394"/>
      <c r="J3025" s="392">
        <v>2.5917068869115174</v>
      </c>
      <c r="K3025" s="392">
        <v>2.5917068869115174</v>
      </c>
      <c r="L3025" s="392">
        <v>2.5917068869115174</v>
      </c>
      <c r="M3025" s="392">
        <v>2.5917068869115174</v>
      </c>
      <c r="N3025" s="392"/>
    </row>
    <row r="3026" spans="1:14" hidden="1" outlineLevel="2" x14ac:dyDescent="0.35">
      <c r="A3026" s="388" t="s">
        <v>3977</v>
      </c>
      <c r="B3026" s="389">
        <v>44165</v>
      </c>
      <c r="C3026" s="390" t="s">
        <v>4351</v>
      </c>
      <c r="D3026" s="391" t="s">
        <v>4352</v>
      </c>
      <c r="E3026" s="391" t="s">
        <v>4039</v>
      </c>
      <c r="F3026" s="392">
        <v>27000</v>
      </c>
      <c r="G3026" s="393" t="s">
        <v>3800</v>
      </c>
      <c r="H3026" s="394">
        <v>10.36682754764607</v>
      </c>
      <c r="I3026" s="394"/>
      <c r="J3026" s="392">
        <v>2.5917068869115174</v>
      </c>
      <c r="K3026" s="392">
        <v>2.5917068869115174</v>
      </c>
      <c r="L3026" s="392">
        <v>2.5917068869115174</v>
      </c>
      <c r="M3026" s="392">
        <v>2.5917068869115174</v>
      </c>
      <c r="N3026" s="392"/>
    </row>
    <row r="3027" spans="1:14" hidden="1" outlineLevel="2" x14ac:dyDescent="0.35">
      <c r="A3027" s="388" t="s">
        <v>3977</v>
      </c>
      <c r="B3027" s="389">
        <v>44165</v>
      </c>
      <c r="C3027" s="390" t="s">
        <v>4353</v>
      </c>
      <c r="D3027" s="391" t="s">
        <v>4354</v>
      </c>
      <c r="E3027" s="391" t="s">
        <v>4042</v>
      </c>
      <c r="F3027" s="392">
        <v>6750</v>
      </c>
      <c r="G3027" s="393" t="s">
        <v>3800</v>
      </c>
      <c r="H3027" s="394">
        <v>2.5917068869115174</v>
      </c>
      <c r="I3027" s="394"/>
      <c r="J3027" s="392">
        <v>0.64792672172787935</v>
      </c>
      <c r="K3027" s="392">
        <v>0.64792672172787935</v>
      </c>
      <c r="L3027" s="392">
        <v>0.64792672172787935</v>
      </c>
      <c r="M3027" s="392">
        <v>0.64792672172787935</v>
      </c>
      <c r="N3027" s="392"/>
    </row>
    <row r="3028" spans="1:14" hidden="1" outlineLevel="2" collapsed="1" x14ac:dyDescent="0.35">
      <c r="A3028" s="388" t="s">
        <v>3977</v>
      </c>
      <c r="B3028" s="389">
        <v>44187</v>
      </c>
      <c r="C3028" s="390" t="s">
        <v>4355</v>
      </c>
      <c r="D3028" s="391" t="s">
        <v>4356</v>
      </c>
      <c r="E3028" s="391" t="s">
        <v>6487</v>
      </c>
      <c r="F3028" s="392">
        <v>540000</v>
      </c>
      <c r="G3028" s="393" t="s">
        <v>3800</v>
      </c>
      <c r="H3028" s="394">
        <v>207.33655095292139</v>
      </c>
      <c r="I3028" s="394"/>
      <c r="J3028" s="392">
        <v>51.834137738230346</v>
      </c>
      <c r="K3028" s="392">
        <v>51.834137738230346</v>
      </c>
      <c r="L3028" s="392">
        <v>51.834137738230346</v>
      </c>
      <c r="M3028" s="392">
        <v>51.834137738230346</v>
      </c>
      <c r="N3028" s="392"/>
    </row>
    <row r="3029" spans="1:14" hidden="1" outlineLevel="2" x14ac:dyDescent="0.35">
      <c r="A3029" s="388" t="s">
        <v>3977</v>
      </c>
      <c r="B3029" s="389">
        <v>44187</v>
      </c>
      <c r="C3029" s="390" t="s">
        <v>4355</v>
      </c>
      <c r="D3029" s="391" t="s">
        <v>4357</v>
      </c>
      <c r="E3029" s="391" t="s">
        <v>6487</v>
      </c>
      <c r="F3029" s="392">
        <v>81000</v>
      </c>
      <c r="G3029" s="393" t="s">
        <v>3800</v>
      </c>
      <c r="H3029" s="394">
        <v>31.100482642938207</v>
      </c>
      <c r="I3029" s="394"/>
      <c r="J3029" s="392">
        <v>7.7751206607345518</v>
      </c>
      <c r="K3029" s="392">
        <v>7.7751206607345518</v>
      </c>
      <c r="L3029" s="392">
        <v>7.7751206607345518</v>
      </c>
      <c r="M3029" s="392">
        <v>7.7751206607345518</v>
      </c>
      <c r="N3029" s="392"/>
    </row>
    <row r="3030" spans="1:14" hidden="1" outlineLevel="2" collapsed="1" x14ac:dyDescent="0.35">
      <c r="A3030" s="388" t="s">
        <v>3977</v>
      </c>
      <c r="B3030" s="389">
        <v>44187</v>
      </c>
      <c r="C3030" s="390" t="s">
        <v>4358</v>
      </c>
      <c r="D3030" s="391" t="s">
        <v>4359</v>
      </c>
      <c r="E3030" s="391" t="s">
        <v>6487</v>
      </c>
      <c r="F3030" s="392">
        <v>67500</v>
      </c>
      <c r="G3030" s="393" t="s">
        <v>3800</v>
      </c>
      <c r="H3030" s="394">
        <v>25.917068869115173</v>
      </c>
      <c r="I3030" s="394"/>
      <c r="J3030" s="392">
        <v>6.4792672172787933</v>
      </c>
      <c r="K3030" s="392">
        <v>6.4792672172787933</v>
      </c>
      <c r="L3030" s="392">
        <v>6.4792672172787933</v>
      </c>
      <c r="M3030" s="392">
        <v>6.4792672172787933</v>
      </c>
      <c r="N3030" s="392"/>
    </row>
    <row r="3031" spans="1:14" hidden="1" outlineLevel="2" x14ac:dyDescent="0.35">
      <c r="A3031" s="388" t="s">
        <v>3977</v>
      </c>
      <c r="B3031" s="389">
        <v>44187</v>
      </c>
      <c r="C3031" s="390" t="s">
        <v>4355</v>
      </c>
      <c r="D3031" s="391" t="s">
        <v>4360</v>
      </c>
      <c r="E3031" s="391" t="s">
        <v>6487</v>
      </c>
      <c r="F3031" s="392">
        <v>27000</v>
      </c>
      <c r="G3031" s="393" t="s">
        <v>3800</v>
      </c>
      <c r="H3031" s="394">
        <v>10.36682754764607</v>
      </c>
      <c r="I3031" s="394"/>
      <c r="J3031" s="392">
        <v>2.5917068869115174</v>
      </c>
      <c r="K3031" s="392">
        <v>2.5917068869115174</v>
      </c>
      <c r="L3031" s="392">
        <v>2.5917068869115174</v>
      </c>
      <c r="M3031" s="392">
        <v>2.5917068869115174</v>
      </c>
      <c r="N3031" s="392"/>
    </row>
    <row r="3032" spans="1:14" hidden="1" outlineLevel="2" x14ac:dyDescent="0.35">
      <c r="A3032" s="388" t="s">
        <v>3977</v>
      </c>
      <c r="B3032" s="389">
        <v>44187</v>
      </c>
      <c r="C3032" s="390" t="s">
        <v>4361</v>
      </c>
      <c r="D3032" s="391" t="s">
        <v>4362</v>
      </c>
      <c r="E3032" s="391" t="s">
        <v>4039</v>
      </c>
      <c r="F3032" s="392">
        <v>27000</v>
      </c>
      <c r="G3032" s="393" t="s">
        <v>3800</v>
      </c>
      <c r="H3032" s="394">
        <v>10.36682754764607</v>
      </c>
      <c r="I3032" s="394"/>
      <c r="J3032" s="392">
        <v>2.5917068869115174</v>
      </c>
      <c r="K3032" s="392">
        <v>2.5917068869115174</v>
      </c>
      <c r="L3032" s="392">
        <v>2.5917068869115174</v>
      </c>
      <c r="M3032" s="392">
        <v>2.5917068869115174</v>
      </c>
      <c r="N3032" s="392"/>
    </row>
    <row r="3033" spans="1:14" hidden="1" outlineLevel="2" x14ac:dyDescent="0.35">
      <c r="A3033" s="388" t="s">
        <v>3977</v>
      </c>
      <c r="B3033" s="389">
        <v>44187</v>
      </c>
      <c r="C3033" s="390" t="s">
        <v>4363</v>
      </c>
      <c r="D3033" s="391" t="s">
        <v>4364</v>
      </c>
      <c r="E3033" s="391" t="s">
        <v>4042</v>
      </c>
      <c r="F3033" s="392">
        <v>6750</v>
      </c>
      <c r="G3033" s="393" t="s">
        <v>3800</v>
      </c>
      <c r="H3033" s="394">
        <v>2.5917068869115174</v>
      </c>
      <c r="I3033" s="394"/>
      <c r="J3033" s="392">
        <v>0.64792672172787935</v>
      </c>
      <c r="K3033" s="392">
        <v>0.64792672172787935</v>
      </c>
      <c r="L3033" s="392">
        <v>0.64792672172787935</v>
      </c>
      <c r="M3033" s="392">
        <v>0.64792672172787935</v>
      </c>
      <c r="N3033" s="392"/>
    </row>
    <row r="3034" spans="1:14" hidden="1" outlineLevel="2" collapsed="1" x14ac:dyDescent="0.35">
      <c r="A3034" s="388" t="s">
        <v>3977</v>
      </c>
      <c r="B3034" s="389">
        <v>44222</v>
      </c>
      <c r="C3034" s="390" t="s">
        <v>4029</v>
      </c>
      <c r="D3034" s="391" t="s">
        <v>4030</v>
      </c>
      <c r="E3034" s="391" t="s">
        <v>6487</v>
      </c>
      <c r="F3034" s="392">
        <v>540000</v>
      </c>
      <c r="G3034" s="393" t="s">
        <v>3800</v>
      </c>
      <c r="H3034" s="394">
        <v>200.92991456158094</v>
      </c>
      <c r="I3034" s="394"/>
      <c r="J3034" s="392">
        <v>50.232478640395236</v>
      </c>
      <c r="K3034" s="392">
        <v>50.232478640395236</v>
      </c>
      <c r="L3034" s="392">
        <v>50.232478640395236</v>
      </c>
      <c r="M3034" s="392">
        <v>50.232478640395236</v>
      </c>
      <c r="N3034" s="392"/>
    </row>
    <row r="3035" spans="1:14" hidden="1" outlineLevel="2" x14ac:dyDescent="0.35">
      <c r="A3035" s="388" t="s">
        <v>3977</v>
      </c>
      <c r="B3035" s="389">
        <v>44222</v>
      </c>
      <c r="C3035" s="390" t="s">
        <v>4029</v>
      </c>
      <c r="D3035" s="391" t="s">
        <v>4032</v>
      </c>
      <c r="E3035" s="391" t="s">
        <v>6487</v>
      </c>
      <c r="F3035" s="392">
        <v>81000</v>
      </c>
      <c r="G3035" s="393" t="s">
        <v>3800</v>
      </c>
      <c r="H3035" s="394">
        <v>30.139487184237144</v>
      </c>
      <c r="I3035" s="394"/>
      <c r="J3035" s="392">
        <v>7.5348717960592859</v>
      </c>
      <c r="K3035" s="392">
        <v>7.5348717960592859</v>
      </c>
      <c r="L3035" s="392">
        <v>7.5348717960592859</v>
      </c>
      <c r="M3035" s="392">
        <v>7.5348717960592859</v>
      </c>
      <c r="N3035" s="392"/>
    </row>
    <row r="3036" spans="1:14" hidden="1" outlineLevel="2" x14ac:dyDescent="0.35">
      <c r="A3036" s="388" t="s">
        <v>3977</v>
      </c>
      <c r="B3036" s="389">
        <v>44222</v>
      </c>
      <c r="C3036" s="390" t="s">
        <v>4033</v>
      </c>
      <c r="D3036" s="391" t="s">
        <v>4034</v>
      </c>
      <c r="E3036" s="391" t="s">
        <v>6487</v>
      </c>
      <c r="F3036" s="392">
        <v>67500</v>
      </c>
      <c r="G3036" s="393" t="s">
        <v>3800</v>
      </c>
      <c r="H3036" s="394">
        <v>25.116239320197618</v>
      </c>
      <c r="I3036" s="394"/>
      <c r="J3036" s="392">
        <v>6.2790598300494045</v>
      </c>
      <c r="K3036" s="392">
        <v>6.2790598300494045</v>
      </c>
      <c r="L3036" s="392">
        <v>6.2790598300494045</v>
      </c>
      <c r="M3036" s="392">
        <v>6.2790598300494045</v>
      </c>
      <c r="N3036" s="392"/>
    </row>
    <row r="3037" spans="1:14" hidden="1" outlineLevel="2" x14ac:dyDescent="0.35">
      <c r="A3037" s="388" t="s">
        <v>3977</v>
      </c>
      <c r="B3037" s="389">
        <v>44222</v>
      </c>
      <c r="C3037" s="390" t="s">
        <v>4029</v>
      </c>
      <c r="D3037" s="391" t="s">
        <v>4036</v>
      </c>
      <c r="E3037" s="391" t="s">
        <v>6487</v>
      </c>
      <c r="F3037" s="392">
        <v>27000</v>
      </c>
      <c r="G3037" s="393" t="s">
        <v>3800</v>
      </c>
      <c r="H3037" s="394">
        <v>10.046495728079048</v>
      </c>
      <c r="I3037" s="394"/>
      <c r="J3037" s="392">
        <v>2.511623932019762</v>
      </c>
      <c r="K3037" s="392">
        <v>2.511623932019762</v>
      </c>
      <c r="L3037" s="392">
        <v>2.511623932019762</v>
      </c>
      <c r="M3037" s="392">
        <v>2.511623932019762</v>
      </c>
      <c r="N3037" s="392"/>
    </row>
    <row r="3038" spans="1:14" hidden="1" outlineLevel="2" x14ac:dyDescent="0.35">
      <c r="A3038" s="388" t="s">
        <v>3977</v>
      </c>
      <c r="B3038" s="389">
        <v>44222</v>
      </c>
      <c r="C3038" s="390" t="s">
        <v>4037</v>
      </c>
      <c r="D3038" s="391" t="s">
        <v>4038</v>
      </c>
      <c r="E3038" s="391" t="s">
        <v>4039</v>
      </c>
      <c r="F3038" s="392">
        <v>27000</v>
      </c>
      <c r="G3038" s="393" t="s">
        <v>3800</v>
      </c>
      <c r="H3038" s="394">
        <v>10.046495728079048</v>
      </c>
      <c r="I3038" s="394"/>
      <c r="J3038" s="392">
        <v>2.511623932019762</v>
      </c>
      <c r="K3038" s="392">
        <v>2.511623932019762</v>
      </c>
      <c r="L3038" s="392">
        <v>2.511623932019762</v>
      </c>
      <c r="M3038" s="392">
        <v>2.511623932019762</v>
      </c>
      <c r="N3038" s="392"/>
    </row>
    <row r="3039" spans="1:14" hidden="1" outlineLevel="2" collapsed="1" x14ac:dyDescent="0.35">
      <c r="A3039" s="388" t="s">
        <v>3977</v>
      </c>
      <c r="B3039" s="389">
        <v>44222</v>
      </c>
      <c r="C3039" s="390" t="s">
        <v>4040</v>
      </c>
      <c r="D3039" s="391" t="s">
        <v>4041</v>
      </c>
      <c r="E3039" s="391" t="s">
        <v>4042</v>
      </c>
      <c r="F3039" s="392">
        <v>6750</v>
      </c>
      <c r="G3039" s="393" t="s">
        <v>3800</v>
      </c>
      <c r="H3039" s="394">
        <v>2.511623932019762</v>
      </c>
      <c r="I3039" s="394"/>
      <c r="J3039" s="392">
        <v>0.62790598300494049</v>
      </c>
      <c r="K3039" s="392">
        <v>0.62790598300494049</v>
      </c>
      <c r="L3039" s="392">
        <v>0.62790598300494049</v>
      </c>
      <c r="M3039" s="392">
        <v>0.62790598300494049</v>
      </c>
      <c r="N3039" s="392"/>
    </row>
    <row r="3040" spans="1:14" hidden="1" outlineLevel="2" x14ac:dyDescent="0.35">
      <c r="A3040" s="388" t="s">
        <v>3977</v>
      </c>
      <c r="B3040" s="389">
        <v>44259</v>
      </c>
      <c r="C3040" s="390" t="s">
        <v>4043</v>
      </c>
      <c r="D3040" s="391" t="s">
        <v>4044</v>
      </c>
      <c r="E3040" s="391" t="s">
        <v>6487</v>
      </c>
      <c r="F3040" s="392">
        <v>540000</v>
      </c>
      <c r="G3040" s="393" t="s">
        <v>3800</v>
      </c>
      <c r="H3040" s="394">
        <v>200.92991456158094</v>
      </c>
      <c r="I3040" s="394"/>
      <c r="J3040" s="392">
        <v>50.232478640395236</v>
      </c>
      <c r="K3040" s="392">
        <v>50.232478640395236</v>
      </c>
      <c r="L3040" s="392">
        <v>50.232478640395236</v>
      </c>
      <c r="M3040" s="392">
        <v>50.232478640395236</v>
      </c>
      <c r="N3040" s="392"/>
    </row>
    <row r="3041" spans="1:14" hidden="1" outlineLevel="2" x14ac:dyDescent="0.35">
      <c r="A3041" s="388" t="s">
        <v>3977</v>
      </c>
      <c r="B3041" s="389">
        <v>44259</v>
      </c>
      <c r="C3041" s="390" t="s">
        <v>4043</v>
      </c>
      <c r="D3041" s="391" t="s">
        <v>4045</v>
      </c>
      <c r="E3041" s="391" t="s">
        <v>6487</v>
      </c>
      <c r="F3041" s="392">
        <v>81000</v>
      </c>
      <c r="G3041" s="393" t="s">
        <v>3800</v>
      </c>
      <c r="H3041" s="394">
        <v>30.139487184237144</v>
      </c>
      <c r="I3041" s="394"/>
      <c r="J3041" s="392">
        <v>7.5348717960592859</v>
      </c>
      <c r="K3041" s="392">
        <v>7.5348717960592859</v>
      </c>
      <c r="L3041" s="392">
        <v>7.5348717960592859</v>
      </c>
      <c r="M3041" s="392">
        <v>7.5348717960592859</v>
      </c>
      <c r="N3041" s="392"/>
    </row>
    <row r="3042" spans="1:14" hidden="1" outlineLevel="2" x14ac:dyDescent="0.35">
      <c r="A3042" s="388" t="s">
        <v>3977</v>
      </c>
      <c r="B3042" s="389">
        <v>44259</v>
      </c>
      <c r="C3042" s="390" t="s">
        <v>4043</v>
      </c>
      <c r="D3042" s="391" t="s">
        <v>4046</v>
      </c>
      <c r="E3042" s="391" t="s">
        <v>6487</v>
      </c>
      <c r="F3042" s="392">
        <v>67500</v>
      </c>
      <c r="G3042" s="393" t="s">
        <v>3800</v>
      </c>
      <c r="H3042" s="394">
        <v>25.116239320197618</v>
      </c>
      <c r="I3042" s="394"/>
      <c r="J3042" s="392">
        <v>6.2790598300494045</v>
      </c>
      <c r="K3042" s="392">
        <v>6.2790598300494045</v>
      </c>
      <c r="L3042" s="392">
        <v>6.2790598300494045</v>
      </c>
      <c r="M3042" s="392">
        <v>6.2790598300494045</v>
      </c>
      <c r="N3042" s="392"/>
    </row>
    <row r="3043" spans="1:14" hidden="1" outlineLevel="2" collapsed="1" x14ac:dyDescent="0.35">
      <c r="A3043" s="388" t="s">
        <v>3977</v>
      </c>
      <c r="B3043" s="389">
        <v>44259</v>
      </c>
      <c r="C3043" s="390" t="s">
        <v>4043</v>
      </c>
      <c r="D3043" s="391" t="s">
        <v>4047</v>
      </c>
      <c r="E3043" s="391" t="s">
        <v>6487</v>
      </c>
      <c r="F3043" s="392">
        <v>27000</v>
      </c>
      <c r="G3043" s="393" t="s">
        <v>3800</v>
      </c>
      <c r="H3043" s="394">
        <v>10.046495728079048</v>
      </c>
      <c r="I3043" s="394"/>
      <c r="J3043" s="392">
        <v>2.511623932019762</v>
      </c>
      <c r="K3043" s="392">
        <v>2.511623932019762</v>
      </c>
      <c r="L3043" s="392">
        <v>2.511623932019762</v>
      </c>
      <c r="M3043" s="392">
        <v>2.511623932019762</v>
      </c>
      <c r="N3043" s="392"/>
    </row>
    <row r="3044" spans="1:14" hidden="1" outlineLevel="2" x14ac:dyDescent="0.35">
      <c r="A3044" s="388" t="s">
        <v>3977</v>
      </c>
      <c r="B3044" s="389">
        <v>44259</v>
      </c>
      <c r="C3044" s="390" t="s">
        <v>4048</v>
      </c>
      <c r="D3044" s="391" t="s">
        <v>4049</v>
      </c>
      <c r="E3044" s="391" t="s">
        <v>4039</v>
      </c>
      <c r="F3044" s="392">
        <v>27000</v>
      </c>
      <c r="G3044" s="393" t="s">
        <v>3800</v>
      </c>
      <c r="H3044" s="394">
        <v>10.046495728079048</v>
      </c>
      <c r="I3044" s="394"/>
      <c r="J3044" s="392">
        <v>2.511623932019762</v>
      </c>
      <c r="K3044" s="392">
        <v>2.511623932019762</v>
      </c>
      <c r="L3044" s="392">
        <v>2.511623932019762</v>
      </c>
      <c r="M3044" s="392">
        <v>2.511623932019762</v>
      </c>
      <c r="N3044" s="392"/>
    </row>
    <row r="3045" spans="1:14" hidden="1" outlineLevel="2" x14ac:dyDescent="0.35">
      <c r="A3045" s="388" t="s">
        <v>3977</v>
      </c>
      <c r="B3045" s="389">
        <v>44259</v>
      </c>
      <c r="C3045" s="390" t="s">
        <v>4050</v>
      </c>
      <c r="D3045" s="391" t="s">
        <v>4051</v>
      </c>
      <c r="E3045" s="391" t="s">
        <v>4042</v>
      </c>
      <c r="F3045" s="392">
        <v>6750</v>
      </c>
      <c r="G3045" s="393" t="s">
        <v>3800</v>
      </c>
      <c r="H3045" s="394">
        <v>2.511623932019762</v>
      </c>
      <c r="I3045" s="394"/>
      <c r="J3045" s="392">
        <v>0.62790598300494049</v>
      </c>
      <c r="K3045" s="392">
        <v>0.62790598300494049</v>
      </c>
      <c r="L3045" s="392">
        <v>0.62790598300494049</v>
      </c>
      <c r="M3045" s="392">
        <v>0.62790598300494049</v>
      </c>
      <c r="N3045" s="392"/>
    </row>
    <row r="3046" spans="1:14" hidden="1" outlineLevel="2" x14ac:dyDescent="0.35">
      <c r="A3046" s="388" t="s">
        <v>3977</v>
      </c>
      <c r="B3046" s="389">
        <v>44284</v>
      </c>
      <c r="C3046" s="390" t="s">
        <v>4052</v>
      </c>
      <c r="D3046" s="391" t="s">
        <v>4053</v>
      </c>
      <c r="E3046" s="391" t="s">
        <v>6487</v>
      </c>
      <c r="F3046" s="392">
        <v>540000</v>
      </c>
      <c r="G3046" s="393" t="s">
        <v>3800</v>
      </c>
      <c r="H3046" s="394">
        <v>200.92991456158094</v>
      </c>
      <c r="I3046" s="394"/>
      <c r="J3046" s="392">
        <v>50.232478640395236</v>
      </c>
      <c r="K3046" s="392">
        <v>50.232478640395236</v>
      </c>
      <c r="L3046" s="392">
        <v>50.232478640395236</v>
      </c>
      <c r="M3046" s="392">
        <v>50.232478640395236</v>
      </c>
      <c r="N3046" s="392"/>
    </row>
    <row r="3047" spans="1:14" hidden="1" outlineLevel="2" x14ac:dyDescent="0.35">
      <c r="A3047" s="388" t="s">
        <v>3977</v>
      </c>
      <c r="B3047" s="389">
        <v>44284</v>
      </c>
      <c r="C3047" s="390" t="s">
        <v>4052</v>
      </c>
      <c r="D3047" s="391" t="s">
        <v>4054</v>
      </c>
      <c r="E3047" s="391" t="s">
        <v>6487</v>
      </c>
      <c r="F3047" s="392">
        <v>81000</v>
      </c>
      <c r="G3047" s="393" t="s">
        <v>3800</v>
      </c>
      <c r="H3047" s="394">
        <v>30.139487184237144</v>
      </c>
      <c r="I3047" s="394"/>
      <c r="J3047" s="392">
        <v>7.5348717960592859</v>
      </c>
      <c r="K3047" s="392">
        <v>7.5348717960592859</v>
      </c>
      <c r="L3047" s="392">
        <v>7.5348717960592859</v>
      </c>
      <c r="M3047" s="392">
        <v>7.5348717960592859</v>
      </c>
      <c r="N3047" s="392"/>
    </row>
    <row r="3048" spans="1:14" hidden="1" outlineLevel="2" x14ac:dyDescent="0.35">
      <c r="A3048" s="388" t="s">
        <v>3977</v>
      </c>
      <c r="B3048" s="389">
        <v>44284</v>
      </c>
      <c r="C3048" s="390" t="s">
        <v>4055</v>
      </c>
      <c r="D3048" s="391" t="s">
        <v>4056</v>
      </c>
      <c r="E3048" s="391" t="s">
        <v>6487</v>
      </c>
      <c r="F3048" s="392">
        <v>67500</v>
      </c>
      <c r="G3048" s="393" t="s">
        <v>3800</v>
      </c>
      <c r="H3048" s="394">
        <v>25.116239320197618</v>
      </c>
      <c r="I3048" s="394"/>
      <c r="J3048" s="392">
        <v>6.2790598300494045</v>
      </c>
      <c r="K3048" s="392">
        <v>6.2790598300494045</v>
      </c>
      <c r="L3048" s="392">
        <v>6.2790598300494045</v>
      </c>
      <c r="M3048" s="392">
        <v>6.2790598300494045</v>
      </c>
      <c r="N3048" s="392"/>
    </row>
    <row r="3049" spans="1:14" hidden="1" outlineLevel="2" x14ac:dyDescent="0.35">
      <c r="A3049" s="388" t="s">
        <v>3977</v>
      </c>
      <c r="B3049" s="389">
        <v>44284</v>
      </c>
      <c r="C3049" s="390" t="s">
        <v>4052</v>
      </c>
      <c r="D3049" s="391" t="s">
        <v>4057</v>
      </c>
      <c r="E3049" s="391" t="s">
        <v>6487</v>
      </c>
      <c r="F3049" s="392">
        <v>27000</v>
      </c>
      <c r="G3049" s="393" t="s">
        <v>3800</v>
      </c>
      <c r="H3049" s="394">
        <v>10.046495728079048</v>
      </c>
      <c r="I3049" s="394"/>
      <c r="J3049" s="392">
        <v>2.511623932019762</v>
      </c>
      <c r="K3049" s="392">
        <v>2.511623932019762</v>
      </c>
      <c r="L3049" s="392">
        <v>2.511623932019762</v>
      </c>
      <c r="M3049" s="392">
        <v>2.511623932019762</v>
      </c>
      <c r="N3049" s="392"/>
    </row>
    <row r="3050" spans="1:14" hidden="1" outlineLevel="2" collapsed="1" x14ac:dyDescent="0.35">
      <c r="A3050" s="388" t="s">
        <v>3977</v>
      </c>
      <c r="B3050" s="389">
        <v>44284</v>
      </c>
      <c r="C3050" s="390" t="s">
        <v>4058</v>
      </c>
      <c r="D3050" s="391" t="s">
        <v>4059</v>
      </c>
      <c r="E3050" s="391" t="s">
        <v>4039</v>
      </c>
      <c r="F3050" s="392">
        <v>27000</v>
      </c>
      <c r="G3050" s="393" t="s">
        <v>3800</v>
      </c>
      <c r="H3050" s="394">
        <v>10.046495728079048</v>
      </c>
      <c r="I3050" s="394"/>
      <c r="J3050" s="392">
        <v>2.511623932019762</v>
      </c>
      <c r="K3050" s="392">
        <v>2.511623932019762</v>
      </c>
      <c r="L3050" s="392">
        <v>2.511623932019762</v>
      </c>
      <c r="M3050" s="392">
        <v>2.511623932019762</v>
      </c>
      <c r="N3050" s="392"/>
    </row>
    <row r="3051" spans="1:14" hidden="1" outlineLevel="2" x14ac:dyDescent="0.35">
      <c r="A3051" s="388" t="s">
        <v>3977</v>
      </c>
      <c r="B3051" s="389">
        <v>44284</v>
      </c>
      <c r="C3051" s="390" t="s">
        <v>4060</v>
      </c>
      <c r="D3051" s="391" t="s">
        <v>4061</v>
      </c>
      <c r="E3051" s="391" t="s">
        <v>4042</v>
      </c>
      <c r="F3051" s="392">
        <v>6750</v>
      </c>
      <c r="G3051" s="393" t="s">
        <v>3800</v>
      </c>
      <c r="H3051" s="394">
        <v>2.511623932019762</v>
      </c>
      <c r="I3051" s="394"/>
      <c r="J3051" s="392">
        <v>0.62790598300494049</v>
      </c>
      <c r="K3051" s="392">
        <v>0.62790598300494049</v>
      </c>
      <c r="L3051" s="392">
        <v>0.62790598300494049</v>
      </c>
      <c r="M3051" s="392">
        <v>0.62790598300494049</v>
      </c>
      <c r="N3051" s="392"/>
    </row>
    <row r="3052" spans="1:14" hidden="1" outlineLevel="2" x14ac:dyDescent="0.35">
      <c r="A3052" s="388" t="s">
        <v>3977</v>
      </c>
      <c r="B3052" s="389">
        <v>44315</v>
      </c>
      <c r="C3052" s="390" t="s">
        <v>4062</v>
      </c>
      <c r="D3052" s="391" t="s">
        <v>4063</v>
      </c>
      <c r="E3052" s="391" t="s">
        <v>6487</v>
      </c>
      <c r="F3052" s="392">
        <v>540000</v>
      </c>
      <c r="G3052" s="393" t="s">
        <v>3800</v>
      </c>
      <c r="H3052" s="394">
        <v>200.92991456158094</v>
      </c>
      <c r="I3052" s="394"/>
      <c r="J3052" s="392">
        <v>50.232478640395236</v>
      </c>
      <c r="K3052" s="392">
        <v>50.232478640395236</v>
      </c>
      <c r="L3052" s="392">
        <v>50.232478640395236</v>
      </c>
      <c r="M3052" s="392">
        <v>50.232478640395236</v>
      </c>
      <c r="N3052" s="392"/>
    </row>
    <row r="3053" spans="1:14" hidden="1" outlineLevel="2" x14ac:dyDescent="0.35">
      <c r="A3053" s="388" t="s">
        <v>3977</v>
      </c>
      <c r="B3053" s="389">
        <v>44315</v>
      </c>
      <c r="C3053" s="390" t="s">
        <v>4062</v>
      </c>
      <c r="D3053" s="391" t="s">
        <v>4064</v>
      </c>
      <c r="E3053" s="391" t="s">
        <v>6487</v>
      </c>
      <c r="F3053" s="392">
        <v>81000</v>
      </c>
      <c r="G3053" s="393" t="s">
        <v>3800</v>
      </c>
      <c r="H3053" s="394">
        <v>30.139487184237144</v>
      </c>
      <c r="I3053" s="394"/>
      <c r="J3053" s="392">
        <v>7.5348717960592859</v>
      </c>
      <c r="K3053" s="392">
        <v>7.5348717960592859</v>
      </c>
      <c r="L3053" s="392">
        <v>7.5348717960592859</v>
      </c>
      <c r="M3053" s="392">
        <v>7.5348717960592859</v>
      </c>
      <c r="N3053" s="392"/>
    </row>
    <row r="3054" spans="1:14" hidden="1" outlineLevel="2" x14ac:dyDescent="0.35">
      <c r="A3054" s="388" t="s">
        <v>3977</v>
      </c>
      <c r="B3054" s="389">
        <v>44315</v>
      </c>
      <c r="C3054" s="390" t="s">
        <v>4065</v>
      </c>
      <c r="D3054" s="391" t="s">
        <v>4066</v>
      </c>
      <c r="E3054" s="391" t="s">
        <v>6487</v>
      </c>
      <c r="F3054" s="392">
        <v>67500</v>
      </c>
      <c r="G3054" s="393" t="s">
        <v>3800</v>
      </c>
      <c r="H3054" s="394">
        <v>25.116239320197618</v>
      </c>
      <c r="I3054" s="394"/>
      <c r="J3054" s="392">
        <v>6.2790598300494045</v>
      </c>
      <c r="K3054" s="392">
        <v>6.2790598300494045</v>
      </c>
      <c r="L3054" s="392">
        <v>6.2790598300494045</v>
      </c>
      <c r="M3054" s="392">
        <v>6.2790598300494045</v>
      </c>
      <c r="N3054" s="392"/>
    </row>
    <row r="3055" spans="1:14" hidden="1" outlineLevel="2" x14ac:dyDescent="0.35">
      <c r="A3055" s="388" t="s">
        <v>3977</v>
      </c>
      <c r="B3055" s="389">
        <v>44315</v>
      </c>
      <c r="C3055" s="390" t="s">
        <v>4062</v>
      </c>
      <c r="D3055" s="391" t="s">
        <v>4067</v>
      </c>
      <c r="E3055" s="391" t="s">
        <v>6487</v>
      </c>
      <c r="F3055" s="392">
        <v>27000</v>
      </c>
      <c r="G3055" s="393" t="s">
        <v>3800</v>
      </c>
      <c r="H3055" s="394">
        <v>10.046495728079048</v>
      </c>
      <c r="I3055" s="394"/>
      <c r="J3055" s="392">
        <v>2.511623932019762</v>
      </c>
      <c r="K3055" s="392">
        <v>2.511623932019762</v>
      </c>
      <c r="L3055" s="392">
        <v>2.511623932019762</v>
      </c>
      <c r="M3055" s="392">
        <v>2.511623932019762</v>
      </c>
      <c r="N3055" s="392"/>
    </row>
    <row r="3056" spans="1:14" hidden="1" outlineLevel="2" x14ac:dyDescent="0.35">
      <c r="A3056" s="388" t="s">
        <v>3977</v>
      </c>
      <c r="B3056" s="389">
        <v>44315</v>
      </c>
      <c r="C3056" s="390" t="s">
        <v>4068</v>
      </c>
      <c r="D3056" s="391" t="s">
        <v>4069</v>
      </c>
      <c r="E3056" s="391" t="s">
        <v>4039</v>
      </c>
      <c r="F3056" s="392">
        <v>27000</v>
      </c>
      <c r="G3056" s="393" t="s">
        <v>3800</v>
      </c>
      <c r="H3056" s="394">
        <v>10.046495728079048</v>
      </c>
      <c r="I3056" s="394"/>
      <c r="J3056" s="392">
        <v>2.511623932019762</v>
      </c>
      <c r="K3056" s="392">
        <v>2.511623932019762</v>
      </c>
      <c r="L3056" s="392">
        <v>2.511623932019762</v>
      </c>
      <c r="M3056" s="392">
        <v>2.511623932019762</v>
      </c>
      <c r="N3056" s="392"/>
    </row>
    <row r="3057" spans="1:14" hidden="1" outlineLevel="2" collapsed="1" x14ac:dyDescent="0.35">
      <c r="A3057" s="388" t="s">
        <v>3977</v>
      </c>
      <c r="B3057" s="389">
        <v>44315</v>
      </c>
      <c r="C3057" s="390" t="s">
        <v>4070</v>
      </c>
      <c r="D3057" s="391" t="s">
        <v>4071</v>
      </c>
      <c r="E3057" s="391" t="s">
        <v>4042</v>
      </c>
      <c r="F3057" s="392">
        <v>6750</v>
      </c>
      <c r="G3057" s="393" t="s">
        <v>3800</v>
      </c>
      <c r="H3057" s="394">
        <v>2.511623932019762</v>
      </c>
      <c r="I3057" s="394"/>
      <c r="J3057" s="392">
        <v>0.62790598300494049</v>
      </c>
      <c r="K3057" s="392">
        <v>0.62790598300494049</v>
      </c>
      <c r="L3057" s="392">
        <v>0.62790598300494049</v>
      </c>
      <c r="M3057" s="392">
        <v>0.62790598300494049</v>
      </c>
      <c r="N3057" s="392"/>
    </row>
    <row r="3058" spans="1:14" hidden="1" outlineLevel="2" x14ac:dyDescent="0.35">
      <c r="A3058" s="388" t="s">
        <v>3977</v>
      </c>
      <c r="B3058" s="389">
        <v>44342</v>
      </c>
      <c r="C3058" s="390" t="s">
        <v>4072</v>
      </c>
      <c r="D3058" s="391" t="s">
        <v>4073</v>
      </c>
      <c r="E3058" s="391" t="s">
        <v>6487</v>
      </c>
      <c r="F3058" s="392">
        <v>540000</v>
      </c>
      <c r="G3058" s="393" t="s">
        <v>3800</v>
      </c>
      <c r="H3058" s="394">
        <v>200.92991456158094</v>
      </c>
      <c r="I3058" s="394"/>
      <c r="J3058" s="392">
        <v>50.232478640395236</v>
      </c>
      <c r="K3058" s="392">
        <v>50.232478640395236</v>
      </c>
      <c r="L3058" s="392">
        <v>50.232478640395236</v>
      </c>
      <c r="M3058" s="392">
        <v>50.232478640395236</v>
      </c>
      <c r="N3058" s="392"/>
    </row>
    <row r="3059" spans="1:14" hidden="1" outlineLevel="2" x14ac:dyDescent="0.35">
      <c r="A3059" s="388" t="s">
        <v>3977</v>
      </c>
      <c r="B3059" s="389">
        <v>44342</v>
      </c>
      <c r="C3059" s="390" t="s">
        <v>4072</v>
      </c>
      <c r="D3059" s="391" t="s">
        <v>4074</v>
      </c>
      <c r="E3059" s="391" t="s">
        <v>6487</v>
      </c>
      <c r="F3059" s="392">
        <v>81000</v>
      </c>
      <c r="G3059" s="393" t="s">
        <v>3800</v>
      </c>
      <c r="H3059" s="394">
        <v>30.139487184237144</v>
      </c>
      <c r="I3059" s="394"/>
      <c r="J3059" s="392">
        <v>7.5348717960592859</v>
      </c>
      <c r="K3059" s="392">
        <v>7.5348717960592859</v>
      </c>
      <c r="L3059" s="392">
        <v>7.5348717960592859</v>
      </c>
      <c r="M3059" s="392">
        <v>7.5348717960592859</v>
      </c>
      <c r="N3059" s="392"/>
    </row>
    <row r="3060" spans="1:14" hidden="1" outlineLevel="2" x14ac:dyDescent="0.35">
      <c r="A3060" s="388" t="s">
        <v>3977</v>
      </c>
      <c r="B3060" s="389">
        <v>44342</v>
      </c>
      <c r="C3060" s="390" t="s">
        <v>4075</v>
      </c>
      <c r="D3060" s="391" t="s">
        <v>4076</v>
      </c>
      <c r="E3060" s="391" t="s">
        <v>6487</v>
      </c>
      <c r="F3060" s="392">
        <v>67500</v>
      </c>
      <c r="G3060" s="393" t="s">
        <v>3800</v>
      </c>
      <c r="H3060" s="394">
        <v>25.116239320197618</v>
      </c>
      <c r="I3060" s="394"/>
      <c r="J3060" s="392">
        <v>6.2790598300494045</v>
      </c>
      <c r="K3060" s="392">
        <v>6.2790598300494045</v>
      </c>
      <c r="L3060" s="392">
        <v>6.2790598300494045</v>
      </c>
      <c r="M3060" s="392">
        <v>6.2790598300494045</v>
      </c>
      <c r="N3060" s="392"/>
    </row>
    <row r="3061" spans="1:14" hidden="1" outlineLevel="2" x14ac:dyDescent="0.35">
      <c r="A3061" s="388" t="s">
        <v>3977</v>
      </c>
      <c r="B3061" s="389">
        <v>44342</v>
      </c>
      <c r="C3061" s="390" t="s">
        <v>4072</v>
      </c>
      <c r="D3061" s="391" t="s">
        <v>4077</v>
      </c>
      <c r="E3061" s="391" t="s">
        <v>6487</v>
      </c>
      <c r="F3061" s="392">
        <v>27000</v>
      </c>
      <c r="G3061" s="393" t="s">
        <v>3800</v>
      </c>
      <c r="H3061" s="394">
        <v>10.046495728079048</v>
      </c>
      <c r="I3061" s="394"/>
      <c r="J3061" s="392">
        <v>2.511623932019762</v>
      </c>
      <c r="K3061" s="392">
        <v>2.511623932019762</v>
      </c>
      <c r="L3061" s="392">
        <v>2.511623932019762</v>
      </c>
      <c r="M3061" s="392">
        <v>2.511623932019762</v>
      </c>
      <c r="N3061" s="392"/>
    </row>
    <row r="3062" spans="1:14" hidden="1" outlineLevel="2" x14ac:dyDescent="0.35">
      <c r="A3062" s="388" t="s">
        <v>3977</v>
      </c>
      <c r="B3062" s="389">
        <v>44342</v>
      </c>
      <c r="C3062" s="390" t="s">
        <v>4078</v>
      </c>
      <c r="D3062" s="391" t="s">
        <v>4079</v>
      </c>
      <c r="E3062" s="391" t="s">
        <v>4039</v>
      </c>
      <c r="F3062" s="392">
        <v>27000</v>
      </c>
      <c r="G3062" s="393" t="s">
        <v>3800</v>
      </c>
      <c r="H3062" s="394">
        <v>10.046495728079048</v>
      </c>
      <c r="I3062" s="394"/>
      <c r="J3062" s="392">
        <v>2.511623932019762</v>
      </c>
      <c r="K3062" s="392">
        <v>2.511623932019762</v>
      </c>
      <c r="L3062" s="392">
        <v>2.511623932019762</v>
      </c>
      <c r="M3062" s="392">
        <v>2.511623932019762</v>
      </c>
      <c r="N3062" s="392"/>
    </row>
    <row r="3063" spans="1:14" hidden="1" outlineLevel="2" x14ac:dyDescent="0.35">
      <c r="A3063" s="388" t="s">
        <v>3977</v>
      </c>
      <c r="B3063" s="389">
        <v>44342</v>
      </c>
      <c r="C3063" s="390" t="s">
        <v>4080</v>
      </c>
      <c r="D3063" s="391" t="s">
        <v>4081</v>
      </c>
      <c r="E3063" s="391" t="s">
        <v>4042</v>
      </c>
      <c r="F3063" s="392">
        <v>6750</v>
      </c>
      <c r="G3063" s="393" t="s">
        <v>3800</v>
      </c>
      <c r="H3063" s="394">
        <v>2.511623932019762</v>
      </c>
      <c r="I3063" s="394"/>
      <c r="J3063" s="392">
        <v>0.62790598300494049</v>
      </c>
      <c r="K3063" s="392">
        <v>0.62790598300494049</v>
      </c>
      <c r="L3063" s="392">
        <v>0.62790598300494049</v>
      </c>
      <c r="M3063" s="392">
        <v>0.62790598300494049</v>
      </c>
      <c r="N3063" s="392"/>
    </row>
    <row r="3064" spans="1:14" hidden="1" outlineLevel="2" collapsed="1" x14ac:dyDescent="0.35">
      <c r="A3064" s="388" t="s">
        <v>3977</v>
      </c>
      <c r="B3064" s="389">
        <v>44376</v>
      </c>
      <c r="C3064" s="390" t="s">
        <v>4082</v>
      </c>
      <c r="D3064" s="391" t="s">
        <v>4083</v>
      </c>
      <c r="E3064" s="391" t="s">
        <v>6487</v>
      </c>
      <c r="F3064" s="392">
        <v>540000</v>
      </c>
      <c r="G3064" s="393" t="s">
        <v>3800</v>
      </c>
      <c r="H3064" s="394">
        <v>200.92991456158094</v>
      </c>
      <c r="I3064" s="394"/>
      <c r="J3064" s="392">
        <v>50.232478640395236</v>
      </c>
      <c r="K3064" s="392">
        <v>50.232478640395236</v>
      </c>
      <c r="L3064" s="392">
        <v>50.232478640395236</v>
      </c>
      <c r="M3064" s="392">
        <v>50.232478640395236</v>
      </c>
      <c r="N3064" s="392"/>
    </row>
    <row r="3065" spans="1:14" hidden="1" outlineLevel="2" x14ac:dyDescent="0.35">
      <c r="A3065" s="388" t="s">
        <v>3977</v>
      </c>
      <c r="B3065" s="389">
        <v>44376</v>
      </c>
      <c r="C3065" s="390" t="s">
        <v>4082</v>
      </c>
      <c r="D3065" s="391" t="s">
        <v>4084</v>
      </c>
      <c r="E3065" s="391" t="s">
        <v>6487</v>
      </c>
      <c r="F3065" s="392">
        <v>81000</v>
      </c>
      <c r="G3065" s="393" t="s">
        <v>3800</v>
      </c>
      <c r="H3065" s="394">
        <v>30.139487184237144</v>
      </c>
      <c r="I3065" s="394"/>
      <c r="J3065" s="392">
        <v>7.5348717960592859</v>
      </c>
      <c r="K3065" s="392">
        <v>7.5348717960592859</v>
      </c>
      <c r="L3065" s="392">
        <v>7.5348717960592859</v>
      </c>
      <c r="M3065" s="392">
        <v>7.5348717960592859</v>
      </c>
      <c r="N3065" s="392"/>
    </row>
    <row r="3066" spans="1:14" hidden="1" outlineLevel="2" x14ac:dyDescent="0.35">
      <c r="A3066" s="388" t="s">
        <v>3977</v>
      </c>
      <c r="B3066" s="389">
        <v>44376</v>
      </c>
      <c r="C3066" s="390" t="s">
        <v>4085</v>
      </c>
      <c r="D3066" s="391" t="s">
        <v>4086</v>
      </c>
      <c r="E3066" s="391" t="s">
        <v>6487</v>
      </c>
      <c r="F3066" s="392">
        <v>67500</v>
      </c>
      <c r="G3066" s="393" t="s">
        <v>3800</v>
      </c>
      <c r="H3066" s="394">
        <v>25.116239320197618</v>
      </c>
      <c r="I3066" s="394"/>
      <c r="J3066" s="392">
        <v>6.2790598300494045</v>
      </c>
      <c r="K3066" s="392">
        <v>6.2790598300494045</v>
      </c>
      <c r="L3066" s="392">
        <v>6.2790598300494045</v>
      </c>
      <c r="M3066" s="392">
        <v>6.2790598300494045</v>
      </c>
      <c r="N3066" s="392"/>
    </row>
    <row r="3067" spans="1:14" hidden="1" outlineLevel="2" x14ac:dyDescent="0.35">
      <c r="A3067" s="388" t="s">
        <v>3977</v>
      </c>
      <c r="B3067" s="389">
        <v>44376</v>
      </c>
      <c r="C3067" s="390" t="s">
        <v>4082</v>
      </c>
      <c r="D3067" s="391" t="s">
        <v>4087</v>
      </c>
      <c r="E3067" s="391" t="s">
        <v>6487</v>
      </c>
      <c r="F3067" s="392">
        <v>27000</v>
      </c>
      <c r="G3067" s="393" t="s">
        <v>3800</v>
      </c>
      <c r="H3067" s="394">
        <v>10.046495728079048</v>
      </c>
      <c r="I3067" s="394"/>
      <c r="J3067" s="392">
        <v>2.511623932019762</v>
      </c>
      <c r="K3067" s="392">
        <v>2.511623932019762</v>
      </c>
      <c r="L3067" s="392">
        <v>2.511623932019762</v>
      </c>
      <c r="M3067" s="392">
        <v>2.511623932019762</v>
      </c>
      <c r="N3067" s="392"/>
    </row>
    <row r="3068" spans="1:14" hidden="1" outlineLevel="2" x14ac:dyDescent="0.35">
      <c r="A3068" s="388" t="s">
        <v>3977</v>
      </c>
      <c r="B3068" s="389">
        <v>44376</v>
      </c>
      <c r="C3068" s="390" t="s">
        <v>4088</v>
      </c>
      <c r="D3068" s="391" t="s">
        <v>4089</v>
      </c>
      <c r="E3068" s="391" t="s">
        <v>4039</v>
      </c>
      <c r="F3068" s="392">
        <v>27000</v>
      </c>
      <c r="G3068" s="393" t="s">
        <v>3800</v>
      </c>
      <c r="H3068" s="394">
        <v>10.046495728079048</v>
      </c>
      <c r="I3068" s="394"/>
      <c r="J3068" s="392">
        <v>2.511623932019762</v>
      </c>
      <c r="K3068" s="392">
        <v>2.511623932019762</v>
      </c>
      <c r="L3068" s="392">
        <v>2.511623932019762</v>
      </c>
      <c r="M3068" s="392">
        <v>2.511623932019762</v>
      </c>
      <c r="N3068" s="392"/>
    </row>
    <row r="3069" spans="1:14" hidden="1" outlineLevel="2" x14ac:dyDescent="0.35">
      <c r="A3069" s="388" t="s">
        <v>3977</v>
      </c>
      <c r="B3069" s="389">
        <v>44376</v>
      </c>
      <c r="C3069" s="390" t="s">
        <v>4090</v>
      </c>
      <c r="D3069" s="391" t="s">
        <v>4091</v>
      </c>
      <c r="E3069" s="391" t="s">
        <v>4042</v>
      </c>
      <c r="F3069" s="392">
        <v>6750</v>
      </c>
      <c r="G3069" s="393" t="s">
        <v>3800</v>
      </c>
      <c r="H3069" s="394">
        <v>2.511623932019762</v>
      </c>
      <c r="I3069" s="394"/>
      <c r="J3069" s="392">
        <v>0.62790598300494049</v>
      </c>
      <c r="K3069" s="392">
        <v>0.62790598300494049</v>
      </c>
      <c r="L3069" s="392">
        <v>0.62790598300494049</v>
      </c>
      <c r="M3069" s="392">
        <v>0.62790598300494049</v>
      </c>
      <c r="N3069" s="392"/>
    </row>
    <row r="3070" spans="1:14" hidden="1" outlineLevel="2" collapsed="1" x14ac:dyDescent="0.35">
      <c r="A3070" s="388" t="s">
        <v>3977</v>
      </c>
      <c r="B3070" s="389">
        <v>44407</v>
      </c>
      <c r="C3070" s="390" t="s">
        <v>4092</v>
      </c>
      <c r="D3070" s="391" t="s">
        <v>4093</v>
      </c>
      <c r="E3070" s="391" t="s">
        <v>6487</v>
      </c>
      <c r="F3070" s="392">
        <v>540000</v>
      </c>
      <c r="G3070" s="393" t="s">
        <v>3800</v>
      </c>
      <c r="H3070" s="394">
        <v>200.92991456158094</v>
      </c>
      <c r="I3070" s="394"/>
      <c r="J3070" s="392">
        <v>50.232478640395236</v>
      </c>
      <c r="K3070" s="392">
        <v>50.232478640395236</v>
      </c>
      <c r="L3070" s="392">
        <v>50.232478640395236</v>
      </c>
      <c r="M3070" s="392">
        <v>50.232478640395236</v>
      </c>
      <c r="N3070" s="392"/>
    </row>
    <row r="3071" spans="1:14" hidden="1" outlineLevel="2" x14ac:dyDescent="0.35">
      <c r="A3071" s="388" t="s">
        <v>3977</v>
      </c>
      <c r="B3071" s="389">
        <v>44407</v>
      </c>
      <c r="C3071" s="390" t="s">
        <v>4092</v>
      </c>
      <c r="D3071" s="391" t="s">
        <v>4094</v>
      </c>
      <c r="E3071" s="391" t="s">
        <v>6487</v>
      </c>
      <c r="F3071" s="392">
        <v>81000</v>
      </c>
      <c r="G3071" s="393" t="s">
        <v>3800</v>
      </c>
      <c r="H3071" s="394">
        <v>30.139487184237144</v>
      </c>
      <c r="I3071" s="394"/>
      <c r="J3071" s="392">
        <v>7.5348717960592859</v>
      </c>
      <c r="K3071" s="392">
        <v>7.5348717960592859</v>
      </c>
      <c r="L3071" s="392">
        <v>7.5348717960592859</v>
      </c>
      <c r="M3071" s="392">
        <v>7.5348717960592859</v>
      </c>
      <c r="N3071" s="392"/>
    </row>
    <row r="3072" spans="1:14" hidden="1" outlineLevel="2" x14ac:dyDescent="0.35">
      <c r="A3072" s="388" t="s">
        <v>3977</v>
      </c>
      <c r="B3072" s="389">
        <v>44407</v>
      </c>
      <c r="C3072" s="390" t="s">
        <v>4095</v>
      </c>
      <c r="D3072" s="391" t="s">
        <v>4096</v>
      </c>
      <c r="E3072" s="391" t="s">
        <v>6487</v>
      </c>
      <c r="F3072" s="392">
        <v>67500</v>
      </c>
      <c r="G3072" s="393" t="s">
        <v>3800</v>
      </c>
      <c r="H3072" s="394">
        <v>25.116239320197618</v>
      </c>
      <c r="I3072" s="394"/>
      <c r="J3072" s="392">
        <v>6.2790598300494045</v>
      </c>
      <c r="K3072" s="392">
        <v>6.2790598300494045</v>
      </c>
      <c r="L3072" s="392">
        <v>6.2790598300494045</v>
      </c>
      <c r="M3072" s="392">
        <v>6.2790598300494045</v>
      </c>
      <c r="N3072" s="392"/>
    </row>
    <row r="3073" spans="1:14" hidden="1" outlineLevel="2" x14ac:dyDescent="0.35">
      <c r="A3073" s="388" t="s">
        <v>3977</v>
      </c>
      <c r="B3073" s="389">
        <v>44407</v>
      </c>
      <c r="C3073" s="390" t="s">
        <v>4062</v>
      </c>
      <c r="D3073" s="391" t="s">
        <v>4097</v>
      </c>
      <c r="E3073" s="391" t="s">
        <v>6487</v>
      </c>
      <c r="F3073" s="392">
        <v>27000</v>
      </c>
      <c r="G3073" s="393" t="s">
        <v>3800</v>
      </c>
      <c r="H3073" s="394">
        <v>10.046495728079048</v>
      </c>
      <c r="I3073" s="394"/>
      <c r="J3073" s="392">
        <v>2.511623932019762</v>
      </c>
      <c r="K3073" s="392">
        <v>2.511623932019762</v>
      </c>
      <c r="L3073" s="392">
        <v>2.511623932019762</v>
      </c>
      <c r="M3073" s="392">
        <v>2.511623932019762</v>
      </c>
      <c r="N3073" s="392"/>
    </row>
    <row r="3074" spans="1:14" hidden="1" outlineLevel="2" x14ac:dyDescent="0.35">
      <c r="A3074" s="388" t="s">
        <v>3977</v>
      </c>
      <c r="B3074" s="389">
        <v>44407</v>
      </c>
      <c r="C3074" s="390" t="s">
        <v>4092</v>
      </c>
      <c r="D3074" s="391" t="s">
        <v>4098</v>
      </c>
      <c r="E3074" s="391" t="s">
        <v>4039</v>
      </c>
      <c r="F3074" s="392">
        <v>27000</v>
      </c>
      <c r="G3074" s="393" t="s">
        <v>3800</v>
      </c>
      <c r="H3074" s="394">
        <v>10.046495728079048</v>
      </c>
      <c r="I3074" s="394"/>
      <c r="J3074" s="392">
        <v>2.511623932019762</v>
      </c>
      <c r="K3074" s="392">
        <v>2.511623932019762</v>
      </c>
      <c r="L3074" s="392">
        <v>2.511623932019762</v>
      </c>
      <c r="M3074" s="392">
        <v>2.511623932019762</v>
      </c>
      <c r="N3074" s="392"/>
    </row>
    <row r="3075" spans="1:14" hidden="1" outlineLevel="2" x14ac:dyDescent="0.35">
      <c r="A3075" s="388" t="s">
        <v>3977</v>
      </c>
      <c r="B3075" s="389">
        <v>44407</v>
      </c>
      <c r="C3075" s="390" t="s">
        <v>4099</v>
      </c>
      <c r="D3075" s="391" t="s">
        <v>4100</v>
      </c>
      <c r="E3075" s="391" t="s">
        <v>4042</v>
      </c>
      <c r="F3075" s="392">
        <v>4050</v>
      </c>
      <c r="G3075" s="393" t="s">
        <v>3800</v>
      </c>
      <c r="H3075" s="394">
        <v>1.5069743592118572</v>
      </c>
      <c r="I3075" s="394"/>
      <c r="J3075" s="392">
        <v>0.3767435898029643</v>
      </c>
      <c r="K3075" s="392">
        <v>0.3767435898029643</v>
      </c>
      <c r="L3075" s="392">
        <v>0.3767435898029643</v>
      </c>
      <c r="M3075" s="392">
        <v>0.3767435898029643</v>
      </c>
      <c r="N3075" s="392"/>
    </row>
    <row r="3076" spans="1:14" outlineLevel="1" collapsed="1" x14ac:dyDescent="0.35">
      <c r="A3076" s="395" t="s">
        <v>6488</v>
      </c>
      <c r="B3076" s="389"/>
      <c r="C3076" s="390"/>
      <c r="D3076" s="391"/>
      <c r="E3076" s="391"/>
      <c r="F3076" s="392"/>
      <c r="G3076" s="393"/>
      <c r="H3076" s="394">
        <f t="shared" ref="H3076:N3076" si="119">SUBTOTAL(9,H2962:H3075)</f>
        <v>5402.6807189726851</v>
      </c>
      <c r="I3076" s="394"/>
      <c r="J3076" s="392">
        <f t="shared" si="119"/>
        <v>1350.6701797431713</v>
      </c>
      <c r="K3076" s="392">
        <f t="shared" si="119"/>
        <v>1350.6701797431713</v>
      </c>
      <c r="L3076" s="392">
        <f t="shared" si="119"/>
        <v>1350.6701797431713</v>
      </c>
      <c r="M3076" s="392">
        <f t="shared" si="119"/>
        <v>1350.6701797431713</v>
      </c>
      <c r="N3076" s="392">
        <f t="shared" si="119"/>
        <v>0</v>
      </c>
    </row>
    <row r="3077" spans="1:14" hidden="1" outlineLevel="2" collapsed="1" x14ac:dyDescent="0.35">
      <c r="A3077" s="388" t="s">
        <v>221</v>
      </c>
      <c r="B3077" s="389">
        <v>43738</v>
      </c>
      <c r="C3077" s="390" t="s">
        <v>1087</v>
      </c>
      <c r="D3077" s="391" t="s">
        <v>1952</v>
      </c>
      <c r="E3077" s="391" t="s">
        <v>1953</v>
      </c>
      <c r="F3077" s="392">
        <v>483.2</v>
      </c>
      <c r="G3077" s="393" t="s">
        <v>56</v>
      </c>
      <c r="H3077" s="394">
        <v>483.2</v>
      </c>
      <c r="I3077" s="394"/>
      <c r="J3077" s="392">
        <f t="shared" ref="J3077:N3081" si="120">$H3077/5</f>
        <v>96.64</v>
      </c>
      <c r="K3077" s="392">
        <f t="shared" si="120"/>
        <v>96.64</v>
      </c>
      <c r="L3077" s="392">
        <f t="shared" si="120"/>
        <v>96.64</v>
      </c>
      <c r="M3077" s="392">
        <f t="shared" si="120"/>
        <v>96.64</v>
      </c>
      <c r="N3077" s="392">
        <f t="shared" si="120"/>
        <v>96.64</v>
      </c>
    </row>
    <row r="3078" spans="1:14" hidden="1" outlineLevel="2" x14ac:dyDescent="0.35">
      <c r="A3078" s="388" t="s">
        <v>221</v>
      </c>
      <c r="B3078" s="389">
        <v>43830</v>
      </c>
      <c r="C3078" s="390" t="s">
        <v>1090</v>
      </c>
      <c r="D3078" s="391" t="s">
        <v>1954</v>
      </c>
      <c r="E3078" s="391" t="s">
        <v>1953</v>
      </c>
      <c r="F3078" s="392">
        <v>483.2</v>
      </c>
      <c r="G3078" s="393" t="s">
        <v>56</v>
      </c>
      <c r="H3078" s="394">
        <v>483.2</v>
      </c>
      <c r="I3078" s="394"/>
      <c r="J3078" s="392">
        <f t="shared" si="120"/>
        <v>96.64</v>
      </c>
      <c r="K3078" s="392">
        <f t="shared" si="120"/>
        <v>96.64</v>
      </c>
      <c r="L3078" s="392">
        <f t="shared" si="120"/>
        <v>96.64</v>
      </c>
      <c r="M3078" s="392">
        <f t="shared" si="120"/>
        <v>96.64</v>
      </c>
      <c r="N3078" s="392">
        <f t="shared" si="120"/>
        <v>96.64</v>
      </c>
    </row>
    <row r="3079" spans="1:14" hidden="1" outlineLevel="2" collapsed="1" x14ac:dyDescent="0.35">
      <c r="A3079" s="388" t="s">
        <v>221</v>
      </c>
      <c r="B3079" s="389">
        <v>43921</v>
      </c>
      <c r="C3079" s="390" t="s">
        <v>1092</v>
      </c>
      <c r="D3079" s="391" t="s">
        <v>6489</v>
      </c>
      <c r="E3079" s="391" t="s">
        <v>1956</v>
      </c>
      <c r="F3079" s="392">
        <v>579.84</v>
      </c>
      <c r="G3079" s="393" t="s">
        <v>56</v>
      </c>
      <c r="H3079" s="394">
        <v>579.84</v>
      </c>
      <c r="I3079" s="394"/>
      <c r="J3079" s="392">
        <f t="shared" si="120"/>
        <v>115.968</v>
      </c>
      <c r="K3079" s="392">
        <f t="shared" si="120"/>
        <v>115.968</v>
      </c>
      <c r="L3079" s="392">
        <f t="shared" si="120"/>
        <v>115.968</v>
      </c>
      <c r="M3079" s="392">
        <f t="shared" si="120"/>
        <v>115.968</v>
      </c>
      <c r="N3079" s="392">
        <f t="shared" si="120"/>
        <v>115.968</v>
      </c>
    </row>
    <row r="3080" spans="1:14" hidden="1" outlineLevel="2" x14ac:dyDescent="0.35">
      <c r="A3080" s="388" t="s">
        <v>221</v>
      </c>
      <c r="B3080" s="389">
        <v>44012</v>
      </c>
      <c r="C3080" s="390" t="s">
        <v>1094</v>
      </c>
      <c r="D3080" s="391" t="s">
        <v>1957</v>
      </c>
      <c r="E3080" s="391" t="s">
        <v>1956</v>
      </c>
      <c r="F3080" s="392">
        <v>579.84</v>
      </c>
      <c r="G3080" s="393" t="s">
        <v>56</v>
      </c>
      <c r="H3080" s="394">
        <v>579.84</v>
      </c>
      <c r="I3080" s="394"/>
      <c r="J3080" s="392">
        <f t="shared" si="120"/>
        <v>115.968</v>
      </c>
      <c r="K3080" s="392">
        <f t="shared" si="120"/>
        <v>115.968</v>
      </c>
      <c r="L3080" s="392">
        <f t="shared" si="120"/>
        <v>115.968</v>
      </c>
      <c r="M3080" s="392">
        <f t="shared" si="120"/>
        <v>115.968</v>
      </c>
      <c r="N3080" s="392">
        <f t="shared" si="120"/>
        <v>115.968</v>
      </c>
    </row>
    <row r="3081" spans="1:14" hidden="1" outlineLevel="2" x14ac:dyDescent="0.35">
      <c r="A3081" s="388" t="s">
        <v>221</v>
      </c>
      <c r="B3081" s="389">
        <v>44104</v>
      </c>
      <c r="C3081" s="390" t="s">
        <v>1096</v>
      </c>
      <c r="D3081" s="391" t="s">
        <v>1958</v>
      </c>
      <c r="E3081" s="391" t="s">
        <v>1956</v>
      </c>
      <c r="F3081" s="392">
        <v>-1159.68</v>
      </c>
      <c r="G3081" s="393" t="s">
        <v>56</v>
      </c>
      <c r="H3081" s="394">
        <v>-1159.68</v>
      </c>
      <c r="I3081" s="394"/>
      <c r="J3081" s="392">
        <f t="shared" si="120"/>
        <v>-231.93600000000001</v>
      </c>
      <c r="K3081" s="392">
        <f t="shared" si="120"/>
        <v>-231.93600000000001</v>
      </c>
      <c r="L3081" s="392">
        <f t="shared" si="120"/>
        <v>-231.93600000000001</v>
      </c>
      <c r="M3081" s="392">
        <f t="shared" si="120"/>
        <v>-231.93600000000001</v>
      </c>
      <c r="N3081" s="392">
        <f t="shared" si="120"/>
        <v>-231.93600000000001</v>
      </c>
    </row>
    <row r="3082" spans="1:14" outlineLevel="1" collapsed="1" x14ac:dyDescent="0.35">
      <c r="A3082" s="395" t="s">
        <v>1960</v>
      </c>
      <c r="B3082" s="389"/>
      <c r="C3082" s="390"/>
      <c r="D3082" s="391"/>
      <c r="E3082" s="391"/>
      <c r="F3082" s="392"/>
      <c r="G3082" s="393"/>
      <c r="H3082" s="394">
        <f t="shared" ref="H3082:N3082" si="121">SUBTOTAL(9,H3077:H3081)</f>
        <v>966.39999999999986</v>
      </c>
      <c r="I3082" s="394"/>
      <c r="J3082" s="392">
        <f t="shared" si="121"/>
        <v>193.28</v>
      </c>
      <c r="K3082" s="392">
        <f t="shared" si="121"/>
        <v>193.28</v>
      </c>
      <c r="L3082" s="392">
        <f t="shared" si="121"/>
        <v>193.28</v>
      </c>
      <c r="M3082" s="392">
        <f t="shared" si="121"/>
        <v>193.28</v>
      </c>
      <c r="N3082" s="392">
        <f t="shared" si="121"/>
        <v>193.28</v>
      </c>
    </row>
    <row r="3083" spans="1:14" hidden="1" outlineLevel="2" x14ac:dyDescent="0.35">
      <c r="A3083" s="388" t="s">
        <v>6490</v>
      </c>
      <c r="B3083" s="389">
        <v>44266</v>
      </c>
      <c r="C3083" s="390" t="s">
        <v>4526</v>
      </c>
      <c r="D3083" s="391" t="s">
        <v>4527</v>
      </c>
      <c r="E3083" s="391" t="s">
        <v>6491</v>
      </c>
      <c r="F3083" s="392">
        <v>585585.59</v>
      </c>
      <c r="G3083" s="393" t="s">
        <v>3800</v>
      </c>
      <c r="H3083" s="394">
        <v>217.89196771702402</v>
      </c>
      <c r="I3083" s="394"/>
      <c r="J3083" s="392"/>
      <c r="K3083" s="392"/>
      <c r="L3083" s="392"/>
      <c r="M3083" s="392"/>
      <c r="N3083" s="392">
        <f t="shared" ref="N3083:N3146" si="122">H3083</f>
        <v>217.89196771702402</v>
      </c>
    </row>
    <row r="3084" spans="1:14" hidden="1" outlineLevel="2" x14ac:dyDescent="0.35">
      <c r="A3084" s="388" t="s">
        <v>6490</v>
      </c>
      <c r="B3084" s="389">
        <v>44266</v>
      </c>
      <c r="C3084" s="390" t="s">
        <v>4529</v>
      </c>
      <c r="D3084" s="391" t="s">
        <v>4530</v>
      </c>
      <c r="E3084" s="391" t="s">
        <v>4272</v>
      </c>
      <c r="F3084" s="392">
        <v>58558.559000000001</v>
      </c>
      <c r="G3084" s="393" t="s">
        <v>3800</v>
      </c>
      <c r="H3084" s="394">
        <v>21.789196771702404</v>
      </c>
      <c r="I3084" s="394"/>
      <c r="J3084" s="392"/>
      <c r="K3084" s="392"/>
      <c r="L3084" s="392"/>
      <c r="M3084" s="392"/>
      <c r="N3084" s="392">
        <f t="shared" si="122"/>
        <v>21.789196771702404</v>
      </c>
    </row>
    <row r="3085" spans="1:14" hidden="1" outlineLevel="2" x14ac:dyDescent="0.35">
      <c r="A3085" s="388" t="s">
        <v>6490</v>
      </c>
      <c r="B3085" s="389">
        <v>44266</v>
      </c>
      <c r="C3085" s="390" t="s">
        <v>4531</v>
      </c>
      <c r="D3085" s="391" t="s">
        <v>4051</v>
      </c>
      <c r="E3085" s="391" t="s">
        <v>4042</v>
      </c>
      <c r="F3085" s="392">
        <v>5855.8558999999996</v>
      </c>
      <c r="G3085" s="393" t="s">
        <v>3800</v>
      </c>
      <c r="H3085" s="394">
        <v>2.1789196771702399</v>
      </c>
      <c r="I3085" s="394"/>
      <c r="J3085" s="392"/>
      <c r="K3085" s="392"/>
      <c r="L3085" s="392"/>
      <c r="M3085" s="392"/>
      <c r="N3085" s="392">
        <f t="shared" si="122"/>
        <v>2.1789196771702399</v>
      </c>
    </row>
    <row r="3086" spans="1:14" hidden="1" outlineLevel="2" x14ac:dyDescent="0.35">
      <c r="A3086" s="388" t="s">
        <v>6490</v>
      </c>
      <c r="B3086" s="389">
        <v>44266</v>
      </c>
      <c r="C3086" s="390" t="s">
        <v>4526</v>
      </c>
      <c r="D3086" s="391" t="s">
        <v>4527</v>
      </c>
      <c r="E3086" s="391" t="s">
        <v>6492</v>
      </c>
      <c r="F3086" s="392">
        <v>585585.59</v>
      </c>
      <c r="G3086" s="393" t="s">
        <v>3800</v>
      </c>
      <c r="H3086" s="394">
        <v>217.89196771702402</v>
      </c>
      <c r="I3086" s="394"/>
      <c r="J3086" s="392"/>
      <c r="K3086" s="392"/>
      <c r="L3086" s="392"/>
      <c r="M3086" s="392"/>
      <c r="N3086" s="392">
        <f t="shared" si="122"/>
        <v>217.89196771702402</v>
      </c>
    </row>
    <row r="3087" spans="1:14" hidden="1" outlineLevel="2" x14ac:dyDescent="0.35">
      <c r="A3087" s="388" t="s">
        <v>6490</v>
      </c>
      <c r="B3087" s="389">
        <v>44266</v>
      </c>
      <c r="C3087" s="390" t="s">
        <v>4529</v>
      </c>
      <c r="D3087" s="391" t="s">
        <v>4530</v>
      </c>
      <c r="E3087" s="391" t="s">
        <v>4272</v>
      </c>
      <c r="F3087" s="392">
        <v>58558.559000000001</v>
      </c>
      <c r="G3087" s="393" t="s">
        <v>3800</v>
      </c>
      <c r="H3087" s="394">
        <v>21.789196771702404</v>
      </c>
      <c r="I3087" s="394"/>
      <c r="J3087" s="392"/>
      <c r="K3087" s="392"/>
      <c r="L3087" s="392"/>
      <c r="M3087" s="392"/>
      <c r="N3087" s="392">
        <f t="shared" si="122"/>
        <v>21.789196771702404</v>
      </c>
    </row>
    <row r="3088" spans="1:14" hidden="1" outlineLevel="2" x14ac:dyDescent="0.35">
      <c r="A3088" s="388" t="s">
        <v>6490</v>
      </c>
      <c r="B3088" s="389">
        <v>44266</v>
      </c>
      <c r="C3088" s="390" t="s">
        <v>4531</v>
      </c>
      <c r="D3088" s="391" t="s">
        <v>4051</v>
      </c>
      <c r="E3088" s="391" t="s">
        <v>4042</v>
      </c>
      <c r="F3088" s="392">
        <v>5855.8558999999996</v>
      </c>
      <c r="G3088" s="393" t="s">
        <v>3800</v>
      </c>
      <c r="H3088" s="394">
        <v>2.1789196771702399</v>
      </c>
      <c r="I3088" s="394"/>
      <c r="J3088" s="392"/>
      <c r="K3088" s="392"/>
      <c r="L3088" s="392"/>
      <c r="M3088" s="392"/>
      <c r="N3088" s="392">
        <f t="shared" si="122"/>
        <v>2.1789196771702399</v>
      </c>
    </row>
    <row r="3089" spans="1:14" hidden="1" outlineLevel="2" x14ac:dyDescent="0.35">
      <c r="A3089" s="388" t="s">
        <v>6490</v>
      </c>
      <c r="B3089" s="389">
        <v>44284</v>
      </c>
      <c r="C3089" s="390" t="s">
        <v>4532</v>
      </c>
      <c r="D3089" s="391" t="s">
        <v>4533</v>
      </c>
      <c r="E3089" s="391" t="s">
        <v>6491</v>
      </c>
      <c r="F3089" s="392">
        <v>1171171.17</v>
      </c>
      <c r="G3089" s="393" t="s">
        <v>3800</v>
      </c>
      <c r="H3089" s="394">
        <v>435.78393171312365</v>
      </c>
      <c r="I3089" s="394"/>
      <c r="J3089" s="392"/>
      <c r="K3089" s="392"/>
      <c r="L3089" s="392"/>
      <c r="M3089" s="392"/>
      <c r="N3089" s="392">
        <f t="shared" si="122"/>
        <v>435.78393171312365</v>
      </c>
    </row>
    <row r="3090" spans="1:14" hidden="1" outlineLevel="2" x14ac:dyDescent="0.35">
      <c r="A3090" s="388" t="s">
        <v>6490</v>
      </c>
      <c r="B3090" s="389">
        <v>44284</v>
      </c>
      <c r="C3090" s="390" t="s">
        <v>4534</v>
      </c>
      <c r="D3090" s="391" t="s">
        <v>4535</v>
      </c>
      <c r="E3090" s="391" t="s">
        <v>4272</v>
      </c>
      <c r="F3090" s="392">
        <v>117117.117</v>
      </c>
      <c r="G3090" s="393" t="s">
        <v>3800</v>
      </c>
      <c r="H3090" s="394">
        <v>43.578393171312371</v>
      </c>
      <c r="I3090" s="394"/>
      <c r="J3090" s="392"/>
      <c r="K3090" s="392"/>
      <c r="L3090" s="392"/>
      <c r="M3090" s="392"/>
      <c r="N3090" s="392">
        <f t="shared" si="122"/>
        <v>43.578393171312371</v>
      </c>
    </row>
    <row r="3091" spans="1:14" hidden="1" outlineLevel="2" x14ac:dyDescent="0.35">
      <c r="A3091" s="388" t="s">
        <v>6490</v>
      </c>
      <c r="B3091" s="389">
        <v>44284</v>
      </c>
      <c r="C3091" s="390" t="s">
        <v>4536</v>
      </c>
      <c r="D3091" s="391" t="s">
        <v>4061</v>
      </c>
      <c r="E3091" s="391" t="s">
        <v>4042</v>
      </c>
      <c r="F3091" s="392">
        <v>11711.7117</v>
      </c>
      <c r="G3091" s="393" t="s">
        <v>3800</v>
      </c>
      <c r="H3091" s="394">
        <v>4.3578393171312371</v>
      </c>
      <c r="I3091" s="394"/>
      <c r="J3091" s="392"/>
      <c r="K3091" s="392"/>
      <c r="L3091" s="392"/>
      <c r="M3091" s="392"/>
      <c r="N3091" s="392">
        <f t="shared" si="122"/>
        <v>4.3578393171312371</v>
      </c>
    </row>
    <row r="3092" spans="1:14" hidden="1" outlineLevel="2" collapsed="1" x14ac:dyDescent="0.35">
      <c r="A3092" s="388" t="s">
        <v>6490</v>
      </c>
      <c r="B3092" s="389">
        <v>44284</v>
      </c>
      <c r="C3092" s="390" t="s">
        <v>4532</v>
      </c>
      <c r="D3092" s="391" t="s">
        <v>4533</v>
      </c>
      <c r="E3092" s="391" t="s">
        <v>6492</v>
      </c>
      <c r="F3092" s="392">
        <v>1171171.17</v>
      </c>
      <c r="G3092" s="393" t="s">
        <v>3800</v>
      </c>
      <c r="H3092" s="394">
        <v>435.78393171312365</v>
      </c>
      <c r="I3092" s="394"/>
      <c r="J3092" s="392"/>
      <c r="K3092" s="392"/>
      <c r="L3092" s="392"/>
      <c r="M3092" s="392"/>
      <c r="N3092" s="392">
        <f t="shared" si="122"/>
        <v>435.78393171312365</v>
      </c>
    </row>
    <row r="3093" spans="1:14" hidden="1" outlineLevel="2" x14ac:dyDescent="0.35">
      <c r="A3093" s="388" t="s">
        <v>6490</v>
      </c>
      <c r="B3093" s="389">
        <v>44284</v>
      </c>
      <c r="C3093" s="390" t="s">
        <v>4534</v>
      </c>
      <c r="D3093" s="391" t="s">
        <v>4535</v>
      </c>
      <c r="E3093" s="391" t="s">
        <v>4272</v>
      </c>
      <c r="F3093" s="392">
        <v>117117.117</v>
      </c>
      <c r="G3093" s="393" t="s">
        <v>3800</v>
      </c>
      <c r="H3093" s="394">
        <v>43.578393171312371</v>
      </c>
      <c r="I3093" s="394"/>
      <c r="J3093" s="392"/>
      <c r="K3093" s="392"/>
      <c r="L3093" s="392"/>
      <c r="M3093" s="392"/>
      <c r="N3093" s="392">
        <f t="shared" si="122"/>
        <v>43.578393171312371</v>
      </c>
    </row>
    <row r="3094" spans="1:14" hidden="1" outlineLevel="2" x14ac:dyDescent="0.35">
      <c r="A3094" s="388" t="s">
        <v>6490</v>
      </c>
      <c r="B3094" s="389">
        <v>44284</v>
      </c>
      <c r="C3094" s="390" t="s">
        <v>4536</v>
      </c>
      <c r="D3094" s="391" t="s">
        <v>4061</v>
      </c>
      <c r="E3094" s="391" t="s">
        <v>4042</v>
      </c>
      <c r="F3094" s="392">
        <v>11711.7117</v>
      </c>
      <c r="G3094" s="393" t="s">
        <v>3800</v>
      </c>
      <c r="H3094" s="394">
        <v>4.3578393171312371</v>
      </c>
      <c r="I3094" s="394"/>
      <c r="J3094" s="392"/>
      <c r="K3094" s="392"/>
      <c r="L3094" s="392"/>
      <c r="M3094" s="392"/>
      <c r="N3094" s="392">
        <f t="shared" si="122"/>
        <v>4.3578393171312371</v>
      </c>
    </row>
    <row r="3095" spans="1:14" hidden="1" outlineLevel="2" x14ac:dyDescent="0.35">
      <c r="A3095" s="388" t="s">
        <v>6490</v>
      </c>
      <c r="B3095" s="389">
        <v>44316</v>
      </c>
      <c r="C3095" s="390" t="s">
        <v>4537</v>
      </c>
      <c r="D3095" s="391" t="s">
        <v>4538</v>
      </c>
      <c r="E3095" s="391" t="s">
        <v>6491</v>
      </c>
      <c r="F3095" s="392">
        <v>1171171.17</v>
      </c>
      <c r="G3095" s="393" t="s">
        <v>3800</v>
      </c>
      <c r="H3095" s="394">
        <v>435.78393171312365</v>
      </c>
      <c r="I3095" s="394"/>
      <c r="J3095" s="392"/>
      <c r="K3095" s="392"/>
      <c r="L3095" s="392"/>
      <c r="M3095" s="392"/>
      <c r="N3095" s="392">
        <f t="shared" si="122"/>
        <v>435.78393171312365</v>
      </c>
    </row>
    <row r="3096" spans="1:14" hidden="1" outlineLevel="2" x14ac:dyDescent="0.35">
      <c r="A3096" s="388" t="s">
        <v>6490</v>
      </c>
      <c r="B3096" s="389">
        <v>44316</v>
      </c>
      <c r="C3096" s="390" t="s">
        <v>4539</v>
      </c>
      <c r="D3096" s="391" t="s">
        <v>4540</v>
      </c>
      <c r="E3096" s="391" t="s">
        <v>4272</v>
      </c>
      <c r="F3096" s="392">
        <v>117117.117</v>
      </c>
      <c r="G3096" s="393" t="s">
        <v>3800</v>
      </c>
      <c r="H3096" s="394">
        <v>43.578393171312371</v>
      </c>
      <c r="I3096" s="394"/>
      <c r="J3096" s="392"/>
      <c r="K3096" s="392"/>
      <c r="L3096" s="392"/>
      <c r="M3096" s="392"/>
      <c r="N3096" s="392">
        <f t="shared" si="122"/>
        <v>43.578393171312371</v>
      </c>
    </row>
    <row r="3097" spans="1:14" hidden="1" outlineLevel="2" x14ac:dyDescent="0.35">
      <c r="A3097" s="388" t="s">
        <v>6490</v>
      </c>
      <c r="B3097" s="389">
        <v>44316</v>
      </c>
      <c r="C3097" s="390" t="s">
        <v>4541</v>
      </c>
      <c r="D3097" s="391" t="s">
        <v>4542</v>
      </c>
      <c r="E3097" s="391" t="s">
        <v>4042</v>
      </c>
      <c r="F3097" s="392">
        <v>11711.7117</v>
      </c>
      <c r="G3097" s="393" t="s">
        <v>3800</v>
      </c>
      <c r="H3097" s="394">
        <v>4.3578393171312371</v>
      </c>
      <c r="I3097" s="394"/>
      <c r="J3097" s="392"/>
      <c r="K3097" s="392"/>
      <c r="L3097" s="392"/>
      <c r="M3097" s="392"/>
      <c r="N3097" s="392">
        <f t="shared" si="122"/>
        <v>4.3578393171312371</v>
      </c>
    </row>
    <row r="3098" spans="1:14" hidden="1" outlineLevel="2" x14ac:dyDescent="0.35">
      <c r="A3098" s="388" t="s">
        <v>6490</v>
      </c>
      <c r="B3098" s="389">
        <v>44316</v>
      </c>
      <c r="C3098" s="390" t="s">
        <v>4537</v>
      </c>
      <c r="D3098" s="391" t="s">
        <v>4538</v>
      </c>
      <c r="E3098" s="391" t="s">
        <v>6492</v>
      </c>
      <c r="F3098" s="392">
        <v>1171171.17</v>
      </c>
      <c r="G3098" s="393" t="s">
        <v>3800</v>
      </c>
      <c r="H3098" s="394">
        <v>435.78393171312365</v>
      </c>
      <c r="I3098" s="394"/>
      <c r="J3098" s="392"/>
      <c r="K3098" s="392"/>
      <c r="L3098" s="392"/>
      <c r="M3098" s="392"/>
      <c r="N3098" s="392">
        <f t="shared" si="122"/>
        <v>435.78393171312365</v>
      </c>
    </row>
    <row r="3099" spans="1:14" hidden="1" outlineLevel="2" x14ac:dyDescent="0.35">
      <c r="A3099" s="388" t="s">
        <v>6490</v>
      </c>
      <c r="B3099" s="389">
        <v>44316</v>
      </c>
      <c r="C3099" s="390" t="s">
        <v>4539</v>
      </c>
      <c r="D3099" s="391" t="s">
        <v>4540</v>
      </c>
      <c r="E3099" s="391" t="s">
        <v>4272</v>
      </c>
      <c r="F3099" s="392">
        <v>117117.117</v>
      </c>
      <c r="G3099" s="393" t="s">
        <v>3800</v>
      </c>
      <c r="H3099" s="394">
        <v>43.578393171312371</v>
      </c>
      <c r="I3099" s="394"/>
      <c r="J3099" s="392"/>
      <c r="K3099" s="392"/>
      <c r="L3099" s="392"/>
      <c r="M3099" s="392"/>
      <c r="N3099" s="392">
        <f t="shared" si="122"/>
        <v>43.578393171312371</v>
      </c>
    </row>
    <row r="3100" spans="1:14" hidden="1" outlineLevel="2" x14ac:dyDescent="0.35">
      <c r="A3100" s="388" t="s">
        <v>6490</v>
      </c>
      <c r="B3100" s="389">
        <v>44316</v>
      </c>
      <c r="C3100" s="390" t="s">
        <v>4541</v>
      </c>
      <c r="D3100" s="391" t="s">
        <v>4542</v>
      </c>
      <c r="E3100" s="391" t="s">
        <v>4042</v>
      </c>
      <c r="F3100" s="392">
        <v>11711.7117</v>
      </c>
      <c r="G3100" s="393" t="s">
        <v>3800</v>
      </c>
      <c r="H3100" s="394">
        <v>4.3578393171312371</v>
      </c>
      <c r="I3100" s="394"/>
      <c r="J3100" s="392"/>
      <c r="K3100" s="392"/>
      <c r="L3100" s="392"/>
      <c r="M3100" s="392"/>
      <c r="N3100" s="392">
        <f t="shared" si="122"/>
        <v>4.3578393171312371</v>
      </c>
    </row>
    <row r="3101" spans="1:14" hidden="1" outlineLevel="2" x14ac:dyDescent="0.35">
      <c r="A3101" s="388" t="s">
        <v>6490</v>
      </c>
      <c r="B3101" s="389">
        <v>44343</v>
      </c>
      <c r="C3101" s="390" t="s">
        <v>4543</v>
      </c>
      <c r="D3101" s="391" t="s">
        <v>4544</v>
      </c>
      <c r="E3101" s="391" t="s">
        <v>6491</v>
      </c>
      <c r="F3101" s="392">
        <v>1171171.17</v>
      </c>
      <c r="G3101" s="393" t="s">
        <v>3800</v>
      </c>
      <c r="H3101" s="394">
        <v>435.78393171312365</v>
      </c>
      <c r="I3101" s="394"/>
      <c r="J3101" s="392"/>
      <c r="K3101" s="392"/>
      <c r="L3101" s="392"/>
      <c r="M3101" s="392"/>
      <c r="N3101" s="392">
        <f t="shared" si="122"/>
        <v>435.78393171312365</v>
      </c>
    </row>
    <row r="3102" spans="1:14" hidden="1" outlineLevel="2" x14ac:dyDescent="0.35">
      <c r="A3102" s="388" t="s">
        <v>6490</v>
      </c>
      <c r="B3102" s="389">
        <v>44343</v>
      </c>
      <c r="C3102" s="390" t="s">
        <v>4545</v>
      </c>
      <c r="D3102" s="391" t="s">
        <v>4546</v>
      </c>
      <c r="E3102" s="391" t="s">
        <v>4272</v>
      </c>
      <c r="F3102" s="392">
        <v>117117.117</v>
      </c>
      <c r="G3102" s="393" t="s">
        <v>3800</v>
      </c>
      <c r="H3102" s="394">
        <v>43.578393171312371</v>
      </c>
      <c r="I3102" s="394"/>
      <c r="J3102" s="392"/>
      <c r="K3102" s="392"/>
      <c r="L3102" s="392"/>
      <c r="M3102" s="392"/>
      <c r="N3102" s="392">
        <f t="shared" si="122"/>
        <v>43.578393171312371</v>
      </c>
    </row>
    <row r="3103" spans="1:14" hidden="1" outlineLevel="2" x14ac:dyDescent="0.35">
      <c r="A3103" s="388" t="s">
        <v>6490</v>
      </c>
      <c r="B3103" s="389">
        <v>44343</v>
      </c>
      <c r="C3103" s="390" t="s">
        <v>4547</v>
      </c>
      <c r="D3103" s="391" t="s">
        <v>4548</v>
      </c>
      <c r="E3103" s="391" t="s">
        <v>4042</v>
      </c>
      <c r="F3103" s="392">
        <v>11711.7117</v>
      </c>
      <c r="G3103" s="393" t="s">
        <v>3800</v>
      </c>
      <c r="H3103" s="394">
        <v>4.3578393171312371</v>
      </c>
      <c r="I3103" s="394"/>
      <c r="J3103" s="392"/>
      <c r="K3103" s="392"/>
      <c r="L3103" s="392"/>
      <c r="M3103" s="392"/>
      <c r="N3103" s="392">
        <f t="shared" si="122"/>
        <v>4.3578393171312371</v>
      </c>
    </row>
    <row r="3104" spans="1:14" hidden="1" outlineLevel="2" x14ac:dyDescent="0.35">
      <c r="A3104" s="388" t="s">
        <v>6490</v>
      </c>
      <c r="B3104" s="389">
        <v>44343</v>
      </c>
      <c r="C3104" s="390" t="s">
        <v>4543</v>
      </c>
      <c r="D3104" s="391" t="s">
        <v>4544</v>
      </c>
      <c r="E3104" s="391" t="s">
        <v>6492</v>
      </c>
      <c r="F3104" s="392">
        <v>1171171.17</v>
      </c>
      <c r="G3104" s="393" t="s">
        <v>3800</v>
      </c>
      <c r="H3104" s="394">
        <v>435.78393171312365</v>
      </c>
      <c r="I3104" s="394"/>
      <c r="J3104" s="392"/>
      <c r="K3104" s="392"/>
      <c r="L3104" s="392"/>
      <c r="M3104" s="392"/>
      <c r="N3104" s="392">
        <f t="shared" si="122"/>
        <v>435.78393171312365</v>
      </c>
    </row>
    <row r="3105" spans="1:14" hidden="1" outlineLevel="2" x14ac:dyDescent="0.35">
      <c r="A3105" s="388" t="s">
        <v>6490</v>
      </c>
      <c r="B3105" s="389">
        <v>44343</v>
      </c>
      <c r="C3105" s="390" t="s">
        <v>4545</v>
      </c>
      <c r="D3105" s="391" t="s">
        <v>4546</v>
      </c>
      <c r="E3105" s="391" t="s">
        <v>4272</v>
      </c>
      <c r="F3105" s="392">
        <v>117117.117</v>
      </c>
      <c r="G3105" s="393" t="s">
        <v>3800</v>
      </c>
      <c r="H3105" s="394">
        <v>43.578393171312371</v>
      </c>
      <c r="I3105" s="394"/>
      <c r="J3105" s="392"/>
      <c r="K3105" s="392"/>
      <c r="L3105" s="392"/>
      <c r="M3105" s="392"/>
      <c r="N3105" s="392">
        <f t="shared" si="122"/>
        <v>43.578393171312371</v>
      </c>
    </row>
    <row r="3106" spans="1:14" hidden="1" outlineLevel="2" x14ac:dyDescent="0.35">
      <c r="A3106" s="388" t="s">
        <v>6490</v>
      </c>
      <c r="B3106" s="389">
        <v>44343</v>
      </c>
      <c r="C3106" s="390" t="s">
        <v>4547</v>
      </c>
      <c r="D3106" s="391" t="s">
        <v>4548</v>
      </c>
      <c r="E3106" s="391" t="s">
        <v>4042</v>
      </c>
      <c r="F3106" s="392">
        <v>11711.7117</v>
      </c>
      <c r="G3106" s="393" t="s">
        <v>3800</v>
      </c>
      <c r="H3106" s="394">
        <v>4.3578393171312371</v>
      </c>
      <c r="I3106" s="394"/>
      <c r="J3106" s="392"/>
      <c r="K3106" s="392"/>
      <c r="L3106" s="392"/>
      <c r="M3106" s="392"/>
      <c r="N3106" s="392">
        <f t="shared" si="122"/>
        <v>4.3578393171312371</v>
      </c>
    </row>
    <row r="3107" spans="1:14" hidden="1" outlineLevel="2" x14ac:dyDescent="0.35">
      <c r="A3107" s="388" t="s">
        <v>6490</v>
      </c>
      <c r="B3107" s="389">
        <v>44376</v>
      </c>
      <c r="C3107" s="390" t="s">
        <v>4549</v>
      </c>
      <c r="D3107" s="391" t="s">
        <v>4550</v>
      </c>
      <c r="E3107" s="391" t="s">
        <v>6491</v>
      </c>
      <c r="F3107" s="392">
        <v>1171171.17</v>
      </c>
      <c r="G3107" s="393" t="s">
        <v>3800</v>
      </c>
      <c r="H3107" s="394">
        <v>435.78393171312365</v>
      </c>
      <c r="I3107" s="394"/>
      <c r="J3107" s="392"/>
      <c r="K3107" s="392"/>
      <c r="L3107" s="392"/>
      <c r="M3107" s="392"/>
      <c r="N3107" s="392">
        <f t="shared" si="122"/>
        <v>435.78393171312365</v>
      </c>
    </row>
    <row r="3108" spans="1:14" hidden="1" outlineLevel="2" x14ac:dyDescent="0.35">
      <c r="A3108" s="388" t="s">
        <v>6490</v>
      </c>
      <c r="B3108" s="389">
        <v>44376</v>
      </c>
      <c r="C3108" s="390" t="s">
        <v>4551</v>
      </c>
      <c r="D3108" s="391" t="s">
        <v>4552</v>
      </c>
      <c r="E3108" s="391" t="s">
        <v>4272</v>
      </c>
      <c r="F3108" s="392">
        <v>117117.117</v>
      </c>
      <c r="G3108" s="393" t="s">
        <v>3800</v>
      </c>
      <c r="H3108" s="394">
        <v>43.578393171312371</v>
      </c>
      <c r="I3108" s="394"/>
      <c r="J3108" s="392"/>
      <c r="K3108" s="392"/>
      <c r="L3108" s="392"/>
      <c r="M3108" s="392"/>
      <c r="N3108" s="392">
        <f t="shared" si="122"/>
        <v>43.578393171312371</v>
      </c>
    </row>
    <row r="3109" spans="1:14" hidden="1" outlineLevel="2" x14ac:dyDescent="0.35">
      <c r="A3109" s="388" t="s">
        <v>6490</v>
      </c>
      <c r="B3109" s="389">
        <v>44376</v>
      </c>
      <c r="C3109" s="390" t="s">
        <v>4553</v>
      </c>
      <c r="D3109" s="391" t="s">
        <v>4554</v>
      </c>
      <c r="E3109" s="391" t="s">
        <v>4042</v>
      </c>
      <c r="F3109" s="392">
        <v>11711.7117</v>
      </c>
      <c r="G3109" s="393" t="s">
        <v>3800</v>
      </c>
      <c r="H3109" s="394">
        <v>4.3578393171312371</v>
      </c>
      <c r="I3109" s="394"/>
      <c r="J3109" s="392"/>
      <c r="K3109" s="392"/>
      <c r="L3109" s="392"/>
      <c r="M3109" s="392"/>
      <c r="N3109" s="392">
        <f t="shared" si="122"/>
        <v>4.3578393171312371</v>
      </c>
    </row>
    <row r="3110" spans="1:14" hidden="1" outlineLevel="2" x14ac:dyDescent="0.35">
      <c r="A3110" s="388" t="s">
        <v>6490</v>
      </c>
      <c r="B3110" s="389">
        <v>44376</v>
      </c>
      <c r="C3110" s="390" t="s">
        <v>4549</v>
      </c>
      <c r="D3110" s="391" t="s">
        <v>4550</v>
      </c>
      <c r="E3110" s="391" t="s">
        <v>6492</v>
      </c>
      <c r="F3110" s="392">
        <v>1171171.17</v>
      </c>
      <c r="G3110" s="393" t="s">
        <v>3800</v>
      </c>
      <c r="H3110" s="394">
        <v>435.78393171312365</v>
      </c>
      <c r="I3110" s="394"/>
      <c r="J3110" s="392"/>
      <c r="K3110" s="392"/>
      <c r="L3110" s="392"/>
      <c r="M3110" s="392"/>
      <c r="N3110" s="392">
        <f t="shared" si="122"/>
        <v>435.78393171312365</v>
      </c>
    </row>
    <row r="3111" spans="1:14" hidden="1" outlineLevel="2" x14ac:dyDescent="0.35">
      <c r="A3111" s="388" t="s">
        <v>6490</v>
      </c>
      <c r="B3111" s="389">
        <v>44376</v>
      </c>
      <c r="C3111" s="390" t="s">
        <v>4551</v>
      </c>
      <c r="D3111" s="391" t="s">
        <v>4552</v>
      </c>
      <c r="E3111" s="391" t="s">
        <v>4272</v>
      </c>
      <c r="F3111" s="392">
        <v>117117.117</v>
      </c>
      <c r="G3111" s="393" t="s">
        <v>3800</v>
      </c>
      <c r="H3111" s="394">
        <v>43.578393171312371</v>
      </c>
      <c r="I3111" s="394"/>
      <c r="J3111" s="392"/>
      <c r="K3111" s="392"/>
      <c r="L3111" s="392"/>
      <c r="M3111" s="392"/>
      <c r="N3111" s="392">
        <f t="shared" si="122"/>
        <v>43.578393171312371</v>
      </c>
    </row>
    <row r="3112" spans="1:14" hidden="1" outlineLevel="2" x14ac:dyDescent="0.35">
      <c r="A3112" s="388" t="s">
        <v>6490</v>
      </c>
      <c r="B3112" s="389">
        <v>44376</v>
      </c>
      <c r="C3112" s="390" t="s">
        <v>4553</v>
      </c>
      <c r="D3112" s="391" t="s">
        <v>4554</v>
      </c>
      <c r="E3112" s="391" t="s">
        <v>4042</v>
      </c>
      <c r="F3112" s="392">
        <v>11711.7117</v>
      </c>
      <c r="G3112" s="393" t="s">
        <v>3800</v>
      </c>
      <c r="H3112" s="394">
        <v>4.3578393171312371</v>
      </c>
      <c r="I3112" s="394"/>
      <c r="J3112" s="392"/>
      <c r="K3112" s="392"/>
      <c r="L3112" s="392"/>
      <c r="M3112" s="392"/>
      <c r="N3112" s="392">
        <f t="shared" si="122"/>
        <v>4.3578393171312371</v>
      </c>
    </row>
    <row r="3113" spans="1:14" hidden="1" outlineLevel="2" x14ac:dyDescent="0.35">
      <c r="A3113" s="388" t="s">
        <v>6490</v>
      </c>
      <c r="B3113" s="389">
        <v>44407</v>
      </c>
      <c r="C3113" s="390" t="s">
        <v>4555</v>
      </c>
      <c r="D3113" s="391" t="s">
        <v>4556</v>
      </c>
      <c r="E3113" s="391" t="s">
        <v>6491</v>
      </c>
      <c r="F3113" s="392">
        <v>1171171.17</v>
      </c>
      <c r="G3113" s="393" t="s">
        <v>3800</v>
      </c>
      <c r="H3113" s="394">
        <v>435.78393171312365</v>
      </c>
      <c r="I3113" s="394"/>
      <c r="J3113" s="392"/>
      <c r="K3113" s="392"/>
      <c r="L3113" s="392"/>
      <c r="M3113" s="392"/>
      <c r="N3113" s="392">
        <f t="shared" si="122"/>
        <v>435.78393171312365</v>
      </c>
    </row>
    <row r="3114" spans="1:14" hidden="1" outlineLevel="2" x14ac:dyDescent="0.35">
      <c r="A3114" s="388" t="s">
        <v>6490</v>
      </c>
      <c r="B3114" s="389">
        <v>44407</v>
      </c>
      <c r="C3114" s="390" t="s">
        <v>4557</v>
      </c>
      <c r="D3114" s="391" t="s">
        <v>4558</v>
      </c>
      <c r="E3114" s="391" t="s">
        <v>4272</v>
      </c>
      <c r="F3114" s="392">
        <v>117117.117</v>
      </c>
      <c r="G3114" s="393" t="s">
        <v>3800</v>
      </c>
      <c r="H3114" s="394">
        <v>43.578393171312371</v>
      </c>
      <c r="I3114" s="394"/>
      <c r="J3114" s="392"/>
      <c r="K3114" s="392"/>
      <c r="L3114" s="392"/>
      <c r="M3114" s="392"/>
      <c r="N3114" s="392">
        <f t="shared" si="122"/>
        <v>43.578393171312371</v>
      </c>
    </row>
    <row r="3115" spans="1:14" hidden="1" outlineLevel="2" x14ac:dyDescent="0.35">
      <c r="A3115" s="388" t="s">
        <v>6490</v>
      </c>
      <c r="B3115" s="389">
        <v>44407</v>
      </c>
      <c r="C3115" s="390" t="s">
        <v>4559</v>
      </c>
      <c r="D3115" s="391" t="s">
        <v>4560</v>
      </c>
      <c r="E3115" s="391" t="s">
        <v>4042</v>
      </c>
      <c r="F3115" s="392">
        <v>7027.0270199999995</v>
      </c>
      <c r="G3115" s="393" t="s">
        <v>3800</v>
      </c>
      <c r="H3115" s="394">
        <v>2.6147035902787419</v>
      </c>
      <c r="I3115" s="394"/>
      <c r="J3115" s="392"/>
      <c r="K3115" s="392"/>
      <c r="L3115" s="392"/>
      <c r="M3115" s="392"/>
      <c r="N3115" s="392">
        <f t="shared" si="122"/>
        <v>2.6147035902787419</v>
      </c>
    </row>
    <row r="3116" spans="1:14" hidden="1" outlineLevel="2" x14ac:dyDescent="0.35">
      <c r="A3116" s="388" t="s">
        <v>6490</v>
      </c>
      <c r="B3116" s="389">
        <v>44407</v>
      </c>
      <c r="C3116" s="390" t="s">
        <v>4555</v>
      </c>
      <c r="D3116" s="391" t="s">
        <v>4556</v>
      </c>
      <c r="E3116" s="391" t="s">
        <v>6492</v>
      </c>
      <c r="F3116" s="392">
        <v>1171171.17</v>
      </c>
      <c r="G3116" s="393" t="s">
        <v>3800</v>
      </c>
      <c r="H3116" s="394">
        <v>435.78393171312365</v>
      </c>
      <c r="I3116" s="394"/>
      <c r="J3116" s="392"/>
      <c r="K3116" s="392"/>
      <c r="L3116" s="392"/>
      <c r="M3116" s="392"/>
      <c r="N3116" s="392">
        <f t="shared" si="122"/>
        <v>435.78393171312365</v>
      </c>
    </row>
    <row r="3117" spans="1:14" hidden="1" outlineLevel="2" collapsed="1" x14ac:dyDescent="0.35">
      <c r="A3117" s="388" t="s">
        <v>6490</v>
      </c>
      <c r="B3117" s="389">
        <v>44407</v>
      </c>
      <c r="C3117" s="390" t="s">
        <v>4557</v>
      </c>
      <c r="D3117" s="391" t="s">
        <v>4558</v>
      </c>
      <c r="E3117" s="391" t="s">
        <v>4272</v>
      </c>
      <c r="F3117" s="392">
        <v>117117.117</v>
      </c>
      <c r="G3117" s="393" t="s">
        <v>3800</v>
      </c>
      <c r="H3117" s="394">
        <v>43.578393171312371</v>
      </c>
      <c r="I3117" s="394"/>
      <c r="J3117" s="392"/>
      <c r="K3117" s="392"/>
      <c r="L3117" s="392"/>
      <c r="M3117" s="392"/>
      <c r="N3117" s="392">
        <f t="shared" si="122"/>
        <v>43.578393171312371</v>
      </c>
    </row>
    <row r="3118" spans="1:14" hidden="1" outlineLevel="2" x14ac:dyDescent="0.35">
      <c r="A3118" s="388" t="s">
        <v>6490</v>
      </c>
      <c r="B3118" s="389">
        <v>44407</v>
      </c>
      <c r="C3118" s="390" t="s">
        <v>4559</v>
      </c>
      <c r="D3118" s="391" t="s">
        <v>4560</v>
      </c>
      <c r="E3118" s="391" t="s">
        <v>4042</v>
      </c>
      <c r="F3118" s="392">
        <v>7027.0270199999995</v>
      </c>
      <c r="G3118" s="393" t="s">
        <v>3800</v>
      </c>
      <c r="H3118" s="394">
        <v>2.6147035902787419</v>
      </c>
      <c r="I3118" s="394"/>
      <c r="J3118" s="392"/>
      <c r="K3118" s="392"/>
      <c r="L3118" s="392"/>
      <c r="M3118" s="392"/>
      <c r="N3118" s="392">
        <f t="shared" si="122"/>
        <v>2.6147035902787419</v>
      </c>
    </row>
    <row r="3119" spans="1:14" hidden="1" outlineLevel="2" x14ac:dyDescent="0.35">
      <c r="A3119" s="388" t="s">
        <v>6490</v>
      </c>
      <c r="B3119" s="389">
        <v>44438</v>
      </c>
      <c r="C3119" s="390" t="s">
        <v>4561</v>
      </c>
      <c r="D3119" s="391" t="s">
        <v>4562</v>
      </c>
      <c r="E3119" s="391" t="s">
        <v>6491</v>
      </c>
      <c r="F3119" s="392">
        <v>1171171.17</v>
      </c>
      <c r="G3119" s="393" t="s">
        <v>3800</v>
      </c>
      <c r="H3119" s="394">
        <v>435.78393171312365</v>
      </c>
      <c r="I3119" s="394"/>
      <c r="J3119" s="392"/>
      <c r="K3119" s="392"/>
      <c r="L3119" s="392"/>
      <c r="M3119" s="392"/>
      <c r="N3119" s="392">
        <f t="shared" si="122"/>
        <v>435.78393171312365</v>
      </c>
    </row>
    <row r="3120" spans="1:14" hidden="1" outlineLevel="2" x14ac:dyDescent="0.35">
      <c r="A3120" s="388" t="s">
        <v>6490</v>
      </c>
      <c r="B3120" s="389">
        <v>44438</v>
      </c>
      <c r="C3120" s="390" t="s">
        <v>4564</v>
      </c>
      <c r="D3120" s="391" t="s">
        <v>4565</v>
      </c>
      <c r="E3120" s="391" t="s">
        <v>4272</v>
      </c>
      <c r="F3120" s="392">
        <v>117117.117</v>
      </c>
      <c r="G3120" s="393" t="s">
        <v>3800</v>
      </c>
      <c r="H3120" s="394">
        <v>43.578393171312371</v>
      </c>
      <c r="I3120" s="394"/>
      <c r="J3120" s="392"/>
      <c r="K3120" s="392"/>
      <c r="L3120" s="392"/>
      <c r="M3120" s="392"/>
      <c r="N3120" s="392">
        <f t="shared" si="122"/>
        <v>43.578393171312371</v>
      </c>
    </row>
    <row r="3121" spans="1:14" hidden="1" outlineLevel="2" x14ac:dyDescent="0.35">
      <c r="A3121" s="388" t="s">
        <v>6490</v>
      </c>
      <c r="B3121" s="389">
        <v>44438</v>
      </c>
      <c r="C3121" s="390" t="s">
        <v>4566</v>
      </c>
      <c r="D3121" s="391" t="s">
        <v>4567</v>
      </c>
      <c r="E3121" s="391" t="s">
        <v>4042</v>
      </c>
      <c r="F3121" s="392">
        <v>7027.0270199999995</v>
      </c>
      <c r="G3121" s="393" t="s">
        <v>3800</v>
      </c>
      <c r="H3121" s="394">
        <v>2.6147035902787419</v>
      </c>
      <c r="I3121" s="394"/>
      <c r="J3121" s="392"/>
      <c r="K3121" s="392"/>
      <c r="L3121" s="392"/>
      <c r="M3121" s="392"/>
      <c r="N3121" s="392">
        <f t="shared" si="122"/>
        <v>2.6147035902787419</v>
      </c>
    </row>
    <row r="3122" spans="1:14" hidden="1" outlineLevel="2" x14ac:dyDescent="0.35">
      <c r="A3122" s="388" t="s">
        <v>6490</v>
      </c>
      <c r="B3122" s="389">
        <v>44438</v>
      </c>
      <c r="C3122" s="390" t="s">
        <v>4561</v>
      </c>
      <c r="D3122" s="391" t="s">
        <v>4562</v>
      </c>
      <c r="E3122" s="391" t="s">
        <v>6492</v>
      </c>
      <c r="F3122" s="392">
        <v>1171171.17</v>
      </c>
      <c r="G3122" s="393" t="s">
        <v>3800</v>
      </c>
      <c r="H3122" s="394">
        <v>435.78393171312365</v>
      </c>
      <c r="I3122" s="394"/>
      <c r="J3122" s="392"/>
      <c r="K3122" s="392"/>
      <c r="L3122" s="392"/>
      <c r="M3122" s="392"/>
      <c r="N3122" s="392">
        <f t="shared" si="122"/>
        <v>435.78393171312365</v>
      </c>
    </row>
    <row r="3123" spans="1:14" hidden="1" outlineLevel="2" x14ac:dyDescent="0.35">
      <c r="A3123" s="388" t="s">
        <v>6490</v>
      </c>
      <c r="B3123" s="389">
        <v>44438</v>
      </c>
      <c r="C3123" s="390" t="s">
        <v>4564</v>
      </c>
      <c r="D3123" s="391" t="s">
        <v>4565</v>
      </c>
      <c r="E3123" s="391" t="s">
        <v>4272</v>
      </c>
      <c r="F3123" s="392">
        <v>117117.117</v>
      </c>
      <c r="G3123" s="393" t="s">
        <v>3800</v>
      </c>
      <c r="H3123" s="394">
        <v>43.578393171312371</v>
      </c>
      <c r="I3123" s="394"/>
      <c r="J3123" s="392"/>
      <c r="K3123" s="392"/>
      <c r="L3123" s="392"/>
      <c r="M3123" s="392"/>
      <c r="N3123" s="392">
        <f t="shared" si="122"/>
        <v>43.578393171312371</v>
      </c>
    </row>
    <row r="3124" spans="1:14" hidden="1" outlineLevel="2" x14ac:dyDescent="0.35">
      <c r="A3124" s="388" t="s">
        <v>6490</v>
      </c>
      <c r="B3124" s="389">
        <v>44438</v>
      </c>
      <c r="C3124" s="390" t="s">
        <v>4566</v>
      </c>
      <c r="D3124" s="391" t="s">
        <v>4567</v>
      </c>
      <c r="E3124" s="391" t="s">
        <v>4042</v>
      </c>
      <c r="F3124" s="392">
        <v>7027.0270199999995</v>
      </c>
      <c r="G3124" s="393" t="s">
        <v>3800</v>
      </c>
      <c r="H3124" s="394">
        <v>2.6147035902787419</v>
      </c>
      <c r="I3124" s="394"/>
      <c r="J3124" s="392"/>
      <c r="K3124" s="392"/>
      <c r="L3124" s="392"/>
      <c r="M3124" s="392"/>
      <c r="N3124" s="392">
        <f t="shared" si="122"/>
        <v>2.6147035902787419</v>
      </c>
    </row>
    <row r="3125" spans="1:14" hidden="1" outlineLevel="2" x14ac:dyDescent="0.35">
      <c r="A3125" s="388" t="s">
        <v>6490</v>
      </c>
      <c r="B3125" s="389">
        <v>44467</v>
      </c>
      <c r="C3125" s="390" t="s">
        <v>4568</v>
      </c>
      <c r="D3125" s="391" t="s">
        <v>4569</v>
      </c>
      <c r="E3125" s="391" t="s">
        <v>6491</v>
      </c>
      <c r="F3125" s="392">
        <v>1171171.17</v>
      </c>
      <c r="G3125" s="393" t="s">
        <v>3800</v>
      </c>
      <c r="H3125" s="394">
        <v>435.78393171312365</v>
      </c>
      <c r="I3125" s="394"/>
      <c r="J3125" s="392"/>
      <c r="K3125" s="392"/>
      <c r="L3125" s="392"/>
      <c r="M3125" s="392"/>
      <c r="N3125" s="392">
        <f t="shared" si="122"/>
        <v>435.78393171312365</v>
      </c>
    </row>
    <row r="3126" spans="1:14" hidden="1" outlineLevel="2" x14ac:dyDescent="0.35">
      <c r="A3126" s="388" t="s">
        <v>6490</v>
      </c>
      <c r="B3126" s="389">
        <v>44467</v>
      </c>
      <c r="C3126" s="390" t="s">
        <v>4570</v>
      </c>
      <c r="D3126" s="391" t="s">
        <v>4602</v>
      </c>
      <c r="E3126" s="391" t="s">
        <v>4272</v>
      </c>
      <c r="F3126" s="392">
        <v>117117.117</v>
      </c>
      <c r="G3126" s="393" t="s">
        <v>3800</v>
      </c>
      <c r="H3126" s="394">
        <v>43.578393171312371</v>
      </c>
      <c r="I3126" s="394"/>
      <c r="J3126" s="392"/>
      <c r="K3126" s="392"/>
      <c r="L3126" s="392"/>
      <c r="M3126" s="392"/>
      <c r="N3126" s="392">
        <f t="shared" si="122"/>
        <v>43.578393171312371</v>
      </c>
    </row>
    <row r="3127" spans="1:14" hidden="1" outlineLevel="2" x14ac:dyDescent="0.35">
      <c r="A3127" s="388" t="s">
        <v>6490</v>
      </c>
      <c r="B3127" s="389">
        <v>44467</v>
      </c>
      <c r="C3127" s="390" t="s">
        <v>4572</v>
      </c>
      <c r="D3127" s="391" t="s">
        <v>4603</v>
      </c>
      <c r="E3127" s="391" t="s">
        <v>4042</v>
      </c>
      <c r="F3127" s="392">
        <v>7027.0270199999995</v>
      </c>
      <c r="G3127" s="393" t="s">
        <v>3800</v>
      </c>
      <c r="H3127" s="394">
        <v>2.6147035902787419</v>
      </c>
      <c r="I3127" s="394"/>
      <c r="J3127" s="392"/>
      <c r="K3127" s="392"/>
      <c r="L3127" s="392"/>
      <c r="M3127" s="392"/>
      <c r="N3127" s="392">
        <f t="shared" si="122"/>
        <v>2.6147035902787419</v>
      </c>
    </row>
    <row r="3128" spans="1:14" hidden="1" outlineLevel="2" x14ac:dyDescent="0.35">
      <c r="A3128" s="388" t="s">
        <v>6490</v>
      </c>
      <c r="B3128" s="389">
        <v>44467</v>
      </c>
      <c r="C3128" s="390" t="s">
        <v>4568</v>
      </c>
      <c r="D3128" s="391" t="s">
        <v>4569</v>
      </c>
      <c r="E3128" s="391" t="s">
        <v>6492</v>
      </c>
      <c r="F3128" s="392">
        <v>1171171.17</v>
      </c>
      <c r="G3128" s="393" t="s">
        <v>3800</v>
      </c>
      <c r="H3128" s="394">
        <v>435.78393171312365</v>
      </c>
      <c r="I3128" s="394"/>
      <c r="J3128" s="392"/>
      <c r="K3128" s="392"/>
      <c r="L3128" s="392"/>
      <c r="M3128" s="392"/>
      <c r="N3128" s="392">
        <f t="shared" si="122"/>
        <v>435.78393171312365</v>
      </c>
    </row>
    <row r="3129" spans="1:14" hidden="1" outlineLevel="2" x14ac:dyDescent="0.35">
      <c r="A3129" s="388" t="s">
        <v>6490</v>
      </c>
      <c r="B3129" s="389">
        <v>44467</v>
      </c>
      <c r="C3129" s="390" t="s">
        <v>4570</v>
      </c>
      <c r="D3129" s="391" t="s">
        <v>4602</v>
      </c>
      <c r="E3129" s="391" t="s">
        <v>4272</v>
      </c>
      <c r="F3129" s="392">
        <v>117117.117</v>
      </c>
      <c r="G3129" s="393" t="s">
        <v>3800</v>
      </c>
      <c r="H3129" s="394">
        <v>43.578393171312371</v>
      </c>
      <c r="I3129" s="394"/>
      <c r="J3129" s="392"/>
      <c r="K3129" s="392"/>
      <c r="L3129" s="392"/>
      <c r="M3129" s="392"/>
      <c r="N3129" s="392">
        <f t="shared" si="122"/>
        <v>43.578393171312371</v>
      </c>
    </row>
    <row r="3130" spans="1:14" hidden="1" outlineLevel="2" x14ac:dyDescent="0.35">
      <c r="A3130" s="388" t="s">
        <v>6490</v>
      </c>
      <c r="B3130" s="389">
        <v>44467</v>
      </c>
      <c r="C3130" s="390" t="s">
        <v>4572</v>
      </c>
      <c r="D3130" s="391" t="s">
        <v>4603</v>
      </c>
      <c r="E3130" s="391" t="s">
        <v>4042</v>
      </c>
      <c r="F3130" s="392">
        <v>7027.0270199999995</v>
      </c>
      <c r="G3130" s="393" t="s">
        <v>3800</v>
      </c>
      <c r="H3130" s="394">
        <v>2.6147035902787419</v>
      </c>
      <c r="I3130" s="394"/>
      <c r="J3130" s="392"/>
      <c r="K3130" s="392"/>
      <c r="L3130" s="392"/>
      <c r="M3130" s="392"/>
      <c r="N3130" s="392">
        <f t="shared" si="122"/>
        <v>2.6147035902787419</v>
      </c>
    </row>
    <row r="3131" spans="1:14" hidden="1" outlineLevel="2" x14ac:dyDescent="0.35">
      <c r="A3131" s="388" t="s">
        <v>6490</v>
      </c>
      <c r="B3131" s="389">
        <v>44497</v>
      </c>
      <c r="C3131" s="390" t="s">
        <v>4574</v>
      </c>
      <c r="D3131" s="391" t="s">
        <v>4575</v>
      </c>
      <c r="E3131" s="391" t="s">
        <v>6491</v>
      </c>
      <c r="F3131" s="392">
        <v>1171171.17</v>
      </c>
      <c r="G3131" s="393" t="s">
        <v>3800</v>
      </c>
      <c r="H3131" s="394">
        <v>435.78393171312365</v>
      </c>
      <c r="I3131" s="394"/>
      <c r="J3131" s="392"/>
      <c r="K3131" s="392"/>
      <c r="L3131" s="392"/>
      <c r="M3131" s="392"/>
      <c r="N3131" s="392">
        <f t="shared" si="122"/>
        <v>435.78393171312365</v>
      </c>
    </row>
    <row r="3132" spans="1:14" hidden="1" outlineLevel="2" x14ac:dyDescent="0.35">
      <c r="A3132" s="388" t="s">
        <v>6490</v>
      </c>
      <c r="B3132" s="389">
        <v>44497</v>
      </c>
      <c r="C3132" s="390" t="s">
        <v>4576</v>
      </c>
      <c r="D3132" s="391" t="s">
        <v>4604</v>
      </c>
      <c r="E3132" s="391" t="s">
        <v>4272</v>
      </c>
      <c r="F3132" s="392">
        <v>117117.117</v>
      </c>
      <c r="G3132" s="393" t="s">
        <v>3800</v>
      </c>
      <c r="H3132" s="394">
        <v>43.578393171312371</v>
      </c>
      <c r="I3132" s="394"/>
      <c r="J3132" s="392"/>
      <c r="K3132" s="392"/>
      <c r="L3132" s="392"/>
      <c r="M3132" s="392"/>
      <c r="N3132" s="392">
        <f t="shared" si="122"/>
        <v>43.578393171312371</v>
      </c>
    </row>
    <row r="3133" spans="1:14" hidden="1" outlineLevel="2" x14ac:dyDescent="0.35">
      <c r="A3133" s="388" t="s">
        <v>6490</v>
      </c>
      <c r="B3133" s="389">
        <v>44497</v>
      </c>
      <c r="C3133" s="390" t="s">
        <v>4578</v>
      </c>
      <c r="D3133" s="391" t="s">
        <v>4605</v>
      </c>
      <c r="E3133" s="391" t="s">
        <v>4042</v>
      </c>
      <c r="F3133" s="392">
        <v>7027.0270199999995</v>
      </c>
      <c r="G3133" s="393" t="s">
        <v>3800</v>
      </c>
      <c r="H3133" s="394">
        <v>2.6147035902787419</v>
      </c>
      <c r="I3133" s="394"/>
      <c r="J3133" s="392"/>
      <c r="K3133" s="392"/>
      <c r="L3133" s="392"/>
      <c r="M3133" s="392"/>
      <c r="N3133" s="392">
        <f t="shared" si="122"/>
        <v>2.6147035902787419</v>
      </c>
    </row>
    <row r="3134" spans="1:14" hidden="1" outlineLevel="2" x14ac:dyDescent="0.35">
      <c r="A3134" s="388" t="s">
        <v>6490</v>
      </c>
      <c r="B3134" s="389">
        <v>44497</v>
      </c>
      <c r="C3134" s="390" t="s">
        <v>4574</v>
      </c>
      <c r="D3134" s="391" t="s">
        <v>4575</v>
      </c>
      <c r="E3134" s="391" t="s">
        <v>6492</v>
      </c>
      <c r="F3134" s="392">
        <v>1171171.17</v>
      </c>
      <c r="G3134" s="393" t="s">
        <v>3800</v>
      </c>
      <c r="H3134" s="394">
        <v>435.78393171312365</v>
      </c>
      <c r="I3134" s="394"/>
      <c r="J3134" s="392"/>
      <c r="K3134" s="392"/>
      <c r="L3134" s="392"/>
      <c r="M3134" s="392"/>
      <c r="N3134" s="392">
        <f t="shared" si="122"/>
        <v>435.78393171312365</v>
      </c>
    </row>
    <row r="3135" spans="1:14" hidden="1" outlineLevel="2" x14ac:dyDescent="0.35">
      <c r="A3135" s="388" t="s">
        <v>6490</v>
      </c>
      <c r="B3135" s="389">
        <v>44497</v>
      </c>
      <c r="C3135" s="390" t="s">
        <v>4576</v>
      </c>
      <c r="D3135" s="391" t="s">
        <v>4604</v>
      </c>
      <c r="E3135" s="391" t="s">
        <v>4272</v>
      </c>
      <c r="F3135" s="392">
        <v>117117.117</v>
      </c>
      <c r="G3135" s="393" t="s">
        <v>3800</v>
      </c>
      <c r="H3135" s="394">
        <v>43.578393171312371</v>
      </c>
      <c r="I3135" s="394"/>
      <c r="J3135" s="392"/>
      <c r="K3135" s="392"/>
      <c r="L3135" s="392"/>
      <c r="M3135" s="392"/>
      <c r="N3135" s="392">
        <f t="shared" si="122"/>
        <v>43.578393171312371</v>
      </c>
    </row>
    <row r="3136" spans="1:14" hidden="1" outlineLevel="2" x14ac:dyDescent="0.35">
      <c r="A3136" s="388" t="s">
        <v>6490</v>
      </c>
      <c r="B3136" s="389">
        <v>44497</v>
      </c>
      <c r="C3136" s="390" t="s">
        <v>4578</v>
      </c>
      <c r="D3136" s="391" t="s">
        <v>4605</v>
      </c>
      <c r="E3136" s="391" t="s">
        <v>4042</v>
      </c>
      <c r="F3136" s="392">
        <v>7027.0270199999995</v>
      </c>
      <c r="G3136" s="393" t="s">
        <v>3800</v>
      </c>
      <c r="H3136" s="394">
        <v>2.6147035902787419</v>
      </c>
      <c r="I3136" s="394"/>
      <c r="J3136" s="392"/>
      <c r="K3136" s="392"/>
      <c r="L3136" s="392"/>
      <c r="M3136" s="392"/>
      <c r="N3136" s="392">
        <f t="shared" si="122"/>
        <v>2.6147035902787419</v>
      </c>
    </row>
    <row r="3137" spans="1:14" hidden="1" outlineLevel="2" x14ac:dyDescent="0.35">
      <c r="A3137" s="388" t="s">
        <v>6490</v>
      </c>
      <c r="B3137" s="389">
        <v>44525</v>
      </c>
      <c r="C3137" s="390" t="s">
        <v>4580</v>
      </c>
      <c r="D3137" s="391" t="s">
        <v>4581</v>
      </c>
      <c r="E3137" s="391" t="s">
        <v>6491</v>
      </c>
      <c r="F3137" s="392">
        <v>1171171.17</v>
      </c>
      <c r="G3137" s="393" t="s">
        <v>3800</v>
      </c>
      <c r="H3137" s="394">
        <v>435.78393171312365</v>
      </c>
      <c r="I3137" s="394"/>
      <c r="J3137" s="392"/>
      <c r="K3137" s="392"/>
      <c r="L3137" s="392"/>
      <c r="M3137" s="392"/>
      <c r="N3137" s="392">
        <f t="shared" si="122"/>
        <v>435.78393171312365</v>
      </c>
    </row>
    <row r="3138" spans="1:14" hidden="1" outlineLevel="2" x14ac:dyDescent="0.35">
      <c r="A3138" s="388" t="s">
        <v>6490</v>
      </c>
      <c r="B3138" s="389">
        <v>44525</v>
      </c>
      <c r="C3138" s="390" t="s">
        <v>4582</v>
      </c>
      <c r="D3138" s="391" t="s">
        <v>4583</v>
      </c>
      <c r="E3138" s="391" t="s">
        <v>4272</v>
      </c>
      <c r="F3138" s="392">
        <v>117117.117</v>
      </c>
      <c r="G3138" s="393" t="s">
        <v>3800</v>
      </c>
      <c r="H3138" s="394">
        <v>43.578393171312371</v>
      </c>
      <c r="I3138" s="394"/>
      <c r="J3138" s="392"/>
      <c r="K3138" s="392"/>
      <c r="L3138" s="392"/>
      <c r="M3138" s="392"/>
      <c r="N3138" s="392">
        <f t="shared" si="122"/>
        <v>43.578393171312371</v>
      </c>
    </row>
    <row r="3139" spans="1:14" hidden="1" outlineLevel="2" x14ac:dyDescent="0.35">
      <c r="A3139" s="388" t="s">
        <v>6490</v>
      </c>
      <c r="B3139" s="389">
        <v>44525</v>
      </c>
      <c r="C3139" s="390" t="s">
        <v>4584</v>
      </c>
      <c r="D3139" s="391" t="s">
        <v>4585</v>
      </c>
      <c r="E3139" s="391" t="s">
        <v>4042</v>
      </c>
      <c r="F3139" s="392">
        <v>7027.0270199999995</v>
      </c>
      <c r="G3139" s="393" t="s">
        <v>3800</v>
      </c>
      <c r="H3139" s="394">
        <v>2.6147035902787419</v>
      </c>
      <c r="I3139" s="394"/>
      <c r="J3139" s="392"/>
      <c r="K3139" s="392"/>
      <c r="L3139" s="392"/>
      <c r="M3139" s="392"/>
      <c r="N3139" s="392">
        <f t="shared" si="122"/>
        <v>2.6147035902787419</v>
      </c>
    </row>
    <row r="3140" spans="1:14" hidden="1" outlineLevel="2" x14ac:dyDescent="0.35">
      <c r="A3140" s="388" t="s">
        <v>6490</v>
      </c>
      <c r="B3140" s="389">
        <v>44525</v>
      </c>
      <c r="C3140" s="390" t="s">
        <v>4580</v>
      </c>
      <c r="D3140" s="391" t="s">
        <v>4581</v>
      </c>
      <c r="E3140" s="391" t="s">
        <v>6492</v>
      </c>
      <c r="F3140" s="392">
        <v>1171171.17</v>
      </c>
      <c r="G3140" s="393" t="s">
        <v>3800</v>
      </c>
      <c r="H3140" s="394">
        <v>435.78393171312365</v>
      </c>
      <c r="I3140" s="394"/>
      <c r="J3140" s="392"/>
      <c r="K3140" s="392"/>
      <c r="L3140" s="392"/>
      <c r="M3140" s="392"/>
      <c r="N3140" s="392">
        <f t="shared" si="122"/>
        <v>435.78393171312365</v>
      </c>
    </row>
    <row r="3141" spans="1:14" hidden="1" outlineLevel="2" x14ac:dyDescent="0.35">
      <c r="A3141" s="388" t="s">
        <v>6490</v>
      </c>
      <c r="B3141" s="389">
        <v>44525</v>
      </c>
      <c r="C3141" s="390" t="s">
        <v>4582</v>
      </c>
      <c r="D3141" s="391" t="s">
        <v>4583</v>
      </c>
      <c r="E3141" s="391" t="s">
        <v>4272</v>
      </c>
      <c r="F3141" s="392">
        <v>117117.117</v>
      </c>
      <c r="G3141" s="393" t="s">
        <v>3800</v>
      </c>
      <c r="H3141" s="394">
        <v>43.578393171312371</v>
      </c>
      <c r="I3141" s="394"/>
      <c r="J3141" s="392"/>
      <c r="K3141" s="392"/>
      <c r="L3141" s="392"/>
      <c r="M3141" s="392"/>
      <c r="N3141" s="392">
        <f t="shared" si="122"/>
        <v>43.578393171312371</v>
      </c>
    </row>
    <row r="3142" spans="1:14" hidden="1" outlineLevel="2" collapsed="1" x14ac:dyDescent="0.35">
      <c r="A3142" s="388" t="s">
        <v>6490</v>
      </c>
      <c r="B3142" s="389">
        <v>44525</v>
      </c>
      <c r="C3142" s="390" t="s">
        <v>4584</v>
      </c>
      <c r="D3142" s="391" t="s">
        <v>4585</v>
      </c>
      <c r="E3142" s="391" t="s">
        <v>4042</v>
      </c>
      <c r="F3142" s="392">
        <v>7027.0270199999995</v>
      </c>
      <c r="G3142" s="393" t="s">
        <v>3800</v>
      </c>
      <c r="H3142" s="394">
        <v>2.6147035902787419</v>
      </c>
      <c r="I3142" s="394"/>
      <c r="J3142" s="392"/>
      <c r="K3142" s="392"/>
      <c r="L3142" s="392"/>
      <c r="M3142" s="392"/>
      <c r="N3142" s="392">
        <f t="shared" si="122"/>
        <v>2.6147035902787419</v>
      </c>
    </row>
    <row r="3143" spans="1:14" hidden="1" outlineLevel="2" x14ac:dyDescent="0.35">
      <c r="A3143" s="388" t="s">
        <v>6490</v>
      </c>
      <c r="B3143" s="389">
        <v>44547</v>
      </c>
      <c r="C3143" s="390" t="s">
        <v>4586</v>
      </c>
      <c r="D3143" s="391" t="s">
        <v>4587</v>
      </c>
      <c r="E3143" s="391" t="s">
        <v>6491</v>
      </c>
      <c r="F3143" s="392">
        <v>1171171.17</v>
      </c>
      <c r="G3143" s="393" t="s">
        <v>3800</v>
      </c>
      <c r="H3143" s="394">
        <v>435.78393171312365</v>
      </c>
      <c r="I3143" s="394"/>
      <c r="J3143" s="392"/>
      <c r="K3143" s="392"/>
      <c r="L3143" s="392"/>
      <c r="M3143" s="392"/>
      <c r="N3143" s="392">
        <f t="shared" si="122"/>
        <v>435.78393171312365</v>
      </c>
    </row>
    <row r="3144" spans="1:14" hidden="1" outlineLevel="2" collapsed="1" x14ac:dyDescent="0.35">
      <c r="A3144" s="388" t="s">
        <v>6490</v>
      </c>
      <c r="B3144" s="389">
        <v>44547</v>
      </c>
      <c r="C3144" s="390" t="s">
        <v>4588</v>
      </c>
      <c r="D3144" s="391" t="s">
        <v>4589</v>
      </c>
      <c r="E3144" s="391" t="s">
        <v>4272</v>
      </c>
      <c r="F3144" s="392">
        <v>117117.117</v>
      </c>
      <c r="G3144" s="393" t="s">
        <v>3800</v>
      </c>
      <c r="H3144" s="394">
        <v>43.578393171312371</v>
      </c>
      <c r="I3144" s="394"/>
      <c r="J3144" s="392"/>
      <c r="K3144" s="392"/>
      <c r="L3144" s="392"/>
      <c r="M3144" s="392"/>
      <c r="N3144" s="392">
        <f t="shared" si="122"/>
        <v>43.578393171312371</v>
      </c>
    </row>
    <row r="3145" spans="1:14" hidden="1" outlineLevel="2" x14ac:dyDescent="0.35">
      <c r="A3145" s="388" t="s">
        <v>6490</v>
      </c>
      <c r="B3145" s="389">
        <v>44547</v>
      </c>
      <c r="C3145" s="390" t="s">
        <v>4590</v>
      </c>
      <c r="D3145" s="391" t="s">
        <v>4591</v>
      </c>
      <c r="E3145" s="391" t="s">
        <v>4042</v>
      </c>
      <c r="F3145" s="392">
        <v>7027.0270199999995</v>
      </c>
      <c r="G3145" s="393" t="s">
        <v>3800</v>
      </c>
      <c r="H3145" s="394">
        <v>2.6147035902787419</v>
      </c>
      <c r="I3145" s="394"/>
      <c r="J3145" s="392"/>
      <c r="K3145" s="392"/>
      <c r="L3145" s="392"/>
      <c r="M3145" s="392"/>
      <c r="N3145" s="392">
        <f t="shared" si="122"/>
        <v>2.6147035902787419</v>
      </c>
    </row>
    <row r="3146" spans="1:14" hidden="1" outlineLevel="2" x14ac:dyDescent="0.35">
      <c r="A3146" s="388" t="s">
        <v>6490</v>
      </c>
      <c r="B3146" s="389">
        <v>44547</v>
      </c>
      <c r="C3146" s="390" t="s">
        <v>4586</v>
      </c>
      <c r="D3146" s="391" t="s">
        <v>4587</v>
      </c>
      <c r="E3146" s="391" t="s">
        <v>6492</v>
      </c>
      <c r="F3146" s="392">
        <v>1171171.17</v>
      </c>
      <c r="G3146" s="393" t="s">
        <v>3800</v>
      </c>
      <c r="H3146" s="394">
        <v>435.78393171312365</v>
      </c>
      <c r="I3146" s="394"/>
      <c r="J3146" s="392"/>
      <c r="K3146" s="392"/>
      <c r="L3146" s="392"/>
      <c r="M3146" s="392"/>
      <c r="N3146" s="392">
        <f t="shared" si="122"/>
        <v>435.78393171312365</v>
      </c>
    </row>
    <row r="3147" spans="1:14" hidden="1" outlineLevel="2" x14ac:dyDescent="0.35">
      <c r="A3147" s="388" t="s">
        <v>6490</v>
      </c>
      <c r="B3147" s="389">
        <v>44547</v>
      </c>
      <c r="C3147" s="390" t="s">
        <v>4588</v>
      </c>
      <c r="D3147" s="391" t="s">
        <v>4589</v>
      </c>
      <c r="E3147" s="391" t="s">
        <v>4272</v>
      </c>
      <c r="F3147" s="392">
        <v>117117.117</v>
      </c>
      <c r="G3147" s="393" t="s">
        <v>3800</v>
      </c>
      <c r="H3147" s="394">
        <v>43.578393171312371</v>
      </c>
      <c r="I3147" s="394"/>
      <c r="J3147" s="392"/>
      <c r="K3147" s="392"/>
      <c r="L3147" s="392"/>
      <c r="M3147" s="392"/>
      <c r="N3147" s="392">
        <f t="shared" ref="N3147:N3148" si="123">H3147</f>
        <v>43.578393171312371</v>
      </c>
    </row>
    <row r="3148" spans="1:14" hidden="1" outlineLevel="2" x14ac:dyDescent="0.35">
      <c r="A3148" s="388" t="s">
        <v>6490</v>
      </c>
      <c r="B3148" s="389">
        <v>44547</v>
      </c>
      <c r="C3148" s="390" t="s">
        <v>4590</v>
      </c>
      <c r="D3148" s="391" t="s">
        <v>4591</v>
      </c>
      <c r="E3148" s="391" t="s">
        <v>4042</v>
      </c>
      <c r="F3148" s="392">
        <v>7027.0270199999995</v>
      </c>
      <c r="G3148" s="393" t="s">
        <v>3800</v>
      </c>
      <c r="H3148" s="394">
        <v>2.6147035902787419</v>
      </c>
      <c r="I3148" s="394"/>
      <c r="J3148" s="392"/>
      <c r="K3148" s="392"/>
      <c r="L3148" s="392"/>
      <c r="M3148" s="392"/>
      <c r="N3148" s="392">
        <f t="shared" si="123"/>
        <v>2.6147035902787419</v>
      </c>
    </row>
    <row r="3149" spans="1:14" hidden="1" outlineLevel="2" collapsed="1" x14ac:dyDescent="0.35">
      <c r="A3149" s="388" t="s">
        <v>6490</v>
      </c>
      <c r="B3149" s="389">
        <v>44587</v>
      </c>
      <c r="C3149" s="390" t="s">
        <v>4592</v>
      </c>
      <c r="D3149" s="391" t="s">
        <v>4593</v>
      </c>
      <c r="E3149" s="391" t="s">
        <v>6491</v>
      </c>
      <c r="F3149" s="392">
        <v>1171171.17</v>
      </c>
      <c r="G3149" s="393" t="s">
        <v>3800</v>
      </c>
      <c r="H3149" s="394">
        <v>435.78393171312365</v>
      </c>
      <c r="I3149" s="394"/>
      <c r="J3149" s="392"/>
      <c r="K3149" s="392"/>
      <c r="L3149" s="392"/>
      <c r="M3149" s="392"/>
      <c r="N3149" s="392">
        <v>435.78393171312365</v>
      </c>
    </row>
    <row r="3150" spans="1:14" hidden="1" outlineLevel="2" x14ac:dyDescent="0.35">
      <c r="A3150" s="388" t="s">
        <v>6490</v>
      </c>
      <c r="B3150" s="389">
        <v>44587</v>
      </c>
      <c r="C3150" s="390" t="s">
        <v>4594</v>
      </c>
      <c r="D3150" s="391" t="s">
        <v>4595</v>
      </c>
      <c r="E3150" s="391" t="s">
        <v>4272</v>
      </c>
      <c r="F3150" s="392">
        <v>117117.117</v>
      </c>
      <c r="G3150" s="393" t="s">
        <v>3800</v>
      </c>
      <c r="H3150" s="394">
        <v>43.578393171312371</v>
      </c>
      <c r="I3150" s="394"/>
      <c r="J3150" s="392"/>
      <c r="K3150" s="392"/>
      <c r="L3150" s="392"/>
      <c r="M3150" s="392"/>
      <c r="N3150" s="392">
        <v>43.578393171312371</v>
      </c>
    </row>
    <row r="3151" spans="1:14" hidden="1" outlineLevel="2" x14ac:dyDescent="0.35">
      <c r="A3151" s="388" t="s">
        <v>6490</v>
      </c>
      <c r="B3151" s="389">
        <v>44587</v>
      </c>
      <c r="C3151" s="390" t="s">
        <v>4596</v>
      </c>
      <c r="D3151" s="391" t="s">
        <v>4597</v>
      </c>
      <c r="E3151" s="391" t="s">
        <v>4042</v>
      </c>
      <c r="F3151" s="392">
        <v>7027.0270199999995</v>
      </c>
      <c r="G3151" s="393" t="s">
        <v>3800</v>
      </c>
      <c r="H3151" s="394">
        <v>2.6147035902787419</v>
      </c>
      <c r="I3151" s="394"/>
      <c r="J3151" s="392"/>
      <c r="K3151" s="392"/>
      <c r="L3151" s="392"/>
      <c r="M3151" s="392"/>
      <c r="N3151" s="392">
        <v>2.6147035902787419</v>
      </c>
    </row>
    <row r="3152" spans="1:14" hidden="1" outlineLevel="2" x14ac:dyDescent="0.35">
      <c r="A3152" s="388" t="s">
        <v>6490</v>
      </c>
      <c r="B3152" s="389">
        <v>44587</v>
      </c>
      <c r="C3152" s="390" t="s">
        <v>4592</v>
      </c>
      <c r="D3152" s="391" t="s">
        <v>4593</v>
      </c>
      <c r="E3152" s="391" t="s">
        <v>6492</v>
      </c>
      <c r="F3152" s="392">
        <v>1171171.17</v>
      </c>
      <c r="G3152" s="393" t="s">
        <v>3800</v>
      </c>
      <c r="H3152" s="394">
        <v>435.78393171312365</v>
      </c>
      <c r="I3152" s="394"/>
      <c r="J3152" s="392"/>
      <c r="K3152" s="392"/>
      <c r="L3152" s="392"/>
      <c r="M3152" s="392"/>
      <c r="N3152" s="392">
        <v>435.78393171312365</v>
      </c>
    </row>
    <row r="3153" spans="1:14" hidden="1" outlineLevel="2" x14ac:dyDescent="0.35">
      <c r="A3153" s="388" t="s">
        <v>6490</v>
      </c>
      <c r="B3153" s="389">
        <v>44587</v>
      </c>
      <c r="C3153" s="390" t="s">
        <v>4594</v>
      </c>
      <c r="D3153" s="391" t="s">
        <v>4595</v>
      </c>
      <c r="E3153" s="391" t="s">
        <v>4272</v>
      </c>
      <c r="F3153" s="392">
        <v>117117.117</v>
      </c>
      <c r="G3153" s="393" t="s">
        <v>3800</v>
      </c>
      <c r="H3153" s="394">
        <v>43.578393171312371</v>
      </c>
      <c r="I3153" s="394"/>
      <c r="J3153" s="392"/>
      <c r="K3153" s="392"/>
      <c r="L3153" s="392"/>
      <c r="M3153" s="392"/>
      <c r="N3153" s="392">
        <v>43.578393171312371</v>
      </c>
    </row>
    <row r="3154" spans="1:14" hidden="1" outlineLevel="2" x14ac:dyDescent="0.35">
      <c r="A3154" s="388" t="s">
        <v>6490</v>
      </c>
      <c r="B3154" s="389">
        <v>44587</v>
      </c>
      <c r="C3154" s="390" t="s">
        <v>4596</v>
      </c>
      <c r="D3154" s="391" t="s">
        <v>4597</v>
      </c>
      <c r="E3154" s="391" t="s">
        <v>4042</v>
      </c>
      <c r="F3154" s="392">
        <v>7027.0270199999995</v>
      </c>
      <c r="G3154" s="393" t="s">
        <v>3800</v>
      </c>
      <c r="H3154" s="394">
        <v>2.6147035902787419</v>
      </c>
      <c r="I3154" s="394"/>
      <c r="J3154" s="392"/>
      <c r="K3154" s="392"/>
      <c r="L3154" s="392"/>
      <c r="M3154" s="392"/>
      <c r="N3154" s="392">
        <v>2.6147035902787419</v>
      </c>
    </row>
    <row r="3155" spans="1:14" outlineLevel="1" collapsed="1" x14ac:dyDescent="0.35">
      <c r="A3155" s="395" t="s">
        <v>6493</v>
      </c>
      <c r="B3155" s="389"/>
      <c r="C3155" s="390"/>
      <c r="D3155" s="391"/>
      <c r="E3155" s="391"/>
      <c r="F3155" s="392"/>
      <c r="G3155" s="393"/>
      <c r="H3155" s="394">
        <f t="shared" ref="H3155:N3155" si="124">SUBTOTAL(9,H3083:H3154)</f>
        <v>11101.159880590341</v>
      </c>
      <c r="I3155" s="394"/>
      <c r="J3155" s="392">
        <f t="shared" si="124"/>
        <v>0</v>
      </c>
      <c r="K3155" s="392">
        <f t="shared" si="124"/>
        <v>0</v>
      </c>
      <c r="L3155" s="392">
        <f t="shared" si="124"/>
        <v>0</v>
      </c>
      <c r="M3155" s="392">
        <f t="shared" si="124"/>
        <v>0</v>
      </c>
      <c r="N3155" s="392">
        <f t="shared" si="124"/>
        <v>11101.159880590341</v>
      </c>
    </row>
    <row r="3156" spans="1:14" hidden="1" outlineLevel="2" collapsed="1" x14ac:dyDescent="0.35">
      <c r="A3156" s="388" t="s">
        <v>6494</v>
      </c>
      <c r="B3156" s="389">
        <v>44467</v>
      </c>
      <c r="C3156" s="390" t="s">
        <v>4568</v>
      </c>
      <c r="D3156" s="391" t="s">
        <v>4569</v>
      </c>
      <c r="E3156" s="391" t="s">
        <v>6495</v>
      </c>
      <c r="F3156" s="392">
        <v>281531.53000000003</v>
      </c>
      <c r="G3156" s="393" t="s">
        <v>3800</v>
      </c>
      <c r="H3156" s="394">
        <v>104.7557523505392</v>
      </c>
      <c r="I3156" s="394"/>
      <c r="J3156" s="392"/>
      <c r="K3156" s="392"/>
      <c r="L3156" s="392"/>
      <c r="M3156" s="392"/>
      <c r="N3156" s="392">
        <f t="shared" ref="N3156:N3203" si="125">H3156</f>
        <v>104.7557523505392</v>
      </c>
    </row>
    <row r="3157" spans="1:14" hidden="1" outlineLevel="2" x14ac:dyDescent="0.35">
      <c r="A3157" s="388" t="s">
        <v>6494</v>
      </c>
      <c r="B3157" s="389">
        <v>44467</v>
      </c>
      <c r="C3157" s="390" t="s">
        <v>4570</v>
      </c>
      <c r="D3157" s="391" t="s">
        <v>4602</v>
      </c>
      <c r="E3157" s="391" t="s">
        <v>4272</v>
      </c>
      <c r="F3157" s="392">
        <v>28153.153000000006</v>
      </c>
      <c r="G3157" s="393" t="s">
        <v>3800</v>
      </c>
      <c r="H3157" s="394">
        <v>10.47557523505392</v>
      </c>
      <c r="I3157" s="394"/>
      <c r="J3157" s="392"/>
      <c r="K3157" s="392"/>
      <c r="L3157" s="392"/>
      <c r="M3157" s="392"/>
      <c r="N3157" s="392">
        <f t="shared" si="125"/>
        <v>10.47557523505392</v>
      </c>
    </row>
    <row r="3158" spans="1:14" hidden="1" outlineLevel="2" x14ac:dyDescent="0.35">
      <c r="A3158" s="388" t="s">
        <v>6494</v>
      </c>
      <c r="B3158" s="389">
        <v>44467</v>
      </c>
      <c r="C3158" s="390" t="s">
        <v>4572</v>
      </c>
      <c r="D3158" s="391" t="s">
        <v>4603</v>
      </c>
      <c r="E3158" s="391" t="s">
        <v>4042</v>
      </c>
      <c r="F3158" s="392">
        <v>1689.1891800000003</v>
      </c>
      <c r="G3158" s="393" t="s">
        <v>3800</v>
      </c>
      <c r="H3158" s="394">
        <v>0.62853451410323524</v>
      </c>
      <c r="I3158" s="394"/>
      <c r="J3158" s="392"/>
      <c r="K3158" s="392"/>
      <c r="L3158" s="392"/>
      <c r="M3158" s="392"/>
      <c r="N3158" s="392">
        <f t="shared" si="125"/>
        <v>0.62853451410323524</v>
      </c>
    </row>
    <row r="3159" spans="1:14" hidden="1" outlineLevel="2" x14ac:dyDescent="0.35">
      <c r="A3159" s="388" t="s">
        <v>6494</v>
      </c>
      <c r="B3159" s="389">
        <v>44467</v>
      </c>
      <c r="C3159" s="390" t="s">
        <v>4568</v>
      </c>
      <c r="D3159" s="391" t="s">
        <v>4569</v>
      </c>
      <c r="E3159" s="391" t="s">
        <v>6496</v>
      </c>
      <c r="F3159" s="392">
        <v>281531.53000000003</v>
      </c>
      <c r="G3159" s="393" t="s">
        <v>3800</v>
      </c>
      <c r="H3159" s="394">
        <v>104.7557523505392</v>
      </c>
      <c r="I3159" s="394"/>
      <c r="J3159" s="392"/>
      <c r="K3159" s="392"/>
      <c r="L3159" s="392"/>
      <c r="M3159" s="392"/>
      <c r="N3159" s="392">
        <f t="shared" si="125"/>
        <v>104.7557523505392</v>
      </c>
    </row>
    <row r="3160" spans="1:14" hidden="1" outlineLevel="2" x14ac:dyDescent="0.35">
      <c r="A3160" s="388" t="s">
        <v>6494</v>
      </c>
      <c r="B3160" s="389">
        <v>44467</v>
      </c>
      <c r="C3160" s="390" t="s">
        <v>4570</v>
      </c>
      <c r="D3160" s="391" t="s">
        <v>4602</v>
      </c>
      <c r="E3160" s="391" t="s">
        <v>4272</v>
      </c>
      <c r="F3160" s="392">
        <v>28153.153000000006</v>
      </c>
      <c r="G3160" s="393" t="s">
        <v>3800</v>
      </c>
      <c r="H3160" s="394">
        <v>10.47557523505392</v>
      </c>
      <c r="I3160" s="394"/>
      <c r="J3160" s="392"/>
      <c r="K3160" s="392"/>
      <c r="L3160" s="392"/>
      <c r="M3160" s="392"/>
      <c r="N3160" s="392">
        <f t="shared" si="125"/>
        <v>10.47557523505392</v>
      </c>
    </row>
    <row r="3161" spans="1:14" hidden="1" outlineLevel="2" x14ac:dyDescent="0.35">
      <c r="A3161" s="388" t="s">
        <v>6494</v>
      </c>
      <c r="B3161" s="389">
        <v>44467</v>
      </c>
      <c r="C3161" s="390" t="s">
        <v>4572</v>
      </c>
      <c r="D3161" s="391" t="s">
        <v>4603</v>
      </c>
      <c r="E3161" s="391" t="s">
        <v>4042</v>
      </c>
      <c r="F3161" s="392">
        <v>1689.1891800000003</v>
      </c>
      <c r="G3161" s="393" t="s">
        <v>3800</v>
      </c>
      <c r="H3161" s="394">
        <v>0.62853451410323524</v>
      </c>
      <c r="I3161" s="394"/>
      <c r="J3161" s="392"/>
      <c r="K3161" s="392"/>
      <c r="L3161" s="392"/>
      <c r="M3161" s="392"/>
      <c r="N3161" s="392">
        <f t="shared" si="125"/>
        <v>0.62853451410323524</v>
      </c>
    </row>
    <row r="3162" spans="1:14" hidden="1" outlineLevel="2" x14ac:dyDescent="0.35">
      <c r="A3162" s="388" t="s">
        <v>6494</v>
      </c>
      <c r="B3162" s="389">
        <v>44467</v>
      </c>
      <c r="C3162" s="390" t="s">
        <v>4568</v>
      </c>
      <c r="D3162" s="391" t="s">
        <v>4569</v>
      </c>
      <c r="E3162" s="391" t="s">
        <v>6497</v>
      </c>
      <c r="F3162" s="392">
        <v>281531.53000000003</v>
      </c>
      <c r="G3162" s="393" t="s">
        <v>3800</v>
      </c>
      <c r="H3162" s="394">
        <v>104.7557523505392</v>
      </c>
      <c r="I3162" s="394"/>
      <c r="J3162" s="392"/>
      <c r="K3162" s="392"/>
      <c r="L3162" s="392"/>
      <c r="M3162" s="392"/>
      <c r="N3162" s="392">
        <f t="shared" si="125"/>
        <v>104.7557523505392</v>
      </c>
    </row>
    <row r="3163" spans="1:14" hidden="1" outlineLevel="2" x14ac:dyDescent="0.35">
      <c r="A3163" s="388" t="s">
        <v>6494</v>
      </c>
      <c r="B3163" s="389">
        <v>44467</v>
      </c>
      <c r="C3163" s="390" t="s">
        <v>4570</v>
      </c>
      <c r="D3163" s="391" t="s">
        <v>4602</v>
      </c>
      <c r="E3163" s="391" t="s">
        <v>4272</v>
      </c>
      <c r="F3163" s="392">
        <v>28153.153000000006</v>
      </c>
      <c r="G3163" s="393" t="s">
        <v>3800</v>
      </c>
      <c r="H3163" s="394">
        <v>10.47557523505392</v>
      </c>
      <c r="I3163" s="394"/>
      <c r="J3163" s="392"/>
      <c r="K3163" s="392"/>
      <c r="L3163" s="392"/>
      <c r="M3163" s="392"/>
      <c r="N3163" s="392">
        <f t="shared" si="125"/>
        <v>10.47557523505392</v>
      </c>
    </row>
    <row r="3164" spans="1:14" hidden="1" outlineLevel="2" x14ac:dyDescent="0.35">
      <c r="A3164" s="388" t="s">
        <v>6494</v>
      </c>
      <c r="B3164" s="389">
        <v>44467</v>
      </c>
      <c r="C3164" s="390" t="s">
        <v>4572</v>
      </c>
      <c r="D3164" s="391" t="s">
        <v>4603</v>
      </c>
      <c r="E3164" s="391" t="s">
        <v>4042</v>
      </c>
      <c r="F3164" s="392">
        <v>1689.1891800000003</v>
      </c>
      <c r="G3164" s="393" t="s">
        <v>3800</v>
      </c>
      <c r="H3164" s="394">
        <v>0.62853451410323524</v>
      </c>
      <c r="I3164" s="394"/>
      <c r="J3164" s="392"/>
      <c r="K3164" s="392"/>
      <c r="L3164" s="392"/>
      <c r="M3164" s="392"/>
      <c r="N3164" s="392">
        <f t="shared" si="125"/>
        <v>0.62853451410323524</v>
      </c>
    </row>
    <row r="3165" spans="1:14" hidden="1" outlineLevel="2" x14ac:dyDescent="0.35">
      <c r="A3165" s="388" t="s">
        <v>6494</v>
      </c>
      <c r="B3165" s="389">
        <v>44467</v>
      </c>
      <c r="C3165" s="390" t="s">
        <v>4568</v>
      </c>
      <c r="D3165" s="391" t="s">
        <v>4569</v>
      </c>
      <c r="E3165" s="391" t="s">
        <v>6498</v>
      </c>
      <c r="F3165" s="392">
        <v>281531.53000000003</v>
      </c>
      <c r="G3165" s="393" t="s">
        <v>3800</v>
      </c>
      <c r="H3165" s="394">
        <v>104.7557523505392</v>
      </c>
      <c r="I3165" s="394"/>
      <c r="J3165" s="392"/>
      <c r="K3165" s="392"/>
      <c r="L3165" s="392"/>
      <c r="M3165" s="392"/>
      <c r="N3165" s="392">
        <f t="shared" si="125"/>
        <v>104.7557523505392</v>
      </c>
    </row>
    <row r="3166" spans="1:14" hidden="1" outlineLevel="2" x14ac:dyDescent="0.35">
      <c r="A3166" s="388" t="s">
        <v>6494</v>
      </c>
      <c r="B3166" s="389">
        <v>44467</v>
      </c>
      <c r="C3166" s="390" t="s">
        <v>4570</v>
      </c>
      <c r="D3166" s="391" t="s">
        <v>4602</v>
      </c>
      <c r="E3166" s="391" t="s">
        <v>4272</v>
      </c>
      <c r="F3166" s="392">
        <v>28153.153000000006</v>
      </c>
      <c r="G3166" s="393" t="s">
        <v>3800</v>
      </c>
      <c r="H3166" s="394">
        <v>10.47557523505392</v>
      </c>
      <c r="I3166" s="394"/>
      <c r="J3166" s="392"/>
      <c r="K3166" s="392"/>
      <c r="L3166" s="392"/>
      <c r="M3166" s="392"/>
      <c r="N3166" s="392">
        <f t="shared" si="125"/>
        <v>10.47557523505392</v>
      </c>
    </row>
    <row r="3167" spans="1:14" hidden="1" outlineLevel="2" x14ac:dyDescent="0.35">
      <c r="A3167" s="388" t="s">
        <v>6494</v>
      </c>
      <c r="B3167" s="389">
        <v>44467</v>
      </c>
      <c r="C3167" s="390" t="s">
        <v>4572</v>
      </c>
      <c r="D3167" s="391" t="s">
        <v>4603</v>
      </c>
      <c r="E3167" s="391" t="s">
        <v>4042</v>
      </c>
      <c r="F3167" s="392">
        <v>1689.1891800000003</v>
      </c>
      <c r="G3167" s="393" t="s">
        <v>3800</v>
      </c>
      <c r="H3167" s="394">
        <v>0.62853451410323524</v>
      </c>
      <c r="I3167" s="394"/>
      <c r="J3167" s="392"/>
      <c r="K3167" s="392"/>
      <c r="L3167" s="392"/>
      <c r="M3167" s="392"/>
      <c r="N3167" s="392">
        <f t="shared" si="125"/>
        <v>0.62853451410323524</v>
      </c>
    </row>
    <row r="3168" spans="1:14" hidden="1" outlineLevel="2" x14ac:dyDescent="0.35">
      <c r="A3168" s="388" t="s">
        <v>6494</v>
      </c>
      <c r="B3168" s="389">
        <v>44497</v>
      </c>
      <c r="C3168" s="390" t="s">
        <v>4574</v>
      </c>
      <c r="D3168" s="391" t="s">
        <v>4575</v>
      </c>
      <c r="E3168" s="391" t="s">
        <v>6495</v>
      </c>
      <c r="F3168" s="392">
        <v>563063.06000000006</v>
      </c>
      <c r="G3168" s="393" t="s">
        <v>3800</v>
      </c>
      <c r="H3168" s="394">
        <v>209.51150470107839</v>
      </c>
      <c r="I3168" s="394"/>
      <c r="J3168" s="392"/>
      <c r="K3168" s="392"/>
      <c r="L3168" s="392"/>
      <c r="M3168" s="392"/>
      <c r="N3168" s="392">
        <f t="shared" si="125"/>
        <v>209.51150470107839</v>
      </c>
    </row>
    <row r="3169" spans="1:14" hidden="1" outlineLevel="2" x14ac:dyDescent="0.35">
      <c r="A3169" s="388" t="s">
        <v>6494</v>
      </c>
      <c r="B3169" s="389">
        <v>44497</v>
      </c>
      <c r="C3169" s="390" t="s">
        <v>4576</v>
      </c>
      <c r="D3169" s="391" t="s">
        <v>4604</v>
      </c>
      <c r="E3169" s="391" t="s">
        <v>4272</v>
      </c>
      <c r="F3169" s="392">
        <v>56306.306000000011</v>
      </c>
      <c r="G3169" s="393" t="s">
        <v>3800</v>
      </c>
      <c r="H3169" s="394">
        <v>20.951150470107841</v>
      </c>
      <c r="I3169" s="394"/>
      <c r="J3169" s="392"/>
      <c r="K3169" s="392"/>
      <c r="L3169" s="392"/>
      <c r="M3169" s="392"/>
      <c r="N3169" s="392">
        <f t="shared" si="125"/>
        <v>20.951150470107841</v>
      </c>
    </row>
    <row r="3170" spans="1:14" hidden="1" outlineLevel="2" x14ac:dyDescent="0.35">
      <c r="A3170" s="388" t="s">
        <v>6494</v>
      </c>
      <c r="B3170" s="389">
        <v>44497</v>
      </c>
      <c r="C3170" s="390" t="s">
        <v>4578</v>
      </c>
      <c r="D3170" s="391" t="s">
        <v>4605</v>
      </c>
      <c r="E3170" s="391" t="s">
        <v>4042</v>
      </c>
      <c r="F3170" s="392">
        <v>3378.3783600000006</v>
      </c>
      <c r="G3170" s="393" t="s">
        <v>3800</v>
      </c>
      <c r="H3170" s="394">
        <v>1.2570690282064705</v>
      </c>
      <c r="I3170" s="394"/>
      <c r="J3170" s="392"/>
      <c r="K3170" s="392"/>
      <c r="L3170" s="392"/>
      <c r="M3170" s="392"/>
      <c r="N3170" s="392">
        <f t="shared" si="125"/>
        <v>1.2570690282064705</v>
      </c>
    </row>
    <row r="3171" spans="1:14" hidden="1" outlineLevel="2" x14ac:dyDescent="0.35">
      <c r="A3171" s="388" t="s">
        <v>6494</v>
      </c>
      <c r="B3171" s="389">
        <v>44497</v>
      </c>
      <c r="C3171" s="390" t="s">
        <v>4574</v>
      </c>
      <c r="D3171" s="391" t="s">
        <v>4575</v>
      </c>
      <c r="E3171" s="391" t="s">
        <v>6496</v>
      </c>
      <c r="F3171" s="392">
        <v>563063.06000000006</v>
      </c>
      <c r="G3171" s="393" t="s">
        <v>3800</v>
      </c>
      <c r="H3171" s="394">
        <v>209.51150470107839</v>
      </c>
      <c r="I3171" s="394"/>
      <c r="J3171" s="392"/>
      <c r="K3171" s="392"/>
      <c r="L3171" s="392"/>
      <c r="M3171" s="392"/>
      <c r="N3171" s="392">
        <f t="shared" si="125"/>
        <v>209.51150470107839</v>
      </c>
    </row>
    <row r="3172" spans="1:14" hidden="1" outlineLevel="2" x14ac:dyDescent="0.35">
      <c r="A3172" s="388" t="s">
        <v>6494</v>
      </c>
      <c r="B3172" s="389">
        <v>44497</v>
      </c>
      <c r="C3172" s="390" t="s">
        <v>4576</v>
      </c>
      <c r="D3172" s="391" t="s">
        <v>4604</v>
      </c>
      <c r="E3172" s="391" t="s">
        <v>4272</v>
      </c>
      <c r="F3172" s="392">
        <v>56306.306000000011</v>
      </c>
      <c r="G3172" s="393" t="s">
        <v>3800</v>
      </c>
      <c r="H3172" s="394">
        <v>20.951150470107841</v>
      </c>
      <c r="I3172" s="394"/>
      <c r="J3172" s="392"/>
      <c r="K3172" s="392"/>
      <c r="L3172" s="392"/>
      <c r="M3172" s="392"/>
      <c r="N3172" s="392">
        <f t="shared" si="125"/>
        <v>20.951150470107841</v>
      </c>
    </row>
    <row r="3173" spans="1:14" hidden="1" outlineLevel="2" x14ac:dyDescent="0.35">
      <c r="A3173" s="388" t="s">
        <v>6494</v>
      </c>
      <c r="B3173" s="389">
        <v>44497</v>
      </c>
      <c r="C3173" s="390" t="s">
        <v>4578</v>
      </c>
      <c r="D3173" s="391" t="s">
        <v>4605</v>
      </c>
      <c r="E3173" s="391" t="s">
        <v>4042</v>
      </c>
      <c r="F3173" s="392">
        <v>3378.3783600000006</v>
      </c>
      <c r="G3173" s="393" t="s">
        <v>3800</v>
      </c>
      <c r="H3173" s="394">
        <v>1.2570690282064705</v>
      </c>
      <c r="I3173" s="394"/>
      <c r="J3173" s="392"/>
      <c r="K3173" s="392"/>
      <c r="L3173" s="392"/>
      <c r="M3173" s="392"/>
      <c r="N3173" s="392">
        <f t="shared" si="125"/>
        <v>1.2570690282064705</v>
      </c>
    </row>
    <row r="3174" spans="1:14" hidden="1" outlineLevel="2" x14ac:dyDescent="0.35">
      <c r="A3174" s="388" t="s">
        <v>6494</v>
      </c>
      <c r="B3174" s="389">
        <v>44497</v>
      </c>
      <c r="C3174" s="390" t="s">
        <v>4574</v>
      </c>
      <c r="D3174" s="391" t="s">
        <v>4575</v>
      </c>
      <c r="E3174" s="391" t="s">
        <v>6497</v>
      </c>
      <c r="F3174" s="392">
        <v>563063.06000000006</v>
      </c>
      <c r="G3174" s="393" t="s">
        <v>3800</v>
      </c>
      <c r="H3174" s="394">
        <v>209.51150470107839</v>
      </c>
      <c r="I3174" s="394"/>
      <c r="J3174" s="392"/>
      <c r="K3174" s="392"/>
      <c r="L3174" s="392"/>
      <c r="M3174" s="392"/>
      <c r="N3174" s="392">
        <f t="shared" si="125"/>
        <v>209.51150470107839</v>
      </c>
    </row>
    <row r="3175" spans="1:14" hidden="1" outlineLevel="2" x14ac:dyDescent="0.35">
      <c r="A3175" s="388" t="s">
        <v>6494</v>
      </c>
      <c r="B3175" s="389">
        <v>44497</v>
      </c>
      <c r="C3175" s="390" t="s">
        <v>4576</v>
      </c>
      <c r="D3175" s="391" t="s">
        <v>4604</v>
      </c>
      <c r="E3175" s="391" t="s">
        <v>4272</v>
      </c>
      <c r="F3175" s="392">
        <v>56306.306000000011</v>
      </c>
      <c r="G3175" s="393" t="s">
        <v>3800</v>
      </c>
      <c r="H3175" s="394">
        <v>20.951150470107841</v>
      </c>
      <c r="I3175" s="394"/>
      <c r="J3175" s="392"/>
      <c r="K3175" s="392"/>
      <c r="L3175" s="392"/>
      <c r="M3175" s="392"/>
      <c r="N3175" s="392">
        <f t="shared" si="125"/>
        <v>20.951150470107841</v>
      </c>
    </row>
    <row r="3176" spans="1:14" hidden="1" outlineLevel="2" x14ac:dyDescent="0.35">
      <c r="A3176" s="388" t="s">
        <v>6494</v>
      </c>
      <c r="B3176" s="389">
        <v>44497</v>
      </c>
      <c r="C3176" s="390" t="s">
        <v>4578</v>
      </c>
      <c r="D3176" s="391" t="s">
        <v>4605</v>
      </c>
      <c r="E3176" s="391" t="s">
        <v>4042</v>
      </c>
      <c r="F3176" s="392">
        <v>3378.3783600000006</v>
      </c>
      <c r="G3176" s="393" t="s">
        <v>3800</v>
      </c>
      <c r="H3176" s="394">
        <v>1.2570690282064705</v>
      </c>
      <c r="I3176" s="394"/>
      <c r="J3176" s="392"/>
      <c r="K3176" s="392"/>
      <c r="L3176" s="392"/>
      <c r="M3176" s="392"/>
      <c r="N3176" s="392">
        <f t="shared" si="125"/>
        <v>1.2570690282064705</v>
      </c>
    </row>
    <row r="3177" spans="1:14" hidden="1" outlineLevel="2" x14ac:dyDescent="0.35">
      <c r="A3177" s="388" t="s">
        <v>6494</v>
      </c>
      <c r="B3177" s="389">
        <v>44497</v>
      </c>
      <c r="C3177" s="390" t="s">
        <v>4574</v>
      </c>
      <c r="D3177" s="391" t="s">
        <v>4575</v>
      </c>
      <c r="E3177" s="391" t="s">
        <v>6498</v>
      </c>
      <c r="F3177" s="392">
        <v>563063.06000000006</v>
      </c>
      <c r="G3177" s="393" t="s">
        <v>3800</v>
      </c>
      <c r="H3177" s="394">
        <v>209.51150470107839</v>
      </c>
      <c r="I3177" s="394"/>
      <c r="J3177" s="392"/>
      <c r="K3177" s="392"/>
      <c r="L3177" s="392"/>
      <c r="M3177" s="392"/>
      <c r="N3177" s="392">
        <f t="shared" si="125"/>
        <v>209.51150470107839</v>
      </c>
    </row>
    <row r="3178" spans="1:14" hidden="1" outlineLevel="2" x14ac:dyDescent="0.35">
      <c r="A3178" s="388" t="s">
        <v>6494</v>
      </c>
      <c r="B3178" s="389">
        <v>44497</v>
      </c>
      <c r="C3178" s="390" t="s">
        <v>4576</v>
      </c>
      <c r="D3178" s="391" t="s">
        <v>4604</v>
      </c>
      <c r="E3178" s="391" t="s">
        <v>4272</v>
      </c>
      <c r="F3178" s="392">
        <v>56306.306000000011</v>
      </c>
      <c r="G3178" s="393" t="s">
        <v>3800</v>
      </c>
      <c r="H3178" s="394">
        <v>20.951150470107841</v>
      </c>
      <c r="I3178" s="394"/>
      <c r="J3178" s="392"/>
      <c r="K3178" s="392"/>
      <c r="L3178" s="392"/>
      <c r="M3178" s="392"/>
      <c r="N3178" s="392">
        <f t="shared" si="125"/>
        <v>20.951150470107841</v>
      </c>
    </row>
    <row r="3179" spans="1:14" hidden="1" outlineLevel="2" x14ac:dyDescent="0.35">
      <c r="A3179" s="388" t="s">
        <v>6494</v>
      </c>
      <c r="B3179" s="389">
        <v>44497</v>
      </c>
      <c r="C3179" s="390" t="s">
        <v>4578</v>
      </c>
      <c r="D3179" s="391" t="s">
        <v>4605</v>
      </c>
      <c r="E3179" s="391" t="s">
        <v>4042</v>
      </c>
      <c r="F3179" s="392">
        <v>3378.3783600000006</v>
      </c>
      <c r="G3179" s="393" t="s">
        <v>3800</v>
      </c>
      <c r="H3179" s="394">
        <v>1.2570690282064705</v>
      </c>
      <c r="I3179" s="394"/>
      <c r="J3179" s="392"/>
      <c r="K3179" s="392"/>
      <c r="L3179" s="392"/>
      <c r="M3179" s="392"/>
      <c r="N3179" s="392">
        <f t="shared" si="125"/>
        <v>1.2570690282064705</v>
      </c>
    </row>
    <row r="3180" spans="1:14" hidden="1" outlineLevel="2" x14ac:dyDescent="0.35">
      <c r="A3180" s="388" t="s">
        <v>6494</v>
      </c>
      <c r="B3180" s="389">
        <v>44525</v>
      </c>
      <c r="C3180" s="390" t="s">
        <v>4574</v>
      </c>
      <c r="D3180" s="391" t="s">
        <v>4608</v>
      </c>
      <c r="E3180" s="391" t="s">
        <v>6495</v>
      </c>
      <c r="F3180" s="392">
        <v>563063.06000000006</v>
      </c>
      <c r="G3180" s="393" t="s">
        <v>3800</v>
      </c>
      <c r="H3180" s="394">
        <v>209.51150470107839</v>
      </c>
      <c r="I3180" s="394"/>
      <c r="J3180" s="392"/>
      <c r="K3180" s="392"/>
      <c r="L3180" s="392"/>
      <c r="M3180" s="392"/>
      <c r="N3180" s="392">
        <f t="shared" si="125"/>
        <v>209.51150470107839</v>
      </c>
    </row>
    <row r="3181" spans="1:14" hidden="1" outlineLevel="2" x14ac:dyDescent="0.35">
      <c r="A3181" s="388" t="s">
        <v>6494</v>
      </c>
      <c r="B3181" s="389">
        <v>44525</v>
      </c>
      <c r="C3181" s="390" t="s">
        <v>4576</v>
      </c>
      <c r="D3181" s="391" t="s">
        <v>4609</v>
      </c>
      <c r="E3181" s="391" t="s">
        <v>4272</v>
      </c>
      <c r="F3181" s="392">
        <v>56306.306000000011</v>
      </c>
      <c r="G3181" s="393" t="s">
        <v>3800</v>
      </c>
      <c r="H3181" s="394">
        <v>20.951150470107841</v>
      </c>
      <c r="I3181" s="394"/>
      <c r="J3181" s="392"/>
      <c r="K3181" s="392"/>
      <c r="L3181" s="392"/>
      <c r="M3181" s="392"/>
      <c r="N3181" s="392">
        <f t="shared" si="125"/>
        <v>20.951150470107841</v>
      </c>
    </row>
    <row r="3182" spans="1:14" hidden="1" outlineLevel="2" x14ac:dyDescent="0.35">
      <c r="A3182" s="388" t="s">
        <v>6494</v>
      </c>
      <c r="B3182" s="389">
        <v>44525</v>
      </c>
      <c r="C3182" s="390" t="s">
        <v>4578</v>
      </c>
      <c r="D3182" s="391" t="s">
        <v>4610</v>
      </c>
      <c r="E3182" s="391" t="s">
        <v>4042</v>
      </c>
      <c r="F3182" s="392">
        <v>3378.3783600000006</v>
      </c>
      <c r="G3182" s="393" t="s">
        <v>3800</v>
      </c>
      <c r="H3182" s="394">
        <v>1.2570690282064705</v>
      </c>
      <c r="I3182" s="394"/>
      <c r="J3182" s="392"/>
      <c r="K3182" s="392"/>
      <c r="L3182" s="392"/>
      <c r="M3182" s="392"/>
      <c r="N3182" s="392">
        <f t="shared" si="125"/>
        <v>1.2570690282064705</v>
      </c>
    </row>
    <row r="3183" spans="1:14" hidden="1" outlineLevel="2" x14ac:dyDescent="0.35">
      <c r="A3183" s="388" t="s">
        <v>6494</v>
      </c>
      <c r="B3183" s="389">
        <v>44525</v>
      </c>
      <c r="C3183" s="390" t="s">
        <v>4574</v>
      </c>
      <c r="D3183" s="391" t="s">
        <v>4608</v>
      </c>
      <c r="E3183" s="391" t="s">
        <v>6496</v>
      </c>
      <c r="F3183" s="392">
        <v>563063.06000000006</v>
      </c>
      <c r="G3183" s="393" t="s">
        <v>3800</v>
      </c>
      <c r="H3183" s="394">
        <v>209.51150470107839</v>
      </c>
      <c r="I3183" s="394"/>
      <c r="J3183" s="392"/>
      <c r="K3183" s="392"/>
      <c r="L3183" s="392"/>
      <c r="M3183" s="392"/>
      <c r="N3183" s="392">
        <f t="shared" si="125"/>
        <v>209.51150470107839</v>
      </c>
    </row>
    <row r="3184" spans="1:14" hidden="1" outlineLevel="2" x14ac:dyDescent="0.35">
      <c r="A3184" s="388" t="s">
        <v>6494</v>
      </c>
      <c r="B3184" s="389">
        <v>44525</v>
      </c>
      <c r="C3184" s="390" t="s">
        <v>4576</v>
      </c>
      <c r="D3184" s="391" t="s">
        <v>4609</v>
      </c>
      <c r="E3184" s="391" t="s">
        <v>4272</v>
      </c>
      <c r="F3184" s="392">
        <v>56306.306000000011</v>
      </c>
      <c r="G3184" s="393" t="s">
        <v>3800</v>
      </c>
      <c r="H3184" s="394">
        <v>20.951150470107841</v>
      </c>
      <c r="I3184" s="394"/>
      <c r="J3184" s="392"/>
      <c r="K3184" s="392"/>
      <c r="L3184" s="392"/>
      <c r="M3184" s="392"/>
      <c r="N3184" s="392">
        <f t="shared" si="125"/>
        <v>20.951150470107841</v>
      </c>
    </row>
    <row r="3185" spans="1:14" hidden="1" outlineLevel="2" x14ac:dyDescent="0.35">
      <c r="A3185" s="388" t="s">
        <v>6494</v>
      </c>
      <c r="B3185" s="389">
        <v>44525</v>
      </c>
      <c r="C3185" s="390" t="s">
        <v>4578</v>
      </c>
      <c r="D3185" s="391" t="s">
        <v>4610</v>
      </c>
      <c r="E3185" s="391" t="s">
        <v>4042</v>
      </c>
      <c r="F3185" s="392">
        <v>3378.3783600000006</v>
      </c>
      <c r="G3185" s="393" t="s">
        <v>3800</v>
      </c>
      <c r="H3185" s="394">
        <v>1.2570690282064705</v>
      </c>
      <c r="I3185" s="394"/>
      <c r="J3185" s="392"/>
      <c r="K3185" s="392"/>
      <c r="L3185" s="392"/>
      <c r="M3185" s="392"/>
      <c r="N3185" s="392">
        <f t="shared" si="125"/>
        <v>1.2570690282064705</v>
      </c>
    </row>
    <row r="3186" spans="1:14" hidden="1" outlineLevel="2" x14ac:dyDescent="0.35">
      <c r="A3186" s="388" t="s">
        <v>6494</v>
      </c>
      <c r="B3186" s="389">
        <v>44525</v>
      </c>
      <c r="C3186" s="390" t="s">
        <v>4574</v>
      </c>
      <c r="D3186" s="391" t="s">
        <v>4608</v>
      </c>
      <c r="E3186" s="391" t="s">
        <v>6497</v>
      </c>
      <c r="F3186" s="392">
        <v>563063.06000000006</v>
      </c>
      <c r="G3186" s="393" t="s">
        <v>3800</v>
      </c>
      <c r="H3186" s="394">
        <v>209.51150470107839</v>
      </c>
      <c r="I3186" s="394"/>
      <c r="J3186" s="392"/>
      <c r="K3186" s="392"/>
      <c r="L3186" s="392"/>
      <c r="M3186" s="392"/>
      <c r="N3186" s="392">
        <f t="shared" si="125"/>
        <v>209.51150470107839</v>
      </c>
    </row>
    <row r="3187" spans="1:14" hidden="1" outlineLevel="2" x14ac:dyDescent="0.35">
      <c r="A3187" s="388" t="s">
        <v>6494</v>
      </c>
      <c r="B3187" s="389">
        <v>44525</v>
      </c>
      <c r="C3187" s="390" t="s">
        <v>4576</v>
      </c>
      <c r="D3187" s="391" t="s">
        <v>4609</v>
      </c>
      <c r="E3187" s="391" t="s">
        <v>4272</v>
      </c>
      <c r="F3187" s="392">
        <v>56306.306000000011</v>
      </c>
      <c r="G3187" s="393" t="s">
        <v>3800</v>
      </c>
      <c r="H3187" s="394">
        <v>20.951150470107841</v>
      </c>
      <c r="I3187" s="394"/>
      <c r="J3187" s="392"/>
      <c r="K3187" s="392"/>
      <c r="L3187" s="392"/>
      <c r="M3187" s="392"/>
      <c r="N3187" s="392">
        <f t="shared" si="125"/>
        <v>20.951150470107841</v>
      </c>
    </row>
    <row r="3188" spans="1:14" hidden="1" outlineLevel="2" x14ac:dyDescent="0.35">
      <c r="A3188" s="388" t="s">
        <v>6494</v>
      </c>
      <c r="B3188" s="389">
        <v>44525</v>
      </c>
      <c r="C3188" s="390" t="s">
        <v>4578</v>
      </c>
      <c r="D3188" s="391" t="s">
        <v>4610</v>
      </c>
      <c r="E3188" s="391" t="s">
        <v>4042</v>
      </c>
      <c r="F3188" s="392">
        <v>3378.3783600000006</v>
      </c>
      <c r="G3188" s="393" t="s">
        <v>3800</v>
      </c>
      <c r="H3188" s="394">
        <v>1.2570690282064705</v>
      </c>
      <c r="I3188" s="394"/>
      <c r="J3188" s="392"/>
      <c r="K3188" s="392"/>
      <c r="L3188" s="392"/>
      <c r="M3188" s="392"/>
      <c r="N3188" s="392">
        <f t="shared" si="125"/>
        <v>1.2570690282064705</v>
      </c>
    </row>
    <row r="3189" spans="1:14" hidden="1" outlineLevel="2" x14ac:dyDescent="0.35">
      <c r="A3189" s="388" t="s">
        <v>6494</v>
      </c>
      <c r="B3189" s="389">
        <v>44525</v>
      </c>
      <c r="C3189" s="390" t="s">
        <v>4574</v>
      </c>
      <c r="D3189" s="391" t="s">
        <v>4608</v>
      </c>
      <c r="E3189" s="391" t="s">
        <v>6498</v>
      </c>
      <c r="F3189" s="392">
        <v>563063.06000000006</v>
      </c>
      <c r="G3189" s="393" t="s">
        <v>3800</v>
      </c>
      <c r="H3189" s="394">
        <v>209.51150470107839</v>
      </c>
      <c r="I3189" s="394"/>
      <c r="J3189" s="392"/>
      <c r="K3189" s="392"/>
      <c r="L3189" s="392"/>
      <c r="M3189" s="392"/>
      <c r="N3189" s="392">
        <f t="shared" si="125"/>
        <v>209.51150470107839</v>
      </c>
    </row>
    <row r="3190" spans="1:14" hidden="1" outlineLevel="2" x14ac:dyDescent="0.35">
      <c r="A3190" s="388" t="s">
        <v>6494</v>
      </c>
      <c r="B3190" s="389">
        <v>44525</v>
      </c>
      <c r="C3190" s="390" t="s">
        <v>4576</v>
      </c>
      <c r="D3190" s="391" t="s">
        <v>4609</v>
      </c>
      <c r="E3190" s="391" t="s">
        <v>4272</v>
      </c>
      <c r="F3190" s="392">
        <v>56306.306000000011</v>
      </c>
      <c r="G3190" s="393" t="s">
        <v>3800</v>
      </c>
      <c r="H3190" s="394">
        <v>20.951150470107841</v>
      </c>
      <c r="I3190" s="394"/>
      <c r="J3190" s="392"/>
      <c r="K3190" s="392"/>
      <c r="L3190" s="392"/>
      <c r="M3190" s="392"/>
      <c r="N3190" s="392">
        <f t="shared" si="125"/>
        <v>20.951150470107841</v>
      </c>
    </row>
    <row r="3191" spans="1:14" hidden="1" outlineLevel="2" x14ac:dyDescent="0.35">
      <c r="A3191" s="388" t="s">
        <v>6494</v>
      </c>
      <c r="B3191" s="389">
        <v>44525</v>
      </c>
      <c r="C3191" s="390" t="s">
        <v>4578</v>
      </c>
      <c r="D3191" s="391" t="s">
        <v>4610</v>
      </c>
      <c r="E3191" s="391" t="s">
        <v>4042</v>
      </c>
      <c r="F3191" s="392">
        <v>3378.3783600000006</v>
      </c>
      <c r="G3191" s="393" t="s">
        <v>3800</v>
      </c>
      <c r="H3191" s="394">
        <v>1.2570690282064705</v>
      </c>
      <c r="I3191" s="394"/>
      <c r="J3191" s="392"/>
      <c r="K3191" s="392"/>
      <c r="L3191" s="392"/>
      <c r="M3191" s="392"/>
      <c r="N3191" s="392">
        <f t="shared" si="125"/>
        <v>1.2570690282064705</v>
      </c>
    </row>
    <row r="3192" spans="1:14" hidden="1" outlineLevel="2" x14ac:dyDescent="0.35">
      <c r="A3192" s="388" t="s">
        <v>6494</v>
      </c>
      <c r="B3192" s="389">
        <v>44547</v>
      </c>
      <c r="C3192" s="390" t="s">
        <v>4586</v>
      </c>
      <c r="D3192" s="391" t="s">
        <v>4611</v>
      </c>
      <c r="E3192" s="391" t="s">
        <v>6495</v>
      </c>
      <c r="F3192" s="392">
        <v>563063.06000000006</v>
      </c>
      <c r="G3192" s="393" t="s">
        <v>3800</v>
      </c>
      <c r="H3192" s="394">
        <v>209.51150470107839</v>
      </c>
      <c r="I3192" s="394"/>
      <c r="J3192" s="392"/>
      <c r="K3192" s="392"/>
      <c r="L3192" s="392"/>
      <c r="M3192" s="392"/>
      <c r="N3192" s="392">
        <f t="shared" si="125"/>
        <v>209.51150470107839</v>
      </c>
    </row>
    <row r="3193" spans="1:14" hidden="1" outlineLevel="2" x14ac:dyDescent="0.35">
      <c r="A3193" s="388" t="s">
        <v>6494</v>
      </c>
      <c r="B3193" s="389">
        <v>44547</v>
      </c>
      <c r="C3193" s="390" t="s">
        <v>4588</v>
      </c>
      <c r="D3193" s="391" t="s">
        <v>6499</v>
      </c>
      <c r="E3193" s="391" t="s">
        <v>4272</v>
      </c>
      <c r="F3193" s="392">
        <v>56306.306000000011</v>
      </c>
      <c r="G3193" s="393" t="s">
        <v>3800</v>
      </c>
      <c r="H3193" s="394">
        <v>20.951150470107841</v>
      </c>
      <c r="I3193" s="394"/>
      <c r="J3193" s="392"/>
      <c r="K3193" s="392"/>
      <c r="L3193" s="392"/>
      <c r="M3193" s="392"/>
      <c r="N3193" s="392">
        <f t="shared" si="125"/>
        <v>20.951150470107841</v>
      </c>
    </row>
    <row r="3194" spans="1:14" hidden="1" outlineLevel="2" x14ac:dyDescent="0.35">
      <c r="A3194" s="388" t="s">
        <v>6494</v>
      </c>
      <c r="B3194" s="389">
        <v>44547</v>
      </c>
      <c r="C3194" s="390" t="s">
        <v>4590</v>
      </c>
      <c r="D3194" s="391" t="s">
        <v>4613</v>
      </c>
      <c r="E3194" s="391" t="s">
        <v>4042</v>
      </c>
      <c r="F3194" s="392">
        <v>3378.3783600000006</v>
      </c>
      <c r="G3194" s="393" t="s">
        <v>3800</v>
      </c>
      <c r="H3194" s="394">
        <v>1.2570690282064705</v>
      </c>
      <c r="I3194" s="394"/>
      <c r="J3194" s="392"/>
      <c r="K3194" s="392"/>
      <c r="L3194" s="392"/>
      <c r="M3194" s="392"/>
      <c r="N3194" s="392">
        <f t="shared" si="125"/>
        <v>1.2570690282064705</v>
      </c>
    </row>
    <row r="3195" spans="1:14" hidden="1" outlineLevel="2" x14ac:dyDescent="0.35">
      <c r="A3195" s="388" t="s">
        <v>6494</v>
      </c>
      <c r="B3195" s="389">
        <v>44547</v>
      </c>
      <c r="C3195" s="390" t="s">
        <v>4586</v>
      </c>
      <c r="D3195" s="391" t="s">
        <v>4611</v>
      </c>
      <c r="E3195" s="391" t="s">
        <v>6496</v>
      </c>
      <c r="F3195" s="392">
        <v>563063.06000000006</v>
      </c>
      <c r="G3195" s="393" t="s">
        <v>3800</v>
      </c>
      <c r="H3195" s="394">
        <v>209.51150470107839</v>
      </c>
      <c r="I3195" s="394"/>
      <c r="J3195" s="392"/>
      <c r="K3195" s="392"/>
      <c r="L3195" s="392"/>
      <c r="M3195" s="392"/>
      <c r="N3195" s="392">
        <f t="shared" si="125"/>
        <v>209.51150470107839</v>
      </c>
    </row>
    <row r="3196" spans="1:14" hidden="1" outlineLevel="2" x14ac:dyDescent="0.35">
      <c r="A3196" s="388" t="s">
        <v>6494</v>
      </c>
      <c r="B3196" s="389">
        <v>44547</v>
      </c>
      <c r="C3196" s="390" t="s">
        <v>4588</v>
      </c>
      <c r="D3196" s="391" t="s">
        <v>4612</v>
      </c>
      <c r="E3196" s="391" t="s">
        <v>4272</v>
      </c>
      <c r="F3196" s="392">
        <v>56306.306000000011</v>
      </c>
      <c r="G3196" s="393" t="s">
        <v>3800</v>
      </c>
      <c r="H3196" s="394">
        <v>20.951150470107841</v>
      </c>
      <c r="I3196" s="394"/>
      <c r="J3196" s="392"/>
      <c r="K3196" s="392"/>
      <c r="L3196" s="392"/>
      <c r="M3196" s="392"/>
      <c r="N3196" s="392">
        <f t="shared" si="125"/>
        <v>20.951150470107841</v>
      </c>
    </row>
    <row r="3197" spans="1:14" hidden="1" outlineLevel="2" x14ac:dyDescent="0.35">
      <c r="A3197" s="388" t="s">
        <v>6494</v>
      </c>
      <c r="B3197" s="389">
        <v>44547</v>
      </c>
      <c r="C3197" s="390" t="s">
        <v>4590</v>
      </c>
      <c r="D3197" s="391" t="s">
        <v>4613</v>
      </c>
      <c r="E3197" s="391" t="s">
        <v>4042</v>
      </c>
      <c r="F3197" s="392">
        <v>3378.3783600000006</v>
      </c>
      <c r="G3197" s="393" t="s">
        <v>3800</v>
      </c>
      <c r="H3197" s="394">
        <v>1.2570690282064705</v>
      </c>
      <c r="I3197" s="394"/>
      <c r="J3197" s="392"/>
      <c r="K3197" s="392"/>
      <c r="L3197" s="392"/>
      <c r="M3197" s="392"/>
      <c r="N3197" s="392">
        <f t="shared" si="125"/>
        <v>1.2570690282064705</v>
      </c>
    </row>
    <row r="3198" spans="1:14" hidden="1" outlineLevel="2" x14ac:dyDescent="0.35">
      <c r="A3198" s="388" t="s">
        <v>6494</v>
      </c>
      <c r="B3198" s="389">
        <v>44547</v>
      </c>
      <c r="C3198" s="390" t="s">
        <v>4586</v>
      </c>
      <c r="D3198" s="391" t="s">
        <v>4611</v>
      </c>
      <c r="E3198" s="391" t="s">
        <v>6497</v>
      </c>
      <c r="F3198" s="392">
        <v>563063.06000000006</v>
      </c>
      <c r="G3198" s="393" t="s">
        <v>3800</v>
      </c>
      <c r="H3198" s="394">
        <v>209.51150470107839</v>
      </c>
      <c r="I3198" s="394"/>
      <c r="J3198" s="392"/>
      <c r="K3198" s="392"/>
      <c r="L3198" s="392"/>
      <c r="M3198" s="392"/>
      <c r="N3198" s="392">
        <f t="shared" si="125"/>
        <v>209.51150470107839</v>
      </c>
    </row>
    <row r="3199" spans="1:14" hidden="1" outlineLevel="2" x14ac:dyDescent="0.35">
      <c r="A3199" s="388" t="s">
        <v>6494</v>
      </c>
      <c r="B3199" s="389">
        <v>44547</v>
      </c>
      <c r="C3199" s="390" t="s">
        <v>4588</v>
      </c>
      <c r="D3199" s="391" t="s">
        <v>4612</v>
      </c>
      <c r="E3199" s="391" t="s">
        <v>4272</v>
      </c>
      <c r="F3199" s="392">
        <v>56306.306000000011</v>
      </c>
      <c r="G3199" s="393" t="s">
        <v>3800</v>
      </c>
      <c r="H3199" s="394">
        <v>20.951150470107841</v>
      </c>
      <c r="I3199" s="394"/>
      <c r="J3199" s="392"/>
      <c r="K3199" s="392"/>
      <c r="L3199" s="392"/>
      <c r="M3199" s="392"/>
      <c r="N3199" s="392">
        <f t="shared" si="125"/>
        <v>20.951150470107841</v>
      </c>
    </row>
    <row r="3200" spans="1:14" hidden="1" outlineLevel="2" x14ac:dyDescent="0.35">
      <c r="A3200" s="388" t="s">
        <v>6494</v>
      </c>
      <c r="B3200" s="389">
        <v>44547</v>
      </c>
      <c r="C3200" s="390" t="s">
        <v>4590</v>
      </c>
      <c r="D3200" s="391" t="s">
        <v>4613</v>
      </c>
      <c r="E3200" s="391" t="s">
        <v>4042</v>
      </c>
      <c r="F3200" s="392">
        <v>3378.3783600000006</v>
      </c>
      <c r="G3200" s="393" t="s">
        <v>3800</v>
      </c>
      <c r="H3200" s="394">
        <v>1.2570690282064705</v>
      </c>
      <c r="I3200" s="394"/>
      <c r="J3200" s="392"/>
      <c r="K3200" s="392"/>
      <c r="L3200" s="392"/>
      <c r="M3200" s="392"/>
      <c r="N3200" s="392">
        <f t="shared" si="125"/>
        <v>1.2570690282064705</v>
      </c>
    </row>
    <row r="3201" spans="1:14" hidden="1" outlineLevel="2" collapsed="1" x14ac:dyDescent="0.35">
      <c r="A3201" s="388" t="s">
        <v>6494</v>
      </c>
      <c r="B3201" s="389">
        <v>44547</v>
      </c>
      <c r="C3201" s="390" t="s">
        <v>4586</v>
      </c>
      <c r="D3201" s="391" t="s">
        <v>4611</v>
      </c>
      <c r="E3201" s="391" t="s">
        <v>6498</v>
      </c>
      <c r="F3201" s="392">
        <v>563063.06000000006</v>
      </c>
      <c r="G3201" s="393" t="s">
        <v>3800</v>
      </c>
      <c r="H3201" s="394">
        <v>209.51150470107839</v>
      </c>
      <c r="I3201" s="394"/>
      <c r="J3201" s="392"/>
      <c r="K3201" s="392"/>
      <c r="L3201" s="392"/>
      <c r="M3201" s="392"/>
      <c r="N3201" s="392">
        <f t="shared" si="125"/>
        <v>209.51150470107839</v>
      </c>
    </row>
    <row r="3202" spans="1:14" hidden="1" outlineLevel="2" x14ac:dyDescent="0.35">
      <c r="A3202" s="388" t="s">
        <v>6494</v>
      </c>
      <c r="B3202" s="389">
        <v>44547</v>
      </c>
      <c r="C3202" s="390" t="s">
        <v>4588</v>
      </c>
      <c r="D3202" s="391" t="s">
        <v>4612</v>
      </c>
      <c r="E3202" s="391" t="s">
        <v>4272</v>
      </c>
      <c r="F3202" s="392">
        <v>56306.306000000011</v>
      </c>
      <c r="G3202" s="393" t="s">
        <v>3800</v>
      </c>
      <c r="H3202" s="394">
        <v>20.951150470107841</v>
      </c>
      <c r="I3202" s="394"/>
      <c r="J3202" s="392"/>
      <c r="K3202" s="392"/>
      <c r="L3202" s="392"/>
      <c r="M3202" s="392"/>
      <c r="N3202" s="392">
        <f t="shared" si="125"/>
        <v>20.951150470107841</v>
      </c>
    </row>
    <row r="3203" spans="1:14" hidden="1" outlineLevel="2" x14ac:dyDescent="0.35">
      <c r="A3203" s="388" t="s">
        <v>6494</v>
      </c>
      <c r="B3203" s="389">
        <v>44547</v>
      </c>
      <c r="C3203" s="390" t="s">
        <v>4590</v>
      </c>
      <c r="D3203" s="391" t="s">
        <v>4613</v>
      </c>
      <c r="E3203" s="391" t="s">
        <v>4042</v>
      </c>
      <c r="F3203" s="392">
        <v>3378.3783600000006</v>
      </c>
      <c r="G3203" s="393" t="s">
        <v>3800</v>
      </c>
      <c r="H3203" s="394">
        <v>1.2570690282064705</v>
      </c>
      <c r="I3203" s="394"/>
      <c r="J3203" s="392"/>
      <c r="K3203" s="392"/>
      <c r="L3203" s="392"/>
      <c r="M3203" s="392"/>
      <c r="N3203" s="392">
        <f t="shared" si="125"/>
        <v>1.2570690282064705</v>
      </c>
    </row>
    <row r="3204" spans="1:14" hidden="1" outlineLevel="2" x14ac:dyDescent="0.35">
      <c r="A3204" s="388" t="s">
        <v>6494</v>
      </c>
      <c r="B3204" s="389">
        <v>44587</v>
      </c>
      <c r="C3204" s="390" t="s">
        <v>4592</v>
      </c>
      <c r="D3204" s="391" t="s">
        <v>4593</v>
      </c>
      <c r="E3204" s="391" t="s">
        <v>6495</v>
      </c>
      <c r="F3204" s="392">
        <v>563063.06000000006</v>
      </c>
      <c r="G3204" s="393" t="s">
        <v>3800</v>
      </c>
      <c r="H3204" s="394">
        <v>209.51150470107839</v>
      </c>
      <c r="I3204" s="394"/>
      <c r="J3204" s="392"/>
      <c r="K3204" s="392"/>
      <c r="L3204" s="392"/>
      <c r="M3204" s="392"/>
      <c r="N3204" s="392">
        <v>209.51150470107839</v>
      </c>
    </row>
    <row r="3205" spans="1:14" hidden="1" outlineLevel="2" x14ac:dyDescent="0.35">
      <c r="A3205" s="388" t="s">
        <v>6494</v>
      </c>
      <c r="B3205" s="389">
        <v>44587</v>
      </c>
      <c r="C3205" s="390" t="s">
        <v>4594</v>
      </c>
      <c r="D3205" s="391" t="s">
        <v>4595</v>
      </c>
      <c r="E3205" s="391" t="s">
        <v>4272</v>
      </c>
      <c r="F3205" s="392">
        <v>56306.306000000011</v>
      </c>
      <c r="G3205" s="393" t="s">
        <v>3800</v>
      </c>
      <c r="H3205" s="394">
        <v>20.951150470107841</v>
      </c>
      <c r="I3205" s="394"/>
      <c r="J3205" s="392"/>
      <c r="K3205" s="392"/>
      <c r="L3205" s="392"/>
      <c r="M3205" s="392"/>
      <c r="N3205" s="392">
        <v>20.951150470107841</v>
      </c>
    </row>
    <row r="3206" spans="1:14" hidden="1" outlineLevel="2" x14ac:dyDescent="0.35">
      <c r="A3206" s="388" t="s">
        <v>6494</v>
      </c>
      <c r="B3206" s="389">
        <v>44587</v>
      </c>
      <c r="C3206" s="390" t="s">
        <v>4596</v>
      </c>
      <c r="D3206" s="391" t="s">
        <v>4597</v>
      </c>
      <c r="E3206" s="391" t="s">
        <v>4042</v>
      </c>
      <c r="F3206" s="392">
        <v>3378.3783600000006</v>
      </c>
      <c r="G3206" s="393" t="s">
        <v>3800</v>
      </c>
      <c r="H3206" s="394">
        <v>1.2570690282064705</v>
      </c>
      <c r="I3206" s="394"/>
      <c r="J3206" s="392"/>
      <c r="K3206" s="392"/>
      <c r="L3206" s="392"/>
      <c r="M3206" s="392"/>
      <c r="N3206" s="392">
        <v>1.2570690282064705</v>
      </c>
    </row>
    <row r="3207" spans="1:14" hidden="1" outlineLevel="2" x14ac:dyDescent="0.35">
      <c r="A3207" s="388" t="s">
        <v>6494</v>
      </c>
      <c r="B3207" s="389">
        <v>44587</v>
      </c>
      <c r="C3207" s="390" t="s">
        <v>4592</v>
      </c>
      <c r="D3207" s="391" t="s">
        <v>4593</v>
      </c>
      <c r="E3207" s="391" t="s">
        <v>6496</v>
      </c>
      <c r="F3207" s="392">
        <v>563063.06000000006</v>
      </c>
      <c r="G3207" s="393" t="s">
        <v>3800</v>
      </c>
      <c r="H3207" s="394">
        <v>209.51150470107839</v>
      </c>
      <c r="I3207" s="394"/>
      <c r="J3207" s="392"/>
      <c r="K3207" s="392"/>
      <c r="L3207" s="392"/>
      <c r="M3207" s="392"/>
      <c r="N3207" s="392">
        <v>209.51150470107839</v>
      </c>
    </row>
    <row r="3208" spans="1:14" hidden="1" outlineLevel="2" x14ac:dyDescent="0.35">
      <c r="A3208" s="388" t="s">
        <v>6494</v>
      </c>
      <c r="B3208" s="389">
        <v>44587</v>
      </c>
      <c r="C3208" s="390" t="s">
        <v>4594</v>
      </c>
      <c r="D3208" s="391" t="s">
        <v>4595</v>
      </c>
      <c r="E3208" s="391" t="s">
        <v>4272</v>
      </c>
      <c r="F3208" s="392">
        <v>56306.306000000011</v>
      </c>
      <c r="G3208" s="393" t="s">
        <v>3800</v>
      </c>
      <c r="H3208" s="394">
        <v>20.951150470107841</v>
      </c>
      <c r="I3208" s="394"/>
      <c r="J3208" s="392"/>
      <c r="K3208" s="392"/>
      <c r="L3208" s="392"/>
      <c r="M3208" s="392"/>
      <c r="N3208" s="392">
        <v>20.951150470107841</v>
      </c>
    </row>
    <row r="3209" spans="1:14" hidden="1" outlineLevel="2" x14ac:dyDescent="0.35">
      <c r="A3209" s="388" t="s">
        <v>6494</v>
      </c>
      <c r="B3209" s="389">
        <v>44587</v>
      </c>
      <c r="C3209" s="390" t="s">
        <v>4596</v>
      </c>
      <c r="D3209" s="391" t="s">
        <v>4597</v>
      </c>
      <c r="E3209" s="391" t="s">
        <v>4042</v>
      </c>
      <c r="F3209" s="392">
        <v>3378.3783600000006</v>
      </c>
      <c r="G3209" s="393" t="s">
        <v>3800</v>
      </c>
      <c r="H3209" s="394">
        <v>1.2570690282064705</v>
      </c>
      <c r="I3209" s="394"/>
      <c r="J3209" s="392"/>
      <c r="K3209" s="392"/>
      <c r="L3209" s="392"/>
      <c r="M3209" s="392"/>
      <c r="N3209" s="392">
        <v>1.2570690282064705</v>
      </c>
    </row>
    <row r="3210" spans="1:14" hidden="1" outlineLevel="2" x14ac:dyDescent="0.35">
      <c r="A3210" s="388" t="s">
        <v>6494</v>
      </c>
      <c r="B3210" s="389">
        <v>44587</v>
      </c>
      <c r="C3210" s="390" t="s">
        <v>4592</v>
      </c>
      <c r="D3210" s="391" t="s">
        <v>4593</v>
      </c>
      <c r="E3210" s="391" t="s">
        <v>6497</v>
      </c>
      <c r="F3210" s="392">
        <v>563063.06000000006</v>
      </c>
      <c r="G3210" s="393" t="s">
        <v>3800</v>
      </c>
      <c r="H3210" s="394">
        <v>209.51150470107839</v>
      </c>
      <c r="I3210" s="394"/>
      <c r="J3210" s="392"/>
      <c r="K3210" s="392"/>
      <c r="L3210" s="392"/>
      <c r="M3210" s="392"/>
      <c r="N3210" s="392">
        <v>209.51150470107839</v>
      </c>
    </row>
    <row r="3211" spans="1:14" hidden="1" outlineLevel="2" x14ac:dyDescent="0.35">
      <c r="A3211" s="388" t="s">
        <v>6494</v>
      </c>
      <c r="B3211" s="389">
        <v>44587</v>
      </c>
      <c r="C3211" s="390" t="s">
        <v>4594</v>
      </c>
      <c r="D3211" s="391" t="s">
        <v>4595</v>
      </c>
      <c r="E3211" s="391" t="s">
        <v>4272</v>
      </c>
      <c r="F3211" s="392">
        <v>56306.306000000011</v>
      </c>
      <c r="G3211" s="393" t="s">
        <v>3800</v>
      </c>
      <c r="H3211" s="394">
        <v>20.951150470107841</v>
      </c>
      <c r="I3211" s="394"/>
      <c r="J3211" s="392"/>
      <c r="K3211" s="392"/>
      <c r="L3211" s="392"/>
      <c r="M3211" s="392"/>
      <c r="N3211" s="392">
        <v>20.951150470107841</v>
      </c>
    </row>
    <row r="3212" spans="1:14" hidden="1" outlineLevel="2" x14ac:dyDescent="0.35">
      <c r="A3212" s="388" t="s">
        <v>6494</v>
      </c>
      <c r="B3212" s="389">
        <v>44587</v>
      </c>
      <c r="C3212" s="390" t="s">
        <v>4596</v>
      </c>
      <c r="D3212" s="391" t="s">
        <v>4597</v>
      </c>
      <c r="E3212" s="391" t="s">
        <v>4042</v>
      </c>
      <c r="F3212" s="392">
        <v>3378.3783600000006</v>
      </c>
      <c r="G3212" s="393" t="s">
        <v>3800</v>
      </c>
      <c r="H3212" s="394">
        <v>1.2570690282064705</v>
      </c>
      <c r="I3212" s="394"/>
      <c r="J3212" s="392"/>
      <c r="K3212" s="392"/>
      <c r="L3212" s="392"/>
      <c r="M3212" s="392"/>
      <c r="N3212" s="392">
        <v>1.2570690282064705</v>
      </c>
    </row>
    <row r="3213" spans="1:14" hidden="1" outlineLevel="2" collapsed="1" x14ac:dyDescent="0.35">
      <c r="A3213" s="388" t="s">
        <v>6494</v>
      </c>
      <c r="B3213" s="389">
        <v>44587</v>
      </c>
      <c r="C3213" s="390" t="s">
        <v>4592</v>
      </c>
      <c r="D3213" s="391" t="s">
        <v>4593</v>
      </c>
      <c r="E3213" s="391" t="s">
        <v>6498</v>
      </c>
      <c r="F3213" s="392">
        <v>563063.06000000006</v>
      </c>
      <c r="G3213" s="393" t="s">
        <v>3800</v>
      </c>
      <c r="H3213" s="394">
        <v>209.51150470107839</v>
      </c>
      <c r="I3213" s="394"/>
      <c r="J3213" s="392"/>
      <c r="K3213" s="392"/>
      <c r="L3213" s="392"/>
      <c r="M3213" s="392"/>
      <c r="N3213" s="392">
        <v>209.51150470107839</v>
      </c>
    </row>
    <row r="3214" spans="1:14" hidden="1" outlineLevel="2" x14ac:dyDescent="0.35">
      <c r="A3214" s="388" t="s">
        <v>6494</v>
      </c>
      <c r="B3214" s="389">
        <v>44587</v>
      </c>
      <c r="C3214" s="390" t="s">
        <v>4594</v>
      </c>
      <c r="D3214" s="391" t="s">
        <v>4595</v>
      </c>
      <c r="E3214" s="391" t="s">
        <v>4272</v>
      </c>
      <c r="F3214" s="392">
        <v>56306.306000000011</v>
      </c>
      <c r="G3214" s="393" t="s">
        <v>3800</v>
      </c>
      <c r="H3214" s="394">
        <v>20.951150470107841</v>
      </c>
      <c r="I3214" s="394"/>
      <c r="J3214" s="392"/>
      <c r="K3214" s="392"/>
      <c r="L3214" s="392"/>
      <c r="M3214" s="392"/>
      <c r="N3214" s="392">
        <v>20.951150470107841</v>
      </c>
    </row>
    <row r="3215" spans="1:14" hidden="1" outlineLevel="2" collapsed="1" x14ac:dyDescent="0.35">
      <c r="A3215" s="388" t="s">
        <v>6494</v>
      </c>
      <c r="B3215" s="389">
        <v>44587</v>
      </c>
      <c r="C3215" s="390" t="s">
        <v>4596</v>
      </c>
      <c r="D3215" s="391" t="s">
        <v>4597</v>
      </c>
      <c r="E3215" s="391" t="s">
        <v>4042</v>
      </c>
      <c r="F3215" s="392">
        <v>3378.3783600000006</v>
      </c>
      <c r="G3215" s="393" t="s">
        <v>3800</v>
      </c>
      <c r="H3215" s="394">
        <v>1.2570690282064705</v>
      </c>
      <c r="I3215" s="394"/>
      <c r="J3215" s="392"/>
      <c r="K3215" s="392"/>
      <c r="L3215" s="392"/>
      <c r="M3215" s="392"/>
      <c r="N3215" s="392">
        <v>1.2570690282064705</v>
      </c>
    </row>
    <row r="3216" spans="1:14" outlineLevel="1" collapsed="1" x14ac:dyDescent="0.35">
      <c r="A3216" s="395" t="s">
        <v>6500</v>
      </c>
      <c r="B3216" s="389"/>
      <c r="C3216" s="390"/>
      <c r="D3216" s="391"/>
      <c r="E3216" s="391"/>
      <c r="F3216" s="392"/>
      <c r="G3216" s="393"/>
      <c r="H3216" s="394">
        <f t="shared" ref="H3216:N3216" si="126">SUBTOTAL(9,H3156:H3215)</f>
        <v>4170.9550355890678</v>
      </c>
      <c r="I3216" s="394"/>
      <c r="J3216" s="392">
        <f t="shared" si="126"/>
        <v>0</v>
      </c>
      <c r="K3216" s="392">
        <f t="shared" si="126"/>
        <v>0</v>
      </c>
      <c r="L3216" s="392">
        <f t="shared" si="126"/>
        <v>0</v>
      </c>
      <c r="M3216" s="392">
        <f t="shared" si="126"/>
        <v>0</v>
      </c>
      <c r="N3216" s="392">
        <f t="shared" si="126"/>
        <v>4170.9550355890678</v>
      </c>
    </row>
    <row r="3217" spans="1:14" hidden="1" outlineLevel="2" x14ac:dyDescent="0.35">
      <c r="A3217" s="388" t="s">
        <v>3823</v>
      </c>
      <c r="B3217" s="389">
        <v>43853</v>
      </c>
      <c r="C3217" s="390" t="s">
        <v>6501</v>
      </c>
      <c r="D3217" s="391" t="s">
        <v>6502</v>
      </c>
      <c r="E3217" s="391" t="s">
        <v>6503</v>
      </c>
      <c r="F3217" s="392">
        <v>26565012</v>
      </c>
      <c r="G3217" s="393" t="s">
        <v>3800</v>
      </c>
      <c r="H3217" s="394">
        <v>10199.811044635126</v>
      </c>
      <c r="I3217" s="394"/>
      <c r="J3217" s="392">
        <v>2549.9527611587814</v>
      </c>
      <c r="K3217" s="392">
        <v>2549.9527611587814</v>
      </c>
      <c r="L3217" s="392">
        <v>2549.9527611587814</v>
      </c>
      <c r="M3217" s="392">
        <v>2549.9527611587814</v>
      </c>
      <c r="N3217" s="392"/>
    </row>
    <row r="3218" spans="1:14" hidden="1" outlineLevel="2" x14ac:dyDescent="0.35">
      <c r="A3218" s="388" t="s">
        <v>3823</v>
      </c>
      <c r="B3218" s="389">
        <v>44066</v>
      </c>
      <c r="C3218" s="390" t="s">
        <v>6504</v>
      </c>
      <c r="D3218" s="391" t="s">
        <v>6505</v>
      </c>
      <c r="E3218" s="391" t="s">
        <v>6506</v>
      </c>
      <c r="F3218" s="392">
        <v>4236153.4000000004</v>
      </c>
      <c r="G3218" s="393" t="s">
        <v>3800</v>
      </c>
      <c r="H3218" s="394">
        <v>1626.4989541916505</v>
      </c>
      <c r="I3218" s="394"/>
      <c r="J3218" s="392">
        <v>406.62473854791261</v>
      </c>
      <c r="K3218" s="392">
        <v>406.62473854791261</v>
      </c>
      <c r="L3218" s="392">
        <v>406.62473854791261</v>
      </c>
      <c r="M3218" s="392">
        <v>406.62473854791261</v>
      </c>
      <c r="N3218" s="392"/>
    </row>
    <row r="3219" spans="1:14" hidden="1" outlineLevel="2" x14ac:dyDescent="0.35">
      <c r="A3219" s="388" t="s">
        <v>3823</v>
      </c>
      <c r="B3219" s="389">
        <v>43830</v>
      </c>
      <c r="C3219" s="390" t="s">
        <v>6507</v>
      </c>
      <c r="D3219" s="391" t="s">
        <v>6508</v>
      </c>
      <c r="E3219" s="391" t="s">
        <v>2613</v>
      </c>
      <c r="F3219" s="392">
        <v>29251.599999999999</v>
      </c>
      <c r="G3219" s="393" t="s">
        <v>56</v>
      </c>
      <c r="H3219" s="394">
        <v>29251.599999999999</v>
      </c>
      <c r="I3219" s="394"/>
      <c r="J3219" s="392">
        <f>$H3219/4</f>
        <v>7312.9</v>
      </c>
      <c r="K3219" s="392">
        <f>$H3219/4</f>
        <v>7312.9</v>
      </c>
      <c r="L3219" s="392">
        <f>$H3219/4</f>
        <v>7312.9</v>
      </c>
      <c r="M3219" s="392">
        <f>$H3219/4</f>
        <v>7312.9</v>
      </c>
      <c r="N3219" s="392"/>
    </row>
    <row r="3220" spans="1:14" outlineLevel="1" collapsed="1" x14ac:dyDescent="0.35">
      <c r="A3220" s="395" t="s">
        <v>6509</v>
      </c>
      <c r="B3220" s="389"/>
      <c r="C3220" s="390"/>
      <c r="D3220" s="391"/>
      <c r="E3220" s="391"/>
      <c r="F3220" s="392"/>
      <c r="G3220" s="393"/>
      <c r="H3220" s="394">
        <f t="shared" ref="H3220:N3220" si="127">SUBTOTAL(9,H3217:H3219)</f>
        <v>41077.909998826777</v>
      </c>
      <c r="I3220" s="394"/>
      <c r="J3220" s="392">
        <f t="shared" si="127"/>
        <v>10269.477499706694</v>
      </c>
      <c r="K3220" s="392">
        <f t="shared" si="127"/>
        <v>10269.477499706694</v>
      </c>
      <c r="L3220" s="392">
        <f t="shared" si="127"/>
        <v>10269.477499706694</v>
      </c>
      <c r="M3220" s="392">
        <f t="shared" si="127"/>
        <v>10269.477499706694</v>
      </c>
      <c r="N3220" s="392">
        <f t="shared" si="127"/>
        <v>0</v>
      </c>
    </row>
    <row r="3221" spans="1:14" hidden="1" outlineLevel="2" x14ac:dyDescent="0.35">
      <c r="A3221" s="388" t="s">
        <v>6510</v>
      </c>
      <c r="B3221" s="389">
        <v>43950</v>
      </c>
      <c r="C3221" s="390" t="s">
        <v>4266</v>
      </c>
      <c r="D3221" s="391" t="s">
        <v>4267</v>
      </c>
      <c r="E3221" s="391" t="s">
        <v>4031</v>
      </c>
      <c r="F3221" s="392">
        <v>522000</v>
      </c>
      <c r="G3221" s="393" t="s">
        <v>3800</v>
      </c>
      <c r="H3221" s="394">
        <v>200.42533258782399</v>
      </c>
      <c r="I3221" s="394"/>
      <c r="J3221" s="392">
        <v>50.106333146955997</v>
      </c>
      <c r="K3221" s="392">
        <v>50.106333146955997</v>
      </c>
      <c r="L3221" s="392">
        <v>50.106333146955997</v>
      </c>
      <c r="M3221" s="392">
        <v>50.106333146955997</v>
      </c>
      <c r="N3221" s="392"/>
    </row>
    <row r="3222" spans="1:14" hidden="1" outlineLevel="2" x14ac:dyDescent="0.35">
      <c r="A3222" s="388" t="s">
        <v>6510</v>
      </c>
      <c r="B3222" s="389">
        <v>43950</v>
      </c>
      <c r="C3222" s="390" t="s">
        <v>4266</v>
      </c>
      <c r="D3222" s="391" t="s">
        <v>4269</v>
      </c>
      <c r="E3222" s="391" t="s">
        <v>4031</v>
      </c>
      <c r="F3222" s="392">
        <v>78300</v>
      </c>
      <c r="G3222" s="393" t="s">
        <v>3800</v>
      </c>
      <c r="H3222" s="394">
        <v>30.063799888173598</v>
      </c>
      <c r="I3222" s="394"/>
      <c r="J3222" s="392">
        <v>7.5159499720433995</v>
      </c>
      <c r="K3222" s="392">
        <v>7.5159499720433995</v>
      </c>
      <c r="L3222" s="392">
        <v>7.5159499720433995</v>
      </c>
      <c r="M3222" s="392">
        <v>7.5159499720433995</v>
      </c>
      <c r="N3222" s="392"/>
    </row>
    <row r="3223" spans="1:14" hidden="1" outlineLevel="2" x14ac:dyDescent="0.35">
      <c r="A3223" s="388" t="s">
        <v>6510</v>
      </c>
      <c r="B3223" s="389">
        <v>43950</v>
      </c>
      <c r="C3223" s="390" t="s">
        <v>4270</v>
      </c>
      <c r="D3223" s="391" t="s">
        <v>4271</v>
      </c>
      <c r="E3223" s="391" t="s">
        <v>4035</v>
      </c>
      <c r="F3223" s="392">
        <v>65250</v>
      </c>
      <c r="G3223" s="393" t="s">
        <v>3800</v>
      </c>
      <c r="H3223" s="394">
        <v>25.053166573477998</v>
      </c>
      <c r="I3223" s="394"/>
      <c r="J3223" s="392">
        <v>6.2632916433694996</v>
      </c>
      <c r="K3223" s="392">
        <v>6.2632916433694996</v>
      </c>
      <c r="L3223" s="392">
        <v>6.2632916433694996</v>
      </c>
      <c r="M3223" s="392">
        <v>6.2632916433694996</v>
      </c>
      <c r="N3223" s="392"/>
    </row>
    <row r="3224" spans="1:14" hidden="1" outlineLevel="2" x14ac:dyDescent="0.35">
      <c r="A3224" s="388" t="s">
        <v>6510</v>
      </c>
      <c r="B3224" s="389">
        <v>43950</v>
      </c>
      <c r="C3224" s="390" t="s">
        <v>4266</v>
      </c>
      <c r="D3224" s="391" t="s">
        <v>4273</v>
      </c>
      <c r="E3224" s="391" t="s">
        <v>4031</v>
      </c>
      <c r="F3224" s="392">
        <v>26100</v>
      </c>
      <c r="G3224" s="393" t="s">
        <v>3800</v>
      </c>
      <c r="H3224" s="394">
        <v>10.021266629391199</v>
      </c>
      <c r="I3224" s="394"/>
      <c r="J3224" s="392">
        <v>2.5053166573477998</v>
      </c>
      <c r="K3224" s="392">
        <v>2.5053166573477998</v>
      </c>
      <c r="L3224" s="392">
        <v>2.5053166573477998</v>
      </c>
      <c r="M3224" s="392">
        <v>2.5053166573477998</v>
      </c>
      <c r="N3224" s="392"/>
    </row>
    <row r="3225" spans="1:14" hidden="1" outlineLevel="2" x14ac:dyDescent="0.35">
      <c r="A3225" s="388" t="s">
        <v>6510</v>
      </c>
      <c r="B3225" s="389">
        <v>43950</v>
      </c>
      <c r="C3225" s="390" t="s">
        <v>4274</v>
      </c>
      <c r="D3225" s="391" t="s">
        <v>4275</v>
      </c>
      <c r="E3225" s="391" t="s">
        <v>4039</v>
      </c>
      <c r="F3225" s="392">
        <v>26100</v>
      </c>
      <c r="G3225" s="393" t="s">
        <v>3800</v>
      </c>
      <c r="H3225" s="394">
        <v>10.021266629391199</v>
      </c>
      <c r="I3225" s="394"/>
      <c r="J3225" s="392">
        <v>2.5053166573477998</v>
      </c>
      <c r="K3225" s="392">
        <v>2.5053166573477998</v>
      </c>
      <c r="L3225" s="392">
        <v>2.5053166573477998</v>
      </c>
      <c r="M3225" s="392">
        <v>2.5053166573477998</v>
      </c>
      <c r="N3225" s="392"/>
    </row>
    <row r="3226" spans="1:14" hidden="1" outlineLevel="2" x14ac:dyDescent="0.35">
      <c r="A3226" s="388" t="s">
        <v>6510</v>
      </c>
      <c r="B3226" s="389">
        <v>43950</v>
      </c>
      <c r="C3226" s="390" t="s">
        <v>4277</v>
      </c>
      <c r="D3226" s="391" t="s">
        <v>4278</v>
      </c>
      <c r="E3226" s="391" t="s">
        <v>4042</v>
      </c>
      <c r="F3226" s="392">
        <v>6525</v>
      </c>
      <c r="G3226" s="393" t="s">
        <v>3800</v>
      </c>
      <c r="H3226" s="394">
        <v>2.5053166573477998</v>
      </c>
      <c r="I3226" s="394"/>
      <c r="J3226" s="392">
        <v>0.62632916433694996</v>
      </c>
      <c r="K3226" s="392">
        <v>0.62632916433694996</v>
      </c>
      <c r="L3226" s="392">
        <v>0.62632916433694996</v>
      </c>
      <c r="M3226" s="392">
        <v>0.62632916433694996</v>
      </c>
      <c r="N3226" s="392"/>
    </row>
    <row r="3227" spans="1:14" hidden="1" outlineLevel="2" x14ac:dyDescent="0.35">
      <c r="A3227" s="388" t="s">
        <v>6510</v>
      </c>
      <c r="B3227" s="389">
        <v>43959</v>
      </c>
      <c r="C3227" s="390" t="s">
        <v>4253</v>
      </c>
      <c r="D3227" s="391" t="s">
        <v>4279</v>
      </c>
      <c r="E3227" s="391" t="s">
        <v>4031</v>
      </c>
      <c r="F3227" s="392">
        <v>522000</v>
      </c>
      <c r="G3227" s="393" t="s">
        <v>3800</v>
      </c>
      <c r="H3227" s="394">
        <v>200.42533258782399</v>
      </c>
      <c r="I3227" s="394"/>
      <c r="J3227" s="392">
        <v>50.106333146955997</v>
      </c>
      <c r="K3227" s="392">
        <v>50.106333146955997</v>
      </c>
      <c r="L3227" s="392">
        <v>50.106333146955997</v>
      </c>
      <c r="M3227" s="392">
        <v>50.106333146955997</v>
      </c>
      <c r="N3227" s="392"/>
    </row>
    <row r="3228" spans="1:14" hidden="1" outlineLevel="2" x14ac:dyDescent="0.35">
      <c r="A3228" s="388" t="s">
        <v>6510</v>
      </c>
      <c r="B3228" s="389">
        <v>43959</v>
      </c>
      <c r="C3228" s="390" t="s">
        <v>4253</v>
      </c>
      <c r="D3228" s="391" t="s">
        <v>4280</v>
      </c>
      <c r="E3228" s="391" t="s">
        <v>4031</v>
      </c>
      <c r="F3228" s="392">
        <v>78300</v>
      </c>
      <c r="G3228" s="393" t="s">
        <v>3800</v>
      </c>
      <c r="H3228" s="394">
        <v>30.063799888173598</v>
      </c>
      <c r="I3228" s="394"/>
      <c r="J3228" s="392">
        <v>7.5159499720433995</v>
      </c>
      <c r="K3228" s="392">
        <v>7.5159499720433995</v>
      </c>
      <c r="L3228" s="392">
        <v>7.5159499720433995</v>
      </c>
      <c r="M3228" s="392">
        <v>7.5159499720433995</v>
      </c>
      <c r="N3228" s="392"/>
    </row>
    <row r="3229" spans="1:14" hidden="1" outlineLevel="2" x14ac:dyDescent="0.35">
      <c r="A3229" s="388" t="s">
        <v>6510</v>
      </c>
      <c r="B3229" s="389">
        <v>43963</v>
      </c>
      <c r="C3229" s="390" t="s">
        <v>4281</v>
      </c>
      <c r="D3229" s="391" t="s">
        <v>4282</v>
      </c>
      <c r="E3229" s="391" t="s">
        <v>4035</v>
      </c>
      <c r="F3229" s="392">
        <v>65250</v>
      </c>
      <c r="G3229" s="393" t="s">
        <v>3800</v>
      </c>
      <c r="H3229" s="394">
        <v>25.053166573477998</v>
      </c>
      <c r="I3229" s="394"/>
      <c r="J3229" s="392">
        <v>6.2632916433694996</v>
      </c>
      <c r="K3229" s="392">
        <v>6.2632916433694996</v>
      </c>
      <c r="L3229" s="392">
        <v>6.2632916433694996</v>
      </c>
      <c r="M3229" s="392">
        <v>6.2632916433694996</v>
      </c>
      <c r="N3229" s="392"/>
    </row>
    <row r="3230" spans="1:14" hidden="1" outlineLevel="2" x14ac:dyDescent="0.35">
      <c r="A3230" s="388" t="s">
        <v>6510</v>
      </c>
      <c r="B3230" s="389">
        <v>43959</v>
      </c>
      <c r="C3230" s="390" t="s">
        <v>4253</v>
      </c>
      <c r="D3230" s="391" t="s">
        <v>4283</v>
      </c>
      <c r="E3230" s="391" t="s">
        <v>4031</v>
      </c>
      <c r="F3230" s="392">
        <v>26100</v>
      </c>
      <c r="G3230" s="393" t="s">
        <v>3800</v>
      </c>
      <c r="H3230" s="394">
        <v>10.021266629391199</v>
      </c>
      <c r="I3230" s="394"/>
      <c r="J3230" s="392">
        <v>2.5053166573477998</v>
      </c>
      <c r="K3230" s="392">
        <v>2.5053166573477998</v>
      </c>
      <c r="L3230" s="392">
        <v>2.5053166573477998</v>
      </c>
      <c r="M3230" s="392">
        <v>2.5053166573477998</v>
      </c>
      <c r="N3230" s="392"/>
    </row>
    <row r="3231" spans="1:14" hidden="1" outlineLevel="2" x14ac:dyDescent="0.35">
      <c r="A3231" s="388" t="s">
        <v>6510</v>
      </c>
      <c r="B3231" s="389">
        <v>43964</v>
      </c>
      <c r="C3231" s="390" t="s">
        <v>4284</v>
      </c>
      <c r="D3231" s="391" t="s">
        <v>6185</v>
      </c>
      <c r="E3231" s="391" t="s">
        <v>4039</v>
      </c>
      <c r="F3231" s="392">
        <v>26100</v>
      </c>
      <c r="G3231" s="393" t="s">
        <v>3800</v>
      </c>
      <c r="H3231" s="394">
        <v>10.021266629391199</v>
      </c>
      <c r="I3231" s="394"/>
      <c r="J3231" s="392">
        <v>2.5053166573477998</v>
      </c>
      <c r="K3231" s="392">
        <v>2.5053166573477998</v>
      </c>
      <c r="L3231" s="392">
        <v>2.5053166573477998</v>
      </c>
      <c r="M3231" s="392">
        <v>2.5053166573477998</v>
      </c>
      <c r="N3231" s="392"/>
    </row>
    <row r="3232" spans="1:14" hidden="1" outlineLevel="2" x14ac:dyDescent="0.35">
      <c r="A3232" s="388" t="s">
        <v>6510</v>
      </c>
      <c r="B3232" s="389">
        <v>43959</v>
      </c>
      <c r="C3232" s="390" t="s">
        <v>4286</v>
      </c>
      <c r="D3232" s="391" t="s">
        <v>4287</v>
      </c>
      <c r="E3232" s="391" t="s">
        <v>4042</v>
      </c>
      <c r="F3232" s="392">
        <v>6525</v>
      </c>
      <c r="G3232" s="393" t="s">
        <v>3800</v>
      </c>
      <c r="H3232" s="394">
        <v>2.5053166573477998</v>
      </c>
      <c r="I3232" s="394"/>
      <c r="J3232" s="392">
        <v>0.62632916433694996</v>
      </c>
      <c r="K3232" s="392">
        <v>0.62632916433694996</v>
      </c>
      <c r="L3232" s="392">
        <v>0.62632916433694996</v>
      </c>
      <c r="M3232" s="392">
        <v>0.62632916433694996</v>
      </c>
      <c r="N3232" s="392"/>
    </row>
    <row r="3233" spans="1:14" hidden="1" outlineLevel="2" x14ac:dyDescent="0.35">
      <c r="A3233" s="388" t="s">
        <v>6510</v>
      </c>
      <c r="B3233" s="389">
        <v>43980</v>
      </c>
      <c r="C3233" s="390" t="s">
        <v>4288</v>
      </c>
      <c r="D3233" s="391" t="s">
        <v>4289</v>
      </c>
      <c r="E3233" s="391" t="s">
        <v>4031</v>
      </c>
      <c r="F3233" s="392">
        <v>522000</v>
      </c>
      <c r="G3233" s="393" t="s">
        <v>3800</v>
      </c>
      <c r="H3233" s="394">
        <v>200.42533258782399</v>
      </c>
      <c r="I3233" s="394"/>
      <c r="J3233" s="392">
        <v>50.106333146955997</v>
      </c>
      <c r="K3233" s="392">
        <v>50.106333146955997</v>
      </c>
      <c r="L3233" s="392">
        <v>50.106333146955997</v>
      </c>
      <c r="M3233" s="392">
        <v>50.106333146955997</v>
      </c>
      <c r="N3233" s="392"/>
    </row>
    <row r="3234" spans="1:14" hidden="1" outlineLevel="2" x14ac:dyDescent="0.35">
      <c r="A3234" s="388" t="s">
        <v>6510</v>
      </c>
      <c r="B3234" s="389">
        <v>43980</v>
      </c>
      <c r="C3234" s="390" t="s">
        <v>4290</v>
      </c>
      <c r="D3234" s="391" t="s">
        <v>4291</v>
      </c>
      <c r="E3234" s="391" t="s">
        <v>4031</v>
      </c>
      <c r="F3234" s="392">
        <v>78300</v>
      </c>
      <c r="G3234" s="393" t="s">
        <v>3800</v>
      </c>
      <c r="H3234" s="394">
        <v>30.063799888173598</v>
      </c>
      <c r="I3234" s="394"/>
      <c r="J3234" s="392">
        <v>7.5159499720433995</v>
      </c>
      <c r="K3234" s="392">
        <v>7.5159499720433995</v>
      </c>
      <c r="L3234" s="392">
        <v>7.5159499720433995</v>
      </c>
      <c r="M3234" s="392">
        <v>7.5159499720433995</v>
      </c>
      <c r="N3234" s="392"/>
    </row>
    <row r="3235" spans="1:14" hidden="1" outlineLevel="2" x14ac:dyDescent="0.35">
      <c r="A3235" s="388" t="s">
        <v>6510</v>
      </c>
      <c r="B3235" s="389">
        <v>43980</v>
      </c>
      <c r="C3235" s="390" t="s">
        <v>4281</v>
      </c>
      <c r="D3235" s="391" t="s">
        <v>4390</v>
      </c>
      <c r="E3235" s="391" t="s">
        <v>4035</v>
      </c>
      <c r="F3235" s="392">
        <v>65250</v>
      </c>
      <c r="G3235" s="393" t="s">
        <v>3800</v>
      </c>
      <c r="H3235" s="394">
        <v>25.053166573477998</v>
      </c>
      <c r="I3235" s="394"/>
      <c r="J3235" s="392">
        <v>6.2632916433694996</v>
      </c>
      <c r="K3235" s="392">
        <v>6.2632916433694996</v>
      </c>
      <c r="L3235" s="392">
        <v>6.2632916433694996</v>
      </c>
      <c r="M3235" s="392">
        <v>6.2632916433694996</v>
      </c>
      <c r="N3235" s="392"/>
    </row>
    <row r="3236" spans="1:14" hidden="1" outlineLevel="2" x14ac:dyDescent="0.35">
      <c r="A3236" s="388" t="s">
        <v>6510</v>
      </c>
      <c r="B3236" s="389">
        <v>43980</v>
      </c>
      <c r="C3236" s="390" t="s">
        <v>4288</v>
      </c>
      <c r="D3236" s="391" t="s">
        <v>4292</v>
      </c>
      <c r="E3236" s="391" t="s">
        <v>4031</v>
      </c>
      <c r="F3236" s="392">
        <v>26100</v>
      </c>
      <c r="G3236" s="393" t="s">
        <v>3800</v>
      </c>
      <c r="H3236" s="394">
        <v>10.021266629391199</v>
      </c>
      <c r="I3236" s="394"/>
      <c r="J3236" s="392">
        <v>2.5053166573477998</v>
      </c>
      <c r="K3236" s="392">
        <v>2.5053166573477998</v>
      </c>
      <c r="L3236" s="392">
        <v>2.5053166573477998</v>
      </c>
      <c r="M3236" s="392">
        <v>2.5053166573477998</v>
      </c>
      <c r="N3236" s="392"/>
    </row>
    <row r="3237" spans="1:14" hidden="1" outlineLevel="2" x14ac:dyDescent="0.35">
      <c r="A3237" s="388" t="s">
        <v>6510</v>
      </c>
      <c r="B3237" s="389">
        <v>43980</v>
      </c>
      <c r="C3237" s="390" t="s">
        <v>4184</v>
      </c>
      <c r="D3237" s="391" t="s">
        <v>4391</v>
      </c>
      <c r="E3237" s="391" t="s">
        <v>4039</v>
      </c>
      <c r="F3237" s="392">
        <v>26100</v>
      </c>
      <c r="G3237" s="393" t="s">
        <v>3800</v>
      </c>
      <c r="H3237" s="394">
        <v>10.021266629391199</v>
      </c>
      <c r="I3237" s="394"/>
      <c r="J3237" s="392">
        <v>2.5053166573477998</v>
      </c>
      <c r="K3237" s="392">
        <v>2.5053166573477998</v>
      </c>
      <c r="L3237" s="392">
        <v>2.5053166573477998</v>
      </c>
      <c r="M3237" s="392">
        <v>2.5053166573477998</v>
      </c>
      <c r="N3237" s="392"/>
    </row>
    <row r="3238" spans="1:14" hidden="1" outlineLevel="2" x14ac:dyDescent="0.35">
      <c r="A3238" s="388" t="s">
        <v>6510</v>
      </c>
      <c r="B3238" s="389">
        <v>43980</v>
      </c>
      <c r="C3238" s="390" t="s">
        <v>4294</v>
      </c>
      <c r="D3238" s="391" t="s">
        <v>4295</v>
      </c>
      <c r="E3238" s="391" t="s">
        <v>4042</v>
      </c>
      <c r="F3238" s="392">
        <v>6525</v>
      </c>
      <c r="G3238" s="393" t="s">
        <v>3800</v>
      </c>
      <c r="H3238" s="394">
        <v>2.5053166573477998</v>
      </c>
      <c r="I3238" s="394"/>
      <c r="J3238" s="392">
        <v>0.62632916433694996</v>
      </c>
      <c r="K3238" s="392">
        <v>0.62632916433694996</v>
      </c>
      <c r="L3238" s="392">
        <v>0.62632916433694996</v>
      </c>
      <c r="M3238" s="392">
        <v>0.62632916433694996</v>
      </c>
      <c r="N3238" s="392"/>
    </row>
    <row r="3239" spans="1:14" hidden="1" outlineLevel="2" x14ac:dyDescent="0.35">
      <c r="A3239" s="388" t="s">
        <v>6510</v>
      </c>
      <c r="B3239" s="389">
        <v>44018</v>
      </c>
      <c r="C3239" s="390" t="s">
        <v>4192</v>
      </c>
      <c r="D3239" s="391" t="s">
        <v>4296</v>
      </c>
      <c r="E3239" s="391" t="s">
        <v>4031</v>
      </c>
      <c r="F3239" s="392">
        <v>522000</v>
      </c>
      <c r="G3239" s="393" t="s">
        <v>3800</v>
      </c>
      <c r="H3239" s="394">
        <v>200.42533258782399</v>
      </c>
      <c r="I3239" s="394"/>
      <c r="J3239" s="392">
        <v>50.106333146955997</v>
      </c>
      <c r="K3239" s="392">
        <v>50.106333146955997</v>
      </c>
      <c r="L3239" s="392">
        <v>50.106333146955997</v>
      </c>
      <c r="M3239" s="392">
        <v>50.106333146955997</v>
      </c>
      <c r="N3239" s="392"/>
    </row>
    <row r="3240" spans="1:14" hidden="1" outlineLevel="2" x14ac:dyDescent="0.35">
      <c r="A3240" s="388" t="s">
        <v>6510</v>
      </c>
      <c r="B3240" s="389">
        <v>44018</v>
      </c>
      <c r="C3240" s="390" t="s">
        <v>4192</v>
      </c>
      <c r="D3240" s="391" t="s">
        <v>4297</v>
      </c>
      <c r="E3240" s="391" t="s">
        <v>4031</v>
      </c>
      <c r="F3240" s="392">
        <v>78300</v>
      </c>
      <c r="G3240" s="393" t="s">
        <v>3800</v>
      </c>
      <c r="H3240" s="394">
        <v>30.063799888173598</v>
      </c>
      <c r="I3240" s="394"/>
      <c r="J3240" s="392">
        <v>7.5159499720433995</v>
      </c>
      <c r="K3240" s="392">
        <v>7.5159499720433995</v>
      </c>
      <c r="L3240" s="392">
        <v>7.5159499720433995</v>
      </c>
      <c r="M3240" s="392">
        <v>7.5159499720433995</v>
      </c>
      <c r="N3240" s="392"/>
    </row>
    <row r="3241" spans="1:14" hidden="1" outlineLevel="2" x14ac:dyDescent="0.35">
      <c r="A3241" s="388" t="s">
        <v>6510</v>
      </c>
      <c r="B3241" s="389">
        <v>44022</v>
      </c>
      <c r="C3241" s="390" t="s">
        <v>4298</v>
      </c>
      <c r="D3241" s="391" t="s">
        <v>4299</v>
      </c>
      <c r="E3241" s="391" t="s">
        <v>4035</v>
      </c>
      <c r="F3241" s="392">
        <v>65250</v>
      </c>
      <c r="G3241" s="393" t="s">
        <v>3800</v>
      </c>
      <c r="H3241" s="394">
        <v>25.053166573477998</v>
      </c>
      <c r="I3241" s="394"/>
      <c r="J3241" s="392">
        <v>6.2632916433694996</v>
      </c>
      <c r="K3241" s="392">
        <v>6.2632916433694996</v>
      </c>
      <c r="L3241" s="392">
        <v>6.2632916433694996</v>
      </c>
      <c r="M3241" s="392">
        <v>6.2632916433694996</v>
      </c>
      <c r="N3241" s="392"/>
    </row>
    <row r="3242" spans="1:14" hidden="1" outlineLevel="2" x14ac:dyDescent="0.35">
      <c r="A3242" s="388" t="s">
        <v>6510</v>
      </c>
      <c r="B3242" s="389">
        <v>44018</v>
      </c>
      <c r="C3242" s="390" t="s">
        <v>4192</v>
      </c>
      <c r="D3242" s="391" t="s">
        <v>4300</v>
      </c>
      <c r="E3242" s="391" t="s">
        <v>4031</v>
      </c>
      <c r="F3242" s="392">
        <v>26100</v>
      </c>
      <c r="G3242" s="393" t="s">
        <v>3800</v>
      </c>
      <c r="H3242" s="394">
        <v>10.021266629391199</v>
      </c>
      <c r="I3242" s="394"/>
      <c r="J3242" s="392">
        <v>2.5053166573477998</v>
      </c>
      <c r="K3242" s="392">
        <v>2.5053166573477998</v>
      </c>
      <c r="L3242" s="392">
        <v>2.5053166573477998</v>
      </c>
      <c r="M3242" s="392">
        <v>2.5053166573477998</v>
      </c>
      <c r="N3242" s="392"/>
    </row>
    <row r="3243" spans="1:14" hidden="1" outlineLevel="2" x14ac:dyDescent="0.35">
      <c r="A3243" s="388" t="s">
        <v>6510</v>
      </c>
      <c r="B3243" s="389">
        <v>44022</v>
      </c>
      <c r="C3243" s="390" t="s">
        <v>4301</v>
      </c>
      <c r="D3243" s="391" t="s">
        <v>4302</v>
      </c>
      <c r="E3243" s="391" t="s">
        <v>4039</v>
      </c>
      <c r="F3243" s="392">
        <v>26100</v>
      </c>
      <c r="G3243" s="393" t="s">
        <v>3800</v>
      </c>
      <c r="H3243" s="394">
        <v>10.021266629391199</v>
      </c>
      <c r="I3243" s="394"/>
      <c r="J3243" s="392">
        <v>2.5053166573477998</v>
      </c>
      <c r="K3243" s="392">
        <v>2.5053166573477998</v>
      </c>
      <c r="L3243" s="392">
        <v>2.5053166573477998</v>
      </c>
      <c r="M3243" s="392">
        <v>2.5053166573477998</v>
      </c>
      <c r="N3243" s="392"/>
    </row>
    <row r="3244" spans="1:14" hidden="1" outlineLevel="2" x14ac:dyDescent="0.35">
      <c r="A3244" s="388" t="s">
        <v>6510</v>
      </c>
      <c r="B3244" s="389">
        <v>44022</v>
      </c>
      <c r="C3244" s="390" t="s">
        <v>4303</v>
      </c>
      <c r="D3244" s="391" t="s">
        <v>4304</v>
      </c>
      <c r="E3244" s="391" t="s">
        <v>4042</v>
      </c>
      <c r="F3244" s="392">
        <v>6525</v>
      </c>
      <c r="G3244" s="393" t="s">
        <v>3800</v>
      </c>
      <c r="H3244" s="394">
        <v>2.5053166573477998</v>
      </c>
      <c r="I3244" s="394"/>
      <c r="J3244" s="392">
        <v>0.62632916433694996</v>
      </c>
      <c r="K3244" s="392">
        <v>0.62632916433694996</v>
      </c>
      <c r="L3244" s="392">
        <v>0.62632916433694996</v>
      </c>
      <c r="M3244" s="392">
        <v>0.62632916433694996</v>
      </c>
      <c r="N3244" s="392"/>
    </row>
    <row r="3245" spans="1:14" hidden="1" outlineLevel="2" x14ac:dyDescent="0.35">
      <c r="A3245" s="388" t="s">
        <v>6510</v>
      </c>
      <c r="B3245" s="389">
        <v>44047</v>
      </c>
      <c r="C3245" s="390" t="s">
        <v>4305</v>
      </c>
      <c r="D3245" s="391" t="s">
        <v>4306</v>
      </c>
      <c r="E3245" s="391" t="s">
        <v>4031</v>
      </c>
      <c r="F3245" s="392">
        <v>522000</v>
      </c>
      <c r="G3245" s="393" t="s">
        <v>3800</v>
      </c>
      <c r="H3245" s="394">
        <v>200.42533258782399</v>
      </c>
      <c r="I3245" s="394"/>
      <c r="J3245" s="392">
        <v>50.106333146955997</v>
      </c>
      <c r="K3245" s="392">
        <v>50.106333146955997</v>
      </c>
      <c r="L3245" s="392">
        <v>50.106333146955997</v>
      </c>
      <c r="M3245" s="392">
        <v>50.106333146955997</v>
      </c>
      <c r="N3245" s="392"/>
    </row>
    <row r="3246" spans="1:14" hidden="1" outlineLevel="2" x14ac:dyDescent="0.35">
      <c r="A3246" s="388" t="s">
        <v>6510</v>
      </c>
      <c r="B3246" s="389">
        <v>44047</v>
      </c>
      <c r="C3246" s="390" t="s">
        <v>4305</v>
      </c>
      <c r="D3246" s="391" t="s">
        <v>4307</v>
      </c>
      <c r="E3246" s="391" t="s">
        <v>4031</v>
      </c>
      <c r="F3246" s="392">
        <v>78300</v>
      </c>
      <c r="G3246" s="393" t="s">
        <v>3800</v>
      </c>
      <c r="H3246" s="394">
        <v>30.063799888173598</v>
      </c>
      <c r="I3246" s="394"/>
      <c r="J3246" s="392">
        <v>7.5159499720433995</v>
      </c>
      <c r="K3246" s="392">
        <v>7.5159499720433995</v>
      </c>
      <c r="L3246" s="392">
        <v>7.5159499720433995</v>
      </c>
      <c r="M3246" s="392">
        <v>7.5159499720433995</v>
      </c>
      <c r="N3246" s="392"/>
    </row>
    <row r="3247" spans="1:14" hidden="1" outlineLevel="2" x14ac:dyDescent="0.35">
      <c r="A3247" s="388" t="s">
        <v>6510</v>
      </c>
      <c r="B3247" s="389">
        <v>44047</v>
      </c>
      <c r="C3247" s="390" t="s">
        <v>4308</v>
      </c>
      <c r="D3247" s="391" t="s">
        <v>4309</v>
      </c>
      <c r="E3247" s="391" t="s">
        <v>4035</v>
      </c>
      <c r="F3247" s="392">
        <v>65250</v>
      </c>
      <c r="G3247" s="393" t="s">
        <v>3800</v>
      </c>
      <c r="H3247" s="394">
        <v>25.053166573477998</v>
      </c>
      <c r="I3247" s="394"/>
      <c r="J3247" s="392">
        <v>6.2632916433694996</v>
      </c>
      <c r="K3247" s="392">
        <v>6.2632916433694996</v>
      </c>
      <c r="L3247" s="392">
        <v>6.2632916433694996</v>
      </c>
      <c r="M3247" s="392">
        <v>6.2632916433694996</v>
      </c>
      <c r="N3247" s="392"/>
    </row>
    <row r="3248" spans="1:14" hidden="1" outlineLevel="2" x14ac:dyDescent="0.35">
      <c r="A3248" s="388" t="s">
        <v>6510</v>
      </c>
      <c r="B3248" s="389">
        <v>44047</v>
      </c>
      <c r="C3248" s="390" t="s">
        <v>4305</v>
      </c>
      <c r="D3248" s="391" t="s">
        <v>4310</v>
      </c>
      <c r="E3248" s="391" t="s">
        <v>4031</v>
      </c>
      <c r="F3248" s="392">
        <v>26100</v>
      </c>
      <c r="G3248" s="393" t="s">
        <v>3800</v>
      </c>
      <c r="H3248" s="394">
        <v>10.021266629391199</v>
      </c>
      <c r="I3248" s="394"/>
      <c r="J3248" s="392">
        <v>2.5053166573477998</v>
      </c>
      <c r="K3248" s="392">
        <v>2.5053166573477998</v>
      </c>
      <c r="L3248" s="392">
        <v>2.5053166573477998</v>
      </c>
      <c r="M3248" s="392">
        <v>2.5053166573477998</v>
      </c>
      <c r="N3248" s="392"/>
    </row>
    <row r="3249" spans="1:14" hidden="1" outlineLevel="2" x14ac:dyDescent="0.35">
      <c r="A3249" s="388" t="s">
        <v>6510</v>
      </c>
      <c r="B3249" s="389">
        <v>44047</v>
      </c>
      <c r="C3249" s="390" t="s">
        <v>4311</v>
      </c>
      <c r="D3249" s="391" t="s">
        <v>4312</v>
      </c>
      <c r="E3249" s="391" t="s">
        <v>4039</v>
      </c>
      <c r="F3249" s="392">
        <v>26100</v>
      </c>
      <c r="G3249" s="393" t="s">
        <v>3800</v>
      </c>
      <c r="H3249" s="394">
        <v>10.021266629391199</v>
      </c>
      <c r="I3249" s="394"/>
      <c r="J3249" s="392">
        <v>2.5053166573477998</v>
      </c>
      <c r="K3249" s="392">
        <v>2.5053166573477998</v>
      </c>
      <c r="L3249" s="392">
        <v>2.5053166573477998</v>
      </c>
      <c r="M3249" s="392">
        <v>2.5053166573477998</v>
      </c>
      <c r="N3249" s="392"/>
    </row>
    <row r="3250" spans="1:14" hidden="1" outlineLevel="2" x14ac:dyDescent="0.35">
      <c r="A3250" s="388" t="s">
        <v>6510</v>
      </c>
      <c r="B3250" s="389">
        <v>44047</v>
      </c>
      <c r="C3250" s="390" t="s">
        <v>4313</v>
      </c>
      <c r="D3250" s="391" t="s">
        <v>4314</v>
      </c>
      <c r="E3250" s="391" t="s">
        <v>4042</v>
      </c>
      <c r="F3250" s="392">
        <v>6525</v>
      </c>
      <c r="G3250" s="393" t="s">
        <v>3800</v>
      </c>
      <c r="H3250" s="394">
        <v>2.5053166573477998</v>
      </c>
      <c r="I3250" s="394"/>
      <c r="J3250" s="392">
        <v>0.62632916433694996</v>
      </c>
      <c r="K3250" s="392">
        <v>0.62632916433694996</v>
      </c>
      <c r="L3250" s="392">
        <v>0.62632916433694996</v>
      </c>
      <c r="M3250" s="392">
        <v>0.62632916433694996</v>
      </c>
      <c r="N3250" s="392"/>
    </row>
    <row r="3251" spans="1:14" hidden="1" outlineLevel="2" x14ac:dyDescent="0.35">
      <c r="A3251" s="388" t="s">
        <v>6510</v>
      </c>
      <c r="B3251" s="389">
        <v>44070</v>
      </c>
      <c r="C3251" s="390" t="s">
        <v>4315</v>
      </c>
      <c r="D3251" s="391" t="s">
        <v>4316</v>
      </c>
      <c r="E3251" s="391" t="s">
        <v>4031</v>
      </c>
      <c r="F3251" s="392">
        <v>522000</v>
      </c>
      <c r="G3251" s="393" t="s">
        <v>3800</v>
      </c>
      <c r="H3251" s="394">
        <v>200.42533258782399</v>
      </c>
      <c r="I3251" s="394"/>
      <c r="J3251" s="392">
        <v>50.106333146955997</v>
      </c>
      <c r="K3251" s="392">
        <v>50.106333146955997</v>
      </c>
      <c r="L3251" s="392">
        <v>50.106333146955997</v>
      </c>
      <c r="M3251" s="392">
        <v>50.106333146955997</v>
      </c>
      <c r="N3251" s="392"/>
    </row>
    <row r="3252" spans="1:14" hidden="1" outlineLevel="2" x14ac:dyDescent="0.35">
      <c r="A3252" s="388" t="s">
        <v>6510</v>
      </c>
      <c r="B3252" s="389">
        <v>44070</v>
      </c>
      <c r="C3252" s="390" t="s">
        <v>4315</v>
      </c>
      <c r="D3252" s="391" t="s">
        <v>4317</v>
      </c>
      <c r="E3252" s="391" t="s">
        <v>4031</v>
      </c>
      <c r="F3252" s="392">
        <v>78300</v>
      </c>
      <c r="G3252" s="393" t="s">
        <v>3800</v>
      </c>
      <c r="H3252" s="394">
        <v>30.063799888173598</v>
      </c>
      <c r="I3252" s="394"/>
      <c r="J3252" s="392">
        <v>7.5159499720433995</v>
      </c>
      <c r="K3252" s="392">
        <v>7.5159499720433995</v>
      </c>
      <c r="L3252" s="392">
        <v>7.5159499720433995</v>
      </c>
      <c r="M3252" s="392">
        <v>7.5159499720433995</v>
      </c>
      <c r="N3252" s="392"/>
    </row>
    <row r="3253" spans="1:14" hidden="1" outlineLevel="2" x14ac:dyDescent="0.35">
      <c r="A3253" s="388" t="s">
        <v>6510</v>
      </c>
      <c r="B3253" s="389">
        <v>44070</v>
      </c>
      <c r="C3253" s="390" t="s">
        <v>4318</v>
      </c>
      <c r="D3253" s="391" t="s">
        <v>4319</v>
      </c>
      <c r="E3253" s="391" t="s">
        <v>4035</v>
      </c>
      <c r="F3253" s="392">
        <v>65250</v>
      </c>
      <c r="G3253" s="393" t="s">
        <v>3800</v>
      </c>
      <c r="H3253" s="394">
        <v>25.053166573477998</v>
      </c>
      <c r="I3253" s="394"/>
      <c r="J3253" s="392">
        <v>6.2632916433694996</v>
      </c>
      <c r="K3253" s="392">
        <v>6.2632916433694996</v>
      </c>
      <c r="L3253" s="392">
        <v>6.2632916433694996</v>
      </c>
      <c r="M3253" s="392">
        <v>6.2632916433694996</v>
      </c>
      <c r="N3253" s="392"/>
    </row>
    <row r="3254" spans="1:14" hidden="1" outlineLevel="2" x14ac:dyDescent="0.35">
      <c r="A3254" s="388" t="s">
        <v>6510</v>
      </c>
      <c r="B3254" s="389">
        <v>44070</v>
      </c>
      <c r="C3254" s="390" t="s">
        <v>4315</v>
      </c>
      <c r="D3254" s="391" t="s">
        <v>4320</v>
      </c>
      <c r="E3254" s="391" t="s">
        <v>4031</v>
      </c>
      <c r="F3254" s="392">
        <v>26100</v>
      </c>
      <c r="G3254" s="393" t="s">
        <v>3800</v>
      </c>
      <c r="H3254" s="394">
        <v>10.021266629391199</v>
      </c>
      <c r="I3254" s="394"/>
      <c r="J3254" s="392">
        <v>2.5053166573477998</v>
      </c>
      <c r="K3254" s="392">
        <v>2.5053166573477998</v>
      </c>
      <c r="L3254" s="392">
        <v>2.5053166573477998</v>
      </c>
      <c r="M3254" s="392">
        <v>2.5053166573477998</v>
      </c>
      <c r="N3254" s="392"/>
    </row>
    <row r="3255" spans="1:14" hidden="1" outlineLevel="2" x14ac:dyDescent="0.35">
      <c r="A3255" s="388" t="s">
        <v>6510</v>
      </c>
      <c r="B3255" s="389">
        <v>44070</v>
      </c>
      <c r="C3255" s="390" t="s">
        <v>4321</v>
      </c>
      <c r="D3255" s="391" t="s">
        <v>4322</v>
      </c>
      <c r="E3255" s="391" t="s">
        <v>4039</v>
      </c>
      <c r="F3255" s="392">
        <v>26100</v>
      </c>
      <c r="G3255" s="393" t="s">
        <v>3800</v>
      </c>
      <c r="H3255" s="394">
        <v>10.021266629391199</v>
      </c>
      <c r="I3255" s="394"/>
      <c r="J3255" s="392">
        <v>2.5053166573477998</v>
      </c>
      <c r="K3255" s="392">
        <v>2.5053166573477998</v>
      </c>
      <c r="L3255" s="392">
        <v>2.5053166573477998</v>
      </c>
      <c r="M3255" s="392">
        <v>2.5053166573477998</v>
      </c>
      <c r="N3255" s="392"/>
    </row>
    <row r="3256" spans="1:14" hidden="1" outlineLevel="2" x14ac:dyDescent="0.35">
      <c r="A3256" s="388" t="s">
        <v>6510</v>
      </c>
      <c r="B3256" s="389">
        <v>44070</v>
      </c>
      <c r="C3256" s="390" t="s">
        <v>4323</v>
      </c>
      <c r="D3256" s="391" t="s">
        <v>4324</v>
      </c>
      <c r="E3256" s="391" t="s">
        <v>4042</v>
      </c>
      <c r="F3256" s="392">
        <v>6525</v>
      </c>
      <c r="G3256" s="393" t="s">
        <v>3800</v>
      </c>
      <c r="H3256" s="394">
        <v>2.5053166573477998</v>
      </c>
      <c r="I3256" s="394"/>
      <c r="J3256" s="392">
        <v>0.62632916433694996</v>
      </c>
      <c r="K3256" s="392">
        <v>0.62632916433694996</v>
      </c>
      <c r="L3256" s="392">
        <v>0.62632916433694996</v>
      </c>
      <c r="M3256" s="392">
        <v>0.62632916433694996</v>
      </c>
      <c r="N3256" s="392"/>
    </row>
    <row r="3257" spans="1:14" hidden="1" outlineLevel="2" x14ac:dyDescent="0.35">
      <c r="A3257" s="388" t="s">
        <v>6510</v>
      </c>
      <c r="B3257" s="389">
        <v>44104</v>
      </c>
      <c r="C3257" s="390" t="s">
        <v>4325</v>
      </c>
      <c r="D3257" s="391" t="s">
        <v>4326</v>
      </c>
      <c r="E3257" s="391" t="s">
        <v>4031</v>
      </c>
      <c r="F3257" s="392">
        <v>522000</v>
      </c>
      <c r="G3257" s="393" t="s">
        <v>3800</v>
      </c>
      <c r="H3257" s="394">
        <v>200.42533258782399</v>
      </c>
      <c r="I3257" s="394"/>
      <c r="J3257" s="392">
        <v>50.106333146955997</v>
      </c>
      <c r="K3257" s="392">
        <v>50.106333146955997</v>
      </c>
      <c r="L3257" s="392">
        <v>50.106333146955997</v>
      </c>
      <c r="M3257" s="392">
        <v>50.106333146955997</v>
      </c>
      <c r="N3257" s="392"/>
    </row>
    <row r="3258" spans="1:14" hidden="1" outlineLevel="2" collapsed="1" x14ac:dyDescent="0.35">
      <c r="A3258" s="388" t="s">
        <v>6510</v>
      </c>
      <c r="B3258" s="389">
        <v>44104</v>
      </c>
      <c r="C3258" s="390" t="s">
        <v>4325</v>
      </c>
      <c r="D3258" s="391" t="s">
        <v>4327</v>
      </c>
      <c r="E3258" s="391" t="s">
        <v>4031</v>
      </c>
      <c r="F3258" s="392">
        <v>78300</v>
      </c>
      <c r="G3258" s="393" t="s">
        <v>3800</v>
      </c>
      <c r="H3258" s="394">
        <v>30.063799888173598</v>
      </c>
      <c r="I3258" s="394"/>
      <c r="J3258" s="392">
        <v>7.5159499720433995</v>
      </c>
      <c r="K3258" s="392">
        <v>7.5159499720433995</v>
      </c>
      <c r="L3258" s="392">
        <v>7.5159499720433995</v>
      </c>
      <c r="M3258" s="392">
        <v>7.5159499720433995</v>
      </c>
      <c r="N3258" s="392"/>
    </row>
    <row r="3259" spans="1:14" hidden="1" outlineLevel="2" x14ac:dyDescent="0.35">
      <c r="A3259" s="388" t="s">
        <v>6510</v>
      </c>
      <c r="B3259" s="389">
        <v>44104</v>
      </c>
      <c r="C3259" s="390" t="s">
        <v>4328</v>
      </c>
      <c r="D3259" s="391" t="s">
        <v>4329</v>
      </c>
      <c r="E3259" s="391" t="s">
        <v>4035</v>
      </c>
      <c r="F3259" s="392">
        <v>65250</v>
      </c>
      <c r="G3259" s="393" t="s">
        <v>3800</v>
      </c>
      <c r="H3259" s="394">
        <v>25.053166573477998</v>
      </c>
      <c r="I3259" s="394"/>
      <c r="J3259" s="392">
        <v>6.2632916433694996</v>
      </c>
      <c r="K3259" s="392">
        <v>6.2632916433694996</v>
      </c>
      <c r="L3259" s="392">
        <v>6.2632916433694996</v>
      </c>
      <c r="M3259" s="392">
        <v>6.2632916433694996</v>
      </c>
      <c r="N3259" s="392"/>
    </row>
    <row r="3260" spans="1:14" hidden="1" outlineLevel="2" x14ac:dyDescent="0.35">
      <c r="A3260" s="388" t="s">
        <v>6510</v>
      </c>
      <c r="B3260" s="389">
        <v>44104</v>
      </c>
      <c r="C3260" s="390" t="s">
        <v>4325</v>
      </c>
      <c r="D3260" s="391" t="s">
        <v>4330</v>
      </c>
      <c r="E3260" s="391" t="s">
        <v>4031</v>
      </c>
      <c r="F3260" s="392">
        <v>26100</v>
      </c>
      <c r="G3260" s="393" t="s">
        <v>3800</v>
      </c>
      <c r="H3260" s="394">
        <v>10.021266629391199</v>
      </c>
      <c r="I3260" s="394"/>
      <c r="J3260" s="392">
        <v>2.5053166573477998</v>
      </c>
      <c r="K3260" s="392">
        <v>2.5053166573477998</v>
      </c>
      <c r="L3260" s="392">
        <v>2.5053166573477998</v>
      </c>
      <c r="M3260" s="392">
        <v>2.5053166573477998</v>
      </c>
      <c r="N3260" s="392"/>
    </row>
    <row r="3261" spans="1:14" hidden="1" outlineLevel="2" x14ac:dyDescent="0.35">
      <c r="A3261" s="388" t="s">
        <v>6510</v>
      </c>
      <c r="B3261" s="389">
        <v>44104</v>
      </c>
      <c r="C3261" s="390" t="s">
        <v>4331</v>
      </c>
      <c r="D3261" s="391" t="s">
        <v>4332</v>
      </c>
      <c r="E3261" s="391" t="s">
        <v>4039</v>
      </c>
      <c r="F3261" s="392">
        <v>26100</v>
      </c>
      <c r="G3261" s="393" t="s">
        <v>3800</v>
      </c>
      <c r="H3261" s="394">
        <v>10.021266629391199</v>
      </c>
      <c r="I3261" s="394"/>
      <c r="J3261" s="392">
        <v>2.5053166573477998</v>
      </c>
      <c r="K3261" s="392">
        <v>2.5053166573477998</v>
      </c>
      <c r="L3261" s="392">
        <v>2.5053166573477998</v>
      </c>
      <c r="M3261" s="392">
        <v>2.5053166573477998</v>
      </c>
      <c r="N3261" s="392"/>
    </row>
    <row r="3262" spans="1:14" hidden="1" outlineLevel="2" x14ac:dyDescent="0.35">
      <c r="A3262" s="388" t="s">
        <v>6510</v>
      </c>
      <c r="B3262" s="389">
        <v>44104</v>
      </c>
      <c r="C3262" s="390" t="s">
        <v>4333</v>
      </c>
      <c r="D3262" s="391" t="s">
        <v>4334</v>
      </c>
      <c r="E3262" s="391" t="s">
        <v>4042</v>
      </c>
      <c r="F3262" s="392">
        <v>6525</v>
      </c>
      <c r="G3262" s="393" t="s">
        <v>3800</v>
      </c>
      <c r="H3262" s="394">
        <v>2.5053166573477998</v>
      </c>
      <c r="I3262" s="394"/>
      <c r="J3262" s="392">
        <v>0.62632916433694996</v>
      </c>
      <c r="K3262" s="392">
        <v>0.62632916433694996</v>
      </c>
      <c r="L3262" s="392">
        <v>0.62632916433694996</v>
      </c>
      <c r="M3262" s="392">
        <v>0.62632916433694996</v>
      </c>
      <c r="N3262" s="392"/>
    </row>
    <row r="3263" spans="1:14" hidden="1" outlineLevel="2" x14ac:dyDescent="0.35">
      <c r="A3263" s="388" t="s">
        <v>6510</v>
      </c>
      <c r="B3263" s="389">
        <v>44131</v>
      </c>
      <c r="C3263" s="390" t="s">
        <v>4335</v>
      </c>
      <c r="D3263" s="391" t="s">
        <v>4336</v>
      </c>
      <c r="E3263" s="391" t="s">
        <v>4031</v>
      </c>
      <c r="F3263" s="392">
        <v>522000</v>
      </c>
      <c r="G3263" s="393" t="s">
        <v>3800</v>
      </c>
      <c r="H3263" s="394">
        <v>200.42533258782399</v>
      </c>
      <c r="I3263" s="394"/>
      <c r="J3263" s="392">
        <v>50.106333146955997</v>
      </c>
      <c r="K3263" s="392">
        <v>50.106333146955997</v>
      </c>
      <c r="L3263" s="392">
        <v>50.106333146955997</v>
      </c>
      <c r="M3263" s="392">
        <v>50.106333146955997</v>
      </c>
      <c r="N3263" s="392"/>
    </row>
    <row r="3264" spans="1:14" hidden="1" outlineLevel="2" x14ac:dyDescent="0.35">
      <c r="A3264" s="388" t="s">
        <v>6510</v>
      </c>
      <c r="B3264" s="389">
        <v>44131</v>
      </c>
      <c r="C3264" s="390" t="s">
        <v>4335</v>
      </c>
      <c r="D3264" s="391" t="s">
        <v>4337</v>
      </c>
      <c r="E3264" s="391" t="s">
        <v>4031</v>
      </c>
      <c r="F3264" s="392">
        <v>78300</v>
      </c>
      <c r="G3264" s="393" t="s">
        <v>3800</v>
      </c>
      <c r="H3264" s="394">
        <v>30.063799888173598</v>
      </c>
      <c r="I3264" s="394"/>
      <c r="J3264" s="392">
        <v>7.5159499720433995</v>
      </c>
      <c r="K3264" s="392">
        <v>7.5159499720433995</v>
      </c>
      <c r="L3264" s="392">
        <v>7.5159499720433995</v>
      </c>
      <c r="M3264" s="392">
        <v>7.5159499720433995</v>
      </c>
      <c r="N3264" s="392"/>
    </row>
    <row r="3265" spans="1:14" hidden="1" outlineLevel="2" collapsed="1" x14ac:dyDescent="0.35">
      <c r="A3265" s="388" t="s">
        <v>6510</v>
      </c>
      <c r="B3265" s="389">
        <v>44131</v>
      </c>
      <c r="C3265" s="390" t="s">
        <v>4338</v>
      </c>
      <c r="D3265" s="391" t="s">
        <v>4339</v>
      </c>
      <c r="E3265" s="391" t="s">
        <v>4035</v>
      </c>
      <c r="F3265" s="392">
        <v>65250</v>
      </c>
      <c r="G3265" s="393" t="s">
        <v>3800</v>
      </c>
      <c r="H3265" s="394">
        <v>25.053166573477998</v>
      </c>
      <c r="I3265" s="394"/>
      <c r="J3265" s="392">
        <v>6.2632916433694996</v>
      </c>
      <c r="K3265" s="392">
        <v>6.2632916433694996</v>
      </c>
      <c r="L3265" s="392">
        <v>6.2632916433694996</v>
      </c>
      <c r="M3265" s="392">
        <v>6.2632916433694996</v>
      </c>
      <c r="N3265" s="392"/>
    </row>
    <row r="3266" spans="1:14" hidden="1" outlineLevel="2" x14ac:dyDescent="0.35">
      <c r="A3266" s="388" t="s">
        <v>6510</v>
      </c>
      <c r="B3266" s="389">
        <v>44131</v>
      </c>
      <c r="C3266" s="390" t="s">
        <v>4325</v>
      </c>
      <c r="D3266" s="391" t="s">
        <v>4340</v>
      </c>
      <c r="E3266" s="391" t="s">
        <v>4031</v>
      </c>
      <c r="F3266" s="392">
        <v>26100</v>
      </c>
      <c r="G3266" s="393" t="s">
        <v>3800</v>
      </c>
      <c r="H3266" s="394">
        <v>10.021266629391199</v>
      </c>
      <c r="I3266" s="394"/>
      <c r="J3266" s="392">
        <v>2.5053166573477998</v>
      </c>
      <c r="K3266" s="392">
        <v>2.5053166573477998</v>
      </c>
      <c r="L3266" s="392">
        <v>2.5053166573477998</v>
      </c>
      <c r="M3266" s="392">
        <v>2.5053166573477998</v>
      </c>
      <c r="N3266" s="392"/>
    </row>
    <row r="3267" spans="1:14" hidden="1" outlineLevel="2" x14ac:dyDescent="0.35">
      <c r="A3267" s="388" t="s">
        <v>6510</v>
      </c>
      <c r="B3267" s="389">
        <v>44131</v>
      </c>
      <c r="C3267" s="390" t="s">
        <v>4341</v>
      </c>
      <c r="D3267" s="391" t="s">
        <v>4342</v>
      </c>
      <c r="E3267" s="391" t="s">
        <v>4039</v>
      </c>
      <c r="F3267" s="392">
        <v>26100</v>
      </c>
      <c r="G3267" s="393" t="s">
        <v>3800</v>
      </c>
      <c r="H3267" s="394">
        <v>10.021266629391199</v>
      </c>
      <c r="I3267" s="394"/>
      <c r="J3267" s="392">
        <v>2.5053166573477998</v>
      </c>
      <c r="K3267" s="392">
        <v>2.5053166573477998</v>
      </c>
      <c r="L3267" s="392">
        <v>2.5053166573477998</v>
      </c>
      <c r="M3267" s="392">
        <v>2.5053166573477998</v>
      </c>
      <c r="N3267" s="392"/>
    </row>
    <row r="3268" spans="1:14" hidden="1" outlineLevel="2" x14ac:dyDescent="0.35">
      <c r="A3268" s="388" t="s">
        <v>6510</v>
      </c>
      <c r="B3268" s="389">
        <v>44131</v>
      </c>
      <c r="C3268" s="390" t="s">
        <v>4343</v>
      </c>
      <c r="D3268" s="391" t="s">
        <v>4344</v>
      </c>
      <c r="E3268" s="391" t="s">
        <v>4042</v>
      </c>
      <c r="F3268" s="392">
        <v>6525</v>
      </c>
      <c r="G3268" s="393" t="s">
        <v>3800</v>
      </c>
      <c r="H3268" s="394">
        <v>2.5053166573477998</v>
      </c>
      <c r="I3268" s="394"/>
      <c r="J3268" s="392">
        <v>0.62632916433694996</v>
      </c>
      <c r="K3268" s="392">
        <v>0.62632916433694996</v>
      </c>
      <c r="L3268" s="392">
        <v>0.62632916433694996</v>
      </c>
      <c r="M3268" s="392">
        <v>0.62632916433694996</v>
      </c>
      <c r="N3268" s="392"/>
    </row>
    <row r="3269" spans="1:14" hidden="1" outlineLevel="2" x14ac:dyDescent="0.35">
      <c r="A3269" s="388" t="s">
        <v>6510</v>
      </c>
      <c r="B3269" s="389">
        <v>44165</v>
      </c>
      <c r="C3269" s="390" t="s">
        <v>4345</v>
      </c>
      <c r="D3269" s="391" t="s">
        <v>4346</v>
      </c>
      <c r="E3269" s="391" t="s">
        <v>4031</v>
      </c>
      <c r="F3269" s="392">
        <v>522000</v>
      </c>
      <c r="G3269" s="393" t="s">
        <v>3800</v>
      </c>
      <c r="H3269" s="394">
        <v>200.42533258782399</v>
      </c>
      <c r="I3269" s="394"/>
      <c r="J3269" s="392">
        <v>50.106333146955997</v>
      </c>
      <c r="K3269" s="392">
        <v>50.106333146955997</v>
      </c>
      <c r="L3269" s="392">
        <v>50.106333146955997</v>
      </c>
      <c r="M3269" s="392">
        <v>50.106333146955997</v>
      </c>
      <c r="N3269" s="392"/>
    </row>
    <row r="3270" spans="1:14" hidden="1" outlineLevel="2" x14ac:dyDescent="0.35">
      <c r="A3270" s="388" t="s">
        <v>6510</v>
      </c>
      <c r="B3270" s="389">
        <v>44165</v>
      </c>
      <c r="C3270" s="390" t="s">
        <v>4345</v>
      </c>
      <c r="D3270" s="391" t="s">
        <v>4347</v>
      </c>
      <c r="E3270" s="391" t="s">
        <v>4031</v>
      </c>
      <c r="F3270" s="392">
        <v>78300</v>
      </c>
      <c r="G3270" s="393" t="s">
        <v>3800</v>
      </c>
      <c r="H3270" s="394">
        <v>30.063799888173598</v>
      </c>
      <c r="I3270" s="394"/>
      <c r="J3270" s="392">
        <v>7.5159499720433995</v>
      </c>
      <c r="K3270" s="392">
        <v>7.5159499720433995</v>
      </c>
      <c r="L3270" s="392">
        <v>7.5159499720433995</v>
      </c>
      <c r="M3270" s="392">
        <v>7.5159499720433995</v>
      </c>
      <c r="N3270" s="392"/>
    </row>
    <row r="3271" spans="1:14" hidden="1" outlineLevel="2" x14ac:dyDescent="0.35">
      <c r="A3271" s="388" t="s">
        <v>6510</v>
      </c>
      <c r="B3271" s="389">
        <v>44165</v>
      </c>
      <c r="C3271" s="390" t="s">
        <v>4348</v>
      </c>
      <c r="D3271" s="391" t="s">
        <v>4349</v>
      </c>
      <c r="E3271" s="391" t="s">
        <v>4035</v>
      </c>
      <c r="F3271" s="392">
        <v>65250</v>
      </c>
      <c r="G3271" s="393" t="s">
        <v>3800</v>
      </c>
      <c r="H3271" s="394">
        <v>25.053166573477998</v>
      </c>
      <c r="I3271" s="394"/>
      <c r="J3271" s="392">
        <v>6.2632916433694996</v>
      </c>
      <c r="K3271" s="392">
        <v>6.2632916433694996</v>
      </c>
      <c r="L3271" s="392">
        <v>6.2632916433694996</v>
      </c>
      <c r="M3271" s="392">
        <v>6.2632916433694996</v>
      </c>
      <c r="N3271" s="392"/>
    </row>
    <row r="3272" spans="1:14" hidden="1" outlineLevel="2" x14ac:dyDescent="0.35">
      <c r="A3272" s="388" t="s">
        <v>6510</v>
      </c>
      <c r="B3272" s="389">
        <v>44165</v>
      </c>
      <c r="C3272" s="390" t="s">
        <v>4345</v>
      </c>
      <c r="D3272" s="391" t="s">
        <v>4350</v>
      </c>
      <c r="E3272" s="391" t="s">
        <v>4031</v>
      </c>
      <c r="F3272" s="392">
        <v>26100</v>
      </c>
      <c r="G3272" s="393" t="s">
        <v>3800</v>
      </c>
      <c r="H3272" s="394">
        <v>10.021266629391199</v>
      </c>
      <c r="I3272" s="394"/>
      <c r="J3272" s="392">
        <v>2.5053166573477998</v>
      </c>
      <c r="K3272" s="392">
        <v>2.5053166573477998</v>
      </c>
      <c r="L3272" s="392">
        <v>2.5053166573477998</v>
      </c>
      <c r="M3272" s="392">
        <v>2.5053166573477998</v>
      </c>
      <c r="N3272" s="392"/>
    </row>
    <row r="3273" spans="1:14" hidden="1" outlineLevel="2" collapsed="1" x14ac:dyDescent="0.35">
      <c r="A3273" s="388" t="s">
        <v>6510</v>
      </c>
      <c r="B3273" s="389">
        <v>44165</v>
      </c>
      <c r="C3273" s="390" t="s">
        <v>4351</v>
      </c>
      <c r="D3273" s="391" t="s">
        <v>4352</v>
      </c>
      <c r="E3273" s="391" t="s">
        <v>4039</v>
      </c>
      <c r="F3273" s="392">
        <v>26100</v>
      </c>
      <c r="G3273" s="393" t="s">
        <v>3800</v>
      </c>
      <c r="H3273" s="394">
        <v>10.021266629391199</v>
      </c>
      <c r="I3273" s="394"/>
      <c r="J3273" s="392">
        <v>2.5053166573477998</v>
      </c>
      <c r="K3273" s="392">
        <v>2.5053166573477998</v>
      </c>
      <c r="L3273" s="392">
        <v>2.5053166573477998</v>
      </c>
      <c r="M3273" s="392">
        <v>2.5053166573477998</v>
      </c>
      <c r="N3273" s="392"/>
    </row>
    <row r="3274" spans="1:14" hidden="1" outlineLevel="2" x14ac:dyDescent="0.35">
      <c r="A3274" s="388" t="s">
        <v>6510</v>
      </c>
      <c r="B3274" s="389">
        <v>44165</v>
      </c>
      <c r="C3274" s="390" t="s">
        <v>4353</v>
      </c>
      <c r="D3274" s="391" t="s">
        <v>4354</v>
      </c>
      <c r="E3274" s="391" t="s">
        <v>4042</v>
      </c>
      <c r="F3274" s="392">
        <v>6525</v>
      </c>
      <c r="G3274" s="393" t="s">
        <v>3800</v>
      </c>
      <c r="H3274" s="394">
        <v>2.5053166573477998</v>
      </c>
      <c r="I3274" s="394"/>
      <c r="J3274" s="392">
        <v>0.62632916433694996</v>
      </c>
      <c r="K3274" s="392">
        <v>0.62632916433694996</v>
      </c>
      <c r="L3274" s="392">
        <v>0.62632916433694996</v>
      </c>
      <c r="M3274" s="392">
        <v>0.62632916433694996</v>
      </c>
      <c r="N3274" s="392"/>
    </row>
    <row r="3275" spans="1:14" hidden="1" outlineLevel="2" collapsed="1" x14ac:dyDescent="0.35">
      <c r="A3275" s="388" t="s">
        <v>6510</v>
      </c>
      <c r="B3275" s="389">
        <v>44187</v>
      </c>
      <c r="C3275" s="390" t="s">
        <v>4355</v>
      </c>
      <c r="D3275" s="391" t="s">
        <v>4356</v>
      </c>
      <c r="E3275" s="391" t="s">
        <v>4031</v>
      </c>
      <c r="F3275" s="392">
        <v>522000</v>
      </c>
      <c r="G3275" s="393" t="s">
        <v>3800</v>
      </c>
      <c r="H3275" s="394">
        <v>200.42533258782399</v>
      </c>
      <c r="I3275" s="394"/>
      <c r="J3275" s="392">
        <v>50.106333146955997</v>
      </c>
      <c r="K3275" s="392">
        <v>50.106333146955997</v>
      </c>
      <c r="L3275" s="392">
        <v>50.106333146955997</v>
      </c>
      <c r="M3275" s="392">
        <v>50.106333146955997</v>
      </c>
      <c r="N3275" s="392"/>
    </row>
    <row r="3276" spans="1:14" hidden="1" outlineLevel="2" x14ac:dyDescent="0.35">
      <c r="A3276" s="388" t="s">
        <v>6510</v>
      </c>
      <c r="B3276" s="389">
        <v>44187</v>
      </c>
      <c r="C3276" s="390" t="s">
        <v>4355</v>
      </c>
      <c r="D3276" s="391" t="s">
        <v>4357</v>
      </c>
      <c r="E3276" s="391" t="s">
        <v>4031</v>
      </c>
      <c r="F3276" s="392">
        <v>78300</v>
      </c>
      <c r="G3276" s="393" t="s">
        <v>3800</v>
      </c>
      <c r="H3276" s="394">
        <v>30.063799888173598</v>
      </c>
      <c r="I3276" s="394"/>
      <c r="J3276" s="392">
        <v>7.5159499720433995</v>
      </c>
      <c r="K3276" s="392">
        <v>7.5159499720433995</v>
      </c>
      <c r="L3276" s="392">
        <v>7.5159499720433995</v>
      </c>
      <c r="M3276" s="392">
        <v>7.5159499720433995</v>
      </c>
      <c r="N3276" s="392"/>
    </row>
    <row r="3277" spans="1:14" hidden="1" outlineLevel="2" x14ac:dyDescent="0.35">
      <c r="A3277" s="388" t="s">
        <v>6510</v>
      </c>
      <c r="B3277" s="389">
        <v>44187</v>
      </c>
      <c r="C3277" s="390" t="s">
        <v>4358</v>
      </c>
      <c r="D3277" s="391" t="s">
        <v>4359</v>
      </c>
      <c r="E3277" s="391" t="s">
        <v>4035</v>
      </c>
      <c r="F3277" s="392">
        <v>65250</v>
      </c>
      <c r="G3277" s="393" t="s">
        <v>3800</v>
      </c>
      <c r="H3277" s="394">
        <v>25.053166573477998</v>
      </c>
      <c r="I3277" s="394"/>
      <c r="J3277" s="392">
        <v>6.2632916433694996</v>
      </c>
      <c r="K3277" s="392">
        <v>6.2632916433694996</v>
      </c>
      <c r="L3277" s="392">
        <v>6.2632916433694996</v>
      </c>
      <c r="M3277" s="392">
        <v>6.2632916433694996</v>
      </c>
      <c r="N3277" s="392"/>
    </row>
    <row r="3278" spans="1:14" hidden="1" outlineLevel="2" x14ac:dyDescent="0.35">
      <c r="A3278" s="388" t="s">
        <v>6510</v>
      </c>
      <c r="B3278" s="389">
        <v>44187</v>
      </c>
      <c r="C3278" s="390" t="s">
        <v>4355</v>
      </c>
      <c r="D3278" s="391" t="s">
        <v>4360</v>
      </c>
      <c r="E3278" s="391" t="s">
        <v>4031</v>
      </c>
      <c r="F3278" s="392">
        <v>26100</v>
      </c>
      <c r="G3278" s="393" t="s">
        <v>3800</v>
      </c>
      <c r="H3278" s="394">
        <v>10.021266629391199</v>
      </c>
      <c r="I3278" s="394"/>
      <c r="J3278" s="392">
        <v>2.5053166573477998</v>
      </c>
      <c r="K3278" s="392">
        <v>2.5053166573477998</v>
      </c>
      <c r="L3278" s="392">
        <v>2.5053166573477998</v>
      </c>
      <c r="M3278" s="392">
        <v>2.5053166573477998</v>
      </c>
      <c r="N3278" s="392"/>
    </row>
    <row r="3279" spans="1:14" hidden="1" outlineLevel="2" x14ac:dyDescent="0.35">
      <c r="A3279" s="388" t="s">
        <v>6510</v>
      </c>
      <c r="B3279" s="389">
        <v>44187</v>
      </c>
      <c r="C3279" s="390" t="s">
        <v>4361</v>
      </c>
      <c r="D3279" s="391" t="s">
        <v>4362</v>
      </c>
      <c r="E3279" s="391" t="s">
        <v>4039</v>
      </c>
      <c r="F3279" s="392">
        <v>26100</v>
      </c>
      <c r="G3279" s="393" t="s">
        <v>3800</v>
      </c>
      <c r="H3279" s="394">
        <v>10.021266629391199</v>
      </c>
      <c r="I3279" s="394"/>
      <c r="J3279" s="392">
        <v>2.5053166573477998</v>
      </c>
      <c r="K3279" s="392">
        <v>2.5053166573477998</v>
      </c>
      <c r="L3279" s="392">
        <v>2.5053166573477998</v>
      </c>
      <c r="M3279" s="392">
        <v>2.5053166573477998</v>
      </c>
      <c r="N3279" s="392"/>
    </row>
    <row r="3280" spans="1:14" hidden="1" outlineLevel="2" x14ac:dyDescent="0.35">
      <c r="A3280" s="388" t="s">
        <v>6510</v>
      </c>
      <c r="B3280" s="389">
        <v>44187</v>
      </c>
      <c r="C3280" s="390" t="s">
        <v>4363</v>
      </c>
      <c r="D3280" s="391" t="s">
        <v>4364</v>
      </c>
      <c r="E3280" s="391" t="s">
        <v>4042</v>
      </c>
      <c r="F3280" s="392">
        <v>6525</v>
      </c>
      <c r="G3280" s="393" t="s">
        <v>3800</v>
      </c>
      <c r="H3280" s="394">
        <v>2.5053166573477998</v>
      </c>
      <c r="I3280" s="394"/>
      <c r="J3280" s="392">
        <v>0.62632916433694996</v>
      </c>
      <c r="K3280" s="392">
        <v>0.62632916433694996</v>
      </c>
      <c r="L3280" s="392">
        <v>0.62632916433694996</v>
      </c>
      <c r="M3280" s="392">
        <v>0.62632916433694996</v>
      </c>
      <c r="N3280" s="392"/>
    </row>
    <row r="3281" spans="1:14" s="360" customFormat="1" outlineLevel="1" collapsed="1" x14ac:dyDescent="0.35">
      <c r="A3281" s="396" t="s">
        <v>6511</v>
      </c>
      <c r="B3281" s="397"/>
      <c r="C3281" s="398"/>
      <c r="D3281" s="399"/>
      <c r="E3281" s="399"/>
      <c r="F3281" s="400"/>
      <c r="G3281" s="401"/>
      <c r="H3281" s="402">
        <f t="shared" ref="H3281:N3281" si="128">SUBTOTAL(9,H3221:H3280)</f>
        <v>2780.9014896560566</v>
      </c>
      <c r="I3281" s="402"/>
      <c r="J3281" s="400">
        <f t="shared" si="128"/>
        <v>695.22537241401415</v>
      </c>
      <c r="K3281" s="400">
        <f t="shared" si="128"/>
        <v>695.22537241401415</v>
      </c>
      <c r="L3281" s="400">
        <f t="shared" si="128"/>
        <v>695.22537241401415</v>
      </c>
      <c r="M3281" s="400">
        <f t="shared" si="128"/>
        <v>695.22537241401415</v>
      </c>
      <c r="N3281" s="400">
        <f t="shared" si="128"/>
        <v>0</v>
      </c>
    </row>
    <row r="3282" spans="1:14" hidden="1" outlineLevel="2" collapsed="1" x14ac:dyDescent="0.35">
      <c r="A3282" s="388" t="s">
        <v>6512</v>
      </c>
      <c r="B3282" s="389">
        <v>44286</v>
      </c>
      <c r="C3282" s="390" t="s">
        <v>6513</v>
      </c>
      <c r="D3282" s="391" t="s">
        <v>6514</v>
      </c>
      <c r="E3282" s="391" t="s">
        <v>6515</v>
      </c>
      <c r="F3282" s="392">
        <v>1586000</v>
      </c>
      <c r="G3282" s="393" t="s">
        <v>3800</v>
      </c>
      <c r="H3282" s="394">
        <v>590.13860091605068</v>
      </c>
      <c r="I3282" s="394"/>
      <c r="J3282" s="392"/>
      <c r="K3282" s="392"/>
      <c r="L3282" s="392"/>
      <c r="M3282" s="392"/>
      <c r="N3282" s="392">
        <f>H3282</f>
        <v>590.13860091605068</v>
      </c>
    </row>
    <row r="3283" spans="1:14" hidden="1" outlineLevel="2" x14ac:dyDescent="0.35">
      <c r="A3283" s="388" t="s">
        <v>6512</v>
      </c>
      <c r="B3283" s="389">
        <v>44571</v>
      </c>
      <c r="C3283" s="390" t="s">
        <v>6516</v>
      </c>
      <c r="D3283" s="391" t="s">
        <v>6517</v>
      </c>
      <c r="E3283" s="391" t="s">
        <v>6518</v>
      </c>
      <c r="F3283" s="392">
        <v>2100000</v>
      </c>
      <c r="G3283" s="393" t="s">
        <v>3800</v>
      </c>
      <c r="H3283" s="394">
        <v>781.39411218392593</v>
      </c>
      <c r="I3283" s="394"/>
      <c r="J3283" s="392"/>
      <c r="K3283" s="392"/>
      <c r="L3283" s="392"/>
      <c r="M3283" s="392"/>
      <c r="N3283" s="392">
        <v>781.39411218392593</v>
      </c>
    </row>
    <row r="3284" spans="1:14" outlineLevel="1" collapsed="1" x14ac:dyDescent="0.35">
      <c r="A3284" s="395" t="s">
        <v>6519</v>
      </c>
      <c r="B3284" s="389"/>
      <c r="C3284" s="390"/>
      <c r="D3284" s="391"/>
      <c r="E3284" s="391"/>
      <c r="F3284" s="392"/>
      <c r="G3284" s="393"/>
      <c r="H3284" s="394">
        <f t="shared" ref="H3284:N3284" si="129">SUBTOTAL(9,H3282:H3283)</f>
        <v>1371.5327130999767</v>
      </c>
      <c r="I3284" s="394"/>
      <c r="J3284" s="392">
        <f t="shared" si="129"/>
        <v>0</v>
      </c>
      <c r="K3284" s="392">
        <f t="shared" si="129"/>
        <v>0</v>
      </c>
      <c r="L3284" s="392">
        <f t="shared" si="129"/>
        <v>0</v>
      </c>
      <c r="M3284" s="392">
        <f t="shared" si="129"/>
        <v>0</v>
      </c>
      <c r="N3284" s="392">
        <f t="shared" si="129"/>
        <v>1371.5327130999767</v>
      </c>
    </row>
    <row r="3285" spans="1:14" hidden="1" outlineLevel="2" x14ac:dyDescent="0.35">
      <c r="A3285" s="388" t="s">
        <v>223</v>
      </c>
      <c r="B3285" s="389">
        <v>43738</v>
      </c>
      <c r="C3285" s="390" t="s">
        <v>1087</v>
      </c>
      <c r="D3285" s="391" t="s">
        <v>1961</v>
      </c>
      <c r="E3285" s="391" t="s">
        <v>1962</v>
      </c>
      <c r="F3285" s="392">
        <v>3213.68</v>
      </c>
      <c r="G3285" s="393" t="s">
        <v>56</v>
      </c>
      <c r="H3285" s="394">
        <v>3213.68</v>
      </c>
      <c r="I3285" s="394"/>
      <c r="J3285" s="392">
        <f t="shared" ref="J3285:N3290" si="130">$H3285/5</f>
        <v>642.73599999999999</v>
      </c>
      <c r="K3285" s="392">
        <f t="shared" si="130"/>
        <v>642.73599999999999</v>
      </c>
      <c r="L3285" s="392">
        <f t="shared" si="130"/>
        <v>642.73599999999999</v>
      </c>
      <c r="M3285" s="392">
        <f t="shared" si="130"/>
        <v>642.73599999999999</v>
      </c>
      <c r="N3285" s="392">
        <f t="shared" si="130"/>
        <v>642.73599999999999</v>
      </c>
    </row>
    <row r="3286" spans="1:14" hidden="1" outlineLevel="2" x14ac:dyDescent="0.35">
      <c r="A3286" s="388" t="s">
        <v>223</v>
      </c>
      <c r="B3286" s="389">
        <v>43830</v>
      </c>
      <c r="C3286" s="390" t="s">
        <v>1090</v>
      </c>
      <c r="D3286" s="391" t="s">
        <v>1963</v>
      </c>
      <c r="E3286" s="391" t="s">
        <v>1962</v>
      </c>
      <c r="F3286" s="392">
        <v>3213.68</v>
      </c>
      <c r="G3286" s="393" t="s">
        <v>56</v>
      </c>
      <c r="H3286" s="394">
        <v>3213.68</v>
      </c>
      <c r="I3286" s="394"/>
      <c r="J3286" s="392">
        <f t="shared" si="130"/>
        <v>642.73599999999999</v>
      </c>
      <c r="K3286" s="392">
        <f t="shared" si="130"/>
        <v>642.73599999999999</v>
      </c>
      <c r="L3286" s="392">
        <f t="shared" si="130"/>
        <v>642.73599999999999</v>
      </c>
      <c r="M3286" s="392">
        <f t="shared" si="130"/>
        <v>642.73599999999999</v>
      </c>
      <c r="N3286" s="392">
        <f t="shared" si="130"/>
        <v>642.73599999999999</v>
      </c>
    </row>
    <row r="3287" spans="1:14" hidden="1" outlineLevel="2" x14ac:dyDescent="0.35">
      <c r="A3287" s="388" t="s">
        <v>223</v>
      </c>
      <c r="B3287" s="389">
        <v>43921</v>
      </c>
      <c r="C3287" s="390" t="s">
        <v>1092</v>
      </c>
      <c r="D3287" s="391" t="s">
        <v>1964</v>
      </c>
      <c r="E3287" s="391" t="s">
        <v>1962</v>
      </c>
      <c r="F3287" s="392">
        <v>1243.8599999999999</v>
      </c>
      <c r="G3287" s="393" t="s">
        <v>56</v>
      </c>
      <c r="H3287" s="394">
        <v>1243.8599999999999</v>
      </c>
      <c r="I3287" s="394"/>
      <c r="J3287" s="392">
        <f t="shared" si="130"/>
        <v>248.77199999999999</v>
      </c>
      <c r="K3287" s="392">
        <f t="shared" si="130"/>
        <v>248.77199999999999</v>
      </c>
      <c r="L3287" s="392">
        <f t="shared" si="130"/>
        <v>248.77199999999999</v>
      </c>
      <c r="M3287" s="392">
        <f t="shared" si="130"/>
        <v>248.77199999999999</v>
      </c>
      <c r="N3287" s="392">
        <f t="shared" si="130"/>
        <v>248.77199999999999</v>
      </c>
    </row>
    <row r="3288" spans="1:14" hidden="1" outlineLevel="2" x14ac:dyDescent="0.35">
      <c r="A3288" s="388" t="s">
        <v>223</v>
      </c>
      <c r="B3288" s="389">
        <v>44012</v>
      </c>
      <c r="C3288" s="390" t="s">
        <v>1094</v>
      </c>
      <c r="D3288" s="391" t="s">
        <v>1965</v>
      </c>
      <c r="E3288" s="391" t="s">
        <v>1962</v>
      </c>
      <c r="F3288" s="392">
        <v>1243.8599999999999</v>
      </c>
      <c r="G3288" s="393" t="s">
        <v>56</v>
      </c>
      <c r="H3288" s="394">
        <v>1243.8599999999999</v>
      </c>
      <c r="I3288" s="394"/>
      <c r="J3288" s="392">
        <f t="shared" si="130"/>
        <v>248.77199999999999</v>
      </c>
      <c r="K3288" s="392">
        <f t="shared" si="130"/>
        <v>248.77199999999999</v>
      </c>
      <c r="L3288" s="392">
        <f t="shared" si="130"/>
        <v>248.77199999999999</v>
      </c>
      <c r="M3288" s="392">
        <f t="shared" si="130"/>
        <v>248.77199999999999</v>
      </c>
      <c r="N3288" s="392">
        <f t="shared" si="130"/>
        <v>248.77199999999999</v>
      </c>
    </row>
    <row r="3289" spans="1:14" hidden="1" outlineLevel="2" collapsed="1" x14ac:dyDescent="0.35">
      <c r="A3289" s="388" t="s">
        <v>223</v>
      </c>
      <c r="B3289" s="389">
        <v>44104</v>
      </c>
      <c r="C3289" s="390" t="s">
        <v>1096</v>
      </c>
      <c r="D3289" s="391" t="s">
        <v>1966</v>
      </c>
      <c r="E3289" s="391" t="s">
        <v>1962</v>
      </c>
      <c r="F3289" s="392">
        <v>517.9</v>
      </c>
      <c r="G3289" s="393" t="s">
        <v>56</v>
      </c>
      <c r="H3289" s="394">
        <v>517.9</v>
      </c>
      <c r="I3289" s="394"/>
      <c r="J3289" s="392">
        <f t="shared" si="130"/>
        <v>103.58</v>
      </c>
      <c r="K3289" s="392">
        <f t="shared" si="130"/>
        <v>103.58</v>
      </c>
      <c r="L3289" s="392">
        <f t="shared" si="130"/>
        <v>103.58</v>
      </c>
      <c r="M3289" s="392">
        <f t="shared" si="130"/>
        <v>103.58</v>
      </c>
      <c r="N3289" s="392">
        <f t="shared" si="130"/>
        <v>103.58</v>
      </c>
    </row>
    <row r="3290" spans="1:14" hidden="1" outlineLevel="2" x14ac:dyDescent="0.35">
      <c r="A3290" s="388" t="s">
        <v>223</v>
      </c>
      <c r="B3290" s="389">
        <v>44196</v>
      </c>
      <c r="C3290" s="390" t="s">
        <v>1099</v>
      </c>
      <c r="D3290" s="391" t="s">
        <v>1967</v>
      </c>
      <c r="E3290" s="391" t="s">
        <v>1962</v>
      </c>
      <c r="F3290" s="392">
        <v>517.9</v>
      </c>
      <c r="G3290" s="393" t="s">
        <v>56</v>
      </c>
      <c r="H3290" s="394">
        <v>517.9</v>
      </c>
      <c r="I3290" s="394"/>
      <c r="J3290" s="392">
        <f t="shared" si="130"/>
        <v>103.58</v>
      </c>
      <c r="K3290" s="392">
        <f t="shared" si="130"/>
        <v>103.58</v>
      </c>
      <c r="L3290" s="392">
        <f t="shared" si="130"/>
        <v>103.58</v>
      </c>
      <c r="M3290" s="392">
        <f t="shared" si="130"/>
        <v>103.58</v>
      </c>
      <c r="N3290" s="392">
        <f t="shared" si="130"/>
        <v>103.58</v>
      </c>
    </row>
    <row r="3291" spans="1:14" outlineLevel="1" collapsed="1" x14ac:dyDescent="0.35">
      <c r="A3291" s="395" t="s">
        <v>1972</v>
      </c>
      <c r="B3291" s="389"/>
      <c r="C3291" s="390"/>
      <c r="D3291" s="391"/>
      <c r="E3291" s="391"/>
      <c r="F3291" s="392"/>
      <c r="G3291" s="393"/>
      <c r="H3291" s="394">
        <f t="shared" ref="H3291:N3291" si="131">SUBTOTAL(9,H3285:H3290)</f>
        <v>9950.8799999999992</v>
      </c>
      <c r="I3291" s="394"/>
      <c r="J3291" s="392">
        <f t="shared" si="131"/>
        <v>1990.1759999999997</v>
      </c>
      <c r="K3291" s="392">
        <f t="shared" si="131"/>
        <v>1990.1759999999997</v>
      </c>
      <c r="L3291" s="392">
        <f t="shared" si="131"/>
        <v>1990.1759999999997</v>
      </c>
      <c r="M3291" s="392">
        <f t="shared" si="131"/>
        <v>1990.1759999999997</v>
      </c>
      <c r="N3291" s="392">
        <f t="shared" si="131"/>
        <v>1990.1759999999997</v>
      </c>
    </row>
    <row r="3292" spans="1:14" hidden="1" outlineLevel="2" x14ac:dyDescent="0.35">
      <c r="A3292" s="388" t="s">
        <v>6520</v>
      </c>
      <c r="B3292" s="389">
        <v>44438</v>
      </c>
      <c r="C3292" s="390" t="s">
        <v>4561</v>
      </c>
      <c r="D3292" s="391" t="s">
        <v>4562</v>
      </c>
      <c r="E3292" s="391" t="s">
        <v>6521</v>
      </c>
      <c r="F3292" s="392">
        <v>1729729.72</v>
      </c>
      <c r="G3292" s="393" t="s">
        <v>3800</v>
      </c>
      <c r="H3292" s="394">
        <v>643.61934232264321</v>
      </c>
      <c r="I3292" s="394"/>
      <c r="J3292" s="392"/>
      <c r="K3292" s="392"/>
      <c r="L3292" s="392"/>
      <c r="M3292" s="392"/>
      <c r="N3292" s="392">
        <f t="shared" ref="N3292:N3306" si="132">H3292</f>
        <v>643.61934232264321</v>
      </c>
    </row>
    <row r="3293" spans="1:14" hidden="1" outlineLevel="2" x14ac:dyDescent="0.35">
      <c r="A3293" s="388" t="s">
        <v>6520</v>
      </c>
      <c r="B3293" s="389">
        <v>44438</v>
      </c>
      <c r="C3293" s="390" t="s">
        <v>4564</v>
      </c>
      <c r="D3293" s="391" t="s">
        <v>4565</v>
      </c>
      <c r="E3293" s="391" t="s">
        <v>4272</v>
      </c>
      <c r="F3293" s="392">
        <v>172972.97200000001</v>
      </c>
      <c r="G3293" s="393" t="s">
        <v>3800</v>
      </c>
      <c r="H3293" s="394">
        <v>64.361934232264318</v>
      </c>
      <c r="I3293" s="394"/>
      <c r="J3293" s="392"/>
      <c r="K3293" s="392"/>
      <c r="L3293" s="392"/>
      <c r="M3293" s="392"/>
      <c r="N3293" s="392">
        <f t="shared" si="132"/>
        <v>64.361934232264318</v>
      </c>
    </row>
    <row r="3294" spans="1:14" hidden="1" outlineLevel="2" x14ac:dyDescent="0.35">
      <c r="A3294" s="388" t="s">
        <v>6520</v>
      </c>
      <c r="B3294" s="389">
        <v>44438</v>
      </c>
      <c r="C3294" s="390" t="s">
        <v>4566</v>
      </c>
      <c r="D3294" s="391" t="s">
        <v>4567</v>
      </c>
      <c r="E3294" s="391" t="s">
        <v>4042</v>
      </c>
      <c r="F3294" s="392">
        <v>10378.37832</v>
      </c>
      <c r="G3294" s="393" t="s">
        <v>3800</v>
      </c>
      <c r="H3294" s="394">
        <v>3.8617160539358593</v>
      </c>
      <c r="I3294" s="394"/>
      <c r="J3294" s="392"/>
      <c r="K3294" s="392"/>
      <c r="L3294" s="392"/>
      <c r="M3294" s="392"/>
      <c r="N3294" s="392">
        <f t="shared" si="132"/>
        <v>3.8617160539358593</v>
      </c>
    </row>
    <row r="3295" spans="1:14" hidden="1" outlineLevel="2" x14ac:dyDescent="0.35">
      <c r="A3295" s="388" t="s">
        <v>6520</v>
      </c>
      <c r="B3295" s="389">
        <v>44467</v>
      </c>
      <c r="C3295" s="390" t="s">
        <v>4568</v>
      </c>
      <c r="D3295" s="391" t="s">
        <v>4569</v>
      </c>
      <c r="E3295" s="391" t="s">
        <v>6521</v>
      </c>
      <c r="F3295" s="392">
        <v>2162162.16</v>
      </c>
      <c r="G3295" s="393" t="s">
        <v>3800</v>
      </c>
      <c r="H3295" s="394">
        <v>804.52418162422839</v>
      </c>
      <c r="I3295" s="394"/>
      <c r="J3295" s="392"/>
      <c r="K3295" s="392"/>
      <c r="L3295" s="392"/>
      <c r="M3295" s="392"/>
      <c r="N3295" s="392">
        <f t="shared" si="132"/>
        <v>804.52418162422839</v>
      </c>
    </row>
    <row r="3296" spans="1:14" hidden="1" outlineLevel="2" x14ac:dyDescent="0.35">
      <c r="A3296" s="388" t="s">
        <v>6520</v>
      </c>
      <c r="B3296" s="389">
        <v>44467</v>
      </c>
      <c r="C3296" s="390" t="s">
        <v>4570</v>
      </c>
      <c r="D3296" s="391" t="s">
        <v>4602</v>
      </c>
      <c r="E3296" s="391" t="s">
        <v>4272</v>
      </c>
      <c r="F3296" s="392">
        <v>216216.21600000001</v>
      </c>
      <c r="G3296" s="393" t="s">
        <v>3800</v>
      </c>
      <c r="H3296" s="394">
        <v>80.452418162422845</v>
      </c>
      <c r="I3296" s="394"/>
      <c r="J3296" s="392"/>
      <c r="K3296" s="392"/>
      <c r="L3296" s="392"/>
      <c r="M3296" s="392"/>
      <c r="N3296" s="392">
        <f t="shared" si="132"/>
        <v>80.452418162422845</v>
      </c>
    </row>
    <row r="3297" spans="1:14" hidden="1" outlineLevel="2" x14ac:dyDescent="0.35">
      <c r="A3297" s="388" t="s">
        <v>6520</v>
      </c>
      <c r="B3297" s="389">
        <v>44467</v>
      </c>
      <c r="C3297" s="390" t="s">
        <v>4572</v>
      </c>
      <c r="D3297" s="391" t="s">
        <v>4603</v>
      </c>
      <c r="E3297" s="391" t="s">
        <v>4042</v>
      </c>
      <c r="F3297" s="392">
        <v>12972.972960000001</v>
      </c>
      <c r="G3297" s="393" t="s">
        <v>3800</v>
      </c>
      <c r="H3297" s="394">
        <v>4.8271450897453709</v>
      </c>
      <c r="I3297" s="394"/>
      <c r="J3297" s="392"/>
      <c r="K3297" s="392"/>
      <c r="L3297" s="392"/>
      <c r="M3297" s="392"/>
      <c r="N3297" s="392">
        <f t="shared" si="132"/>
        <v>4.8271450897453709</v>
      </c>
    </row>
    <row r="3298" spans="1:14" hidden="1" outlineLevel="2" x14ac:dyDescent="0.35">
      <c r="A3298" s="388" t="s">
        <v>6520</v>
      </c>
      <c r="B3298" s="389">
        <v>44497</v>
      </c>
      <c r="C3298" s="390" t="s">
        <v>4574</v>
      </c>
      <c r="D3298" s="391" t="s">
        <v>4575</v>
      </c>
      <c r="E3298" s="391" t="s">
        <v>6522</v>
      </c>
      <c r="F3298" s="392">
        <v>1081081.08</v>
      </c>
      <c r="G3298" s="393" t="s">
        <v>3800</v>
      </c>
      <c r="H3298" s="394">
        <v>402.2620908121142</v>
      </c>
      <c r="I3298" s="394"/>
      <c r="J3298" s="392"/>
      <c r="K3298" s="392"/>
      <c r="L3298" s="392"/>
      <c r="M3298" s="392"/>
      <c r="N3298" s="392">
        <f t="shared" si="132"/>
        <v>402.2620908121142</v>
      </c>
    </row>
    <row r="3299" spans="1:14" hidden="1" outlineLevel="2" x14ac:dyDescent="0.35">
      <c r="A3299" s="388" t="s">
        <v>6520</v>
      </c>
      <c r="B3299" s="389">
        <v>44497</v>
      </c>
      <c r="C3299" s="390" t="s">
        <v>4576</v>
      </c>
      <c r="D3299" s="391" t="s">
        <v>4604</v>
      </c>
      <c r="E3299" s="391" t="s">
        <v>4272</v>
      </c>
      <c r="F3299" s="392">
        <v>108108.10800000001</v>
      </c>
      <c r="G3299" s="393" t="s">
        <v>3800</v>
      </c>
      <c r="H3299" s="394">
        <v>40.226209081211422</v>
      </c>
      <c r="I3299" s="394"/>
      <c r="J3299" s="392"/>
      <c r="K3299" s="392"/>
      <c r="L3299" s="392"/>
      <c r="M3299" s="392"/>
      <c r="N3299" s="392">
        <f t="shared" si="132"/>
        <v>40.226209081211422</v>
      </c>
    </row>
    <row r="3300" spans="1:14" hidden="1" outlineLevel="2" x14ac:dyDescent="0.35">
      <c r="A3300" s="388" t="s">
        <v>6520</v>
      </c>
      <c r="B3300" s="389">
        <v>44497</v>
      </c>
      <c r="C3300" s="390" t="s">
        <v>4578</v>
      </c>
      <c r="D3300" s="391" t="s">
        <v>4605</v>
      </c>
      <c r="E3300" s="391" t="s">
        <v>4042</v>
      </c>
      <c r="F3300" s="392">
        <v>6486.4864800000005</v>
      </c>
      <c r="G3300" s="393" t="s">
        <v>3800</v>
      </c>
      <c r="H3300" s="394">
        <v>2.4135725448726855</v>
      </c>
      <c r="I3300" s="394"/>
      <c r="J3300" s="392"/>
      <c r="K3300" s="392"/>
      <c r="L3300" s="392"/>
      <c r="M3300" s="392"/>
      <c r="N3300" s="392">
        <f t="shared" si="132"/>
        <v>2.4135725448726855</v>
      </c>
    </row>
    <row r="3301" spans="1:14" hidden="1" outlineLevel="2" x14ac:dyDescent="0.35">
      <c r="A3301" s="388" t="s">
        <v>6520</v>
      </c>
      <c r="B3301" s="389">
        <v>44525</v>
      </c>
      <c r="C3301" s="390" t="s">
        <v>4580</v>
      </c>
      <c r="D3301" s="391" t="s">
        <v>4581</v>
      </c>
      <c r="E3301" s="391" t="s">
        <v>6522</v>
      </c>
      <c r="F3301" s="392">
        <v>2162162.16</v>
      </c>
      <c r="G3301" s="393" t="s">
        <v>3800</v>
      </c>
      <c r="H3301" s="394">
        <v>804.52418162422839</v>
      </c>
      <c r="I3301" s="394"/>
      <c r="J3301" s="392"/>
      <c r="K3301" s="392"/>
      <c r="L3301" s="392"/>
      <c r="M3301" s="392"/>
      <c r="N3301" s="392">
        <f t="shared" si="132"/>
        <v>804.52418162422839</v>
      </c>
    </row>
    <row r="3302" spans="1:14" hidden="1" outlineLevel="2" x14ac:dyDescent="0.35">
      <c r="A3302" s="388" t="s">
        <v>6520</v>
      </c>
      <c r="B3302" s="389">
        <v>44525</v>
      </c>
      <c r="C3302" s="390" t="s">
        <v>4582</v>
      </c>
      <c r="D3302" s="391" t="s">
        <v>4583</v>
      </c>
      <c r="E3302" s="391" t="s">
        <v>4272</v>
      </c>
      <c r="F3302" s="392">
        <v>216216.21600000001</v>
      </c>
      <c r="G3302" s="393" t="s">
        <v>3800</v>
      </c>
      <c r="H3302" s="394">
        <v>80.452418162422845</v>
      </c>
      <c r="I3302" s="394"/>
      <c r="J3302" s="392"/>
      <c r="K3302" s="392"/>
      <c r="L3302" s="392"/>
      <c r="M3302" s="392"/>
      <c r="N3302" s="392">
        <f t="shared" si="132"/>
        <v>80.452418162422845</v>
      </c>
    </row>
    <row r="3303" spans="1:14" hidden="1" outlineLevel="2" x14ac:dyDescent="0.35">
      <c r="A3303" s="388" t="s">
        <v>6520</v>
      </c>
      <c r="B3303" s="389">
        <v>44525</v>
      </c>
      <c r="C3303" s="390" t="s">
        <v>4584</v>
      </c>
      <c r="D3303" s="391" t="s">
        <v>4585</v>
      </c>
      <c r="E3303" s="391" t="s">
        <v>4042</v>
      </c>
      <c r="F3303" s="392">
        <v>12972.972960000001</v>
      </c>
      <c r="G3303" s="393" t="s">
        <v>3800</v>
      </c>
      <c r="H3303" s="394">
        <v>4.8271450897453709</v>
      </c>
      <c r="I3303" s="394"/>
      <c r="J3303" s="392"/>
      <c r="K3303" s="392"/>
      <c r="L3303" s="392"/>
      <c r="M3303" s="392"/>
      <c r="N3303" s="392">
        <f t="shared" si="132"/>
        <v>4.8271450897453709</v>
      </c>
    </row>
    <row r="3304" spans="1:14" hidden="1" outlineLevel="2" x14ac:dyDescent="0.35">
      <c r="A3304" s="388" t="s">
        <v>6520</v>
      </c>
      <c r="B3304" s="389">
        <v>44547</v>
      </c>
      <c r="C3304" s="390" t="s">
        <v>4586</v>
      </c>
      <c r="D3304" s="391" t="s">
        <v>4587</v>
      </c>
      <c r="E3304" s="391" t="s">
        <v>6522</v>
      </c>
      <c r="F3304" s="392">
        <v>2162162.16</v>
      </c>
      <c r="G3304" s="393" t="s">
        <v>3800</v>
      </c>
      <c r="H3304" s="394">
        <v>804.52418162422839</v>
      </c>
      <c r="I3304" s="394"/>
      <c r="J3304" s="392"/>
      <c r="K3304" s="392"/>
      <c r="L3304" s="392"/>
      <c r="M3304" s="392"/>
      <c r="N3304" s="392">
        <f t="shared" si="132"/>
        <v>804.52418162422839</v>
      </c>
    </row>
    <row r="3305" spans="1:14" hidden="1" outlineLevel="2" x14ac:dyDescent="0.35">
      <c r="A3305" s="388" t="s">
        <v>6520</v>
      </c>
      <c r="B3305" s="389">
        <v>44547</v>
      </c>
      <c r="C3305" s="390" t="s">
        <v>4588</v>
      </c>
      <c r="D3305" s="391" t="s">
        <v>4589</v>
      </c>
      <c r="E3305" s="391" t="s">
        <v>4272</v>
      </c>
      <c r="F3305" s="392">
        <v>216216.21600000001</v>
      </c>
      <c r="G3305" s="393" t="s">
        <v>3800</v>
      </c>
      <c r="H3305" s="394">
        <v>80.452418162422845</v>
      </c>
      <c r="I3305" s="394"/>
      <c r="J3305" s="392"/>
      <c r="K3305" s="392"/>
      <c r="L3305" s="392"/>
      <c r="M3305" s="392"/>
      <c r="N3305" s="392">
        <f t="shared" si="132"/>
        <v>80.452418162422845</v>
      </c>
    </row>
    <row r="3306" spans="1:14" hidden="1" outlineLevel="2" x14ac:dyDescent="0.35">
      <c r="A3306" s="388" t="s">
        <v>6520</v>
      </c>
      <c r="B3306" s="389">
        <v>44547</v>
      </c>
      <c r="C3306" s="390" t="s">
        <v>4590</v>
      </c>
      <c r="D3306" s="391" t="s">
        <v>4591</v>
      </c>
      <c r="E3306" s="391" t="s">
        <v>4042</v>
      </c>
      <c r="F3306" s="392">
        <v>12972.972960000001</v>
      </c>
      <c r="G3306" s="393" t="s">
        <v>3800</v>
      </c>
      <c r="H3306" s="394">
        <v>4.8271450897453709</v>
      </c>
      <c r="I3306" s="394"/>
      <c r="J3306" s="392"/>
      <c r="K3306" s="392"/>
      <c r="L3306" s="392"/>
      <c r="M3306" s="392"/>
      <c r="N3306" s="392">
        <f t="shared" si="132"/>
        <v>4.8271450897453709</v>
      </c>
    </row>
    <row r="3307" spans="1:14" hidden="1" outlineLevel="2" x14ac:dyDescent="0.35">
      <c r="A3307" s="388" t="s">
        <v>6520</v>
      </c>
      <c r="B3307" s="389">
        <v>44587</v>
      </c>
      <c r="C3307" s="390" t="s">
        <v>4592</v>
      </c>
      <c r="D3307" s="391" t="s">
        <v>4593</v>
      </c>
      <c r="E3307" s="391" t="s">
        <v>6522</v>
      </c>
      <c r="F3307" s="392">
        <v>2162162.16</v>
      </c>
      <c r="G3307" s="393" t="s">
        <v>3800</v>
      </c>
      <c r="H3307" s="394">
        <v>804.52418162422839</v>
      </c>
      <c r="I3307" s="394"/>
      <c r="J3307" s="392"/>
      <c r="K3307" s="392"/>
      <c r="L3307" s="392"/>
      <c r="M3307" s="392"/>
      <c r="N3307" s="392">
        <v>804.52418162422839</v>
      </c>
    </row>
    <row r="3308" spans="1:14" hidden="1" outlineLevel="2" x14ac:dyDescent="0.35">
      <c r="A3308" s="388" t="s">
        <v>6520</v>
      </c>
      <c r="B3308" s="389">
        <v>44587</v>
      </c>
      <c r="C3308" s="390" t="s">
        <v>4594</v>
      </c>
      <c r="D3308" s="391" t="s">
        <v>4595</v>
      </c>
      <c r="E3308" s="391" t="s">
        <v>4272</v>
      </c>
      <c r="F3308" s="392">
        <v>216216.21600000001</v>
      </c>
      <c r="G3308" s="393" t="s">
        <v>3800</v>
      </c>
      <c r="H3308" s="394">
        <v>80.452418162422845</v>
      </c>
      <c r="I3308" s="394"/>
      <c r="J3308" s="392"/>
      <c r="K3308" s="392"/>
      <c r="L3308" s="392"/>
      <c r="M3308" s="392"/>
      <c r="N3308" s="392">
        <v>80.452418162422845</v>
      </c>
    </row>
    <row r="3309" spans="1:14" hidden="1" outlineLevel="2" x14ac:dyDescent="0.35">
      <c r="A3309" s="388" t="s">
        <v>6520</v>
      </c>
      <c r="B3309" s="389">
        <v>44587</v>
      </c>
      <c r="C3309" s="390" t="s">
        <v>4596</v>
      </c>
      <c r="D3309" s="391" t="s">
        <v>4597</v>
      </c>
      <c r="E3309" s="391" t="s">
        <v>4042</v>
      </c>
      <c r="F3309" s="392">
        <v>12972.972960000001</v>
      </c>
      <c r="G3309" s="393" t="s">
        <v>3800</v>
      </c>
      <c r="H3309" s="394">
        <v>4.8271450897453709</v>
      </c>
      <c r="I3309" s="394"/>
      <c r="J3309" s="392"/>
      <c r="K3309" s="392"/>
      <c r="L3309" s="392"/>
      <c r="M3309" s="392"/>
      <c r="N3309" s="392">
        <v>4.8271450897453709</v>
      </c>
    </row>
    <row r="3310" spans="1:14" outlineLevel="1" collapsed="1" x14ac:dyDescent="0.35">
      <c r="A3310" s="395" t="s">
        <v>6523</v>
      </c>
      <c r="B3310" s="389"/>
      <c r="C3310" s="390"/>
      <c r="D3310" s="391"/>
      <c r="E3310" s="391"/>
      <c r="F3310" s="392"/>
      <c r="G3310" s="393"/>
      <c r="H3310" s="394">
        <f t="shared" ref="H3310:N3310" si="133">SUBTOTAL(9,H3292:H3309)</f>
        <v>4715.9598445526281</v>
      </c>
      <c r="I3310" s="394"/>
      <c r="J3310" s="392">
        <f t="shared" si="133"/>
        <v>0</v>
      </c>
      <c r="K3310" s="392">
        <f t="shared" si="133"/>
        <v>0</v>
      </c>
      <c r="L3310" s="392">
        <f t="shared" si="133"/>
        <v>0</v>
      </c>
      <c r="M3310" s="392">
        <f t="shared" si="133"/>
        <v>0</v>
      </c>
      <c r="N3310" s="392">
        <f t="shared" si="133"/>
        <v>4715.9598445526281</v>
      </c>
    </row>
    <row r="3311" spans="1:14" hidden="1" outlineLevel="2" x14ac:dyDescent="0.35">
      <c r="A3311" s="388" t="s">
        <v>107</v>
      </c>
      <c r="B3311" s="389">
        <v>44251</v>
      </c>
      <c r="C3311" s="390" t="s">
        <v>6524</v>
      </c>
      <c r="D3311" s="391" t="s">
        <v>6525</v>
      </c>
      <c r="E3311" s="391" t="s">
        <v>798</v>
      </c>
      <c r="F3311" s="392">
        <v>677.49</v>
      </c>
      <c r="G3311" s="393" t="s">
        <v>56</v>
      </c>
      <c r="H3311" s="394">
        <v>677.49</v>
      </c>
      <c r="I3311" s="394"/>
      <c r="J3311" s="392">
        <f t="shared" ref="J3311:N3316" si="134">$H3311/5</f>
        <v>135.49799999999999</v>
      </c>
      <c r="K3311" s="392">
        <f t="shared" si="134"/>
        <v>135.49799999999999</v>
      </c>
      <c r="L3311" s="392">
        <f t="shared" si="134"/>
        <v>135.49799999999999</v>
      </c>
      <c r="M3311" s="392">
        <f t="shared" si="134"/>
        <v>135.49799999999999</v>
      </c>
      <c r="N3311" s="392">
        <f t="shared" si="134"/>
        <v>135.49799999999999</v>
      </c>
    </row>
    <row r="3312" spans="1:14" hidden="1" outlineLevel="2" x14ac:dyDescent="0.35">
      <c r="A3312" s="388" t="s">
        <v>107</v>
      </c>
      <c r="B3312" s="389">
        <v>44286</v>
      </c>
      <c r="C3312" s="390" t="s">
        <v>6526</v>
      </c>
      <c r="D3312" s="391" t="s">
        <v>6527</v>
      </c>
      <c r="E3312" s="391" t="s">
        <v>798</v>
      </c>
      <c r="F3312" s="392">
        <v>-652.49</v>
      </c>
      <c r="G3312" s="393" t="s">
        <v>56</v>
      </c>
      <c r="H3312" s="394">
        <v>-652.49</v>
      </c>
      <c r="I3312" s="394"/>
      <c r="J3312" s="392">
        <f t="shared" si="134"/>
        <v>-130.49799999999999</v>
      </c>
      <c r="K3312" s="392">
        <f t="shared" si="134"/>
        <v>-130.49799999999999</v>
      </c>
      <c r="L3312" s="392">
        <f t="shared" si="134"/>
        <v>-130.49799999999999</v>
      </c>
      <c r="M3312" s="392">
        <f t="shared" si="134"/>
        <v>-130.49799999999999</v>
      </c>
      <c r="N3312" s="392">
        <f t="shared" si="134"/>
        <v>-130.49799999999999</v>
      </c>
    </row>
    <row r="3313" spans="1:14" hidden="1" outlineLevel="2" x14ac:dyDescent="0.35">
      <c r="A3313" s="388" t="s">
        <v>107</v>
      </c>
      <c r="B3313" s="389">
        <v>44539</v>
      </c>
      <c r="C3313" s="390" t="s">
        <v>6528</v>
      </c>
      <c r="D3313" s="391" t="s">
        <v>6529</v>
      </c>
      <c r="E3313" s="391" t="s">
        <v>798</v>
      </c>
      <c r="F3313" s="392">
        <v>722.86</v>
      </c>
      <c r="G3313" s="393" t="s">
        <v>56</v>
      </c>
      <c r="H3313" s="394">
        <v>722.86</v>
      </c>
      <c r="I3313" s="394"/>
      <c r="J3313" s="392">
        <f t="shared" si="134"/>
        <v>144.572</v>
      </c>
      <c r="K3313" s="392">
        <f t="shared" si="134"/>
        <v>144.572</v>
      </c>
      <c r="L3313" s="392">
        <f t="shared" si="134"/>
        <v>144.572</v>
      </c>
      <c r="M3313" s="392">
        <f t="shared" si="134"/>
        <v>144.572</v>
      </c>
      <c r="N3313" s="392">
        <f t="shared" si="134"/>
        <v>144.572</v>
      </c>
    </row>
    <row r="3314" spans="1:14" hidden="1" outlineLevel="2" x14ac:dyDescent="0.35">
      <c r="A3314" s="388" t="s">
        <v>107</v>
      </c>
      <c r="B3314" s="389">
        <v>44543</v>
      </c>
      <c r="C3314" s="390" t="s">
        <v>6530</v>
      </c>
      <c r="D3314" s="391" t="s">
        <v>6531</v>
      </c>
      <c r="E3314" s="391" t="s">
        <v>798</v>
      </c>
      <c r="F3314" s="392">
        <v>584.76</v>
      </c>
      <c r="G3314" s="393" t="s">
        <v>56</v>
      </c>
      <c r="H3314" s="394">
        <v>584.76</v>
      </c>
      <c r="I3314" s="394"/>
      <c r="J3314" s="392">
        <f t="shared" si="134"/>
        <v>116.952</v>
      </c>
      <c r="K3314" s="392">
        <f t="shared" si="134"/>
        <v>116.952</v>
      </c>
      <c r="L3314" s="392">
        <f t="shared" si="134"/>
        <v>116.952</v>
      </c>
      <c r="M3314" s="392">
        <f t="shared" si="134"/>
        <v>116.952</v>
      </c>
      <c r="N3314" s="392">
        <f t="shared" si="134"/>
        <v>116.952</v>
      </c>
    </row>
    <row r="3315" spans="1:14" hidden="1" outlineLevel="2" x14ac:dyDescent="0.35">
      <c r="A3315" s="388" t="s">
        <v>107</v>
      </c>
      <c r="B3315" s="389">
        <v>44585</v>
      </c>
      <c r="C3315" s="390" t="s">
        <v>6532</v>
      </c>
      <c r="D3315" s="391" t="s">
        <v>6533</v>
      </c>
      <c r="E3315" s="391" t="s">
        <v>6534</v>
      </c>
      <c r="F3315" s="392">
        <v>435.05</v>
      </c>
      <c r="G3315" s="393" t="s">
        <v>56</v>
      </c>
      <c r="H3315" s="394">
        <v>435.05</v>
      </c>
      <c r="I3315" s="394"/>
      <c r="J3315" s="392">
        <f t="shared" si="134"/>
        <v>87.01</v>
      </c>
      <c r="K3315" s="392">
        <f t="shared" si="134"/>
        <v>87.01</v>
      </c>
      <c r="L3315" s="392">
        <f t="shared" si="134"/>
        <v>87.01</v>
      </c>
      <c r="M3315" s="392">
        <f t="shared" si="134"/>
        <v>87.01</v>
      </c>
      <c r="N3315" s="392">
        <f t="shared" si="134"/>
        <v>87.01</v>
      </c>
    </row>
    <row r="3316" spans="1:14" hidden="1" outlineLevel="2" x14ac:dyDescent="0.35">
      <c r="A3316" s="388" t="s">
        <v>107</v>
      </c>
      <c r="B3316" s="389">
        <v>44249</v>
      </c>
      <c r="C3316" s="390" t="s">
        <v>6535</v>
      </c>
      <c r="D3316" s="391" t="s">
        <v>6536</v>
      </c>
      <c r="E3316" s="391" t="s">
        <v>5058</v>
      </c>
      <c r="F3316" s="392">
        <v>95.2</v>
      </c>
      <c r="G3316" s="393" t="s">
        <v>56</v>
      </c>
      <c r="H3316" s="394">
        <v>95.2</v>
      </c>
      <c r="I3316" s="394"/>
      <c r="J3316" s="392">
        <f t="shared" si="134"/>
        <v>19.04</v>
      </c>
      <c r="K3316" s="392">
        <f t="shared" si="134"/>
        <v>19.04</v>
      </c>
      <c r="L3316" s="392">
        <f t="shared" si="134"/>
        <v>19.04</v>
      </c>
      <c r="M3316" s="392">
        <f t="shared" si="134"/>
        <v>19.04</v>
      </c>
      <c r="N3316" s="392">
        <f t="shared" si="134"/>
        <v>19.04</v>
      </c>
    </row>
    <row r="3317" spans="1:14" outlineLevel="1" collapsed="1" x14ac:dyDescent="0.35">
      <c r="A3317" s="395" t="s">
        <v>2196</v>
      </c>
      <c r="B3317" s="389"/>
      <c r="C3317" s="390"/>
      <c r="D3317" s="391"/>
      <c r="E3317" s="391"/>
      <c r="F3317" s="392"/>
      <c r="G3317" s="393"/>
      <c r="H3317" s="394">
        <f t="shared" ref="H3317:N3317" si="135">SUBTOTAL(9,H3311:H3316)</f>
        <v>1862.87</v>
      </c>
      <c r="I3317" s="394"/>
      <c r="J3317" s="392">
        <f t="shared" si="135"/>
        <v>372.57400000000001</v>
      </c>
      <c r="K3317" s="392">
        <f t="shared" si="135"/>
        <v>372.57400000000001</v>
      </c>
      <c r="L3317" s="392">
        <f t="shared" si="135"/>
        <v>372.57400000000001</v>
      </c>
      <c r="M3317" s="392">
        <f t="shared" si="135"/>
        <v>372.57400000000001</v>
      </c>
      <c r="N3317" s="392">
        <f t="shared" si="135"/>
        <v>372.57400000000001</v>
      </c>
    </row>
    <row r="3318" spans="1:14" hidden="1" outlineLevel="2" x14ac:dyDescent="0.35">
      <c r="A3318" s="388" t="s">
        <v>6537</v>
      </c>
      <c r="B3318" s="389">
        <v>44180</v>
      </c>
      <c r="C3318" s="390" t="s">
        <v>6538</v>
      </c>
      <c r="D3318" s="391" t="s">
        <v>6539</v>
      </c>
      <c r="E3318" s="391" t="s">
        <v>6540</v>
      </c>
      <c r="F3318" s="392">
        <v>401200</v>
      </c>
      <c r="G3318" s="393" t="s">
        <v>3800</v>
      </c>
      <c r="H3318" s="394">
        <v>154.04337822650382</v>
      </c>
      <c r="I3318" s="394"/>
      <c r="J3318" s="392">
        <v>154.04337822650382</v>
      </c>
      <c r="K3318" s="392"/>
      <c r="L3318" s="392"/>
      <c r="M3318" s="392"/>
      <c r="N3318" s="392"/>
    </row>
    <row r="3319" spans="1:14" hidden="1" outlineLevel="2" x14ac:dyDescent="0.35">
      <c r="A3319" s="388" t="s">
        <v>6537</v>
      </c>
      <c r="B3319" s="389">
        <v>44181</v>
      </c>
      <c r="C3319" s="390" t="s">
        <v>6541</v>
      </c>
      <c r="D3319" s="391" t="s">
        <v>6542</v>
      </c>
      <c r="E3319" s="391" t="s">
        <v>6543</v>
      </c>
      <c r="F3319" s="392">
        <v>13456484</v>
      </c>
      <c r="G3319" s="393" t="s">
        <v>3800</v>
      </c>
      <c r="H3319" s="394">
        <v>5166.7055194688355</v>
      </c>
      <c r="I3319" s="394"/>
      <c r="J3319" s="392">
        <v>5166.7055194688355</v>
      </c>
      <c r="K3319" s="392"/>
      <c r="L3319" s="392"/>
      <c r="M3319" s="392"/>
      <c r="N3319" s="392"/>
    </row>
    <row r="3320" spans="1:14" outlineLevel="1" collapsed="1" x14ac:dyDescent="0.35">
      <c r="A3320" s="395" t="s">
        <v>6544</v>
      </c>
      <c r="B3320" s="389"/>
      <c r="C3320" s="390"/>
      <c r="D3320" s="391"/>
      <c r="E3320" s="391"/>
      <c r="F3320" s="392"/>
      <c r="G3320" s="393"/>
      <c r="H3320" s="394">
        <f t="shared" ref="H3320:N3320" si="136">SUBTOTAL(9,H3318:H3319)</f>
        <v>5320.7488976953391</v>
      </c>
      <c r="I3320" s="394"/>
      <c r="J3320" s="392">
        <f t="shared" si="136"/>
        <v>5320.7488976953391</v>
      </c>
      <c r="K3320" s="392">
        <f t="shared" si="136"/>
        <v>0</v>
      </c>
      <c r="L3320" s="392">
        <f t="shared" si="136"/>
        <v>0</v>
      </c>
      <c r="M3320" s="392">
        <f t="shared" si="136"/>
        <v>0</v>
      </c>
      <c r="N3320" s="392">
        <f t="shared" si="136"/>
        <v>0</v>
      </c>
    </row>
    <row r="3321" spans="1:14" hidden="1" outlineLevel="2" x14ac:dyDescent="0.35">
      <c r="A3321" s="388" t="s">
        <v>3837</v>
      </c>
      <c r="B3321" s="389">
        <v>43861</v>
      </c>
      <c r="C3321" s="390" t="s">
        <v>6545</v>
      </c>
      <c r="D3321" s="391" t="s">
        <v>6546</v>
      </c>
      <c r="E3321" s="391" t="s">
        <v>6547</v>
      </c>
      <c r="F3321" s="392">
        <v>450000</v>
      </c>
      <c r="G3321" s="393" t="s">
        <v>3800</v>
      </c>
      <c r="H3321" s="394">
        <v>172.78045912743448</v>
      </c>
      <c r="I3321" s="394"/>
      <c r="J3321" s="392">
        <v>43.195114781858621</v>
      </c>
      <c r="K3321" s="392">
        <v>43.195114781858621</v>
      </c>
      <c r="L3321" s="392">
        <v>43.195114781858621</v>
      </c>
      <c r="M3321" s="392">
        <v>43.195114781858621</v>
      </c>
      <c r="N3321" s="392"/>
    </row>
    <row r="3322" spans="1:14" hidden="1" outlineLevel="2" x14ac:dyDescent="0.35">
      <c r="A3322" s="388" t="s">
        <v>3837</v>
      </c>
      <c r="B3322" s="389">
        <v>43858</v>
      </c>
      <c r="C3322" s="390" t="s">
        <v>6548</v>
      </c>
      <c r="D3322" s="391" t="s">
        <v>6546</v>
      </c>
      <c r="E3322" s="391" t="s">
        <v>6549</v>
      </c>
      <c r="F3322" s="392">
        <v>150000</v>
      </c>
      <c r="G3322" s="393" t="s">
        <v>3800</v>
      </c>
      <c r="H3322" s="394">
        <v>57.593486375811494</v>
      </c>
      <c r="I3322" s="394"/>
      <c r="J3322" s="392">
        <v>14.398371593952874</v>
      </c>
      <c r="K3322" s="392">
        <v>14.398371593952874</v>
      </c>
      <c r="L3322" s="392">
        <v>14.398371593952874</v>
      </c>
      <c r="M3322" s="392">
        <v>14.398371593952874</v>
      </c>
      <c r="N3322" s="392"/>
    </row>
    <row r="3323" spans="1:14" hidden="1" outlineLevel="2" x14ac:dyDescent="0.35">
      <c r="A3323" s="388" t="s">
        <v>3837</v>
      </c>
      <c r="B3323" s="389">
        <v>43910</v>
      </c>
      <c r="C3323" s="390" t="s">
        <v>6550</v>
      </c>
      <c r="D3323" s="391" t="s">
        <v>6551</v>
      </c>
      <c r="E3323" s="391" t="s">
        <v>4268</v>
      </c>
      <c r="F3323" s="392">
        <v>450000</v>
      </c>
      <c r="G3323" s="393" t="s">
        <v>3800</v>
      </c>
      <c r="H3323" s="394">
        <v>172.78045912743448</v>
      </c>
      <c r="I3323" s="394"/>
      <c r="J3323" s="392">
        <v>43.195114781858621</v>
      </c>
      <c r="K3323" s="392">
        <v>43.195114781858621</v>
      </c>
      <c r="L3323" s="392">
        <v>43.195114781858621</v>
      </c>
      <c r="M3323" s="392">
        <v>43.195114781858621</v>
      </c>
      <c r="N3323" s="392"/>
    </row>
    <row r="3324" spans="1:14" hidden="1" outlineLevel="2" x14ac:dyDescent="0.35">
      <c r="A3324" s="388" t="s">
        <v>3837</v>
      </c>
      <c r="B3324" s="389">
        <v>43920</v>
      </c>
      <c r="C3324" s="390" t="s">
        <v>6552</v>
      </c>
      <c r="D3324" s="391" t="s">
        <v>6553</v>
      </c>
      <c r="E3324" s="391" t="s">
        <v>4119</v>
      </c>
      <c r="F3324" s="392">
        <v>784000</v>
      </c>
      <c r="G3324" s="393" t="s">
        <v>3800</v>
      </c>
      <c r="H3324" s="394">
        <v>301.02195545757473</v>
      </c>
      <c r="I3324" s="394"/>
      <c r="J3324" s="392">
        <v>75.255488864393683</v>
      </c>
      <c r="K3324" s="392">
        <v>75.255488864393683</v>
      </c>
      <c r="L3324" s="392">
        <v>75.255488864393683</v>
      </c>
      <c r="M3324" s="392">
        <v>75.255488864393683</v>
      </c>
      <c r="N3324" s="392"/>
    </row>
    <row r="3325" spans="1:14" hidden="1" outlineLevel="2" x14ac:dyDescent="0.35">
      <c r="A3325" s="388" t="s">
        <v>3837</v>
      </c>
      <c r="B3325" s="389">
        <v>43920</v>
      </c>
      <c r="C3325" s="390" t="s">
        <v>6554</v>
      </c>
      <c r="D3325" s="391" t="s">
        <v>6555</v>
      </c>
      <c r="E3325" s="391" t="s">
        <v>6547</v>
      </c>
      <c r="F3325" s="392">
        <v>784000</v>
      </c>
      <c r="G3325" s="393" t="s">
        <v>3800</v>
      </c>
      <c r="H3325" s="394">
        <v>301.02195545757473</v>
      </c>
      <c r="I3325" s="394"/>
      <c r="J3325" s="392">
        <v>75.255488864393683</v>
      </c>
      <c r="K3325" s="392">
        <v>75.255488864393683</v>
      </c>
      <c r="L3325" s="392">
        <v>75.255488864393683</v>
      </c>
      <c r="M3325" s="392">
        <v>75.255488864393683</v>
      </c>
      <c r="N3325" s="392"/>
    </row>
    <row r="3326" spans="1:14" hidden="1" outlineLevel="2" x14ac:dyDescent="0.35">
      <c r="A3326" s="388" t="s">
        <v>3837</v>
      </c>
      <c r="B3326" s="389">
        <v>44162</v>
      </c>
      <c r="C3326" s="390" t="s">
        <v>6556</v>
      </c>
      <c r="D3326" s="391" t="s">
        <v>6557</v>
      </c>
      <c r="E3326" s="391" t="s">
        <v>4848</v>
      </c>
      <c r="F3326" s="392">
        <v>300000</v>
      </c>
      <c r="G3326" s="393" t="s">
        <v>3800</v>
      </c>
      <c r="H3326" s="394">
        <v>115.18697275162299</v>
      </c>
      <c r="I3326" s="394"/>
      <c r="J3326" s="392">
        <v>28.796743187905747</v>
      </c>
      <c r="K3326" s="392">
        <v>28.796743187905747</v>
      </c>
      <c r="L3326" s="392">
        <v>28.796743187905747</v>
      </c>
      <c r="M3326" s="392">
        <v>28.796743187905747</v>
      </c>
      <c r="N3326" s="392"/>
    </row>
    <row r="3327" spans="1:14" hidden="1" outlineLevel="2" x14ac:dyDescent="0.35">
      <c r="A3327" s="388" t="s">
        <v>3837</v>
      </c>
      <c r="B3327" s="389">
        <v>44162</v>
      </c>
      <c r="C3327" s="390" t="s">
        <v>6556</v>
      </c>
      <c r="D3327" s="391" t="s">
        <v>6171</v>
      </c>
      <c r="E3327" s="391" t="s">
        <v>4848</v>
      </c>
      <c r="F3327" s="392">
        <v>42000</v>
      </c>
      <c r="G3327" s="393" t="s">
        <v>3800</v>
      </c>
      <c r="H3327" s="394">
        <v>16.126176185227219</v>
      </c>
      <c r="I3327" s="394"/>
      <c r="J3327" s="392">
        <v>4.0315440463068049</v>
      </c>
      <c r="K3327" s="392">
        <v>4.0315440463068049</v>
      </c>
      <c r="L3327" s="392">
        <v>4.0315440463068049</v>
      </c>
      <c r="M3327" s="392">
        <v>4.0315440463068049</v>
      </c>
      <c r="N3327" s="392"/>
    </row>
    <row r="3328" spans="1:14" hidden="1" outlineLevel="2" x14ac:dyDescent="0.35">
      <c r="A3328" s="388" t="s">
        <v>3837</v>
      </c>
      <c r="B3328" s="389">
        <v>44176</v>
      </c>
      <c r="C3328" s="390" t="s">
        <v>6558</v>
      </c>
      <c r="D3328" s="391" t="s">
        <v>6559</v>
      </c>
      <c r="E3328" s="391" t="s">
        <v>6560</v>
      </c>
      <c r="F3328" s="392">
        <v>300000</v>
      </c>
      <c r="G3328" s="393" t="s">
        <v>3800</v>
      </c>
      <c r="H3328" s="394">
        <v>115.18697275162299</v>
      </c>
      <c r="I3328" s="394"/>
      <c r="J3328" s="392">
        <v>28.796743187905747</v>
      </c>
      <c r="K3328" s="392">
        <v>28.796743187905747</v>
      </c>
      <c r="L3328" s="392">
        <v>28.796743187905747</v>
      </c>
      <c r="M3328" s="392">
        <v>28.796743187905747</v>
      </c>
      <c r="N3328" s="392"/>
    </row>
    <row r="3329" spans="1:14" hidden="1" outlineLevel="2" x14ac:dyDescent="0.35">
      <c r="A3329" s="388" t="s">
        <v>3837</v>
      </c>
      <c r="B3329" s="389">
        <v>44176</v>
      </c>
      <c r="C3329" s="390" t="s">
        <v>6558</v>
      </c>
      <c r="D3329" s="391" t="s">
        <v>6561</v>
      </c>
      <c r="E3329" s="391" t="s">
        <v>6562</v>
      </c>
      <c r="F3329" s="392">
        <v>60000</v>
      </c>
      <c r="G3329" s="393" t="s">
        <v>3800</v>
      </c>
      <c r="H3329" s="394">
        <v>23.037394550324596</v>
      </c>
      <c r="I3329" s="394"/>
      <c r="J3329" s="392">
        <v>5.7593486375811489</v>
      </c>
      <c r="K3329" s="392">
        <v>5.7593486375811489</v>
      </c>
      <c r="L3329" s="392">
        <v>5.7593486375811489</v>
      </c>
      <c r="M3329" s="392">
        <v>5.7593486375811489</v>
      </c>
      <c r="N3329" s="392"/>
    </row>
    <row r="3330" spans="1:14" hidden="1" outlineLevel="2" x14ac:dyDescent="0.35">
      <c r="A3330" s="388" t="s">
        <v>3837</v>
      </c>
      <c r="B3330" s="389">
        <v>44176</v>
      </c>
      <c r="C3330" s="390" t="s">
        <v>6563</v>
      </c>
      <c r="D3330" s="391" t="s">
        <v>6564</v>
      </c>
      <c r="E3330" s="391" t="s">
        <v>4258</v>
      </c>
      <c r="F3330" s="392">
        <v>300000</v>
      </c>
      <c r="G3330" s="393" t="s">
        <v>3800</v>
      </c>
      <c r="H3330" s="394">
        <v>115.18697275162299</v>
      </c>
      <c r="I3330" s="394"/>
      <c r="J3330" s="392">
        <v>28.796743187905747</v>
      </c>
      <c r="K3330" s="392">
        <v>28.796743187905747</v>
      </c>
      <c r="L3330" s="392">
        <v>28.796743187905747</v>
      </c>
      <c r="M3330" s="392">
        <v>28.796743187905747</v>
      </c>
      <c r="N3330" s="392"/>
    </row>
    <row r="3331" spans="1:14" hidden="1" outlineLevel="2" x14ac:dyDescent="0.35">
      <c r="A3331" s="388" t="s">
        <v>3837</v>
      </c>
      <c r="B3331" s="389">
        <v>44176</v>
      </c>
      <c r="C3331" s="390" t="s">
        <v>6563</v>
      </c>
      <c r="D3331" s="391" t="s">
        <v>6565</v>
      </c>
      <c r="E3331" s="391" t="s">
        <v>6566</v>
      </c>
      <c r="F3331" s="392">
        <v>150000</v>
      </c>
      <c r="G3331" s="393" t="s">
        <v>3800</v>
      </c>
      <c r="H3331" s="394">
        <v>57.593486375811494</v>
      </c>
      <c r="I3331" s="394"/>
      <c r="J3331" s="392">
        <v>14.398371593952874</v>
      </c>
      <c r="K3331" s="392">
        <v>14.398371593952874</v>
      </c>
      <c r="L3331" s="392">
        <v>14.398371593952874</v>
      </c>
      <c r="M3331" s="392">
        <v>14.398371593952874</v>
      </c>
      <c r="N3331" s="392"/>
    </row>
    <row r="3332" spans="1:14" hidden="1" outlineLevel="2" x14ac:dyDescent="0.35">
      <c r="A3332" s="388" t="s">
        <v>3837</v>
      </c>
      <c r="B3332" s="389">
        <v>44176</v>
      </c>
      <c r="C3332" s="390" t="s">
        <v>6563</v>
      </c>
      <c r="D3332" s="391" t="s">
        <v>6567</v>
      </c>
      <c r="E3332" s="391" t="s">
        <v>2812</v>
      </c>
      <c r="F3332" s="392">
        <v>503900</v>
      </c>
      <c r="G3332" s="393" t="s">
        <v>3800</v>
      </c>
      <c r="H3332" s="394">
        <v>193.47571856514276</v>
      </c>
      <c r="I3332" s="394"/>
      <c r="J3332" s="392">
        <v>48.368929641285689</v>
      </c>
      <c r="K3332" s="392">
        <v>48.368929641285689</v>
      </c>
      <c r="L3332" s="392">
        <v>48.368929641285689</v>
      </c>
      <c r="M3332" s="392">
        <v>48.368929641285689</v>
      </c>
      <c r="N3332" s="392"/>
    </row>
    <row r="3333" spans="1:14" hidden="1" outlineLevel="2" x14ac:dyDescent="0.35">
      <c r="A3333" s="388" t="s">
        <v>3837</v>
      </c>
      <c r="B3333" s="389">
        <v>44196</v>
      </c>
      <c r="C3333" s="390" t="s">
        <v>6568</v>
      </c>
      <c r="D3333" s="391" t="s">
        <v>6569</v>
      </c>
      <c r="E3333" s="391" t="s">
        <v>6549</v>
      </c>
      <c r="F3333" s="392">
        <v>472000</v>
      </c>
      <c r="G3333" s="393" t="s">
        <v>3800</v>
      </c>
      <c r="H3333" s="394">
        <v>181.22750379588683</v>
      </c>
      <c r="I3333" s="394"/>
      <c r="J3333" s="392">
        <v>45.306875948971708</v>
      </c>
      <c r="K3333" s="392">
        <v>45.306875948971708</v>
      </c>
      <c r="L3333" s="392">
        <v>45.306875948971708</v>
      </c>
      <c r="M3333" s="392">
        <v>45.306875948971708</v>
      </c>
      <c r="N3333" s="392"/>
    </row>
    <row r="3334" spans="1:14" hidden="1" outlineLevel="2" x14ac:dyDescent="0.35">
      <c r="A3334" s="388" t="s">
        <v>3837</v>
      </c>
      <c r="B3334" s="389">
        <v>44335</v>
      </c>
      <c r="C3334" s="390" t="s">
        <v>6570</v>
      </c>
      <c r="D3334" s="391" t="s">
        <v>6571</v>
      </c>
      <c r="E3334" s="391" t="s">
        <v>4258</v>
      </c>
      <c r="F3334" s="392">
        <v>300000</v>
      </c>
      <c r="G3334" s="393" t="s">
        <v>3800</v>
      </c>
      <c r="H3334" s="394">
        <v>111.62773031198941</v>
      </c>
      <c r="I3334" s="394"/>
      <c r="J3334" s="392">
        <v>27.906932577997352</v>
      </c>
      <c r="K3334" s="392">
        <v>27.906932577997352</v>
      </c>
      <c r="L3334" s="392">
        <v>27.906932577997352</v>
      </c>
      <c r="M3334" s="392">
        <v>27.906932577997352</v>
      </c>
      <c r="N3334" s="392"/>
    </row>
    <row r="3335" spans="1:14" hidden="1" outlineLevel="2" x14ac:dyDescent="0.35">
      <c r="A3335" s="388" t="s">
        <v>3837</v>
      </c>
      <c r="B3335" s="389">
        <v>44407</v>
      </c>
      <c r="C3335" s="390" t="s">
        <v>6572</v>
      </c>
      <c r="D3335" s="391" t="s">
        <v>6573</v>
      </c>
      <c r="E3335" s="391" t="s">
        <v>6574</v>
      </c>
      <c r="F3335" s="392">
        <v>750000</v>
      </c>
      <c r="G3335" s="393" t="s">
        <v>3800</v>
      </c>
      <c r="H3335" s="394">
        <v>279.06932577997355</v>
      </c>
      <c r="I3335" s="394"/>
      <c r="J3335" s="392">
        <v>69.767331444993388</v>
      </c>
      <c r="K3335" s="392">
        <v>69.767331444993388</v>
      </c>
      <c r="L3335" s="392">
        <v>69.767331444993388</v>
      </c>
      <c r="M3335" s="392">
        <v>69.767331444993388</v>
      </c>
      <c r="N3335" s="392"/>
    </row>
    <row r="3336" spans="1:14" hidden="1" outlineLevel="2" x14ac:dyDescent="0.35">
      <c r="A3336" s="388" t="s">
        <v>3837</v>
      </c>
      <c r="B3336" s="389">
        <v>44438</v>
      </c>
      <c r="C3336" s="390" t="s">
        <v>6575</v>
      </c>
      <c r="D3336" s="391" t="s">
        <v>6576</v>
      </c>
      <c r="E3336" s="391" t="s">
        <v>6577</v>
      </c>
      <c r="F3336" s="392">
        <v>600000</v>
      </c>
      <c r="G3336" s="393" t="s">
        <v>3800</v>
      </c>
      <c r="H3336" s="394">
        <v>223.25546062397882</v>
      </c>
      <c r="I3336" s="394"/>
      <c r="J3336" s="392">
        <v>55.813865155994705</v>
      </c>
      <c r="K3336" s="392">
        <v>55.813865155994705</v>
      </c>
      <c r="L3336" s="392">
        <v>55.813865155994705</v>
      </c>
      <c r="M3336" s="392">
        <v>55.813865155994705</v>
      </c>
      <c r="N3336" s="392"/>
    </row>
    <row r="3337" spans="1:14" hidden="1" outlineLevel="2" x14ac:dyDescent="0.35">
      <c r="A3337" s="388" t="s">
        <v>3837</v>
      </c>
      <c r="B3337" s="389">
        <v>44469</v>
      </c>
      <c r="C3337" s="390" t="s">
        <v>6578</v>
      </c>
      <c r="D3337" s="391" t="s">
        <v>6579</v>
      </c>
      <c r="E3337" s="391" t="s">
        <v>6577</v>
      </c>
      <c r="F3337" s="392">
        <v>600000</v>
      </c>
      <c r="G3337" s="393" t="s">
        <v>3800</v>
      </c>
      <c r="H3337" s="394">
        <v>223.25546062397882</v>
      </c>
      <c r="I3337" s="394"/>
      <c r="J3337" s="392">
        <v>55.813865155994705</v>
      </c>
      <c r="K3337" s="392">
        <v>55.813865155994705</v>
      </c>
      <c r="L3337" s="392">
        <v>55.813865155994705</v>
      </c>
      <c r="M3337" s="392">
        <v>55.813865155994705</v>
      </c>
      <c r="N3337" s="392"/>
    </row>
    <row r="3338" spans="1:14" hidden="1" outlineLevel="2" x14ac:dyDescent="0.35">
      <c r="A3338" s="388" t="s">
        <v>3837</v>
      </c>
      <c r="B3338" s="389">
        <v>44460</v>
      </c>
      <c r="C3338" s="390" t="s">
        <v>6580</v>
      </c>
      <c r="D3338" s="391" t="s">
        <v>6581</v>
      </c>
      <c r="E3338" s="391" t="s">
        <v>6582</v>
      </c>
      <c r="F3338" s="392">
        <v>570900</v>
      </c>
      <c r="G3338" s="393" t="s">
        <v>3800</v>
      </c>
      <c r="H3338" s="394">
        <v>212.42757078371585</v>
      </c>
      <c r="I3338" s="394"/>
      <c r="J3338" s="392">
        <v>53.106892695928963</v>
      </c>
      <c r="K3338" s="392">
        <v>53.106892695928963</v>
      </c>
      <c r="L3338" s="392">
        <v>53.106892695928963</v>
      </c>
      <c r="M3338" s="392">
        <v>53.106892695928963</v>
      </c>
      <c r="N3338" s="392"/>
    </row>
    <row r="3339" spans="1:14" hidden="1" outlineLevel="2" x14ac:dyDescent="0.35">
      <c r="A3339" s="388" t="s">
        <v>3837</v>
      </c>
      <c r="B3339" s="389">
        <v>44455</v>
      </c>
      <c r="C3339" s="390" t="s">
        <v>6583</v>
      </c>
      <c r="D3339" s="391" t="s">
        <v>6584</v>
      </c>
      <c r="E3339" s="391" t="s">
        <v>6585</v>
      </c>
      <c r="F3339" s="392">
        <v>100000</v>
      </c>
      <c r="G3339" s="393" t="s">
        <v>3800</v>
      </c>
      <c r="H3339" s="394">
        <v>37.209243437329803</v>
      </c>
      <c r="I3339" s="394"/>
      <c r="J3339" s="392">
        <v>9.3023108593324508</v>
      </c>
      <c r="K3339" s="392">
        <v>9.3023108593324508</v>
      </c>
      <c r="L3339" s="392">
        <v>9.3023108593324508</v>
      </c>
      <c r="M3339" s="392">
        <v>9.3023108593324508</v>
      </c>
      <c r="N3339" s="392"/>
    </row>
    <row r="3340" spans="1:14" s="360" customFormat="1" outlineLevel="1" collapsed="1" x14ac:dyDescent="0.35">
      <c r="A3340" s="396" t="s">
        <v>6586</v>
      </c>
      <c r="B3340" s="397"/>
      <c r="C3340" s="398"/>
      <c r="D3340" s="399"/>
      <c r="E3340" s="399"/>
      <c r="F3340" s="400"/>
      <c r="G3340" s="401"/>
      <c r="H3340" s="402">
        <f t="shared" ref="H3340:N3340" si="137">SUBTOTAL(9,H3321:H3339)</f>
        <v>2909.064304834058</v>
      </c>
      <c r="I3340" s="402"/>
      <c r="J3340" s="400">
        <f t="shared" si="137"/>
        <v>727.26607620851451</v>
      </c>
      <c r="K3340" s="400">
        <f t="shared" si="137"/>
        <v>727.26607620851451</v>
      </c>
      <c r="L3340" s="400">
        <f t="shared" si="137"/>
        <v>727.26607620851451</v>
      </c>
      <c r="M3340" s="400">
        <f t="shared" si="137"/>
        <v>727.26607620851451</v>
      </c>
      <c r="N3340" s="400">
        <f t="shared" si="137"/>
        <v>0</v>
      </c>
    </row>
    <row r="3341" spans="1:14" s="360" customFormat="1" hidden="1" outlineLevel="2" x14ac:dyDescent="0.35">
      <c r="A3341" s="403" t="s">
        <v>3937</v>
      </c>
      <c r="B3341" s="397">
        <v>44330</v>
      </c>
      <c r="C3341" s="398" t="s">
        <v>6587</v>
      </c>
      <c r="D3341" s="399" t="s">
        <v>6588</v>
      </c>
      <c r="E3341" s="399" t="s">
        <v>6589</v>
      </c>
      <c r="F3341" s="400">
        <v>210000</v>
      </c>
      <c r="G3341" s="401" t="s">
        <v>3800</v>
      </c>
      <c r="H3341" s="402">
        <v>78.139411218392596</v>
      </c>
      <c r="I3341" s="402"/>
      <c r="J3341" s="400"/>
      <c r="K3341" s="400"/>
      <c r="L3341" s="400"/>
      <c r="M3341" s="400"/>
      <c r="N3341" s="400">
        <f t="shared" ref="N3341:N3349" si="138">H3341</f>
        <v>78.139411218392596</v>
      </c>
    </row>
    <row r="3342" spans="1:14" s="360" customFormat="1" hidden="1" outlineLevel="2" x14ac:dyDescent="0.35">
      <c r="A3342" s="403" t="s">
        <v>3937</v>
      </c>
      <c r="B3342" s="397">
        <v>44411</v>
      </c>
      <c r="C3342" s="398" t="s">
        <v>6590</v>
      </c>
      <c r="D3342" s="399" t="s">
        <v>6591</v>
      </c>
      <c r="E3342" s="399" t="s">
        <v>6592</v>
      </c>
      <c r="F3342" s="400">
        <v>948000</v>
      </c>
      <c r="G3342" s="401" t="s">
        <v>3800</v>
      </c>
      <c r="H3342" s="402">
        <v>352.74362778588653</v>
      </c>
      <c r="I3342" s="402"/>
      <c r="J3342" s="400"/>
      <c r="K3342" s="400"/>
      <c r="L3342" s="400"/>
      <c r="M3342" s="400"/>
      <c r="N3342" s="400">
        <f t="shared" si="138"/>
        <v>352.74362778588653</v>
      </c>
    </row>
    <row r="3343" spans="1:14" s="360" customFormat="1" hidden="1" outlineLevel="2" x14ac:dyDescent="0.35">
      <c r="A3343" s="403" t="s">
        <v>3937</v>
      </c>
      <c r="B3343" s="397">
        <v>44411</v>
      </c>
      <c r="C3343" s="398" t="s">
        <v>6593</v>
      </c>
      <c r="D3343" s="399" t="s">
        <v>6171</v>
      </c>
      <c r="E3343" s="399" t="s">
        <v>6594</v>
      </c>
      <c r="F3343" s="400">
        <v>175000</v>
      </c>
      <c r="G3343" s="401" t="s">
        <v>3800</v>
      </c>
      <c r="H3343" s="402">
        <v>65.116176015327156</v>
      </c>
      <c r="I3343" s="402"/>
      <c r="J3343" s="400"/>
      <c r="K3343" s="400"/>
      <c r="L3343" s="400"/>
      <c r="M3343" s="400"/>
      <c r="N3343" s="400">
        <f t="shared" si="138"/>
        <v>65.116176015327156</v>
      </c>
    </row>
    <row r="3344" spans="1:14" s="360" customFormat="1" hidden="1" outlineLevel="2" x14ac:dyDescent="0.35">
      <c r="A3344" s="403" t="s">
        <v>3937</v>
      </c>
      <c r="B3344" s="397">
        <v>44432</v>
      </c>
      <c r="C3344" s="398" t="s">
        <v>6595</v>
      </c>
      <c r="D3344" s="399" t="s">
        <v>6171</v>
      </c>
      <c r="E3344" s="399" t="s">
        <v>6594</v>
      </c>
      <c r="F3344" s="400">
        <v>175000</v>
      </c>
      <c r="G3344" s="401" t="s">
        <v>3800</v>
      </c>
      <c r="H3344" s="402">
        <v>65.116176015327156</v>
      </c>
      <c r="I3344" s="402"/>
      <c r="J3344" s="400"/>
      <c r="K3344" s="400"/>
      <c r="L3344" s="400"/>
      <c r="M3344" s="400"/>
      <c r="N3344" s="400">
        <f t="shared" si="138"/>
        <v>65.116176015327156</v>
      </c>
    </row>
    <row r="3345" spans="1:14" s="360" customFormat="1" hidden="1" outlineLevel="2" x14ac:dyDescent="0.35">
      <c r="A3345" s="403" t="s">
        <v>3937</v>
      </c>
      <c r="B3345" s="397">
        <v>44508</v>
      </c>
      <c r="C3345" s="398" t="s">
        <v>6596</v>
      </c>
      <c r="D3345" s="399" t="s">
        <v>4787</v>
      </c>
      <c r="E3345" s="399" t="s">
        <v>6594</v>
      </c>
      <c r="F3345" s="400">
        <v>160000</v>
      </c>
      <c r="G3345" s="401" t="s">
        <v>3800</v>
      </c>
      <c r="H3345" s="402">
        <v>59.534789499727687</v>
      </c>
      <c r="I3345" s="402"/>
      <c r="J3345" s="400"/>
      <c r="K3345" s="400"/>
      <c r="L3345" s="400"/>
      <c r="M3345" s="400"/>
      <c r="N3345" s="400">
        <f t="shared" si="138"/>
        <v>59.534789499727687</v>
      </c>
    </row>
    <row r="3346" spans="1:14" s="360" customFormat="1" hidden="1" outlineLevel="2" x14ac:dyDescent="0.35">
      <c r="A3346" s="403" t="s">
        <v>3937</v>
      </c>
      <c r="B3346" s="397">
        <v>44508</v>
      </c>
      <c r="C3346" s="398" t="s">
        <v>6596</v>
      </c>
      <c r="D3346" s="399" t="s">
        <v>4787</v>
      </c>
      <c r="E3346" s="399" t="s">
        <v>6594</v>
      </c>
      <c r="F3346" s="400">
        <v>175000</v>
      </c>
      <c r="G3346" s="401" t="s">
        <v>3800</v>
      </c>
      <c r="H3346" s="402">
        <v>65.116176015327156</v>
      </c>
      <c r="I3346" s="402"/>
      <c r="J3346" s="400"/>
      <c r="K3346" s="400"/>
      <c r="L3346" s="400"/>
      <c r="M3346" s="400"/>
      <c r="N3346" s="400">
        <f t="shared" si="138"/>
        <v>65.116176015327156</v>
      </c>
    </row>
    <row r="3347" spans="1:14" s="360" customFormat="1" hidden="1" outlineLevel="2" x14ac:dyDescent="0.35">
      <c r="A3347" s="403" t="s">
        <v>3937</v>
      </c>
      <c r="B3347" s="397">
        <v>44525</v>
      </c>
      <c r="C3347" s="398" t="s">
        <v>6597</v>
      </c>
      <c r="D3347" s="399" t="s">
        <v>4787</v>
      </c>
      <c r="E3347" s="399" t="s">
        <v>6594</v>
      </c>
      <c r="F3347" s="400">
        <v>250000</v>
      </c>
      <c r="G3347" s="401" t="s">
        <v>3800</v>
      </c>
      <c r="H3347" s="402">
        <v>93.023108593324508</v>
      </c>
      <c r="I3347" s="402"/>
      <c r="J3347" s="400"/>
      <c r="K3347" s="400"/>
      <c r="L3347" s="400"/>
      <c r="M3347" s="400"/>
      <c r="N3347" s="400">
        <f t="shared" si="138"/>
        <v>93.023108593324508</v>
      </c>
    </row>
    <row r="3348" spans="1:14" s="360" customFormat="1" hidden="1" outlineLevel="2" x14ac:dyDescent="0.35">
      <c r="A3348" s="403" t="s">
        <v>3937</v>
      </c>
      <c r="B3348" s="397">
        <v>44552</v>
      </c>
      <c r="C3348" s="398" t="s">
        <v>6598</v>
      </c>
      <c r="D3348" s="399" t="s">
        <v>6599</v>
      </c>
      <c r="E3348" s="399" t="s">
        <v>6600</v>
      </c>
      <c r="F3348" s="400">
        <v>630000</v>
      </c>
      <c r="G3348" s="401" t="s">
        <v>3800</v>
      </c>
      <c r="H3348" s="402">
        <v>234.41823365517777</v>
      </c>
      <c r="I3348" s="402"/>
      <c r="J3348" s="400"/>
      <c r="K3348" s="400"/>
      <c r="L3348" s="400"/>
      <c r="M3348" s="400"/>
      <c r="N3348" s="400">
        <f t="shared" si="138"/>
        <v>234.41823365517777</v>
      </c>
    </row>
    <row r="3349" spans="1:14" s="360" customFormat="1" hidden="1" outlineLevel="2" x14ac:dyDescent="0.35">
      <c r="A3349" s="403" t="s">
        <v>3937</v>
      </c>
      <c r="B3349" s="397">
        <v>44552</v>
      </c>
      <c r="C3349" s="398" t="s">
        <v>6601</v>
      </c>
      <c r="D3349" s="399" t="s">
        <v>6599</v>
      </c>
      <c r="E3349" s="399" t="s">
        <v>6600</v>
      </c>
      <c r="F3349" s="400">
        <v>210000</v>
      </c>
      <c r="G3349" s="401" t="s">
        <v>3800</v>
      </c>
      <c r="H3349" s="402">
        <v>78.139411218392596</v>
      </c>
      <c r="I3349" s="402"/>
      <c r="J3349" s="400"/>
      <c r="K3349" s="400"/>
      <c r="L3349" s="400"/>
      <c r="M3349" s="400"/>
      <c r="N3349" s="400">
        <f t="shared" si="138"/>
        <v>78.139411218392596</v>
      </c>
    </row>
    <row r="3350" spans="1:14" s="360" customFormat="1" hidden="1" outlineLevel="2" collapsed="1" x14ac:dyDescent="0.35">
      <c r="A3350" s="403" t="s">
        <v>3937</v>
      </c>
      <c r="B3350" s="397">
        <v>44571</v>
      </c>
      <c r="C3350" s="398" t="s">
        <v>6602</v>
      </c>
      <c r="D3350" s="399" t="s">
        <v>6603</v>
      </c>
      <c r="E3350" s="399" t="s">
        <v>6600</v>
      </c>
      <c r="F3350" s="400">
        <v>150000</v>
      </c>
      <c r="G3350" s="401" t="s">
        <v>3800</v>
      </c>
      <c r="H3350" s="402">
        <v>55.813865155994705</v>
      </c>
      <c r="I3350" s="402"/>
      <c r="J3350" s="400"/>
      <c r="K3350" s="400"/>
      <c r="L3350" s="400"/>
      <c r="M3350" s="400"/>
      <c r="N3350" s="400">
        <v>55.813865155994705</v>
      </c>
    </row>
    <row r="3351" spans="1:14" s="360" customFormat="1" outlineLevel="1" collapsed="1" x14ac:dyDescent="0.35">
      <c r="A3351" s="396" t="s">
        <v>6604</v>
      </c>
      <c r="B3351" s="397"/>
      <c r="C3351" s="398"/>
      <c r="D3351" s="399"/>
      <c r="E3351" s="399"/>
      <c r="F3351" s="400"/>
      <c r="G3351" s="401"/>
      <c r="H3351" s="402">
        <f t="shared" ref="H3351:N3351" si="139">SUBTOTAL(9,H3341:H3350)</f>
        <v>1147.1609751728779</v>
      </c>
      <c r="I3351" s="402"/>
      <c r="J3351" s="400">
        <f t="shared" si="139"/>
        <v>0</v>
      </c>
      <c r="K3351" s="400">
        <f t="shared" si="139"/>
        <v>0</v>
      </c>
      <c r="L3351" s="400">
        <f t="shared" si="139"/>
        <v>0</v>
      </c>
      <c r="M3351" s="400">
        <f t="shared" si="139"/>
        <v>0</v>
      </c>
      <c r="N3351" s="400">
        <f t="shared" si="139"/>
        <v>1147.1609751728779</v>
      </c>
    </row>
    <row r="3352" spans="1:14" s="360" customFormat="1" hidden="1" outlineLevel="2" x14ac:dyDescent="0.35">
      <c r="A3352" s="403" t="s">
        <v>3936</v>
      </c>
      <c r="B3352" s="397">
        <v>44326</v>
      </c>
      <c r="C3352" s="398" t="s">
        <v>6605</v>
      </c>
      <c r="D3352" s="399" t="s">
        <v>6606</v>
      </c>
      <c r="E3352" s="399" t="s">
        <v>6607</v>
      </c>
      <c r="F3352" s="400">
        <v>300000</v>
      </c>
      <c r="G3352" s="401" t="s">
        <v>3800</v>
      </c>
      <c r="H3352" s="402">
        <v>111.62773031198941</v>
      </c>
      <c r="I3352" s="402"/>
      <c r="J3352" s="400"/>
      <c r="K3352" s="400"/>
      <c r="L3352" s="400"/>
      <c r="M3352" s="400"/>
      <c r="N3352" s="400">
        <f t="shared" ref="N3352:N3397" si="140">H3352</f>
        <v>111.62773031198941</v>
      </c>
    </row>
    <row r="3353" spans="1:14" s="360" customFormat="1" hidden="1" outlineLevel="2" x14ac:dyDescent="0.35">
      <c r="A3353" s="403" t="s">
        <v>3936</v>
      </c>
      <c r="B3353" s="397">
        <v>44326</v>
      </c>
      <c r="C3353" s="398" t="s">
        <v>6605</v>
      </c>
      <c r="D3353" s="399" t="s">
        <v>6608</v>
      </c>
      <c r="E3353" s="399" t="s">
        <v>6609</v>
      </c>
      <c r="F3353" s="400">
        <v>15000</v>
      </c>
      <c r="G3353" s="401" t="s">
        <v>3800</v>
      </c>
      <c r="H3353" s="402">
        <v>5.5813865155994709</v>
      </c>
      <c r="I3353" s="402"/>
      <c r="J3353" s="400"/>
      <c r="K3353" s="400"/>
      <c r="L3353" s="400"/>
      <c r="M3353" s="400"/>
      <c r="N3353" s="400">
        <f t="shared" si="140"/>
        <v>5.5813865155994709</v>
      </c>
    </row>
    <row r="3354" spans="1:14" s="360" customFormat="1" hidden="1" outlineLevel="2" x14ac:dyDescent="0.35">
      <c r="A3354" s="403" t="s">
        <v>3936</v>
      </c>
      <c r="B3354" s="397">
        <v>44326</v>
      </c>
      <c r="C3354" s="398" t="s">
        <v>6605</v>
      </c>
      <c r="D3354" s="399" t="s">
        <v>6608</v>
      </c>
      <c r="E3354" s="399" t="s">
        <v>6609</v>
      </c>
      <c r="F3354" s="400">
        <v>15000</v>
      </c>
      <c r="G3354" s="401" t="s">
        <v>3800</v>
      </c>
      <c r="H3354" s="402">
        <v>5.5813865155994709</v>
      </c>
      <c r="I3354" s="402"/>
      <c r="J3354" s="400"/>
      <c r="K3354" s="400"/>
      <c r="L3354" s="400"/>
      <c r="M3354" s="400"/>
      <c r="N3354" s="400">
        <f t="shared" si="140"/>
        <v>5.5813865155994709</v>
      </c>
    </row>
    <row r="3355" spans="1:14" s="360" customFormat="1" hidden="1" outlineLevel="2" x14ac:dyDescent="0.35">
      <c r="A3355" s="403" t="s">
        <v>3936</v>
      </c>
      <c r="B3355" s="397">
        <v>44326</v>
      </c>
      <c r="C3355" s="398" t="s">
        <v>6605</v>
      </c>
      <c r="D3355" s="399" t="s">
        <v>6610</v>
      </c>
      <c r="E3355" s="399" t="s">
        <v>6611</v>
      </c>
      <c r="F3355" s="400">
        <v>15000</v>
      </c>
      <c r="G3355" s="401" t="s">
        <v>3800</v>
      </c>
      <c r="H3355" s="402">
        <v>5.5813865155994709</v>
      </c>
      <c r="I3355" s="402"/>
      <c r="J3355" s="400"/>
      <c r="K3355" s="400"/>
      <c r="L3355" s="400"/>
      <c r="M3355" s="400"/>
      <c r="N3355" s="400">
        <f t="shared" si="140"/>
        <v>5.5813865155994709</v>
      </c>
    </row>
    <row r="3356" spans="1:14" s="360" customFormat="1" hidden="1" outlineLevel="2" x14ac:dyDescent="0.35">
      <c r="A3356" s="403" t="s">
        <v>3936</v>
      </c>
      <c r="B3356" s="397">
        <v>44326</v>
      </c>
      <c r="C3356" s="398" t="s">
        <v>6605</v>
      </c>
      <c r="D3356" s="399" t="s">
        <v>6610</v>
      </c>
      <c r="E3356" s="399" t="s">
        <v>6612</v>
      </c>
      <c r="F3356" s="400">
        <v>11000</v>
      </c>
      <c r="G3356" s="401" t="s">
        <v>3800</v>
      </c>
      <c r="H3356" s="402">
        <v>4.0930167781062785</v>
      </c>
      <c r="I3356" s="402"/>
      <c r="J3356" s="400"/>
      <c r="K3356" s="400"/>
      <c r="L3356" s="400"/>
      <c r="M3356" s="400"/>
      <c r="N3356" s="400">
        <f t="shared" si="140"/>
        <v>4.0930167781062785</v>
      </c>
    </row>
    <row r="3357" spans="1:14" s="360" customFormat="1" hidden="1" outlineLevel="2" x14ac:dyDescent="0.35">
      <c r="A3357" s="403" t="s">
        <v>3936</v>
      </c>
      <c r="B3357" s="397">
        <v>44326</v>
      </c>
      <c r="C3357" s="398" t="s">
        <v>6605</v>
      </c>
      <c r="D3357" s="399" t="s">
        <v>6613</v>
      </c>
      <c r="E3357" s="399" t="s">
        <v>6614</v>
      </c>
      <c r="F3357" s="400">
        <v>3000</v>
      </c>
      <c r="G3357" s="401" t="s">
        <v>3800</v>
      </c>
      <c r="H3357" s="402">
        <v>1.1162773031198943</v>
      </c>
      <c r="I3357" s="402"/>
      <c r="J3357" s="400"/>
      <c r="K3357" s="400"/>
      <c r="L3357" s="400"/>
      <c r="M3357" s="400"/>
      <c r="N3357" s="400">
        <f t="shared" si="140"/>
        <v>1.1162773031198943</v>
      </c>
    </row>
    <row r="3358" spans="1:14" s="360" customFormat="1" hidden="1" outlineLevel="2" x14ac:dyDescent="0.35">
      <c r="A3358" s="403" t="s">
        <v>3936</v>
      </c>
      <c r="B3358" s="397">
        <v>44326</v>
      </c>
      <c r="C3358" s="398" t="s">
        <v>6605</v>
      </c>
      <c r="D3358" s="399" t="s">
        <v>6615</v>
      </c>
      <c r="E3358" s="399" t="s">
        <v>4848</v>
      </c>
      <c r="F3358" s="400">
        <v>200000</v>
      </c>
      <c r="G3358" s="401" t="s">
        <v>3800</v>
      </c>
      <c r="H3358" s="402">
        <v>74.418486874659607</v>
      </c>
      <c r="I3358" s="402"/>
      <c r="J3358" s="400"/>
      <c r="K3358" s="400"/>
      <c r="L3358" s="400"/>
      <c r="M3358" s="400"/>
      <c r="N3358" s="400">
        <f t="shared" si="140"/>
        <v>74.418486874659607</v>
      </c>
    </row>
    <row r="3359" spans="1:14" s="360" customFormat="1" hidden="1" outlineLevel="2" x14ac:dyDescent="0.35">
      <c r="A3359" s="403" t="s">
        <v>3936</v>
      </c>
      <c r="B3359" s="397">
        <v>44347</v>
      </c>
      <c r="C3359" s="398" t="s">
        <v>6616</v>
      </c>
      <c r="D3359" s="399" t="s">
        <v>6617</v>
      </c>
      <c r="E3359" s="399" t="s">
        <v>6618</v>
      </c>
      <c r="F3359" s="400">
        <v>1298000</v>
      </c>
      <c r="G3359" s="401" t="s">
        <v>3800</v>
      </c>
      <c r="H3359" s="402">
        <v>482.97597981654087</v>
      </c>
      <c r="I3359" s="402"/>
      <c r="J3359" s="400"/>
      <c r="K3359" s="400"/>
      <c r="L3359" s="400"/>
      <c r="M3359" s="400"/>
      <c r="N3359" s="400">
        <f t="shared" si="140"/>
        <v>482.97597981654087</v>
      </c>
    </row>
    <row r="3360" spans="1:14" s="360" customFormat="1" hidden="1" outlineLevel="2" x14ac:dyDescent="0.35">
      <c r="A3360" s="403" t="s">
        <v>3936</v>
      </c>
      <c r="B3360" s="397">
        <v>44400</v>
      </c>
      <c r="C3360" s="398" t="s">
        <v>6619</v>
      </c>
      <c r="D3360" s="399" t="s">
        <v>6620</v>
      </c>
      <c r="E3360" s="399" t="s">
        <v>6621</v>
      </c>
      <c r="F3360" s="400">
        <v>300000</v>
      </c>
      <c r="G3360" s="401" t="s">
        <v>3800</v>
      </c>
      <c r="H3360" s="402">
        <v>111.62773031198941</v>
      </c>
      <c r="I3360" s="402"/>
      <c r="J3360" s="400"/>
      <c r="K3360" s="400"/>
      <c r="L3360" s="400"/>
      <c r="M3360" s="400"/>
      <c r="N3360" s="400">
        <f t="shared" si="140"/>
        <v>111.62773031198941</v>
      </c>
    </row>
    <row r="3361" spans="1:14" s="360" customFormat="1" hidden="1" outlineLevel="2" x14ac:dyDescent="0.35">
      <c r="A3361" s="403" t="s">
        <v>3936</v>
      </c>
      <c r="B3361" s="397">
        <v>44400</v>
      </c>
      <c r="C3361" s="398" t="s">
        <v>6619</v>
      </c>
      <c r="D3361" s="399" t="s">
        <v>6622</v>
      </c>
      <c r="E3361" s="399" t="s">
        <v>6623</v>
      </c>
      <c r="F3361" s="400">
        <v>160000</v>
      </c>
      <c r="G3361" s="401" t="s">
        <v>3800</v>
      </c>
      <c r="H3361" s="402">
        <v>59.534789499727687</v>
      </c>
      <c r="I3361" s="402"/>
      <c r="J3361" s="400"/>
      <c r="K3361" s="400"/>
      <c r="L3361" s="400"/>
      <c r="M3361" s="400"/>
      <c r="N3361" s="400">
        <f t="shared" si="140"/>
        <v>59.534789499727687</v>
      </c>
    </row>
    <row r="3362" spans="1:14" s="360" customFormat="1" hidden="1" outlineLevel="2" collapsed="1" x14ac:dyDescent="0.35">
      <c r="A3362" s="403" t="s">
        <v>3936</v>
      </c>
      <c r="B3362" s="397">
        <v>44400</v>
      </c>
      <c r="C3362" s="398" t="s">
        <v>6619</v>
      </c>
      <c r="D3362" s="399" t="s">
        <v>6624</v>
      </c>
      <c r="E3362" s="399" t="s">
        <v>6621</v>
      </c>
      <c r="F3362" s="400">
        <v>70000</v>
      </c>
      <c r="G3362" s="401" t="s">
        <v>3800</v>
      </c>
      <c r="H3362" s="402">
        <v>26.046470406130865</v>
      </c>
      <c r="I3362" s="402"/>
      <c r="J3362" s="400"/>
      <c r="K3362" s="400"/>
      <c r="L3362" s="400"/>
      <c r="M3362" s="400"/>
      <c r="N3362" s="400">
        <f t="shared" si="140"/>
        <v>26.046470406130865</v>
      </c>
    </row>
    <row r="3363" spans="1:14" s="360" customFormat="1" hidden="1" outlineLevel="2" x14ac:dyDescent="0.35">
      <c r="A3363" s="403" t="s">
        <v>3936</v>
      </c>
      <c r="B3363" s="397">
        <v>44411</v>
      </c>
      <c r="C3363" s="398" t="s">
        <v>6593</v>
      </c>
      <c r="D3363" s="399" t="s">
        <v>6620</v>
      </c>
      <c r="E3363" s="399" t="s">
        <v>6625</v>
      </c>
      <c r="F3363" s="400">
        <v>300000</v>
      </c>
      <c r="G3363" s="401" t="s">
        <v>3800</v>
      </c>
      <c r="H3363" s="402">
        <v>111.62773031198941</v>
      </c>
      <c r="I3363" s="402"/>
      <c r="J3363" s="400"/>
      <c r="K3363" s="400"/>
      <c r="L3363" s="400"/>
      <c r="M3363" s="400"/>
      <c r="N3363" s="400">
        <f t="shared" si="140"/>
        <v>111.62773031198941</v>
      </c>
    </row>
    <row r="3364" spans="1:14" s="360" customFormat="1" hidden="1" outlineLevel="2" x14ac:dyDescent="0.35">
      <c r="A3364" s="403" t="s">
        <v>3936</v>
      </c>
      <c r="B3364" s="397">
        <v>44411</v>
      </c>
      <c r="C3364" s="398" t="s">
        <v>6593</v>
      </c>
      <c r="D3364" s="399" t="s">
        <v>6622</v>
      </c>
      <c r="E3364" s="399" t="s">
        <v>6623</v>
      </c>
      <c r="F3364" s="400">
        <v>160000</v>
      </c>
      <c r="G3364" s="401" t="s">
        <v>3800</v>
      </c>
      <c r="H3364" s="402">
        <v>59.534789499727687</v>
      </c>
      <c r="I3364" s="402"/>
      <c r="J3364" s="400"/>
      <c r="K3364" s="400"/>
      <c r="L3364" s="400"/>
      <c r="M3364" s="400"/>
      <c r="N3364" s="400">
        <f t="shared" si="140"/>
        <v>59.534789499727687</v>
      </c>
    </row>
    <row r="3365" spans="1:14" s="360" customFormat="1" hidden="1" outlineLevel="2" x14ac:dyDescent="0.35">
      <c r="A3365" s="403" t="s">
        <v>3936</v>
      </c>
      <c r="B3365" s="397">
        <v>44411</v>
      </c>
      <c r="C3365" s="398" t="s">
        <v>6593</v>
      </c>
      <c r="D3365" s="399" t="s">
        <v>6624</v>
      </c>
      <c r="E3365" s="399" t="s">
        <v>6625</v>
      </c>
      <c r="F3365" s="400">
        <v>70000</v>
      </c>
      <c r="G3365" s="401" t="s">
        <v>3800</v>
      </c>
      <c r="H3365" s="402">
        <v>26.046470406130865</v>
      </c>
      <c r="I3365" s="402"/>
      <c r="J3365" s="400"/>
      <c r="K3365" s="400"/>
      <c r="L3365" s="400"/>
      <c r="M3365" s="400"/>
      <c r="N3365" s="400">
        <f t="shared" si="140"/>
        <v>26.046470406130865</v>
      </c>
    </row>
    <row r="3366" spans="1:14" s="360" customFormat="1" hidden="1" outlineLevel="2" x14ac:dyDescent="0.35">
      <c r="A3366" s="403" t="s">
        <v>3936</v>
      </c>
      <c r="B3366" s="397">
        <v>44411</v>
      </c>
      <c r="C3366" s="398" t="s">
        <v>6590</v>
      </c>
      <c r="D3366" s="399" t="s">
        <v>6626</v>
      </c>
      <c r="E3366" s="399" t="s">
        <v>6592</v>
      </c>
      <c r="F3366" s="400">
        <v>240000</v>
      </c>
      <c r="G3366" s="401" t="s">
        <v>3800</v>
      </c>
      <c r="H3366" s="402">
        <v>89.302184249591534</v>
      </c>
      <c r="I3366" s="402"/>
      <c r="J3366" s="400"/>
      <c r="K3366" s="400"/>
      <c r="L3366" s="400"/>
      <c r="M3366" s="400"/>
      <c r="N3366" s="400">
        <f t="shared" si="140"/>
        <v>89.302184249591534</v>
      </c>
    </row>
    <row r="3367" spans="1:14" s="360" customFormat="1" hidden="1" outlineLevel="2" x14ac:dyDescent="0.35">
      <c r="A3367" s="403" t="s">
        <v>3936</v>
      </c>
      <c r="B3367" s="397">
        <v>44427</v>
      </c>
      <c r="C3367" s="398" t="s">
        <v>6627</v>
      </c>
      <c r="D3367" s="399" t="s">
        <v>6628</v>
      </c>
      <c r="E3367" s="399" t="s">
        <v>6629</v>
      </c>
      <c r="F3367" s="400">
        <v>5010000</v>
      </c>
      <c r="G3367" s="401" t="s">
        <v>3800</v>
      </c>
      <c r="H3367" s="402">
        <v>1864.1830962102233</v>
      </c>
      <c r="I3367" s="402"/>
      <c r="J3367" s="400"/>
      <c r="K3367" s="400"/>
      <c r="L3367" s="400"/>
      <c r="M3367" s="400"/>
      <c r="N3367" s="400">
        <f t="shared" si="140"/>
        <v>1864.1830962102233</v>
      </c>
    </row>
    <row r="3368" spans="1:14" s="360" customFormat="1" hidden="1" outlineLevel="2" x14ac:dyDescent="0.35">
      <c r="A3368" s="403" t="s">
        <v>3936</v>
      </c>
      <c r="B3368" s="397">
        <v>44431</v>
      </c>
      <c r="C3368" s="398" t="s">
        <v>6630</v>
      </c>
      <c r="D3368" s="399" t="s">
        <v>6631</v>
      </c>
      <c r="E3368" s="399" t="s">
        <v>6632</v>
      </c>
      <c r="F3368" s="400">
        <v>300000</v>
      </c>
      <c r="G3368" s="401" t="s">
        <v>3800</v>
      </c>
      <c r="H3368" s="402">
        <v>111.62773031198941</v>
      </c>
      <c r="I3368" s="402"/>
      <c r="J3368" s="400"/>
      <c r="K3368" s="400"/>
      <c r="L3368" s="400"/>
      <c r="M3368" s="400"/>
      <c r="N3368" s="400">
        <f t="shared" si="140"/>
        <v>111.62773031198941</v>
      </c>
    </row>
    <row r="3369" spans="1:14" s="360" customFormat="1" hidden="1" outlineLevel="2" x14ac:dyDescent="0.35">
      <c r="A3369" s="403" t="s">
        <v>3936</v>
      </c>
      <c r="B3369" s="397">
        <v>44431</v>
      </c>
      <c r="C3369" s="398" t="s">
        <v>6630</v>
      </c>
      <c r="D3369" s="399" t="s">
        <v>6622</v>
      </c>
      <c r="E3369" s="399" t="s">
        <v>6623</v>
      </c>
      <c r="F3369" s="400">
        <v>160000</v>
      </c>
      <c r="G3369" s="401" t="s">
        <v>3800</v>
      </c>
      <c r="H3369" s="402">
        <v>59.534789499727687</v>
      </c>
      <c r="I3369" s="402"/>
      <c r="J3369" s="400"/>
      <c r="K3369" s="400"/>
      <c r="L3369" s="400"/>
      <c r="M3369" s="400"/>
      <c r="N3369" s="400">
        <f t="shared" si="140"/>
        <v>59.534789499727687</v>
      </c>
    </row>
    <row r="3370" spans="1:14" s="360" customFormat="1" hidden="1" outlineLevel="2" x14ac:dyDescent="0.35">
      <c r="A3370" s="403" t="s">
        <v>3936</v>
      </c>
      <c r="B3370" s="397">
        <v>44431</v>
      </c>
      <c r="C3370" s="398" t="s">
        <v>6630</v>
      </c>
      <c r="D3370" s="399" t="s">
        <v>6624</v>
      </c>
      <c r="E3370" s="399" t="s">
        <v>6623</v>
      </c>
      <c r="F3370" s="400">
        <v>70000</v>
      </c>
      <c r="G3370" s="401" t="s">
        <v>3800</v>
      </c>
      <c r="H3370" s="402">
        <v>26.046470406130865</v>
      </c>
      <c r="I3370" s="402"/>
      <c r="J3370" s="400"/>
      <c r="K3370" s="400"/>
      <c r="L3370" s="400"/>
      <c r="M3370" s="400"/>
      <c r="N3370" s="400">
        <f t="shared" si="140"/>
        <v>26.046470406130865</v>
      </c>
    </row>
    <row r="3371" spans="1:14" s="360" customFormat="1" hidden="1" outlineLevel="2" x14ac:dyDescent="0.35">
      <c r="A3371" s="403" t="s">
        <v>3936</v>
      </c>
      <c r="B3371" s="397">
        <v>44461</v>
      </c>
      <c r="C3371" s="398" t="s">
        <v>6633</v>
      </c>
      <c r="D3371" s="399" t="s">
        <v>6620</v>
      </c>
      <c r="E3371" s="399" t="s">
        <v>6632</v>
      </c>
      <c r="F3371" s="400">
        <v>300000</v>
      </c>
      <c r="G3371" s="401" t="s">
        <v>3800</v>
      </c>
      <c r="H3371" s="402">
        <v>111.62773031198941</v>
      </c>
      <c r="I3371" s="402"/>
      <c r="J3371" s="400"/>
      <c r="K3371" s="400"/>
      <c r="L3371" s="400"/>
      <c r="M3371" s="400"/>
      <c r="N3371" s="400">
        <f t="shared" si="140"/>
        <v>111.62773031198941</v>
      </c>
    </row>
    <row r="3372" spans="1:14" s="360" customFormat="1" hidden="1" outlineLevel="2" x14ac:dyDescent="0.35">
      <c r="A3372" s="403" t="s">
        <v>3936</v>
      </c>
      <c r="B3372" s="397">
        <v>44461</v>
      </c>
      <c r="C3372" s="398" t="s">
        <v>6633</v>
      </c>
      <c r="D3372" s="399" t="s">
        <v>6624</v>
      </c>
      <c r="E3372" s="399" t="s">
        <v>6634</v>
      </c>
      <c r="F3372" s="400">
        <v>40000</v>
      </c>
      <c r="G3372" s="401" t="s">
        <v>3800</v>
      </c>
      <c r="H3372" s="402">
        <v>14.883697374931922</v>
      </c>
      <c r="I3372" s="402"/>
      <c r="J3372" s="400"/>
      <c r="K3372" s="400"/>
      <c r="L3372" s="400"/>
      <c r="M3372" s="400"/>
      <c r="N3372" s="400">
        <f t="shared" si="140"/>
        <v>14.883697374931922</v>
      </c>
    </row>
    <row r="3373" spans="1:14" s="360" customFormat="1" hidden="1" outlineLevel="2" x14ac:dyDescent="0.35">
      <c r="A3373" s="403" t="s">
        <v>3936</v>
      </c>
      <c r="B3373" s="397">
        <v>44461</v>
      </c>
      <c r="C3373" s="398" t="s">
        <v>6633</v>
      </c>
      <c r="D3373" s="399" t="s">
        <v>6624</v>
      </c>
      <c r="E3373" s="399" t="s">
        <v>6635</v>
      </c>
      <c r="F3373" s="400">
        <v>15000</v>
      </c>
      <c r="G3373" s="401" t="s">
        <v>3800</v>
      </c>
      <c r="H3373" s="402">
        <v>5.5813865155994709</v>
      </c>
      <c r="I3373" s="402"/>
      <c r="J3373" s="400"/>
      <c r="K3373" s="400"/>
      <c r="L3373" s="400"/>
      <c r="M3373" s="400"/>
      <c r="N3373" s="400">
        <f t="shared" si="140"/>
        <v>5.5813865155994709</v>
      </c>
    </row>
    <row r="3374" spans="1:14" s="360" customFormat="1" hidden="1" outlineLevel="2" x14ac:dyDescent="0.35">
      <c r="A3374" s="403" t="s">
        <v>3936</v>
      </c>
      <c r="B3374" s="397">
        <v>44461</v>
      </c>
      <c r="C3374" s="398" t="s">
        <v>6633</v>
      </c>
      <c r="D3374" s="399" t="s">
        <v>6624</v>
      </c>
      <c r="E3374" s="399" t="s">
        <v>6636</v>
      </c>
      <c r="F3374" s="400">
        <v>15000</v>
      </c>
      <c r="G3374" s="401" t="s">
        <v>3800</v>
      </c>
      <c r="H3374" s="402">
        <v>5.5813865155994709</v>
      </c>
      <c r="I3374" s="402"/>
      <c r="J3374" s="400"/>
      <c r="K3374" s="400"/>
      <c r="L3374" s="400"/>
      <c r="M3374" s="400"/>
      <c r="N3374" s="400">
        <f t="shared" si="140"/>
        <v>5.5813865155994709</v>
      </c>
    </row>
    <row r="3375" spans="1:14" s="360" customFormat="1" hidden="1" outlineLevel="2" x14ac:dyDescent="0.35">
      <c r="A3375" s="403" t="s">
        <v>3936</v>
      </c>
      <c r="B3375" s="397">
        <v>44461</v>
      </c>
      <c r="C3375" s="398" t="s">
        <v>6633</v>
      </c>
      <c r="D3375" s="399" t="s">
        <v>6622</v>
      </c>
      <c r="E3375" s="399" t="s">
        <v>6623</v>
      </c>
      <c r="F3375" s="400">
        <v>160000</v>
      </c>
      <c r="G3375" s="401" t="s">
        <v>3800</v>
      </c>
      <c r="H3375" s="402">
        <v>59.534789499727687</v>
      </c>
      <c r="I3375" s="402"/>
      <c r="J3375" s="400"/>
      <c r="K3375" s="400"/>
      <c r="L3375" s="400"/>
      <c r="M3375" s="400"/>
      <c r="N3375" s="400">
        <f t="shared" si="140"/>
        <v>59.534789499727687</v>
      </c>
    </row>
    <row r="3376" spans="1:14" s="360" customFormat="1" hidden="1" outlineLevel="2" x14ac:dyDescent="0.35">
      <c r="A3376" s="403" t="s">
        <v>3936</v>
      </c>
      <c r="B3376" s="397">
        <v>44467</v>
      </c>
      <c r="C3376" s="398" t="s">
        <v>6637</v>
      </c>
      <c r="D3376" s="399" t="s">
        <v>6638</v>
      </c>
      <c r="E3376" s="399" t="s">
        <v>6491</v>
      </c>
      <c r="F3376" s="400">
        <v>300000</v>
      </c>
      <c r="G3376" s="401" t="s">
        <v>3800</v>
      </c>
      <c r="H3376" s="402">
        <v>111.62773031198941</v>
      </c>
      <c r="I3376" s="402"/>
      <c r="J3376" s="400"/>
      <c r="K3376" s="400"/>
      <c r="L3376" s="400"/>
      <c r="M3376" s="400"/>
      <c r="N3376" s="400">
        <f t="shared" si="140"/>
        <v>111.62773031198941</v>
      </c>
    </row>
    <row r="3377" spans="1:14" s="360" customFormat="1" hidden="1" outlineLevel="2" x14ac:dyDescent="0.35">
      <c r="A3377" s="403" t="s">
        <v>3936</v>
      </c>
      <c r="B3377" s="397">
        <v>44467</v>
      </c>
      <c r="C3377" s="398" t="s">
        <v>6637</v>
      </c>
      <c r="D3377" s="399" t="s">
        <v>6622</v>
      </c>
      <c r="E3377" s="399" t="s">
        <v>6639</v>
      </c>
      <c r="F3377" s="400">
        <v>160000</v>
      </c>
      <c r="G3377" s="401" t="s">
        <v>3800</v>
      </c>
      <c r="H3377" s="402">
        <v>59.534789499727687</v>
      </c>
      <c r="I3377" s="402"/>
      <c r="J3377" s="400"/>
      <c r="K3377" s="400"/>
      <c r="L3377" s="400"/>
      <c r="M3377" s="400"/>
      <c r="N3377" s="400">
        <f t="shared" si="140"/>
        <v>59.534789499727687</v>
      </c>
    </row>
    <row r="3378" spans="1:14" s="360" customFormat="1" hidden="1" outlineLevel="2" x14ac:dyDescent="0.35">
      <c r="A3378" s="403" t="s">
        <v>3936</v>
      </c>
      <c r="B3378" s="397">
        <v>44467</v>
      </c>
      <c r="C3378" s="398" t="s">
        <v>6637</v>
      </c>
      <c r="D3378" s="399" t="s">
        <v>6640</v>
      </c>
      <c r="E3378" s="399" t="s">
        <v>6641</v>
      </c>
      <c r="F3378" s="400">
        <v>20000</v>
      </c>
      <c r="G3378" s="401" t="s">
        <v>3800</v>
      </c>
      <c r="H3378" s="402">
        <v>7.4418486874659608</v>
      </c>
      <c r="I3378" s="402"/>
      <c r="J3378" s="400"/>
      <c r="K3378" s="400"/>
      <c r="L3378" s="400"/>
      <c r="M3378" s="400"/>
      <c r="N3378" s="400">
        <f t="shared" si="140"/>
        <v>7.4418486874659608</v>
      </c>
    </row>
    <row r="3379" spans="1:14" s="360" customFormat="1" hidden="1" outlineLevel="2" x14ac:dyDescent="0.35">
      <c r="A3379" s="403" t="s">
        <v>3936</v>
      </c>
      <c r="B3379" s="397">
        <v>44467</v>
      </c>
      <c r="C3379" s="398" t="s">
        <v>6637</v>
      </c>
      <c r="D3379" s="399" t="s">
        <v>6640</v>
      </c>
      <c r="E3379" s="399" t="s">
        <v>6642</v>
      </c>
      <c r="F3379" s="400">
        <v>20000</v>
      </c>
      <c r="G3379" s="401" t="s">
        <v>3800</v>
      </c>
      <c r="H3379" s="402">
        <v>7.4418486874659608</v>
      </c>
      <c r="I3379" s="402"/>
      <c r="J3379" s="400"/>
      <c r="K3379" s="400"/>
      <c r="L3379" s="400"/>
      <c r="M3379" s="400"/>
      <c r="N3379" s="400">
        <f t="shared" si="140"/>
        <v>7.4418486874659608</v>
      </c>
    </row>
    <row r="3380" spans="1:14" s="360" customFormat="1" hidden="1" outlineLevel="2" x14ac:dyDescent="0.35">
      <c r="A3380" s="403" t="s">
        <v>3936</v>
      </c>
      <c r="B3380" s="397">
        <v>44467</v>
      </c>
      <c r="C3380" s="398" t="s">
        <v>6637</v>
      </c>
      <c r="D3380" s="399" t="s">
        <v>6640</v>
      </c>
      <c r="E3380" s="399" t="s">
        <v>6643</v>
      </c>
      <c r="F3380" s="400">
        <v>15000</v>
      </c>
      <c r="G3380" s="401" t="s">
        <v>3800</v>
      </c>
      <c r="H3380" s="402">
        <v>5.5813865155994709</v>
      </c>
      <c r="I3380" s="402"/>
      <c r="J3380" s="400"/>
      <c r="K3380" s="400"/>
      <c r="L3380" s="400"/>
      <c r="M3380" s="400"/>
      <c r="N3380" s="400">
        <f t="shared" si="140"/>
        <v>5.5813865155994709</v>
      </c>
    </row>
    <row r="3381" spans="1:14" s="360" customFormat="1" hidden="1" outlineLevel="2" x14ac:dyDescent="0.35">
      <c r="A3381" s="403" t="s">
        <v>3936</v>
      </c>
      <c r="B3381" s="397">
        <v>44467</v>
      </c>
      <c r="C3381" s="398" t="s">
        <v>6637</v>
      </c>
      <c r="D3381" s="399" t="s">
        <v>6640</v>
      </c>
      <c r="E3381" s="399" t="s">
        <v>6644</v>
      </c>
      <c r="F3381" s="400">
        <v>15000</v>
      </c>
      <c r="G3381" s="401" t="s">
        <v>3800</v>
      </c>
      <c r="H3381" s="402">
        <v>5.5813865155994709</v>
      </c>
      <c r="I3381" s="402"/>
      <c r="J3381" s="400"/>
      <c r="K3381" s="400"/>
      <c r="L3381" s="400"/>
      <c r="M3381" s="400"/>
      <c r="N3381" s="400">
        <f t="shared" si="140"/>
        <v>5.5813865155994709</v>
      </c>
    </row>
    <row r="3382" spans="1:14" s="360" customFormat="1" hidden="1" outlineLevel="2" x14ac:dyDescent="0.35">
      <c r="A3382" s="403" t="s">
        <v>3936</v>
      </c>
      <c r="B3382" s="397">
        <v>44498</v>
      </c>
      <c r="C3382" s="398" t="s">
        <v>6645</v>
      </c>
      <c r="D3382" s="399" t="s">
        <v>6631</v>
      </c>
      <c r="E3382" s="399" t="s">
        <v>6646</v>
      </c>
      <c r="F3382" s="400">
        <v>300000</v>
      </c>
      <c r="G3382" s="401" t="s">
        <v>3800</v>
      </c>
      <c r="H3382" s="402">
        <v>111.62773031198941</v>
      </c>
      <c r="I3382" s="402"/>
      <c r="J3382" s="400"/>
      <c r="K3382" s="400"/>
      <c r="L3382" s="400"/>
      <c r="M3382" s="400"/>
      <c r="N3382" s="400">
        <f t="shared" si="140"/>
        <v>111.62773031198941</v>
      </c>
    </row>
    <row r="3383" spans="1:14" s="360" customFormat="1" hidden="1" outlineLevel="2" x14ac:dyDescent="0.35">
      <c r="A3383" s="403" t="s">
        <v>3936</v>
      </c>
      <c r="B3383" s="397">
        <v>44498</v>
      </c>
      <c r="C3383" s="398" t="s">
        <v>6645</v>
      </c>
      <c r="D3383" s="399" t="s">
        <v>6622</v>
      </c>
      <c r="E3383" s="399" t="s">
        <v>6623</v>
      </c>
      <c r="F3383" s="400">
        <v>160000</v>
      </c>
      <c r="G3383" s="401" t="s">
        <v>3800</v>
      </c>
      <c r="H3383" s="402">
        <v>59.534789499727687</v>
      </c>
      <c r="I3383" s="402"/>
      <c r="J3383" s="400"/>
      <c r="K3383" s="400"/>
      <c r="L3383" s="400"/>
      <c r="M3383" s="400"/>
      <c r="N3383" s="400">
        <f t="shared" si="140"/>
        <v>59.534789499727687</v>
      </c>
    </row>
    <row r="3384" spans="1:14" s="360" customFormat="1" hidden="1" outlineLevel="2" x14ac:dyDescent="0.35">
      <c r="A3384" s="403" t="s">
        <v>3936</v>
      </c>
      <c r="B3384" s="397">
        <v>44498</v>
      </c>
      <c r="C3384" s="398" t="s">
        <v>6645</v>
      </c>
      <c r="D3384" s="399" t="s">
        <v>6624</v>
      </c>
      <c r="E3384" s="399" t="s">
        <v>6647</v>
      </c>
      <c r="F3384" s="400">
        <v>70000</v>
      </c>
      <c r="G3384" s="401" t="s">
        <v>3800</v>
      </c>
      <c r="H3384" s="402">
        <v>26.046470406130865</v>
      </c>
      <c r="I3384" s="402"/>
      <c r="J3384" s="400"/>
      <c r="K3384" s="400"/>
      <c r="L3384" s="400"/>
      <c r="M3384" s="400"/>
      <c r="N3384" s="400">
        <f t="shared" si="140"/>
        <v>26.046470406130865</v>
      </c>
    </row>
    <row r="3385" spans="1:14" s="360" customFormat="1" hidden="1" outlineLevel="2" x14ac:dyDescent="0.35">
      <c r="A3385" s="403" t="s">
        <v>3936</v>
      </c>
      <c r="B3385" s="397">
        <v>44543</v>
      </c>
      <c r="C3385" s="398" t="s">
        <v>6648</v>
      </c>
      <c r="D3385" s="399" t="s">
        <v>6649</v>
      </c>
      <c r="E3385" s="399" t="s">
        <v>6650</v>
      </c>
      <c r="F3385" s="400">
        <v>300000</v>
      </c>
      <c r="G3385" s="401" t="s">
        <v>3800</v>
      </c>
      <c r="H3385" s="402">
        <v>111.62773031198941</v>
      </c>
      <c r="I3385" s="402"/>
      <c r="J3385" s="400"/>
      <c r="K3385" s="400"/>
      <c r="L3385" s="400"/>
      <c r="M3385" s="400"/>
      <c r="N3385" s="400">
        <f t="shared" si="140"/>
        <v>111.62773031198941</v>
      </c>
    </row>
    <row r="3386" spans="1:14" s="360" customFormat="1" hidden="1" outlineLevel="2" x14ac:dyDescent="0.35">
      <c r="A3386" s="403" t="s">
        <v>3936</v>
      </c>
      <c r="B3386" s="397">
        <v>44543</v>
      </c>
      <c r="C3386" s="398" t="s">
        <v>6648</v>
      </c>
      <c r="D3386" s="399" t="s">
        <v>6651</v>
      </c>
      <c r="E3386" s="399" t="s">
        <v>6650</v>
      </c>
      <c r="F3386" s="400">
        <v>160000</v>
      </c>
      <c r="G3386" s="401" t="s">
        <v>3800</v>
      </c>
      <c r="H3386" s="402">
        <v>59.534789499727687</v>
      </c>
      <c r="I3386" s="402"/>
      <c r="J3386" s="400"/>
      <c r="K3386" s="400"/>
      <c r="L3386" s="400"/>
      <c r="M3386" s="400"/>
      <c r="N3386" s="400">
        <f t="shared" si="140"/>
        <v>59.534789499727687</v>
      </c>
    </row>
    <row r="3387" spans="1:14" s="360" customFormat="1" hidden="1" outlineLevel="2" x14ac:dyDescent="0.35">
      <c r="A3387" s="403" t="s">
        <v>3936</v>
      </c>
      <c r="B3387" s="397">
        <v>44543</v>
      </c>
      <c r="C3387" s="398" t="s">
        <v>6648</v>
      </c>
      <c r="D3387" s="399" t="s">
        <v>6652</v>
      </c>
      <c r="E3387" s="399" t="s">
        <v>6650</v>
      </c>
      <c r="F3387" s="400">
        <v>70000</v>
      </c>
      <c r="G3387" s="401" t="s">
        <v>3800</v>
      </c>
      <c r="H3387" s="402">
        <v>26.046470406130865</v>
      </c>
      <c r="I3387" s="402"/>
      <c r="J3387" s="400"/>
      <c r="K3387" s="400"/>
      <c r="L3387" s="400"/>
      <c r="M3387" s="400"/>
      <c r="N3387" s="400">
        <f t="shared" si="140"/>
        <v>26.046470406130865</v>
      </c>
    </row>
    <row r="3388" spans="1:14" s="360" customFormat="1" hidden="1" outlineLevel="2" x14ac:dyDescent="0.35">
      <c r="A3388" s="403" t="s">
        <v>3936</v>
      </c>
      <c r="B3388" s="397">
        <v>44543</v>
      </c>
      <c r="C3388" s="398" t="s">
        <v>6653</v>
      </c>
      <c r="D3388" s="399" t="s">
        <v>6654</v>
      </c>
      <c r="E3388" s="399" t="s">
        <v>6655</v>
      </c>
      <c r="F3388" s="400">
        <v>300000</v>
      </c>
      <c r="G3388" s="401" t="s">
        <v>3800</v>
      </c>
      <c r="H3388" s="402">
        <v>111.62773031198941</v>
      </c>
      <c r="I3388" s="402"/>
      <c r="J3388" s="400"/>
      <c r="K3388" s="400"/>
      <c r="L3388" s="400"/>
      <c r="M3388" s="400"/>
      <c r="N3388" s="400">
        <f t="shared" si="140"/>
        <v>111.62773031198941</v>
      </c>
    </row>
    <row r="3389" spans="1:14" s="360" customFormat="1" hidden="1" outlineLevel="2" x14ac:dyDescent="0.35">
      <c r="A3389" s="403" t="s">
        <v>3936</v>
      </c>
      <c r="B3389" s="397">
        <v>44543</v>
      </c>
      <c r="C3389" s="398" t="s">
        <v>6653</v>
      </c>
      <c r="D3389" s="399" t="s">
        <v>6651</v>
      </c>
      <c r="E3389" s="399" t="s">
        <v>6656</v>
      </c>
      <c r="F3389" s="400">
        <v>160000</v>
      </c>
      <c r="G3389" s="401" t="s">
        <v>3800</v>
      </c>
      <c r="H3389" s="402">
        <v>59.534789499727687</v>
      </c>
      <c r="I3389" s="402"/>
      <c r="J3389" s="400"/>
      <c r="K3389" s="400"/>
      <c r="L3389" s="400"/>
      <c r="M3389" s="400"/>
      <c r="N3389" s="400">
        <f t="shared" si="140"/>
        <v>59.534789499727687</v>
      </c>
    </row>
    <row r="3390" spans="1:14" s="360" customFormat="1" hidden="1" outlineLevel="2" x14ac:dyDescent="0.35">
      <c r="A3390" s="403" t="s">
        <v>3936</v>
      </c>
      <c r="B3390" s="397">
        <v>44543</v>
      </c>
      <c r="C3390" s="398" t="s">
        <v>6653</v>
      </c>
      <c r="D3390" s="399" t="s">
        <v>6657</v>
      </c>
      <c r="E3390" s="399" t="s">
        <v>6655</v>
      </c>
      <c r="F3390" s="400">
        <v>70000</v>
      </c>
      <c r="G3390" s="401" t="s">
        <v>3800</v>
      </c>
      <c r="H3390" s="402">
        <v>26.046470406130865</v>
      </c>
      <c r="I3390" s="402"/>
      <c r="J3390" s="400"/>
      <c r="K3390" s="400"/>
      <c r="L3390" s="400"/>
      <c r="M3390" s="400"/>
      <c r="N3390" s="400">
        <f t="shared" si="140"/>
        <v>26.046470406130865</v>
      </c>
    </row>
    <row r="3391" spans="1:14" s="360" customFormat="1" hidden="1" outlineLevel="2" x14ac:dyDescent="0.35">
      <c r="A3391" s="403" t="s">
        <v>3936</v>
      </c>
      <c r="B3391" s="397">
        <v>44552</v>
      </c>
      <c r="C3391" s="398" t="s">
        <v>6658</v>
      </c>
      <c r="D3391" s="399" t="s">
        <v>6649</v>
      </c>
      <c r="E3391" s="399" t="s">
        <v>6621</v>
      </c>
      <c r="F3391" s="400">
        <v>300000</v>
      </c>
      <c r="G3391" s="401" t="s">
        <v>3800</v>
      </c>
      <c r="H3391" s="402">
        <v>111.62773031198941</v>
      </c>
      <c r="I3391" s="402"/>
      <c r="J3391" s="400"/>
      <c r="K3391" s="400"/>
      <c r="L3391" s="400"/>
      <c r="M3391" s="400"/>
      <c r="N3391" s="400">
        <f t="shared" si="140"/>
        <v>111.62773031198941</v>
      </c>
    </row>
    <row r="3392" spans="1:14" s="360" customFormat="1" hidden="1" outlineLevel="2" x14ac:dyDescent="0.35">
      <c r="A3392" s="403" t="s">
        <v>3936</v>
      </c>
      <c r="B3392" s="397">
        <v>44552</v>
      </c>
      <c r="C3392" s="398" t="s">
        <v>6658</v>
      </c>
      <c r="D3392" s="399" t="s">
        <v>6651</v>
      </c>
      <c r="E3392" s="399" t="s">
        <v>6621</v>
      </c>
      <c r="F3392" s="400">
        <v>160000</v>
      </c>
      <c r="G3392" s="401" t="s">
        <v>3800</v>
      </c>
      <c r="H3392" s="402">
        <v>59.534789499727687</v>
      </c>
      <c r="I3392" s="402"/>
      <c r="J3392" s="400"/>
      <c r="K3392" s="400"/>
      <c r="L3392" s="400"/>
      <c r="M3392" s="400"/>
      <c r="N3392" s="400">
        <f t="shared" si="140"/>
        <v>59.534789499727687</v>
      </c>
    </row>
    <row r="3393" spans="1:14" s="360" customFormat="1" hidden="1" outlineLevel="2" x14ac:dyDescent="0.35">
      <c r="A3393" s="403" t="s">
        <v>3936</v>
      </c>
      <c r="B3393" s="397">
        <v>44552</v>
      </c>
      <c r="C3393" s="398" t="s">
        <v>6658</v>
      </c>
      <c r="D3393" s="399" t="s">
        <v>6659</v>
      </c>
      <c r="E3393" s="399" t="s">
        <v>6621</v>
      </c>
      <c r="F3393" s="400">
        <v>70000</v>
      </c>
      <c r="G3393" s="401" t="s">
        <v>3800</v>
      </c>
      <c r="H3393" s="402">
        <v>26.046470406130865</v>
      </c>
      <c r="I3393" s="402"/>
      <c r="J3393" s="400"/>
      <c r="K3393" s="400"/>
      <c r="L3393" s="400"/>
      <c r="M3393" s="400"/>
      <c r="N3393" s="400">
        <f t="shared" si="140"/>
        <v>26.046470406130865</v>
      </c>
    </row>
    <row r="3394" spans="1:14" s="360" customFormat="1" hidden="1" outlineLevel="2" x14ac:dyDescent="0.35">
      <c r="A3394" s="403" t="s">
        <v>3936</v>
      </c>
      <c r="B3394" s="397">
        <v>44552</v>
      </c>
      <c r="C3394" s="398" t="s">
        <v>6660</v>
      </c>
      <c r="D3394" s="399" t="s">
        <v>6649</v>
      </c>
      <c r="E3394" s="399" t="s">
        <v>6661</v>
      </c>
      <c r="F3394" s="400">
        <v>300000</v>
      </c>
      <c r="G3394" s="401" t="s">
        <v>3800</v>
      </c>
      <c r="H3394" s="402">
        <v>111.62773031198941</v>
      </c>
      <c r="I3394" s="402"/>
      <c r="J3394" s="400"/>
      <c r="K3394" s="400"/>
      <c r="L3394" s="400"/>
      <c r="M3394" s="400"/>
      <c r="N3394" s="400">
        <f t="shared" si="140"/>
        <v>111.62773031198941</v>
      </c>
    </row>
    <row r="3395" spans="1:14" s="360" customFormat="1" hidden="1" outlineLevel="2" x14ac:dyDescent="0.35">
      <c r="A3395" s="403" t="s">
        <v>3936</v>
      </c>
      <c r="B3395" s="397">
        <v>44552</v>
      </c>
      <c r="C3395" s="398" t="s">
        <v>6660</v>
      </c>
      <c r="D3395" s="399" t="s">
        <v>6651</v>
      </c>
      <c r="E3395" s="399" t="s">
        <v>6661</v>
      </c>
      <c r="F3395" s="400">
        <v>160000</v>
      </c>
      <c r="G3395" s="401" t="s">
        <v>3800</v>
      </c>
      <c r="H3395" s="402">
        <v>59.534789499727687</v>
      </c>
      <c r="I3395" s="402"/>
      <c r="J3395" s="400"/>
      <c r="K3395" s="400"/>
      <c r="L3395" s="400"/>
      <c r="M3395" s="400"/>
      <c r="N3395" s="400">
        <f t="shared" si="140"/>
        <v>59.534789499727687</v>
      </c>
    </row>
    <row r="3396" spans="1:14" s="360" customFormat="1" hidden="1" outlineLevel="2" x14ac:dyDescent="0.35">
      <c r="A3396" s="403" t="s">
        <v>3936</v>
      </c>
      <c r="B3396" s="397">
        <v>44552</v>
      </c>
      <c r="C3396" s="398" t="s">
        <v>6660</v>
      </c>
      <c r="D3396" s="399" t="s">
        <v>6659</v>
      </c>
      <c r="E3396" s="399" t="s">
        <v>6661</v>
      </c>
      <c r="F3396" s="400">
        <v>70000</v>
      </c>
      <c r="G3396" s="401" t="s">
        <v>3800</v>
      </c>
      <c r="H3396" s="402">
        <v>26.046470406130865</v>
      </c>
      <c r="I3396" s="402"/>
      <c r="J3396" s="400"/>
      <c r="K3396" s="400"/>
      <c r="L3396" s="400"/>
      <c r="M3396" s="400"/>
      <c r="N3396" s="400">
        <f t="shared" si="140"/>
        <v>26.046470406130865</v>
      </c>
    </row>
    <row r="3397" spans="1:14" s="360" customFormat="1" hidden="1" outlineLevel="2" x14ac:dyDescent="0.35">
      <c r="A3397" s="403" t="s">
        <v>3936</v>
      </c>
      <c r="B3397" s="397">
        <v>44552</v>
      </c>
      <c r="C3397" s="398" t="s">
        <v>6662</v>
      </c>
      <c r="D3397" s="399" t="s">
        <v>6663</v>
      </c>
      <c r="E3397" s="399" t="s">
        <v>6618</v>
      </c>
      <c r="F3397" s="400">
        <v>640000</v>
      </c>
      <c r="G3397" s="401" t="s">
        <v>3800</v>
      </c>
      <c r="H3397" s="402">
        <v>238.13915799891075</v>
      </c>
      <c r="I3397" s="402"/>
      <c r="J3397" s="400"/>
      <c r="K3397" s="400"/>
      <c r="L3397" s="400"/>
      <c r="M3397" s="400"/>
      <c r="N3397" s="400">
        <f t="shared" si="140"/>
        <v>238.13915799891075</v>
      </c>
    </row>
    <row r="3398" spans="1:14" s="360" customFormat="1" hidden="1" outlineLevel="2" x14ac:dyDescent="0.35">
      <c r="A3398" s="403" t="s">
        <v>3936</v>
      </c>
      <c r="B3398" s="397">
        <v>44571</v>
      </c>
      <c r="C3398" s="398" t="s">
        <v>6664</v>
      </c>
      <c r="D3398" s="399" t="s">
        <v>6665</v>
      </c>
      <c r="E3398" s="399" t="s">
        <v>6666</v>
      </c>
      <c r="F3398" s="400">
        <v>300000</v>
      </c>
      <c r="G3398" s="401" t="s">
        <v>3800</v>
      </c>
      <c r="H3398" s="402">
        <v>111.62773031198941</v>
      </c>
      <c r="I3398" s="402"/>
      <c r="J3398" s="400"/>
      <c r="K3398" s="400"/>
      <c r="L3398" s="400"/>
      <c r="M3398" s="400"/>
      <c r="N3398" s="400">
        <v>111.62773031198941</v>
      </c>
    </row>
    <row r="3399" spans="1:14" s="360" customFormat="1" hidden="1" outlineLevel="2" collapsed="1" x14ac:dyDescent="0.35">
      <c r="A3399" s="403" t="s">
        <v>3936</v>
      </c>
      <c r="B3399" s="397">
        <v>44571</v>
      </c>
      <c r="C3399" s="398" t="s">
        <v>6664</v>
      </c>
      <c r="D3399" s="399" t="s">
        <v>6651</v>
      </c>
      <c r="E3399" s="399" t="s">
        <v>6656</v>
      </c>
      <c r="F3399" s="400">
        <v>160000</v>
      </c>
      <c r="G3399" s="401" t="s">
        <v>3800</v>
      </c>
      <c r="H3399" s="402">
        <v>59.534789499727687</v>
      </c>
      <c r="I3399" s="402"/>
      <c r="J3399" s="400"/>
      <c r="K3399" s="400"/>
      <c r="L3399" s="400"/>
      <c r="M3399" s="400"/>
      <c r="N3399" s="400">
        <v>59.534789499727687</v>
      </c>
    </row>
    <row r="3400" spans="1:14" s="360" customFormat="1" hidden="1" outlineLevel="2" x14ac:dyDescent="0.35">
      <c r="A3400" s="403" t="s">
        <v>3936</v>
      </c>
      <c r="B3400" s="397">
        <v>44571</v>
      </c>
      <c r="C3400" s="398" t="s">
        <v>6664</v>
      </c>
      <c r="D3400" s="399" t="s">
        <v>6652</v>
      </c>
      <c r="E3400" s="399" t="s">
        <v>6666</v>
      </c>
      <c r="F3400" s="400">
        <v>70000</v>
      </c>
      <c r="G3400" s="401" t="s">
        <v>3800</v>
      </c>
      <c r="H3400" s="402">
        <v>26.046470406130865</v>
      </c>
      <c r="I3400" s="402"/>
      <c r="J3400" s="400"/>
      <c r="K3400" s="400"/>
      <c r="L3400" s="400"/>
      <c r="M3400" s="400"/>
      <c r="N3400" s="400">
        <v>26.046470406130865</v>
      </c>
    </row>
    <row r="3401" spans="1:14" s="360" customFormat="1" outlineLevel="1" collapsed="1" x14ac:dyDescent="0.35">
      <c r="A3401" s="396" t="s">
        <v>6667</v>
      </c>
      <c r="B3401" s="397"/>
      <c r="C3401" s="398"/>
      <c r="D3401" s="399"/>
      <c r="E3401" s="399"/>
      <c r="F3401" s="400"/>
      <c r="G3401" s="401"/>
      <c r="H3401" s="402">
        <f t="shared" ref="H3401:N3401" si="141">SUBTOTAL(9,H3352:H3400)</f>
        <v>5051.898981486268</v>
      </c>
      <c r="I3401" s="402"/>
      <c r="J3401" s="400">
        <f t="shared" si="141"/>
        <v>0</v>
      </c>
      <c r="K3401" s="400">
        <f t="shared" si="141"/>
        <v>0</v>
      </c>
      <c r="L3401" s="400">
        <f t="shared" si="141"/>
        <v>0</v>
      </c>
      <c r="M3401" s="400">
        <f t="shared" si="141"/>
        <v>0</v>
      </c>
      <c r="N3401" s="400">
        <f t="shared" si="141"/>
        <v>5051.898981486268</v>
      </c>
    </row>
    <row r="3402" spans="1:14" s="360" customFormat="1" ht="30" hidden="1" outlineLevel="2" x14ac:dyDescent="0.35">
      <c r="A3402" s="403" t="s">
        <v>3934</v>
      </c>
      <c r="B3402" s="397">
        <v>44305</v>
      </c>
      <c r="C3402" s="398" t="s">
        <v>6668</v>
      </c>
      <c r="D3402" s="399" t="s">
        <v>6669</v>
      </c>
      <c r="E3402" s="399" t="s">
        <v>6670</v>
      </c>
      <c r="F3402" s="400">
        <v>1200000</v>
      </c>
      <c r="G3402" s="401" t="s">
        <v>3800</v>
      </c>
      <c r="H3402" s="402">
        <v>446.51092124795764</v>
      </c>
      <c r="I3402" s="402"/>
      <c r="J3402" s="400"/>
      <c r="K3402" s="400"/>
      <c r="L3402" s="400"/>
      <c r="M3402" s="400"/>
      <c r="N3402" s="400">
        <f>H3402</f>
        <v>446.51092124795764</v>
      </c>
    </row>
    <row r="3403" spans="1:14" s="360" customFormat="1" hidden="1" outlineLevel="2" x14ac:dyDescent="0.35">
      <c r="A3403" s="403" t="s">
        <v>3934</v>
      </c>
      <c r="B3403" s="397">
        <v>44305</v>
      </c>
      <c r="C3403" s="398" t="s">
        <v>6668</v>
      </c>
      <c r="D3403" s="399" t="s">
        <v>6671</v>
      </c>
      <c r="E3403" s="399" t="s">
        <v>6670</v>
      </c>
      <c r="F3403" s="400">
        <v>160000</v>
      </c>
      <c r="G3403" s="401" t="s">
        <v>3800</v>
      </c>
      <c r="H3403" s="402">
        <v>59.534789499727687</v>
      </c>
      <c r="I3403" s="402"/>
      <c r="J3403" s="400"/>
      <c r="K3403" s="400"/>
      <c r="L3403" s="400"/>
      <c r="M3403" s="400"/>
      <c r="N3403" s="400">
        <f>H3403</f>
        <v>59.534789499727687</v>
      </c>
    </row>
    <row r="3404" spans="1:14" s="360" customFormat="1" hidden="1" outlineLevel="2" x14ac:dyDescent="0.35">
      <c r="A3404" s="403" t="s">
        <v>3934</v>
      </c>
      <c r="B3404" s="397">
        <v>44309</v>
      </c>
      <c r="C3404" s="398" t="s">
        <v>6340</v>
      </c>
      <c r="D3404" s="399" t="s">
        <v>6672</v>
      </c>
      <c r="E3404" s="399" t="s">
        <v>6673</v>
      </c>
      <c r="F3404" s="400">
        <v>400000</v>
      </c>
      <c r="G3404" s="401" t="s">
        <v>3800</v>
      </c>
      <c r="H3404" s="402">
        <v>148.83697374931921</v>
      </c>
      <c r="I3404" s="402"/>
      <c r="J3404" s="400"/>
      <c r="K3404" s="400"/>
      <c r="L3404" s="400"/>
      <c r="M3404" s="400"/>
      <c r="N3404" s="400">
        <f>H3404</f>
        <v>148.83697374931921</v>
      </c>
    </row>
    <row r="3405" spans="1:14" s="360" customFormat="1" hidden="1" outlineLevel="2" x14ac:dyDescent="0.35">
      <c r="A3405" s="403" t="s">
        <v>3934</v>
      </c>
      <c r="B3405" s="397">
        <v>44313</v>
      </c>
      <c r="C3405" s="398" t="s">
        <v>6674</v>
      </c>
      <c r="D3405" s="399" t="s">
        <v>6675</v>
      </c>
      <c r="E3405" s="399" t="s">
        <v>6676</v>
      </c>
      <c r="F3405" s="400">
        <v>40000</v>
      </c>
      <c r="G3405" s="401" t="s">
        <v>3800</v>
      </c>
      <c r="H3405" s="402">
        <v>14.883697374931922</v>
      </c>
      <c r="I3405" s="402"/>
      <c r="J3405" s="400"/>
      <c r="K3405" s="400"/>
      <c r="L3405" s="400"/>
      <c r="M3405" s="400"/>
      <c r="N3405" s="400">
        <f>H3405</f>
        <v>14.883697374931922</v>
      </c>
    </row>
    <row r="3406" spans="1:14" s="360" customFormat="1" hidden="1" outlineLevel="2" collapsed="1" x14ac:dyDescent="0.35">
      <c r="A3406" s="403" t="s">
        <v>3934</v>
      </c>
      <c r="B3406" s="397">
        <v>44316</v>
      </c>
      <c r="C3406" s="398" t="s">
        <v>6677</v>
      </c>
      <c r="D3406" s="399" t="s">
        <v>6678</v>
      </c>
      <c r="E3406" s="399" t="s">
        <v>6679</v>
      </c>
      <c r="F3406" s="400">
        <v>256000</v>
      </c>
      <c r="G3406" s="401" t="s">
        <v>3800</v>
      </c>
      <c r="H3406" s="402">
        <v>95.255663199564296</v>
      </c>
      <c r="I3406" s="402"/>
      <c r="J3406" s="400"/>
      <c r="K3406" s="400"/>
      <c r="L3406" s="400"/>
      <c r="M3406" s="400"/>
      <c r="N3406" s="400">
        <f>H3406</f>
        <v>95.255663199564296</v>
      </c>
    </row>
    <row r="3407" spans="1:14" s="360" customFormat="1" outlineLevel="1" collapsed="1" x14ac:dyDescent="0.35">
      <c r="A3407" s="396" t="s">
        <v>6680</v>
      </c>
      <c r="B3407" s="397"/>
      <c r="C3407" s="398"/>
      <c r="D3407" s="399"/>
      <c r="E3407" s="399"/>
      <c r="F3407" s="400"/>
      <c r="G3407" s="401"/>
      <c r="H3407" s="402">
        <f t="shared" ref="H3407:N3407" si="142">SUBTOTAL(9,H3402:H3406)</f>
        <v>765.02204507150077</v>
      </c>
      <c r="I3407" s="402"/>
      <c r="J3407" s="400">
        <f t="shared" si="142"/>
        <v>0</v>
      </c>
      <c r="K3407" s="400">
        <f t="shared" si="142"/>
        <v>0</v>
      </c>
      <c r="L3407" s="400">
        <f t="shared" si="142"/>
        <v>0</v>
      </c>
      <c r="M3407" s="400">
        <f t="shared" si="142"/>
        <v>0</v>
      </c>
      <c r="N3407" s="400">
        <f t="shared" si="142"/>
        <v>765.02204507150077</v>
      </c>
    </row>
    <row r="3408" spans="1:14" s="360" customFormat="1" hidden="1" outlineLevel="2" x14ac:dyDescent="0.35">
      <c r="A3408" s="403" t="s">
        <v>6681</v>
      </c>
      <c r="B3408" s="397">
        <v>44589</v>
      </c>
      <c r="C3408" s="398" t="s">
        <v>6682</v>
      </c>
      <c r="D3408" s="399" t="s">
        <v>6683</v>
      </c>
      <c r="E3408" s="399" t="s">
        <v>6684</v>
      </c>
      <c r="F3408" s="400">
        <v>196688</v>
      </c>
      <c r="G3408" s="401" t="s">
        <v>3800</v>
      </c>
      <c r="H3408" s="402">
        <v>73.18611673201525</v>
      </c>
      <c r="I3408" s="402"/>
      <c r="J3408" s="400"/>
      <c r="K3408" s="400"/>
      <c r="L3408" s="400"/>
      <c r="M3408" s="400"/>
      <c r="N3408" s="400">
        <v>73.18611673201525</v>
      </c>
    </row>
    <row r="3409" spans="1:14" s="360" customFormat="1" hidden="1" outlineLevel="2" x14ac:dyDescent="0.35">
      <c r="A3409" s="403" t="s">
        <v>6681</v>
      </c>
      <c r="B3409" s="397">
        <v>44589</v>
      </c>
      <c r="C3409" s="398" t="s">
        <v>6682</v>
      </c>
      <c r="D3409" s="399" t="s">
        <v>6683</v>
      </c>
      <c r="E3409" s="399" t="s">
        <v>6684</v>
      </c>
      <c r="F3409" s="400">
        <v>199281</v>
      </c>
      <c r="G3409" s="401" t="s">
        <v>3800</v>
      </c>
      <c r="H3409" s="402">
        <v>74.150952414345213</v>
      </c>
      <c r="I3409" s="402"/>
      <c r="J3409" s="400"/>
      <c r="K3409" s="400"/>
      <c r="L3409" s="400"/>
      <c r="M3409" s="400"/>
      <c r="N3409" s="400">
        <v>74.150952414345213</v>
      </c>
    </row>
    <row r="3410" spans="1:14" s="360" customFormat="1" hidden="1" outlineLevel="2" x14ac:dyDescent="0.35">
      <c r="A3410" s="403" t="s">
        <v>6681</v>
      </c>
      <c r="B3410" s="397">
        <v>44589</v>
      </c>
      <c r="C3410" s="398" t="s">
        <v>6682</v>
      </c>
      <c r="D3410" s="399" t="s">
        <v>6683</v>
      </c>
      <c r="E3410" s="399" t="s">
        <v>6684</v>
      </c>
      <c r="F3410" s="400">
        <v>168220</v>
      </c>
      <c r="G3410" s="401" t="s">
        <v>3800</v>
      </c>
      <c r="H3410" s="402">
        <v>62.593389310276201</v>
      </c>
      <c r="I3410" s="402"/>
      <c r="J3410" s="400"/>
      <c r="K3410" s="400"/>
      <c r="L3410" s="400"/>
      <c r="M3410" s="400"/>
      <c r="N3410" s="400">
        <v>62.593389310276201</v>
      </c>
    </row>
    <row r="3411" spans="1:14" s="360" customFormat="1" hidden="1" outlineLevel="2" x14ac:dyDescent="0.35">
      <c r="A3411" s="403" t="s">
        <v>6681</v>
      </c>
      <c r="B3411" s="397">
        <v>44349</v>
      </c>
      <c r="C3411" s="398" t="s">
        <v>6685</v>
      </c>
      <c r="D3411" s="399" t="s">
        <v>6686</v>
      </c>
      <c r="E3411" s="399" t="s">
        <v>6687</v>
      </c>
      <c r="F3411" s="400">
        <v>250000</v>
      </c>
      <c r="G3411" s="401" t="s">
        <v>3800</v>
      </c>
      <c r="H3411" s="402">
        <v>93.023108593324508</v>
      </c>
      <c r="I3411" s="402"/>
      <c r="J3411" s="400"/>
      <c r="K3411" s="400"/>
      <c r="L3411" s="400"/>
      <c r="M3411" s="400"/>
      <c r="N3411" s="400">
        <f t="shared" ref="N3411:N3442" si="143">H3411</f>
        <v>93.023108593324508</v>
      </c>
    </row>
    <row r="3412" spans="1:14" s="360" customFormat="1" hidden="1" outlineLevel="2" x14ac:dyDescent="0.35">
      <c r="A3412" s="403" t="s">
        <v>6681</v>
      </c>
      <c r="B3412" s="397">
        <v>44357</v>
      </c>
      <c r="C3412" s="398" t="s">
        <v>6688</v>
      </c>
      <c r="D3412" s="399" t="s">
        <v>6689</v>
      </c>
      <c r="E3412" s="399" t="s">
        <v>6687</v>
      </c>
      <c r="F3412" s="400">
        <v>250000</v>
      </c>
      <c r="G3412" s="401" t="s">
        <v>3800</v>
      </c>
      <c r="H3412" s="402">
        <v>93.023108593324508</v>
      </c>
      <c r="I3412" s="402"/>
      <c r="J3412" s="400"/>
      <c r="K3412" s="400"/>
      <c r="L3412" s="400"/>
      <c r="M3412" s="400"/>
      <c r="N3412" s="400">
        <f t="shared" si="143"/>
        <v>93.023108593324508</v>
      </c>
    </row>
    <row r="3413" spans="1:14" s="360" customFormat="1" hidden="1" outlineLevel="2" x14ac:dyDescent="0.35">
      <c r="A3413" s="403" t="s">
        <v>6681</v>
      </c>
      <c r="B3413" s="397">
        <v>44357</v>
      </c>
      <c r="C3413" s="398" t="s">
        <v>6690</v>
      </c>
      <c r="D3413" s="399" t="s">
        <v>6691</v>
      </c>
      <c r="E3413" s="399" t="s">
        <v>6687</v>
      </c>
      <c r="F3413" s="400">
        <v>175000</v>
      </c>
      <c r="G3413" s="401" t="s">
        <v>3800</v>
      </c>
      <c r="H3413" s="402">
        <v>65.116176015327156</v>
      </c>
      <c r="I3413" s="402"/>
      <c r="J3413" s="400"/>
      <c r="K3413" s="400"/>
      <c r="L3413" s="400"/>
      <c r="M3413" s="400"/>
      <c r="N3413" s="400">
        <f t="shared" si="143"/>
        <v>65.116176015327156</v>
      </c>
    </row>
    <row r="3414" spans="1:14" s="360" customFormat="1" hidden="1" outlineLevel="2" x14ac:dyDescent="0.35">
      <c r="A3414" s="403" t="s">
        <v>6681</v>
      </c>
      <c r="B3414" s="397">
        <v>44365</v>
      </c>
      <c r="C3414" s="398" t="s">
        <v>6692</v>
      </c>
      <c r="D3414" s="399" t="s">
        <v>6686</v>
      </c>
      <c r="E3414" s="399" t="s">
        <v>6687</v>
      </c>
      <c r="F3414" s="400">
        <v>200000</v>
      </c>
      <c r="G3414" s="401" t="s">
        <v>3800</v>
      </c>
      <c r="H3414" s="402">
        <v>74.418486874659607</v>
      </c>
      <c r="I3414" s="402"/>
      <c r="J3414" s="400"/>
      <c r="K3414" s="400"/>
      <c r="L3414" s="400"/>
      <c r="M3414" s="400"/>
      <c r="N3414" s="400">
        <f t="shared" si="143"/>
        <v>74.418486874659607</v>
      </c>
    </row>
    <row r="3415" spans="1:14" s="360" customFormat="1" hidden="1" outlineLevel="2" x14ac:dyDescent="0.35">
      <c r="A3415" s="403" t="s">
        <v>6681</v>
      </c>
      <c r="B3415" s="397">
        <v>44378</v>
      </c>
      <c r="C3415" s="398" t="s">
        <v>6693</v>
      </c>
      <c r="D3415" s="399" t="s">
        <v>6694</v>
      </c>
      <c r="E3415" s="399" t="s">
        <v>6687</v>
      </c>
      <c r="F3415" s="400">
        <v>250000</v>
      </c>
      <c r="G3415" s="401" t="s">
        <v>3800</v>
      </c>
      <c r="H3415" s="402">
        <v>93.023108593324508</v>
      </c>
      <c r="I3415" s="402"/>
      <c r="J3415" s="400"/>
      <c r="K3415" s="400"/>
      <c r="L3415" s="400"/>
      <c r="M3415" s="400"/>
      <c r="N3415" s="400">
        <f t="shared" si="143"/>
        <v>93.023108593324508</v>
      </c>
    </row>
    <row r="3416" spans="1:14" s="360" customFormat="1" hidden="1" outlineLevel="2" x14ac:dyDescent="0.35">
      <c r="A3416" s="403" t="s">
        <v>6681</v>
      </c>
      <c r="B3416" s="397">
        <v>44386</v>
      </c>
      <c r="C3416" s="398" t="s">
        <v>6695</v>
      </c>
      <c r="D3416" s="399" t="s">
        <v>6694</v>
      </c>
      <c r="E3416" s="399" t="s">
        <v>6687</v>
      </c>
      <c r="F3416" s="400">
        <v>403000</v>
      </c>
      <c r="G3416" s="401" t="s">
        <v>3800</v>
      </c>
      <c r="H3416" s="402">
        <v>149.95325105243913</v>
      </c>
      <c r="I3416" s="402"/>
      <c r="J3416" s="400"/>
      <c r="K3416" s="400"/>
      <c r="L3416" s="400"/>
      <c r="M3416" s="400"/>
      <c r="N3416" s="400">
        <f t="shared" si="143"/>
        <v>149.95325105243913</v>
      </c>
    </row>
    <row r="3417" spans="1:14" s="360" customFormat="1" hidden="1" outlineLevel="2" x14ac:dyDescent="0.35">
      <c r="A3417" s="403" t="s">
        <v>6681</v>
      </c>
      <c r="B3417" s="397">
        <v>44393</v>
      </c>
      <c r="C3417" s="398" t="s">
        <v>6696</v>
      </c>
      <c r="D3417" s="399" t="s">
        <v>6697</v>
      </c>
      <c r="E3417" s="399" t="s">
        <v>6687</v>
      </c>
      <c r="F3417" s="400">
        <v>200000</v>
      </c>
      <c r="G3417" s="401" t="s">
        <v>3800</v>
      </c>
      <c r="H3417" s="402">
        <v>74.418486874659607</v>
      </c>
      <c r="I3417" s="402"/>
      <c r="J3417" s="400"/>
      <c r="K3417" s="400"/>
      <c r="L3417" s="400"/>
      <c r="M3417" s="400"/>
      <c r="N3417" s="400">
        <f t="shared" si="143"/>
        <v>74.418486874659607</v>
      </c>
    </row>
    <row r="3418" spans="1:14" s="360" customFormat="1" hidden="1" outlineLevel="2" x14ac:dyDescent="0.35">
      <c r="A3418" s="403" t="s">
        <v>6681</v>
      </c>
      <c r="B3418" s="397">
        <v>44405</v>
      </c>
      <c r="C3418" s="398" t="s">
        <v>6698</v>
      </c>
      <c r="D3418" s="399" t="s">
        <v>6699</v>
      </c>
      <c r="E3418" s="399" t="s">
        <v>6687</v>
      </c>
      <c r="F3418" s="400">
        <v>450000</v>
      </c>
      <c r="G3418" s="401" t="s">
        <v>3800</v>
      </c>
      <c r="H3418" s="402">
        <v>167.44159546798411</v>
      </c>
      <c r="I3418" s="402"/>
      <c r="J3418" s="400"/>
      <c r="K3418" s="400"/>
      <c r="L3418" s="400"/>
      <c r="M3418" s="400"/>
      <c r="N3418" s="400">
        <f t="shared" si="143"/>
        <v>167.44159546798411</v>
      </c>
    </row>
    <row r="3419" spans="1:14" s="360" customFormat="1" hidden="1" outlineLevel="2" collapsed="1" x14ac:dyDescent="0.35">
      <c r="A3419" s="403" t="s">
        <v>6681</v>
      </c>
      <c r="B3419" s="397">
        <v>44414</v>
      </c>
      <c r="C3419" s="398" t="s">
        <v>6700</v>
      </c>
      <c r="D3419" s="399" t="s">
        <v>6701</v>
      </c>
      <c r="E3419" s="399" t="s">
        <v>6702</v>
      </c>
      <c r="F3419" s="400">
        <v>6400000</v>
      </c>
      <c r="G3419" s="401" t="s">
        <v>3800</v>
      </c>
      <c r="H3419" s="402">
        <v>2381.3915799891074</v>
      </c>
      <c r="I3419" s="402"/>
      <c r="J3419" s="400"/>
      <c r="K3419" s="400"/>
      <c r="L3419" s="400"/>
      <c r="M3419" s="400"/>
      <c r="N3419" s="400">
        <f t="shared" si="143"/>
        <v>2381.3915799891074</v>
      </c>
    </row>
    <row r="3420" spans="1:14" s="360" customFormat="1" hidden="1" outlineLevel="2" x14ac:dyDescent="0.35">
      <c r="A3420" s="403" t="s">
        <v>6681</v>
      </c>
      <c r="B3420" s="397">
        <v>44419</v>
      </c>
      <c r="C3420" s="398" t="s">
        <v>6703</v>
      </c>
      <c r="D3420" s="399" t="s">
        <v>6694</v>
      </c>
      <c r="E3420" s="399" t="s">
        <v>6687</v>
      </c>
      <c r="F3420" s="400">
        <v>244737</v>
      </c>
      <c r="G3420" s="401" t="s">
        <v>3800</v>
      </c>
      <c r="H3420" s="402">
        <v>91.064786111217842</v>
      </c>
      <c r="I3420" s="402"/>
      <c r="J3420" s="400"/>
      <c r="K3420" s="400"/>
      <c r="L3420" s="400"/>
      <c r="M3420" s="400"/>
      <c r="N3420" s="400">
        <f t="shared" si="143"/>
        <v>91.064786111217842</v>
      </c>
    </row>
    <row r="3421" spans="1:14" s="360" customFormat="1" hidden="1" outlineLevel="2" x14ac:dyDescent="0.35">
      <c r="A3421" s="403" t="s">
        <v>6681</v>
      </c>
      <c r="B3421" s="397">
        <v>44421</v>
      </c>
      <c r="C3421" s="398" t="s">
        <v>6704</v>
      </c>
      <c r="D3421" s="399" t="s">
        <v>6694</v>
      </c>
      <c r="E3421" s="399" t="s">
        <v>6687</v>
      </c>
      <c r="F3421" s="400">
        <v>300000</v>
      </c>
      <c r="G3421" s="401" t="s">
        <v>3800</v>
      </c>
      <c r="H3421" s="402">
        <v>111.62773031198941</v>
      </c>
      <c r="I3421" s="402"/>
      <c r="J3421" s="400"/>
      <c r="K3421" s="400"/>
      <c r="L3421" s="400"/>
      <c r="M3421" s="400"/>
      <c r="N3421" s="400">
        <f t="shared" si="143"/>
        <v>111.62773031198941</v>
      </c>
    </row>
    <row r="3422" spans="1:14" s="360" customFormat="1" hidden="1" outlineLevel="2" x14ac:dyDescent="0.35">
      <c r="A3422" s="403" t="s">
        <v>6681</v>
      </c>
      <c r="B3422" s="397">
        <v>44438</v>
      </c>
      <c r="C3422" s="398" t="s">
        <v>6705</v>
      </c>
      <c r="D3422" s="399" t="s">
        <v>6706</v>
      </c>
      <c r="E3422" s="399" t="s">
        <v>6687</v>
      </c>
      <c r="F3422" s="400">
        <v>2607307.06</v>
      </c>
      <c r="G3422" s="401" t="s">
        <v>3800</v>
      </c>
      <c r="H3422" s="402">
        <v>970.15923111408665</v>
      </c>
      <c r="I3422" s="402"/>
      <c r="J3422" s="400"/>
      <c r="K3422" s="400"/>
      <c r="L3422" s="400"/>
      <c r="M3422" s="400"/>
      <c r="N3422" s="400">
        <f t="shared" si="143"/>
        <v>970.15923111408665</v>
      </c>
    </row>
    <row r="3423" spans="1:14" s="360" customFormat="1" hidden="1" outlineLevel="2" x14ac:dyDescent="0.35">
      <c r="A3423" s="403" t="s">
        <v>6681</v>
      </c>
      <c r="B3423" s="397">
        <v>44467</v>
      </c>
      <c r="C3423" s="398" t="s">
        <v>6707</v>
      </c>
      <c r="D3423" s="399" t="s">
        <v>6701</v>
      </c>
      <c r="E3423" s="399" t="s">
        <v>6702</v>
      </c>
      <c r="F3423" s="400">
        <v>935000</v>
      </c>
      <c r="G3423" s="401" t="s">
        <v>3800</v>
      </c>
      <c r="H3423" s="402">
        <v>347.90642613903367</v>
      </c>
      <c r="I3423" s="402"/>
      <c r="J3423" s="400"/>
      <c r="K3423" s="400"/>
      <c r="L3423" s="400"/>
      <c r="M3423" s="400"/>
      <c r="N3423" s="400">
        <f t="shared" si="143"/>
        <v>347.90642613903367</v>
      </c>
    </row>
    <row r="3424" spans="1:14" s="360" customFormat="1" hidden="1" outlineLevel="2" x14ac:dyDescent="0.35">
      <c r="A3424" s="403" t="s">
        <v>6681</v>
      </c>
      <c r="B3424" s="397">
        <v>44508</v>
      </c>
      <c r="C3424" s="398" t="s">
        <v>6708</v>
      </c>
      <c r="D3424" s="399" t="s">
        <v>6709</v>
      </c>
      <c r="E3424" s="399" t="s">
        <v>6684</v>
      </c>
      <c r="F3424" s="400">
        <v>1169666</v>
      </c>
      <c r="G3424" s="401" t="s">
        <v>3800</v>
      </c>
      <c r="H3424" s="402">
        <v>435.22386934367802</v>
      </c>
      <c r="I3424" s="402"/>
      <c r="J3424" s="400"/>
      <c r="K3424" s="400"/>
      <c r="L3424" s="400"/>
      <c r="M3424" s="400"/>
      <c r="N3424" s="400">
        <f t="shared" si="143"/>
        <v>435.22386934367802</v>
      </c>
    </row>
    <row r="3425" spans="1:14" s="360" customFormat="1" hidden="1" outlineLevel="2" x14ac:dyDescent="0.35">
      <c r="A3425" s="403" t="s">
        <v>6681</v>
      </c>
      <c r="B3425" s="397">
        <v>44526</v>
      </c>
      <c r="C3425" s="398" t="s">
        <v>6432</v>
      </c>
      <c r="D3425" s="399" t="s">
        <v>6710</v>
      </c>
      <c r="E3425" s="399" t="s">
        <v>6711</v>
      </c>
      <c r="F3425" s="400">
        <v>821000</v>
      </c>
      <c r="G3425" s="401" t="s">
        <v>3800</v>
      </c>
      <c r="H3425" s="402">
        <v>305.48788862047769</v>
      </c>
      <c r="I3425" s="402"/>
      <c r="J3425" s="400"/>
      <c r="K3425" s="400"/>
      <c r="L3425" s="400"/>
      <c r="M3425" s="400"/>
      <c r="N3425" s="400">
        <f t="shared" si="143"/>
        <v>305.48788862047769</v>
      </c>
    </row>
    <row r="3426" spans="1:14" s="360" customFormat="1" hidden="1" outlineLevel="2" x14ac:dyDescent="0.35">
      <c r="A3426" s="403" t="s">
        <v>6681</v>
      </c>
      <c r="B3426" s="397">
        <v>44545</v>
      </c>
      <c r="C3426" s="398" t="s">
        <v>6712</v>
      </c>
      <c r="D3426" s="399" t="s">
        <v>6713</v>
      </c>
      <c r="E3426" s="399" t="s">
        <v>6684</v>
      </c>
      <c r="F3426" s="400">
        <v>851452</v>
      </c>
      <c r="G3426" s="401" t="s">
        <v>3800</v>
      </c>
      <c r="H3426" s="402">
        <v>316.8188474320134</v>
      </c>
      <c r="I3426" s="402"/>
      <c r="J3426" s="400"/>
      <c r="K3426" s="400"/>
      <c r="L3426" s="400"/>
      <c r="M3426" s="400"/>
      <c r="N3426" s="400">
        <f t="shared" si="143"/>
        <v>316.8188474320134</v>
      </c>
    </row>
    <row r="3427" spans="1:14" s="360" customFormat="1" hidden="1" outlineLevel="2" x14ac:dyDescent="0.35">
      <c r="A3427" s="403" t="s">
        <v>6681</v>
      </c>
      <c r="B3427" s="397">
        <v>44545</v>
      </c>
      <c r="C3427" s="398" t="s">
        <v>6714</v>
      </c>
      <c r="D3427" s="399" t="s">
        <v>6715</v>
      </c>
      <c r="E3427" s="399" t="s">
        <v>6684</v>
      </c>
      <c r="F3427" s="400">
        <v>168200</v>
      </c>
      <c r="G3427" s="401" t="s">
        <v>3800</v>
      </c>
      <c r="H3427" s="402">
        <v>62.585947461588731</v>
      </c>
      <c r="I3427" s="402"/>
      <c r="J3427" s="400"/>
      <c r="K3427" s="400"/>
      <c r="L3427" s="400"/>
      <c r="M3427" s="400"/>
      <c r="N3427" s="400">
        <f t="shared" si="143"/>
        <v>62.585947461588731</v>
      </c>
    </row>
    <row r="3428" spans="1:14" s="360" customFormat="1" hidden="1" outlineLevel="2" x14ac:dyDescent="0.35">
      <c r="A3428" s="403" t="s">
        <v>6681</v>
      </c>
      <c r="B3428" s="397">
        <v>44545</v>
      </c>
      <c r="C3428" s="398" t="s">
        <v>6716</v>
      </c>
      <c r="D3428" s="399" t="s">
        <v>6717</v>
      </c>
      <c r="E3428" s="399" t="s">
        <v>6684</v>
      </c>
      <c r="F3428" s="400">
        <v>284680</v>
      </c>
      <c r="G3428" s="401" t="s">
        <v>3800</v>
      </c>
      <c r="H3428" s="402">
        <v>105.92727421739049</v>
      </c>
      <c r="I3428" s="402"/>
      <c r="J3428" s="400"/>
      <c r="K3428" s="400"/>
      <c r="L3428" s="400"/>
      <c r="M3428" s="400"/>
      <c r="N3428" s="400">
        <f t="shared" si="143"/>
        <v>105.92727421739049</v>
      </c>
    </row>
    <row r="3429" spans="1:14" s="360" customFormat="1" hidden="1" outlineLevel="2" x14ac:dyDescent="0.35">
      <c r="A3429" s="403" t="s">
        <v>6681</v>
      </c>
      <c r="B3429" s="397">
        <v>44551</v>
      </c>
      <c r="C3429" s="398" t="s">
        <v>6718</v>
      </c>
      <c r="D3429" s="399" t="s">
        <v>6719</v>
      </c>
      <c r="E3429" s="399" t="s">
        <v>6702</v>
      </c>
      <c r="F3429" s="400">
        <v>6600000</v>
      </c>
      <c r="G3429" s="401" t="s">
        <v>3800</v>
      </c>
      <c r="H3429" s="402">
        <v>2455.8100668637671</v>
      </c>
      <c r="I3429" s="402"/>
      <c r="J3429" s="400"/>
      <c r="K3429" s="400"/>
      <c r="L3429" s="400"/>
      <c r="M3429" s="400"/>
      <c r="N3429" s="400">
        <f t="shared" si="143"/>
        <v>2455.8100668637671</v>
      </c>
    </row>
    <row r="3430" spans="1:14" s="360" customFormat="1" hidden="1" outlineLevel="2" x14ac:dyDescent="0.35">
      <c r="A3430" s="403" t="s">
        <v>6681</v>
      </c>
      <c r="B3430" s="397">
        <v>44552</v>
      </c>
      <c r="C3430" s="398" t="s">
        <v>6720</v>
      </c>
      <c r="D3430" s="399" t="s">
        <v>6701</v>
      </c>
      <c r="E3430" s="399" t="s">
        <v>6721</v>
      </c>
      <c r="F3430" s="400">
        <v>995000</v>
      </c>
      <c r="G3430" s="401" t="s">
        <v>3800</v>
      </c>
      <c r="H3430" s="402">
        <v>370.23197220143157</v>
      </c>
      <c r="I3430" s="402"/>
      <c r="J3430" s="400"/>
      <c r="K3430" s="400"/>
      <c r="L3430" s="400"/>
      <c r="M3430" s="400"/>
      <c r="N3430" s="400">
        <f t="shared" si="143"/>
        <v>370.23197220143157</v>
      </c>
    </row>
    <row r="3431" spans="1:14" s="360" customFormat="1" hidden="1" outlineLevel="2" x14ac:dyDescent="0.35">
      <c r="A3431" s="403" t="s">
        <v>6681</v>
      </c>
      <c r="B3431" s="397">
        <v>44552</v>
      </c>
      <c r="C3431" s="398" t="s">
        <v>6722</v>
      </c>
      <c r="D3431" s="399" t="s">
        <v>6723</v>
      </c>
      <c r="E3431" s="399" t="s">
        <v>6684</v>
      </c>
      <c r="F3431" s="400">
        <v>230018</v>
      </c>
      <c r="G3431" s="401" t="s">
        <v>3800</v>
      </c>
      <c r="H3431" s="402">
        <v>85.587957569677272</v>
      </c>
      <c r="I3431" s="402"/>
      <c r="J3431" s="400"/>
      <c r="K3431" s="400"/>
      <c r="L3431" s="400"/>
      <c r="M3431" s="400"/>
      <c r="N3431" s="400">
        <f t="shared" si="143"/>
        <v>85.587957569677272</v>
      </c>
    </row>
    <row r="3432" spans="1:14" s="360" customFormat="1" hidden="1" outlineLevel="2" collapsed="1" x14ac:dyDescent="0.35">
      <c r="A3432" s="403" t="s">
        <v>6681</v>
      </c>
      <c r="B3432" s="397">
        <v>44552</v>
      </c>
      <c r="C3432" s="398" t="s">
        <v>6722</v>
      </c>
      <c r="D3432" s="399" t="s">
        <v>6723</v>
      </c>
      <c r="E3432" s="399" t="s">
        <v>6684</v>
      </c>
      <c r="F3432" s="400">
        <v>98280</v>
      </c>
      <c r="G3432" s="401" t="s">
        <v>3800</v>
      </c>
      <c r="H3432" s="402">
        <v>36.569244450207734</v>
      </c>
      <c r="I3432" s="402"/>
      <c r="J3432" s="400"/>
      <c r="K3432" s="400"/>
      <c r="L3432" s="400"/>
      <c r="M3432" s="400"/>
      <c r="N3432" s="400">
        <f t="shared" si="143"/>
        <v>36.569244450207734</v>
      </c>
    </row>
    <row r="3433" spans="1:14" s="360" customFormat="1" hidden="1" outlineLevel="2" x14ac:dyDescent="0.35">
      <c r="A3433" s="403" t="s">
        <v>6681</v>
      </c>
      <c r="B3433" s="397">
        <v>44552</v>
      </c>
      <c r="C3433" s="398" t="s">
        <v>6722</v>
      </c>
      <c r="D3433" s="399" t="s">
        <v>6723</v>
      </c>
      <c r="E3433" s="399" t="s">
        <v>6684</v>
      </c>
      <c r="F3433" s="400">
        <v>209410</v>
      </c>
      <c r="G3433" s="401" t="s">
        <v>3800</v>
      </c>
      <c r="H3433" s="402">
        <v>77.919876682112346</v>
      </c>
      <c r="I3433" s="402"/>
      <c r="J3433" s="400"/>
      <c r="K3433" s="400"/>
      <c r="L3433" s="400"/>
      <c r="M3433" s="400"/>
      <c r="N3433" s="400">
        <f t="shared" si="143"/>
        <v>77.919876682112346</v>
      </c>
    </row>
    <row r="3434" spans="1:14" s="360" customFormat="1" hidden="1" outlineLevel="2" x14ac:dyDescent="0.35">
      <c r="A3434" s="403" t="s">
        <v>6681</v>
      </c>
      <c r="B3434" s="397">
        <v>44552</v>
      </c>
      <c r="C3434" s="398" t="s">
        <v>6722</v>
      </c>
      <c r="D3434" s="399" t="s">
        <v>6723</v>
      </c>
      <c r="E3434" s="399" t="s">
        <v>6684</v>
      </c>
      <c r="F3434" s="400">
        <v>132678</v>
      </c>
      <c r="G3434" s="401" t="s">
        <v>3800</v>
      </c>
      <c r="H3434" s="402">
        <v>49.368480007780441</v>
      </c>
      <c r="I3434" s="402"/>
      <c r="J3434" s="400"/>
      <c r="K3434" s="400"/>
      <c r="L3434" s="400"/>
      <c r="M3434" s="400"/>
      <c r="N3434" s="400">
        <f t="shared" si="143"/>
        <v>49.368480007780441</v>
      </c>
    </row>
    <row r="3435" spans="1:14" s="360" customFormat="1" hidden="1" outlineLevel="2" x14ac:dyDescent="0.35">
      <c r="A3435" s="403" t="s">
        <v>6681</v>
      </c>
      <c r="B3435" s="397">
        <v>44552</v>
      </c>
      <c r="C3435" s="398" t="s">
        <v>6722</v>
      </c>
      <c r="D3435" s="399" t="s">
        <v>6723</v>
      </c>
      <c r="E3435" s="399" t="s">
        <v>6684</v>
      </c>
      <c r="F3435" s="400">
        <v>233415</v>
      </c>
      <c r="G3435" s="401" t="s">
        <v>3800</v>
      </c>
      <c r="H3435" s="402">
        <v>86.851955569243358</v>
      </c>
      <c r="I3435" s="402"/>
      <c r="J3435" s="400"/>
      <c r="K3435" s="400"/>
      <c r="L3435" s="400"/>
      <c r="M3435" s="400"/>
      <c r="N3435" s="400">
        <f t="shared" si="143"/>
        <v>86.851955569243358</v>
      </c>
    </row>
    <row r="3436" spans="1:14" s="360" customFormat="1" hidden="1" outlineLevel="2" x14ac:dyDescent="0.35">
      <c r="A3436" s="403" t="s">
        <v>6681</v>
      </c>
      <c r="B3436" s="397">
        <v>44552</v>
      </c>
      <c r="C3436" s="398" t="s">
        <v>6722</v>
      </c>
      <c r="D3436" s="399" t="s">
        <v>6723</v>
      </c>
      <c r="E3436" s="399" t="s">
        <v>6684</v>
      </c>
      <c r="F3436" s="400">
        <v>164619</v>
      </c>
      <c r="G3436" s="401" t="s">
        <v>3800</v>
      </c>
      <c r="H3436" s="402">
        <v>61.253484454097951</v>
      </c>
      <c r="I3436" s="402"/>
      <c r="J3436" s="400"/>
      <c r="K3436" s="400"/>
      <c r="L3436" s="400"/>
      <c r="M3436" s="400"/>
      <c r="N3436" s="400">
        <f t="shared" si="143"/>
        <v>61.253484454097951</v>
      </c>
    </row>
    <row r="3437" spans="1:14" s="360" customFormat="1" hidden="1" outlineLevel="2" x14ac:dyDescent="0.35">
      <c r="A3437" s="403" t="s">
        <v>6681</v>
      </c>
      <c r="B3437" s="397">
        <v>44552</v>
      </c>
      <c r="C3437" s="398" t="s">
        <v>6722</v>
      </c>
      <c r="D3437" s="399" t="s">
        <v>6724</v>
      </c>
      <c r="E3437" s="399" t="s">
        <v>6684</v>
      </c>
      <c r="F3437" s="400">
        <v>221131</v>
      </c>
      <c r="G3437" s="401" t="s">
        <v>3800</v>
      </c>
      <c r="H3437" s="402">
        <v>82.281172105401765</v>
      </c>
      <c r="I3437" s="402"/>
      <c r="J3437" s="400"/>
      <c r="K3437" s="400"/>
      <c r="L3437" s="400"/>
      <c r="M3437" s="400"/>
      <c r="N3437" s="400">
        <f t="shared" si="143"/>
        <v>82.281172105401765</v>
      </c>
    </row>
    <row r="3438" spans="1:14" s="360" customFormat="1" hidden="1" outlineLevel="2" x14ac:dyDescent="0.35">
      <c r="A3438" s="403" t="s">
        <v>6681</v>
      </c>
      <c r="B3438" s="397">
        <v>44552</v>
      </c>
      <c r="C3438" s="398" t="s">
        <v>6722</v>
      </c>
      <c r="D3438" s="399" t="s">
        <v>6725</v>
      </c>
      <c r="E3438" s="399" t="s">
        <v>6684</v>
      </c>
      <c r="F3438" s="400">
        <v>448894</v>
      </c>
      <c r="G3438" s="401" t="s">
        <v>3800</v>
      </c>
      <c r="H3438" s="402">
        <v>167.03006123556725</v>
      </c>
      <c r="I3438" s="402"/>
      <c r="J3438" s="400"/>
      <c r="K3438" s="400"/>
      <c r="L3438" s="400"/>
      <c r="M3438" s="400"/>
      <c r="N3438" s="400">
        <f t="shared" si="143"/>
        <v>167.03006123556725</v>
      </c>
    </row>
    <row r="3439" spans="1:14" s="360" customFormat="1" hidden="1" outlineLevel="2" x14ac:dyDescent="0.35">
      <c r="A3439" s="403" t="s">
        <v>6681</v>
      </c>
      <c r="B3439" s="397">
        <v>44552</v>
      </c>
      <c r="C3439" s="398" t="s">
        <v>6722</v>
      </c>
      <c r="D3439" s="399" t="s">
        <v>6725</v>
      </c>
      <c r="E3439" s="399" t="s">
        <v>6684</v>
      </c>
      <c r="F3439" s="400">
        <v>449631</v>
      </c>
      <c r="G3439" s="401" t="s">
        <v>3800</v>
      </c>
      <c r="H3439" s="402">
        <v>167.30429335970038</v>
      </c>
      <c r="I3439" s="402"/>
      <c r="J3439" s="400"/>
      <c r="K3439" s="400"/>
      <c r="L3439" s="400"/>
      <c r="M3439" s="400"/>
      <c r="N3439" s="400">
        <f t="shared" si="143"/>
        <v>167.30429335970038</v>
      </c>
    </row>
    <row r="3440" spans="1:14" s="360" customFormat="1" hidden="1" outlineLevel="2" x14ac:dyDescent="0.35">
      <c r="A3440" s="403" t="s">
        <v>6681</v>
      </c>
      <c r="B3440" s="397">
        <v>44553</v>
      </c>
      <c r="C3440" s="398" t="s">
        <v>6726</v>
      </c>
      <c r="D3440" s="399" t="s">
        <v>6727</v>
      </c>
      <c r="E3440" s="399" t="s">
        <v>6702</v>
      </c>
      <c r="F3440" s="400">
        <v>6600000</v>
      </c>
      <c r="G3440" s="401" t="s">
        <v>3800</v>
      </c>
      <c r="H3440" s="402">
        <v>2455.8100668637671</v>
      </c>
      <c r="I3440" s="402"/>
      <c r="J3440" s="400"/>
      <c r="K3440" s="400"/>
      <c r="L3440" s="400"/>
      <c r="M3440" s="400"/>
      <c r="N3440" s="400">
        <f t="shared" si="143"/>
        <v>2455.8100668637671</v>
      </c>
    </row>
    <row r="3441" spans="1:14" s="360" customFormat="1" hidden="1" outlineLevel="2" x14ac:dyDescent="0.35">
      <c r="A3441" s="403" t="s">
        <v>6681</v>
      </c>
      <c r="B3441" s="397">
        <v>44552</v>
      </c>
      <c r="C3441" s="398" t="s">
        <v>6722</v>
      </c>
      <c r="D3441" s="399" t="s">
        <v>6728</v>
      </c>
      <c r="E3441" s="399" t="s">
        <v>6684</v>
      </c>
      <c r="F3441" s="400">
        <v>221130</v>
      </c>
      <c r="G3441" s="401" t="s">
        <v>3800</v>
      </c>
      <c r="H3441" s="402">
        <v>82.280800012967404</v>
      </c>
      <c r="I3441" s="402"/>
      <c r="J3441" s="400"/>
      <c r="K3441" s="400"/>
      <c r="L3441" s="400"/>
      <c r="M3441" s="400"/>
      <c r="N3441" s="400">
        <f t="shared" si="143"/>
        <v>82.280800012967404</v>
      </c>
    </row>
    <row r="3442" spans="1:14" s="360" customFormat="1" hidden="1" outlineLevel="2" x14ac:dyDescent="0.35">
      <c r="A3442" s="403" t="s">
        <v>6681</v>
      </c>
      <c r="B3442" s="397">
        <v>44552</v>
      </c>
      <c r="C3442" s="398" t="s">
        <v>6722</v>
      </c>
      <c r="D3442" s="399" t="s">
        <v>6729</v>
      </c>
      <c r="E3442" s="399" t="s">
        <v>6684</v>
      </c>
      <c r="F3442" s="400">
        <v>294840</v>
      </c>
      <c r="G3442" s="401" t="s">
        <v>3800</v>
      </c>
      <c r="H3442" s="402">
        <v>109.7077333506232</v>
      </c>
      <c r="I3442" s="402"/>
      <c r="J3442" s="400"/>
      <c r="K3442" s="400"/>
      <c r="L3442" s="400"/>
      <c r="M3442" s="400"/>
      <c r="N3442" s="400">
        <f t="shared" si="143"/>
        <v>109.7077333506232</v>
      </c>
    </row>
    <row r="3443" spans="1:14" s="360" customFormat="1" hidden="1" outlineLevel="2" x14ac:dyDescent="0.35">
      <c r="A3443" s="403" t="s">
        <v>6681</v>
      </c>
      <c r="B3443" s="397">
        <v>44567</v>
      </c>
      <c r="C3443" s="398" t="s">
        <v>6730</v>
      </c>
      <c r="D3443" s="399" t="s">
        <v>6731</v>
      </c>
      <c r="E3443" s="399" t="s">
        <v>6684</v>
      </c>
      <c r="F3443" s="400">
        <v>214510</v>
      </c>
      <c r="G3443" s="401" t="s">
        <v>3800</v>
      </c>
      <c r="H3443" s="402">
        <v>79.817548097416164</v>
      </c>
      <c r="I3443" s="402"/>
      <c r="J3443" s="400"/>
      <c r="K3443" s="400"/>
      <c r="L3443" s="400"/>
      <c r="M3443" s="400"/>
      <c r="N3443" s="400">
        <v>79.817548097416164</v>
      </c>
    </row>
    <row r="3444" spans="1:14" s="360" customFormat="1" hidden="1" outlineLevel="2" x14ac:dyDescent="0.35">
      <c r="A3444" s="403" t="s">
        <v>6681</v>
      </c>
      <c r="B3444" s="397">
        <v>44567</v>
      </c>
      <c r="C3444" s="398" t="s">
        <v>6730</v>
      </c>
      <c r="D3444" s="399" t="s">
        <v>6731</v>
      </c>
      <c r="E3444" s="399" t="s">
        <v>6684</v>
      </c>
      <c r="F3444" s="400">
        <v>170730</v>
      </c>
      <c r="G3444" s="401" t="s">
        <v>3800</v>
      </c>
      <c r="H3444" s="402">
        <v>63.527341320553177</v>
      </c>
      <c r="I3444" s="402"/>
      <c r="J3444" s="400"/>
      <c r="K3444" s="400"/>
      <c r="L3444" s="400"/>
      <c r="M3444" s="400"/>
      <c r="N3444" s="400">
        <v>63.527341320553177</v>
      </c>
    </row>
    <row r="3445" spans="1:14" s="360" customFormat="1" hidden="1" outlineLevel="2" x14ac:dyDescent="0.35">
      <c r="A3445" s="403" t="s">
        <v>6681</v>
      </c>
      <c r="B3445" s="397">
        <v>44567</v>
      </c>
      <c r="C3445" s="398" t="s">
        <v>6730</v>
      </c>
      <c r="D3445" s="399" t="s">
        <v>6731</v>
      </c>
      <c r="E3445" s="399" t="s">
        <v>6684</v>
      </c>
      <c r="F3445" s="400">
        <v>190269</v>
      </c>
      <c r="G3445" s="401" t="s">
        <v>3800</v>
      </c>
      <c r="H3445" s="402">
        <v>70.797655395773049</v>
      </c>
      <c r="I3445" s="402"/>
      <c r="J3445" s="400"/>
      <c r="K3445" s="400"/>
      <c r="L3445" s="400"/>
      <c r="M3445" s="400"/>
      <c r="N3445" s="400">
        <v>70.797655395773049</v>
      </c>
    </row>
    <row r="3446" spans="1:14" s="360" customFormat="1" hidden="1" outlineLevel="2" x14ac:dyDescent="0.35">
      <c r="A3446" s="403" t="s">
        <v>6681</v>
      </c>
      <c r="B3446" s="397">
        <v>44567</v>
      </c>
      <c r="C3446" s="398" t="s">
        <v>6730</v>
      </c>
      <c r="D3446" s="399" t="s">
        <v>6732</v>
      </c>
      <c r="E3446" s="399" t="s">
        <v>6684</v>
      </c>
      <c r="F3446" s="400">
        <v>439020</v>
      </c>
      <c r="G3446" s="401" t="s">
        <v>3800</v>
      </c>
      <c r="H3446" s="402">
        <v>163.3560205385653</v>
      </c>
      <c r="I3446" s="402"/>
      <c r="J3446" s="400"/>
      <c r="K3446" s="400"/>
      <c r="L3446" s="400"/>
      <c r="M3446" s="400"/>
      <c r="N3446" s="400">
        <v>163.3560205385653</v>
      </c>
    </row>
    <row r="3447" spans="1:14" s="360" customFormat="1" hidden="1" outlineLevel="2" x14ac:dyDescent="0.35">
      <c r="A3447" s="403" t="s">
        <v>6681</v>
      </c>
      <c r="B3447" s="397">
        <v>44567</v>
      </c>
      <c r="C3447" s="398" t="s">
        <v>6730</v>
      </c>
      <c r="D3447" s="399" t="s">
        <v>6731</v>
      </c>
      <c r="E3447" s="399" t="s">
        <v>6684</v>
      </c>
      <c r="F3447" s="400">
        <v>163413</v>
      </c>
      <c r="G3447" s="401" t="s">
        <v>3800</v>
      </c>
      <c r="H3447" s="402">
        <v>60.804740978243757</v>
      </c>
      <c r="I3447" s="402"/>
      <c r="J3447" s="400"/>
      <c r="K3447" s="400"/>
      <c r="L3447" s="400"/>
      <c r="M3447" s="400"/>
      <c r="N3447" s="400">
        <v>60.804740978243757</v>
      </c>
    </row>
    <row r="3448" spans="1:14" s="360" customFormat="1" hidden="1" outlineLevel="2" x14ac:dyDescent="0.35">
      <c r="A3448" s="403" t="s">
        <v>6681</v>
      </c>
      <c r="B3448" s="397">
        <v>44567</v>
      </c>
      <c r="C3448" s="398" t="s">
        <v>6730</v>
      </c>
      <c r="D3448" s="399" t="s">
        <v>6731</v>
      </c>
      <c r="E3448" s="399" t="s">
        <v>6684</v>
      </c>
      <c r="F3448" s="400">
        <v>154050</v>
      </c>
      <c r="G3448" s="401" t="s">
        <v>3800</v>
      </c>
      <c r="H3448" s="402">
        <v>57.320839515206565</v>
      </c>
      <c r="I3448" s="402"/>
      <c r="J3448" s="400"/>
      <c r="K3448" s="400"/>
      <c r="L3448" s="400"/>
      <c r="M3448" s="400"/>
      <c r="N3448" s="400">
        <v>57.320839515206565</v>
      </c>
    </row>
    <row r="3449" spans="1:14" s="360" customFormat="1" hidden="1" outlineLevel="2" collapsed="1" x14ac:dyDescent="0.35">
      <c r="A3449" s="403" t="s">
        <v>6681</v>
      </c>
      <c r="B3449" s="397">
        <v>44579</v>
      </c>
      <c r="C3449" s="398" t="s">
        <v>6733</v>
      </c>
      <c r="D3449" s="399" t="s">
        <v>6734</v>
      </c>
      <c r="E3449" s="399" t="s">
        <v>6735</v>
      </c>
      <c r="F3449" s="400">
        <v>118000</v>
      </c>
      <c r="G3449" s="401" t="s">
        <v>3800</v>
      </c>
      <c r="H3449" s="402">
        <v>43.906907256049173</v>
      </c>
      <c r="I3449" s="402"/>
      <c r="J3449" s="400"/>
      <c r="K3449" s="400"/>
      <c r="L3449" s="400"/>
      <c r="M3449" s="400"/>
      <c r="N3449" s="400">
        <v>43.906907256049173</v>
      </c>
    </row>
    <row r="3450" spans="1:14" s="360" customFormat="1" hidden="1" outlineLevel="2" x14ac:dyDescent="0.35">
      <c r="A3450" s="403" t="s">
        <v>6681</v>
      </c>
      <c r="B3450" s="397">
        <v>44585</v>
      </c>
      <c r="C3450" s="398" t="s">
        <v>6736</v>
      </c>
      <c r="D3450" s="399" t="s">
        <v>6737</v>
      </c>
      <c r="E3450" s="399" t="s">
        <v>6702</v>
      </c>
      <c r="F3450" s="400">
        <v>6600000</v>
      </c>
      <c r="G3450" s="401" t="s">
        <v>3800</v>
      </c>
      <c r="H3450" s="402">
        <v>2455.8100668637671</v>
      </c>
      <c r="I3450" s="402"/>
      <c r="J3450" s="400"/>
      <c r="K3450" s="400"/>
      <c r="L3450" s="400"/>
      <c r="M3450" s="400"/>
      <c r="N3450" s="400">
        <v>2455.8100668637671</v>
      </c>
    </row>
    <row r="3451" spans="1:14" s="360" customFormat="1" hidden="1" outlineLevel="2" x14ac:dyDescent="0.35">
      <c r="A3451" s="403" t="s">
        <v>6681</v>
      </c>
      <c r="B3451" s="397">
        <v>44589</v>
      </c>
      <c r="C3451" s="398" t="s">
        <v>6738</v>
      </c>
      <c r="D3451" s="399" t="s">
        <v>6739</v>
      </c>
      <c r="E3451" s="399" t="s">
        <v>6702</v>
      </c>
      <c r="F3451" s="400">
        <v>6600000</v>
      </c>
      <c r="G3451" s="401" t="s">
        <v>3800</v>
      </c>
      <c r="H3451" s="402">
        <v>2455.8100668637671</v>
      </c>
      <c r="I3451" s="402"/>
      <c r="J3451" s="400"/>
      <c r="K3451" s="400"/>
      <c r="L3451" s="400"/>
      <c r="M3451" s="400"/>
      <c r="N3451" s="400">
        <v>2455.8100668637671</v>
      </c>
    </row>
    <row r="3452" spans="1:14" s="360" customFormat="1" hidden="1" outlineLevel="2" x14ac:dyDescent="0.35">
      <c r="A3452" s="403" t="s">
        <v>6681</v>
      </c>
      <c r="B3452" s="397">
        <v>44592</v>
      </c>
      <c r="C3452" s="398" t="s">
        <v>6740</v>
      </c>
      <c r="D3452" s="399" t="s">
        <v>6741</v>
      </c>
      <c r="E3452" s="399" t="s">
        <v>6684</v>
      </c>
      <c r="F3452" s="400">
        <v>441334</v>
      </c>
      <c r="G3452" s="401" t="s">
        <v>3800</v>
      </c>
      <c r="H3452" s="402">
        <v>164.21704243170512</v>
      </c>
      <c r="I3452" s="402"/>
      <c r="J3452" s="400"/>
      <c r="K3452" s="400"/>
      <c r="L3452" s="400"/>
      <c r="M3452" s="400"/>
      <c r="N3452" s="400">
        <v>164.21704243170512</v>
      </c>
    </row>
    <row r="3453" spans="1:14" s="360" customFormat="1" hidden="1" outlineLevel="2" x14ac:dyDescent="0.35">
      <c r="A3453" s="403" t="s">
        <v>6681</v>
      </c>
      <c r="B3453" s="397">
        <v>44592</v>
      </c>
      <c r="C3453" s="398" t="s">
        <v>6742</v>
      </c>
      <c r="D3453" s="399" t="s">
        <v>6743</v>
      </c>
      <c r="E3453" s="399" t="s">
        <v>6684</v>
      </c>
      <c r="F3453" s="400">
        <v>642855</v>
      </c>
      <c r="G3453" s="401" t="s">
        <v>3800</v>
      </c>
      <c r="H3453" s="402">
        <v>239.20148189904651</v>
      </c>
      <c r="I3453" s="402"/>
      <c r="J3453" s="400"/>
      <c r="K3453" s="400"/>
      <c r="L3453" s="400"/>
      <c r="M3453" s="400"/>
      <c r="N3453" s="400">
        <v>239.20148189904651</v>
      </c>
    </row>
    <row r="3454" spans="1:14" s="360" customFormat="1" outlineLevel="1" collapsed="1" x14ac:dyDescent="0.35">
      <c r="A3454" s="396" t="s">
        <v>6744</v>
      </c>
      <c r="B3454" s="397"/>
      <c r="C3454" s="398"/>
      <c r="D3454" s="399"/>
      <c r="E3454" s="399"/>
      <c r="F3454" s="400"/>
      <c r="G3454" s="401"/>
      <c r="H3454" s="402">
        <f t="shared" ref="H3454:N3454" si="144">SUBTOTAL(9,H3408:H3453)</f>
        <v>18291.118237148705</v>
      </c>
      <c r="I3454" s="402"/>
      <c r="J3454" s="400">
        <f t="shared" si="144"/>
        <v>0</v>
      </c>
      <c r="K3454" s="400">
        <f t="shared" si="144"/>
        <v>0</v>
      </c>
      <c r="L3454" s="400">
        <f t="shared" si="144"/>
        <v>0</v>
      </c>
      <c r="M3454" s="400">
        <f t="shared" si="144"/>
        <v>0</v>
      </c>
      <c r="N3454" s="400">
        <f t="shared" si="144"/>
        <v>18291.118237148705</v>
      </c>
    </row>
    <row r="3455" spans="1:14" s="360" customFormat="1" hidden="1" outlineLevel="2" x14ac:dyDescent="0.35">
      <c r="A3455" s="403" t="s">
        <v>3923</v>
      </c>
      <c r="B3455" s="397">
        <v>44302</v>
      </c>
      <c r="C3455" s="398" t="s">
        <v>6745</v>
      </c>
      <c r="D3455" s="399" t="s">
        <v>6746</v>
      </c>
      <c r="E3455" s="399" t="s">
        <v>6747</v>
      </c>
      <c r="F3455" s="400">
        <v>1967500</v>
      </c>
      <c r="G3455" s="401" t="s">
        <v>3800</v>
      </c>
      <c r="H3455" s="402">
        <v>732.09186462946388</v>
      </c>
      <c r="I3455" s="402"/>
      <c r="J3455" s="400"/>
      <c r="K3455" s="400"/>
      <c r="L3455" s="400"/>
      <c r="M3455" s="400"/>
      <c r="N3455" s="400">
        <f>H3455</f>
        <v>732.09186462946388</v>
      </c>
    </row>
    <row r="3456" spans="1:14" s="360" customFormat="1" hidden="1" outlineLevel="2" x14ac:dyDescent="0.35">
      <c r="A3456" s="403" t="s">
        <v>3923</v>
      </c>
      <c r="B3456" s="397">
        <v>44316</v>
      </c>
      <c r="C3456" s="398" t="s">
        <v>6748</v>
      </c>
      <c r="D3456" s="399" t="s">
        <v>6749</v>
      </c>
      <c r="E3456" s="399" t="s">
        <v>6747</v>
      </c>
      <c r="F3456" s="400">
        <v>1632500</v>
      </c>
      <c r="G3456" s="401" t="s">
        <v>3800</v>
      </c>
      <c r="H3456" s="402">
        <v>607.44089911440904</v>
      </c>
      <c r="I3456" s="402"/>
      <c r="J3456" s="400"/>
      <c r="K3456" s="400"/>
      <c r="L3456" s="400"/>
      <c r="M3456" s="400"/>
      <c r="N3456" s="400">
        <f>H3456</f>
        <v>607.44089911440904</v>
      </c>
    </row>
    <row r="3457" spans="1:14" s="360" customFormat="1" hidden="1" outlineLevel="2" x14ac:dyDescent="0.35">
      <c r="A3457" s="403" t="s">
        <v>3923</v>
      </c>
      <c r="B3457" s="397">
        <v>44414</v>
      </c>
      <c r="C3457" s="398" t="s">
        <v>6750</v>
      </c>
      <c r="D3457" s="399" t="s">
        <v>6751</v>
      </c>
      <c r="E3457" s="399" t="s">
        <v>6752</v>
      </c>
      <c r="F3457" s="400">
        <v>998000</v>
      </c>
      <c r="G3457" s="401" t="s">
        <v>3800</v>
      </c>
      <c r="H3457" s="402">
        <v>371.34824950455146</v>
      </c>
      <c r="I3457" s="402"/>
      <c r="J3457" s="400"/>
      <c r="K3457" s="400"/>
      <c r="L3457" s="400"/>
      <c r="M3457" s="400"/>
      <c r="N3457" s="400">
        <f>H3457</f>
        <v>371.34824950455146</v>
      </c>
    </row>
    <row r="3458" spans="1:14" s="360" customFormat="1" hidden="1" outlineLevel="2" x14ac:dyDescent="0.35">
      <c r="A3458" s="403" t="s">
        <v>3923</v>
      </c>
      <c r="B3458" s="397">
        <v>44508</v>
      </c>
      <c r="C3458" s="398" t="s">
        <v>6753</v>
      </c>
      <c r="D3458" s="399" t="s">
        <v>6754</v>
      </c>
      <c r="E3458" s="399" t="s">
        <v>6747</v>
      </c>
      <c r="F3458" s="400">
        <v>5201600</v>
      </c>
      <c r="G3458" s="401" t="s">
        <v>3800</v>
      </c>
      <c r="H3458" s="402">
        <v>1935.4760066361471</v>
      </c>
      <c r="I3458" s="402"/>
      <c r="J3458" s="400"/>
      <c r="K3458" s="400"/>
      <c r="L3458" s="400"/>
      <c r="M3458" s="400"/>
      <c r="N3458" s="400">
        <f>H3458</f>
        <v>1935.4760066361471</v>
      </c>
    </row>
    <row r="3459" spans="1:14" s="360" customFormat="1" hidden="1" outlineLevel="2" x14ac:dyDescent="0.35">
      <c r="A3459" s="403" t="s">
        <v>3923</v>
      </c>
      <c r="B3459" s="397">
        <v>44552</v>
      </c>
      <c r="C3459" s="398" t="s">
        <v>6755</v>
      </c>
      <c r="D3459" s="399" t="s">
        <v>6756</v>
      </c>
      <c r="E3459" s="399" t="s">
        <v>6757</v>
      </c>
      <c r="F3459" s="400">
        <v>12664178</v>
      </c>
      <c r="G3459" s="401" t="s">
        <v>3800</v>
      </c>
      <c r="H3459" s="402">
        <v>4712.244821356765</v>
      </c>
      <c r="I3459" s="402"/>
      <c r="J3459" s="400"/>
      <c r="K3459" s="400"/>
      <c r="L3459" s="400"/>
      <c r="M3459" s="400"/>
      <c r="N3459" s="400">
        <f>H3459</f>
        <v>4712.244821356765</v>
      </c>
    </row>
    <row r="3460" spans="1:14" s="360" customFormat="1" outlineLevel="1" collapsed="1" x14ac:dyDescent="0.35">
      <c r="A3460" s="396" t="s">
        <v>6758</v>
      </c>
      <c r="B3460" s="397"/>
      <c r="C3460" s="398"/>
      <c r="D3460" s="399"/>
      <c r="E3460" s="399"/>
      <c r="F3460" s="400"/>
      <c r="G3460" s="401"/>
      <c r="H3460" s="402">
        <f t="shared" ref="H3460:N3460" si="145">SUBTOTAL(9,H3455:H3459)</f>
        <v>8358.6018412413359</v>
      </c>
      <c r="I3460" s="402"/>
      <c r="J3460" s="400">
        <f t="shared" si="145"/>
        <v>0</v>
      </c>
      <c r="K3460" s="400">
        <f t="shared" si="145"/>
        <v>0</v>
      </c>
      <c r="L3460" s="400">
        <f t="shared" si="145"/>
        <v>0</v>
      </c>
      <c r="M3460" s="400">
        <f t="shared" si="145"/>
        <v>0</v>
      </c>
      <c r="N3460" s="400">
        <f t="shared" si="145"/>
        <v>8358.6018412413359</v>
      </c>
    </row>
    <row r="3461" spans="1:14" s="360" customFormat="1" hidden="1" outlineLevel="2" collapsed="1" x14ac:dyDescent="0.35">
      <c r="A3461" s="403" t="s">
        <v>3969</v>
      </c>
      <c r="B3461" s="397">
        <v>44551</v>
      </c>
      <c r="C3461" s="398" t="s">
        <v>6759</v>
      </c>
      <c r="D3461" s="399" t="s">
        <v>6760</v>
      </c>
      <c r="E3461" s="399" t="s">
        <v>6618</v>
      </c>
      <c r="F3461" s="400">
        <v>2600000</v>
      </c>
      <c r="G3461" s="401" t="s">
        <v>3800</v>
      </c>
      <c r="H3461" s="402">
        <v>967.44032937057489</v>
      </c>
      <c r="I3461" s="402"/>
      <c r="J3461" s="400"/>
      <c r="K3461" s="400"/>
      <c r="L3461" s="400"/>
      <c r="M3461" s="400"/>
      <c r="N3461" s="400">
        <f>H3461</f>
        <v>967.44032937057489</v>
      </c>
    </row>
    <row r="3462" spans="1:14" s="360" customFormat="1" hidden="1" outlineLevel="2" x14ac:dyDescent="0.35">
      <c r="A3462" s="403" t="s">
        <v>3969</v>
      </c>
      <c r="B3462" s="397">
        <v>44561</v>
      </c>
      <c r="C3462" s="398" t="s">
        <v>6761</v>
      </c>
      <c r="D3462" s="399" t="s">
        <v>6762</v>
      </c>
      <c r="E3462" s="399" t="s">
        <v>6763</v>
      </c>
      <c r="F3462" s="400">
        <v>300000</v>
      </c>
      <c r="G3462" s="401" t="s">
        <v>3800</v>
      </c>
      <c r="H3462" s="402">
        <v>111.62773031198941</v>
      </c>
      <c r="I3462" s="402"/>
      <c r="J3462" s="400"/>
      <c r="K3462" s="400"/>
      <c r="L3462" s="400"/>
      <c r="M3462" s="400"/>
      <c r="N3462" s="400">
        <f>H3462</f>
        <v>111.62773031198941</v>
      </c>
    </row>
    <row r="3463" spans="1:14" s="360" customFormat="1" outlineLevel="1" collapsed="1" x14ac:dyDescent="0.35">
      <c r="A3463" s="396" t="s">
        <v>6764</v>
      </c>
      <c r="B3463" s="397"/>
      <c r="C3463" s="398"/>
      <c r="D3463" s="399"/>
      <c r="E3463" s="399"/>
      <c r="F3463" s="400"/>
      <c r="G3463" s="401"/>
      <c r="H3463" s="402">
        <f t="shared" ref="H3463:N3463" si="146">SUBTOTAL(9,H3461:H3462)</f>
        <v>1079.0680596825644</v>
      </c>
      <c r="I3463" s="402"/>
      <c r="J3463" s="400">
        <f t="shared" si="146"/>
        <v>0</v>
      </c>
      <c r="K3463" s="400">
        <f t="shared" si="146"/>
        <v>0</v>
      </c>
      <c r="L3463" s="400">
        <f t="shared" si="146"/>
        <v>0</v>
      </c>
      <c r="M3463" s="400">
        <f t="shared" si="146"/>
        <v>0</v>
      </c>
      <c r="N3463" s="400">
        <f t="shared" si="146"/>
        <v>1079.0680596825644</v>
      </c>
    </row>
    <row r="3464" spans="1:14" s="360" customFormat="1" hidden="1" outlineLevel="2" x14ac:dyDescent="0.35">
      <c r="A3464" s="403" t="s">
        <v>3958</v>
      </c>
      <c r="B3464" s="397">
        <v>44358</v>
      </c>
      <c r="C3464" s="398" t="s">
        <v>6765</v>
      </c>
      <c r="D3464" s="399" t="s">
        <v>6766</v>
      </c>
      <c r="E3464" s="399" t="s">
        <v>6767</v>
      </c>
      <c r="F3464" s="400">
        <v>130523668.48</v>
      </c>
      <c r="G3464" s="401" t="s">
        <v>3800</v>
      </c>
      <c r="H3464" s="402">
        <v>48566.869548056515</v>
      </c>
      <c r="I3464" s="402"/>
      <c r="J3464" s="400"/>
      <c r="K3464" s="400"/>
      <c r="L3464" s="400"/>
      <c r="M3464" s="400"/>
      <c r="N3464" s="400">
        <f>H3464</f>
        <v>48566.869548056515</v>
      </c>
    </row>
    <row r="3465" spans="1:14" s="360" customFormat="1" hidden="1" outlineLevel="2" x14ac:dyDescent="0.35">
      <c r="A3465" s="403" t="s">
        <v>3958</v>
      </c>
      <c r="B3465" s="397">
        <v>44358</v>
      </c>
      <c r="C3465" s="398" t="s">
        <v>6768</v>
      </c>
      <c r="D3465" s="399" t="s">
        <v>6769</v>
      </c>
      <c r="E3465" s="399" t="s">
        <v>6770</v>
      </c>
      <c r="F3465" s="400">
        <v>15000000</v>
      </c>
      <c r="G3465" s="401" t="s">
        <v>3800</v>
      </c>
      <c r="H3465" s="402">
        <v>5581.3865155994708</v>
      </c>
      <c r="I3465" s="402"/>
      <c r="J3465" s="400"/>
      <c r="K3465" s="400"/>
      <c r="L3465" s="400"/>
      <c r="M3465" s="400"/>
      <c r="N3465" s="400">
        <f>H3465</f>
        <v>5581.3865155994708</v>
      </c>
    </row>
    <row r="3466" spans="1:14" s="360" customFormat="1" outlineLevel="1" collapsed="1" x14ac:dyDescent="0.35">
      <c r="A3466" s="396" t="s">
        <v>6771</v>
      </c>
      <c r="B3466" s="397"/>
      <c r="C3466" s="398"/>
      <c r="D3466" s="399"/>
      <c r="E3466" s="399"/>
      <c r="F3466" s="400"/>
      <c r="G3466" s="401"/>
      <c r="H3466" s="402">
        <f t="shared" ref="H3466:N3466" si="147">SUBTOTAL(9,H3464:H3465)</f>
        <v>54148.256063655987</v>
      </c>
      <c r="I3466" s="402"/>
      <c r="J3466" s="400">
        <f t="shared" si="147"/>
        <v>0</v>
      </c>
      <c r="K3466" s="400">
        <f t="shared" si="147"/>
        <v>0</v>
      </c>
      <c r="L3466" s="400">
        <f t="shared" si="147"/>
        <v>0</v>
      </c>
      <c r="M3466" s="400">
        <f t="shared" si="147"/>
        <v>0</v>
      </c>
      <c r="N3466" s="400">
        <f t="shared" si="147"/>
        <v>54148.256063655987</v>
      </c>
    </row>
    <row r="3467" spans="1:14" s="360" customFormat="1" hidden="1" outlineLevel="2" x14ac:dyDescent="0.35">
      <c r="A3467" s="403" t="s">
        <v>3968</v>
      </c>
      <c r="B3467" s="397">
        <v>44474</v>
      </c>
      <c r="C3467" s="398" t="s">
        <v>6772</v>
      </c>
      <c r="D3467" s="399" t="s">
        <v>6773</v>
      </c>
      <c r="E3467" s="399" t="s">
        <v>6774</v>
      </c>
      <c r="F3467" s="400">
        <v>15000000</v>
      </c>
      <c r="G3467" s="401" t="s">
        <v>3800</v>
      </c>
      <c r="H3467" s="402">
        <v>5581.3865155994708</v>
      </c>
      <c r="I3467" s="402"/>
      <c r="J3467" s="400"/>
      <c r="K3467" s="400"/>
      <c r="L3467" s="400"/>
      <c r="M3467" s="400"/>
      <c r="N3467" s="400">
        <f t="shared" ref="N3467:N3472" si="148">H3467</f>
        <v>5581.3865155994708</v>
      </c>
    </row>
    <row r="3468" spans="1:14" s="360" customFormat="1" hidden="1" outlineLevel="2" x14ac:dyDescent="0.35">
      <c r="A3468" s="403" t="s">
        <v>3968</v>
      </c>
      <c r="B3468" s="397">
        <v>44480</v>
      </c>
      <c r="C3468" s="398" t="s">
        <v>6775</v>
      </c>
      <c r="D3468" s="399" t="s">
        <v>6776</v>
      </c>
      <c r="E3468" s="399" t="s">
        <v>6774</v>
      </c>
      <c r="F3468" s="400">
        <v>46612000</v>
      </c>
      <c r="G3468" s="401" t="s">
        <v>3800</v>
      </c>
      <c r="H3468" s="402">
        <v>17343.97255100817</v>
      </c>
      <c r="I3468" s="402"/>
      <c r="J3468" s="400"/>
      <c r="K3468" s="400"/>
      <c r="L3468" s="400"/>
      <c r="M3468" s="400"/>
      <c r="N3468" s="400">
        <f t="shared" si="148"/>
        <v>17343.97255100817</v>
      </c>
    </row>
    <row r="3469" spans="1:14" s="360" customFormat="1" hidden="1" outlineLevel="2" x14ac:dyDescent="0.35">
      <c r="A3469" s="403" t="s">
        <v>3968</v>
      </c>
      <c r="B3469" s="397">
        <v>44480</v>
      </c>
      <c r="C3469" s="398" t="s">
        <v>6777</v>
      </c>
      <c r="D3469" s="399" t="s">
        <v>6778</v>
      </c>
      <c r="E3469" s="399" t="s">
        <v>6774</v>
      </c>
      <c r="F3469" s="400">
        <v>37086400</v>
      </c>
      <c r="G3469" s="401" t="s">
        <v>3800</v>
      </c>
      <c r="H3469" s="402">
        <v>13799.568858141882</v>
      </c>
      <c r="I3469" s="402"/>
      <c r="J3469" s="400"/>
      <c r="K3469" s="400"/>
      <c r="L3469" s="400"/>
      <c r="M3469" s="400"/>
      <c r="N3469" s="400">
        <f t="shared" si="148"/>
        <v>13799.568858141882</v>
      </c>
    </row>
    <row r="3470" spans="1:14" s="360" customFormat="1" hidden="1" outlineLevel="2" x14ac:dyDescent="0.35">
      <c r="A3470" s="403" t="s">
        <v>3968</v>
      </c>
      <c r="B3470" s="397">
        <v>44533</v>
      </c>
      <c r="C3470" s="398" t="s">
        <v>6779</v>
      </c>
      <c r="D3470" s="399" t="s">
        <v>6780</v>
      </c>
      <c r="E3470" s="399" t="s">
        <v>6781</v>
      </c>
      <c r="F3470" s="400">
        <v>21020000</v>
      </c>
      <c r="G3470" s="401" t="s">
        <v>3800</v>
      </c>
      <c r="H3470" s="402">
        <v>7821.3829705267253</v>
      </c>
      <c r="I3470" s="402"/>
      <c r="J3470" s="400"/>
      <c r="K3470" s="400"/>
      <c r="L3470" s="400"/>
      <c r="M3470" s="400"/>
      <c r="N3470" s="400">
        <f t="shared" si="148"/>
        <v>7821.3829705267253</v>
      </c>
    </row>
    <row r="3471" spans="1:14" s="360" customFormat="1" hidden="1" outlineLevel="2" x14ac:dyDescent="0.35">
      <c r="A3471" s="403" t="s">
        <v>3968</v>
      </c>
      <c r="B3471" s="397">
        <v>44533</v>
      </c>
      <c r="C3471" s="398" t="s">
        <v>6782</v>
      </c>
      <c r="D3471" s="399" t="s">
        <v>6780</v>
      </c>
      <c r="E3471" s="399" t="s">
        <v>6783</v>
      </c>
      <c r="F3471" s="400">
        <v>121374470</v>
      </c>
      <c r="G3471" s="401" t="s">
        <v>3800</v>
      </c>
      <c r="H3471" s="402">
        <v>45162.522013068832</v>
      </c>
      <c r="I3471" s="402"/>
      <c r="J3471" s="400"/>
      <c r="K3471" s="400"/>
      <c r="L3471" s="400"/>
      <c r="M3471" s="400"/>
      <c r="N3471" s="400">
        <f t="shared" si="148"/>
        <v>45162.522013068832</v>
      </c>
    </row>
    <row r="3472" spans="1:14" s="360" customFormat="1" hidden="1" outlineLevel="2" x14ac:dyDescent="0.35">
      <c r="A3472" s="403" t="s">
        <v>3968</v>
      </c>
      <c r="B3472" s="397">
        <v>44560</v>
      </c>
      <c r="C3472" s="398" t="s">
        <v>6784</v>
      </c>
      <c r="D3472" s="399" t="s">
        <v>6785</v>
      </c>
      <c r="E3472" s="399" t="s">
        <v>6786</v>
      </c>
      <c r="F3472" s="400">
        <v>900000</v>
      </c>
      <c r="G3472" s="401" t="s">
        <v>3800</v>
      </c>
      <c r="H3472" s="402">
        <v>334.88319093596823</v>
      </c>
      <c r="I3472" s="402"/>
      <c r="J3472" s="400"/>
      <c r="K3472" s="400"/>
      <c r="L3472" s="400"/>
      <c r="M3472" s="400"/>
      <c r="N3472" s="400">
        <f t="shared" si="148"/>
        <v>334.88319093596823</v>
      </c>
    </row>
    <row r="3473" spans="1:14" s="360" customFormat="1" hidden="1" outlineLevel="2" x14ac:dyDescent="0.35">
      <c r="A3473" s="403" t="s">
        <v>3968</v>
      </c>
      <c r="B3473" s="397">
        <v>44581</v>
      </c>
      <c r="C3473" s="398" t="s">
        <v>6787</v>
      </c>
      <c r="D3473" s="399" t="s">
        <v>6788</v>
      </c>
      <c r="E3473" s="399" t="s">
        <v>6789</v>
      </c>
      <c r="F3473" s="400">
        <v>1378900</v>
      </c>
      <c r="G3473" s="401" t="s">
        <v>3800</v>
      </c>
      <c r="H3473" s="402">
        <v>513.07825775734068</v>
      </c>
      <c r="I3473" s="402"/>
      <c r="J3473" s="400"/>
      <c r="K3473" s="400"/>
      <c r="L3473" s="400"/>
      <c r="M3473" s="400"/>
      <c r="N3473" s="400">
        <v>513.07825775734068</v>
      </c>
    </row>
    <row r="3474" spans="1:14" s="360" customFormat="1" hidden="1" outlineLevel="2" x14ac:dyDescent="0.35">
      <c r="A3474" s="403" t="s">
        <v>3968</v>
      </c>
      <c r="B3474" s="397">
        <v>44581</v>
      </c>
      <c r="C3474" s="398" t="s">
        <v>6790</v>
      </c>
      <c r="D3474" s="399" t="s">
        <v>6791</v>
      </c>
      <c r="E3474" s="399" t="s">
        <v>6783</v>
      </c>
      <c r="F3474" s="400">
        <v>53623392</v>
      </c>
      <c r="G3474" s="401" t="s">
        <v>3800</v>
      </c>
      <c r="H3474" s="402">
        <v>19952.858468633636</v>
      </c>
      <c r="I3474" s="402"/>
      <c r="J3474" s="400"/>
      <c r="K3474" s="400"/>
      <c r="L3474" s="400"/>
      <c r="M3474" s="400"/>
      <c r="N3474" s="400">
        <v>19952.858468633636</v>
      </c>
    </row>
    <row r="3475" spans="1:14" s="360" customFormat="1" hidden="1" outlineLevel="2" x14ac:dyDescent="0.35">
      <c r="A3475" s="403" t="s">
        <v>3968</v>
      </c>
      <c r="B3475" s="397">
        <v>44581</v>
      </c>
      <c r="C3475" s="398" t="s">
        <v>6792</v>
      </c>
      <c r="D3475" s="399" t="s">
        <v>6791</v>
      </c>
      <c r="E3475" s="399" t="s">
        <v>6783</v>
      </c>
      <c r="F3475" s="400">
        <v>73717562.5</v>
      </c>
      <c r="G3475" s="401" t="s">
        <v>3800</v>
      </c>
      <c r="H3475" s="402">
        <v>27429.747286690748</v>
      </c>
      <c r="I3475" s="402"/>
      <c r="J3475" s="400"/>
      <c r="K3475" s="400"/>
      <c r="L3475" s="400"/>
      <c r="M3475" s="400"/>
      <c r="N3475" s="400">
        <v>27429.747286690748</v>
      </c>
    </row>
    <row r="3476" spans="1:14" s="360" customFormat="1" hidden="1" outlineLevel="2" x14ac:dyDescent="0.35">
      <c r="A3476" s="403" t="s">
        <v>3968</v>
      </c>
      <c r="B3476" s="397">
        <v>44581</v>
      </c>
      <c r="C3476" s="398" t="s">
        <v>6793</v>
      </c>
      <c r="D3476" s="399" t="s">
        <v>6788</v>
      </c>
      <c r="E3476" s="399" t="s">
        <v>6789</v>
      </c>
      <c r="F3476" s="400">
        <v>10803050</v>
      </c>
      <c r="G3476" s="401" t="s">
        <v>3800</v>
      </c>
      <c r="H3476" s="402">
        <v>4019.7331731564577</v>
      </c>
      <c r="I3476" s="402"/>
      <c r="J3476" s="400"/>
      <c r="K3476" s="400"/>
      <c r="L3476" s="400"/>
      <c r="M3476" s="400"/>
      <c r="N3476" s="400">
        <v>4019.7331731564577</v>
      </c>
    </row>
    <row r="3477" spans="1:14" s="360" customFormat="1" hidden="1" outlineLevel="2" x14ac:dyDescent="0.35">
      <c r="A3477" s="403" t="s">
        <v>3968</v>
      </c>
      <c r="B3477" s="397">
        <v>44592</v>
      </c>
      <c r="C3477" s="398" t="s">
        <v>6794</v>
      </c>
      <c r="D3477" s="399" t="s">
        <v>6795</v>
      </c>
      <c r="E3477" s="399" t="s">
        <v>6783</v>
      </c>
      <c r="F3477" s="400">
        <v>151899640</v>
      </c>
      <c r="G3477" s="401" t="s">
        <v>3800</v>
      </c>
      <c r="H3477" s="402">
        <v>56520.7068280276</v>
      </c>
      <c r="I3477" s="402"/>
      <c r="J3477" s="400"/>
      <c r="K3477" s="400"/>
      <c r="L3477" s="400"/>
      <c r="M3477" s="400"/>
      <c r="N3477" s="400">
        <v>56520.7068280276</v>
      </c>
    </row>
    <row r="3478" spans="1:14" s="360" customFormat="1" hidden="1" outlineLevel="2" x14ac:dyDescent="0.35">
      <c r="A3478" s="403" t="s">
        <v>3968</v>
      </c>
      <c r="B3478" s="397">
        <v>44592</v>
      </c>
      <c r="C3478" s="398" t="s">
        <v>6796</v>
      </c>
      <c r="D3478" s="399" t="s">
        <v>6797</v>
      </c>
      <c r="E3478" s="399" t="s">
        <v>6798</v>
      </c>
      <c r="F3478" s="400">
        <v>3282822.99</v>
      </c>
      <c r="G3478" s="401" t="s">
        <v>3800</v>
      </c>
      <c r="H3478" s="402">
        <v>1221.5135979657291</v>
      </c>
      <c r="I3478" s="402"/>
      <c r="J3478" s="400"/>
      <c r="K3478" s="400"/>
      <c r="L3478" s="400"/>
      <c r="M3478" s="400"/>
      <c r="N3478" s="400">
        <v>1221.5135979657291</v>
      </c>
    </row>
    <row r="3479" spans="1:14" s="360" customFormat="1" hidden="1" outlineLevel="2" x14ac:dyDescent="0.35">
      <c r="A3479" s="403" t="s">
        <v>3968</v>
      </c>
      <c r="B3479" s="397">
        <v>44592</v>
      </c>
      <c r="C3479" s="398" t="s">
        <v>6796</v>
      </c>
      <c r="D3479" s="399" t="s">
        <v>6799</v>
      </c>
      <c r="E3479" s="399" t="s">
        <v>6800</v>
      </c>
      <c r="F3479" s="400">
        <v>752008.88</v>
      </c>
      <c r="G3479" s="401" t="s">
        <v>3800</v>
      </c>
      <c r="H3479" s="402">
        <v>279.81681482953735</v>
      </c>
      <c r="I3479" s="402"/>
      <c r="J3479" s="400"/>
      <c r="K3479" s="400"/>
      <c r="L3479" s="400"/>
      <c r="M3479" s="400"/>
      <c r="N3479" s="400">
        <v>279.81681482953735</v>
      </c>
    </row>
    <row r="3480" spans="1:14" s="360" customFormat="1" hidden="1" outlineLevel="2" x14ac:dyDescent="0.35">
      <c r="A3480" s="403" t="s">
        <v>3968</v>
      </c>
      <c r="B3480" s="397">
        <v>44592</v>
      </c>
      <c r="C3480" s="398" t="s">
        <v>6796</v>
      </c>
      <c r="D3480" s="399" t="s">
        <v>6801</v>
      </c>
      <c r="E3480" s="399" t="s">
        <v>6802</v>
      </c>
      <c r="F3480" s="400">
        <v>101217</v>
      </c>
      <c r="G3480" s="401" t="s">
        <v>3800</v>
      </c>
      <c r="H3480" s="402">
        <v>37.662079929962111</v>
      </c>
      <c r="I3480" s="402"/>
      <c r="J3480" s="400"/>
      <c r="K3480" s="400"/>
      <c r="L3480" s="400"/>
      <c r="M3480" s="400"/>
      <c r="N3480" s="400">
        <v>37.662079929962111</v>
      </c>
    </row>
    <row r="3481" spans="1:14" s="360" customFormat="1" hidden="1" outlineLevel="2" x14ac:dyDescent="0.35">
      <c r="A3481" s="403" t="s">
        <v>3968</v>
      </c>
      <c r="B3481" s="397">
        <v>44592</v>
      </c>
      <c r="C3481" s="398" t="s">
        <v>6796</v>
      </c>
      <c r="D3481" s="399" t="s">
        <v>6803</v>
      </c>
      <c r="E3481" s="399" t="s">
        <v>6804</v>
      </c>
      <c r="F3481" s="400">
        <v>22560.27</v>
      </c>
      <c r="G3481" s="401" t="s">
        <v>3800</v>
      </c>
      <c r="H3481" s="402">
        <v>8.3945057844188842</v>
      </c>
      <c r="I3481" s="402"/>
      <c r="J3481" s="400"/>
      <c r="K3481" s="400"/>
      <c r="L3481" s="400"/>
      <c r="M3481" s="400"/>
      <c r="N3481" s="400">
        <v>8.3945057844188842</v>
      </c>
    </row>
    <row r="3482" spans="1:14" s="360" customFormat="1" outlineLevel="1" collapsed="1" x14ac:dyDescent="0.35">
      <c r="A3482" s="396" t="s">
        <v>6805</v>
      </c>
      <c r="B3482" s="397"/>
      <c r="C3482" s="398"/>
      <c r="D3482" s="399"/>
      <c r="E3482" s="399"/>
      <c r="F3482" s="400"/>
      <c r="G3482" s="401"/>
      <c r="H3482" s="402">
        <f t="shared" ref="H3482:N3482" si="149">SUBTOTAL(9,H3467:H3481)</f>
        <v>200027.22711205645</v>
      </c>
      <c r="I3482" s="402"/>
      <c r="J3482" s="400">
        <f t="shared" si="149"/>
        <v>0</v>
      </c>
      <c r="K3482" s="400">
        <f t="shared" si="149"/>
        <v>0</v>
      </c>
      <c r="L3482" s="400">
        <f t="shared" si="149"/>
        <v>0</v>
      </c>
      <c r="M3482" s="400">
        <f t="shared" si="149"/>
        <v>0</v>
      </c>
      <c r="N3482" s="400">
        <f t="shared" si="149"/>
        <v>200027.22711205645</v>
      </c>
    </row>
    <row r="3483" spans="1:14" s="360" customFormat="1" hidden="1" outlineLevel="2" x14ac:dyDescent="0.35">
      <c r="A3483" s="403" t="s">
        <v>3861</v>
      </c>
      <c r="B3483" s="397">
        <v>44467</v>
      </c>
      <c r="C3483" s="398" t="s">
        <v>6806</v>
      </c>
      <c r="D3483" s="399" t="s">
        <v>6807</v>
      </c>
      <c r="E3483" s="399" t="s">
        <v>6808</v>
      </c>
      <c r="F3483" s="400">
        <v>960000</v>
      </c>
      <c r="G3483" s="401" t="s">
        <v>3800</v>
      </c>
      <c r="H3483" s="402">
        <v>357.20873699836613</v>
      </c>
      <c r="I3483" s="402"/>
      <c r="J3483" s="400"/>
      <c r="K3483" s="400"/>
      <c r="L3483" s="400"/>
      <c r="M3483" s="400"/>
      <c r="N3483" s="400">
        <f t="shared" ref="N3483:N3499" si="150">H3483</f>
        <v>357.20873699836613</v>
      </c>
    </row>
    <row r="3484" spans="1:14" s="360" customFormat="1" hidden="1" outlineLevel="2" x14ac:dyDescent="0.35">
      <c r="A3484" s="403" t="s">
        <v>3861</v>
      </c>
      <c r="B3484" s="397">
        <v>44467</v>
      </c>
      <c r="C3484" s="398" t="s">
        <v>6809</v>
      </c>
      <c r="D3484" s="399" t="s">
        <v>6807</v>
      </c>
      <c r="E3484" s="399" t="s">
        <v>6177</v>
      </c>
      <c r="F3484" s="400">
        <v>450000</v>
      </c>
      <c r="G3484" s="401" t="s">
        <v>3800</v>
      </c>
      <c r="H3484" s="402">
        <v>167.44159546798411</v>
      </c>
      <c r="I3484" s="402"/>
      <c r="J3484" s="400"/>
      <c r="K3484" s="400"/>
      <c r="L3484" s="400"/>
      <c r="M3484" s="400"/>
      <c r="N3484" s="400">
        <f t="shared" si="150"/>
        <v>167.44159546798411</v>
      </c>
    </row>
    <row r="3485" spans="1:14" s="360" customFormat="1" hidden="1" outlineLevel="2" x14ac:dyDescent="0.35">
      <c r="A3485" s="403" t="s">
        <v>3861</v>
      </c>
      <c r="B3485" s="397">
        <v>44474</v>
      </c>
      <c r="C3485" s="398" t="s">
        <v>6810</v>
      </c>
      <c r="D3485" s="399" t="s">
        <v>6811</v>
      </c>
      <c r="E3485" s="399" t="s">
        <v>6177</v>
      </c>
      <c r="F3485" s="400">
        <v>383791</v>
      </c>
      <c r="G3485" s="401" t="s">
        <v>3800</v>
      </c>
      <c r="H3485" s="402">
        <v>142.80572748056244</v>
      </c>
      <c r="I3485" s="402"/>
      <c r="J3485" s="400"/>
      <c r="K3485" s="400"/>
      <c r="L3485" s="400"/>
      <c r="M3485" s="400"/>
      <c r="N3485" s="400">
        <f t="shared" si="150"/>
        <v>142.80572748056244</v>
      </c>
    </row>
    <row r="3486" spans="1:14" s="360" customFormat="1" hidden="1" outlineLevel="2" x14ac:dyDescent="0.35">
      <c r="A3486" s="403" t="s">
        <v>3861</v>
      </c>
      <c r="B3486" s="397">
        <v>44474</v>
      </c>
      <c r="C3486" s="398" t="s">
        <v>6812</v>
      </c>
      <c r="D3486" s="399" t="s">
        <v>6813</v>
      </c>
      <c r="E3486" s="399" t="s">
        <v>6814</v>
      </c>
      <c r="F3486" s="400">
        <v>300000</v>
      </c>
      <c r="G3486" s="401" t="s">
        <v>3800</v>
      </c>
      <c r="H3486" s="402">
        <v>111.62773031198941</v>
      </c>
      <c r="I3486" s="402"/>
      <c r="J3486" s="400"/>
      <c r="K3486" s="400"/>
      <c r="L3486" s="400"/>
      <c r="M3486" s="400"/>
      <c r="N3486" s="400">
        <f t="shared" si="150"/>
        <v>111.62773031198941</v>
      </c>
    </row>
    <row r="3487" spans="1:14" s="360" customFormat="1" hidden="1" outlineLevel="2" x14ac:dyDescent="0.35">
      <c r="A3487" s="403" t="s">
        <v>3861</v>
      </c>
      <c r="B3487" s="397">
        <v>44474</v>
      </c>
      <c r="C3487" s="398" t="s">
        <v>6815</v>
      </c>
      <c r="D3487" s="399" t="s">
        <v>6816</v>
      </c>
      <c r="E3487" s="399" t="s">
        <v>6177</v>
      </c>
      <c r="F3487" s="400">
        <v>300000</v>
      </c>
      <c r="G3487" s="401" t="s">
        <v>3800</v>
      </c>
      <c r="H3487" s="402">
        <v>111.62773031198941</v>
      </c>
      <c r="I3487" s="402"/>
      <c r="J3487" s="400"/>
      <c r="K3487" s="400"/>
      <c r="L3487" s="400"/>
      <c r="M3487" s="400"/>
      <c r="N3487" s="400">
        <f t="shared" si="150"/>
        <v>111.62773031198941</v>
      </c>
    </row>
    <row r="3488" spans="1:14" s="360" customFormat="1" hidden="1" outlineLevel="2" collapsed="1" x14ac:dyDescent="0.35">
      <c r="A3488" s="403" t="s">
        <v>3861</v>
      </c>
      <c r="B3488" s="397">
        <v>44474</v>
      </c>
      <c r="C3488" s="398" t="s">
        <v>6817</v>
      </c>
      <c r="D3488" s="399" t="s">
        <v>6818</v>
      </c>
      <c r="E3488" s="399" t="s">
        <v>6819</v>
      </c>
      <c r="F3488" s="400">
        <v>300000</v>
      </c>
      <c r="G3488" s="401" t="s">
        <v>3800</v>
      </c>
      <c r="H3488" s="402">
        <v>111.62773031198941</v>
      </c>
      <c r="I3488" s="402"/>
      <c r="J3488" s="400"/>
      <c r="K3488" s="400"/>
      <c r="L3488" s="400"/>
      <c r="M3488" s="400"/>
      <c r="N3488" s="400">
        <f t="shared" si="150"/>
        <v>111.62773031198941</v>
      </c>
    </row>
    <row r="3489" spans="1:14" s="360" customFormat="1" hidden="1" outlineLevel="2" x14ac:dyDescent="0.35">
      <c r="A3489" s="403" t="s">
        <v>3861</v>
      </c>
      <c r="B3489" s="397">
        <v>44474</v>
      </c>
      <c r="C3489" s="398" t="s">
        <v>6820</v>
      </c>
      <c r="D3489" s="399" t="s">
        <v>6821</v>
      </c>
      <c r="E3489" s="399" t="s">
        <v>6822</v>
      </c>
      <c r="F3489" s="400">
        <v>260000</v>
      </c>
      <c r="G3489" s="401" t="s">
        <v>3800</v>
      </c>
      <c r="H3489" s="402">
        <v>96.744032937057497</v>
      </c>
      <c r="I3489" s="402"/>
      <c r="J3489" s="400"/>
      <c r="K3489" s="400"/>
      <c r="L3489" s="400"/>
      <c r="M3489" s="400"/>
      <c r="N3489" s="400">
        <f t="shared" si="150"/>
        <v>96.744032937057497</v>
      </c>
    </row>
    <row r="3490" spans="1:14" s="360" customFormat="1" hidden="1" outlineLevel="2" x14ac:dyDescent="0.35">
      <c r="A3490" s="403" t="s">
        <v>3861</v>
      </c>
      <c r="B3490" s="397">
        <v>44474</v>
      </c>
      <c r="C3490" s="398" t="s">
        <v>6823</v>
      </c>
      <c r="D3490" s="399" t="s">
        <v>6824</v>
      </c>
      <c r="E3490" s="399" t="s">
        <v>6825</v>
      </c>
      <c r="F3490" s="400">
        <v>260000</v>
      </c>
      <c r="G3490" s="401" t="s">
        <v>3800</v>
      </c>
      <c r="H3490" s="402">
        <v>96.744032937057497</v>
      </c>
      <c r="I3490" s="402"/>
      <c r="J3490" s="400"/>
      <c r="K3490" s="400"/>
      <c r="L3490" s="400"/>
      <c r="M3490" s="400"/>
      <c r="N3490" s="400">
        <f t="shared" si="150"/>
        <v>96.744032937057497</v>
      </c>
    </row>
    <row r="3491" spans="1:14" s="360" customFormat="1" hidden="1" outlineLevel="2" x14ac:dyDescent="0.35">
      <c r="A3491" s="403" t="s">
        <v>3861</v>
      </c>
      <c r="B3491" s="397">
        <v>44474</v>
      </c>
      <c r="C3491" s="398" t="s">
        <v>6823</v>
      </c>
      <c r="D3491" s="399" t="s">
        <v>6826</v>
      </c>
      <c r="E3491" s="399" t="s">
        <v>2851</v>
      </c>
      <c r="F3491" s="400">
        <v>13450</v>
      </c>
      <c r="G3491" s="401" t="s">
        <v>3800</v>
      </c>
      <c r="H3491" s="402">
        <v>5.0046432423208591</v>
      </c>
      <c r="I3491" s="402"/>
      <c r="J3491" s="400"/>
      <c r="K3491" s="400"/>
      <c r="L3491" s="400"/>
      <c r="M3491" s="400"/>
      <c r="N3491" s="400">
        <f t="shared" si="150"/>
        <v>5.0046432423208591</v>
      </c>
    </row>
    <row r="3492" spans="1:14" s="360" customFormat="1" hidden="1" outlineLevel="2" x14ac:dyDescent="0.35">
      <c r="A3492" s="403" t="s">
        <v>3861</v>
      </c>
      <c r="B3492" s="397">
        <v>44476</v>
      </c>
      <c r="C3492" s="398" t="s">
        <v>6827</v>
      </c>
      <c r="D3492" s="399" t="s">
        <v>6828</v>
      </c>
      <c r="E3492" s="399" t="s">
        <v>6819</v>
      </c>
      <c r="F3492" s="400">
        <v>300000</v>
      </c>
      <c r="G3492" s="401" t="s">
        <v>3800</v>
      </c>
      <c r="H3492" s="402">
        <v>111.62773031198941</v>
      </c>
      <c r="I3492" s="402"/>
      <c r="J3492" s="400"/>
      <c r="K3492" s="400"/>
      <c r="L3492" s="400"/>
      <c r="M3492" s="400"/>
      <c r="N3492" s="400">
        <f t="shared" si="150"/>
        <v>111.62773031198941</v>
      </c>
    </row>
    <row r="3493" spans="1:14" s="360" customFormat="1" hidden="1" outlineLevel="2" x14ac:dyDescent="0.35">
      <c r="A3493" s="403" t="s">
        <v>3861</v>
      </c>
      <c r="B3493" s="397">
        <v>44476</v>
      </c>
      <c r="C3493" s="398" t="s">
        <v>6829</v>
      </c>
      <c r="D3493" s="399" t="s">
        <v>6830</v>
      </c>
      <c r="E3493" s="399" t="s">
        <v>6177</v>
      </c>
      <c r="F3493" s="400">
        <v>300000</v>
      </c>
      <c r="G3493" s="401" t="s">
        <v>3800</v>
      </c>
      <c r="H3493" s="402">
        <v>111.62773031198941</v>
      </c>
      <c r="I3493" s="402"/>
      <c r="J3493" s="400"/>
      <c r="K3493" s="400"/>
      <c r="L3493" s="400"/>
      <c r="M3493" s="400"/>
      <c r="N3493" s="400">
        <f t="shared" si="150"/>
        <v>111.62773031198941</v>
      </c>
    </row>
    <row r="3494" spans="1:14" s="360" customFormat="1" hidden="1" outlineLevel="2" x14ac:dyDescent="0.35">
      <c r="A3494" s="403" t="s">
        <v>3861</v>
      </c>
      <c r="B3494" s="397">
        <v>44476</v>
      </c>
      <c r="C3494" s="398" t="s">
        <v>6831</v>
      </c>
      <c r="D3494" s="399" t="s">
        <v>6830</v>
      </c>
      <c r="E3494" s="399" t="s">
        <v>6814</v>
      </c>
      <c r="F3494" s="400">
        <v>300000</v>
      </c>
      <c r="G3494" s="401" t="s">
        <v>3800</v>
      </c>
      <c r="H3494" s="402">
        <v>111.62773031198941</v>
      </c>
      <c r="I3494" s="402"/>
      <c r="J3494" s="400"/>
      <c r="K3494" s="400"/>
      <c r="L3494" s="400"/>
      <c r="M3494" s="400"/>
      <c r="N3494" s="400">
        <f t="shared" si="150"/>
        <v>111.62773031198941</v>
      </c>
    </row>
    <row r="3495" spans="1:14" s="360" customFormat="1" hidden="1" outlineLevel="2" x14ac:dyDescent="0.35">
      <c r="A3495" s="403" t="s">
        <v>3861</v>
      </c>
      <c r="B3495" s="397">
        <v>44484</v>
      </c>
      <c r="C3495" s="398" t="s">
        <v>6832</v>
      </c>
      <c r="D3495" s="399" t="s">
        <v>6833</v>
      </c>
      <c r="E3495" s="399" t="s">
        <v>6834</v>
      </c>
      <c r="F3495" s="400">
        <v>1760000</v>
      </c>
      <c r="G3495" s="401" t="s">
        <v>3800</v>
      </c>
      <c r="H3495" s="402">
        <v>654.88268449700456</v>
      </c>
      <c r="I3495" s="402"/>
      <c r="J3495" s="400"/>
      <c r="K3495" s="400"/>
      <c r="L3495" s="400"/>
      <c r="M3495" s="400"/>
      <c r="N3495" s="400">
        <f t="shared" si="150"/>
        <v>654.88268449700456</v>
      </c>
    </row>
    <row r="3496" spans="1:14" s="360" customFormat="1" hidden="1" outlineLevel="2" x14ac:dyDescent="0.35">
      <c r="A3496" s="403" t="s">
        <v>3861</v>
      </c>
      <c r="B3496" s="397">
        <v>44486</v>
      </c>
      <c r="C3496" s="398" t="s">
        <v>6835</v>
      </c>
      <c r="D3496" s="399" t="s">
        <v>6836</v>
      </c>
      <c r="E3496" s="399" t="s">
        <v>6819</v>
      </c>
      <c r="F3496" s="400">
        <v>900000</v>
      </c>
      <c r="G3496" s="401" t="s">
        <v>3800</v>
      </c>
      <c r="H3496" s="402">
        <v>334.88319093596823</v>
      </c>
      <c r="I3496" s="402"/>
      <c r="J3496" s="400"/>
      <c r="K3496" s="400"/>
      <c r="L3496" s="400"/>
      <c r="M3496" s="400"/>
      <c r="N3496" s="400">
        <f t="shared" si="150"/>
        <v>334.88319093596823</v>
      </c>
    </row>
    <row r="3497" spans="1:14" s="360" customFormat="1" hidden="1" outlineLevel="2" x14ac:dyDescent="0.35">
      <c r="A3497" s="403" t="s">
        <v>3861</v>
      </c>
      <c r="B3497" s="397">
        <v>44486</v>
      </c>
      <c r="C3497" s="398" t="s">
        <v>6837</v>
      </c>
      <c r="D3497" s="399" t="s">
        <v>6836</v>
      </c>
      <c r="E3497" s="399" t="s">
        <v>6838</v>
      </c>
      <c r="F3497" s="400">
        <v>900000</v>
      </c>
      <c r="G3497" s="401" t="s">
        <v>3800</v>
      </c>
      <c r="H3497" s="402">
        <v>334.88319093596823</v>
      </c>
      <c r="I3497" s="402"/>
      <c r="J3497" s="400"/>
      <c r="K3497" s="400"/>
      <c r="L3497" s="400"/>
      <c r="M3497" s="400"/>
      <c r="N3497" s="400">
        <f t="shared" si="150"/>
        <v>334.88319093596823</v>
      </c>
    </row>
    <row r="3498" spans="1:14" s="360" customFormat="1" hidden="1" outlineLevel="2" x14ac:dyDescent="0.35">
      <c r="A3498" s="403" t="s">
        <v>3861</v>
      </c>
      <c r="B3498" s="397">
        <v>44498</v>
      </c>
      <c r="C3498" s="398" t="s">
        <v>6839</v>
      </c>
      <c r="D3498" s="399" t="s">
        <v>6840</v>
      </c>
      <c r="E3498" s="399" t="s">
        <v>6177</v>
      </c>
      <c r="F3498" s="400">
        <v>150000</v>
      </c>
      <c r="G3498" s="401" t="s">
        <v>3800</v>
      </c>
      <c r="H3498" s="402">
        <v>55.813865155994705</v>
      </c>
      <c r="I3498" s="402"/>
      <c r="J3498" s="400"/>
      <c r="K3498" s="400"/>
      <c r="L3498" s="400"/>
      <c r="M3498" s="400"/>
      <c r="N3498" s="400">
        <f t="shared" si="150"/>
        <v>55.813865155994705</v>
      </c>
    </row>
    <row r="3499" spans="1:14" s="360" customFormat="1" hidden="1" outlineLevel="2" x14ac:dyDescent="0.35">
      <c r="A3499" s="403" t="s">
        <v>3861</v>
      </c>
      <c r="B3499" s="397">
        <v>44526</v>
      </c>
      <c r="C3499" s="398" t="s">
        <v>6841</v>
      </c>
      <c r="D3499" s="399" t="s">
        <v>6842</v>
      </c>
      <c r="E3499" s="399" t="s">
        <v>4487</v>
      </c>
      <c r="F3499" s="400">
        <v>1084000</v>
      </c>
      <c r="G3499" s="401" t="s">
        <v>3800</v>
      </c>
      <c r="H3499" s="402">
        <v>403.34819886065509</v>
      </c>
      <c r="I3499" s="402"/>
      <c r="J3499" s="400"/>
      <c r="K3499" s="400"/>
      <c r="L3499" s="400"/>
      <c r="M3499" s="400"/>
      <c r="N3499" s="400">
        <f t="shared" si="150"/>
        <v>403.34819886065509</v>
      </c>
    </row>
    <row r="3500" spans="1:14" s="360" customFormat="1" hidden="1" outlineLevel="2" x14ac:dyDescent="0.35">
      <c r="A3500" s="403" t="s">
        <v>3861</v>
      </c>
      <c r="B3500" s="397">
        <v>44571</v>
      </c>
      <c r="C3500" s="398" t="s">
        <v>6843</v>
      </c>
      <c r="D3500" s="399" t="s">
        <v>6844</v>
      </c>
      <c r="E3500" s="399" t="s">
        <v>6822</v>
      </c>
      <c r="F3500" s="400">
        <v>150000</v>
      </c>
      <c r="G3500" s="401" t="s">
        <v>3800</v>
      </c>
      <c r="H3500" s="402">
        <v>55.813865155994705</v>
      </c>
      <c r="I3500" s="402"/>
      <c r="J3500" s="400"/>
      <c r="K3500" s="400"/>
      <c r="L3500" s="400"/>
      <c r="M3500" s="400"/>
      <c r="N3500" s="400">
        <v>55.813865155994705</v>
      </c>
    </row>
    <row r="3501" spans="1:14" s="360" customFormat="1" hidden="1" outlineLevel="2" x14ac:dyDescent="0.35">
      <c r="A3501" s="403" t="s">
        <v>3861</v>
      </c>
      <c r="B3501" s="397">
        <v>44571</v>
      </c>
      <c r="C3501" s="398" t="s">
        <v>6843</v>
      </c>
      <c r="D3501" s="399" t="s">
        <v>6845</v>
      </c>
      <c r="E3501" s="399" t="s">
        <v>6822</v>
      </c>
      <c r="F3501" s="400">
        <v>6500</v>
      </c>
      <c r="G3501" s="401" t="s">
        <v>3800</v>
      </c>
      <c r="H3501" s="402">
        <v>2.4186008234264373</v>
      </c>
      <c r="I3501" s="402"/>
      <c r="J3501" s="400"/>
      <c r="K3501" s="400"/>
      <c r="L3501" s="400"/>
      <c r="M3501" s="400"/>
      <c r="N3501" s="400">
        <v>2.4186008234264373</v>
      </c>
    </row>
    <row r="3502" spans="1:14" s="360" customFormat="1" hidden="1" outlineLevel="2" collapsed="1" x14ac:dyDescent="0.35">
      <c r="A3502" s="403" t="s">
        <v>3861</v>
      </c>
      <c r="B3502" s="397">
        <v>44571</v>
      </c>
      <c r="C3502" s="398" t="s">
        <v>6846</v>
      </c>
      <c r="D3502" s="399" t="s">
        <v>6847</v>
      </c>
      <c r="E3502" s="399" t="s">
        <v>6177</v>
      </c>
      <c r="F3502" s="400">
        <v>300000</v>
      </c>
      <c r="G3502" s="401" t="s">
        <v>3800</v>
      </c>
      <c r="H3502" s="402">
        <v>111.62773031198941</v>
      </c>
      <c r="I3502" s="402"/>
      <c r="J3502" s="400"/>
      <c r="K3502" s="400"/>
      <c r="L3502" s="400"/>
      <c r="M3502" s="400"/>
      <c r="N3502" s="400">
        <v>111.62773031198941</v>
      </c>
    </row>
    <row r="3503" spans="1:14" s="360" customFormat="1" hidden="1" outlineLevel="2" x14ac:dyDescent="0.35">
      <c r="A3503" s="403" t="s">
        <v>3861</v>
      </c>
      <c r="B3503" s="397">
        <v>44571</v>
      </c>
      <c r="C3503" s="398" t="s">
        <v>6848</v>
      </c>
      <c r="D3503" s="399" t="s">
        <v>6849</v>
      </c>
      <c r="E3503" s="399" t="s">
        <v>4517</v>
      </c>
      <c r="F3503" s="400">
        <v>480000</v>
      </c>
      <c r="G3503" s="401" t="s">
        <v>3800</v>
      </c>
      <c r="H3503" s="402">
        <v>178.60436849918307</v>
      </c>
      <c r="I3503" s="402"/>
      <c r="J3503" s="400"/>
      <c r="K3503" s="400"/>
      <c r="L3503" s="400"/>
      <c r="M3503" s="400"/>
      <c r="N3503" s="400">
        <v>178.60436849918307</v>
      </c>
    </row>
    <row r="3504" spans="1:14" s="360" customFormat="1" hidden="1" outlineLevel="2" collapsed="1" x14ac:dyDescent="0.35">
      <c r="A3504" s="403" t="s">
        <v>3861</v>
      </c>
      <c r="B3504" s="397">
        <v>44571</v>
      </c>
      <c r="C3504" s="398" t="s">
        <v>6850</v>
      </c>
      <c r="D3504" s="399" t="s">
        <v>6851</v>
      </c>
      <c r="E3504" s="399" t="s">
        <v>6814</v>
      </c>
      <c r="F3504" s="400">
        <v>150000</v>
      </c>
      <c r="G3504" s="401" t="s">
        <v>3800</v>
      </c>
      <c r="H3504" s="402">
        <v>55.813865155994705</v>
      </c>
      <c r="I3504" s="402"/>
      <c r="J3504" s="400"/>
      <c r="K3504" s="400"/>
      <c r="L3504" s="400"/>
      <c r="M3504" s="400"/>
      <c r="N3504" s="400">
        <v>55.813865155994705</v>
      </c>
    </row>
    <row r="3505" spans="1:14" s="360" customFormat="1" hidden="1" outlineLevel="2" x14ac:dyDescent="0.35">
      <c r="A3505" s="403" t="s">
        <v>3861</v>
      </c>
      <c r="B3505" s="397">
        <v>44579</v>
      </c>
      <c r="C3505" s="398" t="s">
        <v>6852</v>
      </c>
      <c r="D3505" s="399" t="s">
        <v>6853</v>
      </c>
      <c r="E3505" s="399" t="s">
        <v>6854</v>
      </c>
      <c r="F3505" s="400">
        <v>300000</v>
      </c>
      <c r="G3505" s="401" t="s">
        <v>3800</v>
      </c>
      <c r="H3505" s="402">
        <v>111.62773031198941</v>
      </c>
      <c r="I3505" s="402"/>
      <c r="J3505" s="400"/>
      <c r="K3505" s="400"/>
      <c r="L3505" s="400"/>
      <c r="M3505" s="400"/>
      <c r="N3505" s="400">
        <v>111.62773031198941</v>
      </c>
    </row>
    <row r="3506" spans="1:14" s="360" customFormat="1" hidden="1" outlineLevel="2" x14ac:dyDescent="0.35">
      <c r="A3506" s="403" t="s">
        <v>3861</v>
      </c>
      <c r="B3506" s="397">
        <v>44588</v>
      </c>
      <c r="C3506" s="398" t="s">
        <v>6855</v>
      </c>
      <c r="D3506" s="399" t="s">
        <v>6856</v>
      </c>
      <c r="E3506" s="399" t="s">
        <v>6819</v>
      </c>
      <c r="F3506" s="400">
        <v>300000</v>
      </c>
      <c r="G3506" s="401" t="s">
        <v>3800</v>
      </c>
      <c r="H3506" s="402">
        <v>111.62773031198941</v>
      </c>
      <c r="I3506" s="402"/>
      <c r="J3506" s="400"/>
      <c r="K3506" s="400"/>
      <c r="L3506" s="400"/>
      <c r="M3506" s="400"/>
      <c r="N3506" s="400">
        <v>111.62773031198941</v>
      </c>
    </row>
    <row r="3507" spans="1:14" s="360" customFormat="1" outlineLevel="1" collapsed="1" x14ac:dyDescent="0.35">
      <c r="A3507" s="396" t="s">
        <v>6857</v>
      </c>
      <c r="B3507" s="397"/>
      <c r="C3507" s="398"/>
      <c r="D3507" s="399"/>
      <c r="E3507" s="399"/>
      <c r="F3507" s="400"/>
      <c r="G3507" s="401"/>
      <c r="H3507" s="402">
        <f t="shared" ref="H3507:N3507" si="151">SUBTOTAL(9,H3483:H3506)</f>
        <v>3947.0601718914436</v>
      </c>
      <c r="I3507" s="402"/>
      <c r="J3507" s="400">
        <f t="shared" si="151"/>
        <v>0</v>
      </c>
      <c r="K3507" s="400">
        <f t="shared" si="151"/>
        <v>0</v>
      </c>
      <c r="L3507" s="400">
        <f t="shared" si="151"/>
        <v>0</v>
      </c>
      <c r="M3507" s="400">
        <f t="shared" si="151"/>
        <v>0</v>
      </c>
      <c r="N3507" s="400">
        <f t="shared" si="151"/>
        <v>3947.0601718914436</v>
      </c>
    </row>
    <row r="3508" spans="1:14" s="360" customFormat="1" hidden="1" outlineLevel="2" x14ac:dyDescent="0.35">
      <c r="A3508" s="403" t="s">
        <v>3830</v>
      </c>
      <c r="B3508" s="397">
        <v>44579</v>
      </c>
      <c r="C3508" s="398" t="s">
        <v>6858</v>
      </c>
      <c r="D3508" s="399" t="s">
        <v>6859</v>
      </c>
      <c r="E3508" s="399" t="s">
        <v>6860</v>
      </c>
      <c r="F3508" s="400">
        <v>1053150</v>
      </c>
      <c r="G3508" s="401" t="s">
        <v>3800</v>
      </c>
      <c r="H3508" s="402">
        <v>391.86914726023883</v>
      </c>
      <c r="I3508" s="402"/>
      <c r="J3508" s="400"/>
      <c r="K3508" s="400"/>
      <c r="L3508" s="400"/>
      <c r="M3508" s="400"/>
      <c r="N3508" s="400">
        <v>391.86914726023883</v>
      </c>
    </row>
    <row r="3509" spans="1:14" s="360" customFormat="1" outlineLevel="1" collapsed="1" x14ac:dyDescent="0.35">
      <c r="A3509" s="396" t="s">
        <v>6861</v>
      </c>
      <c r="B3509" s="397"/>
      <c r="C3509" s="398"/>
      <c r="D3509" s="399"/>
      <c r="E3509" s="399"/>
      <c r="F3509" s="400"/>
      <c r="G3509" s="401"/>
      <c r="H3509" s="402">
        <f t="shared" ref="H3509:N3509" si="152">SUBTOTAL(9,H3508:H3508)</f>
        <v>391.86914726023883</v>
      </c>
      <c r="I3509" s="402"/>
      <c r="J3509" s="400">
        <f t="shared" si="152"/>
        <v>0</v>
      </c>
      <c r="K3509" s="400">
        <f t="shared" si="152"/>
        <v>0</v>
      </c>
      <c r="L3509" s="400">
        <f t="shared" si="152"/>
        <v>0</v>
      </c>
      <c r="M3509" s="400">
        <f t="shared" si="152"/>
        <v>0</v>
      </c>
      <c r="N3509" s="400">
        <f t="shared" si="152"/>
        <v>391.86914726023883</v>
      </c>
    </row>
    <row r="3510" spans="1:14" s="360" customFormat="1" hidden="1" outlineLevel="2" x14ac:dyDescent="0.35">
      <c r="A3510" s="403" t="s">
        <v>3957</v>
      </c>
      <c r="B3510" s="397">
        <v>44427</v>
      </c>
      <c r="C3510" s="398" t="s">
        <v>6862</v>
      </c>
      <c r="D3510" s="399" t="s">
        <v>6863</v>
      </c>
      <c r="E3510" s="399" t="s">
        <v>6864</v>
      </c>
      <c r="F3510" s="400">
        <v>10800000</v>
      </c>
      <c r="G3510" s="401" t="s">
        <v>3800</v>
      </c>
      <c r="H3510" s="402">
        <v>4018.598291231619</v>
      </c>
      <c r="I3510" s="402"/>
      <c r="J3510" s="400"/>
      <c r="K3510" s="400"/>
      <c r="L3510" s="400"/>
      <c r="M3510" s="400"/>
      <c r="N3510" s="400">
        <f t="shared" ref="N3510:N3526" si="153">H3510</f>
        <v>4018.598291231619</v>
      </c>
    </row>
    <row r="3511" spans="1:14" s="360" customFormat="1" hidden="1" outlineLevel="2" x14ac:dyDescent="0.35">
      <c r="A3511" s="403" t="s">
        <v>3957</v>
      </c>
      <c r="B3511" s="397">
        <v>44427</v>
      </c>
      <c r="C3511" s="398" t="s">
        <v>6862</v>
      </c>
      <c r="D3511" s="399" t="s">
        <v>6865</v>
      </c>
      <c r="E3511" s="399" t="s">
        <v>6866</v>
      </c>
      <c r="F3511" s="400">
        <v>40000</v>
      </c>
      <c r="G3511" s="401" t="s">
        <v>3800</v>
      </c>
      <c r="H3511" s="402">
        <v>14.883697374931922</v>
      </c>
      <c r="I3511" s="402"/>
      <c r="J3511" s="400"/>
      <c r="K3511" s="400"/>
      <c r="L3511" s="400"/>
      <c r="M3511" s="400"/>
      <c r="N3511" s="400">
        <f t="shared" si="153"/>
        <v>14.883697374931922</v>
      </c>
    </row>
    <row r="3512" spans="1:14" s="360" customFormat="1" hidden="1" outlineLevel="2" x14ac:dyDescent="0.35">
      <c r="A3512" s="403" t="s">
        <v>3957</v>
      </c>
      <c r="B3512" s="397">
        <v>44427</v>
      </c>
      <c r="C3512" s="398" t="s">
        <v>6862</v>
      </c>
      <c r="D3512" s="399" t="s">
        <v>6867</v>
      </c>
      <c r="E3512" s="399" t="s">
        <v>6636</v>
      </c>
      <c r="F3512" s="400">
        <v>120000</v>
      </c>
      <c r="G3512" s="401" t="s">
        <v>3800</v>
      </c>
      <c r="H3512" s="402">
        <v>44.651092124795767</v>
      </c>
      <c r="I3512" s="402"/>
      <c r="J3512" s="400"/>
      <c r="K3512" s="400"/>
      <c r="L3512" s="400"/>
      <c r="M3512" s="400"/>
      <c r="N3512" s="400">
        <f t="shared" si="153"/>
        <v>44.651092124795767</v>
      </c>
    </row>
    <row r="3513" spans="1:14" s="360" customFormat="1" hidden="1" outlineLevel="2" x14ac:dyDescent="0.35">
      <c r="A3513" s="403" t="s">
        <v>3957</v>
      </c>
      <c r="B3513" s="397">
        <v>44427</v>
      </c>
      <c r="C3513" s="398" t="s">
        <v>6862</v>
      </c>
      <c r="D3513" s="399" t="s">
        <v>6868</v>
      </c>
      <c r="E3513" s="399" t="s">
        <v>6869</v>
      </c>
      <c r="F3513" s="400">
        <v>60000</v>
      </c>
      <c r="G3513" s="401" t="s">
        <v>3800</v>
      </c>
      <c r="H3513" s="402">
        <v>22.325546062397883</v>
      </c>
      <c r="I3513" s="402"/>
      <c r="J3513" s="400"/>
      <c r="K3513" s="400"/>
      <c r="L3513" s="400"/>
      <c r="M3513" s="400"/>
      <c r="N3513" s="400">
        <f t="shared" si="153"/>
        <v>22.325546062397883</v>
      </c>
    </row>
    <row r="3514" spans="1:14" s="360" customFormat="1" hidden="1" outlineLevel="2" collapsed="1" x14ac:dyDescent="0.35">
      <c r="A3514" s="403" t="s">
        <v>3957</v>
      </c>
      <c r="B3514" s="397">
        <v>44438</v>
      </c>
      <c r="C3514" s="398" t="s">
        <v>6870</v>
      </c>
      <c r="D3514" s="399" t="s">
        <v>6871</v>
      </c>
      <c r="E3514" s="399" t="s">
        <v>6872</v>
      </c>
      <c r="F3514" s="400">
        <v>400000</v>
      </c>
      <c r="G3514" s="401" t="s">
        <v>3800</v>
      </c>
      <c r="H3514" s="402">
        <v>148.83697374931921</v>
      </c>
      <c r="I3514" s="402"/>
      <c r="J3514" s="400"/>
      <c r="K3514" s="400"/>
      <c r="L3514" s="400"/>
      <c r="M3514" s="400"/>
      <c r="N3514" s="400">
        <f t="shared" si="153"/>
        <v>148.83697374931921</v>
      </c>
    </row>
    <row r="3515" spans="1:14" s="360" customFormat="1" hidden="1" outlineLevel="2" x14ac:dyDescent="0.35">
      <c r="A3515" s="403" t="s">
        <v>3957</v>
      </c>
      <c r="B3515" s="397">
        <v>44454</v>
      </c>
      <c r="C3515" s="398" t="s">
        <v>6873</v>
      </c>
      <c r="D3515" s="399" t="s">
        <v>6620</v>
      </c>
      <c r="E3515" s="399" t="s">
        <v>6874</v>
      </c>
      <c r="F3515" s="400">
        <v>400000</v>
      </c>
      <c r="G3515" s="401" t="s">
        <v>3800</v>
      </c>
      <c r="H3515" s="402">
        <v>148.83697374931921</v>
      </c>
      <c r="I3515" s="402"/>
      <c r="J3515" s="400"/>
      <c r="K3515" s="400"/>
      <c r="L3515" s="400"/>
      <c r="M3515" s="400"/>
      <c r="N3515" s="400">
        <f t="shared" si="153"/>
        <v>148.83697374931921</v>
      </c>
    </row>
    <row r="3516" spans="1:14" s="360" customFormat="1" hidden="1" outlineLevel="2" x14ac:dyDescent="0.35">
      <c r="A3516" s="403" t="s">
        <v>3957</v>
      </c>
      <c r="B3516" s="397">
        <v>44454</v>
      </c>
      <c r="C3516" s="398" t="s">
        <v>6875</v>
      </c>
      <c r="D3516" s="399" t="s">
        <v>6620</v>
      </c>
      <c r="E3516" s="399" t="s">
        <v>6876</v>
      </c>
      <c r="F3516" s="400">
        <v>400000</v>
      </c>
      <c r="G3516" s="401" t="s">
        <v>3800</v>
      </c>
      <c r="H3516" s="402">
        <v>148.83697374931921</v>
      </c>
      <c r="I3516" s="402"/>
      <c r="J3516" s="400"/>
      <c r="K3516" s="400"/>
      <c r="L3516" s="400"/>
      <c r="M3516" s="400"/>
      <c r="N3516" s="400">
        <f t="shared" si="153"/>
        <v>148.83697374931921</v>
      </c>
    </row>
    <row r="3517" spans="1:14" s="360" customFormat="1" hidden="1" outlineLevel="2" x14ac:dyDescent="0.35">
      <c r="A3517" s="403" t="s">
        <v>3957</v>
      </c>
      <c r="B3517" s="397">
        <v>44454</v>
      </c>
      <c r="C3517" s="398" t="s">
        <v>6877</v>
      </c>
      <c r="D3517" s="399" t="s">
        <v>6620</v>
      </c>
      <c r="E3517" s="399" t="s">
        <v>6872</v>
      </c>
      <c r="F3517" s="400">
        <v>400000</v>
      </c>
      <c r="G3517" s="401" t="s">
        <v>3800</v>
      </c>
      <c r="H3517" s="402">
        <v>148.83697374931921</v>
      </c>
      <c r="I3517" s="402"/>
      <c r="J3517" s="400"/>
      <c r="K3517" s="400"/>
      <c r="L3517" s="400"/>
      <c r="M3517" s="400"/>
      <c r="N3517" s="400">
        <f t="shared" si="153"/>
        <v>148.83697374931921</v>
      </c>
    </row>
    <row r="3518" spans="1:14" s="360" customFormat="1" hidden="1" outlineLevel="2" x14ac:dyDescent="0.35">
      <c r="A3518" s="403" t="s">
        <v>3957</v>
      </c>
      <c r="B3518" s="397">
        <v>44474</v>
      </c>
      <c r="C3518" s="398" t="s">
        <v>6878</v>
      </c>
      <c r="D3518" s="399" t="s">
        <v>4891</v>
      </c>
      <c r="E3518" s="399" t="s">
        <v>6879</v>
      </c>
      <c r="F3518" s="400">
        <v>143000</v>
      </c>
      <c r="G3518" s="401" t="s">
        <v>3800</v>
      </c>
      <c r="H3518" s="402">
        <v>53.209218115381624</v>
      </c>
      <c r="I3518" s="402"/>
      <c r="J3518" s="400"/>
      <c r="K3518" s="400"/>
      <c r="L3518" s="400"/>
      <c r="M3518" s="400"/>
      <c r="N3518" s="400">
        <f t="shared" si="153"/>
        <v>53.209218115381624</v>
      </c>
    </row>
    <row r="3519" spans="1:14" s="360" customFormat="1" hidden="1" outlineLevel="2" x14ac:dyDescent="0.35">
      <c r="A3519" s="403" t="s">
        <v>3957</v>
      </c>
      <c r="B3519" s="397">
        <v>44474</v>
      </c>
      <c r="C3519" s="398" t="s">
        <v>6880</v>
      </c>
      <c r="D3519" s="399" t="s">
        <v>4891</v>
      </c>
      <c r="E3519" s="399" t="s">
        <v>6879</v>
      </c>
      <c r="F3519" s="400">
        <v>1195500</v>
      </c>
      <c r="G3519" s="401" t="s">
        <v>3800</v>
      </c>
      <c r="H3519" s="402">
        <v>444.83650529327781</v>
      </c>
      <c r="I3519" s="402"/>
      <c r="J3519" s="400"/>
      <c r="K3519" s="400"/>
      <c r="L3519" s="400"/>
      <c r="M3519" s="400"/>
      <c r="N3519" s="400">
        <f t="shared" si="153"/>
        <v>444.83650529327781</v>
      </c>
    </row>
    <row r="3520" spans="1:14" s="360" customFormat="1" hidden="1" outlineLevel="2" x14ac:dyDescent="0.35">
      <c r="A3520" s="403" t="s">
        <v>3957</v>
      </c>
      <c r="B3520" s="397">
        <v>44476</v>
      </c>
      <c r="C3520" s="398" t="s">
        <v>6881</v>
      </c>
      <c r="D3520" s="399" t="s">
        <v>6882</v>
      </c>
      <c r="E3520" s="399" t="s">
        <v>6600</v>
      </c>
      <c r="F3520" s="400">
        <v>8970000</v>
      </c>
      <c r="G3520" s="401" t="s">
        <v>3800</v>
      </c>
      <c r="H3520" s="402">
        <v>3337.6691363284835</v>
      </c>
      <c r="I3520" s="402"/>
      <c r="J3520" s="400"/>
      <c r="K3520" s="400"/>
      <c r="L3520" s="400"/>
      <c r="M3520" s="400"/>
      <c r="N3520" s="400">
        <f t="shared" si="153"/>
        <v>3337.6691363284835</v>
      </c>
    </row>
    <row r="3521" spans="1:14" s="360" customFormat="1" hidden="1" outlineLevel="2" x14ac:dyDescent="0.35">
      <c r="A3521" s="403" t="s">
        <v>3957</v>
      </c>
      <c r="B3521" s="397">
        <v>44530</v>
      </c>
      <c r="C3521" s="398" t="s">
        <v>6883</v>
      </c>
      <c r="D3521" s="399" t="s">
        <v>6884</v>
      </c>
      <c r="E3521" s="399" t="s">
        <v>6885</v>
      </c>
      <c r="F3521" s="400">
        <v>480000</v>
      </c>
      <c r="G3521" s="401" t="s">
        <v>3800</v>
      </c>
      <c r="H3521" s="402">
        <v>178.60436849918307</v>
      </c>
      <c r="I3521" s="402"/>
      <c r="J3521" s="400"/>
      <c r="K3521" s="400"/>
      <c r="L3521" s="400"/>
      <c r="M3521" s="400"/>
      <c r="N3521" s="400">
        <f t="shared" si="153"/>
        <v>178.60436849918307</v>
      </c>
    </row>
    <row r="3522" spans="1:14" s="360" customFormat="1" hidden="1" outlineLevel="2" x14ac:dyDescent="0.35">
      <c r="A3522" s="403" t="s">
        <v>3957</v>
      </c>
      <c r="B3522" s="397">
        <v>44530</v>
      </c>
      <c r="C3522" s="398" t="s">
        <v>6883</v>
      </c>
      <c r="D3522" s="399" t="s">
        <v>6884</v>
      </c>
      <c r="E3522" s="399" t="s">
        <v>6886</v>
      </c>
      <c r="F3522" s="400">
        <v>480000</v>
      </c>
      <c r="G3522" s="401" t="s">
        <v>3800</v>
      </c>
      <c r="H3522" s="402">
        <v>178.60436849918307</v>
      </c>
      <c r="I3522" s="402"/>
      <c r="J3522" s="400"/>
      <c r="K3522" s="400"/>
      <c r="L3522" s="400"/>
      <c r="M3522" s="400"/>
      <c r="N3522" s="400">
        <f t="shared" si="153"/>
        <v>178.60436849918307</v>
      </c>
    </row>
    <row r="3523" spans="1:14" s="360" customFormat="1" hidden="1" outlineLevel="2" x14ac:dyDescent="0.35">
      <c r="A3523" s="403" t="s">
        <v>3957</v>
      </c>
      <c r="B3523" s="397">
        <v>44530</v>
      </c>
      <c r="C3523" s="398" t="s">
        <v>6883</v>
      </c>
      <c r="D3523" s="399" t="s">
        <v>6887</v>
      </c>
      <c r="E3523" s="399" t="s">
        <v>6888</v>
      </c>
      <c r="F3523" s="400">
        <v>120000</v>
      </c>
      <c r="G3523" s="401" t="s">
        <v>3800</v>
      </c>
      <c r="H3523" s="402">
        <v>44.651092124795767</v>
      </c>
      <c r="I3523" s="402"/>
      <c r="J3523" s="400"/>
      <c r="K3523" s="400"/>
      <c r="L3523" s="400"/>
      <c r="M3523" s="400"/>
      <c r="N3523" s="400">
        <f t="shared" si="153"/>
        <v>44.651092124795767</v>
      </c>
    </row>
    <row r="3524" spans="1:14" s="360" customFormat="1" hidden="1" outlineLevel="2" x14ac:dyDescent="0.35">
      <c r="A3524" s="403" t="s">
        <v>3957</v>
      </c>
      <c r="B3524" s="397">
        <v>44530</v>
      </c>
      <c r="C3524" s="398" t="s">
        <v>6883</v>
      </c>
      <c r="D3524" s="399" t="s">
        <v>6889</v>
      </c>
      <c r="E3524" s="399" t="s">
        <v>6890</v>
      </c>
      <c r="F3524" s="400">
        <v>90000</v>
      </c>
      <c r="G3524" s="401" t="s">
        <v>3800</v>
      </c>
      <c r="H3524" s="402">
        <v>33.488319093596822</v>
      </c>
      <c r="I3524" s="402"/>
      <c r="J3524" s="400"/>
      <c r="K3524" s="400"/>
      <c r="L3524" s="400"/>
      <c r="M3524" s="400"/>
      <c r="N3524" s="400">
        <f t="shared" si="153"/>
        <v>33.488319093596822</v>
      </c>
    </row>
    <row r="3525" spans="1:14" s="360" customFormat="1" hidden="1" outlineLevel="2" x14ac:dyDescent="0.35">
      <c r="A3525" s="403" t="s">
        <v>3957</v>
      </c>
      <c r="B3525" s="397">
        <v>44539</v>
      </c>
      <c r="C3525" s="398" t="s">
        <v>6891</v>
      </c>
      <c r="D3525" s="399" t="s">
        <v>6892</v>
      </c>
      <c r="E3525" s="399" t="s">
        <v>6893</v>
      </c>
      <c r="F3525" s="400">
        <v>2300000</v>
      </c>
      <c r="G3525" s="401" t="s">
        <v>3800</v>
      </c>
      <c r="H3525" s="402">
        <v>855.81259905858553</v>
      </c>
      <c r="I3525" s="402"/>
      <c r="J3525" s="400"/>
      <c r="K3525" s="400"/>
      <c r="L3525" s="400"/>
      <c r="M3525" s="400"/>
      <c r="N3525" s="400">
        <f t="shared" si="153"/>
        <v>855.81259905858553</v>
      </c>
    </row>
    <row r="3526" spans="1:14" s="360" customFormat="1" hidden="1" outlineLevel="2" x14ac:dyDescent="0.35">
      <c r="A3526" s="403" t="s">
        <v>3957</v>
      </c>
      <c r="B3526" s="397">
        <v>44552</v>
      </c>
      <c r="C3526" s="398" t="s">
        <v>6894</v>
      </c>
      <c r="D3526" s="399" t="s">
        <v>6895</v>
      </c>
      <c r="E3526" s="399" t="s">
        <v>6896</v>
      </c>
      <c r="F3526" s="400">
        <v>802500</v>
      </c>
      <c r="G3526" s="401" t="s">
        <v>3800</v>
      </c>
      <c r="H3526" s="402">
        <v>298.60417858457168</v>
      </c>
      <c r="I3526" s="402"/>
      <c r="J3526" s="400"/>
      <c r="K3526" s="400"/>
      <c r="L3526" s="400"/>
      <c r="M3526" s="400"/>
      <c r="N3526" s="400">
        <f t="shared" si="153"/>
        <v>298.60417858457168</v>
      </c>
    </row>
    <row r="3527" spans="1:14" s="360" customFormat="1" outlineLevel="1" collapsed="1" x14ac:dyDescent="0.35">
      <c r="A3527" s="396" t="s">
        <v>6897</v>
      </c>
      <c r="B3527" s="397"/>
      <c r="C3527" s="398"/>
      <c r="D3527" s="399"/>
      <c r="E3527" s="399"/>
      <c r="F3527" s="400"/>
      <c r="G3527" s="401"/>
      <c r="H3527" s="402">
        <f t="shared" ref="H3527:N3527" si="154">SUBTOTAL(9,H3510:H3526)</f>
        <v>10121.28630738808</v>
      </c>
      <c r="I3527" s="402"/>
      <c r="J3527" s="400">
        <f t="shared" si="154"/>
        <v>0</v>
      </c>
      <c r="K3527" s="400">
        <f t="shared" si="154"/>
        <v>0</v>
      </c>
      <c r="L3527" s="400">
        <f t="shared" si="154"/>
        <v>0</v>
      </c>
      <c r="M3527" s="400">
        <f t="shared" si="154"/>
        <v>0</v>
      </c>
      <c r="N3527" s="400">
        <f t="shared" si="154"/>
        <v>10121.28630738808</v>
      </c>
    </row>
    <row r="3528" spans="1:14" s="360" customFormat="1" hidden="1" outlineLevel="2" collapsed="1" x14ac:dyDescent="0.35">
      <c r="A3528" s="403" t="s">
        <v>3832</v>
      </c>
      <c r="B3528" s="397">
        <v>44553</v>
      </c>
      <c r="C3528" s="398" t="s">
        <v>6898</v>
      </c>
      <c r="D3528" s="399" t="s">
        <v>6899</v>
      </c>
      <c r="E3528" s="399" t="s">
        <v>4143</v>
      </c>
      <c r="F3528" s="400">
        <v>2975000</v>
      </c>
      <c r="G3528" s="401" t="s">
        <v>3800</v>
      </c>
      <c r="H3528" s="402">
        <v>1106.9749922605617</v>
      </c>
      <c r="I3528" s="402"/>
      <c r="J3528" s="400"/>
      <c r="K3528" s="400"/>
      <c r="L3528" s="400"/>
      <c r="M3528" s="400"/>
      <c r="N3528" s="400">
        <f>H3528</f>
        <v>1106.9749922605617</v>
      </c>
    </row>
    <row r="3529" spans="1:14" s="360" customFormat="1" hidden="1" outlineLevel="2" x14ac:dyDescent="0.35">
      <c r="A3529" s="403" t="s">
        <v>3832</v>
      </c>
      <c r="B3529" s="397">
        <v>44571</v>
      </c>
      <c r="C3529" s="398" t="s">
        <v>6900</v>
      </c>
      <c r="D3529" s="399" t="s">
        <v>6901</v>
      </c>
      <c r="E3529" s="399" t="s">
        <v>6902</v>
      </c>
      <c r="F3529" s="400">
        <v>10430000</v>
      </c>
      <c r="G3529" s="401" t="s">
        <v>3800</v>
      </c>
      <c r="H3529" s="402">
        <v>3880.9240905134989</v>
      </c>
      <c r="I3529" s="402"/>
      <c r="J3529" s="400"/>
      <c r="K3529" s="400"/>
      <c r="L3529" s="400"/>
      <c r="M3529" s="400"/>
      <c r="N3529" s="400">
        <v>3880.9240905134989</v>
      </c>
    </row>
    <row r="3530" spans="1:14" s="360" customFormat="1" outlineLevel="1" collapsed="1" x14ac:dyDescent="0.35">
      <c r="A3530" s="396" t="s">
        <v>6903</v>
      </c>
      <c r="B3530" s="397"/>
      <c r="C3530" s="398"/>
      <c r="D3530" s="399"/>
      <c r="E3530" s="399"/>
      <c r="F3530" s="400"/>
      <c r="G3530" s="401"/>
      <c r="H3530" s="402">
        <f t="shared" ref="H3530:N3530" si="155">SUBTOTAL(9,H3528:H3529)</f>
        <v>4987.8990827740608</v>
      </c>
      <c r="I3530" s="402"/>
      <c r="J3530" s="400">
        <f t="shared" si="155"/>
        <v>0</v>
      </c>
      <c r="K3530" s="400">
        <f t="shared" si="155"/>
        <v>0</v>
      </c>
      <c r="L3530" s="400">
        <f t="shared" si="155"/>
        <v>0</v>
      </c>
      <c r="M3530" s="400">
        <f t="shared" si="155"/>
        <v>0</v>
      </c>
      <c r="N3530" s="400">
        <f t="shared" si="155"/>
        <v>4987.8990827740608</v>
      </c>
    </row>
    <row r="3531" spans="1:14" s="360" customFormat="1" hidden="1" outlineLevel="2" x14ac:dyDescent="0.35">
      <c r="A3531" s="403" t="s">
        <v>3834</v>
      </c>
      <c r="B3531" s="397">
        <v>44566</v>
      </c>
      <c r="C3531" s="398" t="s">
        <v>6904</v>
      </c>
      <c r="D3531" s="399" t="s">
        <v>6905</v>
      </c>
      <c r="E3531" s="399" t="s">
        <v>6906</v>
      </c>
      <c r="F3531" s="400">
        <v>1100000</v>
      </c>
      <c r="G3531" s="401" t="s">
        <v>3800</v>
      </c>
      <c r="H3531" s="402">
        <v>409.30167781062784</v>
      </c>
      <c r="I3531" s="402"/>
      <c r="J3531" s="400"/>
      <c r="K3531" s="400"/>
      <c r="L3531" s="400"/>
      <c r="M3531" s="400"/>
      <c r="N3531" s="400">
        <v>409.30167781062784</v>
      </c>
    </row>
    <row r="3532" spans="1:14" s="360" customFormat="1" outlineLevel="1" collapsed="1" x14ac:dyDescent="0.35">
      <c r="A3532" s="396" t="s">
        <v>6907</v>
      </c>
      <c r="B3532" s="397"/>
      <c r="C3532" s="398"/>
      <c r="D3532" s="399"/>
      <c r="E3532" s="399"/>
      <c r="F3532" s="400"/>
      <c r="G3532" s="401"/>
      <c r="H3532" s="402">
        <f t="shared" ref="H3532:N3532" si="156">SUBTOTAL(9,H3531:H3531)</f>
        <v>409.30167781062784</v>
      </c>
      <c r="I3532" s="402"/>
      <c r="J3532" s="400">
        <f t="shared" si="156"/>
        <v>0</v>
      </c>
      <c r="K3532" s="400">
        <f t="shared" si="156"/>
        <v>0</v>
      </c>
      <c r="L3532" s="400">
        <f t="shared" si="156"/>
        <v>0</v>
      </c>
      <c r="M3532" s="400">
        <f t="shared" si="156"/>
        <v>0</v>
      </c>
      <c r="N3532" s="400">
        <f t="shared" si="156"/>
        <v>409.30167781062784</v>
      </c>
    </row>
    <row r="3533" spans="1:14" s="360" customFormat="1" hidden="1" outlineLevel="2" x14ac:dyDescent="0.35">
      <c r="A3533" s="403" t="s">
        <v>3941</v>
      </c>
      <c r="B3533" s="397">
        <v>44548</v>
      </c>
      <c r="C3533" s="398" t="s">
        <v>6908</v>
      </c>
      <c r="D3533" s="399" t="s">
        <v>6909</v>
      </c>
      <c r="E3533" s="399" t="s">
        <v>6910</v>
      </c>
      <c r="F3533" s="400">
        <v>432000</v>
      </c>
      <c r="G3533" s="401" t="s">
        <v>3800</v>
      </c>
      <c r="H3533" s="402">
        <v>160.74393164926477</v>
      </c>
      <c r="I3533" s="402"/>
      <c r="J3533" s="400"/>
      <c r="K3533" s="400"/>
      <c r="L3533" s="400"/>
      <c r="M3533" s="400"/>
      <c r="N3533" s="400">
        <f>H3533</f>
        <v>160.74393164926477</v>
      </c>
    </row>
    <row r="3534" spans="1:14" s="360" customFormat="1" outlineLevel="1" collapsed="1" x14ac:dyDescent="0.35">
      <c r="A3534" s="396" t="s">
        <v>6911</v>
      </c>
      <c r="B3534" s="397"/>
      <c r="C3534" s="398"/>
      <c r="D3534" s="399"/>
      <c r="E3534" s="399"/>
      <c r="F3534" s="400"/>
      <c r="G3534" s="401"/>
      <c r="H3534" s="402">
        <f t="shared" ref="H3534:N3534" si="157">SUBTOTAL(9,H3533:H3533)</f>
        <v>160.74393164926477</v>
      </c>
      <c r="I3534" s="402"/>
      <c r="J3534" s="400">
        <f t="shared" si="157"/>
        <v>0</v>
      </c>
      <c r="K3534" s="400">
        <f t="shared" si="157"/>
        <v>0</v>
      </c>
      <c r="L3534" s="400">
        <f t="shared" si="157"/>
        <v>0</v>
      </c>
      <c r="M3534" s="400">
        <f t="shared" si="157"/>
        <v>0</v>
      </c>
      <c r="N3534" s="400">
        <f t="shared" si="157"/>
        <v>160.74393164926477</v>
      </c>
    </row>
    <row r="3535" spans="1:14" s="360" customFormat="1" hidden="1" outlineLevel="2" x14ac:dyDescent="0.35">
      <c r="A3535" s="403" t="s">
        <v>3942</v>
      </c>
      <c r="B3535" s="397">
        <v>44286</v>
      </c>
      <c r="C3535" s="398" t="s">
        <v>6912</v>
      </c>
      <c r="D3535" s="399" t="s">
        <v>6913</v>
      </c>
      <c r="E3535" s="399" t="s">
        <v>6910</v>
      </c>
      <c r="F3535" s="400">
        <v>18000</v>
      </c>
      <c r="G3535" s="401" t="s">
        <v>3800</v>
      </c>
      <c r="H3535" s="402">
        <v>6.6976638187193647</v>
      </c>
      <c r="I3535" s="402"/>
      <c r="J3535" s="400"/>
      <c r="K3535" s="400"/>
      <c r="L3535" s="400"/>
      <c r="M3535" s="400"/>
      <c r="N3535" s="400">
        <f t="shared" ref="N3535:N3545" si="158">H3535</f>
        <v>6.6976638187193647</v>
      </c>
    </row>
    <row r="3536" spans="1:14" s="360" customFormat="1" hidden="1" outlineLevel="2" x14ac:dyDescent="0.35">
      <c r="A3536" s="403" t="s">
        <v>3942</v>
      </c>
      <c r="B3536" s="397">
        <v>44286</v>
      </c>
      <c r="C3536" s="398" t="s">
        <v>6914</v>
      </c>
      <c r="D3536" s="399" t="s">
        <v>6915</v>
      </c>
      <c r="E3536" s="399" t="s">
        <v>6910</v>
      </c>
      <c r="F3536" s="400">
        <v>55000</v>
      </c>
      <c r="G3536" s="401" t="s">
        <v>3800</v>
      </c>
      <c r="H3536" s="402">
        <v>20.465083890531393</v>
      </c>
      <c r="I3536" s="402"/>
      <c r="J3536" s="400"/>
      <c r="K3536" s="400"/>
      <c r="L3536" s="400"/>
      <c r="M3536" s="400"/>
      <c r="N3536" s="400">
        <f t="shared" si="158"/>
        <v>20.465083890531393</v>
      </c>
    </row>
    <row r="3537" spans="1:14" s="360" customFormat="1" hidden="1" outlineLevel="2" x14ac:dyDescent="0.35">
      <c r="A3537" s="403" t="s">
        <v>3942</v>
      </c>
      <c r="B3537" s="397">
        <v>44316</v>
      </c>
      <c r="C3537" s="398" t="s">
        <v>6916</v>
      </c>
      <c r="D3537" s="399" t="s">
        <v>6917</v>
      </c>
      <c r="E3537" s="399" t="s">
        <v>6910</v>
      </c>
      <c r="F3537" s="400">
        <v>55000</v>
      </c>
      <c r="G3537" s="401" t="s">
        <v>3800</v>
      </c>
      <c r="H3537" s="402">
        <v>20.465083890531393</v>
      </c>
      <c r="I3537" s="402"/>
      <c r="J3537" s="400"/>
      <c r="K3537" s="400"/>
      <c r="L3537" s="400"/>
      <c r="M3537" s="400"/>
      <c r="N3537" s="400">
        <f t="shared" si="158"/>
        <v>20.465083890531393</v>
      </c>
    </row>
    <row r="3538" spans="1:14" s="360" customFormat="1" hidden="1" outlineLevel="2" collapsed="1" x14ac:dyDescent="0.35">
      <c r="A3538" s="403" t="s">
        <v>3942</v>
      </c>
      <c r="B3538" s="397">
        <v>44347</v>
      </c>
      <c r="C3538" s="398" t="s">
        <v>6918</v>
      </c>
      <c r="D3538" s="399" t="s">
        <v>6919</v>
      </c>
      <c r="E3538" s="399" t="s">
        <v>6910</v>
      </c>
      <c r="F3538" s="400">
        <v>55000</v>
      </c>
      <c r="G3538" s="401" t="s">
        <v>3800</v>
      </c>
      <c r="H3538" s="402">
        <v>20.465083890531393</v>
      </c>
      <c r="I3538" s="402"/>
      <c r="J3538" s="400"/>
      <c r="K3538" s="400"/>
      <c r="L3538" s="400"/>
      <c r="M3538" s="400"/>
      <c r="N3538" s="400">
        <f t="shared" si="158"/>
        <v>20.465083890531393</v>
      </c>
    </row>
    <row r="3539" spans="1:14" s="360" customFormat="1" hidden="1" outlineLevel="2" x14ac:dyDescent="0.35">
      <c r="A3539" s="403" t="s">
        <v>3942</v>
      </c>
      <c r="B3539" s="397">
        <v>44377</v>
      </c>
      <c r="C3539" s="398" t="s">
        <v>6920</v>
      </c>
      <c r="D3539" s="399" t="s">
        <v>6921</v>
      </c>
      <c r="E3539" s="399" t="s">
        <v>6910</v>
      </c>
      <c r="F3539" s="400">
        <v>55000</v>
      </c>
      <c r="G3539" s="401" t="s">
        <v>3800</v>
      </c>
      <c r="H3539" s="402">
        <v>20.465083890531393</v>
      </c>
      <c r="I3539" s="402"/>
      <c r="J3539" s="400"/>
      <c r="K3539" s="400"/>
      <c r="L3539" s="400"/>
      <c r="M3539" s="400"/>
      <c r="N3539" s="400">
        <f t="shared" si="158"/>
        <v>20.465083890531393</v>
      </c>
    </row>
    <row r="3540" spans="1:14" s="360" customFormat="1" hidden="1" outlineLevel="2" x14ac:dyDescent="0.35">
      <c r="A3540" s="403" t="s">
        <v>3942</v>
      </c>
      <c r="B3540" s="397">
        <v>44411</v>
      </c>
      <c r="C3540" s="398" t="s">
        <v>6922</v>
      </c>
      <c r="D3540" s="399" t="s">
        <v>6923</v>
      </c>
      <c r="E3540" s="399" t="s">
        <v>6910</v>
      </c>
      <c r="F3540" s="400">
        <v>55000</v>
      </c>
      <c r="G3540" s="401" t="s">
        <v>3800</v>
      </c>
      <c r="H3540" s="402">
        <v>20.465083890531393</v>
      </c>
      <c r="I3540" s="402"/>
      <c r="J3540" s="400"/>
      <c r="K3540" s="400"/>
      <c r="L3540" s="400"/>
      <c r="M3540" s="400"/>
      <c r="N3540" s="400">
        <f t="shared" si="158"/>
        <v>20.465083890531393</v>
      </c>
    </row>
    <row r="3541" spans="1:14" s="360" customFormat="1" hidden="1" outlineLevel="2" x14ac:dyDescent="0.35">
      <c r="A3541" s="403" t="s">
        <v>3942</v>
      </c>
      <c r="B3541" s="397">
        <v>44433</v>
      </c>
      <c r="C3541" s="398" t="s">
        <v>6924</v>
      </c>
      <c r="D3541" s="399" t="s">
        <v>6925</v>
      </c>
      <c r="E3541" s="399" t="s">
        <v>6910</v>
      </c>
      <c r="F3541" s="400">
        <v>55000</v>
      </c>
      <c r="G3541" s="401" t="s">
        <v>3800</v>
      </c>
      <c r="H3541" s="402">
        <v>20.465083890531393</v>
      </c>
      <c r="I3541" s="402"/>
      <c r="J3541" s="400"/>
      <c r="K3541" s="400"/>
      <c r="L3541" s="400"/>
      <c r="M3541" s="400"/>
      <c r="N3541" s="400">
        <f t="shared" si="158"/>
        <v>20.465083890531393</v>
      </c>
    </row>
    <row r="3542" spans="1:14" s="360" customFormat="1" hidden="1" outlineLevel="2" x14ac:dyDescent="0.35">
      <c r="A3542" s="403" t="s">
        <v>3942</v>
      </c>
      <c r="B3542" s="397">
        <v>44467</v>
      </c>
      <c r="C3542" s="398" t="s">
        <v>6926</v>
      </c>
      <c r="D3542" s="399" t="s">
        <v>6927</v>
      </c>
      <c r="E3542" s="399" t="s">
        <v>6910</v>
      </c>
      <c r="F3542" s="400">
        <v>55000</v>
      </c>
      <c r="G3542" s="401" t="s">
        <v>3800</v>
      </c>
      <c r="H3542" s="402">
        <v>20.465083890531393</v>
      </c>
      <c r="I3542" s="402"/>
      <c r="J3542" s="400"/>
      <c r="K3542" s="400"/>
      <c r="L3542" s="400"/>
      <c r="M3542" s="400"/>
      <c r="N3542" s="400">
        <f t="shared" si="158"/>
        <v>20.465083890531393</v>
      </c>
    </row>
    <row r="3543" spans="1:14" s="360" customFormat="1" hidden="1" outlineLevel="2" x14ac:dyDescent="0.35">
      <c r="A3543" s="403" t="s">
        <v>3942</v>
      </c>
      <c r="B3543" s="397">
        <v>44498</v>
      </c>
      <c r="C3543" s="398" t="s">
        <v>6928</v>
      </c>
      <c r="D3543" s="399" t="s">
        <v>6929</v>
      </c>
      <c r="E3543" s="399" t="s">
        <v>6910</v>
      </c>
      <c r="F3543" s="400">
        <v>55000</v>
      </c>
      <c r="G3543" s="401" t="s">
        <v>3800</v>
      </c>
      <c r="H3543" s="402">
        <v>20.465083890531393</v>
      </c>
      <c r="I3543" s="402"/>
      <c r="J3543" s="400"/>
      <c r="K3543" s="400"/>
      <c r="L3543" s="400"/>
      <c r="M3543" s="400"/>
      <c r="N3543" s="400">
        <f t="shared" si="158"/>
        <v>20.465083890531393</v>
      </c>
    </row>
    <row r="3544" spans="1:14" s="360" customFormat="1" hidden="1" outlineLevel="2" collapsed="1" x14ac:dyDescent="0.35">
      <c r="A3544" s="403" t="s">
        <v>3942</v>
      </c>
      <c r="B3544" s="397">
        <v>44530</v>
      </c>
      <c r="C3544" s="398" t="s">
        <v>6930</v>
      </c>
      <c r="D3544" s="399" t="s">
        <v>6931</v>
      </c>
      <c r="E3544" s="399" t="s">
        <v>6910</v>
      </c>
      <c r="F3544" s="400">
        <v>55000</v>
      </c>
      <c r="G3544" s="401" t="s">
        <v>3800</v>
      </c>
      <c r="H3544" s="402">
        <v>20.465083890531393</v>
      </c>
      <c r="I3544" s="402"/>
      <c r="J3544" s="400"/>
      <c r="K3544" s="400"/>
      <c r="L3544" s="400"/>
      <c r="M3544" s="400"/>
      <c r="N3544" s="400">
        <f t="shared" si="158"/>
        <v>20.465083890531393</v>
      </c>
    </row>
    <row r="3545" spans="1:14" s="360" customFormat="1" hidden="1" outlineLevel="2" x14ac:dyDescent="0.35">
      <c r="A3545" s="403" t="s">
        <v>3942</v>
      </c>
      <c r="B3545" s="397">
        <v>44548</v>
      </c>
      <c r="C3545" s="398" t="s">
        <v>6908</v>
      </c>
      <c r="D3545" s="399" t="s">
        <v>6909</v>
      </c>
      <c r="E3545" s="399" t="s">
        <v>6910</v>
      </c>
      <c r="F3545" s="400">
        <v>55000</v>
      </c>
      <c r="G3545" s="401" t="s">
        <v>3800</v>
      </c>
      <c r="H3545" s="402">
        <v>20.465083890531393</v>
      </c>
      <c r="I3545" s="402"/>
      <c r="J3545" s="400"/>
      <c r="K3545" s="400"/>
      <c r="L3545" s="400"/>
      <c r="M3545" s="400"/>
      <c r="N3545" s="400">
        <f t="shared" si="158"/>
        <v>20.465083890531393</v>
      </c>
    </row>
    <row r="3546" spans="1:14" s="360" customFormat="1" outlineLevel="1" collapsed="1" x14ac:dyDescent="0.35">
      <c r="A3546" s="396" t="s">
        <v>6932</v>
      </c>
      <c r="B3546" s="397"/>
      <c r="C3546" s="398"/>
      <c r="D3546" s="399"/>
      <c r="E3546" s="399"/>
      <c r="F3546" s="400"/>
      <c r="G3546" s="401"/>
      <c r="H3546" s="402">
        <f t="shared" ref="H3546:N3546" si="159">SUBTOTAL(9,H3535:H3545)</f>
        <v>211.34850272403327</v>
      </c>
      <c r="I3546" s="402"/>
      <c r="J3546" s="400">
        <f t="shared" si="159"/>
        <v>0</v>
      </c>
      <c r="K3546" s="400">
        <f t="shared" si="159"/>
        <v>0</v>
      </c>
      <c r="L3546" s="400">
        <f t="shared" si="159"/>
        <v>0</v>
      </c>
      <c r="M3546" s="400">
        <f t="shared" si="159"/>
        <v>0</v>
      </c>
      <c r="N3546" s="400">
        <f t="shared" si="159"/>
        <v>211.34850272403327</v>
      </c>
    </row>
    <row r="3547" spans="1:14" s="360" customFormat="1" hidden="1" outlineLevel="2" collapsed="1" x14ac:dyDescent="0.35">
      <c r="A3547" s="403" t="s">
        <v>6933</v>
      </c>
      <c r="B3547" s="397">
        <v>44286</v>
      </c>
      <c r="C3547" s="398" t="s">
        <v>6912</v>
      </c>
      <c r="D3547" s="399" t="s">
        <v>6913</v>
      </c>
      <c r="E3547" s="399" t="s">
        <v>6910</v>
      </c>
      <c r="F3547" s="400">
        <v>144000</v>
      </c>
      <c r="G3547" s="401" t="s">
        <v>3800</v>
      </c>
      <c r="H3547" s="402">
        <v>53.581310549754917</v>
      </c>
      <c r="I3547" s="402"/>
      <c r="J3547" s="400"/>
      <c r="K3547" s="400"/>
      <c r="L3547" s="400"/>
      <c r="M3547" s="400"/>
      <c r="N3547" s="400">
        <f t="shared" ref="N3547:N3556" si="160">H3547</f>
        <v>53.581310549754917</v>
      </c>
    </row>
    <row r="3548" spans="1:14" s="360" customFormat="1" hidden="1" outlineLevel="2" collapsed="1" x14ac:dyDescent="0.35">
      <c r="A3548" s="403" t="s">
        <v>6933</v>
      </c>
      <c r="B3548" s="397">
        <v>44286</v>
      </c>
      <c r="C3548" s="398" t="s">
        <v>6914</v>
      </c>
      <c r="D3548" s="399" t="s">
        <v>6915</v>
      </c>
      <c r="E3548" s="399" t="s">
        <v>6910</v>
      </c>
      <c r="F3548" s="400">
        <v>432000</v>
      </c>
      <c r="G3548" s="401" t="s">
        <v>3800</v>
      </c>
      <c r="H3548" s="402">
        <v>160.74393164926477</v>
      </c>
      <c r="I3548" s="402"/>
      <c r="J3548" s="400"/>
      <c r="K3548" s="400"/>
      <c r="L3548" s="400"/>
      <c r="M3548" s="400"/>
      <c r="N3548" s="400">
        <f t="shared" si="160"/>
        <v>160.74393164926477</v>
      </c>
    </row>
    <row r="3549" spans="1:14" s="360" customFormat="1" hidden="1" outlineLevel="2" x14ac:dyDescent="0.35">
      <c r="A3549" s="403" t="s">
        <v>6933</v>
      </c>
      <c r="B3549" s="397">
        <v>44316</v>
      </c>
      <c r="C3549" s="398" t="s">
        <v>6916</v>
      </c>
      <c r="D3549" s="399" t="s">
        <v>6917</v>
      </c>
      <c r="E3549" s="399" t="s">
        <v>6910</v>
      </c>
      <c r="F3549" s="400">
        <v>432000</v>
      </c>
      <c r="G3549" s="401" t="s">
        <v>3800</v>
      </c>
      <c r="H3549" s="402">
        <v>160.74393164926477</v>
      </c>
      <c r="I3549" s="402"/>
      <c r="J3549" s="400"/>
      <c r="K3549" s="400"/>
      <c r="L3549" s="400"/>
      <c r="M3549" s="400"/>
      <c r="N3549" s="400">
        <f t="shared" si="160"/>
        <v>160.74393164926477</v>
      </c>
    </row>
    <row r="3550" spans="1:14" s="360" customFormat="1" hidden="1" outlineLevel="2" x14ac:dyDescent="0.35">
      <c r="A3550" s="403" t="s">
        <v>6933</v>
      </c>
      <c r="B3550" s="397">
        <v>44347</v>
      </c>
      <c r="C3550" s="398" t="s">
        <v>6918</v>
      </c>
      <c r="D3550" s="399" t="s">
        <v>6919</v>
      </c>
      <c r="E3550" s="399" t="s">
        <v>6910</v>
      </c>
      <c r="F3550" s="400">
        <v>432000</v>
      </c>
      <c r="G3550" s="401" t="s">
        <v>3800</v>
      </c>
      <c r="H3550" s="402">
        <v>160.74393164926477</v>
      </c>
      <c r="I3550" s="402"/>
      <c r="J3550" s="400"/>
      <c r="K3550" s="400"/>
      <c r="L3550" s="400"/>
      <c r="M3550" s="400"/>
      <c r="N3550" s="400">
        <f t="shared" si="160"/>
        <v>160.74393164926477</v>
      </c>
    </row>
    <row r="3551" spans="1:14" s="360" customFormat="1" hidden="1" outlineLevel="2" collapsed="1" x14ac:dyDescent="0.35">
      <c r="A3551" s="403" t="s">
        <v>6933</v>
      </c>
      <c r="B3551" s="397">
        <v>44377</v>
      </c>
      <c r="C3551" s="398" t="s">
        <v>6920</v>
      </c>
      <c r="D3551" s="399" t="s">
        <v>6934</v>
      </c>
      <c r="E3551" s="399" t="s">
        <v>6910</v>
      </c>
      <c r="F3551" s="400">
        <v>432000</v>
      </c>
      <c r="G3551" s="401" t="s">
        <v>3800</v>
      </c>
      <c r="H3551" s="402">
        <v>160.74393164926477</v>
      </c>
      <c r="I3551" s="402"/>
      <c r="J3551" s="400"/>
      <c r="K3551" s="400"/>
      <c r="L3551" s="400"/>
      <c r="M3551" s="400"/>
      <c r="N3551" s="400">
        <f t="shared" si="160"/>
        <v>160.74393164926477</v>
      </c>
    </row>
    <row r="3552" spans="1:14" s="360" customFormat="1" hidden="1" outlineLevel="2" x14ac:dyDescent="0.35">
      <c r="A3552" s="403" t="s">
        <v>6933</v>
      </c>
      <c r="B3552" s="397">
        <v>44411</v>
      </c>
      <c r="C3552" s="398" t="s">
        <v>6922</v>
      </c>
      <c r="D3552" s="399" t="s">
        <v>6923</v>
      </c>
      <c r="E3552" s="399" t="s">
        <v>6910</v>
      </c>
      <c r="F3552" s="400">
        <v>432000</v>
      </c>
      <c r="G3552" s="401" t="s">
        <v>3800</v>
      </c>
      <c r="H3552" s="402">
        <v>160.74393164926477</v>
      </c>
      <c r="I3552" s="402"/>
      <c r="J3552" s="400"/>
      <c r="K3552" s="400"/>
      <c r="L3552" s="400"/>
      <c r="M3552" s="400"/>
      <c r="N3552" s="400">
        <f t="shared" si="160"/>
        <v>160.74393164926477</v>
      </c>
    </row>
    <row r="3553" spans="1:14" s="360" customFormat="1" hidden="1" outlineLevel="2" x14ac:dyDescent="0.35">
      <c r="A3553" s="403" t="s">
        <v>6933</v>
      </c>
      <c r="B3553" s="397">
        <v>44433</v>
      </c>
      <c r="C3553" s="398" t="s">
        <v>6924</v>
      </c>
      <c r="D3553" s="399" t="s">
        <v>6925</v>
      </c>
      <c r="E3553" s="399" t="s">
        <v>6910</v>
      </c>
      <c r="F3553" s="400">
        <v>432000</v>
      </c>
      <c r="G3553" s="401" t="s">
        <v>3800</v>
      </c>
      <c r="H3553" s="402">
        <v>160.74393164926477</v>
      </c>
      <c r="I3553" s="402"/>
      <c r="J3553" s="400"/>
      <c r="K3553" s="400"/>
      <c r="L3553" s="400"/>
      <c r="M3553" s="400"/>
      <c r="N3553" s="400">
        <f t="shared" si="160"/>
        <v>160.74393164926477</v>
      </c>
    </row>
    <row r="3554" spans="1:14" s="360" customFormat="1" hidden="1" outlineLevel="2" x14ac:dyDescent="0.35">
      <c r="A3554" s="403" t="s">
        <v>6933</v>
      </c>
      <c r="B3554" s="397">
        <v>44467</v>
      </c>
      <c r="C3554" s="398" t="s">
        <v>6926</v>
      </c>
      <c r="D3554" s="399" t="s">
        <v>6927</v>
      </c>
      <c r="E3554" s="399" t="s">
        <v>6910</v>
      </c>
      <c r="F3554" s="400">
        <v>432000</v>
      </c>
      <c r="G3554" s="401" t="s">
        <v>3800</v>
      </c>
      <c r="H3554" s="402">
        <v>160.74393164926477</v>
      </c>
      <c r="I3554" s="402"/>
      <c r="J3554" s="400"/>
      <c r="K3554" s="400"/>
      <c r="L3554" s="400"/>
      <c r="M3554" s="400"/>
      <c r="N3554" s="400">
        <f t="shared" si="160"/>
        <v>160.74393164926477</v>
      </c>
    </row>
    <row r="3555" spans="1:14" s="360" customFormat="1" hidden="1" outlineLevel="2" x14ac:dyDescent="0.35">
      <c r="A3555" s="403" t="s">
        <v>6933</v>
      </c>
      <c r="B3555" s="397">
        <v>44498</v>
      </c>
      <c r="C3555" s="398" t="s">
        <v>6928</v>
      </c>
      <c r="D3555" s="399" t="s">
        <v>6929</v>
      </c>
      <c r="E3555" s="399" t="s">
        <v>6910</v>
      </c>
      <c r="F3555" s="400">
        <v>576000</v>
      </c>
      <c r="G3555" s="401" t="s">
        <v>3800</v>
      </c>
      <c r="H3555" s="402">
        <v>214.32524219901967</v>
      </c>
      <c r="I3555" s="402"/>
      <c r="J3555" s="400"/>
      <c r="K3555" s="400"/>
      <c r="L3555" s="400"/>
      <c r="M3555" s="400"/>
      <c r="N3555" s="400">
        <f t="shared" si="160"/>
        <v>214.32524219901967</v>
      </c>
    </row>
    <row r="3556" spans="1:14" s="360" customFormat="1" hidden="1" outlineLevel="2" x14ac:dyDescent="0.35">
      <c r="A3556" s="403" t="s">
        <v>6933</v>
      </c>
      <c r="B3556" s="397">
        <v>44530</v>
      </c>
      <c r="C3556" s="398" t="s">
        <v>6930</v>
      </c>
      <c r="D3556" s="399" t="s">
        <v>6931</v>
      </c>
      <c r="E3556" s="399" t="s">
        <v>6910</v>
      </c>
      <c r="F3556" s="400">
        <v>576000</v>
      </c>
      <c r="G3556" s="401" t="s">
        <v>3800</v>
      </c>
      <c r="H3556" s="402">
        <v>214.32524219901967</v>
      </c>
      <c r="I3556" s="402"/>
      <c r="J3556" s="400"/>
      <c r="K3556" s="400"/>
      <c r="L3556" s="400"/>
      <c r="M3556" s="400"/>
      <c r="N3556" s="400">
        <f t="shared" si="160"/>
        <v>214.32524219901967</v>
      </c>
    </row>
    <row r="3557" spans="1:14" s="360" customFormat="1" outlineLevel="1" collapsed="1" x14ac:dyDescent="0.35">
      <c r="A3557" s="396" t="s">
        <v>6935</v>
      </c>
      <c r="B3557" s="397"/>
      <c r="C3557" s="398"/>
      <c r="D3557" s="399"/>
      <c r="E3557" s="399"/>
      <c r="F3557" s="400"/>
      <c r="G3557" s="401"/>
      <c r="H3557" s="402">
        <f t="shared" ref="H3557:N3557" si="161">SUBTOTAL(9,H3547:H3556)</f>
        <v>1607.4393164926478</v>
      </c>
      <c r="I3557" s="402"/>
      <c r="J3557" s="400">
        <f t="shared" si="161"/>
        <v>0</v>
      </c>
      <c r="K3557" s="400">
        <f t="shared" si="161"/>
        <v>0</v>
      </c>
      <c r="L3557" s="400">
        <f t="shared" si="161"/>
        <v>0</v>
      </c>
      <c r="M3557" s="400">
        <f t="shared" si="161"/>
        <v>0</v>
      </c>
      <c r="N3557" s="400">
        <f t="shared" si="161"/>
        <v>1607.4393164926478</v>
      </c>
    </row>
    <row r="3558" spans="1:14" s="360" customFormat="1" hidden="1" outlineLevel="2" x14ac:dyDescent="0.35">
      <c r="A3558" s="403" t="s">
        <v>6936</v>
      </c>
      <c r="B3558" s="397">
        <v>44286</v>
      </c>
      <c r="C3558" s="398" t="s">
        <v>6912</v>
      </c>
      <c r="D3558" s="399" t="s">
        <v>6913</v>
      </c>
      <c r="E3558" s="399" t="s">
        <v>6910</v>
      </c>
      <c r="F3558" s="400">
        <v>144000</v>
      </c>
      <c r="G3558" s="401" t="s">
        <v>3800</v>
      </c>
      <c r="H3558" s="402">
        <v>53.581310549754917</v>
      </c>
      <c r="I3558" s="402"/>
      <c r="J3558" s="400"/>
      <c r="K3558" s="400"/>
      <c r="L3558" s="400"/>
      <c r="M3558" s="400"/>
      <c r="N3558" s="400">
        <f t="shared" ref="N3558:N3567" si="162">H3558</f>
        <v>53.581310549754917</v>
      </c>
    </row>
    <row r="3559" spans="1:14" s="360" customFormat="1" hidden="1" outlineLevel="2" x14ac:dyDescent="0.35">
      <c r="A3559" s="403" t="s">
        <v>6936</v>
      </c>
      <c r="B3559" s="397">
        <v>44286</v>
      </c>
      <c r="C3559" s="398" t="s">
        <v>6914</v>
      </c>
      <c r="D3559" s="399" t="s">
        <v>6915</v>
      </c>
      <c r="E3559" s="399" t="s">
        <v>6910</v>
      </c>
      <c r="F3559" s="400">
        <v>432000</v>
      </c>
      <c r="G3559" s="401" t="s">
        <v>3800</v>
      </c>
      <c r="H3559" s="402">
        <v>160.74393164926477</v>
      </c>
      <c r="I3559" s="402"/>
      <c r="J3559" s="400"/>
      <c r="K3559" s="400"/>
      <c r="L3559" s="400"/>
      <c r="M3559" s="400"/>
      <c r="N3559" s="400">
        <f t="shared" si="162"/>
        <v>160.74393164926477</v>
      </c>
    </row>
    <row r="3560" spans="1:14" s="360" customFormat="1" hidden="1" outlineLevel="2" x14ac:dyDescent="0.35">
      <c r="A3560" s="403" t="s">
        <v>6936</v>
      </c>
      <c r="B3560" s="397">
        <v>44316</v>
      </c>
      <c r="C3560" s="398" t="s">
        <v>6916</v>
      </c>
      <c r="D3560" s="399" t="s">
        <v>6917</v>
      </c>
      <c r="E3560" s="399" t="s">
        <v>6910</v>
      </c>
      <c r="F3560" s="400">
        <v>432000</v>
      </c>
      <c r="G3560" s="401" t="s">
        <v>3800</v>
      </c>
      <c r="H3560" s="402">
        <v>160.74393164926477</v>
      </c>
      <c r="I3560" s="402"/>
      <c r="J3560" s="400"/>
      <c r="K3560" s="400"/>
      <c r="L3560" s="400"/>
      <c r="M3560" s="400"/>
      <c r="N3560" s="400">
        <f t="shared" si="162"/>
        <v>160.74393164926477</v>
      </c>
    </row>
    <row r="3561" spans="1:14" s="360" customFormat="1" hidden="1" outlineLevel="2" x14ac:dyDescent="0.35">
      <c r="A3561" s="403" t="s">
        <v>6936</v>
      </c>
      <c r="B3561" s="397">
        <v>44347</v>
      </c>
      <c r="C3561" s="398" t="s">
        <v>6918</v>
      </c>
      <c r="D3561" s="399" t="s">
        <v>6919</v>
      </c>
      <c r="E3561" s="399" t="s">
        <v>6910</v>
      </c>
      <c r="F3561" s="400">
        <v>432000</v>
      </c>
      <c r="G3561" s="401" t="s">
        <v>3800</v>
      </c>
      <c r="H3561" s="402">
        <v>160.74393164926477</v>
      </c>
      <c r="I3561" s="402"/>
      <c r="J3561" s="400"/>
      <c r="K3561" s="400"/>
      <c r="L3561" s="400"/>
      <c r="M3561" s="400"/>
      <c r="N3561" s="400">
        <f t="shared" si="162"/>
        <v>160.74393164926477</v>
      </c>
    </row>
    <row r="3562" spans="1:14" s="360" customFormat="1" hidden="1" outlineLevel="2" x14ac:dyDescent="0.35">
      <c r="A3562" s="403" t="s">
        <v>6936</v>
      </c>
      <c r="B3562" s="397">
        <v>44377</v>
      </c>
      <c r="C3562" s="398" t="s">
        <v>6920</v>
      </c>
      <c r="D3562" s="399" t="s">
        <v>6934</v>
      </c>
      <c r="E3562" s="399" t="s">
        <v>6910</v>
      </c>
      <c r="F3562" s="400">
        <v>432000</v>
      </c>
      <c r="G3562" s="401" t="s">
        <v>3800</v>
      </c>
      <c r="H3562" s="402">
        <v>160.74393164926477</v>
      </c>
      <c r="I3562" s="402"/>
      <c r="J3562" s="400"/>
      <c r="K3562" s="400"/>
      <c r="L3562" s="400"/>
      <c r="M3562" s="400"/>
      <c r="N3562" s="400">
        <f t="shared" si="162"/>
        <v>160.74393164926477</v>
      </c>
    </row>
    <row r="3563" spans="1:14" s="360" customFormat="1" hidden="1" outlineLevel="2" x14ac:dyDescent="0.35">
      <c r="A3563" s="403" t="s">
        <v>6936</v>
      </c>
      <c r="B3563" s="397">
        <v>44411</v>
      </c>
      <c r="C3563" s="398" t="s">
        <v>6922</v>
      </c>
      <c r="D3563" s="399" t="s">
        <v>6923</v>
      </c>
      <c r="E3563" s="399" t="s">
        <v>6910</v>
      </c>
      <c r="F3563" s="400">
        <v>432000</v>
      </c>
      <c r="G3563" s="401" t="s">
        <v>3800</v>
      </c>
      <c r="H3563" s="402">
        <v>160.74393164926477</v>
      </c>
      <c r="I3563" s="402"/>
      <c r="J3563" s="400"/>
      <c r="K3563" s="400"/>
      <c r="L3563" s="400"/>
      <c r="M3563" s="400"/>
      <c r="N3563" s="400">
        <f t="shared" si="162"/>
        <v>160.74393164926477</v>
      </c>
    </row>
    <row r="3564" spans="1:14" s="360" customFormat="1" hidden="1" outlineLevel="2" x14ac:dyDescent="0.35">
      <c r="A3564" s="403" t="s">
        <v>6936</v>
      </c>
      <c r="B3564" s="397">
        <v>44433</v>
      </c>
      <c r="C3564" s="398" t="s">
        <v>6924</v>
      </c>
      <c r="D3564" s="399" t="s">
        <v>6925</v>
      </c>
      <c r="E3564" s="399" t="s">
        <v>6910</v>
      </c>
      <c r="F3564" s="400">
        <v>432000</v>
      </c>
      <c r="G3564" s="401" t="s">
        <v>3800</v>
      </c>
      <c r="H3564" s="402">
        <v>160.74393164926477</v>
      </c>
      <c r="I3564" s="402"/>
      <c r="J3564" s="400"/>
      <c r="K3564" s="400"/>
      <c r="L3564" s="400"/>
      <c r="M3564" s="400"/>
      <c r="N3564" s="400">
        <f t="shared" si="162"/>
        <v>160.74393164926477</v>
      </c>
    </row>
    <row r="3565" spans="1:14" s="360" customFormat="1" hidden="1" outlineLevel="2" x14ac:dyDescent="0.35">
      <c r="A3565" s="403" t="s">
        <v>6936</v>
      </c>
      <c r="B3565" s="397">
        <v>44467</v>
      </c>
      <c r="C3565" s="398" t="s">
        <v>6926</v>
      </c>
      <c r="D3565" s="399" t="s">
        <v>6927</v>
      </c>
      <c r="E3565" s="399" t="s">
        <v>6910</v>
      </c>
      <c r="F3565" s="400">
        <v>432000</v>
      </c>
      <c r="G3565" s="401" t="s">
        <v>3800</v>
      </c>
      <c r="H3565" s="402">
        <v>160.74393164926477</v>
      </c>
      <c r="I3565" s="402"/>
      <c r="J3565" s="400"/>
      <c r="K3565" s="400"/>
      <c r="L3565" s="400"/>
      <c r="M3565" s="400"/>
      <c r="N3565" s="400">
        <f t="shared" si="162"/>
        <v>160.74393164926477</v>
      </c>
    </row>
    <row r="3566" spans="1:14" s="360" customFormat="1" hidden="1" outlineLevel="2" x14ac:dyDescent="0.35">
      <c r="A3566" s="403" t="s">
        <v>6936</v>
      </c>
      <c r="B3566" s="397">
        <v>44498</v>
      </c>
      <c r="C3566" s="398" t="s">
        <v>6928</v>
      </c>
      <c r="D3566" s="399" t="s">
        <v>6929</v>
      </c>
      <c r="E3566" s="399" t="s">
        <v>6910</v>
      </c>
      <c r="F3566" s="400">
        <v>720000</v>
      </c>
      <c r="G3566" s="401" t="s">
        <v>3800</v>
      </c>
      <c r="H3566" s="402">
        <v>267.90655274877457</v>
      </c>
      <c r="I3566" s="402"/>
      <c r="J3566" s="400"/>
      <c r="K3566" s="400"/>
      <c r="L3566" s="400"/>
      <c r="M3566" s="400"/>
      <c r="N3566" s="400">
        <f t="shared" si="162"/>
        <v>267.90655274877457</v>
      </c>
    </row>
    <row r="3567" spans="1:14" s="360" customFormat="1" hidden="1" outlineLevel="2" x14ac:dyDescent="0.35">
      <c r="A3567" s="403" t="s">
        <v>6936</v>
      </c>
      <c r="B3567" s="397">
        <v>44530</v>
      </c>
      <c r="C3567" s="398" t="s">
        <v>6930</v>
      </c>
      <c r="D3567" s="399" t="s">
        <v>6931</v>
      </c>
      <c r="E3567" s="399" t="s">
        <v>6910</v>
      </c>
      <c r="F3567" s="400">
        <v>720000</v>
      </c>
      <c r="G3567" s="401" t="s">
        <v>3800</v>
      </c>
      <c r="H3567" s="402">
        <v>267.90655274877457</v>
      </c>
      <c r="I3567" s="402"/>
      <c r="J3567" s="400"/>
      <c r="K3567" s="400"/>
      <c r="L3567" s="400"/>
      <c r="M3567" s="400"/>
      <c r="N3567" s="400">
        <f t="shared" si="162"/>
        <v>267.90655274877457</v>
      </c>
    </row>
    <row r="3568" spans="1:14" s="360" customFormat="1" outlineLevel="1" collapsed="1" x14ac:dyDescent="0.35">
      <c r="A3568" s="396" t="s">
        <v>6937</v>
      </c>
      <c r="B3568" s="397"/>
      <c r="C3568" s="398"/>
      <c r="D3568" s="399"/>
      <c r="E3568" s="399"/>
      <c r="F3568" s="400"/>
      <c r="G3568" s="401"/>
      <c r="H3568" s="402">
        <f t="shared" ref="H3568:N3568" si="163">SUBTOTAL(9,H3558:H3567)</f>
        <v>1714.6019375921578</v>
      </c>
      <c r="I3568" s="402"/>
      <c r="J3568" s="400">
        <f t="shared" si="163"/>
        <v>0</v>
      </c>
      <c r="K3568" s="400">
        <f t="shared" si="163"/>
        <v>0</v>
      </c>
      <c r="L3568" s="400">
        <f t="shared" si="163"/>
        <v>0</v>
      </c>
      <c r="M3568" s="400">
        <f t="shared" si="163"/>
        <v>0</v>
      </c>
      <c r="N3568" s="400">
        <f t="shared" si="163"/>
        <v>1714.6019375921578</v>
      </c>
    </row>
    <row r="3569" spans="1:14" s="360" customFormat="1" hidden="1" outlineLevel="2" x14ac:dyDescent="0.35">
      <c r="A3569" s="403" t="s">
        <v>3946</v>
      </c>
      <c r="B3569" s="397">
        <v>44548</v>
      </c>
      <c r="C3569" s="398" t="s">
        <v>6908</v>
      </c>
      <c r="D3569" s="399" t="s">
        <v>6909</v>
      </c>
      <c r="E3569" s="399" t="s">
        <v>6910</v>
      </c>
      <c r="F3569" s="400">
        <v>432000</v>
      </c>
      <c r="G3569" s="401" t="s">
        <v>3800</v>
      </c>
      <c r="H3569" s="402">
        <v>160.74393164926477</v>
      </c>
      <c r="I3569" s="402"/>
      <c r="J3569" s="400"/>
      <c r="K3569" s="400"/>
      <c r="L3569" s="400"/>
      <c r="M3569" s="400"/>
      <c r="N3569" s="400">
        <f>H3569</f>
        <v>160.74393164926477</v>
      </c>
    </row>
    <row r="3570" spans="1:14" s="360" customFormat="1" outlineLevel="1" collapsed="1" x14ac:dyDescent="0.35">
      <c r="A3570" s="396" t="s">
        <v>6938</v>
      </c>
      <c r="B3570" s="397"/>
      <c r="C3570" s="398"/>
      <c r="D3570" s="399"/>
      <c r="E3570" s="399"/>
      <c r="F3570" s="400"/>
      <c r="G3570" s="401"/>
      <c r="H3570" s="402">
        <f t="shared" ref="H3570:N3570" si="164">SUBTOTAL(9,H3569:H3569)</f>
        <v>160.74393164926477</v>
      </c>
      <c r="I3570" s="402"/>
      <c r="J3570" s="400">
        <f t="shared" si="164"/>
        <v>0</v>
      </c>
      <c r="K3570" s="400">
        <f t="shared" si="164"/>
        <v>0</v>
      </c>
      <c r="L3570" s="400">
        <f t="shared" si="164"/>
        <v>0</v>
      </c>
      <c r="M3570" s="400">
        <f t="shared" si="164"/>
        <v>0</v>
      </c>
      <c r="N3570" s="400">
        <f t="shared" si="164"/>
        <v>160.74393164926477</v>
      </c>
    </row>
    <row r="3571" spans="1:14" s="360" customFormat="1" hidden="1" outlineLevel="2" x14ac:dyDescent="0.35">
      <c r="A3571" s="403" t="s">
        <v>3945</v>
      </c>
      <c r="B3571" s="397">
        <v>44548</v>
      </c>
      <c r="C3571" s="398" t="s">
        <v>6908</v>
      </c>
      <c r="D3571" s="399" t="s">
        <v>6909</v>
      </c>
      <c r="E3571" s="399" t="s">
        <v>6910</v>
      </c>
      <c r="F3571" s="400">
        <v>432000</v>
      </c>
      <c r="G3571" s="401" t="s">
        <v>3800</v>
      </c>
      <c r="H3571" s="402">
        <v>160.74393164926477</v>
      </c>
      <c r="I3571" s="402"/>
      <c r="J3571" s="400"/>
      <c r="K3571" s="400"/>
      <c r="L3571" s="400"/>
      <c r="M3571" s="400"/>
      <c r="N3571" s="400">
        <f>H3571</f>
        <v>160.74393164926477</v>
      </c>
    </row>
    <row r="3572" spans="1:14" s="360" customFormat="1" outlineLevel="1" collapsed="1" x14ac:dyDescent="0.35">
      <c r="A3572" s="396" t="s">
        <v>6939</v>
      </c>
      <c r="B3572" s="397"/>
      <c r="C3572" s="398"/>
      <c r="D3572" s="399"/>
      <c r="E3572" s="399"/>
      <c r="F3572" s="400"/>
      <c r="G3572" s="401"/>
      <c r="H3572" s="402">
        <f t="shared" ref="H3572:N3572" si="165">SUBTOTAL(9,H3571:H3571)</f>
        <v>160.74393164926477</v>
      </c>
      <c r="I3572" s="402"/>
      <c r="J3572" s="400">
        <f t="shared" si="165"/>
        <v>0</v>
      </c>
      <c r="K3572" s="400">
        <f t="shared" si="165"/>
        <v>0</v>
      </c>
      <c r="L3572" s="400">
        <f t="shared" si="165"/>
        <v>0</v>
      </c>
      <c r="M3572" s="400">
        <f t="shared" si="165"/>
        <v>0</v>
      </c>
      <c r="N3572" s="400">
        <f t="shared" si="165"/>
        <v>160.74393164926477</v>
      </c>
    </row>
    <row r="3573" spans="1:14" s="360" customFormat="1" hidden="1" outlineLevel="2" x14ac:dyDescent="0.35">
      <c r="A3573" s="403" t="s">
        <v>3943</v>
      </c>
      <c r="B3573" s="397">
        <v>44286</v>
      </c>
      <c r="C3573" s="398" t="s">
        <v>6912</v>
      </c>
      <c r="D3573" s="399" t="s">
        <v>6913</v>
      </c>
      <c r="E3573" s="399" t="s">
        <v>6910</v>
      </c>
      <c r="F3573" s="400">
        <v>64000</v>
      </c>
      <c r="G3573" s="401" t="s">
        <v>3800</v>
      </c>
      <c r="H3573" s="402">
        <v>23.813915799891074</v>
      </c>
      <c r="I3573" s="402"/>
      <c r="J3573" s="400"/>
      <c r="K3573" s="400"/>
      <c r="L3573" s="400"/>
      <c r="M3573" s="400"/>
      <c r="N3573" s="400">
        <f t="shared" ref="N3573:N3583" si="166">H3573</f>
        <v>23.813915799891074</v>
      </c>
    </row>
    <row r="3574" spans="1:14" s="360" customFormat="1" hidden="1" outlineLevel="2" x14ac:dyDescent="0.35">
      <c r="A3574" s="403" t="s">
        <v>3943</v>
      </c>
      <c r="B3574" s="397">
        <v>44286</v>
      </c>
      <c r="C3574" s="398" t="s">
        <v>6914</v>
      </c>
      <c r="D3574" s="399" t="s">
        <v>6915</v>
      </c>
      <c r="E3574" s="399" t="s">
        <v>6910</v>
      </c>
      <c r="F3574" s="400">
        <v>144000</v>
      </c>
      <c r="G3574" s="401" t="s">
        <v>3800</v>
      </c>
      <c r="H3574" s="402">
        <v>53.581310549754917</v>
      </c>
      <c r="I3574" s="402"/>
      <c r="J3574" s="400"/>
      <c r="K3574" s="400"/>
      <c r="L3574" s="400"/>
      <c r="M3574" s="400"/>
      <c r="N3574" s="400">
        <f t="shared" si="166"/>
        <v>53.581310549754917</v>
      </c>
    </row>
    <row r="3575" spans="1:14" s="360" customFormat="1" hidden="1" outlineLevel="2" x14ac:dyDescent="0.35">
      <c r="A3575" s="403" t="s">
        <v>3943</v>
      </c>
      <c r="B3575" s="397">
        <v>44316</v>
      </c>
      <c r="C3575" s="398" t="s">
        <v>6916</v>
      </c>
      <c r="D3575" s="399" t="s">
        <v>6917</v>
      </c>
      <c r="E3575" s="399" t="s">
        <v>6910</v>
      </c>
      <c r="F3575" s="400">
        <v>192000</v>
      </c>
      <c r="G3575" s="401" t="s">
        <v>3800</v>
      </c>
      <c r="H3575" s="402">
        <v>71.441747399673233</v>
      </c>
      <c r="I3575" s="402"/>
      <c r="J3575" s="400"/>
      <c r="K3575" s="400"/>
      <c r="L3575" s="400"/>
      <c r="M3575" s="400"/>
      <c r="N3575" s="400">
        <f t="shared" si="166"/>
        <v>71.441747399673233</v>
      </c>
    </row>
    <row r="3576" spans="1:14" s="360" customFormat="1" hidden="1" outlineLevel="2" collapsed="1" x14ac:dyDescent="0.35">
      <c r="A3576" s="403" t="s">
        <v>3943</v>
      </c>
      <c r="B3576" s="397">
        <v>44347</v>
      </c>
      <c r="C3576" s="398" t="s">
        <v>6918</v>
      </c>
      <c r="D3576" s="399" t="s">
        <v>6919</v>
      </c>
      <c r="E3576" s="399" t="s">
        <v>6910</v>
      </c>
      <c r="F3576" s="400">
        <v>192000</v>
      </c>
      <c r="G3576" s="401" t="s">
        <v>3800</v>
      </c>
      <c r="H3576" s="402">
        <v>71.441747399673233</v>
      </c>
      <c r="I3576" s="402"/>
      <c r="J3576" s="400"/>
      <c r="K3576" s="400"/>
      <c r="L3576" s="400"/>
      <c r="M3576" s="400"/>
      <c r="N3576" s="400">
        <f t="shared" si="166"/>
        <v>71.441747399673233</v>
      </c>
    </row>
    <row r="3577" spans="1:14" s="360" customFormat="1" hidden="1" outlineLevel="2" x14ac:dyDescent="0.35">
      <c r="A3577" s="403" t="s">
        <v>3943</v>
      </c>
      <c r="B3577" s="397">
        <v>44377</v>
      </c>
      <c r="C3577" s="398" t="s">
        <v>6920</v>
      </c>
      <c r="D3577" s="399" t="s">
        <v>6934</v>
      </c>
      <c r="E3577" s="399" t="s">
        <v>6910</v>
      </c>
      <c r="F3577" s="400">
        <v>192000</v>
      </c>
      <c r="G3577" s="401" t="s">
        <v>3800</v>
      </c>
      <c r="H3577" s="402">
        <v>71.441747399673233</v>
      </c>
      <c r="I3577" s="402"/>
      <c r="J3577" s="400"/>
      <c r="K3577" s="400"/>
      <c r="L3577" s="400"/>
      <c r="M3577" s="400"/>
      <c r="N3577" s="400">
        <f t="shared" si="166"/>
        <v>71.441747399673233</v>
      </c>
    </row>
    <row r="3578" spans="1:14" s="360" customFormat="1" hidden="1" outlineLevel="2" x14ac:dyDescent="0.35">
      <c r="A3578" s="403" t="s">
        <v>3943</v>
      </c>
      <c r="B3578" s="397">
        <v>44411</v>
      </c>
      <c r="C3578" s="398" t="s">
        <v>6922</v>
      </c>
      <c r="D3578" s="399" t="s">
        <v>6923</v>
      </c>
      <c r="E3578" s="399" t="s">
        <v>6910</v>
      </c>
      <c r="F3578" s="400">
        <v>192000</v>
      </c>
      <c r="G3578" s="401" t="s">
        <v>3800</v>
      </c>
      <c r="H3578" s="402">
        <v>71.441747399673233</v>
      </c>
      <c r="I3578" s="402"/>
      <c r="J3578" s="400"/>
      <c r="K3578" s="400"/>
      <c r="L3578" s="400"/>
      <c r="M3578" s="400"/>
      <c r="N3578" s="400">
        <f t="shared" si="166"/>
        <v>71.441747399673233</v>
      </c>
    </row>
    <row r="3579" spans="1:14" s="360" customFormat="1" hidden="1" outlineLevel="2" x14ac:dyDescent="0.35">
      <c r="A3579" s="403" t="s">
        <v>3943</v>
      </c>
      <c r="B3579" s="397">
        <v>44433</v>
      </c>
      <c r="C3579" s="398" t="s">
        <v>6924</v>
      </c>
      <c r="D3579" s="399" t="s">
        <v>6925</v>
      </c>
      <c r="E3579" s="399" t="s">
        <v>6910</v>
      </c>
      <c r="F3579" s="400">
        <v>192000</v>
      </c>
      <c r="G3579" s="401" t="s">
        <v>3800</v>
      </c>
      <c r="H3579" s="402">
        <v>71.441747399673233</v>
      </c>
      <c r="I3579" s="402"/>
      <c r="J3579" s="400"/>
      <c r="K3579" s="400"/>
      <c r="L3579" s="400"/>
      <c r="M3579" s="400"/>
      <c r="N3579" s="400">
        <f t="shared" si="166"/>
        <v>71.441747399673233</v>
      </c>
    </row>
    <row r="3580" spans="1:14" s="360" customFormat="1" hidden="1" outlineLevel="2" x14ac:dyDescent="0.35">
      <c r="A3580" s="403" t="s">
        <v>3943</v>
      </c>
      <c r="B3580" s="397">
        <v>44467</v>
      </c>
      <c r="C3580" s="398" t="s">
        <v>6926</v>
      </c>
      <c r="D3580" s="399" t="s">
        <v>6927</v>
      </c>
      <c r="E3580" s="399" t="s">
        <v>6910</v>
      </c>
      <c r="F3580" s="400">
        <v>192000</v>
      </c>
      <c r="G3580" s="401" t="s">
        <v>3800</v>
      </c>
      <c r="H3580" s="402">
        <v>71.441747399673233</v>
      </c>
      <c r="I3580" s="402"/>
      <c r="J3580" s="400"/>
      <c r="K3580" s="400"/>
      <c r="L3580" s="400"/>
      <c r="M3580" s="400"/>
      <c r="N3580" s="400">
        <f t="shared" si="166"/>
        <v>71.441747399673233</v>
      </c>
    </row>
    <row r="3581" spans="1:14" s="360" customFormat="1" hidden="1" outlineLevel="2" x14ac:dyDescent="0.35">
      <c r="A3581" s="403" t="s">
        <v>3943</v>
      </c>
      <c r="B3581" s="397">
        <v>44498</v>
      </c>
      <c r="C3581" s="398" t="s">
        <v>6928</v>
      </c>
      <c r="D3581" s="399" t="s">
        <v>6929</v>
      </c>
      <c r="E3581" s="399" t="s">
        <v>6910</v>
      </c>
      <c r="F3581" s="400">
        <v>192000</v>
      </c>
      <c r="G3581" s="401" t="s">
        <v>3800</v>
      </c>
      <c r="H3581" s="402">
        <v>71.441747399673233</v>
      </c>
      <c r="I3581" s="402"/>
      <c r="J3581" s="400"/>
      <c r="K3581" s="400"/>
      <c r="L3581" s="400"/>
      <c r="M3581" s="400"/>
      <c r="N3581" s="400">
        <f t="shared" si="166"/>
        <v>71.441747399673233</v>
      </c>
    </row>
    <row r="3582" spans="1:14" s="360" customFormat="1" hidden="1" outlineLevel="2" x14ac:dyDescent="0.35">
      <c r="A3582" s="403" t="s">
        <v>3943</v>
      </c>
      <c r="B3582" s="397">
        <v>44530</v>
      </c>
      <c r="C3582" s="398" t="s">
        <v>6930</v>
      </c>
      <c r="D3582" s="399" t="s">
        <v>6931</v>
      </c>
      <c r="E3582" s="399" t="s">
        <v>6910</v>
      </c>
      <c r="F3582" s="400">
        <v>192000</v>
      </c>
      <c r="G3582" s="401" t="s">
        <v>3800</v>
      </c>
      <c r="H3582" s="402">
        <v>71.441747399673233</v>
      </c>
      <c r="I3582" s="402"/>
      <c r="J3582" s="400"/>
      <c r="K3582" s="400"/>
      <c r="L3582" s="400"/>
      <c r="M3582" s="400"/>
      <c r="N3582" s="400">
        <f t="shared" si="166"/>
        <v>71.441747399673233</v>
      </c>
    </row>
    <row r="3583" spans="1:14" s="360" customFormat="1" hidden="1" outlineLevel="2" x14ac:dyDescent="0.35">
      <c r="A3583" s="403" t="s">
        <v>3943</v>
      </c>
      <c r="B3583" s="397">
        <v>44548</v>
      </c>
      <c r="C3583" s="398" t="s">
        <v>6908</v>
      </c>
      <c r="D3583" s="399" t="s">
        <v>6909</v>
      </c>
      <c r="E3583" s="399" t="s">
        <v>6910</v>
      </c>
      <c r="F3583" s="400">
        <v>192000</v>
      </c>
      <c r="G3583" s="401" t="s">
        <v>3800</v>
      </c>
      <c r="H3583" s="402">
        <v>71.441747399673233</v>
      </c>
      <c r="I3583" s="402"/>
      <c r="J3583" s="400"/>
      <c r="K3583" s="400"/>
      <c r="L3583" s="400"/>
      <c r="M3583" s="400"/>
      <c r="N3583" s="400">
        <f t="shared" si="166"/>
        <v>71.441747399673233</v>
      </c>
    </row>
    <row r="3584" spans="1:14" s="360" customFormat="1" outlineLevel="1" collapsed="1" x14ac:dyDescent="0.35">
      <c r="A3584" s="396" t="s">
        <v>6940</v>
      </c>
      <c r="B3584" s="397"/>
      <c r="C3584" s="398"/>
      <c r="D3584" s="399"/>
      <c r="E3584" s="399"/>
      <c r="F3584" s="400"/>
      <c r="G3584" s="401"/>
      <c r="H3584" s="402">
        <f t="shared" ref="H3584:N3584" si="167">SUBTOTAL(9,H3573:H3583)</f>
        <v>720.37095294670496</v>
      </c>
      <c r="I3584" s="402"/>
      <c r="J3584" s="400">
        <f t="shared" si="167"/>
        <v>0</v>
      </c>
      <c r="K3584" s="400">
        <f t="shared" si="167"/>
        <v>0</v>
      </c>
      <c r="L3584" s="400">
        <f t="shared" si="167"/>
        <v>0</v>
      </c>
      <c r="M3584" s="400">
        <f t="shared" si="167"/>
        <v>0</v>
      </c>
      <c r="N3584" s="400">
        <f t="shared" si="167"/>
        <v>720.37095294670496</v>
      </c>
    </row>
    <row r="3585" spans="1:14" s="360" customFormat="1" hidden="1" outlineLevel="2" x14ac:dyDescent="0.35">
      <c r="A3585" s="403" t="s">
        <v>3948</v>
      </c>
      <c r="B3585" s="397">
        <v>44286</v>
      </c>
      <c r="C3585" s="398" t="s">
        <v>6912</v>
      </c>
      <c r="D3585" s="399" t="s">
        <v>6913</v>
      </c>
      <c r="E3585" s="399" t="s">
        <v>6910</v>
      </c>
      <c r="F3585" s="400">
        <v>64000</v>
      </c>
      <c r="G3585" s="401" t="s">
        <v>3800</v>
      </c>
      <c r="H3585" s="402">
        <v>23.813915799891074</v>
      </c>
      <c r="I3585" s="402"/>
      <c r="J3585" s="400"/>
      <c r="K3585" s="400"/>
      <c r="L3585" s="400"/>
      <c r="M3585" s="400"/>
      <c r="N3585" s="400">
        <f t="shared" ref="N3585:N3595" si="168">H3585</f>
        <v>23.813915799891074</v>
      </c>
    </row>
    <row r="3586" spans="1:14" s="360" customFormat="1" hidden="1" outlineLevel="2" x14ac:dyDescent="0.35">
      <c r="A3586" s="403" t="s">
        <v>3948</v>
      </c>
      <c r="B3586" s="397">
        <v>44286</v>
      </c>
      <c r="C3586" s="398" t="s">
        <v>6914</v>
      </c>
      <c r="D3586" s="399" t="s">
        <v>6915</v>
      </c>
      <c r="E3586" s="399" t="s">
        <v>6910</v>
      </c>
      <c r="F3586" s="400">
        <v>192000</v>
      </c>
      <c r="G3586" s="401" t="s">
        <v>3800</v>
      </c>
      <c r="H3586" s="402">
        <v>71.441747399673233</v>
      </c>
      <c r="I3586" s="402"/>
      <c r="J3586" s="400"/>
      <c r="K3586" s="400"/>
      <c r="L3586" s="400"/>
      <c r="M3586" s="400"/>
      <c r="N3586" s="400">
        <f t="shared" si="168"/>
        <v>71.441747399673233</v>
      </c>
    </row>
    <row r="3587" spans="1:14" s="360" customFormat="1" hidden="1" outlineLevel="2" x14ac:dyDescent="0.35">
      <c r="A3587" s="403" t="s">
        <v>3948</v>
      </c>
      <c r="B3587" s="397">
        <v>44316</v>
      </c>
      <c r="C3587" s="398" t="s">
        <v>6916</v>
      </c>
      <c r="D3587" s="399" t="s">
        <v>6917</v>
      </c>
      <c r="E3587" s="399" t="s">
        <v>6910</v>
      </c>
      <c r="F3587" s="400">
        <v>192000</v>
      </c>
      <c r="G3587" s="401" t="s">
        <v>3800</v>
      </c>
      <c r="H3587" s="402">
        <v>71.441747399673233</v>
      </c>
      <c r="I3587" s="402"/>
      <c r="J3587" s="400"/>
      <c r="K3587" s="400"/>
      <c r="L3587" s="400"/>
      <c r="M3587" s="400"/>
      <c r="N3587" s="400">
        <f t="shared" si="168"/>
        <v>71.441747399673233</v>
      </c>
    </row>
    <row r="3588" spans="1:14" s="360" customFormat="1" hidden="1" outlineLevel="2" x14ac:dyDescent="0.35">
      <c r="A3588" s="403" t="s">
        <v>3948</v>
      </c>
      <c r="B3588" s="397">
        <v>44347</v>
      </c>
      <c r="C3588" s="398" t="s">
        <v>6918</v>
      </c>
      <c r="D3588" s="399" t="s">
        <v>6919</v>
      </c>
      <c r="E3588" s="399" t="s">
        <v>6910</v>
      </c>
      <c r="F3588" s="400">
        <v>192000</v>
      </c>
      <c r="G3588" s="401" t="s">
        <v>3800</v>
      </c>
      <c r="H3588" s="402">
        <v>71.441747399673233</v>
      </c>
      <c r="I3588" s="402"/>
      <c r="J3588" s="400"/>
      <c r="K3588" s="400"/>
      <c r="L3588" s="400"/>
      <c r="M3588" s="400"/>
      <c r="N3588" s="400">
        <f t="shared" si="168"/>
        <v>71.441747399673233</v>
      </c>
    </row>
    <row r="3589" spans="1:14" s="360" customFormat="1" hidden="1" outlineLevel="2" x14ac:dyDescent="0.35">
      <c r="A3589" s="403" t="s">
        <v>3948</v>
      </c>
      <c r="B3589" s="397">
        <v>44377</v>
      </c>
      <c r="C3589" s="398" t="s">
        <v>6920</v>
      </c>
      <c r="D3589" s="399" t="s">
        <v>6941</v>
      </c>
      <c r="E3589" s="399" t="s">
        <v>6910</v>
      </c>
      <c r="F3589" s="400">
        <v>192000</v>
      </c>
      <c r="G3589" s="401" t="s">
        <v>3800</v>
      </c>
      <c r="H3589" s="402">
        <v>71.441747399673233</v>
      </c>
      <c r="I3589" s="402"/>
      <c r="J3589" s="400"/>
      <c r="K3589" s="400"/>
      <c r="L3589" s="400"/>
      <c r="M3589" s="400"/>
      <c r="N3589" s="400">
        <f t="shared" si="168"/>
        <v>71.441747399673233</v>
      </c>
    </row>
    <row r="3590" spans="1:14" s="360" customFormat="1" hidden="1" outlineLevel="2" x14ac:dyDescent="0.35">
      <c r="A3590" s="403" t="s">
        <v>3948</v>
      </c>
      <c r="B3590" s="397">
        <v>44411</v>
      </c>
      <c r="C3590" s="398" t="s">
        <v>6922</v>
      </c>
      <c r="D3590" s="399" t="s">
        <v>6923</v>
      </c>
      <c r="E3590" s="399" t="s">
        <v>6910</v>
      </c>
      <c r="F3590" s="400">
        <v>192000</v>
      </c>
      <c r="G3590" s="401" t="s">
        <v>3800</v>
      </c>
      <c r="H3590" s="402">
        <v>71.441747399673233</v>
      </c>
      <c r="I3590" s="402"/>
      <c r="J3590" s="400"/>
      <c r="K3590" s="400"/>
      <c r="L3590" s="400"/>
      <c r="M3590" s="400"/>
      <c r="N3590" s="400">
        <f t="shared" si="168"/>
        <v>71.441747399673233</v>
      </c>
    </row>
    <row r="3591" spans="1:14" s="360" customFormat="1" hidden="1" outlineLevel="2" x14ac:dyDescent="0.35">
      <c r="A3591" s="403" t="s">
        <v>3948</v>
      </c>
      <c r="B3591" s="397">
        <v>44433</v>
      </c>
      <c r="C3591" s="398" t="s">
        <v>6924</v>
      </c>
      <c r="D3591" s="399" t="s">
        <v>6925</v>
      </c>
      <c r="E3591" s="399" t="s">
        <v>6910</v>
      </c>
      <c r="F3591" s="400">
        <v>192000</v>
      </c>
      <c r="G3591" s="401" t="s">
        <v>3800</v>
      </c>
      <c r="H3591" s="402">
        <v>71.441747399673233</v>
      </c>
      <c r="I3591" s="402"/>
      <c r="J3591" s="400"/>
      <c r="K3591" s="400"/>
      <c r="L3591" s="400"/>
      <c r="M3591" s="400"/>
      <c r="N3591" s="400">
        <f t="shared" si="168"/>
        <v>71.441747399673233</v>
      </c>
    </row>
    <row r="3592" spans="1:14" s="360" customFormat="1" hidden="1" outlineLevel="2" x14ac:dyDescent="0.35">
      <c r="A3592" s="403" t="s">
        <v>3948</v>
      </c>
      <c r="B3592" s="397">
        <v>44467</v>
      </c>
      <c r="C3592" s="398" t="s">
        <v>6926</v>
      </c>
      <c r="D3592" s="399" t="s">
        <v>6927</v>
      </c>
      <c r="E3592" s="399" t="s">
        <v>6910</v>
      </c>
      <c r="F3592" s="400">
        <v>192000</v>
      </c>
      <c r="G3592" s="401" t="s">
        <v>3800</v>
      </c>
      <c r="H3592" s="402">
        <v>71.441747399673233</v>
      </c>
      <c r="I3592" s="402"/>
      <c r="J3592" s="400"/>
      <c r="K3592" s="400"/>
      <c r="L3592" s="400"/>
      <c r="M3592" s="400"/>
      <c r="N3592" s="400">
        <f t="shared" si="168"/>
        <v>71.441747399673233</v>
      </c>
    </row>
    <row r="3593" spans="1:14" s="360" customFormat="1" hidden="1" outlineLevel="2" x14ac:dyDescent="0.35">
      <c r="A3593" s="403" t="s">
        <v>3948</v>
      </c>
      <c r="B3593" s="397">
        <v>44498</v>
      </c>
      <c r="C3593" s="398" t="s">
        <v>6928</v>
      </c>
      <c r="D3593" s="399" t="s">
        <v>6929</v>
      </c>
      <c r="E3593" s="399" t="s">
        <v>6910</v>
      </c>
      <c r="F3593" s="400">
        <v>192000</v>
      </c>
      <c r="G3593" s="401" t="s">
        <v>3800</v>
      </c>
      <c r="H3593" s="402">
        <v>71.441747399673233</v>
      </c>
      <c r="I3593" s="402"/>
      <c r="J3593" s="400"/>
      <c r="K3593" s="400"/>
      <c r="L3593" s="400"/>
      <c r="M3593" s="400"/>
      <c r="N3593" s="400">
        <f t="shared" si="168"/>
        <v>71.441747399673233</v>
      </c>
    </row>
    <row r="3594" spans="1:14" s="360" customFormat="1" hidden="1" outlineLevel="2" x14ac:dyDescent="0.35">
      <c r="A3594" s="403" t="s">
        <v>3948</v>
      </c>
      <c r="B3594" s="397">
        <v>44530</v>
      </c>
      <c r="C3594" s="398" t="s">
        <v>6930</v>
      </c>
      <c r="D3594" s="399" t="s">
        <v>6931</v>
      </c>
      <c r="E3594" s="399" t="s">
        <v>6910</v>
      </c>
      <c r="F3594" s="400">
        <v>192000</v>
      </c>
      <c r="G3594" s="401" t="s">
        <v>3800</v>
      </c>
      <c r="H3594" s="402">
        <v>71.441747399673233</v>
      </c>
      <c r="I3594" s="402"/>
      <c r="J3594" s="400"/>
      <c r="K3594" s="400"/>
      <c r="L3594" s="400"/>
      <c r="M3594" s="400"/>
      <c r="N3594" s="400">
        <f t="shared" si="168"/>
        <v>71.441747399673233</v>
      </c>
    </row>
    <row r="3595" spans="1:14" s="360" customFormat="1" hidden="1" outlineLevel="2" x14ac:dyDescent="0.35">
      <c r="A3595" s="403" t="s">
        <v>3948</v>
      </c>
      <c r="B3595" s="397">
        <v>44548</v>
      </c>
      <c r="C3595" s="398" t="s">
        <v>6908</v>
      </c>
      <c r="D3595" s="399" t="s">
        <v>6909</v>
      </c>
      <c r="E3595" s="399" t="s">
        <v>6910</v>
      </c>
      <c r="F3595" s="400">
        <v>192000</v>
      </c>
      <c r="G3595" s="401" t="s">
        <v>3800</v>
      </c>
      <c r="H3595" s="402">
        <v>71.441747399673233</v>
      </c>
      <c r="I3595" s="402"/>
      <c r="J3595" s="400"/>
      <c r="K3595" s="400"/>
      <c r="L3595" s="400"/>
      <c r="M3595" s="400"/>
      <c r="N3595" s="400">
        <f t="shared" si="168"/>
        <v>71.441747399673233</v>
      </c>
    </row>
    <row r="3596" spans="1:14" s="360" customFormat="1" outlineLevel="1" collapsed="1" x14ac:dyDescent="0.35">
      <c r="A3596" s="396" t="s">
        <v>6942</v>
      </c>
      <c r="B3596" s="397"/>
      <c r="C3596" s="398"/>
      <c r="D3596" s="399"/>
      <c r="E3596" s="399"/>
      <c r="F3596" s="400"/>
      <c r="G3596" s="401"/>
      <c r="H3596" s="402">
        <f t="shared" ref="H3596:N3596" si="169">SUBTOTAL(9,H3585:H3595)</f>
        <v>738.23138979662326</v>
      </c>
      <c r="I3596" s="402"/>
      <c r="J3596" s="400">
        <f t="shared" si="169"/>
        <v>0</v>
      </c>
      <c r="K3596" s="400">
        <f t="shared" si="169"/>
        <v>0</v>
      </c>
      <c r="L3596" s="400">
        <f t="shared" si="169"/>
        <v>0</v>
      </c>
      <c r="M3596" s="400">
        <f t="shared" si="169"/>
        <v>0</v>
      </c>
      <c r="N3596" s="400">
        <f t="shared" si="169"/>
        <v>738.23138979662326</v>
      </c>
    </row>
    <row r="3597" spans="1:14" s="360" customFormat="1" hidden="1" outlineLevel="2" x14ac:dyDescent="0.35">
      <c r="A3597" s="403" t="s">
        <v>3947</v>
      </c>
      <c r="B3597" s="397">
        <v>44286</v>
      </c>
      <c r="C3597" s="398" t="s">
        <v>6912</v>
      </c>
      <c r="D3597" s="399" t="s">
        <v>6913</v>
      </c>
      <c r="E3597" s="399" t="s">
        <v>6910</v>
      </c>
      <c r="F3597" s="400">
        <v>64000</v>
      </c>
      <c r="G3597" s="401" t="s">
        <v>3800</v>
      </c>
      <c r="H3597" s="402">
        <v>23.813915799891074</v>
      </c>
      <c r="I3597" s="402"/>
      <c r="J3597" s="400"/>
      <c r="K3597" s="400"/>
      <c r="L3597" s="400"/>
      <c r="M3597" s="400"/>
      <c r="N3597" s="400">
        <f t="shared" ref="N3597:N3607" si="170">H3597</f>
        <v>23.813915799891074</v>
      </c>
    </row>
    <row r="3598" spans="1:14" s="360" customFormat="1" hidden="1" outlineLevel="2" x14ac:dyDescent="0.35">
      <c r="A3598" s="403" t="s">
        <v>3947</v>
      </c>
      <c r="B3598" s="397">
        <v>44286</v>
      </c>
      <c r="C3598" s="398" t="s">
        <v>6914</v>
      </c>
      <c r="D3598" s="399" t="s">
        <v>6915</v>
      </c>
      <c r="E3598" s="399" t="s">
        <v>6910</v>
      </c>
      <c r="F3598" s="400">
        <v>192000</v>
      </c>
      <c r="G3598" s="401" t="s">
        <v>3800</v>
      </c>
      <c r="H3598" s="402">
        <v>71.441747399673233</v>
      </c>
      <c r="I3598" s="402"/>
      <c r="J3598" s="400"/>
      <c r="K3598" s="400"/>
      <c r="L3598" s="400"/>
      <c r="M3598" s="400"/>
      <c r="N3598" s="400">
        <f t="shared" si="170"/>
        <v>71.441747399673233</v>
      </c>
    </row>
    <row r="3599" spans="1:14" s="360" customFormat="1" hidden="1" outlineLevel="2" x14ac:dyDescent="0.35">
      <c r="A3599" s="403" t="s">
        <v>3947</v>
      </c>
      <c r="B3599" s="397">
        <v>44316</v>
      </c>
      <c r="C3599" s="398" t="s">
        <v>6916</v>
      </c>
      <c r="D3599" s="399" t="s">
        <v>6917</v>
      </c>
      <c r="E3599" s="399" t="s">
        <v>6910</v>
      </c>
      <c r="F3599" s="400">
        <v>144000</v>
      </c>
      <c r="G3599" s="401" t="s">
        <v>3800</v>
      </c>
      <c r="H3599" s="402">
        <v>53.581310549754917</v>
      </c>
      <c r="I3599" s="402"/>
      <c r="J3599" s="400"/>
      <c r="K3599" s="400"/>
      <c r="L3599" s="400"/>
      <c r="M3599" s="400"/>
      <c r="N3599" s="400">
        <f t="shared" si="170"/>
        <v>53.581310549754917</v>
      </c>
    </row>
    <row r="3600" spans="1:14" s="360" customFormat="1" hidden="1" outlineLevel="2" x14ac:dyDescent="0.35">
      <c r="A3600" s="403" t="s">
        <v>3947</v>
      </c>
      <c r="B3600" s="397">
        <v>44347</v>
      </c>
      <c r="C3600" s="398" t="s">
        <v>6918</v>
      </c>
      <c r="D3600" s="399" t="s">
        <v>6919</v>
      </c>
      <c r="E3600" s="399" t="s">
        <v>6910</v>
      </c>
      <c r="F3600" s="400">
        <v>192000</v>
      </c>
      <c r="G3600" s="401" t="s">
        <v>3800</v>
      </c>
      <c r="H3600" s="402">
        <v>71.441747399673233</v>
      </c>
      <c r="I3600" s="402"/>
      <c r="J3600" s="400"/>
      <c r="K3600" s="400"/>
      <c r="L3600" s="400"/>
      <c r="M3600" s="400"/>
      <c r="N3600" s="400">
        <f t="shared" si="170"/>
        <v>71.441747399673233</v>
      </c>
    </row>
    <row r="3601" spans="1:14" s="360" customFormat="1" hidden="1" outlineLevel="2" x14ac:dyDescent="0.35">
      <c r="A3601" s="403" t="s">
        <v>3947</v>
      </c>
      <c r="B3601" s="397">
        <v>44377</v>
      </c>
      <c r="C3601" s="398" t="s">
        <v>6920</v>
      </c>
      <c r="D3601" s="399" t="s">
        <v>6921</v>
      </c>
      <c r="E3601" s="399" t="s">
        <v>6910</v>
      </c>
      <c r="F3601" s="400">
        <v>192000</v>
      </c>
      <c r="G3601" s="401" t="s">
        <v>3800</v>
      </c>
      <c r="H3601" s="402">
        <v>71.441747399673233</v>
      </c>
      <c r="I3601" s="402"/>
      <c r="J3601" s="400"/>
      <c r="K3601" s="400"/>
      <c r="L3601" s="400"/>
      <c r="M3601" s="400"/>
      <c r="N3601" s="400">
        <f t="shared" si="170"/>
        <v>71.441747399673233</v>
      </c>
    </row>
    <row r="3602" spans="1:14" s="360" customFormat="1" hidden="1" outlineLevel="2" x14ac:dyDescent="0.35">
      <c r="A3602" s="403" t="s">
        <v>3947</v>
      </c>
      <c r="B3602" s="397">
        <v>44411</v>
      </c>
      <c r="C3602" s="398" t="s">
        <v>6922</v>
      </c>
      <c r="D3602" s="399" t="s">
        <v>6923</v>
      </c>
      <c r="E3602" s="399" t="s">
        <v>6910</v>
      </c>
      <c r="F3602" s="400">
        <v>192000</v>
      </c>
      <c r="G3602" s="401" t="s">
        <v>3800</v>
      </c>
      <c r="H3602" s="402">
        <v>71.441747399673233</v>
      </c>
      <c r="I3602" s="402"/>
      <c r="J3602" s="400"/>
      <c r="K3602" s="400"/>
      <c r="L3602" s="400"/>
      <c r="M3602" s="400"/>
      <c r="N3602" s="400">
        <f t="shared" si="170"/>
        <v>71.441747399673233</v>
      </c>
    </row>
    <row r="3603" spans="1:14" s="360" customFormat="1" hidden="1" outlineLevel="2" x14ac:dyDescent="0.35">
      <c r="A3603" s="403" t="s">
        <v>3947</v>
      </c>
      <c r="B3603" s="397">
        <v>44433</v>
      </c>
      <c r="C3603" s="398" t="s">
        <v>6924</v>
      </c>
      <c r="D3603" s="399" t="s">
        <v>6925</v>
      </c>
      <c r="E3603" s="399" t="s">
        <v>6910</v>
      </c>
      <c r="F3603" s="400">
        <v>192000</v>
      </c>
      <c r="G3603" s="401" t="s">
        <v>3800</v>
      </c>
      <c r="H3603" s="402">
        <v>71.441747399673233</v>
      </c>
      <c r="I3603" s="402"/>
      <c r="J3603" s="400"/>
      <c r="K3603" s="400"/>
      <c r="L3603" s="400"/>
      <c r="M3603" s="400"/>
      <c r="N3603" s="400">
        <f t="shared" si="170"/>
        <v>71.441747399673233</v>
      </c>
    </row>
    <row r="3604" spans="1:14" s="360" customFormat="1" hidden="1" outlineLevel="2" x14ac:dyDescent="0.35">
      <c r="A3604" s="403" t="s">
        <v>3947</v>
      </c>
      <c r="B3604" s="397">
        <v>44467</v>
      </c>
      <c r="C3604" s="398" t="s">
        <v>6926</v>
      </c>
      <c r="D3604" s="399" t="s">
        <v>6927</v>
      </c>
      <c r="E3604" s="399" t="s">
        <v>6910</v>
      </c>
      <c r="F3604" s="400">
        <v>192000</v>
      </c>
      <c r="G3604" s="401" t="s">
        <v>3800</v>
      </c>
      <c r="H3604" s="402">
        <v>71.441747399673233</v>
      </c>
      <c r="I3604" s="402"/>
      <c r="J3604" s="400"/>
      <c r="K3604" s="400"/>
      <c r="L3604" s="400"/>
      <c r="M3604" s="400"/>
      <c r="N3604" s="400">
        <f t="shared" si="170"/>
        <v>71.441747399673233</v>
      </c>
    </row>
    <row r="3605" spans="1:14" s="360" customFormat="1" hidden="1" outlineLevel="2" x14ac:dyDescent="0.35">
      <c r="A3605" s="403" t="s">
        <v>3947</v>
      </c>
      <c r="B3605" s="397">
        <v>44498</v>
      </c>
      <c r="C3605" s="398" t="s">
        <v>6928</v>
      </c>
      <c r="D3605" s="399" t="s">
        <v>6929</v>
      </c>
      <c r="E3605" s="399" t="s">
        <v>6910</v>
      </c>
      <c r="F3605" s="400">
        <v>192000</v>
      </c>
      <c r="G3605" s="401" t="s">
        <v>3800</v>
      </c>
      <c r="H3605" s="402">
        <v>71.441747399673233</v>
      </c>
      <c r="I3605" s="402"/>
      <c r="J3605" s="400"/>
      <c r="K3605" s="400"/>
      <c r="L3605" s="400"/>
      <c r="M3605" s="400"/>
      <c r="N3605" s="400">
        <f t="shared" si="170"/>
        <v>71.441747399673233</v>
      </c>
    </row>
    <row r="3606" spans="1:14" s="360" customFormat="1" hidden="1" outlineLevel="2" x14ac:dyDescent="0.35">
      <c r="A3606" s="403" t="s">
        <v>3947</v>
      </c>
      <c r="B3606" s="397">
        <v>44530</v>
      </c>
      <c r="C3606" s="398" t="s">
        <v>6930</v>
      </c>
      <c r="D3606" s="399" t="s">
        <v>6931</v>
      </c>
      <c r="E3606" s="399" t="s">
        <v>6910</v>
      </c>
      <c r="F3606" s="400">
        <v>192000</v>
      </c>
      <c r="G3606" s="401" t="s">
        <v>3800</v>
      </c>
      <c r="H3606" s="402">
        <v>71.441747399673233</v>
      </c>
      <c r="I3606" s="402"/>
      <c r="J3606" s="400"/>
      <c r="K3606" s="400"/>
      <c r="L3606" s="400"/>
      <c r="M3606" s="400"/>
      <c r="N3606" s="400">
        <f t="shared" si="170"/>
        <v>71.441747399673233</v>
      </c>
    </row>
    <row r="3607" spans="1:14" s="360" customFormat="1" hidden="1" outlineLevel="2" x14ac:dyDescent="0.35">
      <c r="A3607" s="403" t="s">
        <v>3947</v>
      </c>
      <c r="B3607" s="397">
        <v>44548</v>
      </c>
      <c r="C3607" s="398" t="s">
        <v>6908</v>
      </c>
      <c r="D3607" s="399" t="s">
        <v>6909</v>
      </c>
      <c r="E3607" s="399" t="s">
        <v>6910</v>
      </c>
      <c r="F3607" s="400">
        <v>192000</v>
      </c>
      <c r="G3607" s="401" t="s">
        <v>3800</v>
      </c>
      <c r="H3607" s="402">
        <v>71.441747399673233</v>
      </c>
      <c r="I3607" s="402"/>
      <c r="J3607" s="400"/>
      <c r="K3607" s="400"/>
      <c r="L3607" s="400"/>
      <c r="M3607" s="400"/>
      <c r="N3607" s="400">
        <f t="shared" si="170"/>
        <v>71.441747399673233</v>
      </c>
    </row>
    <row r="3608" spans="1:14" s="360" customFormat="1" outlineLevel="1" collapsed="1" x14ac:dyDescent="0.35">
      <c r="A3608" s="396" t="s">
        <v>6943</v>
      </c>
      <c r="B3608" s="397"/>
      <c r="C3608" s="398"/>
      <c r="D3608" s="399"/>
      <c r="E3608" s="399"/>
      <c r="F3608" s="400"/>
      <c r="G3608" s="401"/>
      <c r="H3608" s="402">
        <f t="shared" ref="H3608:N3608" si="171">SUBTOTAL(9,H3597:H3607)</f>
        <v>720.37095294670496</v>
      </c>
      <c r="I3608" s="402"/>
      <c r="J3608" s="400">
        <f t="shared" si="171"/>
        <v>0</v>
      </c>
      <c r="K3608" s="400">
        <f t="shared" si="171"/>
        <v>0</v>
      </c>
      <c r="L3608" s="400">
        <f t="shared" si="171"/>
        <v>0</v>
      </c>
      <c r="M3608" s="400">
        <f t="shared" si="171"/>
        <v>0</v>
      </c>
      <c r="N3608" s="400">
        <f t="shared" si="171"/>
        <v>720.37095294670496</v>
      </c>
    </row>
    <row r="3609" spans="1:14" s="360" customFormat="1" hidden="1" outlineLevel="2" x14ac:dyDescent="0.35">
      <c r="A3609" s="403" t="s">
        <v>3940</v>
      </c>
      <c r="B3609" s="397">
        <v>44286</v>
      </c>
      <c r="C3609" s="398" t="s">
        <v>6912</v>
      </c>
      <c r="D3609" s="399" t="s">
        <v>6913</v>
      </c>
      <c r="E3609" s="399" t="s">
        <v>6910</v>
      </c>
      <c r="F3609" s="400">
        <v>800000</v>
      </c>
      <c r="G3609" s="401" t="s">
        <v>3800</v>
      </c>
      <c r="H3609" s="402">
        <v>297.67394749863843</v>
      </c>
      <c r="I3609" s="402"/>
      <c r="J3609" s="400"/>
      <c r="K3609" s="400"/>
      <c r="L3609" s="400"/>
      <c r="M3609" s="400"/>
      <c r="N3609" s="400">
        <f t="shared" ref="N3609:N3619" si="172">H3609</f>
        <v>297.67394749863843</v>
      </c>
    </row>
    <row r="3610" spans="1:14" s="360" customFormat="1" hidden="1" outlineLevel="2" x14ac:dyDescent="0.35">
      <c r="A3610" s="403" t="s">
        <v>3940</v>
      </c>
      <c r="B3610" s="397">
        <v>44286</v>
      </c>
      <c r="C3610" s="398" t="s">
        <v>6914</v>
      </c>
      <c r="D3610" s="399" t="s">
        <v>6915</v>
      </c>
      <c r="E3610" s="399" t="s">
        <v>6910</v>
      </c>
      <c r="F3610" s="400">
        <v>2400000</v>
      </c>
      <c r="G3610" s="401" t="s">
        <v>3800</v>
      </c>
      <c r="H3610" s="402">
        <v>893.02184249591528</v>
      </c>
      <c r="I3610" s="402"/>
      <c r="J3610" s="400"/>
      <c r="K3610" s="400"/>
      <c r="L3610" s="400"/>
      <c r="M3610" s="400"/>
      <c r="N3610" s="400">
        <f t="shared" si="172"/>
        <v>893.02184249591528</v>
      </c>
    </row>
    <row r="3611" spans="1:14" s="360" customFormat="1" hidden="1" outlineLevel="2" x14ac:dyDescent="0.35">
      <c r="A3611" s="403" t="s">
        <v>3940</v>
      </c>
      <c r="B3611" s="397">
        <v>44316</v>
      </c>
      <c r="C3611" s="398" t="s">
        <v>6916</v>
      </c>
      <c r="D3611" s="399" t="s">
        <v>6917</v>
      </c>
      <c r="E3611" s="399" t="s">
        <v>6910</v>
      </c>
      <c r="F3611" s="400">
        <v>2400000</v>
      </c>
      <c r="G3611" s="401" t="s">
        <v>3800</v>
      </c>
      <c r="H3611" s="402">
        <v>893.02184249591528</v>
      </c>
      <c r="I3611" s="402"/>
      <c r="J3611" s="400"/>
      <c r="K3611" s="400"/>
      <c r="L3611" s="400"/>
      <c r="M3611" s="400"/>
      <c r="N3611" s="400">
        <f t="shared" si="172"/>
        <v>893.02184249591528</v>
      </c>
    </row>
    <row r="3612" spans="1:14" s="360" customFormat="1" hidden="1" outlineLevel="2" x14ac:dyDescent="0.35">
      <c r="A3612" s="403" t="s">
        <v>3940</v>
      </c>
      <c r="B3612" s="397">
        <v>44347</v>
      </c>
      <c r="C3612" s="398" t="s">
        <v>6918</v>
      </c>
      <c r="D3612" s="399" t="s">
        <v>6919</v>
      </c>
      <c r="E3612" s="399" t="s">
        <v>6910</v>
      </c>
      <c r="F3612" s="400">
        <v>2400000</v>
      </c>
      <c r="G3612" s="401" t="s">
        <v>3800</v>
      </c>
      <c r="H3612" s="402">
        <v>893.02184249591528</v>
      </c>
      <c r="I3612" s="402"/>
      <c r="J3612" s="400"/>
      <c r="K3612" s="400"/>
      <c r="L3612" s="400"/>
      <c r="M3612" s="400"/>
      <c r="N3612" s="400">
        <f t="shared" si="172"/>
        <v>893.02184249591528</v>
      </c>
    </row>
    <row r="3613" spans="1:14" s="360" customFormat="1" hidden="1" outlineLevel="2" x14ac:dyDescent="0.35">
      <c r="A3613" s="403" t="s">
        <v>3940</v>
      </c>
      <c r="B3613" s="397">
        <v>44377</v>
      </c>
      <c r="C3613" s="398" t="s">
        <v>6920</v>
      </c>
      <c r="D3613" s="399" t="s">
        <v>6921</v>
      </c>
      <c r="E3613" s="399" t="s">
        <v>6910</v>
      </c>
      <c r="F3613" s="400">
        <v>2400000</v>
      </c>
      <c r="G3613" s="401" t="s">
        <v>3800</v>
      </c>
      <c r="H3613" s="402">
        <v>893.02184249591528</v>
      </c>
      <c r="I3613" s="402"/>
      <c r="J3613" s="400"/>
      <c r="K3613" s="400"/>
      <c r="L3613" s="400"/>
      <c r="M3613" s="400"/>
      <c r="N3613" s="400">
        <f t="shared" si="172"/>
        <v>893.02184249591528</v>
      </c>
    </row>
    <row r="3614" spans="1:14" s="360" customFormat="1" hidden="1" outlineLevel="2" x14ac:dyDescent="0.35">
      <c r="A3614" s="403" t="s">
        <v>3940</v>
      </c>
      <c r="B3614" s="397">
        <v>44411</v>
      </c>
      <c r="C3614" s="398" t="s">
        <v>6922</v>
      </c>
      <c r="D3614" s="399" t="s">
        <v>6923</v>
      </c>
      <c r="E3614" s="399" t="s">
        <v>6910</v>
      </c>
      <c r="F3614" s="400">
        <v>2400000</v>
      </c>
      <c r="G3614" s="401" t="s">
        <v>3800</v>
      </c>
      <c r="H3614" s="402">
        <v>893.02184249591528</v>
      </c>
      <c r="I3614" s="402"/>
      <c r="J3614" s="400"/>
      <c r="K3614" s="400"/>
      <c r="L3614" s="400"/>
      <c r="M3614" s="400"/>
      <c r="N3614" s="400">
        <f t="shared" si="172"/>
        <v>893.02184249591528</v>
      </c>
    </row>
    <row r="3615" spans="1:14" s="360" customFormat="1" hidden="1" outlineLevel="2" x14ac:dyDescent="0.35">
      <c r="A3615" s="403" t="s">
        <v>3940</v>
      </c>
      <c r="B3615" s="397">
        <v>44433</v>
      </c>
      <c r="C3615" s="398" t="s">
        <v>6924</v>
      </c>
      <c r="D3615" s="399" t="s">
        <v>6925</v>
      </c>
      <c r="E3615" s="399" t="s">
        <v>6910</v>
      </c>
      <c r="F3615" s="400">
        <v>2400000</v>
      </c>
      <c r="G3615" s="401" t="s">
        <v>3800</v>
      </c>
      <c r="H3615" s="402">
        <v>893.02184249591528</v>
      </c>
      <c r="I3615" s="402"/>
      <c r="J3615" s="400"/>
      <c r="K3615" s="400"/>
      <c r="L3615" s="400"/>
      <c r="M3615" s="400"/>
      <c r="N3615" s="400">
        <f t="shared" si="172"/>
        <v>893.02184249591528</v>
      </c>
    </row>
    <row r="3616" spans="1:14" s="360" customFormat="1" hidden="1" outlineLevel="2" x14ac:dyDescent="0.35">
      <c r="A3616" s="403" t="s">
        <v>3940</v>
      </c>
      <c r="B3616" s="397">
        <v>44467</v>
      </c>
      <c r="C3616" s="398" t="s">
        <v>6926</v>
      </c>
      <c r="D3616" s="399" t="s">
        <v>6927</v>
      </c>
      <c r="E3616" s="399" t="s">
        <v>6910</v>
      </c>
      <c r="F3616" s="400">
        <v>2400000</v>
      </c>
      <c r="G3616" s="401" t="s">
        <v>3800</v>
      </c>
      <c r="H3616" s="402">
        <v>893.02184249591528</v>
      </c>
      <c r="I3616" s="402"/>
      <c r="J3616" s="400"/>
      <c r="K3616" s="400"/>
      <c r="L3616" s="400"/>
      <c r="M3616" s="400"/>
      <c r="N3616" s="400">
        <f t="shared" si="172"/>
        <v>893.02184249591528</v>
      </c>
    </row>
    <row r="3617" spans="1:14" s="360" customFormat="1" hidden="1" outlineLevel="2" x14ac:dyDescent="0.35">
      <c r="A3617" s="403" t="s">
        <v>3940</v>
      </c>
      <c r="B3617" s="397">
        <v>44498</v>
      </c>
      <c r="C3617" s="398" t="s">
        <v>6928</v>
      </c>
      <c r="D3617" s="399" t="s">
        <v>6929</v>
      </c>
      <c r="E3617" s="399" t="s">
        <v>6910</v>
      </c>
      <c r="F3617" s="400">
        <v>2400000</v>
      </c>
      <c r="G3617" s="401" t="s">
        <v>3800</v>
      </c>
      <c r="H3617" s="402">
        <v>893.02184249591528</v>
      </c>
      <c r="I3617" s="402"/>
      <c r="J3617" s="400"/>
      <c r="K3617" s="400"/>
      <c r="L3617" s="400"/>
      <c r="M3617" s="400"/>
      <c r="N3617" s="400">
        <f t="shared" si="172"/>
        <v>893.02184249591528</v>
      </c>
    </row>
    <row r="3618" spans="1:14" s="360" customFormat="1" hidden="1" outlineLevel="2" x14ac:dyDescent="0.35">
      <c r="A3618" s="403" t="s">
        <v>3940</v>
      </c>
      <c r="B3618" s="397">
        <v>44530</v>
      </c>
      <c r="C3618" s="398" t="s">
        <v>6930</v>
      </c>
      <c r="D3618" s="399" t="s">
        <v>6931</v>
      </c>
      <c r="E3618" s="399" t="s">
        <v>6910</v>
      </c>
      <c r="F3618" s="400">
        <v>2400000</v>
      </c>
      <c r="G3618" s="401" t="s">
        <v>3800</v>
      </c>
      <c r="H3618" s="402">
        <v>893.02184249591528</v>
      </c>
      <c r="I3618" s="402"/>
      <c r="J3618" s="400"/>
      <c r="K3618" s="400"/>
      <c r="L3618" s="400"/>
      <c r="M3618" s="400"/>
      <c r="N3618" s="400">
        <f t="shared" si="172"/>
        <v>893.02184249591528</v>
      </c>
    </row>
    <row r="3619" spans="1:14" s="360" customFormat="1" hidden="1" outlineLevel="2" x14ac:dyDescent="0.35">
      <c r="A3619" s="403" t="s">
        <v>3940</v>
      </c>
      <c r="B3619" s="397">
        <v>44548</v>
      </c>
      <c r="C3619" s="398" t="s">
        <v>6908</v>
      </c>
      <c r="D3619" s="399" t="s">
        <v>6909</v>
      </c>
      <c r="E3619" s="399" t="s">
        <v>6910</v>
      </c>
      <c r="F3619" s="400">
        <v>2400000</v>
      </c>
      <c r="G3619" s="401" t="s">
        <v>3800</v>
      </c>
      <c r="H3619" s="402">
        <v>893.02184249591528</v>
      </c>
      <c r="I3619" s="402"/>
      <c r="J3619" s="400"/>
      <c r="K3619" s="400"/>
      <c r="L3619" s="400"/>
      <c r="M3619" s="400"/>
      <c r="N3619" s="400">
        <f t="shared" si="172"/>
        <v>893.02184249591528</v>
      </c>
    </row>
    <row r="3620" spans="1:14" s="360" customFormat="1" hidden="1" outlineLevel="2" x14ac:dyDescent="0.35">
      <c r="A3620" s="403" t="s">
        <v>3940</v>
      </c>
      <c r="B3620" s="397">
        <v>44585</v>
      </c>
      <c r="C3620" s="398" t="s">
        <v>6944</v>
      </c>
      <c r="D3620" s="399" t="s">
        <v>6909</v>
      </c>
      <c r="E3620" s="399" t="s">
        <v>6910</v>
      </c>
      <c r="F3620" s="400">
        <v>2400000</v>
      </c>
      <c r="G3620" s="401" t="s">
        <v>3800</v>
      </c>
      <c r="H3620" s="402">
        <v>893.02184249591528</v>
      </c>
      <c r="I3620" s="402"/>
      <c r="J3620" s="400"/>
      <c r="K3620" s="400"/>
      <c r="L3620" s="400"/>
      <c r="M3620" s="400"/>
      <c r="N3620" s="400">
        <v>893.02184249591528</v>
      </c>
    </row>
    <row r="3621" spans="1:14" s="360" customFormat="1" hidden="1" outlineLevel="2" x14ac:dyDescent="0.35">
      <c r="A3621" s="403" t="s">
        <v>3940</v>
      </c>
      <c r="B3621" s="397">
        <v>44585</v>
      </c>
      <c r="C3621" s="398" t="s">
        <v>6944</v>
      </c>
      <c r="D3621" s="399" t="s">
        <v>6909</v>
      </c>
      <c r="E3621" s="399" t="s">
        <v>6910</v>
      </c>
      <c r="F3621" s="400">
        <v>432000</v>
      </c>
      <c r="G3621" s="401" t="s">
        <v>3800</v>
      </c>
      <c r="H3621" s="402">
        <v>160.74393164926477</v>
      </c>
      <c r="I3621" s="402"/>
      <c r="J3621" s="400"/>
      <c r="K3621" s="400"/>
      <c r="L3621" s="400"/>
      <c r="M3621" s="400"/>
      <c r="N3621" s="400">
        <v>160.74393164926477</v>
      </c>
    </row>
    <row r="3622" spans="1:14" s="360" customFormat="1" hidden="1" outlineLevel="2" x14ac:dyDescent="0.35">
      <c r="A3622" s="403" t="s">
        <v>3940</v>
      </c>
      <c r="B3622" s="397">
        <v>44585</v>
      </c>
      <c r="C3622" s="398" t="s">
        <v>6944</v>
      </c>
      <c r="D3622" s="399" t="s">
        <v>6909</v>
      </c>
      <c r="E3622" s="399" t="s">
        <v>6910</v>
      </c>
      <c r="F3622" s="400">
        <v>55000</v>
      </c>
      <c r="G3622" s="401" t="s">
        <v>3800</v>
      </c>
      <c r="H3622" s="402">
        <v>20.465083890531393</v>
      </c>
      <c r="I3622" s="402"/>
      <c r="J3622" s="400"/>
      <c r="K3622" s="400"/>
      <c r="L3622" s="400"/>
      <c r="M3622" s="400"/>
      <c r="N3622" s="400">
        <v>20.465083890531393</v>
      </c>
    </row>
    <row r="3623" spans="1:14" s="360" customFormat="1" hidden="1" outlineLevel="2" x14ac:dyDescent="0.35">
      <c r="A3623" s="403" t="s">
        <v>3940</v>
      </c>
      <c r="B3623" s="397">
        <v>44585</v>
      </c>
      <c r="C3623" s="398" t="s">
        <v>6944</v>
      </c>
      <c r="D3623" s="399" t="s">
        <v>6909</v>
      </c>
      <c r="E3623" s="399" t="s">
        <v>6910</v>
      </c>
      <c r="F3623" s="400">
        <v>192000</v>
      </c>
      <c r="G3623" s="401" t="s">
        <v>3800</v>
      </c>
      <c r="H3623" s="402">
        <v>71.441747399673233</v>
      </c>
      <c r="I3623" s="402"/>
      <c r="J3623" s="400"/>
      <c r="K3623" s="400"/>
      <c r="L3623" s="400"/>
      <c r="M3623" s="400"/>
      <c r="N3623" s="400">
        <v>71.441747399673233</v>
      </c>
    </row>
    <row r="3624" spans="1:14" s="360" customFormat="1" hidden="1" outlineLevel="2" x14ac:dyDescent="0.35">
      <c r="A3624" s="403" t="s">
        <v>3940</v>
      </c>
      <c r="B3624" s="397">
        <v>44585</v>
      </c>
      <c r="C3624" s="398" t="s">
        <v>6944</v>
      </c>
      <c r="D3624" s="399" t="s">
        <v>6909</v>
      </c>
      <c r="E3624" s="399" t="s">
        <v>6910</v>
      </c>
      <c r="F3624" s="400">
        <v>288000</v>
      </c>
      <c r="G3624" s="401" t="s">
        <v>3800</v>
      </c>
      <c r="H3624" s="402">
        <v>107.16262109950983</v>
      </c>
      <c r="I3624" s="402"/>
      <c r="J3624" s="400"/>
      <c r="K3624" s="400"/>
      <c r="L3624" s="400"/>
      <c r="M3624" s="400"/>
      <c r="N3624" s="400">
        <v>107.16262109950983</v>
      </c>
    </row>
    <row r="3625" spans="1:14" s="360" customFormat="1" hidden="1" outlineLevel="2" x14ac:dyDescent="0.35">
      <c r="A3625" s="403" t="s">
        <v>3940</v>
      </c>
      <c r="B3625" s="397">
        <v>44585</v>
      </c>
      <c r="C3625" s="398" t="s">
        <v>6944</v>
      </c>
      <c r="D3625" s="399" t="s">
        <v>6909</v>
      </c>
      <c r="E3625" s="399" t="s">
        <v>6910</v>
      </c>
      <c r="F3625" s="400">
        <v>432000</v>
      </c>
      <c r="G3625" s="401" t="s">
        <v>3800</v>
      </c>
      <c r="H3625" s="402">
        <v>160.74393164926477</v>
      </c>
      <c r="I3625" s="402"/>
      <c r="J3625" s="400"/>
      <c r="K3625" s="400"/>
      <c r="L3625" s="400"/>
      <c r="M3625" s="400"/>
      <c r="N3625" s="400">
        <v>160.74393164926477</v>
      </c>
    </row>
    <row r="3626" spans="1:14" s="360" customFormat="1" hidden="1" outlineLevel="2" x14ac:dyDescent="0.35">
      <c r="A3626" s="403" t="s">
        <v>3940</v>
      </c>
      <c r="B3626" s="397">
        <v>44585</v>
      </c>
      <c r="C3626" s="398" t="s">
        <v>6944</v>
      </c>
      <c r="D3626" s="399" t="s">
        <v>6909</v>
      </c>
      <c r="E3626" s="399" t="s">
        <v>6910</v>
      </c>
      <c r="F3626" s="400">
        <v>432000</v>
      </c>
      <c r="G3626" s="401" t="s">
        <v>3800</v>
      </c>
      <c r="H3626" s="402">
        <v>160.74393164926477</v>
      </c>
      <c r="I3626" s="402"/>
      <c r="J3626" s="400"/>
      <c r="K3626" s="400"/>
      <c r="L3626" s="400"/>
      <c r="M3626" s="400"/>
      <c r="N3626" s="400">
        <v>160.74393164926477</v>
      </c>
    </row>
    <row r="3627" spans="1:14" s="360" customFormat="1" hidden="1" outlineLevel="2" x14ac:dyDescent="0.35">
      <c r="A3627" s="403" t="s">
        <v>3940</v>
      </c>
      <c r="B3627" s="397">
        <v>44585</v>
      </c>
      <c r="C3627" s="398" t="s">
        <v>6944</v>
      </c>
      <c r="D3627" s="399" t="s">
        <v>6909</v>
      </c>
      <c r="E3627" s="399" t="s">
        <v>6910</v>
      </c>
      <c r="F3627" s="400">
        <v>192000</v>
      </c>
      <c r="G3627" s="401" t="s">
        <v>3800</v>
      </c>
      <c r="H3627" s="402">
        <v>71.441747399673233</v>
      </c>
      <c r="I3627" s="402"/>
      <c r="J3627" s="400"/>
      <c r="K3627" s="400"/>
      <c r="L3627" s="400"/>
      <c r="M3627" s="400"/>
      <c r="N3627" s="400">
        <v>71.441747399673233</v>
      </c>
    </row>
    <row r="3628" spans="1:14" s="360" customFormat="1" hidden="1" outlineLevel="2" x14ac:dyDescent="0.35">
      <c r="A3628" s="403" t="s">
        <v>3940</v>
      </c>
      <c r="B3628" s="397">
        <v>44585</v>
      </c>
      <c r="C3628" s="398" t="s">
        <v>6944</v>
      </c>
      <c r="D3628" s="399" t="s">
        <v>6909</v>
      </c>
      <c r="E3628" s="399" t="s">
        <v>6910</v>
      </c>
      <c r="F3628" s="400">
        <v>192000</v>
      </c>
      <c r="G3628" s="401" t="s">
        <v>3800</v>
      </c>
      <c r="H3628" s="402">
        <v>71.441747399673233</v>
      </c>
      <c r="I3628" s="402"/>
      <c r="J3628" s="400"/>
      <c r="K3628" s="400"/>
      <c r="L3628" s="400"/>
      <c r="M3628" s="400"/>
      <c r="N3628" s="400">
        <v>71.441747399673233</v>
      </c>
    </row>
    <row r="3629" spans="1:14" s="360" customFormat="1" hidden="1" outlineLevel="2" x14ac:dyDescent="0.35">
      <c r="A3629" s="403" t="s">
        <v>3940</v>
      </c>
      <c r="B3629" s="397">
        <v>44585</v>
      </c>
      <c r="C3629" s="398" t="s">
        <v>6944</v>
      </c>
      <c r="D3629" s="399" t="s">
        <v>6909</v>
      </c>
      <c r="E3629" s="399" t="s">
        <v>6910</v>
      </c>
      <c r="F3629" s="400">
        <v>480000</v>
      </c>
      <c r="G3629" s="401" t="s">
        <v>3800</v>
      </c>
      <c r="H3629" s="402">
        <v>178.60436849918307</v>
      </c>
      <c r="I3629" s="402"/>
      <c r="J3629" s="400"/>
      <c r="K3629" s="400"/>
      <c r="L3629" s="400"/>
      <c r="M3629" s="400"/>
      <c r="N3629" s="400">
        <v>178.60436849918307</v>
      </c>
    </row>
    <row r="3630" spans="1:14" s="360" customFormat="1" outlineLevel="1" collapsed="1" x14ac:dyDescent="0.35">
      <c r="A3630" s="396" t="s">
        <v>6945</v>
      </c>
      <c r="B3630" s="397"/>
      <c r="C3630" s="398"/>
      <c r="D3630" s="399"/>
      <c r="E3630" s="399"/>
      <c r="F3630" s="400"/>
      <c r="G3630" s="401"/>
      <c r="H3630" s="402">
        <f t="shared" ref="H3630:N3630" si="173">SUBTOTAL(9,H3609:H3629)</f>
        <v>11123.703325589742</v>
      </c>
      <c r="I3630" s="402"/>
      <c r="J3630" s="400">
        <f t="shared" si="173"/>
        <v>0</v>
      </c>
      <c r="K3630" s="400">
        <f t="shared" si="173"/>
        <v>0</v>
      </c>
      <c r="L3630" s="400">
        <f t="shared" si="173"/>
        <v>0</v>
      </c>
      <c r="M3630" s="400">
        <f t="shared" si="173"/>
        <v>0</v>
      </c>
      <c r="N3630" s="400">
        <f t="shared" si="173"/>
        <v>11123.703325589742</v>
      </c>
    </row>
    <row r="3631" spans="1:14" s="360" customFormat="1" hidden="1" outlineLevel="2" x14ac:dyDescent="0.35">
      <c r="A3631" s="403" t="s">
        <v>3949</v>
      </c>
      <c r="B3631" s="397">
        <v>44286</v>
      </c>
      <c r="C3631" s="398" t="s">
        <v>6912</v>
      </c>
      <c r="D3631" s="399" t="s">
        <v>6913</v>
      </c>
      <c r="E3631" s="399" t="s">
        <v>6910</v>
      </c>
      <c r="F3631" s="400">
        <v>160000</v>
      </c>
      <c r="G3631" s="401" t="s">
        <v>3800</v>
      </c>
      <c r="H3631" s="402">
        <v>59.534789499727687</v>
      </c>
      <c r="I3631" s="402"/>
      <c r="J3631" s="400"/>
      <c r="K3631" s="400"/>
      <c r="L3631" s="400"/>
      <c r="M3631" s="400"/>
      <c r="N3631" s="400">
        <f t="shared" ref="N3631:N3641" si="174">H3631</f>
        <v>59.534789499727687</v>
      </c>
    </row>
    <row r="3632" spans="1:14" s="360" customFormat="1" hidden="1" outlineLevel="2" x14ac:dyDescent="0.35">
      <c r="A3632" s="403" t="s">
        <v>3949</v>
      </c>
      <c r="B3632" s="397">
        <v>44286</v>
      </c>
      <c r="C3632" s="398" t="s">
        <v>6914</v>
      </c>
      <c r="D3632" s="399" t="s">
        <v>6915</v>
      </c>
      <c r="E3632" s="399" t="s">
        <v>6910</v>
      </c>
      <c r="F3632" s="400">
        <v>480000</v>
      </c>
      <c r="G3632" s="401" t="s">
        <v>3800</v>
      </c>
      <c r="H3632" s="402">
        <v>178.60436849918307</v>
      </c>
      <c r="I3632" s="402"/>
      <c r="J3632" s="400"/>
      <c r="K3632" s="400"/>
      <c r="L3632" s="400"/>
      <c r="M3632" s="400"/>
      <c r="N3632" s="400">
        <f t="shared" si="174"/>
        <v>178.60436849918307</v>
      </c>
    </row>
    <row r="3633" spans="1:14" s="360" customFormat="1" hidden="1" outlineLevel="2" x14ac:dyDescent="0.35">
      <c r="A3633" s="403" t="s">
        <v>3949</v>
      </c>
      <c r="B3633" s="397">
        <v>44316</v>
      </c>
      <c r="C3633" s="398" t="s">
        <v>6916</v>
      </c>
      <c r="D3633" s="399" t="s">
        <v>6917</v>
      </c>
      <c r="E3633" s="399" t="s">
        <v>6910</v>
      </c>
      <c r="F3633" s="400">
        <v>480000</v>
      </c>
      <c r="G3633" s="401" t="s">
        <v>3800</v>
      </c>
      <c r="H3633" s="402">
        <v>178.60436849918307</v>
      </c>
      <c r="I3633" s="402"/>
      <c r="J3633" s="400"/>
      <c r="K3633" s="400"/>
      <c r="L3633" s="400"/>
      <c r="M3633" s="400"/>
      <c r="N3633" s="400">
        <f t="shared" si="174"/>
        <v>178.60436849918307</v>
      </c>
    </row>
    <row r="3634" spans="1:14" s="360" customFormat="1" hidden="1" outlineLevel="2" x14ac:dyDescent="0.35">
      <c r="A3634" s="403" t="s">
        <v>3949</v>
      </c>
      <c r="B3634" s="397">
        <v>44347</v>
      </c>
      <c r="C3634" s="398" t="s">
        <v>6918</v>
      </c>
      <c r="D3634" s="399" t="s">
        <v>6919</v>
      </c>
      <c r="E3634" s="399" t="s">
        <v>6910</v>
      </c>
      <c r="F3634" s="400">
        <v>480000</v>
      </c>
      <c r="G3634" s="401" t="s">
        <v>3800</v>
      </c>
      <c r="H3634" s="402">
        <v>178.60436849918307</v>
      </c>
      <c r="I3634" s="402"/>
      <c r="J3634" s="400"/>
      <c r="K3634" s="400"/>
      <c r="L3634" s="400"/>
      <c r="M3634" s="400"/>
      <c r="N3634" s="400">
        <f t="shared" si="174"/>
        <v>178.60436849918307</v>
      </c>
    </row>
    <row r="3635" spans="1:14" s="360" customFormat="1" hidden="1" outlineLevel="2" x14ac:dyDescent="0.35">
      <c r="A3635" s="403" t="s">
        <v>3949</v>
      </c>
      <c r="B3635" s="397">
        <v>44377</v>
      </c>
      <c r="C3635" s="398" t="s">
        <v>6920</v>
      </c>
      <c r="D3635" s="399" t="s">
        <v>6921</v>
      </c>
      <c r="E3635" s="399" t="s">
        <v>6910</v>
      </c>
      <c r="F3635" s="400">
        <v>480000</v>
      </c>
      <c r="G3635" s="401" t="s">
        <v>3800</v>
      </c>
      <c r="H3635" s="402">
        <v>178.60436849918307</v>
      </c>
      <c r="I3635" s="402"/>
      <c r="J3635" s="400"/>
      <c r="K3635" s="400"/>
      <c r="L3635" s="400"/>
      <c r="M3635" s="400"/>
      <c r="N3635" s="400">
        <f t="shared" si="174"/>
        <v>178.60436849918307</v>
      </c>
    </row>
    <row r="3636" spans="1:14" s="360" customFormat="1" hidden="1" outlineLevel="2" x14ac:dyDescent="0.35">
      <c r="A3636" s="403" t="s">
        <v>3949</v>
      </c>
      <c r="B3636" s="397">
        <v>44411</v>
      </c>
      <c r="C3636" s="398" t="s">
        <v>6922</v>
      </c>
      <c r="D3636" s="399" t="s">
        <v>6923</v>
      </c>
      <c r="E3636" s="399" t="s">
        <v>6910</v>
      </c>
      <c r="F3636" s="400">
        <v>480000</v>
      </c>
      <c r="G3636" s="401" t="s">
        <v>3800</v>
      </c>
      <c r="H3636" s="402">
        <v>178.60436849918307</v>
      </c>
      <c r="I3636" s="402"/>
      <c r="J3636" s="400"/>
      <c r="K3636" s="400"/>
      <c r="L3636" s="400"/>
      <c r="M3636" s="400"/>
      <c r="N3636" s="400">
        <f t="shared" si="174"/>
        <v>178.60436849918307</v>
      </c>
    </row>
    <row r="3637" spans="1:14" s="360" customFormat="1" hidden="1" outlineLevel="2" x14ac:dyDescent="0.35">
      <c r="A3637" s="403" t="s">
        <v>3949</v>
      </c>
      <c r="B3637" s="397">
        <v>44433</v>
      </c>
      <c r="C3637" s="398" t="s">
        <v>6924</v>
      </c>
      <c r="D3637" s="399" t="s">
        <v>6925</v>
      </c>
      <c r="E3637" s="399" t="s">
        <v>6910</v>
      </c>
      <c r="F3637" s="400">
        <v>480000</v>
      </c>
      <c r="G3637" s="401" t="s">
        <v>3800</v>
      </c>
      <c r="H3637" s="402">
        <v>178.60436849918307</v>
      </c>
      <c r="I3637" s="402"/>
      <c r="J3637" s="400"/>
      <c r="K3637" s="400"/>
      <c r="L3637" s="400"/>
      <c r="M3637" s="400"/>
      <c r="N3637" s="400">
        <f t="shared" si="174"/>
        <v>178.60436849918307</v>
      </c>
    </row>
    <row r="3638" spans="1:14" s="360" customFormat="1" hidden="1" outlineLevel="2" x14ac:dyDescent="0.35">
      <c r="A3638" s="403" t="s">
        <v>3949</v>
      </c>
      <c r="B3638" s="397">
        <v>44467</v>
      </c>
      <c r="C3638" s="398" t="s">
        <v>6926</v>
      </c>
      <c r="D3638" s="399" t="s">
        <v>6927</v>
      </c>
      <c r="E3638" s="399" t="s">
        <v>6910</v>
      </c>
      <c r="F3638" s="400">
        <v>480000</v>
      </c>
      <c r="G3638" s="401" t="s">
        <v>3800</v>
      </c>
      <c r="H3638" s="402">
        <v>178.60436849918307</v>
      </c>
      <c r="I3638" s="402"/>
      <c r="J3638" s="400"/>
      <c r="K3638" s="400"/>
      <c r="L3638" s="400"/>
      <c r="M3638" s="400"/>
      <c r="N3638" s="400">
        <f t="shared" si="174"/>
        <v>178.60436849918307</v>
      </c>
    </row>
    <row r="3639" spans="1:14" s="360" customFormat="1" hidden="1" outlineLevel="2" x14ac:dyDescent="0.35">
      <c r="A3639" s="403" t="s">
        <v>3949</v>
      </c>
      <c r="B3639" s="397">
        <v>44498</v>
      </c>
      <c r="C3639" s="398" t="s">
        <v>6928</v>
      </c>
      <c r="D3639" s="399" t="s">
        <v>6929</v>
      </c>
      <c r="E3639" s="399" t="s">
        <v>6910</v>
      </c>
      <c r="F3639" s="400">
        <v>480000</v>
      </c>
      <c r="G3639" s="401" t="s">
        <v>3800</v>
      </c>
      <c r="H3639" s="402">
        <v>178.60436849918307</v>
      </c>
      <c r="I3639" s="402"/>
      <c r="J3639" s="400"/>
      <c r="K3639" s="400"/>
      <c r="L3639" s="400"/>
      <c r="M3639" s="400"/>
      <c r="N3639" s="400">
        <f t="shared" si="174"/>
        <v>178.60436849918307</v>
      </c>
    </row>
    <row r="3640" spans="1:14" s="360" customFormat="1" hidden="1" outlineLevel="2" x14ac:dyDescent="0.35">
      <c r="A3640" s="403" t="s">
        <v>3949</v>
      </c>
      <c r="B3640" s="397">
        <v>44530</v>
      </c>
      <c r="C3640" s="398" t="s">
        <v>6930</v>
      </c>
      <c r="D3640" s="399" t="s">
        <v>6931</v>
      </c>
      <c r="E3640" s="399" t="s">
        <v>6910</v>
      </c>
      <c r="F3640" s="400">
        <v>480000</v>
      </c>
      <c r="G3640" s="401" t="s">
        <v>3800</v>
      </c>
      <c r="H3640" s="402">
        <v>178.60436849918307</v>
      </c>
      <c r="I3640" s="402"/>
      <c r="J3640" s="400"/>
      <c r="K3640" s="400"/>
      <c r="L3640" s="400"/>
      <c r="M3640" s="400"/>
      <c r="N3640" s="400">
        <f t="shared" si="174"/>
        <v>178.60436849918307</v>
      </c>
    </row>
    <row r="3641" spans="1:14" s="360" customFormat="1" hidden="1" outlineLevel="2" x14ac:dyDescent="0.35">
      <c r="A3641" s="403" t="s">
        <v>3949</v>
      </c>
      <c r="B3641" s="397">
        <v>44548</v>
      </c>
      <c r="C3641" s="398" t="s">
        <v>6908</v>
      </c>
      <c r="D3641" s="399" t="s">
        <v>6909</v>
      </c>
      <c r="E3641" s="399" t="s">
        <v>6910</v>
      </c>
      <c r="F3641" s="400">
        <v>480000</v>
      </c>
      <c r="G3641" s="401" t="s">
        <v>3800</v>
      </c>
      <c r="H3641" s="402">
        <v>178.60436849918307</v>
      </c>
      <c r="I3641" s="402"/>
      <c r="J3641" s="400"/>
      <c r="K3641" s="400"/>
      <c r="L3641" s="400"/>
      <c r="M3641" s="400"/>
      <c r="N3641" s="400">
        <f t="shared" si="174"/>
        <v>178.60436849918307</v>
      </c>
    </row>
    <row r="3642" spans="1:14" s="360" customFormat="1" outlineLevel="1" collapsed="1" x14ac:dyDescent="0.35">
      <c r="A3642" s="396" t="s">
        <v>6946</v>
      </c>
      <c r="B3642" s="397"/>
      <c r="C3642" s="398"/>
      <c r="D3642" s="399"/>
      <c r="E3642" s="399"/>
      <c r="F3642" s="400"/>
      <c r="G3642" s="401"/>
      <c r="H3642" s="402">
        <f t="shared" ref="H3642:N3642" si="175">SUBTOTAL(9,H3631:H3641)</f>
        <v>1845.5784744915579</v>
      </c>
      <c r="I3642" s="402"/>
      <c r="J3642" s="400">
        <f t="shared" si="175"/>
        <v>0</v>
      </c>
      <c r="K3642" s="400">
        <f t="shared" si="175"/>
        <v>0</v>
      </c>
      <c r="L3642" s="400">
        <f t="shared" si="175"/>
        <v>0</v>
      </c>
      <c r="M3642" s="400">
        <f t="shared" si="175"/>
        <v>0</v>
      </c>
      <c r="N3642" s="400">
        <f t="shared" si="175"/>
        <v>1845.5784744915579</v>
      </c>
    </row>
    <row r="3643" spans="1:14" s="360" customFormat="1" hidden="1" outlineLevel="2" x14ac:dyDescent="0.35">
      <c r="A3643" s="403" t="s">
        <v>3944</v>
      </c>
      <c r="B3643" s="397">
        <v>44286</v>
      </c>
      <c r="C3643" s="398" t="s">
        <v>6912</v>
      </c>
      <c r="D3643" s="399" t="s">
        <v>6913</v>
      </c>
      <c r="E3643" s="399" t="s">
        <v>6910</v>
      </c>
      <c r="F3643" s="400">
        <v>96000</v>
      </c>
      <c r="G3643" s="401" t="s">
        <v>3800</v>
      </c>
      <c r="H3643" s="402">
        <v>35.720873699836616</v>
      </c>
      <c r="I3643" s="402"/>
      <c r="J3643" s="400"/>
      <c r="K3643" s="400"/>
      <c r="L3643" s="400"/>
      <c r="M3643" s="400"/>
      <c r="N3643" s="400">
        <f t="shared" ref="N3643:N3653" si="176">H3643</f>
        <v>35.720873699836616</v>
      </c>
    </row>
    <row r="3644" spans="1:14" s="360" customFormat="1" hidden="1" outlineLevel="2" x14ac:dyDescent="0.35">
      <c r="A3644" s="403" t="s">
        <v>3944</v>
      </c>
      <c r="B3644" s="397">
        <v>44286</v>
      </c>
      <c r="C3644" s="398" t="s">
        <v>6914</v>
      </c>
      <c r="D3644" s="399" t="s">
        <v>6915</v>
      </c>
      <c r="E3644" s="399" t="s">
        <v>6910</v>
      </c>
      <c r="F3644" s="400">
        <v>288000</v>
      </c>
      <c r="G3644" s="401" t="s">
        <v>3800</v>
      </c>
      <c r="H3644" s="402">
        <v>107.16262109950983</v>
      </c>
      <c r="I3644" s="402"/>
      <c r="J3644" s="400"/>
      <c r="K3644" s="400"/>
      <c r="L3644" s="400"/>
      <c r="M3644" s="400"/>
      <c r="N3644" s="400">
        <f t="shared" si="176"/>
        <v>107.16262109950983</v>
      </c>
    </row>
    <row r="3645" spans="1:14" s="360" customFormat="1" hidden="1" outlineLevel="2" x14ac:dyDescent="0.35">
      <c r="A3645" s="403" t="s">
        <v>3944</v>
      </c>
      <c r="B3645" s="397">
        <v>44316</v>
      </c>
      <c r="C3645" s="398" t="s">
        <v>6916</v>
      </c>
      <c r="D3645" s="399" t="s">
        <v>6917</v>
      </c>
      <c r="E3645" s="399" t="s">
        <v>6910</v>
      </c>
      <c r="F3645" s="400">
        <v>288000</v>
      </c>
      <c r="G3645" s="401" t="s">
        <v>3800</v>
      </c>
      <c r="H3645" s="402">
        <v>107.16262109950983</v>
      </c>
      <c r="I3645" s="402"/>
      <c r="J3645" s="400"/>
      <c r="K3645" s="400"/>
      <c r="L3645" s="400"/>
      <c r="M3645" s="400"/>
      <c r="N3645" s="400">
        <f t="shared" si="176"/>
        <v>107.16262109950983</v>
      </c>
    </row>
    <row r="3646" spans="1:14" s="360" customFormat="1" hidden="1" outlineLevel="2" x14ac:dyDescent="0.35">
      <c r="A3646" s="403" t="s">
        <v>3944</v>
      </c>
      <c r="B3646" s="397">
        <v>44347</v>
      </c>
      <c r="C3646" s="398" t="s">
        <v>6918</v>
      </c>
      <c r="D3646" s="399" t="s">
        <v>6919</v>
      </c>
      <c r="E3646" s="399" t="s">
        <v>6910</v>
      </c>
      <c r="F3646" s="400">
        <v>288000</v>
      </c>
      <c r="G3646" s="401" t="s">
        <v>3800</v>
      </c>
      <c r="H3646" s="402">
        <v>107.16262109950983</v>
      </c>
      <c r="I3646" s="402"/>
      <c r="J3646" s="400"/>
      <c r="K3646" s="400"/>
      <c r="L3646" s="400"/>
      <c r="M3646" s="400"/>
      <c r="N3646" s="400">
        <f t="shared" si="176"/>
        <v>107.16262109950983</v>
      </c>
    </row>
    <row r="3647" spans="1:14" s="360" customFormat="1" hidden="1" outlineLevel="2" x14ac:dyDescent="0.35">
      <c r="A3647" s="403" t="s">
        <v>3944</v>
      </c>
      <c r="B3647" s="397">
        <v>44377</v>
      </c>
      <c r="C3647" s="398" t="s">
        <v>6920</v>
      </c>
      <c r="D3647" s="399" t="s">
        <v>6934</v>
      </c>
      <c r="E3647" s="399" t="s">
        <v>6910</v>
      </c>
      <c r="F3647" s="400">
        <v>288000</v>
      </c>
      <c r="G3647" s="401" t="s">
        <v>3800</v>
      </c>
      <c r="H3647" s="402">
        <v>107.16262109950983</v>
      </c>
      <c r="I3647" s="402"/>
      <c r="J3647" s="400"/>
      <c r="K3647" s="400"/>
      <c r="L3647" s="400"/>
      <c r="M3647" s="400"/>
      <c r="N3647" s="400">
        <f t="shared" si="176"/>
        <v>107.16262109950983</v>
      </c>
    </row>
    <row r="3648" spans="1:14" s="360" customFormat="1" hidden="1" outlineLevel="2" x14ac:dyDescent="0.35">
      <c r="A3648" s="403" t="s">
        <v>3944</v>
      </c>
      <c r="B3648" s="397">
        <v>44411</v>
      </c>
      <c r="C3648" s="398" t="s">
        <v>6922</v>
      </c>
      <c r="D3648" s="399" t="s">
        <v>6923</v>
      </c>
      <c r="E3648" s="399" t="s">
        <v>6910</v>
      </c>
      <c r="F3648" s="400">
        <v>288000</v>
      </c>
      <c r="G3648" s="401" t="s">
        <v>3800</v>
      </c>
      <c r="H3648" s="402">
        <v>107.16262109950983</v>
      </c>
      <c r="I3648" s="402"/>
      <c r="J3648" s="400"/>
      <c r="K3648" s="400"/>
      <c r="L3648" s="400"/>
      <c r="M3648" s="400"/>
      <c r="N3648" s="400">
        <f t="shared" si="176"/>
        <v>107.16262109950983</v>
      </c>
    </row>
    <row r="3649" spans="1:14" s="360" customFormat="1" hidden="1" outlineLevel="2" x14ac:dyDescent="0.35">
      <c r="A3649" s="403" t="s">
        <v>3944</v>
      </c>
      <c r="B3649" s="397">
        <v>44433</v>
      </c>
      <c r="C3649" s="398" t="s">
        <v>6924</v>
      </c>
      <c r="D3649" s="399" t="s">
        <v>6925</v>
      </c>
      <c r="E3649" s="399" t="s">
        <v>6910</v>
      </c>
      <c r="F3649" s="400">
        <v>288000</v>
      </c>
      <c r="G3649" s="401" t="s">
        <v>3800</v>
      </c>
      <c r="H3649" s="402">
        <v>107.16262109950983</v>
      </c>
      <c r="I3649" s="402"/>
      <c r="J3649" s="400"/>
      <c r="K3649" s="400"/>
      <c r="L3649" s="400"/>
      <c r="M3649" s="400"/>
      <c r="N3649" s="400">
        <f t="shared" si="176"/>
        <v>107.16262109950983</v>
      </c>
    </row>
    <row r="3650" spans="1:14" s="360" customFormat="1" hidden="1" outlineLevel="2" x14ac:dyDescent="0.35">
      <c r="A3650" s="403" t="s">
        <v>3944</v>
      </c>
      <c r="B3650" s="397">
        <v>44467</v>
      </c>
      <c r="C3650" s="398" t="s">
        <v>6926</v>
      </c>
      <c r="D3650" s="399" t="s">
        <v>6927</v>
      </c>
      <c r="E3650" s="399" t="s">
        <v>6910</v>
      </c>
      <c r="F3650" s="400">
        <v>288000</v>
      </c>
      <c r="G3650" s="401" t="s">
        <v>3800</v>
      </c>
      <c r="H3650" s="402">
        <v>107.16262109950983</v>
      </c>
      <c r="I3650" s="402"/>
      <c r="J3650" s="400"/>
      <c r="K3650" s="400"/>
      <c r="L3650" s="400"/>
      <c r="M3650" s="400"/>
      <c r="N3650" s="400">
        <f t="shared" si="176"/>
        <v>107.16262109950983</v>
      </c>
    </row>
    <row r="3651" spans="1:14" s="360" customFormat="1" hidden="1" outlineLevel="2" x14ac:dyDescent="0.35">
      <c r="A3651" s="403" t="s">
        <v>3944</v>
      </c>
      <c r="B3651" s="397">
        <v>44498</v>
      </c>
      <c r="C3651" s="398" t="s">
        <v>6928</v>
      </c>
      <c r="D3651" s="399" t="s">
        <v>6929</v>
      </c>
      <c r="E3651" s="399" t="s">
        <v>6910</v>
      </c>
      <c r="F3651" s="400">
        <v>288000</v>
      </c>
      <c r="G3651" s="401" t="s">
        <v>3800</v>
      </c>
      <c r="H3651" s="402">
        <v>107.16262109950983</v>
      </c>
      <c r="I3651" s="402"/>
      <c r="J3651" s="400"/>
      <c r="K3651" s="400"/>
      <c r="L3651" s="400"/>
      <c r="M3651" s="400"/>
      <c r="N3651" s="400">
        <f t="shared" si="176"/>
        <v>107.16262109950983</v>
      </c>
    </row>
    <row r="3652" spans="1:14" s="360" customFormat="1" hidden="1" outlineLevel="2" x14ac:dyDescent="0.35">
      <c r="A3652" s="403" t="s">
        <v>3944</v>
      </c>
      <c r="B3652" s="397">
        <v>44530</v>
      </c>
      <c r="C3652" s="398" t="s">
        <v>6930</v>
      </c>
      <c r="D3652" s="399" t="s">
        <v>6931</v>
      </c>
      <c r="E3652" s="399" t="s">
        <v>6910</v>
      </c>
      <c r="F3652" s="400">
        <v>288000</v>
      </c>
      <c r="G3652" s="401" t="s">
        <v>3800</v>
      </c>
      <c r="H3652" s="402">
        <v>107.16262109950983</v>
      </c>
      <c r="I3652" s="402"/>
      <c r="J3652" s="400"/>
      <c r="K3652" s="400"/>
      <c r="L3652" s="400"/>
      <c r="M3652" s="400"/>
      <c r="N3652" s="400">
        <f t="shared" si="176"/>
        <v>107.16262109950983</v>
      </c>
    </row>
    <row r="3653" spans="1:14" s="360" customFormat="1" hidden="1" outlineLevel="2" x14ac:dyDescent="0.35">
      <c r="A3653" s="403" t="s">
        <v>3944</v>
      </c>
      <c r="B3653" s="397">
        <v>44548</v>
      </c>
      <c r="C3653" s="398" t="s">
        <v>6908</v>
      </c>
      <c r="D3653" s="399" t="s">
        <v>6909</v>
      </c>
      <c r="E3653" s="399" t="s">
        <v>6910</v>
      </c>
      <c r="F3653" s="400">
        <v>288000</v>
      </c>
      <c r="G3653" s="401" t="s">
        <v>3800</v>
      </c>
      <c r="H3653" s="402">
        <v>107.16262109950983</v>
      </c>
      <c r="I3653" s="402"/>
      <c r="J3653" s="400"/>
      <c r="K3653" s="400"/>
      <c r="L3653" s="400"/>
      <c r="M3653" s="400"/>
      <c r="N3653" s="400">
        <f t="shared" si="176"/>
        <v>107.16262109950983</v>
      </c>
    </row>
    <row r="3654" spans="1:14" s="360" customFormat="1" outlineLevel="1" collapsed="1" x14ac:dyDescent="0.35">
      <c r="A3654" s="396" t="s">
        <v>6947</v>
      </c>
      <c r="B3654" s="397"/>
      <c r="C3654" s="398"/>
      <c r="D3654" s="399"/>
      <c r="E3654" s="399"/>
      <c r="F3654" s="400"/>
      <c r="G3654" s="401"/>
      <c r="H3654" s="402">
        <f t="shared" ref="H3654:N3654" si="177">SUBTOTAL(9,H3643:H3653)</f>
        <v>1107.3470846949349</v>
      </c>
      <c r="I3654" s="402"/>
      <c r="J3654" s="400">
        <f t="shared" si="177"/>
        <v>0</v>
      </c>
      <c r="K3654" s="400">
        <f t="shared" si="177"/>
        <v>0</v>
      </c>
      <c r="L3654" s="400">
        <f t="shared" si="177"/>
        <v>0</v>
      </c>
      <c r="M3654" s="400">
        <f t="shared" si="177"/>
        <v>0</v>
      </c>
      <c r="N3654" s="400">
        <f t="shared" si="177"/>
        <v>1107.3470846949349</v>
      </c>
    </row>
    <row r="3655" spans="1:14" s="360" customFormat="1" hidden="1" outlineLevel="2" x14ac:dyDescent="0.35">
      <c r="A3655" s="403" t="s">
        <v>3862</v>
      </c>
      <c r="B3655" s="397">
        <v>44510</v>
      </c>
      <c r="C3655" s="398" t="s">
        <v>6948</v>
      </c>
      <c r="D3655" s="399" t="s">
        <v>6949</v>
      </c>
      <c r="E3655" s="399" t="s">
        <v>6950</v>
      </c>
      <c r="F3655" s="400">
        <v>1885640</v>
      </c>
      <c r="G3655" s="401" t="s">
        <v>3800</v>
      </c>
      <c r="H3655" s="402">
        <v>701.63237795166572</v>
      </c>
      <c r="I3655" s="402"/>
      <c r="J3655" s="400"/>
      <c r="K3655" s="400"/>
      <c r="L3655" s="400"/>
      <c r="M3655" s="400"/>
      <c r="N3655" s="400">
        <f t="shared" ref="N3655:N3661" si="178">H3655</f>
        <v>701.63237795166572</v>
      </c>
    </row>
    <row r="3656" spans="1:14" s="360" customFormat="1" hidden="1" outlineLevel="2" x14ac:dyDescent="0.35">
      <c r="A3656" s="403" t="s">
        <v>3862</v>
      </c>
      <c r="B3656" s="397">
        <v>44522</v>
      </c>
      <c r="C3656" s="398" t="s">
        <v>6951</v>
      </c>
      <c r="D3656" s="399" t="s">
        <v>6952</v>
      </c>
      <c r="E3656" s="399" t="s">
        <v>4487</v>
      </c>
      <c r="F3656" s="400">
        <v>499840</v>
      </c>
      <c r="G3656" s="401" t="s">
        <v>3800</v>
      </c>
      <c r="H3656" s="402">
        <v>185.98668239714931</v>
      </c>
      <c r="I3656" s="402"/>
      <c r="J3656" s="400"/>
      <c r="K3656" s="400"/>
      <c r="L3656" s="400"/>
      <c r="M3656" s="400"/>
      <c r="N3656" s="400">
        <f t="shared" si="178"/>
        <v>185.98668239714931</v>
      </c>
    </row>
    <row r="3657" spans="1:14" s="360" customFormat="1" hidden="1" outlineLevel="2" x14ac:dyDescent="0.35">
      <c r="A3657" s="403" t="s">
        <v>3862</v>
      </c>
      <c r="B3657" s="397">
        <v>44532</v>
      </c>
      <c r="C3657" s="398" t="s">
        <v>6953</v>
      </c>
      <c r="D3657" s="399" t="s">
        <v>6954</v>
      </c>
      <c r="E3657" s="399" t="s">
        <v>6955</v>
      </c>
      <c r="F3657" s="400">
        <v>118000</v>
      </c>
      <c r="G3657" s="401" t="s">
        <v>3800</v>
      </c>
      <c r="H3657" s="402">
        <v>43.906907256049173</v>
      </c>
      <c r="I3657" s="402"/>
      <c r="J3657" s="400"/>
      <c r="K3657" s="400"/>
      <c r="L3657" s="400"/>
      <c r="M3657" s="400"/>
      <c r="N3657" s="400">
        <f t="shared" si="178"/>
        <v>43.906907256049173</v>
      </c>
    </row>
    <row r="3658" spans="1:14" s="360" customFormat="1" hidden="1" outlineLevel="2" x14ac:dyDescent="0.35">
      <c r="A3658" s="403" t="s">
        <v>3862</v>
      </c>
      <c r="B3658" s="397">
        <v>44545</v>
      </c>
      <c r="C3658" s="398" t="s">
        <v>6956</v>
      </c>
      <c r="D3658" s="399" t="s">
        <v>6957</v>
      </c>
      <c r="E3658" s="399" t="s">
        <v>6958</v>
      </c>
      <c r="F3658" s="400">
        <v>553832</v>
      </c>
      <c r="G3658" s="401" t="s">
        <v>3800</v>
      </c>
      <c r="H3658" s="402">
        <v>206.07669711383241</v>
      </c>
      <c r="I3658" s="402"/>
      <c r="J3658" s="400"/>
      <c r="K3658" s="400"/>
      <c r="L3658" s="400"/>
      <c r="M3658" s="400"/>
      <c r="N3658" s="400">
        <f t="shared" si="178"/>
        <v>206.07669711383241</v>
      </c>
    </row>
    <row r="3659" spans="1:14" s="360" customFormat="1" hidden="1" outlineLevel="2" x14ac:dyDescent="0.35">
      <c r="A3659" s="403" t="s">
        <v>3862</v>
      </c>
      <c r="B3659" s="397">
        <v>44545</v>
      </c>
      <c r="C3659" s="398" t="s">
        <v>6959</v>
      </c>
      <c r="D3659" s="399" t="s">
        <v>6960</v>
      </c>
      <c r="E3659" s="399" t="s">
        <v>6958</v>
      </c>
      <c r="F3659" s="400">
        <v>1371640</v>
      </c>
      <c r="G3659" s="401" t="s">
        <v>3800</v>
      </c>
      <c r="H3659" s="402">
        <v>510.37686668379052</v>
      </c>
      <c r="I3659" s="402"/>
      <c r="J3659" s="400"/>
      <c r="K3659" s="400"/>
      <c r="L3659" s="400"/>
      <c r="M3659" s="400"/>
      <c r="N3659" s="400">
        <f t="shared" si="178"/>
        <v>510.37686668379052</v>
      </c>
    </row>
    <row r="3660" spans="1:14" s="360" customFormat="1" hidden="1" outlineLevel="2" x14ac:dyDescent="0.35">
      <c r="A3660" s="403" t="s">
        <v>3862</v>
      </c>
      <c r="B3660" s="397">
        <v>44552</v>
      </c>
      <c r="C3660" s="398" t="s">
        <v>6722</v>
      </c>
      <c r="D3660" s="399" t="s">
        <v>6961</v>
      </c>
      <c r="E3660" s="399" t="s">
        <v>6962</v>
      </c>
      <c r="F3660" s="400">
        <v>332506</v>
      </c>
      <c r="G3660" s="401" t="s">
        <v>3800</v>
      </c>
      <c r="H3660" s="402">
        <v>123.72296698372784</v>
      </c>
      <c r="I3660" s="402"/>
      <c r="J3660" s="400"/>
      <c r="K3660" s="400"/>
      <c r="L3660" s="400"/>
      <c r="M3660" s="400"/>
      <c r="N3660" s="400">
        <f t="shared" si="178"/>
        <v>123.72296698372784</v>
      </c>
    </row>
    <row r="3661" spans="1:14" s="360" customFormat="1" hidden="1" outlineLevel="2" x14ac:dyDescent="0.35">
      <c r="A3661" s="403" t="s">
        <v>3862</v>
      </c>
      <c r="B3661" s="397">
        <v>44552</v>
      </c>
      <c r="C3661" s="398" t="s">
        <v>6722</v>
      </c>
      <c r="D3661" s="399" t="s">
        <v>6961</v>
      </c>
      <c r="E3661" s="399" t="s">
        <v>6962</v>
      </c>
      <c r="F3661" s="400">
        <v>255528</v>
      </c>
      <c r="G3661" s="401" t="s">
        <v>3800</v>
      </c>
      <c r="H3661" s="402">
        <v>95.080035570540105</v>
      </c>
      <c r="I3661" s="402"/>
      <c r="J3661" s="400"/>
      <c r="K3661" s="400"/>
      <c r="L3661" s="400"/>
      <c r="M3661" s="400"/>
      <c r="N3661" s="400">
        <f t="shared" si="178"/>
        <v>95.080035570540105</v>
      </c>
    </row>
    <row r="3662" spans="1:14" s="360" customFormat="1" hidden="1" outlineLevel="2" x14ac:dyDescent="0.35">
      <c r="A3662" s="403" t="s">
        <v>3862</v>
      </c>
      <c r="B3662" s="397">
        <v>44567</v>
      </c>
      <c r="C3662" s="398" t="s">
        <v>6730</v>
      </c>
      <c r="D3662" s="399" t="s">
        <v>6963</v>
      </c>
      <c r="E3662" s="399" t="s">
        <v>6684</v>
      </c>
      <c r="F3662" s="400">
        <v>346338</v>
      </c>
      <c r="G3662" s="401" t="s">
        <v>3800</v>
      </c>
      <c r="H3662" s="402">
        <v>128.86974953597931</v>
      </c>
      <c r="I3662" s="402"/>
      <c r="J3662" s="400"/>
      <c r="K3662" s="400"/>
      <c r="L3662" s="400"/>
      <c r="M3662" s="400"/>
      <c r="N3662" s="400">
        <v>128.86974953597931</v>
      </c>
    </row>
    <row r="3663" spans="1:14" s="360" customFormat="1" hidden="1" outlineLevel="2" x14ac:dyDescent="0.35">
      <c r="A3663" s="403" t="s">
        <v>3862</v>
      </c>
      <c r="B3663" s="397">
        <v>44567</v>
      </c>
      <c r="C3663" s="398" t="s">
        <v>6730</v>
      </c>
      <c r="D3663" s="399" t="s">
        <v>6964</v>
      </c>
      <c r="E3663" s="399" t="s">
        <v>6684</v>
      </c>
      <c r="F3663" s="400">
        <v>331704</v>
      </c>
      <c r="G3663" s="401" t="s">
        <v>3800</v>
      </c>
      <c r="H3663" s="402">
        <v>123.42454885136046</v>
      </c>
      <c r="I3663" s="402"/>
      <c r="J3663" s="400"/>
      <c r="K3663" s="400"/>
      <c r="L3663" s="400"/>
      <c r="M3663" s="400"/>
      <c r="N3663" s="400">
        <v>123.42454885136046</v>
      </c>
    </row>
    <row r="3664" spans="1:14" s="360" customFormat="1" hidden="1" outlineLevel="2" x14ac:dyDescent="0.35">
      <c r="A3664" s="403" t="s">
        <v>3862</v>
      </c>
      <c r="B3664" s="397">
        <v>44567</v>
      </c>
      <c r="C3664" s="398" t="s">
        <v>6730</v>
      </c>
      <c r="D3664" s="399" t="s">
        <v>6964</v>
      </c>
      <c r="E3664" s="399" t="s">
        <v>6684</v>
      </c>
      <c r="F3664" s="400">
        <v>195120</v>
      </c>
      <c r="G3664" s="401" t="s">
        <v>3800</v>
      </c>
      <c r="H3664" s="402">
        <v>72.602675794917914</v>
      </c>
      <c r="I3664" s="402"/>
      <c r="J3664" s="400"/>
      <c r="K3664" s="400"/>
      <c r="L3664" s="400"/>
      <c r="M3664" s="400"/>
      <c r="N3664" s="400">
        <v>72.602675794917914</v>
      </c>
    </row>
    <row r="3665" spans="1:14" s="360" customFormat="1" hidden="1" outlineLevel="2" x14ac:dyDescent="0.35">
      <c r="A3665" s="403" t="s">
        <v>3862</v>
      </c>
      <c r="B3665" s="397">
        <v>44567</v>
      </c>
      <c r="C3665" s="398" t="s">
        <v>6730</v>
      </c>
      <c r="D3665" s="399" t="s">
        <v>6964</v>
      </c>
      <c r="E3665" s="399" t="s">
        <v>6684</v>
      </c>
      <c r="F3665" s="400">
        <v>348777</v>
      </c>
      <c r="G3665" s="401" t="s">
        <v>3800</v>
      </c>
      <c r="H3665" s="402">
        <v>129.77728298341577</v>
      </c>
      <c r="I3665" s="402"/>
      <c r="J3665" s="400"/>
      <c r="K3665" s="400"/>
      <c r="L3665" s="400"/>
      <c r="M3665" s="400"/>
      <c r="N3665" s="400">
        <v>129.77728298341577</v>
      </c>
    </row>
    <row r="3666" spans="1:14" s="360" customFormat="1" hidden="1" outlineLevel="2" x14ac:dyDescent="0.35">
      <c r="A3666" s="403" t="s">
        <v>3862</v>
      </c>
      <c r="B3666" s="397">
        <v>44567</v>
      </c>
      <c r="C3666" s="398" t="s">
        <v>6730</v>
      </c>
      <c r="D3666" s="399" t="s">
        <v>6964</v>
      </c>
      <c r="E3666" s="399" t="s">
        <v>6684</v>
      </c>
      <c r="F3666" s="400">
        <v>121950</v>
      </c>
      <c r="G3666" s="401" t="s">
        <v>3800</v>
      </c>
      <c r="H3666" s="402">
        <v>45.376672371823695</v>
      </c>
      <c r="I3666" s="402"/>
      <c r="J3666" s="400"/>
      <c r="K3666" s="400"/>
      <c r="L3666" s="400"/>
      <c r="M3666" s="400"/>
      <c r="N3666" s="400">
        <v>45.376672371823695</v>
      </c>
    </row>
    <row r="3667" spans="1:14" s="360" customFormat="1" hidden="1" outlineLevel="2" x14ac:dyDescent="0.35">
      <c r="A3667" s="403" t="s">
        <v>3862</v>
      </c>
      <c r="B3667" s="397">
        <v>44571</v>
      </c>
      <c r="C3667" s="398" t="s">
        <v>6965</v>
      </c>
      <c r="D3667" s="399" t="s">
        <v>6966</v>
      </c>
      <c r="E3667" s="399" t="s">
        <v>6702</v>
      </c>
      <c r="F3667" s="400">
        <v>6017500</v>
      </c>
      <c r="G3667" s="401" t="s">
        <v>3800</v>
      </c>
      <c r="H3667" s="402">
        <v>2239.0662238413211</v>
      </c>
      <c r="I3667" s="402"/>
      <c r="J3667" s="400"/>
      <c r="K3667" s="400"/>
      <c r="L3667" s="400"/>
      <c r="M3667" s="400"/>
      <c r="N3667" s="400">
        <v>2239.0662238413211</v>
      </c>
    </row>
    <row r="3668" spans="1:14" s="360" customFormat="1" hidden="1" outlineLevel="2" x14ac:dyDescent="0.35">
      <c r="A3668" s="403" t="s">
        <v>3862</v>
      </c>
      <c r="B3668" s="397">
        <v>44588</v>
      </c>
      <c r="C3668" s="398" t="s">
        <v>6967</v>
      </c>
      <c r="D3668" s="399" t="s">
        <v>6966</v>
      </c>
      <c r="E3668" s="399" t="s">
        <v>6702</v>
      </c>
      <c r="F3668" s="400">
        <v>649000</v>
      </c>
      <c r="G3668" s="401" t="s">
        <v>3800</v>
      </c>
      <c r="H3668" s="402">
        <v>241.48798990827044</v>
      </c>
      <c r="I3668" s="402"/>
      <c r="J3668" s="400"/>
      <c r="K3668" s="400"/>
      <c r="L3668" s="400"/>
      <c r="M3668" s="400"/>
      <c r="N3668" s="400">
        <v>241.48798990827044</v>
      </c>
    </row>
    <row r="3669" spans="1:14" s="360" customFormat="1" hidden="1" outlineLevel="2" x14ac:dyDescent="0.35">
      <c r="A3669" s="403" t="s">
        <v>3862</v>
      </c>
      <c r="B3669" s="397">
        <v>44588</v>
      </c>
      <c r="C3669" s="398" t="s">
        <v>6968</v>
      </c>
      <c r="D3669" s="399" t="s">
        <v>6969</v>
      </c>
      <c r="E3669" s="399" t="s">
        <v>6702</v>
      </c>
      <c r="F3669" s="400">
        <v>490000</v>
      </c>
      <c r="G3669" s="401" t="s">
        <v>3800</v>
      </c>
      <c r="H3669" s="402">
        <v>182.32529284291604</v>
      </c>
      <c r="I3669" s="402"/>
      <c r="J3669" s="400"/>
      <c r="K3669" s="400"/>
      <c r="L3669" s="400"/>
      <c r="M3669" s="400"/>
      <c r="N3669" s="400">
        <v>182.32529284291604</v>
      </c>
    </row>
    <row r="3670" spans="1:14" s="360" customFormat="1" hidden="1" outlineLevel="2" x14ac:dyDescent="0.35">
      <c r="A3670" s="403" t="s">
        <v>3862</v>
      </c>
      <c r="B3670" s="397">
        <v>44589</v>
      </c>
      <c r="C3670" s="398" t="s">
        <v>6682</v>
      </c>
      <c r="D3670" s="399" t="s">
        <v>6970</v>
      </c>
      <c r="E3670" s="399" t="s">
        <v>6684</v>
      </c>
      <c r="F3670" s="400">
        <v>377848</v>
      </c>
      <c r="G3670" s="401" t="s">
        <v>3800</v>
      </c>
      <c r="H3670" s="402">
        <v>140.59438214308193</v>
      </c>
      <c r="I3670" s="402"/>
      <c r="J3670" s="400"/>
      <c r="K3670" s="400"/>
      <c r="L3670" s="400"/>
      <c r="M3670" s="400"/>
      <c r="N3670" s="400">
        <v>140.59438214308193</v>
      </c>
    </row>
    <row r="3671" spans="1:14" s="360" customFormat="1" hidden="1" outlineLevel="2" x14ac:dyDescent="0.35">
      <c r="A3671" s="403" t="s">
        <v>3862</v>
      </c>
      <c r="B3671" s="397">
        <v>44589</v>
      </c>
      <c r="C3671" s="398" t="s">
        <v>6682</v>
      </c>
      <c r="D3671" s="399" t="s">
        <v>6971</v>
      </c>
      <c r="E3671" s="399" t="s">
        <v>6684</v>
      </c>
      <c r="F3671" s="400">
        <v>1695140</v>
      </c>
      <c r="G3671" s="401" t="s">
        <v>3800</v>
      </c>
      <c r="H3671" s="402">
        <v>630.74876920355246</v>
      </c>
      <c r="I3671" s="402"/>
      <c r="J3671" s="400"/>
      <c r="K3671" s="400"/>
      <c r="L3671" s="400"/>
      <c r="M3671" s="400"/>
      <c r="N3671" s="400">
        <v>630.74876920355246</v>
      </c>
    </row>
    <row r="3672" spans="1:14" s="360" customFormat="1" hidden="1" outlineLevel="2" x14ac:dyDescent="0.35">
      <c r="A3672" s="403" t="s">
        <v>3862</v>
      </c>
      <c r="B3672" s="397">
        <v>44592</v>
      </c>
      <c r="C3672" s="398" t="s">
        <v>6740</v>
      </c>
      <c r="D3672" s="399" t="s">
        <v>6972</v>
      </c>
      <c r="E3672" s="399" t="s">
        <v>6684</v>
      </c>
      <c r="F3672" s="400">
        <v>794115</v>
      </c>
      <c r="G3672" s="401" t="s">
        <v>3800</v>
      </c>
      <c r="H3672" s="402">
        <v>295.4841835223516</v>
      </c>
      <c r="I3672" s="402"/>
      <c r="J3672" s="400"/>
      <c r="K3672" s="400"/>
      <c r="L3672" s="400"/>
      <c r="M3672" s="400"/>
      <c r="N3672" s="400">
        <v>295.4841835223516</v>
      </c>
    </row>
    <row r="3673" spans="1:14" s="360" customFormat="1" hidden="1" outlineLevel="2" x14ac:dyDescent="0.35">
      <c r="A3673" s="403" t="s">
        <v>3862</v>
      </c>
      <c r="B3673" s="397">
        <v>44592</v>
      </c>
      <c r="C3673" s="398" t="s">
        <v>6742</v>
      </c>
      <c r="D3673" s="399" t="s">
        <v>6973</v>
      </c>
      <c r="E3673" s="399" t="s">
        <v>6684</v>
      </c>
      <c r="F3673" s="400">
        <v>1310920</v>
      </c>
      <c r="G3673" s="401" t="s">
        <v>3800</v>
      </c>
      <c r="H3673" s="402">
        <v>487.78341406864388</v>
      </c>
      <c r="I3673" s="402"/>
      <c r="J3673" s="400"/>
      <c r="K3673" s="400"/>
      <c r="L3673" s="400"/>
      <c r="M3673" s="400"/>
      <c r="N3673" s="400">
        <v>487.78341406864388</v>
      </c>
    </row>
    <row r="3674" spans="1:14" s="360" customFormat="1" outlineLevel="1" collapsed="1" x14ac:dyDescent="0.35">
      <c r="A3674" s="396" t="s">
        <v>6974</v>
      </c>
      <c r="B3674" s="397"/>
      <c r="C3674" s="398"/>
      <c r="D3674" s="399"/>
      <c r="E3674" s="399"/>
      <c r="F3674" s="400"/>
      <c r="G3674" s="401"/>
      <c r="H3674" s="402">
        <f t="shared" ref="H3674:N3674" si="179">SUBTOTAL(9,H3655:H3673)</f>
        <v>6584.3237190243908</v>
      </c>
      <c r="I3674" s="402"/>
      <c r="J3674" s="400">
        <f t="shared" si="179"/>
        <v>0</v>
      </c>
      <c r="K3674" s="400">
        <f t="shared" si="179"/>
        <v>0</v>
      </c>
      <c r="L3674" s="400">
        <f t="shared" si="179"/>
        <v>0</v>
      </c>
      <c r="M3674" s="400">
        <f t="shared" si="179"/>
        <v>0</v>
      </c>
      <c r="N3674" s="400">
        <f t="shared" si="179"/>
        <v>6584.3237190243908</v>
      </c>
    </row>
    <row r="3675" spans="1:14" s="360" customFormat="1" hidden="1" outlineLevel="2" x14ac:dyDescent="0.35">
      <c r="A3675" s="403" t="s">
        <v>3959</v>
      </c>
      <c r="B3675" s="397">
        <v>44349</v>
      </c>
      <c r="C3675" s="398" t="s">
        <v>6685</v>
      </c>
      <c r="D3675" s="399" t="s">
        <v>6975</v>
      </c>
      <c r="E3675" s="399" t="s">
        <v>6687</v>
      </c>
      <c r="F3675" s="400">
        <v>100000</v>
      </c>
      <c r="G3675" s="401" t="s">
        <v>3800</v>
      </c>
      <c r="H3675" s="402">
        <v>37.209243437329803</v>
      </c>
      <c r="I3675" s="402"/>
      <c r="J3675" s="400"/>
      <c r="K3675" s="400"/>
      <c r="L3675" s="400"/>
      <c r="M3675" s="400"/>
      <c r="N3675" s="400">
        <f t="shared" ref="N3675:N3704" si="180">H3675</f>
        <v>37.209243437329803</v>
      </c>
    </row>
    <row r="3676" spans="1:14" s="360" customFormat="1" hidden="1" outlineLevel="2" x14ac:dyDescent="0.35">
      <c r="A3676" s="403" t="s">
        <v>3959</v>
      </c>
      <c r="B3676" s="397">
        <v>44357</v>
      </c>
      <c r="C3676" s="398" t="s">
        <v>6688</v>
      </c>
      <c r="D3676" s="399" t="s">
        <v>6976</v>
      </c>
      <c r="E3676" s="399" t="s">
        <v>6687</v>
      </c>
      <c r="F3676" s="400">
        <v>100000</v>
      </c>
      <c r="G3676" s="401" t="s">
        <v>3800</v>
      </c>
      <c r="H3676" s="402">
        <v>37.209243437329803</v>
      </c>
      <c r="I3676" s="402"/>
      <c r="J3676" s="400"/>
      <c r="K3676" s="400"/>
      <c r="L3676" s="400"/>
      <c r="M3676" s="400"/>
      <c r="N3676" s="400">
        <f t="shared" si="180"/>
        <v>37.209243437329803</v>
      </c>
    </row>
    <row r="3677" spans="1:14" s="360" customFormat="1" hidden="1" outlineLevel="2" x14ac:dyDescent="0.35">
      <c r="A3677" s="403" t="s">
        <v>3959</v>
      </c>
      <c r="B3677" s="397">
        <v>44357</v>
      </c>
      <c r="C3677" s="398" t="s">
        <v>6690</v>
      </c>
      <c r="D3677" s="399" t="s">
        <v>6976</v>
      </c>
      <c r="E3677" s="399" t="s">
        <v>6687</v>
      </c>
      <c r="F3677" s="400">
        <v>60000</v>
      </c>
      <c r="G3677" s="401" t="s">
        <v>3800</v>
      </c>
      <c r="H3677" s="402">
        <v>22.325546062397883</v>
      </c>
      <c r="I3677" s="402"/>
      <c r="J3677" s="400"/>
      <c r="K3677" s="400"/>
      <c r="L3677" s="400"/>
      <c r="M3677" s="400"/>
      <c r="N3677" s="400">
        <f t="shared" si="180"/>
        <v>22.325546062397883</v>
      </c>
    </row>
    <row r="3678" spans="1:14" s="360" customFormat="1" hidden="1" outlineLevel="2" x14ac:dyDescent="0.35">
      <c r="A3678" s="403" t="s">
        <v>3959</v>
      </c>
      <c r="B3678" s="397">
        <v>44365</v>
      </c>
      <c r="C3678" s="398" t="s">
        <v>6692</v>
      </c>
      <c r="D3678" s="399" t="s">
        <v>6976</v>
      </c>
      <c r="E3678" s="399" t="s">
        <v>6687</v>
      </c>
      <c r="F3678" s="400">
        <v>100000</v>
      </c>
      <c r="G3678" s="401" t="s">
        <v>3800</v>
      </c>
      <c r="H3678" s="402">
        <v>37.209243437329803</v>
      </c>
      <c r="I3678" s="402"/>
      <c r="J3678" s="400"/>
      <c r="K3678" s="400"/>
      <c r="L3678" s="400"/>
      <c r="M3678" s="400"/>
      <c r="N3678" s="400">
        <f t="shared" si="180"/>
        <v>37.209243437329803</v>
      </c>
    </row>
    <row r="3679" spans="1:14" s="360" customFormat="1" hidden="1" outlineLevel="2" x14ac:dyDescent="0.35">
      <c r="A3679" s="403" t="s">
        <v>3959</v>
      </c>
      <c r="B3679" s="397">
        <v>44378</v>
      </c>
      <c r="C3679" s="398" t="s">
        <v>6693</v>
      </c>
      <c r="D3679" s="399" t="s">
        <v>6694</v>
      </c>
      <c r="E3679" s="399" t="s">
        <v>6687</v>
      </c>
      <c r="F3679" s="400">
        <v>100000</v>
      </c>
      <c r="G3679" s="401" t="s">
        <v>3800</v>
      </c>
      <c r="H3679" s="402">
        <v>37.209243437329803</v>
      </c>
      <c r="I3679" s="402"/>
      <c r="J3679" s="400"/>
      <c r="K3679" s="400"/>
      <c r="L3679" s="400"/>
      <c r="M3679" s="400"/>
      <c r="N3679" s="400">
        <f t="shared" si="180"/>
        <v>37.209243437329803</v>
      </c>
    </row>
    <row r="3680" spans="1:14" s="360" customFormat="1" hidden="1" outlineLevel="2" x14ac:dyDescent="0.35">
      <c r="A3680" s="403" t="s">
        <v>3959</v>
      </c>
      <c r="B3680" s="397">
        <v>44386</v>
      </c>
      <c r="C3680" s="398" t="s">
        <v>6695</v>
      </c>
      <c r="D3680" s="399" t="s">
        <v>6694</v>
      </c>
      <c r="E3680" s="399" t="s">
        <v>6687</v>
      </c>
      <c r="F3680" s="400">
        <v>20000</v>
      </c>
      <c r="G3680" s="401" t="s">
        <v>3800</v>
      </c>
      <c r="H3680" s="402">
        <v>7.4418486874659608</v>
      </c>
      <c r="I3680" s="402"/>
      <c r="J3680" s="400"/>
      <c r="K3680" s="400"/>
      <c r="L3680" s="400"/>
      <c r="M3680" s="400"/>
      <c r="N3680" s="400">
        <f t="shared" si="180"/>
        <v>7.4418486874659608</v>
      </c>
    </row>
    <row r="3681" spans="1:14" s="360" customFormat="1" hidden="1" outlineLevel="2" collapsed="1" x14ac:dyDescent="0.35">
      <c r="A3681" s="403" t="s">
        <v>3959</v>
      </c>
      <c r="B3681" s="397">
        <v>44386</v>
      </c>
      <c r="C3681" s="398" t="s">
        <v>6695</v>
      </c>
      <c r="D3681" s="399" t="s">
        <v>6694</v>
      </c>
      <c r="E3681" s="399" t="s">
        <v>6687</v>
      </c>
      <c r="F3681" s="400">
        <v>60000</v>
      </c>
      <c r="G3681" s="401" t="s">
        <v>3800</v>
      </c>
      <c r="H3681" s="402">
        <v>22.325546062397883</v>
      </c>
      <c r="I3681" s="402"/>
      <c r="J3681" s="400"/>
      <c r="K3681" s="400"/>
      <c r="L3681" s="400"/>
      <c r="M3681" s="400"/>
      <c r="N3681" s="400">
        <f t="shared" si="180"/>
        <v>22.325546062397883</v>
      </c>
    </row>
    <row r="3682" spans="1:14" s="360" customFormat="1" hidden="1" outlineLevel="2" x14ac:dyDescent="0.35">
      <c r="A3682" s="403" t="s">
        <v>3959</v>
      </c>
      <c r="B3682" s="397">
        <v>44386</v>
      </c>
      <c r="C3682" s="398" t="s">
        <v>6695</v>
      </c>
      <c r="D3682" s="399" t="s">
        <v>6694</v>
      </c>
      <c r="E3682" s="399" t="s">
        <v>6687</v>
      </c>
      <c r="F3682" s="400">
        <v>60000</v>
      </c>
      <c r="G3682" s="401" t="s">
        <v>3800</v>
      </c>
      <c r="H3682" s="402">
        <v>22.325546062397883</v>
      </c>
      <c r="I3682" s="402"/>
      <c r="J3682" s="400"/>
      <c r="K3682" s="400"/>
      <c r="L3682" s="400"/>
      <c r="M3682" s="400"/>
      <c r="N3682" s="400">
        <f t="shared" si="180"/>
        <v>22.325546062397883</v>
      </c>
    </row>
    <row r="3683" spans="1:14" s="360" customFormat="1" hidden="1" outlineLevel="2" x14ac:dyDescent="0.35">
      <c r="A3683" s="403" t="s">
        <v>3959</v>
      </c>
      <c r="B3683" s="397">
        <v>44386</v>
      </c>
      <c r="C3683" s="398" t="s">
        <v>6695</v>
      </c>
      <c r="D3683" s="399" t="s">
        <v>6694</v>
      </c>
      <c r="E3683" s="399" t="s">
        <v>6687</v>
      </c>
      <c r="F3683" s="400">
        <v>100000</v>
      </c>
      <c r="G3683" s="401" t="s">
        <v>3800</v>
      </c>
      <c r="H3683" s="402">
        <v>37.209243437329803</v>
      </c>
      <c r="I3683" s="402"/>
      <c r="J3683" s="400"/>
      <c r="K3683" s="400"/>
      <c r="L3683" s="400"/>
      <c r="M3683" s="400"/>
      <c r="N3683" s="400">
        <f t="shared" si="180"/>
        <v>37.209243437329803</v>
      </c>
    </row>
    <row r="3684" spans="1:14" s="360" customFormat="1" hidden="1" outlineLevel="2" x14ac:dyDescent="0.35">
      <c r="A3684" s="403" t="s">
        <v>3959</v>
      </c>
      <c r="B3684" s="397">
        <v>44405</v>
      </c>
      <c r="C3684" s="398" t="s">
        <v>6698</v>
      </c>
      <c r="D3684" s="399" t="s">
        <v>6977</v>
      </c>
      <c r="E3684" s="399" t="s">
        <v>6687</v>
      </c>
      <c r="F3684" s="400">
        <v>80000</v>
      </c>
      <c r="G3684" s="401" t="s">
        <v>3800</v>
      </c>
      <c r="H3684" s="402">
        <v>29.767394749863843</v>
      </c>
      <c r="I3684" s="402"/>
      <c r="J3684" s="400"/>
      <c r="K3684" s="400"/>
      <c r="L3684" s="400"/>
      <c r="M3684" s="400"/>
      <c r="N3684" s="400">
        <f t="shared" si="180"/>
        <v>29.767394749863843</v>
      </c>
    </row>
    <row r="3685" spans="1:14" s="360" customFormat="1" hidden="1" outlineLevel="2" x14ac:dyDescent="0.35">
      <c r="A3685" s="403" t="s">
        <v>3959</v>
      </c>
      <c r="B3685" s="397">
        <v>44405</v>
      </c>
      <c r="C3685" s="398" t="s">
        <v>6698</v>
      </c>
      <c r="D3685" s="399" t="s">
        <v>6977</v>
      </c>
      <c r="E3685" s="399" t="s">
        <v>6687</v>
      </c>
      <c r="F3685" s="400">
        <v>70000</v>
      </c>
      <c r="G3685" s="401" t="s">
        <v>3800</v>
      </c>
      <c r="H3685" s="402">
        <v>26.046470406130865</v>
      </c>
      <c r="I3685" s="402"/>
      <c r="J3685" s="400"/>
      <c r="K3685" s="400"/>
      <c r="L3685" s="400"/>
      <c r="M3685" s="400"/>
      <c r="N3685" s="400">
        <f t="shared" si="180"/>
        <v>26.046470406130865</v>
      </c>
    </row>
    <row r="3686" spans="1:14" s="360" customFormat="1" hidden="1" outlineLevel="2" x14ac:dyDescent="0.35">
      <c r="A3686" s="403" t="s">
        <v>3959</v>
      </c>
      <c r="B3686" s="397">
        <v>44405</v>
      </c>
      <c r="C3686" s="398" t="s">
        <v>6696</v>
      </c>
      <c r="D3686" s="399" t="s">
        <v>6978</v>
      </c>
      <c r="E3686" s="399" t="s">
        <v>6687</v>
      </c>
      <c r="F3686" s="400">
        <v>100000</v>
      </c>
      <c r="G3686" s="401" t="s">
        <v>3800</v>
      </c>
      <c r="H3686" s="402">
        <v>37.209243437329803</v>
      </c>
      <c r="I3686" s="402"/>
      <c r="J3686" s="400"/>
      <c r="K3686" s="400"/>
      <c r="L3686" s="400"/>
      <c r="M3686" s="400"/>
      <c r="N3686" s="400">
        <f t="shared" si="180"/>
        <v>37.209243437329803</v>
      </c>
    </row>
    <row r="3687" spans="1:14" s="360" customFormat="1" hidden="1" outlineLevel="2" x14ac:dyDescent="0.35">
      <c r="A3687" s="403" t="s">
        <v>3959</v>
      </c>
      <c r="B3687" s="397">
        <v>44405</v>
      </c>
      <c r="C3687" s="398" t="s">
        <v>6696</v>
      </c>
      <c r="D3687" s="399" t="s">
        <v>6978</v>
      </c>
      <c r="E3687" s="399" t="s">
        <v>6687</v>
      </c>
      <c r="F3687" s="400">
        <v>100000</v>
      </c>
      <c r="G3687" s="401" t="s">
        <v>3800</v>
      </c>
      <c r="H3687" s="402">
        <v>37.209243437329803</v>
      </c>
      <c r="I3687" s="402"/>
      <c r="J3687" s="400"/>
      <c r="K3687" s="400"/>
      <c r="L3687" s="400"/>
      <c r="M3687" s="400"/>
      <c r="N3687" s="400">
        <f t="shared" si="180"/>
        <v>37.209243437329803</v>
      </c>
    </row>
    <row r="3688" spans="1:14" s="360" customFormat="1" hidden="1" outlineLevel="2" x14ac:dyDescent="0.35">
      <c r="A3688" s="403" t="s">
        <v>3959</v>
      </c>
      <c r="B3688" s="397">
        <v>44405</v>
      </c>
      <c r="C3688" s="398" t="s">
        <v>6696</v>
      </c>
      <c r="D3688" s="399" t="s">
        <v>6978</v>
      </c>
      <c r="E3688" s="399" t="s">
        <v>6687</v>
      </c>
      <c r="F3688" s="400">
        <v>100000</v>
      </c>
      <c r="G3688" s="401" t="s">
        <v>3800</v>
      </c>
      <c r="H3688" s="402">
        <v>37.209243437329803</v>
      </c>
      <c r="I3688" s="402"/>
      <c r="J3688" s="400"/>
      <c r="K3688" s="400"/>
      <c r="L3688" s="400"/>
      <c r="M3688" s="400"/>
      <c r="N3688" s="400">
        <f t="shared" si="180"/>
        <v>37.209243437329803</v>
      </c>
    </row>
    <row r="3689" spans="1:14" s="360" customFormat="1" hidden="1" outlineLevel="2" x14ac:dyDescent="0.35">
      <c r="A3689" s="403" t="s">
        <v>3959</v>
      </c>
      <c r="B3689" s="397">
        <v>44414</v>
      </c>
      <c r="C3689" s="398" t="s">
        <v>6979</v>
      </c>
      <c r="D3689" s="399" t="s">
        <v>6694</v>
      </c>
      <c r="E3689" s="399" t="s">
        <v>6687</v>
      </c>
      <c r="F3689" s="400">
        <v>171300</v>
      </c>
      <c r="G3689" s="401" t="s">
        <v>3800</v>
      </c>
      <c r="H3689" s="402">
        <v>63.739434008145956</v>
      </c>
      <c r="I3689" s="402"/>
      <c r="J3689" s="400"/>
      <c r="K3689" s="400"/>
      <c r="L3689" s="400"/>
      <c r="M3689" s="400"/>
      <c r="N3689" s="400">
        <f t="shared" si="180"/>
        <v>63.739434008145956</v>
      </c>
    </row>
    <row r="3690" spans="1:14" s="360" customFormat="1" hidden="1" outlineLevel="2" x14ac:dyDescent="0.35">
      <c r="A3690" s="403" t="s">
        <v>3959</v>
      </c>
      <c r="B3690" s="397">
        <v>44419</v>
      </c>
      <c r="C3690" s="398" t="s">
        <v>6703</v>
      </c>
      <c r="D3690" s="399" t="s">
        <v>6694</v>
      </c>
      <c r="E3690" s="399" t="s">
        <v>6687</v>
      </c>
      <c r="F3690" s="400">
        <v>150000</v>
      </c>
      <c r="G3690" s="401" t="s">
        <v>3800</v>
      </c>
      <c r="H3690" s="402">
        <v>55.813865155994705</v>
      </c>
      <c r="I3690" s="402"/>
      <c r="J3690" s="400"/>
      <c r="K3690" s="400"/>
      <c r="L3690" s="400"/>
      <c r="M3690" s="400"/>
      <c r="N3690" s="400">
        <f t="shared" si="180"/>
        <v>55.813865155994705</v>
      </c>
    </row>
    <row r="3691" spans="1:14" s="360" customFormat="1" hidden="1" outlineLevel="2" collapsed="1" x14ac:dyDescent="0.35">
      <c r="A3691" s="403" t="s">
        <v>3959</v>
      </c>
      <c r="B3691" s="397">
        <v>44421</v>
      </c>
      <c r="C3691" s="398" t="s">
        <v>6980</v>
      </c>
      <c r="D3691" s="399" t="s">
        <v>6981</v>
      </c>
      <c r="E3691" s="399" t="s">
        <v>6702</v>
      </c>
      <c r="F3691" s="400">
        <v>8086000</v>
      </c>
      <c r="G3691" s="401" t="s">
        <v>3800</v>
      </c>
      <c r="H3691" s="402">
        <v>3008.7394243424878</v>
      </c>
      <c r="I3691" s="402"/>
      <c r="J3691" s="400"/>
      <c r="K3691" s="400"/>
      <c r="L3691" s="400"/>
      <c r="M3691" s="400"/>
      <c r="N3691" s="400">
        <f t="shared" si="180"/>
        <v>3008.7394243424878</v>
      </c>
    </row>
    <row r="3692" spans="1:14" s="360" customFormat="1" hidden="1" outlineLevel="2" x14ac:dyDescent="0.35">
      <c r="A3692" s="403" t="s">
        <v>3959</v>
      </c>
      <c r="B3692" s="397">
        <v>44421</v>
      </c>
      <c r="C3692" s="398" t="s">
        <v>6704</v>
      </c>
      <c r="D3692" s="399" t="s">
        <v>6978</v>
      </c>
      <c r="E3692" s="399" t="s">
        <v>6687</v>
      </c>
      <c r="F3692" s="400">
        <v>170000</v>
      </c>
      <c r="G3692" s="401" t="s">
        <v>3800</v>
      </c>
      <c r="H3692" s="402">
        <v>63.255713843460668</v>
      </c>
      <c r="I3692" s="402"/>
      <c r="J3692" s="400"/>
      <c r="K3692" s="400"/>
      <c r="L3692" s="400"/>
      <c r="M3692" s="400"/>
      <c r="N3692" s="400">
        <f t="shared" si="180"/>
        <v>63.255713843460668</v>
      </c>
    </row>
    <row r="3693" spans="1:14" s="360" customFormat="1" hidden="1" outlineLevel="2" x14ac:dyDescent="0.35">
      <c r="A3693" s="403" t="s">
        <v>3959</v>
      </c>
      <c r="B3693" s="397">
        <v>44421</v>
      </c>
      <c r="C3693" s="398" t="s">
        <v>6704</v>
      </c>
      <c r="D3693" s="399" t="s">
        <v>6978</v>
      </c>
      <c r="E3693" s="399" t="s">
        <v>6687</v>
      </c>
      <c r="F3693" s="400">
        <v>140000</v>
      </c>
      <c r="G3693" s="401" t="s">
        <v>3800</v>
      </c>
      <c r="H3693" s="402">
        <v>52.09294081226173</v>
      </c>
      <c r="I3693" s="402"/>
      <c r="J3693" s="400"/>
      <c r="K3693" s="400"/>
      <c r="L3693" s="400"/>
      <c r="M3693" s="400"/>
      <c r="N3693" s="400">
        <f t="shared" si="180"/>
        <v>52.09294081226173</v>
      </c>
    </row>
    <row r="3694" spans="1:14" s="360" customFormat="1" hidden="1" outlineLevel="2" x14ac:dyDescent="0.35">
      <c r="A3694" s="403" t="s">
        <v>3959</v>
      </c>
      <c r="B3694" s="397">
        <v>44421</v>
      </c>
      <c r="C3694" s="398" t="s">
        <v>6704</v>
      </c>
      <c r="D3694" s="399" t="s">
        <v>6694</v>
      </c>
      <c r="E3694" s="399" t="s">
        <v>6687</v>
      </c>
      <c r="F3694" s="400">
        <v>90000</v>
      </c>
      <c r="G3694" s="401" t="s">
        <v>3800</v>
      </c>
      <c r="H3694" s="402">
        <v>33.488319093596822</v>
      </c>
      <c r="I3694" s="402"/>
      <c r="J3694" s="400"/>
      <c r="K3694" s="400"/>
      <c r="L3694" s="400"/>
      <c r="M3694" s="400"/>
      <c r="N3694" s="400">
        <f t="shared" si="180"/>
        <v>33.488319093596822</v>
      </c>
    </row>
    <row r="3695" spans="1:14" s="360" customFormat="1" hidden="1" outlineLevel="2" x14ac:dyDescent="0.35">
      <c r="A3695" s="403" t="s">
        <v>3959</v>
      </c>
      <c r="B3695" s="397">
        <v>44438</v>
      </c>
      <c r="C3695" s="398" t="s">
        <v>6705</v>
      </c>
      <c r="D3695" s="399" t="s">
        <v>6982</v>
      </c>
      <c r="E3695" s="399" t="s">
        <v>6687</v>
      </c>
      <c r="F3695" s="400">
        <v>1501532</v>
      </c>
      <c r="G3695" s="401" t="s">
        <v>3800</v>
      </c>
      <c r="H3695" s="402">
        <v>558.70869716940695</v>
      </c>
      <c r="I3695" s="402"/>
      <c r="J3695" s="400"/>
      <c r="K3695" s="400"/>
      <c r="L3695" s="400"/>
      <c r="M3695" s="400"/>
      <c r="N3695" s="400">
        <f t="shared" si="180"/>
        <v>558.70869716940695</v>
      </c>
    </row>
    <row r="3696" spans="1:14" s="360" customFormat="1" hidden="1" outlineLevel="2" x14ac:dyDescent="0.35">
      <c r="A3696" s="403" t="s">
        <v>3959</v>
      </c>
      <c r="B3696" s="397">
        <v>44508</v>
      </c>
      <c r="C3696" s="398" t="s">
        <v>6708</v>
      </c>
      <c r="D3696" s="399" t="s">
        <v>6975</v>
      </c>
      <c r="E3696" s="399" t="s">
        <v>6684</v>
      </c>
      <c r="F3696" s="400">
        <v>1150090</v>
      </c>
      <c r="G3696" s="401" t="s">
        <v>3800</v>
      </c>
      <c r="H3696" s="402">
        <v>427.93978784838635</v>
      </c>
      <c r="I3696" s="402"/>
      <c r="J3696" s="400"/>
      <c r="K3696" s="400"/>
      <c r="L3696" s="400"/>
      <c r="M3696" s="400"/>
      <c r="N3696" s="400">
        <f t="shared" si="180"/>
        <v>427.93978784838635</v>
      </c>
    </row>
    <row r="3697" spans="1:14" s="360" customFormat="1" hidden="1" outlineLevel="2" x14ac:dyDescent="0.35">
      <c r="A3697" s="403" t="s">
        <v>3959</v>
      </c>
      <c r="B3697" s="397">
        <v>44526</v>
      </c>
      <c r="C3697" s="398" t="s">
        <v>6983</v>
      </c>
      <c r="D3697" s="399" t="s">
        <v>6984</v>
      </c>
      <c r="E3697" s="399" t="s">
        <v>6711</v>
      </c>
      <c r="F3697" s="400">
        <v>496000</v>
      </c>
      <c r="G3697" s="401" t="s">
        <v>3800</v>
      </c>
      <c r="H3697" s="402">
        <v>184.55784744915584</v>
      </c>
      <c r="I3697" s="402"/>
      <c r="J3697" s="400"/>
      <c r="K3697" s="400"/>
      <c r="L3697" s="400"/>
      <c r="M3697" s="400"/>
      <c r="N3697" s="400">
        <f t="shared" si="180"/>
        <v>184.55784744915584</v>
      </c>
    </row>
    <row r="3698" spans="1:14" s="360" customFormat="1" hidden="1" outlineLevel="2" x14ac:dyDescent="0.35">
      <c r="A3698" s="403" t="s">
        <v>3959</v>
      </c>
      <c r="B3698" s="397">
        <v>44545</v>
      </c>
      <c r="C3698" s="398" t="s">
        <v>6985</v>
      </c>
      <c r="D3698" s="399" t="s">
        <v>6986</v>
      </c>
      <c r="E3698" s="399" t="s">
        <v>6684</v>
      </c>
      <c r="F3698" s="400">
        <v>414080</v>
      </c>
      <c r="G3698" s="401" t="s">
        <v>3800</v>
      </c>
      <c r="H3698" s="402">
        <v>154.07603522529524</v>
      </c>
      <c r="I3698" s="402"/>
      <c r="J3698" s="400"/>
      <c r="K3698" s="400"/>
      <c r="L3698" s="400"/>
      <c r="M3698" s="400"/>
      <c r="N3698" s="400">
        <f t="shared" si="180"/>
        <v>154.07603522529524</v>
      </c>
    </row>
    <row r="3699" spans="1:14" s="360" customFormat="1" hidden="1" outlineLevel="2" x14ac:dyDescent="0.35">
      <c r="A3699" s="403" t="s">
        <v>3959</v>
      </c>
      <c r="B3699" s="397">
        <v>44552</v>
      </c>
      <c r="C3699" s="398" t="s">
        <v>6722</v>
      </c>
      <c r="D3699" s="399" t="s">
        <v>6987</v>
      </c>
      <c r="E3699" s="399" t="s">
        <v>6684</v>
      </c>
      <c r="F3699" s="400">
        <v>221130</v>
      </c>
      <c r="G3699" s="401" t="s">
        <v>3800</v>
      </c>
      <c r="H3699" s="402">
        <v>82.280800012967404</v>
      </c>
      <c r="I3699" s="402"/>
      <c r="J3699" s="400"/>
      <c r="K3699" s="400"/>
      <c r="L3699" s="400"/>
      <c r="M3699" s="400"/>
      <c r="N3699" s="400">
        <f t="shared" si="180"/>
        <v>82.280800012967404</v>
      </c>
    </row>
    <row r="3700" spans="1:14" s="360" customFormat="1" hidden="1" outlineLevel="2" x14ac:dyDescent="0.35">
      <c r="A3700" s="403" t="s">
        <v>3959</v>
      </c>
      <c r="B3700" s="397">
        <v>44552</v>
      </c>
      <c r="C3700" s="398" t="s">
        <v>6722</v>
      </c>
      <c r="D3700" s="399" t="s">
        <v>6987</v>
      </c>
      <c r="E3700" s="399" t="s">
        <v>6684</v>
      </c>
      <c r="F3700" s="400">
        <v>171990</v>
      </c>
      <c r="G3700" s="401" t="s">
        <v>3800</v>
      </c>
      <c r="H3700" s="402">
        <v>63.99617778786353</v>
      </c>
      <c r="I3700" s="402"/>
      <c r="J3700" s="400"/>
      <c r="K3700" s="400"/>
      <c r="L3700" s="400"/>
      <c r="M3700" s="400"/>
      <c r="N3700" s="400">
        <f t="shared" si="180"/>
        <v>63.99617778786353</v>
      </c>
    </row>
    <row r="3701" spans="1:14" s="360" customFormat="1" hidden="1" outlineLevel="2" x14ac:dyDescent="0.35">
      <c r="A3701" s="403" t="s">
        <v>3959</v>
      </c>
      <c r="B3701" s="397">
        <v>44552</v>
      </c>
      <c r="C3701" s="398" t="s">
        <v>6722</v>
      </c>
      <c r="D3701" s="399" t="s">
        <v>6987</v>
      </c>
      <c r="E3701" s="399" t="s">
        <v>6684</v>
      </c>
      <c r="F3701" s="400">
        <v>221130</v>
      </c>
      <c r="G3701" s="401" t="s">
        <v>3800</v>
      </c>
      <c r="H3701" s="402">
        <v>82.280800012967404</v>
      </c>
      <c r="I3701" s="402"/>
      <c r="J3701" s="400"/>
      <c r="K3701" s="400"/>
      <c r="L3701" s="400"/>
      <c r="M3701" s="400"/>
      <c r="N3701" s="400">
        <f t="shared" si="180"/>
        <v>82.280800012967404</v>
      </c>
    </row>
    <row r="3702" spans="1:14" s="360" customFormat="1" hidden="1" outlineLevel="2" x14ac:dyDescent="0.35">
      <c r="A3702" s="403" t="s">
        <v>3959</v>
      </c>
      <c r="B3702" s="397">
        <v>44552</v>
      </c>
      <c r="C3702" s="398" t="s">
        <v>6722</v>
      </c>
      <c r="D3702" s="399" t="s">
        <v>6987</v>
      </c>
      <c r="E3702" s="399" t="s">
        <v>6684</v>
      </c>
      <c r="F3702" s="400">
        <v>122850</v>
      </c>
      <c r="G3702" s="401" t="s">
        <v>3800</v>
      </c>
      <c r="H3702" s="402">
        <v>45.711555562759663</v>
      </c>
      <c r="I3702" s="402"/>
      <c r="J3702" s="400"/>
      <c r="K3702" s="400"/>
      <c r="L3702" s="400"/>
      <c r="M3702" s="400"/>
      <c r="N3702" s="400">
        <f t="shared" si="180"/>
        <v>45.711555562759663</v>
      </c>
    </row>
    <row r="3703" spans="1:14" s="360" customFormat="1" hidden="1" outlineLevel="2" x14ac:dyDescent="0.35">
      <c r="A3703" s="403" t="s">
        <v>3959</v>
      </c>
      <c r="B3703" s="397">
        <v>44552</v>
      </c>
      <c r="C3703" s="398" t="s">
        <v>6722</v>
      </c>
      <c r="D3703" s="399" t="s">
        <v>6987</v>
      </c>
      <c r="E3703" s="399" t="s">
        <v>6684</v>
      </c>
      <c r="F3703" s="400">
        <v>122850</v>
      </c>
      <c r="G3703" s="401" t="s">
        <v>3800</v>
      </c>
      <c r="H3703" s="402">
        <v>45.711555562759663</v>
      </c>
      <c r="I3703" s="402"/>
      <c r="J3703" s="400"/>
      <c r="K3703" s="400"/>
      <c r="L3703" s="400"/>
      <c r="M3703" s="400"/>
      <c r="N3703" s="400">
        <f t="shared" si="180"/>
        <v>45.711555562759663</v>
      </c>
    </row>
    <row r="3704" spans="1:14" s="360" customFormat="1" hidden="1" outlineLevel="2" x14ac:dyDescent="0.35">
      <c r="A3704" s="403" t="s">
        <v>3959</v>
      </c>
      <c r="B3704" s="397">
        <v>44552</v>
      </c>
      <c r="C3704" s="398" t="s">
        <v>6722</v>
      </c>
      <c r="D3704" s="399" t="s">
        <v>6987</v>
      </c>
      <c r="E3704" s="399" t="s">
        <v>6684</v>
      </c>
      <c r="F3704" s="400">
        <v>221130</v>
      </c>
      <c r="G3704" s="401" t="s">
        <v>3800</v>
      </c>
      <c r="H3704" s="402">
        <v>82.280800012967404</v>
      </c>
      <c r="I3704" s="402"/>
      <c r="J3704" s="400"/>
      <c r="K3704" s="400"/>
      <c r="L3704" s="400"/>
      <c r="M3704" s="400"/>
      <c r="N3704" s="400">
        <f t="shared" si="180"/>
        <v>82.280800012967404</v>
      </c>
    </row>
    <row r="3705" spans="1:14" s="360" customFormat="1" hidden="1" outlineLevel="2" x14ac:dyDescent="0.35">
      <c r="A3705" s="403" t="s">
        <v>3959</v>
      </c>
      <c r="B3705" s="397">
        <v>44567</v>
      </c>
      <c r="C3705" s="398" t="s">
        <v>6730</v>
      </c>
      <c r="D3705" s="399" t="s">
        <v>6988</v>
      </c>
      <c r="E3705" s="399" t="s">
        <v>6684</v>
      </c>
      <c r="F3705" s="400">
        <v>243900</v>
      </c>
      <c r="G3705" s="401" t="s">
        <v>3800</v>
      </c>
      <c r="H3705" s="402">
        <v>90.753344743647389</v>
      </c>
      <c r="I3705" s="402"/>
      <c r="J3705" s="400"/>
      <c r="K3705" s="400"/>
      <c r="L3705" s="400"/>
      <c r="M3705" s="400"/>
      <c r="N3705" s="400">
        <v>90.753344743647389</v>
      </c>
    </row>
    <row r="3706" spans="1:14" s="360" customFormat="1" hidden="1" outlineLevel="2" x14ac:dyDescent="0.35">
      <c r="A3706" s="403" t="s">
        <v>3959</v>
      </c>
      <c r="B3706" s="397">
        <v>44567</v>
      </c>
      <c r="C3706" s="398" t="s">
        <v>6730</v>
      </c>
      <c r="D3706" s="399" t="s">
        <v>6988</v>
      </c>
      <c r="E3706" s="399" t="s">
        <v>6684</v>
      </c>
      <c r="F3706" s="400">
        <v>153657</v>
      </c>
      <c r="G3706" s="401" t="s">
        <v>3800</v>
      </c>
      <c r="H3706" s="402">
        <v>57.174607188497859</v>
      </c>
      <c r="I3706" s="402"/>
      <c r="J3706" s="400"/>
      <c r="K3706" s="400"/>
      <c r="L3706" s="400"/>
      <c r="M3706" s="400"/>
      <c r="N3706" s="400">
        <v>57.174607188497859</v>
      </c>
    </row>
    <row r="3707" spans="1:14" s="360" customFormat="1" hidden="1" outlineLevel="2" x14ac:dyDescent="0.35">
      <c r="A3707" s="403" t="s">
        <v>3959</v>
      </c>
      <c r="B3707" s="397">
        <v>44567</v>
      </c>
      <c r="C3707" s="398" t="s">
        <v>6730</v>
      </c>
      <c r="D3707" s="399" t="s">
        <v>6988</v>
      </c>
      <c r="E3707" s="399" t="s">
        <v>6684</v>
      </c>
      <c r="F3707" s="400">
        <v>207315</v>
      </c>
      <c r="G3707" s="401" t="s">
        <v>3800</v>
      </c>
      <c r="H3707" s="402">
        <v>77.14034303210029</v>
      </c>
      <c r="I3707" s="402"/>
      <c r="J3707" s="400"/>
      <c r="K3707" s="400"/>
      <c r="L3707" s="400"/>
      <c r="M3707" s="400"/>
      <c r="N3707" s="400">
        <v>77.14034303210029</v>
      </c>
    </row>
    <row r="3708" spans="1:14" s="360" customFormat="1" hidden="1" outlineLevel="2" x14ac:dyDescent="0.35">
      <c r="A3708" s="403" t="s">
        <v>3959</v>
      </c>
      <c r="B3708" s="397">
        <v>44567</v>
      </c>
      <c r="C3708" s="398" t="s">
        <v>6730</v>
      </c>
      <c r="D3708" s="399" t="s">
        <v>6988</v>
      </c>
      <c r="E3708" s="399" t="s">
        <v>6684</v>
      </c>
      <c r="F3708" s="400">
        <v>170730</v>
      </c>
      <c r="G3708" s="401" t="s">
        <v>3800</v>
      </c>
      <c r="H3708" s="402">
        <v>63.527341320553177</v>
      </c>
      <c r="I3708" s="402"/>
      <c r="J3708" s="400"/>
      <c r="K3708" s="400"/>
      <c r="L3708" s="400"/>
      <c r="M3708" s="400"/>
      <c r="N3708" s="400">
        <v>63.527341320553177</v>
      </c>
    </row>
    <row r="3709" spans="1:14" s="360" customFormat="1" hidden="1" outlineLevel="2" x14ac:dyDescent="0.35">
      <c r="A3709" s="403" t="s">
        <v>3959</v>
      </c>
      <c r="B3709" s="397">
        <v>44567</v>
      </c>
      <c r="C3709" s="398" t="s">
        <v>6730</v>
      </c>
      <c r="D3709" s="399" t="s">
        <v>6988</v>
      </c>
      <c r="E3709" s="399" t="s">
        <v>6684</v>
      </c>
      <c r="F3709" s="400">
        <v>219510</v>
      </c>
      <c r="G3709" s="401" t="s">
        <v>3800</v>
      </c>
      <c r="H3709" s="402">
        <v>81.678010269282652</v>
      </c>
      <c r="I3709" s="402"/>
      <c r="J3709" s="400"/>
      <c r="K3709" s="400"/>
      <c r="L3709" s="400"/>
      <c r="M3709" s="400"/>
      <c r="N3709" s="400">
        <v>81.678010269282652</v>
      </c>
    </row>
    <row r="3710" spans="1:14" s="360" customFormat="1" hidden="1" outlineLevel="2" x14ac:dyDescent="0.35">
      <c r="A3710" s="403" t="s">
        <v>3959</v>
      </c>
      <c r="B3710" s="397">
        <v>44579</v>
      </c>
      <c r="C3710" s="398" t="s">
        <v>6733</v>
      </c>
      <c r="D3710" s="399" t="s">
        <v>6989</v>
      </c>
      <c r="E3710" s="399" t="s">
        <v>6735</v>
      </c>
      <c r="F3710" s="400">
        <v>118000</v>
      </c>
      <c r="G3710" s="401" t="s">
        <v>3800</v>
      </c>
      <c r="H3710" s="402">
        <v>43.906907256049173</v>
      </c>
      <c r="I3710" s="402"/>
      <c r="J3710" s="400"/>
      <c r="K3710" s="400"/>
      <c r="L3710" s="400"/>
      <c r="M3710" s="400"/>
      <c r="N3710" s="400">
        <v>43.906907256049173</v>
      </c>
    </row>
    <row r="3711" spans="1:14" s="360" customFormat="1" hidden="1" outlineLevel="2" x14ac:dyDescent="0.35">
      <c r="A3711" s="403" t="s">
        <v>3959</v>
      </c>
      <c r="B3711" s="397">
        <v>44585</v>
      </c>
      <c r="C3711" s="398" t="s">
        <v>6990</v>
      </c>
      <c r="D3711" s="399" t="s">
        <v>6984</v>
      </c>
      <c r="E3711" s="399" t="s">
        <v>6711</v>
      </c>
      <c r="F3711" s="400">
        <v>774000</v>
      </c>
      <c r="G3711" s="401" t="s">
        <v>3800</v>
      </c>
      <c r="H3711" s="402">
        <v>287.9995442049327</v>
      </c>
      <c r="I3711" s="402"/>
      <c r="J3711" s="400"/>
      <c r="K3711" s="400"/>
      <c r="L3711" s="400"/>
      <c r="M3711" s="400"/>
      <c r="N3711" s="400">
        <v>287.9995442049327</v>
      </c>
    </row>
    <row r="3712" spans="1:14" s="360" customFormat="1" hidden="1" outlineLevel="2" x14ac:dyDescent="0.35">
      <c r="A3712" s="403" t="s">
        <v>3959</v>
      </c>
      <c r="B3712" s="397">
        <v>44588</v>
      </c>
      <c r="C3712" s="398" t="s">
        <v>6991</v>
      </c>
      <c r="D3712" s="399" t="s">
        <v>6984</v>
      </c>
      <c r="E3712" s="399" t="s">
        <v>6711</v>
      </c>
      <c r="F3712" s="400">
        <v>946000</v>
      </c>
      <c r="G3712" s="401" t="s">
        <v>3800</v>
      </c>
      <c r="H3712" s="402">
        <v>351.99944291713996</v>
      </c>
      <c r="I3712" s="402"/>
      <c r="J3712" s="400"/>
      <c r="K3712" s="400"/>
      <c r="L3712" s="400"/>
      <c r="M3712" s="400"/>
      <c r="N3712" s="400">
        <v>351.99944291713996</v>
      </c>
    </row>
    <row r="3713" spans="1:14" s="360" customFormat="1" hidden="1" outlineLevel="2" x14ac:dyDescent="0.35">
      <c r="A3713" s="403" t="s">
        <v>3959</v>
      </c>
      <c r="B3713" s="397">
        <v>44589</v>
      </c>
      <c r="C3713" s="398" t="s">
        <v>6682</v>
      </c>
      <c r="D3713" s="399" t="s">
        <v>6992</v>
      </c>
      <c r="E3713" s="399" t="s">
        <v>6684</v>
      </c>
      <c r="F3713" s="400">
        <v>351968</v>
      </c>
      <c r="G3713" s="401" t="s">
        <v>3800</v>
      </c>
      <c r="H3713" s="402">
        <v>130.96462994150096</v>
      </c>
      <c r="I3713" s="402"/>
      <c r="J3713" s="400"/>
      <c r="K3713" s="400"/>
      <c r="L3713" s="400"/>
      <c r="M3713" s="400"/>
      <c r="N3713" s="400">
        <v>130.96462994150096</v>
      </c>
    </row>
    <row r="3714" spans="1:14" s="360" customFormat="1" hidden="1" outlineLevel="2" x14ac:dyDescent="0.35">
      <c r="A3714" s="403" t="s">
        <v>3959</v>
      </c>
      <c r="B3714" s="397">
        <v>44592</v>
      </c>
      <c r="C3714" s="398" t="s">
        <v>6740</v>
      </c>
      <c r="D3714" s="399" t="s">
        <v>6993</v>
      </c>
      <c r="E3714" s="399" t="s">
        <v>6684</v>
      </c>
      <c r="F3714" s="400">
        <v>1117912</v>
      </c>
      <c r="G3714" s="401" t="s">
        <v>3800</v>
      </c>
      <c r="H3714" s="402">
        <v>415.96659749512236</v>
      </c>
      <c r="I3714" s="402"/>
      <c r="J3714" s="400"/>
      <c r="K3714" s="400"/>
      <c r="L3714" s="400"/>
      <c r="M3714" s="400"/>
      <c r="N3714" s="400">
        <v>415.96659749512236</v>
      </c>
    </row>
    <row r="3715" spans="1:14" s="360" customFormat="1" hidden="1" outlineLevel="2" x14ac:dyDescent="0.35">
      <c r="A3715" s="403" t="s">
        <v>3959</v>
      </c>
      <c r="B3715" s="397">
        <v>44592</v>
      </c>
      <c r="C3715" s="398" t="s">
        <v>6742</v>
      </c>
      <c r="D3715" s="399" t="s">
        <v>6994</v>
      </c>
      <c r="E3715" s="399" t="s">
        <v>6684</v>
      </c>
      <c r="F3715" s="400">
        <v>529410</v>
      </c>
      <c r="G3715" s="401" t="s">
        <v>3800</v>
      </c>
      <c r="H3715" s="402">
        <v>196.98945568156773</v>
      </c>
      <c r="I3715" s="402"/>
      <c r="J3715" s="400"/>
      <c r="K3715" s="400"/>
      <c r="L3715" s="400"/>
      <c r="M3715" s="400"/>
      <c r="N3715" s="400">
        <v>196.98945568156773</v>
      </c>
    </row>
    <row r="3716" spans="1:14" s="360" customFormat="1" outlineLevel="1" collapsed="1" x14ac:dyDescent="0.35">
      <c r="A3716" s="396" t="s">
        <v>6995</v>
      </c>
      <c r="B3716" s="397"/>
      <c r="C3716" s="398"/>
      <c r="D3716" s="399"/>
      <c r="E3716" s="399"/>
      <c r="F3716" s="400"/>
      <c r="G3716" s="401"/>
      <c r="H3716" s="402">
        <f t="shared" ref="H3716:N3716" si="181">SUBTOTAL(9,H3675:H3715)</f>
        <v>7230.6802774801636</v>
      </c>
      <c r="I3716" s="402"/>
      <c r="J3716" s="400">
        <f t="shared" si="181"/>
        <v>0</v>
      </c>
      <c r="K3716" s="400">
        <f t="shared" si="181"/>
        <v>0</v>
      </c>
      <c r="L3716" s="400">
        <f t="shared" si="181"/>
        <v>0</v>
      </c>
      <c r="M3716" s="400">
        <f t="shared" si="181"/>
        <v>0</v>
      </c>
      <c r="N3716" s="400">
        <f t="shared" si="181"/>
        <v>7230.6802774801636</v>
      </c>
    </row>
    <row r="3717" spans="1:14" s="360" customFormat="1" hidden="1" outlineLevel="2" x14ac:dyDescent="0.35">
      <c r="A3717" s="403" t="s">
        <v>3962</v>
      </c>
      <c r="B3717" s="397">
        <v>44547</v>
      </c>
      <c r="C3717" s="398" t="s">
        <v>6996</v>
      </c>
      <c r="D3717" s="399" t="s">
        <v>6997</v>
      </c>
      <c r="E3717" s="399" t="s">
        <v>6618</v>
      </c>
      <c r="F3717" s="400">
        <v>16250000</v>
      </c>
      <c r="G3717" s="401" t="s">
        <v>3800</v>
      </c>
      <c r="H3717" s="402">
        <v>6046.5020585660932</v>
      </c>
      <c r="I3717" s="402"/>
      <c r="J3717" s="400"/>
      <c r="K3717" s="400"/>
      <c r="L3717" s="400"/>
      <c r="M3717" s="400"/>
      <c r="N3717" s="400">
        <f>H3717</f>
        <v>6046.5020585660932</v>
      </c>
    </row>
    <row r="3718" spans="1:14" s="360" customFormat="1" outlineLevel="1" collapsed="1" x14ac:dyDescent="0.35">
      <c r="A3718" s="396" t="s">
        <v>6998</v>
      </c>
      <c r="B3718" s="397"/>
      <c r="C3718" s="398"/>
      <c r="D3718" s="399"/>
      <c r="E3718" s="399"/>
      <c r="F3718" s="400"/>
      <c r="G3718" s="401"/>
      <c r="H3718" s="402">
        <f t="shared" ref="H3718:N3718" si="182">SUBTOTAL(9,H3717:H3717)</f>
        <v>6046.5020585660932</v>
      </c>
      <c r="I3718" s="402"/>
      <c r="J3718" s="400">
        <f t="shared" si="182"/>
        <v>0</v>
      </c>
      <c r="K3718" s="400">
        <f t="shared" si="182"/>
        <v>0</v>
      </c>
      <c r="L3718" s="400">
        <f t="shared" si="182"/>
        <v>0</v>
      </c>
      <c r="M3718" s="400">
        <f t="shared" si="182"/>
        <v>0</v>
      </c>
      <c r="N3718" s="400">
        <f t="shared" si="182"/>
        <v>6046.5020585660932</v>
      </c>
    </row>
    <row r="3719" spans="1:14" s="360" customFormat="1" hidden="1" outlineLevel="2" x14ac:dyDescent="0.35">
      <c r="A3719" s="403" t="s">
        <v>3963</v>
      </c>
      <c r="B3719" s="397">
        <v>44553</v>
      </c>
      <c r="C3719" s="398" t="s">
        <v>6999</v>
      </c>
      <c r="D3719" s="399" t="s">
        <v>7000</v>
      </c>
      <c r="E3719" s="399" t="s">
        <v>7001</v>
      </c>
      <c r="F3719" s="400">
        <v>78647000</v>
      </c>
      <c r="G3719" s="401" t="s">
        <v>3800</v>
      </c>
      <c r="H3719" s="402">
        <v>29263.953686156772</v>
      </c>
      <c r="I3719" s="402"/>
      <c r="J3719" s="400"/>
      <c r="K3719" s="400"/>
      <c r="L3719" s="400"/>
      <c r="M3719" s="400"/>
      <c r="N3719" s="400">
        <f>H3719</f>
        <v>29263.953686156772</v>
      </c>
    </row>
    <row r="3720" spans="1:14" s="360" customFormat="1" outlineLevel="1" collapsed="1" x14ac:dyDescent="0.35">
      <c r="A3720" s="396" t="s">
        <v>7002</v>
      </c>
      <c r="B3720" s="397"/>
      <c r="C3720" s="398"/>
      <c r="D3720" s="399"/>
      <c r="E3720" s="399"/>
      <c r="F3720" s="400"/>
      <c r="G3720" s="401"/>
      <c r="H3720" s="402">
        <f t="shared" ref="H3720:N3720" si="183">SUBTOTAL(9,H3719:H3719)</f>
        <v>29263.953686156772</v>
      </c>
      <c r="I3720" s="402"/>
      <c r="J3720" s="400">
        <f t="shared" si="183"/>
        <v>0</v>
      </c>
      <c r="K3720" s="400">
        <f t="shared" si="183"/>
        <v>0</v>
      </c>
      <c r="L3720" s="400">
        <f t="shared" si="183"/>
        <v>0</v>
      </c>
      <c r="M3720" s="400">
        <f t="shared" si="183"/>
        <v>0</v>
      </c>
      <c r="N3720" s="400">
        <f t="shared" si="183"/>
        <v>29263.953686156772</v>
      </c>
    </row>
    <row r="3721" spans="1:14" s="360" customFormat="1" hidden="1" outlineLevel="2" x14ac:dyDescent="0.35">
      <c r="A3721" s="403" t="s">
        <v>3924</v>
      </c>
      <c r="B3721" s="397">
        <v>44286</v>
      </c>
      <c r="C3721" s="398" t="s">
        <v>7003</v>
      </c>
      <c r="D3721" s="399" t="s">
        <v>7004</v>
      </c>
      <c r="E3721" s="399" t="s">
        <v>7005</v>
      </c>
      <c r="F3721" s="400">
        <v>5324600</v>
      </c>
      <c r="G3721" s="401" t="s">
        <v>3800</v>
      </c>
      <c r="H3721" s="402">
        <v>1981.2433760640629</v>
      </c>
      <c r="I3721" s="402"/>
      <c r="J3721" s="400"/>
      <c r="K3721" s="400"/>
      <c r="L3721" s="400"/>
      <c r="M3721" s="400"/>
      <c r="N3721" s="400">
        <f>H3721</f>
        <v>1981.2433760640629</v>
      </c>
    </row>
    <row r="3722" spans="1:14" s="360" customFormat="1" outlineLevel="1" collapsed="1" x14ac:dyDescent="0.35">
      <c r="A3722" s="396" t="s">
        <v>7006</v>
      </c>
      <c r="B3722" s="397"/>
      <c r="C3722" s="398"/>
      <c r="D3722" s="399"/>
      <c r="E3722" s="399"/>
      <c r="F3722" s="400"/>
      <c r="G3722" s="401"/>
      <c r="H3722" s="402">
        <f t="shared" ref="H3722:N3722" si="184">SUBTOTAL(9,H3721:H3721)</f>
        <v>1981.2433760640629</v>
      </c>
      <c r="I3722" s="402"/>
      <c r="J3722" s="400">
        <f t="shared" si="184"/>
        <v>0</v>
      </c>
      <c r="K3722" s="400">
        <f t="shared" si="184"/>
        <v>0</v>
      </c>
      <c r="L3722" s="400">
        <f t="shared" si="184"/>
        <v>0</v>
      </c>
      <c r="M3722" s="400">
        <f t="shared" si="184"/>
        <v>0</v>
      </c>
      <c r="N3722" s="400">
        <f t="shared" si="184"/>
        <v>1981.2433760640629</v>
      </c>
    </row>
    <row r="3723" spans="1:14" s="360" customFormat="1" hidden="1" outlineLevel="2" x14ac:dyDescent="0.35">
      <c r="A3723" s="403" t="s">
        <v>3926</v>
      </c>
      <c r="B3723" s="397">
        <v>44286</v>
      </c>
      <c r="C3723" s="398" t="s">
        <v>7003</v>
      </c>
      <c r="D3723" s="399" t="s">
        <v>7007</v>
      </c>
      <c r="E3723" s="399" t="s">
        <v>7005</v>
      </c>
      <c r="F3723" s="400">
        <v>280800</v>
      </c>
      <c r="G3723" s="401" t="s">
        <v>3800</v>
      </c>
      <c r="H3723" s="402">
        <v>104.4835555720221</v>
      </c>
      <c r="I3723" s="402"/>
      <c r="J3723" s="400"/>
      <c r="K3723" s="400"/>
      <c r="L3723" s="400"/>
      <c r="M3723" s="400"/>
      <c r="N3723" s="400">
        <f>H3723</f>
        <v>104.4835555720221</v>
      </c>
    </row>
    <row r="3724" spans="1:14" s="360" customFormat="1" outlineLevel="1" collapsed="1" x14ac:dyDescent="0.35">
      <c r="A3724" s="396" t="s">
        <v>7008</v>
      </c>
      <c r="B3724" s="397"/>
      <c r="C3724" s="398"/>
      <c r="D3724" s="399"/>
      <c r="E3724" s="399"/>
      <c r="F3724" s="400"/>
      <c r="G3724" s="401"/>
      <c r="H3724" s="402">
        <f t="shared" ref="H3724:N3724" si="185">SUBTOTAL(9,H3723:H3723)</f>
        <v>104.4835555720221</v>
      </c>
      <c r="I3724" s="402"/>
      <c r="J3724" s="400">
        <f t="shared" si="185"/>
        <v>0</v>
      </c>
      <c r="K3724" s="400">
        <f t="shared" si="185"/>
        <v>0</v>
      </c>
      <c r="L3724" s="400">
        <f t="shared" si="185"/>
        <v>0</v>
      </c>
      <c r="M3724" s="400">
        <f t="shared" si="185"/>
        <v>0</v>
      </c>
      <c r="N3724" s="400">
        <f t="shared" si="185"/>
        <v>104.4835555720221</v>
      </c>
    </row>
    <row r="3725" spans="1:14" s="360" customFormat="1" hidden="1" outlineLevel="2" collapsed="1" x14ac:dyDescent="0.35">
      <c r="A3725" s="403" t="s">
        <v>3927</v>
      </c>
      <c r="B3725" s="397">
        <v>44286</v>
      </c>
      <c r="C3725" s="398" t="s">
        <v>7003</v>
      </c>
      <c r="D3725" s="399" t="s">
        <v>7009</v>
      </c>
      <c r="E3725" s="399" t="s">
        <v>7005</v>
      </c>
      <c r="F3725" s="400">
        <v>234000</v>
      </c>
      <c r="G3725" s="401" t="s">
        <v>3800</v>
      </c>
      <c r="H3725" s="402">
        <v>87.069629643351746</v>
      </c>
      <c r="I3725" s="402"/>
      <c r="J3725" s="400"/>
      <c r="K3725" s="400"/>
      <c r="L3725" s="400"/>
      <c r="M3725" s="400"/>
      <c r="N3725" s="400">
        <f>H3725</f>
        <v>87.069629643351746</v>
      </c>
    </row>
    <row r="3726" spans="1:14" s="360" customFormat="1" outlineLevel="1" collapsed="1" x14ac:dyDescent="0.35">
      <c r="A3726" s="396" t="s">
        <v>7010</v>
      </c>
      <c r="B3726" s="397"/>
      <c r="C3726" s="398"/>
      <c r="D3726" s="399"/>
      <c r="E3726" s="399"/>
      <c r="F3726" s="400"/>
      <c r="G3726" s="401"/>
      <c r="H3726" s="402">
        <f t="shared" ref="H3726:N3726" si="186">SUBTOTAL(9,H3725:H3725)</f>
        <v>87.069629643351746</v>
      </c>
      <c r="I3726" s="402"/>
      <c r="J3726" s="400">
        <f t="shared" si="186"/>
        <v>0</v>
      </c>
      <c r="K3726" s="400">
        <f t="shared" si="186"/>
        <v>0</v>
      </c>
      <c r="L3726" s="400">
        <f t="shared" si="186"/>
        <v>0</v>
      </c>
      <c r="M3726" s="400">
        <f t="shared" si="186"/>
        <v>0</v>
      </c>
      <c r="N3726" s="400">
        <f t="shared" si="186"/>
        <v>87.069629643351746</v>
      </c>
    </row>
    <row r="3727" spans="1:14" s="360" customFormat="1" hidden="1" outlineLevel="2" x14ac:dyDescent="0.35">
      <c r="A3727" s="403" t="s">
        <v>3928</v>
      </c>
      <c r="B3727" s="397">
        <v>44286</v>
      </c>
      <c r="C3727" s="398" t="s">
        <v>7003</v>
      </c>
      <c r="D3727" s="399" t="s">
        <v>7011</v>
      </c>
      <c r="E3727" s="399" t="s">
        <v>7005</v>
      </c>
      <c r="F3727" s="400">
        <v>234000</v>
      </c>
      <c r="G3727" s="401" t="s">
        <v>3800</v>
      </c>
      <c r="H3727" s="402">
        <v>87.069629643351746</v>
      </c>
      <c r="I3727" s="402"/>
      <c r="J3727" s="400"/>
      <c r="K3727" s="400"/>
      <c r="L3727" s="400"/>
      <c r="M3727" s="400"/>
      <c r="N3727" s="400">
        <f>H3727</f>
        <v>87.069629643351746</v>
      </c>
    </row>
    <row r="3728" spans="1:14" s="360" customFormat="1" outlineLevel="1" collapsed="1" x14ac:dyDescent="0.35">
      <c r="A3728" s="396" t="s">
        <v>7012</v>
      </c>
      <c r="B3728" s="397"/>
      <c r="C3728" s="398"/>
      <c r="D3728" s="399"/>
      <c r="E3728" s="399"/>
      <c r="F3728" s="400"/>
      <c r="G3728" s="401"/>
      <c r="H3728" s="402">
        <f t="shared" ref="H3728:N3728" si="187">SUBTOTAL(9,H3727:H3727)</f>
        <v>87.069629643351746</v>
      </c>
      <c r="I3728" s="402"/>
      <c r="J3728" s="400">
        <f t="shared" si="187"/>
        <v>0</v>
      </c>
      <c r="K3728" s="400">
        <f t="shared" si="187"/>
        <v>0</v>
      </c>
      <c r="L3728" s="400">
        <f t="shared" si="187"/>
        <v>0</v>
      </c>
      <c r="M3728" s="400">
        <f t="shared" si="187"/>
        <v>0</v>
      </c>
      <c r="N3728" s="400">
        <f t="shared" si="187"/>
        <v>87.069629643351746</v>
      </c>
    </row>
    <row r="3729" spans="1:14" s="360" customFormat="1" hidden="1" outlineLevel="2" x14ac:dyDescent="0.35">
      <c r="A3729" s="403" t="s">
        <v>3929</v>
      </c>
      <c r="B3729" s="397">
        <v>44286</v>
      </c>
      <c r="C3729" s="398" t="s">
        <v>7003</v>
      </c>
      <c r="D3729" s="399" t="s">
        <v>7013</v>
      </c>
      <c r="E3729" s="399" t="s">
        <v>7005</v>
      </c>
      <c r="F3729" s="400">
        <v>234000</v>
      </c>
      <c r="G3729" s="401" t="s">
        <v>3800</v>
      </c>
      <c r="H3729" s="402">
        <v>87.069629643351746</v>
      </c>
      <c r="I3729" s="402"/>
      <c r="J3729" s="400"/>
      <c r="K3729" s="400"/>
      <c r="L3729" s="400"/>
      <c r="M3729" s="400"/>
      <c r="N3729" s="400">
        <f>H3729</f>
        <v>87.069629643351746</v>
      </c>
    </row>
    <row r="3730" spans="1:14" s="360" customFormat="1" outlineLevel="1" collapsed="1" x14ac:dyDescent="0.35">
      <c r="A3730" s="396" t="s">
        <v>7014</v>
      </c>
      <c r="B3730" s="397"/>
      <c r="C3730" s="398"/>
      <c r="D3730" s="399"/>
      <c r="E3730" s="399"/>
      <c r="F3730" s="400"/>
      <c r="G3730" s="401"/>
      <c r="H3730" s="402">
        <f t="shared" ref="H3730:N3730" si="188">SUBTOTAL(9,H3729:H3729)</f>
        <v>87.069629643351746</v>
      </c>
      <c r="I3730" s="402"/>
      <c r="J3730" s="400">
        <f t="shared" si="188"/>
        <v>0</v>
      </c>
      <c r="K3730" s="400">
        <f t="shared" si="188"/>
        <v>0</v>
      </c>
      <c r="L3730" s="400">
        <f t="shared" si="188"/>
        <v>0</v>
      </c>
      <c r="M3730" s="400">
        <f t="shared" si="188"/>
        <v>0</v>
      </c>
      <c r="N3730" s="400">
        <f t="shared" si="188"/>
        <v>87.069629643351746</v>
      </c>
    </row>
    <row r="3731" spans="1:14" s="360" customFormat="1" hidden="1" outlineLevel="2" x14ac:dyDescent="0.35">
      <c r="A3731" s="403" t="s">
        <v>3930</v>
      </c>
      <c r="B3731" s="397">
        <v>44286</v>
      </c>
      <c r="C3731" s="398" t="s">
        <v>7003</v>
      </c>
      <c r="D3731" s="399" t="s">
        <v>7015</v>
      </c>
      <c r="E3731" s="399" t="s">
        <v>7005</v>
      </c>
      <c r="F3731" s="400">
        <v>945000</v>
      </c>
      <c r="G3731" s="401" t="s">
        <v>3800</v>
      </c>
      <c r="H3731" s="402">
        <v>351.62735048276664</v>
      </c>
      <c r="I3731" s="402"/>
      <c r="J3731" s="400"/>
      <c r="K3731" s="400"/>
      <c r="L3731" s="400"/>
      <c r="M3731" s="400"/>
      <c r="N3731" s="400">
        <f>H3731</f>
        <v>351.62735048276664</v>
      </c>
    </row>
    <row r="3732" spans="1:14" s="360" customFormat="1" outlineLevel="1" collapsed="1" x14ac:dyDescent="0.35">
      <c r="A3732" s="396" t="s">
        <v>7016</v>
      </c>
      <c r="B3732" s="397"/>
      <c r="C3732" s="398"/>
      <c r="D3732" s="399"/>
      <c r="E3732" s="399"/>
      <c r="F3732" s="400"/>
      <c r="G3732" s="401"/>
      <c r="H3732" s="402">
        <f t="shared" ref="H3732:N3732" si="189">SUBTOTAL(9,H3731:H3731)</f>
        <v>351.62735048276664</v>
      </c>
      <c r="I3732" s="402"/>
      <c r="J3732" s="400">
        <f t="shared" si="189"/>
        <v>0</v>
      </c>
      <c r="K3732" s="400">
        <f t="shared" si="189"/>
        <v>0</v>
      </c>
      <c r="L3732" s="400">
        <f t="shared" si="189"/>
        <v>0</v>
      </c>
      <c r="M3732" s="400">
        <f t="shared" si="189"/>
        <v>0</v>
      </c>
      <c r="N3732" s="400">
        <f t="shared" si="189"/>
        <v>351.62735048276664</v>
      </c>
    </row>
    <row r="3733" spans="1:14" s="360" customFormat="1" hidden="1" outlineLevel="2" x14ac:dyDescent="0.35">
      <c r="A3733" s="403" t="s">
        <v>3964</v>
      </c>
      <c r="B3733" s="397">
        <v>44547</v>
      </c>
      <c r="C3733" s="398" t="s">
        <v>7017</v>
      </c>
      <c r="D3733" s="399" t="s">
        <v>7018</v>
      </c>
      <c r="E3733" s="399" t="s">
        <v>6618</v>
      </c>
      <c r="F3733" s="400">
        <v>7840000</v>
      </c>
      <c r="G3733" s="401" t="s">
        <v>3800</v>
      </c>
      <c r="H3733" s="402">
        <v>2917.2046854866567</v>
      </c>
      <c r="I3733" s="402"/>
      <c r="J3733" s="400"/>
      <c r="K3733" s="400"/>
      <c r="L3733" s="400"/>
      <c r="M3733" s="400"/>
      <c r="N3733" s="400">
        <f>H3733</f>
        <v>2917.2046854866567</v>
      </c>
    </row>
    <row r="3734" spans="1:14" s="360" customFormat="1" outlineLevel="1" collapsed="1" x14ac:dyDescent="0.35">
      <c r="A3734" s="396" t="s">
        <v>7019</v>
      </c>
      <c r="B3734" s="397"/>
      <c r="C3734" s="398"/>
      <c r="D3734" s="399"/>
      <c r="E3734" s="399"/>
      <c r="F3734" s="400"/>
      <c r="G3734" s="401"/>
      <c r="H3734" s="402">
        <f t="shared" ref="H3734:N3734" si="190">SUBTOTAL(9,H3733:H3733)</f>
        <v>2917.2046854866567</v>
      </c>
      <c r="I3734" s="402"/>
      <c r="J3734" s="400">
        <f t="shared" si="190"/>
        <v>0</v>
      </c>
      <c r="K3734" s="400">
        <f t="shared" si="190"/>
        <v>0</v>
      </c>
      <c r="L3734" s="400">
        <f t="shared" si="190"/>
        <v>0</v>
      </c>
      <c r="M3734" s="400">
        <f t="shared" si="190"/>
        <v>0</v>
      </c>
      <c r="N3734" s="400">
        <f t="shared" si="190"/>
        <v>2917.2046854866567</v>
      </c>
    </row>
    <row r="3735" spans="1:14" s="360" customFormat="1" hidden="1" outlineLevel="2" x14ac:dyDescent="0.35">
      <c r="A3735" s="403" t="s">
        <v>3931</v>
      </c>
      <c r="B3735" s="397">
        <v>44286</v>
      </c>
      <c r="C3735" s="398" t="s">
        <v>7003</v>
      </c>
      <c r="D3735" s="399" t="s">
        <v>7020</v>
      </c>
      <c r="E3735" s="399" t="s">
        <v>7005</v>
      </c>
      <c r="F3735" s="400">
        <v>945000</v>
      </c>
      <c r="G3735" s="401" t="s">
        <v>3800</v>
      </c>
      <c r="H3735" s="402">
        <v>351.62735048276664</v>
      </c>
      <c r="I3735" s="402"/>
      <c r="J3735" s="400"/>
      <c r="K3735" s="400"/>
      <c r="L3735" s="400"/>
      <c r="M3735" s="400"/>
      <c r="N3735" s="400">
        <f>H3735</f>
        <v>351.62735048276664</v>
      </c>
    </row>
    <row r="3736" spans="1:14" s="360" customFormat="1" hidden="1" outlineLevel="2" x14ac:dyDescent="0.35">
      <c r="A3736" s="403" t="s">
        <v>3931</v>
      </c>
      <c r="B3736" s="397">
        <v>44532</v>
      </c>
      <c r="C3736" s="398" t="s">
        <v>7021</v>
      </c>
      <c r="D3736" s="399" t="s">
        <v>7022</v>
      </c>
      <c r="E3736" s="399" t="s">
        <v>6618</v>
      </c>
      <c r="F3736" s="400">
        <v>23337600</v>
      </c>
      <c r="G3736" s="401" t="s">
        <v>3800</v>
      </c>
      <c r="H3736" s="402">
        <v>8683.7443964302802</v>
      </c>
      <c r="I3736" s="402"/>
      <c r="J3736" s="400"/>
      <c r="K3736" s="400"/>
      <c r="L3736" s="400"/>
      <c r="M3736" s="400"/>
      <c r="N3736" s="400">
        <f>H3736</f>
        <v>8683.7443964302802</v>
      </c>
    </row>
    <row r="3737" spans="1:14" s="360" customFormat="1" outlineLevel="1" collapsed="1" x14ac:dyDescent="0.35">
      <c r="A3737" s="396" t="s">
        <v>7023</v>
      </c>
      <c r="B3737" s="397"/>
      <c r="C3737" s="398"/>
      <c r="D3737" s="399"/>
      <c r="E3737" s="399"/>
      <c r="F3737" s="400"/>
      <c r="G3737" s="401"/>
      <c r="H3737" s="402">
        <f t="shared" ref="H3737:N3737" si="191">SUBTOTAL(9,H3735:H3736)</f>
        <v>9035.3717469130461</v>
      </c>
      <c r="I3737" s="402"/>
      <c r="J3737" s="400">
        <f t="shared" si="191"/>
        <v>0</v>
      </c>
      <c r="K3737" s="400">
        <f t="shared" si="191"/>
        <v>0</v>
      </c>
      <c r="L3737" s="400">
        <f t="shared" si="191"/>
        <v>0</v>
      </c>
      <c r="M3737" s="400">
        <f t="shared" si="191"/>
        <v>0</v>
      </c>
      <c r="N3737" s="400">
        <f t="shared" si="191"/>
        <v>9035.3717469130461</v>
      </c>
    </row>
    <row r="3738" spans="1:14" s="360" customFormat="1" hidden="1" outlineLevel="2" x14ac:dyDescent="0.35">
      <c r="A3738" s="403" t="s">
        <v>3953</v>
      </c>
      <c r="B3738" s="397">
        <v>44349</v>
      </c>
      <c r="C3738" s="398" t="s">
        <v>6685</v>
      </c>
      <c r="D3738" s="399" t="s">
        <v>7024</v>
      </c>
      <c r="E3738" s="399" t="s">
        <v>6687</v>
      </c>
      <c r="F3738" s="400">
        <v>150000</v>
      </c>
      <c r="G3738" s="401" t="s">
        <v>3800</v>
      </c>
      <c r="H3738" s="402">
        <v>55.813865155994705</v>
      </c>
      <c r="I3738" s="402"/>
      <c r="J3738" s="400"/>
      <c r="K3738" s="400"/>
      <c r="L3738" s="400"/>
      <c r="M3738" s="400"/>
      <c r="N3738" s="400">
        <f t="shared" ref="N3738:N3761" si="192">H3738</f>
        <v>55.813865155994705</v>
      </c>
    </row>
    <row r="3739" spans="1:14" s="360" customFormat="1" hidden="1" outlineLevel="2" x14ac:dyDescent="0.35">
      <c r="A3739" s="403" t="s">
        <v>3953</v>
      </c>
      <c r="B3739" s="397">
        <v>44357</v>
      </c>
      <c r="C3739" s="398" t="s">
        <v>6688</v>
      </c>
      <c r="D3739" s="399" t="s">
        <v>7024</v>
      </c>
      <c r="E3739" s="399" t="s">
        <v>6687</v>
      </c>
      <c r="F3739" s="400">
        <v>150000</v>
      </c>
      <c r="G3739" s="401" t="s">
        <v>3800</v>
      </c>
      <c r="H3739" s="402">
        <v>55.813865155994705</v>
      </c>
      <c r="I3739" s="402"/>
      <c r="J3739" s="400"/>
      <c r="K3739" s="400"/>
      <c r="L3739" s="400"/>
      <c r="M3739" s="400"/>
      <c r="N3739" s="400">
        <f t="shared" si="192"/>
        <v>55.813865155994705</v>
      </c>
    </row>
    <row r="3740" spans="1:14" s="360" customFormat="1" hidden="1" outlineLevel="2" x14ac:dyDescent="0.35">
      <c r="A3740" s="403" t="s">
        <v>3953</v>
      </c>
      <c r="B3740" s="397">
        <v>44357</v>
      </c>
      <c r="C3740" s="398" t="s">
        <v>6690</v>
      </c>
      <c r="D3740" s="399" t="s">
        <v>7025</v>
      </c>
      <c r="E3740" s="399" t="s">
        <v>6687</v>
      </c>
      <c r="F3740" s="400">
        <v>265000</v>
      </c>
      <c r="G3740" s="401" t="s">
        <v>3800</v>
      </c>
      <c r="H3740" s="402">
        <v>98.604495108923985</v>
      </c>
      <c r="I3740" s="402"/>
      <c r="J3740" s="400"/>
      <c r="K3740" s="400"/>
      <c r="L3740" s="400"/>
      <c r="M3740" s="400"/>
      <c r="N3740" s="400">
        <f t="shared" si="192"/>
        <v>98.604495108923985</v>
      </c>
    </row>
    <row r="3741" spans="1:14" s="360" customFormat="1" hidden="1" outlineLevel="2" x14ac:dyDescent="0.35">
      <c r="A3741" s="403" t="s">
        <v>3953</v>
      </c>
      <c r="B3741" s="397">
        <v>44365</v>
      </c>
      <c r="C3741" s="398" t="s">
        <v>6692</v>
      </c>
      <c r="D3741" s="399" t="s">
        <v>7025</v>
      </c>
      <c r="E3741" s="399" t="s">
        <v>6687</v>
      </c>
      <c r="F3741" s="400">
        <v>200000</v>
      </c>
      <c r="G3741" s="401" t="s">
        <v>3800</v>
      </c>
      <c r="H3741" s="402">
        <v>74.418486874659607</v>
      </c>
      <c r="I3741" s="402"/>
      <c r="J3741" s="400"/>
      <c r="K3741" s="400"/>
      <c r="L3741" s="400"/>
      <c r="M3741" s="400"/>
      <c r="N3741" s="400">
        <f t="shared" si="192"/>
        <v>74.418486874659607</v>
      </c>
    </row>
    <row r="3742" spans="1:14" s="360" customFormat="1" hidden="1" outlineLevel="2" x14ac:dyDescent="0.35">
      <c r="A3742" s="403" t="s">
        <v>3953</v>
      </c>
      <c r="B3742" s="397">
        <v>44378</v>
      </c>
      <c r="C3742" s="398" t="s">
        <v>6693</v>
      </c>
      <c r="D3742" s="399" t="s">
        <v>6694</v>
      </c>
      <c r="E3742" s="399" t="s">
        <v>6687</v>
      </c>
      <c r="F3742" s="400">
        <v>150000</v>
      </c>
      <c r="G3742" s="401" t="s">
        <v>3800</v>
      </c>
      <c r="H3742" s="402">
        <v>55.813865155994705</v>
      </c>
      <c r="I3742" s="402"/>
      <c r="J3742" s="400"/>
      <c r="K3742" s="400"/>
      <c r="L3742" s="400"/>
      <c r="M3742" s="400"/>
      <c r="N3742" s="400">
        <f t="shared" si="192"/>
        <v>55.813865155994705</v>
      </c>
    </row>
    <row r="3743" spans="1:14" s="360" customFormat="1" hidden="1" outlineLevel="2" x14ac:dyDescent="0.35">
      <c r="A3743" s="403" t="s">
        <v>3953</v>
      </c>
      <c r="B3743" s="397">
        <v>44386</v>
      </c>
      <c r="C3743" s="398" t="s">
        <v>6695</v>
      </c>
      <c r="D3743" s="399" t="s">
        <v>6694</v>
      </c>
      <c r="E3743" s="399" t="s">
        <v>6687</v>
      </c>
      <c r="F3743" s="400">
        <v>357000</v>
      </c>
      <c r="G3743" s="401" t="s">
        <v>3800</v>
      </c>
      <c r="H3743" s="402">
        <v>132.8369990712674</v>
      </c>
      <c r="I3743" s="402"/>
      <c r="J3743" s="400"/>
      <c r="K3743" s="400"/>
      <c r="L3743" s="400"/>
      <c r="M3743" s="400"/>
      <c r="N3743" s="400">
        <f t="shared" si="192"/>
        <v>132.8369990712674</v>
      </c>
    </row>
    <row r="3744" spans="1:14" s="360" customFormat="1" hidden="1" outlineLevel="2" x14ac:dyDescent="0.35">
      <c r="A3744" s="403" t="s">
        <v>3953</v>
      </c>
      <c r="B3744" s="397">
        <v>44393</v>
      </c>
      <c r="C3744" s="398" t="s">
        <v>6696</v>
      </c>
      <c r="D3744" s="399" t="s">
        <v>7026</v>
      </c>
      <c r="E3744" s="399" t="s">
        <v>6687</v>
      </c>
      <c r="F3744" s="400">
        <v>300000</v>
      </c>
      <c r="G3744" s="401" t="s">
        <v>3800</v>
      </c>
      <c r="H3744" s="402">
        <v>111.62773031198941</v>
      </c>
      <c r="I3744" s="402"/>
      <c r="J3744" s="400"/>
      <c r="K3744" s="400"/>
      <c r="L3744" s="400"/>
      <c r="M3744" s="400"/>
      <c r="N3744" s="400">
        <f t="shared" si="192"/>
        <v>111.62773031198941</v>
      </c>
    </row>
    <row r="3745" spans="1:14" s="360" customFormat="1" hidden="1" outlineLevel="2" x14ac:dyDescent="0.35">
      <c r="A3745" s="403" t="s">
        <v>3953</v>
      </c>
      <c r="B3745" s="397">
        <v>44393</v>
      </c>
      <c r="C3745" s="398" t="s">
        <v>6696</v>
      </c>
      <c r="D3745" s="399" t="s">
        <v>7026</v>
      </c>
      <c r="E3745" s="399" t="s">
        <v>6687</v>
      </c>
      <c r="F3745" s="400">
        <v>200000</v>
      </c>
      <c r="G3745" s="401" t="s">
        <v>3800</v>
      </c>
      <c r="H3745" s="402">
        <v>74.418486874659607</v>
      </c>
      <c r="I3745" s="402"/>
      <c r="J3745" s="400"/>
      <c r="K3745" s="400"/>
      <c r="L3745" s="400"/>
      <c r="M3745" s="400"/>
      <c r="N3745" s="400">
        <f t="shared" si="192"/>
        <v>74.418486874659607</v>
      </c>
    </row>
    <row r="3746" spans="1:14" s="360" customFormat="1" hidden="1" outlineLevel="2" x14ac:dyDescent="0.35">
      <c r="A3746" s="403" t="s">
        <v>3953</v>
      </c>
      <c r="B3746" s="397">
        <v>44407</v>
      </c>
      <c r="C3746" s="398" t="s">
        <v>6698</v>
      </c>
      <c r="D3746" s="399" t="s">
        <v>7027</v>
      </c>
      <c r="E3746" s="399" t="s">
        <v>6687</v>
      </c>
      <c r="F3746" s="400">
        <v>300000</v>
      </c>
      <c r="G3746" s="401" t="s">
        <v>3800</v>
      </c>
      <c r="H3746" s="402">
        <v>111.62773031198941</v>
      </c>
      <c r="I3746" s="402"/>
      <c r="J3746" s="400"/>
      <c r="K3746" s="400"/>
      <c r="L3746" s="400"/>
      <c r="M3746" s="400"/>
      <c r="N3746" s="400">
        <f t="shared" si="192"/>
        <v>111.62773031198941</v>
      </c>
    </row>
    <row r="3747" spans="1:14" s="360" customFormat="1" hidden="1" outlineLevel="2" x14ac:dyDescent="0.35">
      <c r="A3747" s="403" t="s">
        <v>3953</v>
      </c>
      <c r="B3747" s="397">
        <v>44405</v>
      </c>
      <c r="C3747" s="398" t="s">
        <v>6698</v>
      </c>
      <c r="D3747" s="399" t="s">
        <v>7028</v>
      </c>
      <c r="E3747" s="399" t="s">
        <v>6687</v>
      </c>
      <c r="F3747" s="400">
        <v>300000</v>
      </c>
      <c r="G3747" s="401" t="s">
        <v>3800</v>
      </c>
      <c r="H3747" s="402">
        <v>111.62773031198941</v>
      </c>
      <c r="I3747" s="402"/>
      <c r="J3747" s="400"/>
      <c r="K3747" s="400"/>
      <c r="L3747" s="400"/>
      <c r="M3747" s="400"/>
      <c r="N3747" s="400">
        <f t="shared" si="192"/>
        <v>111.62773031198941</v>
      </c>
    </row>
    <row r="3748" spans="1:14" s="360" customFormat="1" hidden="1" outlineLevel="2" x14ac:dyDescent="0.35">
      <c r="A3748" s="403" t="s">
        <v>3953</v>
      </c>
      <c r="B3748" s="397">
        <v>44419</v>
      </c>
      <c r="C3748" s="398" t="s">
        <v>6703</v>
      </c>
      <c r="D3748" s="399" t="s">
        <v>6694</v>
      </c>
      <c r="E3748" s="399" t="s">
        <v>6687</v>
      </c>
      <c r="F3748" s="400">
        <v>392132</v>
      </c>
      <c r="G3748" s="401" t="s">
        <v>3800</v>
      </c>
      <c r="H3748" s="402">
        <v>145.90935047567012</v>
      </c>
      <c r="I3748" s="402"/>
      <c r="J3748" s="400"/>
      <c r="K3748" s="400"/>
      <c r="L3748" s="400"/>
      <c r="M3748" s="400"/>
      <c r="N3748" s="400">
        <f t="shared" si="192"/>
        <v>145.90935047567012</v>
      </c>
    </row>
    <row r="3749" spans="1:14" s="360" customFormat="1" hidden="1" outlineLevel="2" x14ac:dyDescent="0.35">
      <c r="A3749" s="403" t="s">
        <v>3953</v>
      </c>
      <c r="B3749" s="397">
        <v>44421</v>
      </c>
      <c r="C3749" s="398" t="s">
        <v>6704</v>
      </c>
      <c r="D3749" s="399" t="s">
        <v>6694</v>
      </c>
      <c r="E3749" s="399" t="s">
        <v>6687</v>
      </c>
      <c r="F3749" s="400">
        <v>300000</v>
      </c>
      <c r="G3749" s="401" t="s">
        <v>3800</v>
      </c>
      <c r="H3749" s="402">
        <v>111.62773031198941</v>
      </c>
      <c r="I3749" s="402"/>
      <c r="J3749" s="400"/>
      <c r="K3749" s="400"/>
      <c r="L3749" s="400"/>
      <c r="M3749" s="400"/>
      <c r="N3749" s="400">
        <f t="shared" si="192"/>
        <v>111.62773031198941</v>
      </c>
    </row>
    <row r="3750" spans="1:14" s="360" customFormat="1" hidden="1" outlineLevel="2" x14ac:dyDescent="0.35">
      <c r="A3750" s="403" t="s">
        <v>3953</v>
      </c>
      <c r="B3750" s="397">
        <v>44438</v>
      </c>
      <c r="C3750" s="398" t="s">
        <v>6705</v>
      </c>
      <c r="D3750" s="399" t="s">
        <v>7029</v>
      </c>
      <c r="E3750" s="399" t="s">
        <v>6687</v>
      </c>
      <c r="F3750" s="400">
        <v>6314938.5199999996</v>
      </c>
      <c r="G3750" s="401" t="s">
        <v>3800</v>
      </c>
      <c r="H3750" s="402">
        <v>2349.7408468245117</v>
      </c>
      <c r="I3750" s="402"/>
      <c r="J3750" s="400"/>
      <c r="K3750" s="400"/>
      <c r="L3750" s="400"/>
      <c r="M3750" s="400"/>
      <c r="N3750" s="400">
        <f t="shared" si="192"/>
        <v>2349.7408468245117</v>
      </c>
    </row>
    <row r="3751" spans="1:14" s="360" customFormat="1" hidden="1" outlineLevel="2" x14ac:dyDescent="0.35">
      <c r="A3751" s="403" t="s">
        <v>3953</v>
      </c>
      <c r="B3751" s="397">
        <v>44467</v>
      </c>
      <c r="C3751" s="398" t="s">
        <v>7030</v>
      </c>
      <c r="D3751" s="399" t="s">
        <v>7031</v>
      </c>
      <c r="E3751" s="399" t="s">
        <v>6702</v>
      </c>
      <c r="F3751" s="400">
        <v>6296000</v>
      </c>
      <c r="G3751" s="401" t="s">
        <v>3800</v>
      </c>
      <c r="H3751" s="402">
        <v>2342.6939668142845</v>
      </c>
      <c r="I3751" s="402"/>
      <c r="J3751" s="400"/>
      <c r="K3751" s="400"/>
      <c r="L3751" s="400"/>
      <c r="M3751" s="400"/>
      <c r="N3751" s="400">
        <f t="shared" si="192"/>
        <v>2342.6939668142845</v>
      </c>
    </row>
    <row r="3752" spans="1:14" s="360" customFormat="1" hidden="1" outlineLevel="2" x14ac:dyDescent="0.35">
      <c r="A3752" s="403" t="s">
        <v>3953</v>
      </c>
      <c r="B3752" s="397">
        <v>44467</v>
      </c>
      <c r="C3752" s="398" t="s">
        <v>7032</v>
      </c>
      <c r="D3752" s="399" t="s">
        <v>7031</v>
      </c>
      <c r="E3752" s="399" t="s">
        <v>6702</v>
      </c>
      <c r="F3752" s="400">
        <v>776500</v>
      </c>
      <c r="G3752" s="401" t="s">
        <v>3800</v>
      </c>
      <c r="H3752" s="402">
        <v>288.92977529086596</v>
      </c>
      <c r="I3752" s="402"/>
      <c r="J3752" s="400"/>
      <c r="K3752" s="400"/>
      <c r="L3752" s="400"/>
      <c r="M3752" s="400"/>
      <c r="N3752" s="400">
        <f t="shared" si="192"/>
        <v>288.92977529086596</v>
      </c>
    </row>
    <row r="3753" spans="1:14" s="360" customFormat="1" hidden="1" outlineLevel="2" x14ac:dyDescent="0.35">
      <c r="A3753" s="403" t="s">
        <v>3953</v>
      </c>
      <c r="B3753" s="397">
        <v>44508</v>
      </c>
      <c r="C3753" s="398" t="s">
        <v>6708</v>
      </c>
      <c r="D3753" s="399" t="s">
        <v>6709</v>
      </c>
      <c r="E3753" s="399" t="s">
        <v>6684</v>
      </c>
      <c r="F3753" s="400">
        <v>2667230</v>
      </c>
      <c r="G3753" s="401" t="s">
        <v>3800</v>
      </c>
      <c r="H3753" s="402">
        <v>992.45610373349177</v>
      </c>
      <c r="I3753" s="402"/>
      <c r="J3753" s="400"/>
      <c r="K3753" s="400"/>
      <c r="L3753" s="400"/>
      <c r="M3753" s="400"/>
      <c r="N3753" s="400">
        <f t="shared" si="192"/>
        <v>992.45610373349177</v>
      </c>
    </row>
    <row r="3754" spans="1:14" s="360" customFormat="1" hidden="1" outlineLevel="2" x14ac:dyDescent="0.35">
      <c r="A3754" s="403" t="s">
        <v>3953</v>
      </c>
      <c r="B3754" s="397">
        <v>44526</v>
      </c>
      <c r="C3754" s="398" t="s">
        <v>7033</v>
      </c>
      <c r="D3754" s="399" t="s">
        <v>7034</v>
      </c>
      <c r="E3754" s="399" t="s">
        <v>7035</v>
      </c>
      <c r="F3754" s="400">
        <v>619000</v>
      </c>
      <c r="G3754" s="401" t="s">
        <v>3800</v>
      </c>
      <c r="H3754" s="402">
        <v>230.32521687707148</v>
      </c>
      <c r="I3754" s="402"/>
      <c r="J3754" s="400"/>
      <c r="K3754" s="400"/>
      <c r="L3754" s="400"/>
      <c r="M3754" s="400"/>
      <c r="N3754" s="400">
        <f t="shared" si="192"/>
        <v>230.32521687707148</v>
      </c>
    </row>
    <row r="3755" spans="1:14" s="360" customFormat="1" hidden="1" outlineLevel="2" x14ac:dyDescent="0.35">
      <c r="A3755" s="403" t="s">
        <v>3953</v>
      </c>
      <c r="B3755" s="397">
        <v>44526</v>
      </c>
      <c r="C3755" s="398" t="s">
        <v>7036</v>
      </c>
      <c r="D3755" s="399" t="s">
        <v>7034</v>
      </c>
      <c r="E3755" s="399" t="s">
        <v>7035</v>
      </c>
      <c r="F3755" s="400">
        <v>789000</v>
      </c>
      <c r="G3755" s="401" t="s">
        <v>3800</v>
      </c>
      <c r="H3755" s="402">
        <v>293.58093072053214</v>
      </c>
      <c r="I3755" s="402"/>
      <c r="J3755" s="400"/>
      <c r="K3755" s="400"/>
      <c r="L3755" s="400"/>
      <c r="M3755" s="400"/>
      <c r="N3755" s="400">
        <f t="shared" si="192"/>
        <v>293.58093072053214</v>
      </c>
    </row>
    <row r="3756" spans="1:14" s="360" customFormat="1" hidden="1" outlineLevel="2" x14ac:dyDescent="0.35">
      <c r="A3756" s="403" t="s">
        <v>3953</v>
      </c>
      <c r="B3756" s="397">
        <v>44545</v>
      </c>
      <c r="C3756" s="398" t="s">
        <v>7037</v>
      </c>
      <c r="D3756" s="399" t="s">
        <v>7038</v>
      </c>
      <c r="E3756" s="399" t="s">
        <v>6684</v>
      </c>
      <c r="F3756" s="400">
        <v>859242</v>
      </c>
      <c r="G3756" s="401" t="s">
        <v>3800</v>
      </c>
      <c r="H3756" s="402">
        <v>319.71744749578136</v>
      </c>
      <c r="I3756" s="402"/>
      <c r="J3756" s="400"/>
      <c r="K3756" s="400"/>
      <c r="L3756" s="400"/>
      <c r="M3756" s="400"/>
      <c r="N3756" s="400">
        <f t="shared" si="192"/>
        <v>319.71744749578136</v>
      </c>
    </row>
    <row r="3757" spans="1:14" s="360" customFormat="1" hidden="1" outlineLevel="2" x14ac:dyDescent="0.35">
      <c r="A3757" s="403" t="s">
        <v>3953</v>
      </c>
      <c r="B3757" s="397">
        <v>44552</v>
      </c>
      <c r="C3757" s="398" t="s">
        <v>7039</v>
      </c>
      <c r="D3757" s="399" t="s">
        <v>7040</v>
      </c>
      <c r="E3757" s="399" t="s">
        <v>6702</v>
      </c>
      <c r="F3757" s="400">
        <v>367000</v>
      </c>
      <c r="G3757" s="401" t="s">
        <v>3800</v>
      </c>
      <c r="H3757" s="402">
        <v>136.55792341500037</v>
      </c>
      <c r="I3757" s="402"/>
      <c r="J3757" s="400"/>
      <c r="K3757" s="400"/>
      <c r="L3757" s="400"/>
      <c r="M3757" s="400"/>
      <c r="N3757" s="400">
        <f t="shared" si="192"/>
        <v>136.55792341500037</v>
      </c>
    </row>
    <row r="3758" spans="1:14" s="360" customFormat="1" hidden="1" outlineLevel="2" x14ac:dyDescent="0.35">
      <c r="A3758" s="403" t="s">
        <v>3953</v>
      </c>
      <c r="B3758" s="397">
        <v>44552</v>
      </c>
      <c r="C3758" s="398" t="s">
        <v>6722</v>
      </c>
      <c r="D3758" s="399" t="s">
        <v>7041</v>
      </c>
      <c r="E3758" s="399" t="s">
        <v>6684</v>
      </c>
      <c r="F3758" s="400">
        <v>321867</v>
      </c>
      <c r="G3758" s="401" t="s">
        <v>3800</v>
      </c>
      <c r="H3758" s="402">
        <v>119.76427557443033</v>
      </c>
      <c r="I3758" s="402"/>
      <c r="J3758" s="400"/>
      <c r="K3758" s="400"/>
      <c r="L3758" s="400"/>
      <c r="M3758" s="400"/>
      <c r="N3758" s="400">
        <f t="shared" si="192"/>
        <v>119.76427557443033</v>
      </c>
    </row>
    <row r="3759" spans="1:14" s="360" customFormat="1" hidden="1" outlineLevel="2" x14ac:dyDescent="0.35">
      <c r="A3759" s="403" t="s">
        <v>3953</v>
      </c>
      <c r="B3759" s="397">
        <v>44552</v>
      </c>
      <c r="C3759" s="398" t="s">
        <v>6722</v>
      </c>
      <c r="D3759" s="399" t="s">
        <v>7041</v>
      </c>
      <c r="E3759" s="399" t="s">
        <v>6684</v>
      </c>
      <c r="F3759" s="400">
        <v>343980</v>
      </c>
      <c r="G3759" s="401" t="s">
        <v>3800</v>
      </c>
      <c r="H3759" s="402">
        <v>127.99235557572706</v>
      </c>
      <c r="I3759" s="402"/>
      <c r="J3759" s="400"/>
      <c r="K3759" s="400"/>
      <c r="L3759" s="400"/>
      <c r="M3759" s="400"/>
      <c r="N3759" s="400">
        <f t="shared" si="192"/>
        <v>127.99235557572706</v>
      </c>
    </row>
    <row r="3760" spans="1:14" s="360" customFormat="1" hidden="1" outlineLevel="2" x14ac:dyDescent="0.35">
      <c r="A3760" s="403" t="s">
        <v>3953</v>
      </c>
      <c r="B3760" s="397">
        <v>44552</v>
      </c>
      <c r="C3760" s="398" t="s">
        <v>6722</v>
      </c>
      <c r="D3760" s="399" t="s">
        <v>7042</v>
      </c>
      <c r="E3760" s="399" t="s">
        <v>6684</v>
      </c>
      <c r="F3760" s="400">
        <v>343980</v>
      </c>
      <c r="G3760" s="401" t="s">
        <v>3800</v>
      </c>
      <c r="H3760" s="402">
        <v>127.99235557572706</v>
      </c>
      <c r="I3760" s="402"/>
      <c r="J3760" s="400"/>
      <c r="K3760" s="400"/>
      <c r="L3760" s="400"/>
      <c r="M3760" s="400"/>
      <c r="N3760" s="400">
        <f t="shared" si="192"/>
        <v>127.99235557572706</v>
      </c>
    </row>
    <row r="3761" spans="1:14" s="360" customFormat="1" hidden="1" outlineLevel="2" x14ac:dyDescent="0.35">
      <c r="A3761" s="403" t="s">
        <v>3953</v>
      </c>
      <c r="B3761" s="397">
        <v>44552</v>
      </c>
      <c r="C3761" s="398" t="s">
        <v>6722</v>
      </c>
      <c r="D3761" s="399" t="s">
        <v>7042</v>
      </c>
      <c r="E3761" s="399" t="s">
        <v>6684</v>
      </c>
      <c r="F3761" s="400">
        <v>356265</v>
      </c>
      <c r="G3761" s="401" t="s">
        <v>3800</v>
      </c>
      <c r="H3761" s="402">
        <v>132.56351113200304</v>
      </c>
      <c r="I3761" s="402"/>
      <c r="J3761" s="400"/>
      <c r="K3761" s="400"/>
      <c r="L3761" s="400"/>
      <c r="M3761" s="400"/>
      <c r="N3761" s="400">
        <f t="shared" si="192"/>
        <v>132.56351113200304</v>
      </c>
    </row>
    <row r="3762" spans="1:14" s="360" customFormat="1" hidden="1" outlineLevel="2" x14ac:dyDescent="0.35">
      <c r="A3762" s="403" t="s">
        <v>3953</v>
      </c>
      <c r="B3762" s="397">
        <v>44567</v>
      </c>
      <c r="C3762" s="398" t="s">
        <v>6730</v>
      </c>
      <c r="D3762" s="399" t="s">
        <v>7043</v>
      </c>
      <c r="E3762" s="399" t="s">
        <v>6684</v>
      </c>
      <c r="F3762" s="400">
        <v>348777</v>
      </c>
      <c r="G3762" s="401" t="s">
        <v>3800</v>
      </c>
      <c r="H3762" s="402">
        <v>129.77728298341577</v>
      </c>
      <c r="I3762" s="402"/>
      <c r="J3762" s="400"/>
      <c r="K3762" s="400"/>
      <c r="L3762" s="400"/>
      <c r="M3762" s="400"/>
      <c r="N3762" s="400">
        <v>129.77728298341577</v>
      </c>
    </row>
    <row r="3763" spans="1:14" s="360" customFormat="1" hidden="1" outlineLevel="2" x14ac:dyDescent="0.35">
      <c r="A3763" s="403" t="s">
        <v>3953</v>
      </c>
      <c r="B3763" s="397">
        <v>44567</v>
      </c>
      <c r="C3763" s="398" t="s">
        <v>6730</v>
      </c>
      <c r="D3763" s="399" t="s">
        <v>7043</v>
      </c>
      <c r="E3763" s="399" t="s">
        <v>6684</v>
      </c>
      <c r="F3763" s="400">
        <v>351216</v>
      </c>
      <c r="G3763" s="401" t="s">
        <v>3800</v>
      </c>
      <c r="H3763" s="402">
        <v>130.68481643085224</v>
      </c>
      <c r="I3763" s="402"/>
      <c r="J3763" s="400"/>
      <c r="K3763" s="400"/>
      <c r="L3763" s="400"/>
      <c r="M3763" s="400"/>
      <c r="N3763" s="400">
        <v>130.68481643085224</v>
      </c>
    </row>
    <row r="3764" spans="1:14" s="360" customFormat="1" hidden="1" outlineLevel="2" x14ac:dyDescent="0.35">
      <c r="A3764" s="403" t="s">
        <v>3953</v>
      </c>
      <c r="B3764" s="397">
        <v>44567</v>
      </c>
      <c r="C3764" s="398" t="s">
        <v>6730</v>
      </c>
      <c r="D3764" s="399" t="s">
        <v>7043</v>
      </c>
      <c r="E3764" s="399" t="s">
        <v>6684</v>
      </c>
      <c r="F3764" s="400">
        <v>351216</v>
      </c>
      <c r="G3764" s="401" t="s">
        <v>3800</v>
      </c>
      <c r="H3764" s="402">
        <v>130.68481643085224</v>
      </c>
      <c r="I3764" s="402"/>
      <c r="J3764" s="400"/>
      <c r="K3764" s="400"/>
      <c r="L3764" s="400"/>
      <c r="M3764" s="400"/>
      <c r="N3764" s="400">
        <v>130.68481643085224</v>
      </c>
    </row>
    <row r="3765" spans="1:14" s="360" customFormat="1" hidden="1" outlineLevel="2" x14ac:dyDescent="0.35">
      <c r="A3765" s="403" t="s">
        <v>3953</v>
      </c>
      <c r="B3765" s="397">
        <v>44567</v>
      </c>
      <c r="C3765" s="398" t="s">
        <v>6730</v>
      </c>
      <c r="D3765" s="399" t="s">
        <v>7043</v>
      </c>
      <c r="E3765" s="399" t="s">
        <v>6684</v>
      </c>
      <c r="F3765" s="400">
        <v>341460</v>
      </c>
      <c r="G3765" s="401" t="s">
        <v>3800</v>
      </c>
      <c r="H3765" s="402">
        <v>127.05468264110635</v>
      </c>
      <c r="I3765" s="402"/>
      <c r="J3765" s="400"/>
      <c r="K3765" s="400"/>
      <c r="L3765" s="400"/>
      <c r="M3765" s="400"/>
      <c r="N3765" s="400">
        <v>127.05468264110635</v>
      </c>
    </row>
    <row r="3766" spans="1:14" s="360" customFormat="1" hidden="1" outlineLevel="2" x14ac:dyDescent="0.35">
      <c r="A3766" s="403" t="s">
        <v>3953</v>
      </c>
      <c r="B3766" s="397">
        <v>44579</v>
      </c>
      <c r="C3766" s="398" t="s">
        <v>6733</v>
      </c>
      <c r="D3766" s="399" t="s">
        <v>7044</v>
      </c>
      <c r="E3766" s="399" t="s">
        <v>6735</v>
      </c>
      <c r="F3766" s="400">
        <v>118000</v>
      </c>
      <c r="G3766" s="401" t="s">
        <v>3800</v>
      </c>
      <c r="H3766" s="402">
        <v>43.906907256049173</v>
      </c>
      <c r="I3766" s="402"/>
      <c r="J3766" s="400"/>
      <c r="K3766" s="400"/>
      <c r="L3766" s="400"/>
      <c r="M3766" s="400"/>
      <c r="N3766" s="400">
        <v>43.906907256049173</v>
      </c>
    </row>
    <row r="3767" spans="1:14" s="360" customFormat="1" hidden="1" outlineLevel="2" x14ac:dyDescent="0.35">
      <c r="A3767" s="403" t="s">
        <v>3953</v>
      </c>
      <c r="B3767" s="397">
        <v>44585</v>
      </c>
      <c r="C3767" s="398" t="s">
        <v>7045</v>
      </c>
      <c r="D3767" s="399" t="s">
        <v>7040</v>
      </c>
      <c r="E3767" s="399" t="s">
        <v>6702</v>
      </c>
      <c r="F3767" s="400">
        <v>892000</v>
      </c>
      <c r="G3767" s="401" t="s">
        <v>3800</v>
      </c>
      <c r="H3767" s="402">
        <v>331.90645146098188</v>
      </c>
      <c r="I3767" s="402"/>
      <c r="J3767" s="400"/>
      <c r="K3767" s="400"/>
      <c r="L3767" s="400"/>
      <c r="M3767" s="400"/>
      <c r="N3767" s="400">
        <v>331.90645146098188</v>
      </c>
    </row>
    <row r="3768" spans="1:14" s="360" customFormat="1" hidden="1" outlineLevel="2" x14ac:dyDescent="0.35">
      <c r="A3768" s="403" t="s">
        <v>3953</v>
      </c>
      <c r="B3768" s="397">
        <v>44589</v>
      </c>
      <c r="C3768" s="398" t="s">
        <v>6682</v>
      </c>
      <c r="D3768" s="399" t="s">
        <v>7038</v>
      </c>
      <c r="E3768" s="399" t="s">
        <v>6684</v>
      </c>
      <c r="F3768" s="400">
        <v>750520</v>
      </c>
      <c r="G3768" s="401" t="s">
        <v>3800</v>
      </c>
      <c r="H3768" s="402">
        <v>279.26281384584763</v>
      </c>
      <c r="I3768" s="402"/>
      <c r="J3768" s="400"/>
      <c r="K3768" s="400"/>
      <c r="L3768" s="400"/>
      <c r="M3768" s="400"/>
      <c r="N3768" s="400">
        <v>279.26281384584763</v>
      </c>
    </row>
    <row r="3769" spans="1:14" s="360" customFormat="1" hidden="1" outlineLevel="2" x14ac:dyDescent="0.35">
      <c r="A3769" s="403" t="s">
        <v>3953</v>
      </c>
      <c r="B3769" s="397">
        <v>44592</v>
      </c>
      <c r="C3769" s="398" t="s">
        <v>6740</v>
      </c>
      <c r="D3769" s="399" t="s">
        <v>7046</v>
      </c>
      <c r="E3769" s="399" t="s">
        <v>6684</v>
      </c>
      <c r="F3769" s="400">
        <v>1083728</v>
      </c>
      <c r="G3769" s="401" t="s">
        <v>3800</v>
      </c>
      <c r="H3769" s="402">
        <v>403.24698971850557</v>
      </c>
      <c r="I3769" s="402"/>
      <c r="J3769" s="400"/>
      <c r="K3769" s="400"/>
      <c r="L3769" s="400"/>
      <c r="M3769" s="400"/>
      <c r="N3769" s="400">
        <v>403.24698971850557</v>
      </c>
    </row>
    <row r="3770" spans="1:14" s="360" customFormat="1" hidden="1" outlineLevel="2" x14ac:dyDescent="0.35">
      <c r="A3770" s="403" t="s">
        <v>3953</v>
      </c>
      <c r="B3770" s="397">
        <v>44592</v>
      </c>
      <c r="C3770" s="398" t="s">
        <v>6742</v>
      </c>
      <c r="D3770" s="399" t="s">
        <v>7047</v>
      </c>
      <c r="E3770" s="399" t="s">
        <v>6684</v>
      </c>
      <c r="F3770" s="400">
        <v>975627</v>
      </c>
      <c r="G3770" s="401" t="s">
        <v>3800</v>
      </c>
      <c r="H3770" s="402">
        <v>363.02342547031765</v>
      </c>
      <c r="I3770" s="402"/>
      <c r="J3770" s="400"/>
      <c r="K3770" s="400"/>
      <c r="L3770" s="400"/>
      <c r="M3770" s="400"/>
      <c r="N3770" s="400">
        <v>363.02342547031765</v>
      </c>
    </row>
    <row r="3771" spans="1:14" s="360" customFormat="1" outlineLevel="1" collapsed="1" x14ac:dyDescent="0.35">
      <c r="A3771" s="396" t="s">
        <v>7048</v>
      </c>
      <c r="B3771" s="397"/>
      <c r="C3771" s="398"/>
      <c r="D3771" s="399"/>
      <c r="E3771" s="399"/>
      <c r="F3771" s="400"/>
      <c r="G3771" s="401"/>
      <c r="H3771" s="402">
        <f t="shared" ref="H3771:N3771" si="193">SUBTOTAL(9,H3738:H3770)</f>
        <v>10542.003230388475</v>
      </c>
      <c r="I3771" s="402"/>
      <c r="J3771" s="400">
        <f t="shared" si="193"/>
        <v>0</v>
      </c>
      <c r="K3771" s="400">
        <f t="shared" si="193"/>
        <v>0</v>
      </c>
      <c r="L3771" s="400">
        <f t="shared" si="193"/>
        <v>0</v>
      </c>
      <c r="M3771" s="400">
        <f t="shared" si="193"/>
        <v>0</v>
      </c>
      <c r="N3771" s="400">
        <f t="shared" si="193"/>
        <v>10542.003230388475</v>
      </c>
    </row>
    <row r="3772" spans="1:14" s="360" customFormat="1" hidden="1" outlineLevel="2" x14ac:dyDescent="0.35">
      <c r="A3772" s="403" t="s">
        <v>3831</v>
      </c>
      <c r="B3772" s="397">
        <v>44553</v>
      </c>
      <c r="C3772" s="398" t="s">
        <v>7049</v>
      </c>
      <c r="D3772" s="399" t="s">
        <v>7050</v>
      </c>
      <c r="E3772" s="399" t="s">
        <v>6781</v>
      </c>
      <c r="F3772" s="400">
        <v>9500000</v>
      </c>
      <c r="G3772" s="401" t="s">
        <v>3800</v>
      </c>
      <c r="H3772" s="402">
        <v>3534.8781265463313</v>
      </c>
      <c r="I3772" s="402"/>
      <c r="J3772" s="400"/>
      <c r="K3772" s="400"/>
      <c r="L3772" s="400"/>
      <c r="M3772" s="400"/>
      <c r="N3772" s="400">
        <f>H3772</f>
        <v>3534.8781265463313</v>
      </c>
    </row>
    <row r="3773" spans="1:14" s="360" customFormat="1" outlineLevel="1" collapsed="1" x14ac:dyDescent="0.35">
      <c r="A3773" s="396" t="s">
        <v>7051</v>
      </c>
      <c r="B3773" s="397"/>
      <c r="C3773" s="398"/>
      <c r="D3773" s="399"/>
      <c r="E3773" s="399"/>
      <c r="F3773" s="400"/>
      <c r="G3773" s="401"/>
      <c r="H3773" s="402">
        <f t="shared" ref="H3773:N3773" si="194">SUBTOTAL(9,H3772:H3772)</f>
        <v>3534.8781265463313</v>
      </c>
      <c r="I3773" s="402"/>
      <c r="J3773" s="400">
        <f t="shared" si="194"/>
        <v>0</v>
      </c>
      <c r="K3773" s="400">
        <f t="shared" si="194"/>
        <v>0</v>
      </c>
      <c r="L3773" s="400">
        <f t="shared" si="194"/>
        <v>0</v>
      </c>
      <c r="M3773" s="400">
        <f t="shared" si="194"/>
        <v>0</v>
      </c>
      <c r="N3773" s="400">
        <f t="shared" si="194"/>
        <v>3534.8781265463313</v>
      </c>
    </row>
    <row r="3774" spans="1:14" s="360" customFormat="1" hidden="1" outlineLevel="2" x14ac:dyDescent="0.35">
      <c r="A3774" s="403" t="s">
        <v>3865</v>
      </c>
      <c r="B3774" s="397">
        <v>44526</v>
      </c>
      <c r="C3774" s="398" t="s">
        <v>7052</v>
      </c>
      <c r="D3774" s="399" t="s">
        <v>7053</v>
      </c>
      <c r="E3774" s="399" t="s">
        <v>7054</v>
      </c>
      <c r="F3774" s="400">
        <v>3510000</v>
      </c>
      <c r="G3774" s="401" t="s">
        <v>3800</v>
      </c>
      <c r="H3774" s="402">
        <v>1306.0444446502761</v>
      </c>
      <c r="I3774" s="402"/>
      <c r="J3774" s="400"/>
      <c r="K3774" s="400"/>
      <c r="L3774" s="400"/>
      <c r="M3774" s="400"/>
      <c r="N3774" s="400">
        <f>H3774</f>
        <v>1306.0444446502761</v>
      </c>
    </row>
    <row r="3775" spans="1:14" s="360" customFormat="1" hidden="1" outlineLevel="2" x14ac:dyDescent="0.35">
      <c r="A3775" s="403" t="s">
        <v>3865</v>
      </c>
      <c r="B3775" s="397">
        <v>44526</v>
      </c>
      <c r="C3775" s="398" t="s">
        <v>7055</v>
      </c>
      <c r="D3775" s="399" t="s">
        <v>7056</v>
      </c>
      <c r="E3775" s="399" t="s">
        <v>7057</v>
      </c>
      <c r="F3775" s="400">
        <v>390000</v>
      </c>
      <c r="G3775" s="401" t="s">
        <v>3800</v>
      </c>
      <c r="H3775" s="402">
        <v>145.11604940558624</v>
      </c>
      <c r="I3775" s="402"/>
      <c r="J3775" s="400"/>
      <c r="K3775" s="400"/>
      <c r="L3775" s="400"/>
      <c r="M3775" s="400"/>
      <c r="N3775" s="400">
        <f>H3775</f>
        <v>145.11604940558624</v>
      </c>
    </row>
    <row r="3776" spans="1:14" s="360" customFormat="1" hidden="1" outlineLevel="2" x14ac:dyDescent="0.35">
      <c r="A3776" s="403" t="s">
        <v>3865</v>
      </c>
      <c r="B3776" s="397">
        <v>44546</v>
      </c>
      <c r="C3776" s="398" t="s">
        <v>7058</v>
      </c>
      <c r="D3776" s="399" t="s">
        <v>7059</v>
      </c>
      <c r="E3776" s="399" t="s">
        <v>7060</v>
      </c>
      <c r="F3776" s="400">
        <v>300000</v>
      </c>
      <c r="G3776" s="401" t="s">
        <v>3800</v>
      </c>
      <c r="H3776" s="402">
        <v>111.62773031198941</v>
      </c>
      <c r="I3776" s="402"/>
      <c r="J3776" s="400"/>
      <c r="K3776" s="400"/>
      <c r="L3776" s="400"/>
      <c r="M3776" s="400"/>
      <c r="N3776" s="400">
        <f>H3776</f>
        <v>111.62773031198941</v>
      </c>
    </row>
    <row r="3777" spans="1:14" s="360" customFormat="1" hidden="1" outlineLevel="2" x14ac:dyDescent="0.35">
      <c r="A3777" s="403" t="s">
        <v>3865</v>
      </c>
      <c r="B3777" s="397">
        <v>44546</v>
      </c>
      <c r="C3777" s="398" t="s">
        <v>7058</v>
      </c>
      <c r="D3777" s="399" t="s">
        <v>7059</v>
      </c>
      <c r="E3777" s="399" t="s">
        <v>7060</v>
      </c>
      <c r="F3777" s="400">
        <v>100000</v>
      </c>
      <c r="G3777" s="401" t="s">
        <v>3800</v>
      </c>
      <c r="H3777" s="402">
        <v>37.209243437329803</v>
      </c>
      <c r="I3777" s="402"/>
      <c r="J3777" s="400"/>
      <c r="K3777" s="400"/>
      <c r="L3777" s="400"/>
      <c r="M3777" s="400"/>
      <c r="N3777" s="400">
        <f>H3777</f>
        <v>37.209243437329803</v>
      </c>
    </row>
    <row r="3778" spans="1:14" s="360" customFormat="1" hidden="1" outlineLevel="2" x14ac:dyDescent="0.35">
      <c r="A3778" s="403" t="s">
        <v>3865</v>
      </c>
      <c r="B3778" s="397">
        <v>44553</v>
      </c>
      <c r="C3778" s="398" t="s">
        <v>7061</v>
      </c>
      <c r="D3778" s="399" t="s">
        <v>7062</v>
      </c>
      <c r="E3778" s="399" t="s">
        <v>6431</v>
      </c>
      <c r="F3778" s="400">
        <v>15400000</v>
      </c>
      <c r="G3778" s="401" t="s">
        <v>3800</v>
      </c>
      <c r="H3778" s="402">
        <v>5730.2234893487903</v>
      </c>
      <c r="I3778" s="402"/>
      <c r="J3778" s="400"/>
      <c r="K3778" s="400"/>
      <c r="L3778" s="400"/>
      <c r="M3778" s="400"/>
      <c r="N3778" s="400">
        <f>H3778</f>
        <v>5730.2234893487903</v>
      </c>
    </row>
    <row r="3779" spans="1:14" s="360" customFormat="1" hidden="1" outlineLevel="2" x14ac:dyDescent="0.35">
      <c r="A3779" s="403" t="s">
        <v>3865</v>
      </c>
      <c r="B3779" s="397">
        <v>44571</v>
      </c>
      <c r="C3779" s="398" t="s">
        <v>7063</v>
      </c>
      <c r="D3779" s="399" t="s">
        <v>6901</v>
      </c>
      <c r="E3779" s="399" t="s">
        <v>6902</v>
      </c>
      <c r="F3779" s="400">
        <v>2400000</v>
      </c>
      <c r="G3779" s="401" t="s">
        <v>3800</v>
      </c>
      <c r="H3779" s="402">
        <v>893.02184249591528</v>
      </c>
      <c r="I3779" s="402"/>
      <c r="J3779" s="400"/>
      <c r="K3779" s="400"/>
      <c r="L3779" s="400"/>
      <c r="M3779" s="400"/>
      <c r="N3779" s="400">
        <v>893.02184249591528</v>
      </c>
    </row>
    <row r="3780" spans="1:14" s="360" customFormat="1" hidden="1" outlineLevel="2" x14ac:dyDescent="0.35">
      <c r="A3780" s="403" t="s">
        <v>3865</v>
      </c>
      <c r="B3780" s="397">
        <v>44571</v>
      </c>
      <c r="C3780" s="398" t="s">
        <v>7064</v>
      </c>
      <c r="D3780" s="399" t="s">
        <v>7065</v>
      </c>
      <c r="E3780" s="399" t="s">
        <v>6431</v>
      </c>
      <c r="F3780" s="400">
        <v>3800000</v>
      </c>
      <c r="G3780" s="401" t="s">
        <v>3800</v>
      </c>
      <c r="H3780" s="402">
        <v>1413.9512506185326</v>
      </c>
      <c r="I3780" s="402"/>
      <c r="J3780" s="400"/>
      <c r="K3780" s="400"/>
      <c r="L3780" s="400"/>
      <c r="M3780" s="400"/>
      <c r="N3780" s="400">
        <v>1413.9512506185326</v>
      </c>
    </row>
    <row r="3781" spans="1:14" s="360" customFormat="1" hidden="1" outlineLevel="2" x14ac:dyDescent="0.35">
      <c r="A3781" s="403" t="s">
        <v>3865</v>
      </c>
      <c r="B3781" s="397">
        <v>44579</v>
      </c>
      <c r="C3781" s="398" t="s">
        <v>7066</v>
      </c>
      <c r="D3781" s="399" t="s">
        <v>7067</v>
      </c>
      <c r="E3781" s="399" t="s">
        <v>6342</v>
      </c>
      <c r="F3781" s="400">
        <v>600000</v>
      </c>
      <c r="G3781" s="401" t="s">
        <v>3800</v>
      </c>
      <c r="H3781" s="402">
        <v>223.25546062397882</v>
      </c>
      <c r="I3781" s="402"/>
      <c r="J3781" s="400"/>
      <c r="K3781" s="400"/>
      <c r="L3781" s="400"/>
      <c r="M3781" s="400"/>
      <c r="N3781" s="400">
        <v>223.25546062397882</v>
      </c>
    </row>
    <row r="3782" spans="1:14" s="360" customFormat="1" outlineLevel="1" collapsed="1" x14ac:dyDescent="0.35">
      <c r="A3782" s="396" t="s">
        <v>7068</v>
      </c>
      <c r="B3782" s="397"/>
      <c r="C3782" s="398"/>
      <c r="D3782" s="399"/>
      <c r="E3782" s="399"/>
      <c r="F3782" s="400"/>
      <c r="G3782" s="401"/>
      <c r="H3782" s="402">
        <f t="shared" ref="H3782:N3782" si="195">SUBTOTAL(9,H3774:H3781)</f>
        <v>9860.4495108923984</v>
      </c>
      <c r="I3782" s="402"/>
      <c r="J3782" s="400">
        <f t="shared" si="195"/>
        <v>0</v>
      </c>
      <c r="K3782" s="400">
        <f t="shared" si="195"/>
        <v>0</v>
      </c>
      <c r="L3782" s="400">
        <f t="shared" si="195"/>
        <v>0</v>
      </c>
      <c r="M3782" s="400">
        <f t="shared" si="195"/>
        <v>0</v>
      </c>
      <c r="N3782" s="400">
        <f t="shared" si="195"/>
        <v>9860.4495108923984</v>
      </c>
    </row>
    <row r="3783" spans="1:14" s="360" customFormat="1" hidden="1" outlineLevel="2" x14ac:dyDescent="0.35">
      <c r="A3783" s="403" t="s">
        <v>3859</v>
      </c>
      <c r="B3783" s="397">
        <v>44552</v>
      </c>
      <c r="C3783" s="398" t="s">
        <v>7069</v>
      </c>
      <c r="D3783" s="399" t="s">
        <v>7070</v>
      </c>
      <c r="E3783" s="399" t="s">
        <v>6431</v>
      </c>
      <c r="F3783" s="400">
        <v>7210000</v>
      </c>
      <c r="G3783" s="401" t="s">
        <v>3800</v>
      </c>
      <c r="H3783" s="402">
        <v>2682.7864518314791</v>
      </c>
      <c r="I3783" s="402"/>
      <c r="J3783" s="400"/>
      <c r="K3783" s="400"/>
      <c r="L3783" s="400"/>
      <c r="M3783" s="400"/>
      <c r="N3783" s="400">
        <f>H3783</f>
        <v>2682.7864518314791</v>
      </c>
    </row>
    <row r="3784" spans="1:14" s="360" customFormat="1" hidden="1" outlineLevel="2" x14ac:dyDescent="0.35">
      <c r="A3784" s="403" t="s">
        <v>3859</v>
      </c>
      <c r="B3784" s="397">
        <v>44571</v>
      </c>
      <c r="C3784" s="398" t="s">
        <v>7071</v>
      </c>
      <c r="D3784" s="399" t="s">
        <v>7072</v>
      </c>
      <c r="E3784" s="399" t="s">
        <v>6518</v>
      </c>
      <c r="F3784" s="400">
        <v>7609000</v>
      </c>
      <c r="G3784" s="401" t="s">
        <v>3800</v>
      </c>
      <c r="H3784" s="402">
        <v>2831.2513331464247</v>
      </c>
      <c r="I3784" s="402"/>
      <c r="J3784" s="400"/>
      <c r="K3784" s="400"/>
      <c r="L3784" s="400"/>
      <c r="M3784" s="400"/>
      <c r="N3784" s="400">
        <v>2831.2513331464247</v>
      </c>
    </row>
    <row r="3785" spans="1:14" s="360" customFormat="1" hidden="1" outlineLevel="2" x14ac:dyDescent="0.35">
      <c r="A3785" s="403" t="s">
        <v>3859</v>
      </c>
      <c r="B3785" s="397">
        <v>44571</v>
      </c>
      <c r="C3785" s="398" t="s">
        <v>7073</v>
      </c>
      <c r="D3785" s="399" t="s">
        <v>7074</v>
      </c>
      <c r="E3785" s="399" t="s">
        <v>6518</v>
      </c>
      <c r="F3785" s="400">
        <v>1200000</v>
      </c>
      <c r="G3785" s="401" t="s">
        <v>3800</v>
      </c>
      <c r="H3785" s="402">
        <v>446.51092124795764</v>
      </c>
      <c r="I3785" s="402"/>
      <c r="J3785" s="400"/>
      <c r="K3785" s="400"/>
      <c r="L3785" s="400"/>
      <c r="M3785" s="400"/>
      <c r="N3785" s="400">
        <v>446.51092124795764</v>
      </c>
    </row>
    <row r="3786" spans="1:14" s="360" customFormat="1" hidden="1" outlineLevel="2" collapsed="1" x14ac:dyDescent="0.35">
      <c r="A3786" s="403" t="s">
        <v>3859</v>
      </c>
      <c r="B3786" s="397">
        <v>44571</v>
      </c>
      <c r="C3786" s="398" t="s">
        <v>7075</v>
      </c>
      <c r="D3786" s="399" t="s">
        <v>7076</v>
      </c>
      <c r="E3786" s="399" t="s">
        <v>6518</v>
      </c>
      <c r="F3786" s="400">
        <v>6214000</v>
      </c>
      <c r="G3786" s="401" t="s">
        <v>3800</v>
      </c>
      <c r="H3786" s="402">
        <v>2312.182387195674</v>
      </c>
      <c r="I3786" s="402"/>
      <c r="J3786" s="400"/>
      <c r="K3786" s="400"/>
      <c r="L3786" s="400"/>
      <c r="M3786" s="400"/>
      <c r="N3786" s="400">
        <v>2312.182387195674</v>
      </c>
    </row>
    <row r="3787" spans="1:14" s="360" customFormat="1" outlineLevel="1" collapsed="1" x14ac:dyDescent="0.35">
      <c r="A3787" s="396" t="s">
        <v>7077</v>
      </c>
      <c r="B3787" s="397"/>
      <c r="C3787" s="398"/>
      <c r="D3787" s="399"/>
      <c r="E3787" s="399"/>
      <c r="F3787" s="400"/>
      <c r="G3787" s="401"/>
      <c r="H3787" s="402">
        <f t="shared" ref="H3787:N3787" si="196">SUBTOTAL(9,H3783:H3786)</f>
        <v>8272.7310934215348</v>
      </c>
      <c r="I3787" s="402"/>
      <c r="J3787" s="400">
        <f t="shared" si="196"/>
        <v>0</v>
      </c>
      <c r="K3787" s="400">
        <f t="shared" si="196"/>
        <v>0</v>
      </c>
      <c r="L3787" s="400">
        <f t="shared" si="196"/>
        <v>0</v>
      </c>
      <c r="M3787" s="400">
        <f t="shared" si="196"/>
        <v>0</v>
      </c>
      <c r="N3787" s="400">
        <f t="shared" si="196"/>
        <v>8272.7310934215348</v>
      </c>
    </row>
    <row r="3788" spans="1:14" s="360" customFormat="1" hidden="1" outlineLevel="2" x14ac:dyDescent="0.35">
      <c r="A3788" s="403" t="s">
        <v>7078</v>
      </c>
      <c r="B3788" s="397">
        <v>44326</v>
      </c>
      <c r="C3788" s="398" t="s">
        <v>7079</v>
      </c>
      <c r="D3788" s="399" t="s">
        <v>7080</v>
      </c>
      <c r="E3788" s="399" t="s">
        <v>7081</v>
      </c>
      <c r="F3788" s="400">
        <v>380000</v>
      </c>
      <c r="G3788" s="401" t="s">
        <v>3800</v>
      </c>
      <c r="H3788" s="402">
        <v>141.39512506185326</v>
      </c>
      <c r="I3788" s="402"/>
      <c r="J3788" s="400"/>
      <c r="K3788" s="400"/>
      <c r="L3788" s="400"/>
      <c r="M3788" s="400"/>
      <c r="N3788" s="400">
        <f t="shared" ref="N3788:N3793" si="197">H3788</f>
        <v>141.39512506185326</v>
      </c>
    </row>
    <row r="3789" spans="1:14" s="360" customFormat="1" hidden="1" outlineLevel="2" x14ac:dyDescent="0.35">
      <c r="A3789" s="403" t="s">
        <v>7078</v>
      </c>
      <c r="B3789" s="397">
        <v>44326</v>
      </c>
      <c r="C3789" s="398" t="s">
        <v>7079</v>
      </c>
      <c r="D3789" s="399" t="s">
        <v>7082</v>
      </c>
      <c r="E3789" s="399" t="s">
        <v>7083</v>
      </c>
      <c r="F3789" s="400">
        <v>720000</v>
      </c>
      <c r="G3789" s="401" t="s">
        <v>3800</v>
      </c>
      <c r="H3789" s="402">
        <v>267.90655274877457</v>
      </c>
      <c r="I3789" s="402"/>
      <c r="J3789" s="400"/>
      <c r="K3789" s="400"/>
      <c r="L3789" s="400"/>
      <c r="M3789" s="400"/>
      <c r="N3789" s="400">
        <f t="shared" si="197"/>
        <v>267.90655274877457</v>
      </c>
    </row>
    <row r="3790" spans="1:14" s="360" customFormat="1" hidden="1" outlineLevel="2" x14ac:dyDescent="0.35">
      <c r="A3790" s="403" t="s">
        <v>7078</v>
      </c>
      <c r="B3790" s="397">
        <v>44508</v>
      </c>
      <c r="C3790" s="398" t="s">
        <v>7084</v>
      </c>
      <c r="D3790" s="399" t="s">
        <v>7085</v>
      </c>
      <c r="E3790" s="399" t="s">
        <v>7086</v>
      </c>
      <c r="F3790" s="400">
        <v>330000</v>
      </c>
      <c r="G3790" s="401" t="s">
        <v>3800</v>
      </c>
      <c r="H3790" s="402">
        <v>122.79050334318836</v>
      </c>
      <c r="I3790" s="402"/>
      <c r="J3790" s="400"/>
      <c r="K3790" s="400"/>
      <c r="L3790" s="400"/>
      <c r="M3790" s="400"/>
      <c r="N3790" s="400">
        <f t="shared" si="197"/>
        <v>122.79050334318836</v>
      </c>
    </row>
    <row r="3791" spans="1:14" s="360" customFormat="1" hidden="1" outlineLevel="2" x14ac:dyDescent="0.35">
      <c r="A3791" s="403" t="s">
        <v>7078</v>
      </c>
      <c r="B3791" s="397">
        <v>44508</v>
      </c>
      <c r="C3791" s="398" t="s">
        <v>7084</v>
      </c>
      <c r="D3791" s="399" t="s">
        <v>7085</v>
      </c>
      <c r="E3791" s="399" t="s">
        <v>7087</v>
      </c>
      <c r="F3791" s="400">
        <v>330000</v>
      </c>
      <c r="G3791" s="401" t="s">
        <v>3800</v>
      </c>
      <c r="H3791" s="402">
        <v>122.79050334318836</v>
      </c>
      <c r="I3791" s="402"/>
      <c r="J3791" s="400"/>
      <c r="K3791" s="400"/>
      <c r="L3791" s="400"/>
      <c r="M3791" s="400"/>
      <c r="N3791" s="400">
        <f t="shared" si="197"/>
        <v>122.79050334318836</v>
      </c>
    </row>
    <row r="3792" spans="1:14" s="360" customFormat="1" hidden="1" outlineLevel="2" x14ac:dyDescent="0.35">
      <c r="A3792" s="403" t="s">
        <v>7088</v>
      </c>
      <c r="B3792" s="397">
        <v>44538</v>
      </c>
      <c r="C3792" s="398" t="s">
        <v>7089</v>
      </c>
      <c r="D3792" s="399" t="s">
        <v>7090</v>
      </c>
      <c r="E3792" s="399" t="s">
        <v>6893</v>
      </c>
      <c r="F3792" s="400">
        <v>1600000</v>
      </c>
      <c r="G3792" s="401" t="s">
        <v>3800</v>
      </c>
      <c r="H3792" s="402">
        <v>595.34789499727685</v>
      </c>
      <c r="I3792" s="402"/>
      <c r="J3792" s="400"/>
      <c r="K3792" s="400"/>
      <c r="L3792" s="400"/>
      <c r="M3792" s="400"/>
      <c r="N3792" s="400">
        <f t="shared" si="197"/>
        <v>595.34789499727685</v>
      </c>
    </row>
    <row r="3793" spans="1:14" s="360" customFormat="1" hidden="1" outlineLevel="2" x14ac:dyDescent="0.35">
      <c r="A3793" s="403" t="s">
        <v>7088</v>
      </c>
      <c r="B3793" s="397">
        <v>44552</v>
      </c>
      <c r="C3793" s="398" t="s">
        <v>7091</v>
      </c>
      <c r="D3793" s="399" t="s">
        <v>7092</v>
      </c>
      <c r="E3793" s="399" t="s">
        <v>6879</v>
      </c>
      <c r="F3793" s="400">
        <v>421000</v>
      </c>
      <c r="G3793" s="401" t="s">
        <v>3800</v>
      </c>
      <c r="H3793" s="402">
        <v>156.65091487115848</v>
      </c>
      <c r="I3793" s="402"/>
      <c r="J3793" s="400"/>
      <c r="K3793" s="400"/>
      <c r="L3793" s="400"/>
      <c r="M3793" s="400"/>
      <c r="N3793" s="400">
        <f t="shared" si="197"/>
        <v>156.65091487115848</v>
      </c>
    </row>
    <row r="3794" spans="1:14" s="360" customFormat="1" outlineLevel="1" collapsed="1" x14ac:dyDescent="0.35">
      <c r="A3794" s="396" t="s">
        <v>7093</v>
      </c>
      <c r="B3794" s="397"/>
      <c r="C3794" s="398"/>
      <c r="D3794" s="399"/>
      <c r="E3794" s="399"/>
      <c r="F3794" s="400"/>
      <c r="G3794" s="401"/>
      <c r="H3794" s="402">
        <f t="shared" ref="H3794:N3794" si="198">SUBTOTAL(9,H3788:H3793)</f>
        <v>1406.8814943654397</v>
      </c>
      <c r="I3794" s="402"/>
      <c r="J3794" s="400">
        <f t="shared" si="198"/>
        <v>0</v>
      </c>
      <c r="K3794" s="400">
        <f t="shared" si="198"/>
        <v>0</v>
      </c>
      <c r="L3794" s="400">
        <f t="shared" si="198"/>
        <v>0</v>
      </c>
      <c r="M3794" s="400">
        <f t="shared" si="198"/>
        <v>0</v>
      </c>
      <c r="N3794" s="400">
        <f t="shared" si="198"/>
        <v>1406.8814943654397</v>
      </c>
    </row>
    <row r="3795" spans="1:14" s="360" customFormat="1" hidden="1" outlineLevel="2" x14ac:dyDescent="0.35">
      <c r="A3795" s="403" t="s">
        <v>3829</v>
      </c>
      <c r="B3795" s="397">
        <v>44553</v>
      </c>
      <c r="C3795" s="398" t="s">
        <v>7094</v>
      </c>
      <c r="D3795" s="399" t="s">
        <v>7095</v>
      </c>
      <c r="E3795" s="399" t="s">
        <v>6902</v>
      </c>
      <c r="F3795" s="400">
        <v>2250000</v>
      </c>
      <c r="G3795" s="401" t="s">
        <v>3800</v>
      </c>
      <c r="H3795" s="402">
        <v>837.2079773399206</v>
      </c>
      <c r="I3795" s="402"/>
      <c r="J3795" s="400"/>
      <c r="K3795" s="400"/>
      <c r="L3795" s="400"/>
      <c r="M3795" s="400"/>
      <c r="N3795" s="400">
        <f>H3795</f>
        <v>837.2079773399206</v>
      </c>
    </row>
    <row r="3796" spans="1:14" s="360" customFormat="1" outlineLevel="1" collapsed="1" x14ac:dyDescent="0.35">
      <c r="A3796" s="396" t="s">
        <v>7096</v>
      </c>
      <c r="B3796" s="397"/>
      <c r="C3796" s="398"/>
      <c r="D3796" s="399"/>
      <c r="E3796" s="399"/>
      <c r="F3796" s="400"/>
      <c r="G3796" s="401"/>
      <c r="H3796" s="402">
        <f t="shared" ref="H3796:N3796" si="199">SUBTOTAL(9,H3795:H3795)</f>
        <v>837.2079773399206</v>
      </c>
      <c r="I3796" s="402"/>
      <c r="J3796" s="400">
        <f t="shared" si="199"/>
        <v>0</v>
      </c>
      <c r="K3796" s="400">
        <f t="shared" si="199"/>
        <v>0</v>
      </c>
      <c r="L3796" s="400">
        <f t="shared" si="199"/>
        <v>0</v>
      </c>
      <c r="M3796" s="400">
        <f t="shared" si="199"/>
        <v>0</v>
      </c>
      <c r="N3796" s="400">
        <f t="shared" si="199"/>
        <v>837.2079773399206</v>
      </c>
    </row>
    <row r="3797" spans="1:14" s="360" customFormat="1" hidden="1" outlineLevel="2" x14ac:dyDescent="0.35">
      <c r="A3797" s="403" t="s">
        <v>3828</v>
      </c>
      <c r="B3797" s="397">
        <v>44571</v>
      </c>
      <c r="C3797" s="398" t="s">
        <v>7097</v>
      </c>
      <c r="D3797" s="399" t="s">
        <v>7098</v>
      </c>
      <c r="E3797" s="399" t="s">
        <v>6902</v>
      </c>
      <c r="F3797" s="400">
        <v>2400000</v>
      </c>
      <c r="G3797" s="401" t="s">
        <v>3800</v>
      </c>
      <c r="H3797" s="402">
        <v>893.02184249591528</v>
      </c>
      <c r="I3797" s="402"/>
      <c r="J3797" s="400"/>
      <c r="K3797" s="400"/>
      <c r="L3797" s="400"/>
      <c r="M3797" s="400"/>
      <c r="N3797" s="400">
        <v>893.02184249591528</v>
      </c>
    </row>
    <row r="3798" spans="1:14" s="360" customFormat="1" outlineLevel="1" collapsed="1" x14ac:dyDescent="0.35">
      <c r="A3798" s="396" t="s">
        <v>7099</v>
      </c>
      <c r="B3798" s="397"/>
      <c r="C3798" s="398"/>
      <c r="D3798" s="399"/>
      <c r="E3798" s="399"/>
      <c r="F3798" s="400"/>
      <c r="G3798" s="401"/>
      <c r="H3798" s="402">
        <f t="shared" ref="H3798:N3798" si="200">SUBTOTAL(9,H3797:H3797)</f>
        <v>893.02184249591528</v>
      </c>
      <c r="I3798" s="402"/>
      <c r="J3798" s="400">
        <f t="shared" si="200"/>
        <v>0</v>
      </c>
      <c r="K3798" s="400">
        <f t="shared" si="200"/>
        <v>0</v>
      </c>
      <c r="L3798" s="400">
        <f t="shared" si="200"/>
        <v>0</v>
      </c>
      <c r="M3798" s="400">
        <f t="shared" si="200"/>
        <v>0</v>
      </c>
      <c r="N3798" s="400">
        <f t="shared" si="200"/>
        <v>893.02184249591528</v>
      </c>
    </row>
    <row r="3799" spans="1:14" s="360" customFormat="1" hidden="1" outlineLevel="2" x14ac:dyDescent="0.35">
      <c r="A3799" s="403" t="s">
        <v>3864</v>
      </c>
      <c r="B3799" s="397">
        <v>44525</v>
      </c>
      <c r="C3799" s="398" t="s">
        <v>7100</v>
      </c>
      <c r="D3799" s="399" t="s">
        <v>7101</v>
      </c>
      <c r="E3799" s="399" t="s">
        <v>6879</v>
      </c>
      <c r="F3799" s="400">
        <v>7513000</v>
      </c>
      <c r="G3799" s="401" t="s">
        <v>3800</v>
      </c>
      <c r="H3799" s="402">
        <v>2795.5304594465883</v>
      </c>
      <c r="I3799" s="402"/>
      <c r="J3799" s="400"/>
      <c r="K3799" s="400"/>
      <c r="L3799" s="400"/>
      <c r="M3799" s="400"/>
      <c r="N3799" s="400">
        <f>H3799</f>
        <v>2795.5304594465883</v>
      </c>
    </row>
    <row r="3800" spans="1:14" s="360" customFormat="1" hidden="1" outlineLevel="2" x14ac:dyDescent="0.35">
      <c r="A3800" s="403" t="s">
        <v>3864</v>
      </c>
      <c r="B3800" s="397">
        <v>44530</v>
      </c>
      <c r="C3800" s="398" t="s">
        <v>7102</v>
      </c>
      <c r="D3800" s="399" t="s">
        <v>7103</v>
      </c>
      <c r="E3800" s="399" t="s">
        <v>7104</v>
      </c>
      <c r="F3800" s="400">
        <v>5140080</v>
      </c>
      <c r="G3800" s="401" t="s">
        <v>3800</v>
      </c>
      <c r="H3800" s="402">
        <v>1912.5848800735018</v>
      </c>
      <c r="I3800" s="402"/>
      <c r="J3800" s="400"/>
      <c r="K3800" s="400"/>
      <c r="L3800" s="400"/>
      <c r="M3800" s="400"/>
      <c r="N3800" s="400">
        <f>H3800</f>
        <v>1912.5848800735018</v>
      </c>
    </row>
    <row r="3801" spans="1:14" s="360" customFormat="1" outlineLevel="1" collapsed="1" x14ac:dyDescent="0.35">
      <c r="A3801" s="396" t="s">
        <v>7105</v>
      </c>
      <c r="B3801" s="397"/>
      <c r="C3801" s="398"/>
      <c r="D3801" s="399"/>
      <c r="E3801" s="399"/>
      <c r="F3801" s="400"/>
      <c r="G3801" s="401"/>
      <c r="H3801" s="402">
        <f t="shared" ref="H3801:N3801" si="201">SUBTOTAL(9,H3799:H3800)</f>
        <v>4708.1153395200899</v>
      </c>
      <c r="I3801" s="402"/>
      <c r="J3801" s="400">
        <f t="shared" si="201"/>
        <v>0</v>
      </c>
      <c r="K3801" s="400">
        <f t="shared" si="201"/>
        <v>0</v>
      </c>
      <c r="L3801" s="400">
        <f t="shared" si="201"/>
        <v>0</v>
      </c>
      <c r="M3801" s="400">
        <f t="shared" si="201"/>
        <v>0</v>
      </c>
      <c r="N3801" s="400">
        <f t="shared" si="201"/>
        <v>4708.1153395200899</v>
      </c>
    </row>
    <row r="3802" spans="1:14" s="360" customFormat="1" hidden="1" outlineLevel="2" x14ac:dyDescent="0.35">
      <c r="A3802" s="403" t="s">
        <v>3961</v>
      </c>
      <c r="B3802" s="397">
        <v>44531</v>
      </c>
      <c r="C3802" s="398" t="s">
        <v>7106</v>
      </c>
      <c r="D3802" s="399" t="s">
        <v>7107</v>
      </c>
      <c r="E3802" s="399" t="s">
        <v>6879</v>
      </c>
      <c r="F3802" s="400">
        <v>357500</v>
      </c>
      <c r="G3802" s="401" t="s">
        <v>3800</v>
      </c>
      <c r="H3802" s="402">
        <v>133.02304528845406</v>
      </c>
      <c r="I3802" s="402"/>
      <c r="J3802" s="400"/>
      <c r="K3802" s="400"/>
      <c r="L3802" s="400"/>
      <c r="M3802" s="400"/>
      <c r="N3802" s="400">
        <f>H3802</f>
        <v>133.02304528845406</v>
      </c>
    </row>
    <row r="3803" spans="1:14" s="360" customFormat="1" hidden="1" outlineLevel="2" x14ac:dyDescent="0.35">
      <c r="A3803" s="403" t="s">
        <v>3961</v>
      </c>
      <c r="B3803" s="397">
        <v>44538</v>
      </c>
      <c r="C3803" s="398" t="s">
        <v>7108</v>
      </c>
      <c r="D3803" s="399" t="s">
        <v>7109</v>
      </c>
      <c r="E3803" s="399" t="s">
        <v>7110</v>
      </c>
      <c r="F3803" s="400">
        <v>200000</v>
      </c>
      <c r="G3803" s="401" t="s">
        <v>3800</v>
      </c>
      <c r="H3803" s="402">
        <v>74.418486874659607</v>
      </c>
      <c r="I3803" s="402"/>
      <c r="J3803" s="400"/>
      <c r="K3803" s="400"/>
      <c r="L3803" s="400"/>
      <c r="M3803" s="400"/>
      <c r="N3803" s="400">
        <f>H3803</f>
        <v>74.418486874659607</v>
      </c>
    </row>
    <row r="3804" spans="1:14" s="360" customFormat="1" hidden="1" outlineLevel="2" x14ac:dyDescent="0.35">
      <c r="A3804" s="403" t="s">
        <v>3961</v>
      </c>
      <c r="B3804" s="397">
        <v>44536</v>
      </c>
      <c r="C3804" s="398" t="s">
        <v>7111</v>
      </c>
      <c r="D3804" s="399" t="s">
        <v>7112</v>
      </c>
      <c r="E3804" s="399" t="s">
        <v>6656</v>
      </c>
      <c r="F3804" s="400">
        <v>3324000</v>
      </c>
      <c r="G3804" s="401" t="s">
        <v>3800</v>
      </c>
      <c r="H3804" s="402">
        <v>1236.8352518568427</v>
      </c>
      <c r="I3804" s="402"/>
      <c r="J3804" s="400"/>
      <c r="K3804" s="400"/>
      <c r="L3804" s="400"/>
      <c r="M3804" s="400"/>
      <c r="N3804" s="400">
        <f>H3804</f>
        <v>1236.8352518568427</v>
      </c>
    </row>
    <row r="3805" spans="1:14" s="360" customFormat="1" hidden="1" outlineLevel="2" x14ac:dyDescent="0.35">
      <c r="A3805" s="403" t="s">
        <v>3961</v>
      </c>
      <c r="B3805" s="397">
        <v>44552</v>
      </c>
      <c r="C3805" s="398" t="s">
        <v>7113</v>
      </c>
      <c r="D3805" s="399" t="s">
        <v>7114</v>
      </c>
      <c r="E3805" s="399" t="s">
        <v>7115</v>
      </c>
      <c r="F3805" s="400">
        <v>300000</v>
      </c>
      <c r="G3805" s="401" t="s">
        <v>3800</v>
      </c>
      <c r="H3805" s="402">
        <v>111.62773031198941</v>
      </c>
      <c r="I3805" s="402"/>
      <c r="J3805" s="400"/>
      <c r="K3805" s="400"/>
      <c r="L3805" s="400"/>
      <c r="M3805" s="400"/>
      <c r="N3805" s="400">
        <f>H3805</f>
        <v>111.62773031198941</v>
      </c>
    </row>
    <row r="3806" spans="1:14" s="360" customFormat="1" hidden="1" outlineLevel="2" x14ac:dyDescent="0.35">
      <c r="A3806" s="403" t="s">
        <v>3961</v>
      </c>
      <c r="B3806" s="397">
        <v>44566</v>
      </c>
      <c r="C3806" s="398" t="s">
        <v>7116</v>
      </c>
      <c r="D3806" s="399" t="s">
        <v>7117</v>
      </c>
      <c r="E3806" s="399" t="s">
        <v>4523</v>
      </c>
      <c r="F3806" s="400">
        <v>1588600</v>
      </c>
      <c r="G3806" s="401" t="s">
        <v>3800</v>
      </c>
      <c r="H3806" s="402">
        <v>591.10604124542124</v>
      </c>
      <c r="I3806" s="402"/>
      <c r="J3806" s="400"/>
      <c r="K3806" s="400"/>
      <c r="L3806" s="400"/>
      <c r="M3806" s="400"/>
      <c r="N3806" s="400">
        <v>591.10604124542124</v>
      </c>
    </row>
    <row r="3807" spans="1:14" s="360" customFormat="1" hidden="1" outlineLevel="2" x14ac:dyDescent="0.35">
      <c r="A3807" s="403" t="s">
        <v>3961</v>
      </c>
      <c r="B3807" s="397">
        <v>44592</v>
      </c>
      <c r="C3807" s="398" t="s">
        <v>7118</v>
      </c>
      <c r="D3807" s="399" t="s">
        <v>7119</v>
      </c>
      <c r="E3807" s="399" t="s">
        <v>6893</v>
      </c>
      <c r="F3807" s="400">
        <v>1920000</v>
      </c>
      <c r="G3807" s="401" t="s">
        <v>3800</v>
      </c>
      <c r="H3807" s="402">
        <v>714.41747399673227</v>
      </c>
      <c r="I3807" s="402"/>
      <c r="J3807" s="400"/>
      <c r="K3807" s="400"/>
      <c r="L3807" s="400"/>
      <c r="M3807" s="400"/>
      <c r="N3807" s="400">
        <v>714.41747399673227</v>
      </c>
    </row>
    <row r="3808" spans="1:14" s="360" customFormat="1" outlineLevel="1" collapsed="1" x14ac:dyDescent="0.35">
      <c r="A3808" s="396" t="s">
        <v>7120</v>
      </c>
      <c r="B3808" s="397"/>
      <c r="C3808" s="398"/>
      <c r="D3808" s="399"/>
      <c r="E3808" s="399"/>
      <c r="F3808" s="400"/>
      <c r="G3808" s="401"/>
      <c r="H3808" s="402">
        <f t="shared" ref="H3808:N3808" si="202">SUBTOTAL(9,H3802:H3807)</f>
        <v>2861.4280295740991</v>
      </c>
      <c r="I3808" s="402"/>
      <c r="J3808" s="400">
        <f t="shared" si="202"/>
        <v>0</v>
      </c>
      <c r="K3808" s="400">
        <f t="shared" si="202"/>
        <v>0</v>
      </c>
      <c r="L3808" s="400">
        <f t="shared" si="202"/>
        <v>0</v>
      </c>
      <c r="M3808" s="400">
        <f t="shared" si="202"/>
        <v>0</v>
      </c>
      <c r="N3808" s="400">
        <f t="shared" si="202"/>
        <v>2861.4280295740991</v>
      </c>
    </row>
    <row r="3809" spans="1:14" s="360" customFormat="1" hidden="1" outlineLevel="2" x14ac:dyDescent="0.35">
      <c r="A3809" s="403" t="s">
        <v>3966</v>
      </c>
      <c r="B3809" s="397">
        <v>44496</v>
      </c>
      <c r="C3809" s="398" t="s">
        <v>7121</v>
      </c>
      <c r="D3809" s="399" t="s">
        <v>7122</v>
      </c>
      <c r="E3809" s="399" t="s">
        <v>7123</v>
      </c>
      <c r="F3809" s="400">
        <v>300000</v>
      </c>
      <c r="G3809" s="401" t="s">
        <v>3800</v>
      </c>
      <c r="H3809" s="402">
        <v>111.62773031198941</v>
      </c>
      <c r="I3809" s="402"/>
      <c r="J3809" s="400"/>
      <c r="K3809" s="400"/>
      <c r="L3809" s="400"/>
      <c r="M3809" s="400"/>
      <c r="N3809" s="400">
        <f t="shared" ref="N3809:N3818" si="203">H3809</f>
        <v>111.62773031198941</v>
      </c>
    </row>
    <row r="3810" spans="1:14" s="360" customFormat="1" hidden="1" outlineLevel="2" collapsed="1" x14ac:dyDescent="0.35">
      <c r="A3810" s="403" t="s">
        <v>3966</v>
      </c>
      <c r="B3810" s="397">
        <v>44496</v>
      </c>
      <c r="C3810" s="398" t="s">
        <v>7124</v>
      </c>
      <c r="D3810" s="399" t="s">
        <v>7125</v>
      </c>
      <c r="E3810" s="399" t="s">
        <v>7126</v>
      </c>
      <c r="F3810" s="400">
        <v>3927000</v>
      </c>
      <c r="G3810" s="401" t="s">
        <v>3800</v>
      </c>
      <c r="H3810" s="402">
        <v>1461.2069897839415</v>
      </c>
      <c r="I3810" s="402"/>
      <c r="J3810" s="400"/>
      <c r="K3810" s="400"/>
      <c r="L3810" s="400"/>
      <c r="M3810" s="400"/>
      <c r="N3810" s="400">
        <f t="shared" si="203"/>
        <v>1461.2069897839415</v>
      </c>
    </row>
    <row r="3811" spans="1:14" s="360" customFormat="1" hidden="1" outlineLevel="2" collapsed="1" x14ac:dyDescent="0.35">
      <c r="A3811" s="403" t="s">
        <v>3966</v>
      </c>
      <c r="B3811" s="397">
        <v>44496</v>
      </c>
      <c r="C3811" s="398" t="s">
        <v>7124</v>
      </c>
      <c r="D3811" s="399" t="s">
        <v>7127</v>
      </c>
      <c r="E3811" s="399" t="s">
        <v>7126</v>
      </c>
      <c r="F3811" s="400">
        <v>1540000</v>
      </c>
      <c r="G3811" s="401" t="s">
        <v>3800</v>
      </c>
      <c r="H3811" s="402">
        <v>573.02234893487901</v>
      </c>
      <c r="I3811" s="402"/>
      <c r="J3811" s="400"/>
      <c r="K3811" s="400"/>
      <c r="L3811" s="400"/>
      <c r="M3811" s="400"/>
      <c r="N3811" s="400">
        <f t="shared" si="203"/>
        <v>573.02234893487901</v>
      </c>
    </row>
    <row r="3812" spans="1:14" s="360" customFormat="1" hidden="1" outlineLevel="2" x14ac:dyDescent="0.35">
      <c r="A3812" s="403" t="s">
        <v>3966</v>
      </c>
      <c r="B3812" s="397">
        <v>44496</v>
      </c>
      <c r="C3812" s="398" t="s">
        <v>7124</v>
      </c>
      <c r="D3812" s="399" t="s">
        <v>7128</v>
      </c>
      <c r="E3812" s="399" t="s">
        <v>7126</v>
      </c>
      <c r="F3812" s="400">
        <v>561000</v>
      </c>
      <c r="G3812" s="401" t="s">
        <v>3800</v>
      </c>
      <c r="H3812" s="402">
        <v>208.74385568342021</v>
      </c>
      <c r="I3812" s="402"/>
      <c r="J3812" s="400"/>
      <c r="K3812" s="400"/>
      <c r="L3812" s="400"/>
      <c r="M3812" s="400"/>
      <c r="N3812" s="400">
        <f t="shared" si="203"/>
        <v>208.74385568342021</v>
      </c>
    </row>
    <row r="3813" spans="1:14" s="360" customFormat="1" hidden="1" outlineLevel="2" x14ac:dyDescent="0.35">
      <c r="A3813" s="403" t="s">
        <v>3966</v>
      </c>
      <c r="B3813" s="397">
        <v>44496</v>
      </c>
      <c r="C3813" s="398" t="s">
        <v>7124</v>
      </c>
      <c r="D3813" s="399" t="s">
        <v>7129</v>
      </c>
      <c r="E3813" s="399" t="s">
        <v>7126</v>
      </c>
      <c r="F3813" s="400">
        <v>220000</v>
      </c>
      <c r="G3813" s="401" t="s">
        <v>3800</v>
      </c>
      <c r="H3813" s="402">
        <v>81.86033556212557</v>
      </c>
      <c r="I3813" s="402"/>
      <c r="J3813" s="400"/>
      <c r="K3813" s="400"/>
      <c r="L3813" s="400"/>
      <c r="M3813" s="400"/>
      <c r="N3813" s="400">
        <f t="shared" si="203"/>
        <v>81.86033556212557</v>
      </c>
    </row>
    <row r="3814" spans="1:14" s="360" customFormat="1" hidden="1" outlineLevel="2" x14ac:dyDescent="0.35">
      <c r="A3814" s="403" t="s">
        <v>3966</v>
      </c>
      <c r="B3814" s="397">
        <v>44496</v>
      </c>
      <c r="C3814" s="398" t="s">
        <v>7124</v>
      </c>
      <c r="D3814" s="399" t="s">
        <v>7130</v>
      </c>
      <c r="E3814" s="399" t="s">
        <v>7126</v>
      </c>
      <c r="F3814" s="400">
        <v>60000</v>
      </c>
      <c r="G3814" s="401" t="s">
        <v>3800</v>
      </c>
      <c r="H3814" s="402">
        <v>22.325546062397883</v>
      </c>
      <c r="I3814" s="402"/>
      <c r="J3814" s="400"/>
      <c r="K3814" s="400"/>
      <c r="L3814" s="400"/>
      <c r="M3814" s="400"/>
      <c r="N3814" s="400">
        <f t="shared" si="203"/>
        <v>22.325546062397883</v>
      </c>
    </row>
    <row r="3815" spans="1:14" s="360" customFormat="1" hidden="1" outlineLevel="2" x14ac:dyDescent="0.35">
      <c r="A3815" s="403" t="s">
        <v>3966</v>
      </c>
      <c r="B3815" s="397">
        <v>44496</v>
      </c>
      <c r="C3815" s="398" t="s">
        <v>7124</v>
      </c>
      <c r="D3815" s="399" t="s">
        <v>7131</v>
      </c>
      <c r="E3815" s="399" t="s">
        <v>6838</v>
      </c>
      <c r="F3815" s="400">
        <v>220000</v>
      </c>
      <c r="G3815" s="401" t="s">
        <v>3800</v>
      </c>
      <c r="H3815" s="402">
        <v>81.86033556212557</v>
      </c>
      <c r="I3815" s="402"/>
      <c r="J3815" s="400"/>
      <c r="K3815" s="400"/>
      <c r="L3815" s="400"/>
      <c r="M3815" s="400"/>
      <c r="N3815" s="400">
        <f t="shared" si="203"/>
        <v>81.86033556212557</v>
      </c>
    </row>
    <row r="3816" spans="1:14" s="360" customFormat="1" hidden="1" outlineLevel="2" x14ac:dyDescent="0.35">
      <c r="A3816" s="403" t="s">
        <v>3966</v>
      </c>
      <c r="B3816" s="397">
        <v>44496</v>
      </c>
      <c r="C3816" s="398" t="s">
        <v>7132</v>
      </c>
      <c r="D3816" s="399" t="s">
        <v>6882</v>
      </c>
      <c r="E3816" s="399" t="s">
        <v>6893</v>
      </c>
      <c r="F3816" s="400">
        <v>960000</v>
      </c>
      <c r="G3816" s="401" t="s">
        <v>3800</v>
      </c>
      <c r="H3816" s="402">
        <v>357.20873699836613</v>
      </c>
      <c r="I3816" s="402"/>
      <c r="J3816" s="400"/>
      <c r="K3816" s="400"/>
      <c r="L3816" s="400"/>
      <c r="M3816" s="400"/>
      <c r="N3816" s="400">
        <f t="shared" si="203"/>
        <v>357.20873699836613</v>
      </c>
    </row>
    <row r="3817" spans="1:14" s="360" customFormat="1" hidden="1" outlineLevel="2" x14ac:dyDescent="0.35">
      <c r="A3817" s="403" t="s">
        <v>3966</v>
      </c>
      <c r="B3817" s="397">
        <v>44508</v>
      </c>
      <c r="C3817" s="398" t="s">
        <v>7133</v>
      </c>
      <c r="D3817" s="399" t="s">
        <v>4891</v>
      </c>
      <c r="E3817" s="399" t="s">
        <v>6879</v>
      </c>
      <c r="F3817" s="400">
        <v>304000</v>
      </c>
      <c r="G3817" s="401" t="s">
        <v>3800</v>
      </c>
      <c r="H3817" s="402">
        <v>113.11610004948261</v>
      </c>
      <c r="I3817" s="402"/>
      <c r="J3817" s="400"/>
      <c r="K3817" s="400"/>
      <c r="L3817" s="400"/>
      <c r="M3817" s="400"/>
      <c r="N3817" s="400">
        <f t="shared" si="203"/>
        <v>113.11610004948261</v>
      </c>
    </row>
    <row r="3818" spans="1:14" s="360" customFormat="1" hidden="1" outlineLevel="2" x14ac:dyDescent="0.35">
      <c r="A3818" s="403" t="s">
        <v>3966</v>
      </c>
      <c r="B3818" s="397">
        <v>44526</v>
      </c>
      <c r="C3818" s="398" t="s">
        <v>7134</v>
      </c>
      <c r="D3818" s="399" t="s">
        <v>7135</v>
      </c>
      <c r="E3818" s="399" t="s">
        <v>6893</v>
      </c>
      <c r="F3818" s="400">
        <v>960000</v>
      </c>
      <c r="G3818" s="401" t="s">
        <v>3800</v>
      </c>
      <c r="H3818" s="402">
        <v>357.20873699836613</v>
      </c>
      <c r="I3818" s="402"/>
      <c r="J3818" s="400"/>
      <c r="K3818" s="400"/>
      <c r="L3818" s="400"/>
      <c r="M3818" s="400"/>
      <c r="N3818" s="400">
        <f t="shared" si="203"/>
        <v>357.20873699836613</v>
      </c>
    </row>
    <row r="3819" spans="1:14" s="360" customFormat="1" outlineLevel="1" collapsed="1" x14ac:dyDescent="0.35">
      <c r="A3819" s="396" t="s">
        <v>7136</v>
      </c>
      <c r="B3819" s="397"/>
      <c r="C3819" s="398"/>
      <c r="D3819" s="399"/>
      <c r="E3819" s="399"/>
      <c r="F3819" s="400"/>
      <c r="G3819" s="401"/>
      <c r="H3819" s="402">
        <f t="shared" ref="H3819:N3819" si="204">SUBTOTAL(9,H3809:H3818)</f>
        <v>3368.1807159470941</v>
      </c>
      <c r="I3819" s="402"/>
      <c r="J3819" s="400">
        <f t="shared" si="204"/>
        <v>0</v>
      </c>
      <c r="K3819" s="400">
        <f t="shared" si="204"/>
        <v>0</v>
      </c>
      <c r="L3819" s="400">
        <f t="shared" si="204"/>
        <v>0</v>
      </c>
      <c r="M3819" s="400">
        <f t="shared" si="204"/>
        <v>0</v>
      </c>
      <c r="N3819" s="400">
        <f t="shared" si="204"/>
        <v>3368.1807159470941</v>
      </c>
    </row>
    <row r="3820" spans="1:14" s="360" customFormat="1" hidden="1" outlineLevel="2" x14ac:dyDescent="0.35">
      <c r="A3820" s="403" t="s">
        <v>3967</v>
      </c>
      <c r="B3820" s="397">
        <v>44476</v>
      </c>
      <c r="C3820" s="398" t="s">
        <v>7137</v>
      </c>
      <c r="D3820" s="399" t="s">
        <v>7138</v>
      </c>
      <c r="E3820" s="399" t="s">
        <v>7139</v>
      </c>
      <c r="F3820" s="400">
        <v>5236000</v>
      </c>
      <c r="G3820" s="401" t="s">
        <v>3800</v>
      </c>
      <c r="H3820" s="402">
        <v>1948.2759863785886</v>
      </c>
      <c r="I3820" s="402"/>
      <c r="J3820" s="400"/>
      <c r="K3820" s="400"/>
      <c r="L3820" s="400"/>
      <c r="M3820" s="400"/>
      <c r="N3820" s="400">
        <f t="shared" ref="N3820:N3826" si="205">H3820</f>
        <v>1948.2759863785886</v>
      </c>
    </row>
    <row r="3821" spans="1:14" s="360" customFormat="1" hidden="1" outlineLevel="2" x14ac:dyDescent="0.35">
      <c r="A3821" s="403" t="s">
        <v>3967</v>
      </c>
      <c r="B3821" s="397">
        <v>44476</v>
      </c>
      <c r="C3821" s="398" t="s">
        <v>7137</v>
      </c>
      <c r="D3821" s="399" t="s">
        <v>7140</v>
      </c>
      <c r="E3821" s="399" t="s">
        <v>7139</v>
      </c>
      <c r="F3821" s="400">
        <v>748000</v>
      </c>
      <c r="G3821" s="401" t="s">
        <v>3800</v>
      </c>
      <c r="H3821" s="402">
        <v>278.32514091122692</v>
      </c>
      <c r="I3821" s="402"/>
      <c r="J3821" s="400"/>
      <c r="K3821" s="400"/>
      <c r="L3821" s="400"/>
      <c r="M3821" s="400"/>
      <c r="N3821" s="400">
        <f t="shared" si="205"/>
        <v>278.32514091122692</v>
      </c>
    </row>
    <row r="3822" spans="1:14" s="360" customFormat="1" hidden="1" outlineLevel="2" x14ac:dyDescent="0.35">
      <c r="A3822" s="403" t="s">
        <v>3967</v>
      </c>
      <c r="B3822" s="397">
        <v>44476</v>
      </c>
      <c r="C3822" s="398" t="s">
        <v>7137</v>
      </c>
      <c r="D3822" s="399" t="s">
        <v>7141</v>
      </c>
      <c r="E3822" s="399" t="s">
        <v>7139</v>
      </c>
      <c r="F3822" s="400">
        <v>140000</v>
      </c>
      <c r="G3822" s="401" t="s">
        <v>3800</v>
      </c>
      <c r="H3822" s="402">
        <v>52.09294081226173</v>
      </c>
      <c r="I3822" s="402"/>
      <c r="J3822" s="400"/>
      <c r="K3822" s="400"/>
      <c r="L3822" s="400"/>
      <c r="M3822" s="400"/>
      <c r="N3822" s="400">
        <f t="shared" si="205"/>
        <v>52.09294081226173</v>
      </c>
    </row>
    <row r="3823" spans="1:14" s="360" customFormat="1" hidden="1" outlineLevel="2" collapsed="1" x14ac:dyDescent="0.35">
      <c r="A3823" s="403" t="s">
        <v>3967</v>
      </c>
      <c r="B3823" s="397">
        <v>44476</v>
      </c>
      <c r="C3823" s="398" t="s">
        <v>7132</v>
      </c>
      <c r="D3823" s="399" t="s">
        <v>7142</v>
      </c>
      <c r="E3823" s="399" t="s">
        <v>7123</v>
      </c>
      <c r="F3823" s="400">
        <v>300000</v>
      </c>
      <c r="G3823" s="401" t="s">
        <v>3800</v>
      </c>
      <c r="H3823" s="402">
        <v>111.62773031198941</v>
      </c>
      <c r="I3823" s="402"/>
      <c r="J3823" s="400"/>
      <c r="K3823" s="400"/>
      <c r="L3823" s="400"/>
      <c r="M3823" s="400"/>
      <c r="N3823" s="400">
        <f t="shared" si="205"/>
        <v>111.62773031198941</v>
      </c>
    </row>
    <row r="3824" spans="1:14" s="360" customFormat="1" hidden="1" outlineLevel="2" x14ac:dyDescent="0.35">
      <c r="A3824" s="403" t="s">
        <v>3967</v>
      </c>
      <c r="B3824" s="397">
        <v>44480</v>
      </c>
      <c r="C3824" s="398" t="s">
        <v>7143</v>
      </c>
      <c r="D3824" s="399" t="s">
        <v>7144</v>
      </c>
      <c r="E3824" s="399" t="s">
        <v>6819</v>
      </c>
      <c r="F3824" s="400">
        <v>220000</v>
      </c>
      <c r="G3824" s="401" t="s">
        <v>3800</v>
      </c>
      <c r="H3824" s="402">
        <v>81.86033556212557</v>
      </c>
      <c r="I3824" s="402"/>
      <c r="J3824" s="400"/>
      <c r="K3824" s="400"/>
      <c r="L3824" s="400"/>
      <c r="M3824" s="400"/>
      <c r="N3824" s="400">
        <f t="shared" si="205"/>
        <v>81.86033556212557</v>
      </c>
    </row>
    <row r="3825" spans="1:14" s="360" customFormat="1" hidden="1" outlineLevel="2" x14ac:dyDescent="0.35">
      <c r="A3825" s="403" t="s">
        <v>3967</v>
      </c>
      <c r="B3825" s="397">
        <v>44480</v>
      </c>
      <c r="C3825" s="398" t="s">
        <v>7145</v>
      </c>
      <c r="D3825" s="399" t="s">
        <v>7146</v>
      </c>
      <c r="E3825" s="399" t="s">
        <v>6179</v>
      </c>
      <c r="F3825" s="400">
        <v>220000</v>
      </c>
      <c r="G3825" s="401" t="s">
        <v>3800</v>
      </c>
      <c r="H3825" s="402">
        <v>81.86033556212557</v>
      </c>
      <c r="I3825" s="402"/>
      <c r="J3825" s="400"/>
      <c r="K3825" s="400"/>
      <c r="L3825" s="400"/>
      <c r="M3825" s="400"/>
      <c r="N3825" s="400">
        <f t="shared" si="205"/>
        <v>81.86033556212557</v>
      </c>
    </row>
    <row r="3826" spans="1:14" s="360" customFormat="1" hidden="1" outlineLevel="2" x14ac:dyDescent="0.35">
      <c r="A3826" s="403" t="s">
        <v>3967</v>
      </c>
      <c r="B3826" s="397">
        <v>44508</v>
      </c>
      <c r="C3826" s="398" t="s">
        <v>7147</v>
      </c>
      <c r="D3826" s="399" t="s">
        <v>4891</v>
      </c>
      <c r="E3826" s="399" t="s">
        <v>6879</v>
      </c>
      <c r="F3826" s="400">
        <v>283000</v>
      </c>
      <c r="G3826" s="401" t="s">
        <v>3800</v>
      </c>
      <c r="H3826" s="402">
        <v>105.30215892764335</v>
      </c>
      <c r="I3826" s="402"/>
      <c r="J3826" s="400"/>
      <c r="K3826" s="400"/>
      <c r="L3826" s="400"/>
      <c r="M3826" s="400"/>
      <c r="N3826" s="400">
        <f t="shared" si="205"/>
        <v>105.30215892764335</v>
      </c>
    </row>
    <row r="3827" spans="1:14" s="360" customFormat="1" outlineLevel="1" collapsed="1" x14ac:dyDescent="0.35">
      <c r="A3827" s="396" t="s">
        <v>7148</v>
      </c>
      <c r="B3827" s="397"/>
      <c r="C3827" s="398"/>
      <c r="D3827" s="399"/>
      <c r="E3827" s="399"/>
      <c r="F3827" s="400"/>
      <c r="G3827" s="401"/>
      <c r="H3827" s="402">
        <f t="shared" ref="H3827:N3827" si="206">SUBTOTAL(9,H3820:H3826)</f>
        <v>2659.3446284659613</v>
      </c>
      <c r="I3827" s="402"/>
      <c r="J3827" s="400">
        <f t="shared" si="206"/>
        <v>0</v>
      </c>
      <c r="K3827" s="400">
        <f t="shared" si="206"/>
        <v>0</v>
      </c>
      <c r="L3827" s="400">
        <f t="shared" si="206"/>
        <v>0</v>
      </c>
      <c r="M3827" s="400">
        <f t="shared" si="206"/>
        <v>0</v>
      </c>
      <c r="N3827" s="400">
        <f t="shared" si="206"/>
        <v>2659.3446284659613</v>
      </c>
    </row>
    <row r="3828" spans="1:14" s="360" customFormat="1" hidden="1" outlineLevel="2" x14ac:dyDescent="0.35">
      <c r="A3828" s="403" t="s">
        <v>3954</v>
      </c>
      <c r="B3828" s="397">
        <v>44411</v>
      </c>
      <c r="C3828" s="398" t="s">
        <v>7149</v>
      </c>
      <c r="D3828" s="399" t="s">
        <v>7150</v>
      </c>
      <c r="E3828" s="399" t="s">
        <v>6592</v>
      </c>
      <c r="F3828" s="400">
        <v>9705000</v>
      </c>
      <c r="G3828" s="401" t="s">
        <v>3800</v>
      </c>
      <c r="H3828" s="402">
        <v>3611.1570755928574</v>
      </c>
      <c r="I3828" s="402"/>
      <c r="J3828" s="400"/>
      <c r="K3828" s="400"/>
      <c r="L3828" s="400"/>
      <c r="M3828" s="400"/>
      <c r="N3828" s="400">
        <f>H3828</f>
        <v>3611.1570755928574</v>
      </c>
    </row>
    <row r="3829" spans="1:14" s="360" customFormat="1" outlineLevel="1" collapsed="1" x14ac:dyDescent="0.35">
      <c r="A3829" s="396" t="s">
        <v>7151</v>
      </c>
      <c r="B3829" s="397"/>
      <c r="C3829" s="398"/>
      <c r="D3829" s="399"/>
      <c r="E3829" s="399"/>
      <c r="F3829" s="400"/>
      <c r="G3829" s="401"/>
      <c r="H3829" s="402">
        <f t="shared" ref="H3829:N3829" si="207">SUBTOTAL(9,H3828:H3828)</f>
        <v>3611.1570755928574</v>
      </c>
      <c r="I3829" s="402"/>
      <c r="J3829" s="400">
        <f t="shared" si="207"/>
        <v>0</v>
      </c>
      <c r="K3829" s="400">
        <f t="shared" si="207"/>
        <v>0</v>
      </c>
      <c r="L3829" s="400">
        <f t="shared" si="207"/>
        <v>0</v>
      </c>
      <c r="M3829" s="400">
        <f t="shared" si="207"/>
        <v>0</v>
      </c>
      <c r="N3829" s="400">
        <f t="shared" si="207"/>
        <v>3611.1570755928574</v>
      </c>
    </row>
    <row r="3830" spans="1:14" s="360" customFormat="1" hidden="1" outlineLevel="2" x14ac:dyDescent="0.35">
      <c r="A3830" s="403" t="s">
        <v>3833</v>
      </c>
      <c r="B3830" s="397">
        <v>44566</v>
      </c>
      <c r="C3830" s="398" t="s">
        <v>7152</v>
      </c>
      <c r="D3830" s="399" t="s">
        <v>7153</v>
      </c>
      <c r="E3830" s="399" t="s">
        <v>6906</v>
      </c>
      <c r="F3830" s="400">
        <v>2100000</v>
      </c>
      <c r="G3830" s="401" t="s">
        <v>3800</v>
      </c>
      <c r="H3830" s="402">
        <v>781.39411218392593</v>
      </c>
      <c r="I3830" s="402"/>
      <c r="J3830" s="400"/>
      <c r="K3830" s="400"/>
      <c r="L3830" s="400"/>
      <c r="M3830" s="400"/>
      <c r="N3830" s="400">
        <v>781.39411218392593</v>
      </c>
    </row>
    <row r="3831" spans="1:14" s="360" customFormat="1" outlineLevel="1" collapsed="1" x14ac:dyDescent="0.35">
      <c r="A3831" s="396" t="s">
        <v>7154</v>
      </c>
      <c r="B3831" s="397"/>
      <c r="C3831" s="398"/>
      <c r="D3831" s="399"/>
      <c r="E3831" s="399"/>
      <c r="F3831" s="400"/>
      <c r="G3831" s="401"/>
      <c r="H3831" s="402">
        <f t="shared" ref="H3831:N3831" si="208">SUBTOTAL(9,H3830:H3830)</f>
        <v>781.39411218392593</v>
      </c>
      <c r="I3831" s="402"/>
      <c r="J3831" s="400">
        <f t="shared" si="208"/>
        <v>0</v>
      </c>
      <c r="K3831" s="400">
        <f t="shared" si="208"/>
        <v>0</v>
      </c>
      <c r="L3831" s="400">
        <f t="shared" si="208"/>
        <v>0</v>
      </c>
      <c r="M3831" s="400">
        <f t="shared" si="208"/>
        <v>0</v>
      </c>
      <c r="N3831" s="400">
        <f t="shared" si="208"/>
        <v>781.39411218392593</v>
      </c>
    </row>
    <row r="3832" spans="1:14" s="360" customFormat="1" hidden="1" outlineLevel="2" x14ac:dyDescent="0.35">
      <c r="A3832" s="403" t="s">
        <v>3860</v>
      </c>
      <c r="B3832" s="397">
        <v>44571</v>
      </c>
      <c r="C3832" s="398" t="s">
        <v>7155</v>
      </c>
      <c r="D3832" s="399" t="s">
        <v>7156</v>
      </c>
      <c r="E3832" s="399" t="s">
        <v>6518</v>
      </c>
      <c r="F3832" s="400">
        <v>2940000</v>
      </c>
      <c r="G3832" s="401" t="s">
        <v>3800</v>
      </c>
      <c r="H3832" s="402">
        <v>1093.9517570574963</v>
      </c>
      <c r="I3832" s="402"/>
      <c r="J3832" s="400"/>
      <c r="K3832" s="400"/>
      <c r="L3832" s="400"/>
      <c r="M3832" s="400"/>
      <c r="N3832" s="400">
        <v>1093.9517570574963</v>
      </c>
    </row>
    <row r="3833" spans="1:14" s="360" customFormat="1" outlineLevel="1" collapsed="1" x14ac:dyDescent="0.35">
      <c r="A3833" s="396" t="s">
        <v>7157</v>
      </c>
      <c r="B3833" s="397"/>
      <c r="C3833" s="398"/>
      <c r="D3833" s="399"/>
      <c r="E3833" s="399"/>
      <c r="F3833" s="400"/>
      <c r="G3833" s="401"/>
      <c r="H3833" s="402">
        <f t="shared" ref="H3833:N3833" si="209">SUBTOTAL(9,H3832:H3832)</f>
        <v>1093.9517570574963</v>
      </c>
      <c r="I3833" s="402"/>
      <c r="J3833" s="400">
        <f t="shared" si="209"/>
        <v>0</v>
      </c>
      <c r="K3833" s="400">
        <f t="shared" si="209"/>
        <v>0</v>
      </c>
      <c r="L3833" s="400">
        <f t="shared" si="209"/>
        <v>0</v>
      </c>
      <c r="M3833" s="400">
        <f t="shared" si="209"/>
        <v>0</v>
      </c>
      <c r="N3833" s="400">
        <f t="shared" si="209"/>
        <v>1093.9517570574963</v>
      </c>
    </row>
    <row r="3834" spans="1:14" s="360" customFormat="1" hidden="1" outlineLevel="2" x14ac:dyDescent="0.35">
      <c r="A3834" s="403" t="s">
        <v>3950</v>
      </c>
      <c r="B3834" s="397">
        <v>44530</v>
      </c>
      <c r="C3834" s="398" t="s">
        <v>7158</v>
      </c>
      <c r="D3834" s="399" t="s">
        <v>7159</v>
      </c>
      <c r="E3834" s="399" t="s">
        <v>6594</v>
      </c>
      <c r="F3834" s="400">
        <v>400000</v>
      </c>
      <c r="G3834" s="401" t="s">
        <v>3800</v>
      </c>
      <c r="H3834" s="402">
        <v>148.83697374931921</v>
      </c>
      <c r="I3834" s="402"/>
      <c r="J3834" s="400"/>
      <c r="K3834" s="400"/>
      <c r="L3834" s="400"/>
      <c r="M3834" s="400"/>
      <c r="N3834" s="400">
        <f>H3834</f>
        <v>148.83697374931921</v>
      </c>
    </row>
    <row r="3835" spans="1:14" s="360" customFormat="1" hidden="1" outlineLevel="2" x14ac:dyDescent="0.35">
      <c r="A3835" s="403" t="s">
        <v>3950</v>
      </c>
      <c r="B3835" s="397">
        <v>44530</v>
      </c>
      <c r="C3835" s="398" t="s">
        <v>7158</v>
      </c>
      <c r="D3835" s="399" t="s">
        <v>7160</v>
      </c>
      <c r="E3835" s="399" t="s">
        <v>6684</v>
      </c>
      <c r="F3835" s="400">
        <v>104000</v>
      </c>
      <c r="G3835" s="401" t="s">
        <v>3800</v>
      </c>
      <c r="H3835" s="402">
        <v>38.697613174822997</v>
      </c>
      <c r="I3835" s="402"/>
      <c r="J3835" s="400"/>
      <c r="K3835" s="400"/>
      <c r="L3835" s="400"/>
      <c r="M3835" s="400"/>
      <c r="N3835" s="400">
        <f>H3835</f>
        <v>38.697613174822997</v>
      </c>
    </row>
    <row r="3836" spans="1:14" s="360" customFormat="1" hidden="1" outlineLevel="2" x14ac:dyDescent="0.35">
      <c r="A3836" s="403" t="s">
        <v>3950</v>
      </c>
      <c r="B3836" s="397">
        <v>44552</v>
      </c>
      <c r="C3836" s="398" t="s">
        <v>7161</v>
      </c>
      <c r="D3836" s="399" t="s">
        <v>7162</v>
      </c>
      <c r="E3836" s="399" t="s">
        <v>6600</v>
      </c>
      <c r="F3836" s="400">
        <v>1050000</v>
      </c>
      <c r="G3836" s="401" t="s">
        <v>3800</v>
      </c>
      <c r="H3836" s="402">
        <v>390.69705609196296</v>
      </c>
      <c r="I3836" s="402"/>
      <c r="J3836" s="400"/>
      <c r="K3836" s="400"/>
      <c r="L3836" s="400"/>
      <c r="M3836" s="400"/>
      <c r="N3836" s="400">
        <f>H3836</f>
        <v>390.69705609196296</v>
      </c>
    </row>
    <row r="3837" spans="1:14" s="360" customFormat="1" hidden="1" outlineLevel="2" x14ac:dyDescent="0.35">
      <c r="A3837" s="403" t="s">
        <v>3950</v>
      </c>
      <c r="B3837" s="397">
        <v>44553</v>
      </c>
      <c r="C3837" s="398" t="s">
        <v>7163</v>
      </c>
      <c r="D3837" s="399" t="s">
        <v>7164</v>
      </c>
      <c r="E3837" s="399" t="s">
        <v>6618</v>
      </c>
      <c r="F3837" s="400">
        <v>4170000</v>
      </c>
      <c r="G3837" s="401" t="s">
        <v>3800</v>
      </c>
      <c r="H3837" s="402">
        <v>1551.6254513366528</v>
      </c>
      <c r="I3837" s="402"/>
      <c r="J3837" s="400"/>
      <c r="K3837" s="400"/>
      <c r="L3837" s="400"/>
      <c r="M3837" s="400"/>
      <c r="N3837" s="400">
        <f>H3837</f>
        <v>1551.6254513366528</v>
      </c>
    </row>
    <row r="3838" spans="1:14" s="360" customFormat="1" outlineLevel="1" collapsed="1" x14ac:dyDescent="0.35">
      <c r="A3838" s="396" t="s">
        <v>7165</v>
      </c>
      <c r="B3838" s="397"/>
      <c r="C3838" s="398"/>
      <c r="D3838" s="399"/>
      <c r="E3838" s="399"/>
      <c r="F3838" s="400"/>
      <c r="G3838" s="401"/>
      <c r="H3838" s="402">
        <f t="shared" ref="H3838:N3838" si="210">SUBTOTAL(9,H3834:H3837)</f>
        <v>2129.8570943527579</v>
      </c>
      <c r="I3838" s="402"/>
      <c r="J3838" s="400">
        <f t="shared" si="210"/>
        <v>0</v>
      </c>
      <c r="K3838" s="400">
        <f t="shared" si="210"/>
        <v>0</v>
      </c>
      <c r="L3838" s="400">
        <f t="shared" si="210"/>
        <v>0</v>
      </c>
      <c r="M3838" s="400">
        <f t="shared" si="210"/>
        <v>0</v>
      </c>
      <c r="N3838" s="400">
        <f t="shared" si="210"/>
        <v>2129.8570943527579</v>
      </c>
    </row>
    <row r="3839" spans="1:14" s="360" customFormat="1" hidden="1" outlineLevel="2" x14ac:dyDescent="0.35">
      <c r="A3839" s="403" t="s">
        <v>7166</v>
      </c>
      <c r="B3839" s="397">
        <v>44266</v>
      </c>
      <c r="C3839" s="398" t="s">
        <v>4526</v>
      </c>
      <c r="D3839" s="399" t="s">
        <v>4527</v>
      </c>
      <c r="E3839" s="399" t="s">
        <v>7167</v>
      </c>
      <c r="F3839" s="400">
        <v>302252.25</v>
      </c>
      <c r="G3839" s="401" t="s">
        <v>3800</v>
      </c>
      <c r="H3839" s="402">
        <v>112.46577549730668</v>
      </c>
      <c r="I3839" s="402"/>
      <c r="J3839" s="400"/>
      <c r="K3839" s="400"/>
      <c r="L3839" s="400"/>
      <c r="M3839" s="400"/>
      <c r="N3839" s="400">
        <f t="shared" ref="N3839:N3902" si="211">H3839</f>
        <v>112.46577549730668</v>
      </c>
    </row>
    <row r="3840" spans="1:14" s="360" customFormat="1" hidden="1" outlineLevel="2" x14ac:dyDescent="0.35">
      <c r="A3840" s="403" t="s">
        <v>7166</v>
      </c>
      <c r="B3840" s="397">
        <v>44266</v>
      </c>
      <c r="C3840" s="398" t="s">
        <v>4529</v>
      </c>
      <c r="D3840" s="399" t="s">
        <v>4530</v>
      </c>
      <c r="E3840" s="399" t="s">
        <v>4272</v>
      </c>
      <c r="F3840" s="400">
        <v>30225.225000000002</v>
      </c>
      <c r="G3840" s="401" t="s">
        <v>3800</v>
      </c>
      <c r="H3840" s="402">
        <v>11.246577549730668</v>
      </c>
      <c r="I3840" s="402"/>
      <c r="J3840" s="400"/>
      <c r="K3840" s="400"/>
      <c r="L3840" s="400"/>
      <c r="M3840" s="400"/>
      <c r="N3840" s="400">
        <f t="shared" si="211"/>
        <v>11.246577549730668</v>
      </c>
    </row>
    <row r="3841" spans="1:14" s="360" customFormat="1" hidden="1" outlineLevel="2" x14ac:dyDescent="0.35">
      <c r="A3841" s="403" t="s">
        <v>7166</v>
      </c>
      <c r="B3841" s="397">
        <v>44266</v>
      </c>
      <c r="C3841" s="398" t="s">
        <v>4531</v>
      </c>
      <c r="D3841" s="399" t="s">
        <v>4051</v>
      </c>
      <c r="E3841" s="399" t="s">
        <v>4042</v>
      </c>
      <c r="F3841" s="400">
        <v>3022.5225</v>
      </c>
      <c r="G3841" s="401" t="s">
        <v>3800</v>
      </c>
      <c r="H3841" s="402">
        <v>1.1246577549730667</v>
      </c>
      <c r="I3841" s="402"/>
      <c r="J3841" s="400"/>
      <c r="K3841" s="400"/>
      <c r="L3841" s="400"/>
      <c r="M3841" s="400"/>
      <c r="N3841" s="400">
        <f t="shared" si="211"/>
        <v>1.1246577549730667</v>
      </c>
    </row>
    <row r="3842" spans="1:14" s="360" customFormat="1" hidden="1" outlineLevel="2" x14ac:dyDescent="0.35">
      <c r="A3842" s="403" t="s">
        <v>7166</v>
      </c>
      <c r="B3842" s="397">
        <v>44266</v>
      </c>
      <c r="C3842" s="398" t="s">
        <v>4526</v>
      </c>
      <c r="D3842" s="399" t="s">
        <v>4527</v>
      </c>
      <c r="E3842" s="399" t="s">
        <v>7168</v>
      </c>
      <c r="F3842" s="400">
        <v>302252.25</v>
      </c>
      <c r="G3842" s="401" t="s">
        <v>3800</v>
      </c>
      <c r="H3842" s="402">
        <v>112.46577549730668</v>
      </c>
      <c r="I3842" s="402"/>
      <c r="J3842" s="400"/>
      <c r="K3842" s="400"/>
      <c r="L3842" s="400"/>
      <c r="M3842" s="400"/>
      <c r="N3842" s="400">
        <f t="shared" si="211"/>
        <v>112.46577549730668</v>
      </c>
    </row>
    <row r="3843" spans="1:14" s="360" customFormat="1" hidden="1" outlineLevel="2" x14ac:dyDescent="0.35">
      <c r="A3843" s="403" t="s">
        <v>7166</v>
      </c>
      <c r="B3843" s="397">
        <v>44266</v>
      </c>
      <c r="C3843" s="398" t="s">
        <v>4529</v>
      </c>
      <c r="D3843" s="399" t="s">
        <v>4530</v>
      </c>
      <c r="E3843" s="399" t="s">
        <v>4272</v>
      </c>
      <c r="F3843" s="400">
        <v>30225.225000000002</v>
      </c>
      <c r="G3843" s="401" t="s">
        <v>3800</v>
      </c>
      <c r="H3843" s="402">
        <v>11.246577549730668</v>
      </c>
      <c r="I3843" s="402"/>
      <c r="J3843" s="400"/>
      <c r="K3843" s="400"/>
      <c r="L3843" s="400"/>
      <c r="M3843" s="400"/>
      <c r="N3843" s="400">
        <f t="shared" si="211"/>
        <v>11.246577549730668</v>
      </c>
    </row>
    <row r="3844" spans="1:14" s="360" customFormat="1" hidden="1" outlineLevel="2" x14ac:dyDescent="0.35">
      <c r="A3844" s="403" t="s">
        <v>7166</v>
      </c>
      <c r="B3844" s="397">
        <v>44266</v>
      </c>
      <c r="C3844" s="398" t="s">
        <v>4531</v>
      </c>
      <c r="D3844" s="399" t="s">
        <v>4051</v>
      </c>
      <c r="E3844" s="399" t="s">
        <v>4042</v>
      </c>
      <c r="F3844" s="400">
        <v>3022.5225</v>
      </c>
      <c r="G3844" s="401" t="s">
        <v>3800</v>
      </c>
      <c r="H3844" s="402">
        <v>1.1246577549730667</v>
      </c>
      <c r="I3844" s="402"/>
      <c r="J3844" s="400"/>
      <c r="K3844" s="400"/>
      <c r="L3844" s="400"/>
      <c r="M3844" s="400"/>
      <c r="N3844" s="400">
        <f t="shared" si="211"/>
        <v>1.1246577549730667</v>
      </c>
    </row>
    <row r="3845" spans="1:14" s="360" customFormat="1" hidden="1" outlineLevel="2" x14ac:dyDescent="0.35">
      <c r="A3845" s="403" t="s">
        <v>7166</v>
      </c>
      <c r="B3845" s="397">
        <v>44266</v>
      </c>
      <c r="C3845" s="398" t="s">
        <v>4526</v>
      </c>
      <c r="D3845" s="399" t="s">
        <v>4527</v>
      </c>
      <c r="E3845" s="399" t="s">
        <v>7169</v>
      </c>
      <c r="F3845" s="400">
        <v>302252.25</v>
      </c>
      <c r="G3845" s="401" t="s">
        <v>3800</v>
      </c>
      <c r="H3845" s="402">
        <v>112.46577549730668</v>
      </c>
      <c r="I3845" s="402"/>
      <c r="J3845" s="400"/>
      <c r="K3845" s="400"/>
      <c r="L3845" s="400"/>
      <c r="M3845" s="400"/>
      <c r="N3845" s="400">
        <f t="shared" si="211"/>
        <v>112.46577549730668</v>
      </c>
    </row>
    <row r="3846" spans="1:14" s="360" customFormat="1" hidden="1" outlineLevel="2" x14ac:dyDescent="0.35">
      <c r="A3846" s="403" t="s">
        <v>7166</v>
      </c>
      <c r="B3846" s="397">
        <v>44266</v>
      </c>
      <c r="C3846" s="398" t="s">
        <v>4529</v>
      </c>
      <c r="D3846" s="399" t="s">
        <v>4530</v>
      </c>
      <c r="E3846" s="399" t="s">
        <v>4272</v>
      </c>
      <c r="F3846" s="400">
        <v>30225.225000000002</v>
      </c>
      <c r="G3846" s="401" t="s">
        <v>3800</v>
      </c>
      <c r="H3846" s="402">
        <v>11.246577549730668</v>
      </c>
      <c r="I3846" s="402"/>
      <c r="J3846" s="400"/>
      <c r="K3846" s="400"/>
      <c r="L3846" s="400"/>
      <c r="M3846" s="400"/>
      <c r="N3846" s="400">
        <f t="shared" si="211"/>
        <v>11.246577549730668</v>
      </c>
    </row>
    <row r="3847" spans="1:14" s="360" customFormat="1" hidden="1" outlineLevel="2" collapsed="1" x14ac:dyDescent="0.35">
      <c r="A3847" s="403" t="s">
        <v>7166</v>
      </c>
      <c r="B3847" s="397">
        <v>44266</v>
      </c>
      <c r="C3847" s="398" t="s">
        <v>4531</v>
      </c>
      <c r="D3847" s="399" t="s">
        <v>4051</v>
      </c>
      <c r="E3847" s="399" t="s">
        <v>4042</v>
      </c>
      <c r="F3847" s="400">
        <v>3022.5225</v>
      </c>
      <c r="G3847" s="401" t="s">
        <v>3800</v>
      </c>
      <c r="H3847" s="402">
        <v>1.1246577549730667</v>
      </c>
      <c r="I3847" s="402"/>
      <c r="J3847" s="400"/>
      <c r="K3847" s="400"/>
      <c r="L3847" s="400"/>
      <c r="M3847" s="400"/>
      <c r="N3847" s="400">
        <f t="shared" si="211"/>
        <v>1.1246577549730667</v>
      </c>
    </row>
    <row r="3848" spans="1:14" s="360" customFormat="1" hidden="1" outlineLevel="2" x14ac:dyDescent="0.35">
      <c r="A3848" s="403" t="s">
        <v>7166</v>
      </c>
      <c r="B3848" s="397">
        <v>44266</v>
      </c>
      <c r="C3848" s="398" t="s">
        <v>4526</v>
      </c>
      <c r="D3848" s="399" t="s">
        <v>4527</v>
      </c>
      <c r="E3848" s="399" t="s">
        <v>7170</v>
      </c>
      <c r="F3848" s="400">
        <v>302252.25</v>
      </c>
      <c r="G3848" s="401" t="s">
        <v>3800</v>
      </c>
      <c r="H3848" s="402">
        <v>112.46577549730668</v>
      </c>
      <c r="I3848" s="402"/>
      <c r="J3848" s="400"/>
      <c r="K3848" s="400"/>
      <c r="L3848" s="400"/>
      <c r="M3848" s="400"/>
      <c r="N3848" s="400">
        <f t="shared" si="211"/>
        <v>112.46577549730668</v>
      </c>
    </row>
    <row r="3849" spans="1:14" s="360" customFormat="1" hidden="1" outlineLevel="2" collapsed="1" x14ac:dyDescent="0.35">
      <c r="A3849" s="403" t="s">
        <v>7166</v>
      </c>
      <c r="B3849" s="397">
        <v>44266</v>
      </c>
      <c r="C3849" s="398" t="s">
        <v>4529</v>
      </c>
      <c r="D3849" s="399" t="s">
        <v>4530</v>
      </c>
      <c r="E3849" s="399" t="s">
        <v>4272</v>
      </c>
      <c r="F3849" s="400">
        <v>30225.225000000002</v>
      </c>
      <c r="G3849" s="401" t="s">
        <v>3800</v>
      </c>
      <c r="H3849" s="402">
        <v>11.246577549730668</v>
      </c>
      <c r="I3849" s="402"/>
      <c r="J3849" s="400"/>
      <c r="K3849" s="400"/>
      <c r="L3849" s="400"/>
      <c r="M3849" s="400"/>
      <c r="N3849" s="400">
        <f t="shared" si="211"/>
        <v>11.246577549730668</v>
      </c>
    </row>
    <row r="3850" spans="1:14" s="360" customFormat="1" hidden="1" outlineLevel="2" x14ac:dyDescent="0.35">
      <c r="A3850" s="403" t="s">
        <v>7166</v>
      </c>
      <c r="B3850" s="397">
        <v>44266</v>
      </c>
      <c r="C3850" s="398" t="s">
        <v>4531</v>
      </c>
      <c r="D3850" s="399" t="s">
        <v>4051</v>
      </c>
      <c r="E3850" s="399" t="s">
        <v>4042</v>
      </c>
      <c r="F3850" s="400">
        <v>3022.5225</v>
      </c>
      <c r="G3850" s="401" t="s">
        <v>3800</v>
      </c>
      <c r="H3850" s="402">
        <v>1.1246577549730667</v>
      </c>
      <c r="I3850" s="402"/>
      <c r="J3850" s="400"/>
      <c r="K3850" s="400"/>
      <c r="L3850" s="400"/>
      <c r="M3850" s="400"/>
      <c r="N3850" s="400">
        <f t="shared" si="211"/>
        <v>1.1246577549730667</v>
      </c>
    </row>
    <row r="3851" spans="1:14" s="360" customFormat="1" hidden="1" outlineLevel="2" x14ac:dyDescent="0.35">
      <c r="A3851" s="403" t="s">
        <v>7166</v>
      </c>
      <c r="B3851" s="397">
        <v>44266</v>
      </c>
      <c r="C3851" s="398" t="s">
        <v>4526</v>
      </c>
      <c r="D3851" s="399" t="s">
        <v>4527</v>
      </c>
      <c r="E3851" s="399" t="s">
        <v>7171</v>
      </c>
      <c r="F3851" s="400">
        <v>302252.25</v>
      </c>
      <c r="G3851" s="401" t="s">
        <v>3800</v>
      </c>
      <c r="H3851" s="402">
        <v>112.46577549730668</v>
      </c>
      <c r="I3851" s="402"/>
      <c r="J3851" s="400"/>
      <c r="K3851" s="400"/>
      <c r="L3851" s="400"/>
      <c r="M3851" s="400"/>
      <c r="N3851" s="400">
        <f t="shared" si="211"/>
        <v>112.46577549730668</v>
      </c>
    </row>
    <row r="3852" spans="1:14" s="360" customFormat="1" hidden="1" outlineLevel="2" x14ac:dyDescent="0.35">
      <c r="A3852" s="403" t="s">
        <v>7166</v>
      </c>
      <c r="B3852" s="397">
        <v>44266</v>
      </c>
      <c r="C3852" s="398" t="s">
        <v>4529</v>
      </c>
      <c r="D3852" s="399" t="s">
        <v>4530</v>
      </c>
      <c r="E3852" s="399" t="s">
        <v>4272</v>
      </c>
      <c r="F3852" s="400">
        <v>30225.225000000002</v>
      </c>
      <c r="G3852" s="401" t="s">
        <v>3800</v>
      </c>
      <c r="H3852" s="402">
        <v>11.246577549730668</v>
      </c>
      <c r="I3852" s="402"/>
      <c r="J3852" s="400"/>
      <c r="K3852" s="400"/>
      <c r="L3852" s="400"/>
      <c r="M3852" s="400"/>
      <c r="N3852" s="400">
        <f t="shared" si="211"/>
        <v>11.246577549730668</v>
      </c>
    </row>
    <row r="3853" spans="1:14" s="360" customFormat="1" hidden="1" outlineLevel="2" collapsed="1" x14ac:dyDescent="0.35">
      <c r="A3853" s="403" t="s">
        <v>7166</v>
      </c>
      <c r="B3853" s="397">
        <v>44266</v>
      </c>
      <c r="C3853" s="398" t="s">
        <v>4531</v>
      </c>
      <c r="D3853" s="399" t="s">
        <v>4051</v>
      </c>
      <c r="E3853" s="399" t="s">
        <v>4042</v>
      </c>
      <c r="F3853" s="400">
        <v>3022.5225</v>
      </c>
      <c r="G3853" s="401" t="s">
        <v>3800</v>
      </c>
      <c r="H3853" s="402">
        <v>1.1246577549730667</v>
      </c>
      <c r="I3853" s="402"/>
      <c r="J3853" s="400"/>
      <c r="K3853" s="400"/>
      <c r="L3853" s="400"/>
      <c r="M3853" s="400"/>
      <c r="N3853" s="400">
        <f t="shared" si="211"/>
        <v>1.1246577549730667</v>
      </c>
    </row>
    <row r="3854" spans="1:14" s="360" customFormat="1" hidden="1" outlineLevel="2" x14ac:dyDescent="0.35">
      <c r="A3854" s="403" t="s">
        <v>7166</v>
      </c>
      <c r="B3854" s="397">
        <v>44266</v>
      </c>
      <c r="C3854" s="398" t="s">
        <v>4526</v>
      </c>
      <c r="D3854" s="399" t="s">
        <v>4527</v>
      </c>
      <c r="E3854" s="399" t="s">
        <v>7172</v>
      </c>
      <c r="F3854" s="400">
        <v>302252.25</v>
      </c>
      <c r="G3854" s="401" t="s">
        <v>3800</v>
      </c>
      <c r="H3854" s="402">
        <v>112.46577549730668</v>
      </c>
      <c r="I3854" s="402"/>
      <c r="J3854" s="400"/>
      <c r="K3854" s="400"/>
      <c r="L3854" s="400"/>
      <c r="M3854" s="400"/>
      <c r="N3854" s="400">
        <f t="shared" si="211"/>
        <v>112.46577549730668</v>
      </c>
    </row>
    <row r="3855" spans="1:14" s="360" customFormat="1" hidden="1" outlineLevel="2" x14ac:dyDescent="0.35">
      <c r="A3855" s="403" t="s">
        <v>7166</v>
      </c>
      <c r="B3855" s="397">
        <v>44266</v>
      </c>
      <c r="C3855" s="398" t="s">
        <v>4529</v>
      </c>
      <c r="D3855" s="399" t="s">
        <v>4530</v>
      </c>
      <c r="E3855" s="399" t="s">
        <v>4272</v>
      </c>
      <c r="F3855" s="400">
        <v>30225.225000000002</v>
      </c>
      <c r="G3855" s="401" t="s">
        <v>3800</v>
      </c>
      <c r="H3855" s="402">
        <v>11.246577549730668</v>
      </c>
      <c r="I3855" s="402"/>
      <c r="J3855" s="400"/>
      <c r="K3855" s="400"/>
      <c r="L3855" s="400"/>
      <c r="M3855" s="400"/>
      <c r="N3855" s="400">
        <f t="shared" si="211"/>
        <v>11.246577549730668</v>
      </c>
    </row>
    <row r="3856" spans="1:14" s="360" customFormat="1" hidden="1" outlineLevel="2" x14ac:dyDescent="0.35">
      <c r="A3856" s="403" t="s">
        <v>7166</v>
      </c>
      <c r="B3856" s="397">
        <v>44266</v>
      </c>
      <c r="C3856" s="398" t="s">
        <v>4531</v>
      </c>
      <c r="D3856" s="399" t="s">
        <v>4051</v>
      </c>
      <c r="E3856" s="399" t="s">
        <v>4042</v>
      </c>
      <c r="F3856" s="400">
        <v>3022.5225</v>
      </c>
      <c r="G3856" s="401" t="s">
        <v>3800</v>
      </c>
      <c r="H3856" s="402">
        <v>1.1246577549730667</v>
      </c>
      <c r="I3856" s="402"/>
      <c r="J3856" s="400"/>
      <c r="K3856" s="400"/>
      <c r="L3856" s="400"/>
      <c r="M3856" s="400"/>
      <c r="N3856" s="400">
        <f t="shared" si="211"/>
        <v>1.1246577549730667</v>
      </c>
    </row>
    <row r="3857" spans="1:14" s="360" customFormat="1" hidden="1" outlineLevel="2" x14ac:dyDescent="0.35">
      <c r="A3857" s="403" t="s">
        <v>7166</v>
      </c>
      <c r="B3857" s="397">
        <v>44266</v>
      </c>
      <c r="C3857" s="398" t="s">
        <v>4526</v>
      </c>
      <c r="D3857" s="399" t="s">
        <v>4527</v>
      </c>
      <c r="E3857" s="399" t="s">
        <v>7173</v>
      </c>
      <c r="F3857" s="400">
        <v>302252.25</v>
      </c>
      <c r="G3857" s="401" t="s">
        <v>3800</v>
      </c>
      <c r="H3857" s="402">
        <v>112.46577549730668</v>
      </c>
      <c r="I3857" s="402"/>
      <c r="J3857" s="400"/>
      <c r="K3857" s="400"/>
      <c r="L3857" s="400"/>
      <c r="M3857" s="400"/>
      <c r="N3857" s="400">
        <f t="shared" si="211"/>
        <v>112.46577549730668</v>
      </c>
    </row>
    <row r="3858" spans="1:14" s="360" customFormat="1" hidden="1" outlineLevel="2" x14ac:dyDescent="0.35">
      <c r="A3858" s="403" t="s">
        <v>7166</v>
      </c>
      <c r="B3858" s="397">
        <v>44266</v>
      </c>
      <c r="C3858" s="398" t="s">
        <v>4529</v>
      </c>
      <c r="D3858" s="399" t="s">
        <v>4530</v>
      </c>
      <c r="E3858" s="399" t="s">
        <v>4272</v>
      </c>
      <c r="F3858" s="400">
        <v>30225.225000000002</v>
      </c>
      <c r="G3858" s="401" t="s">
        <v>3800</v>
      </c>
      <c r="H3858" s="402">
        <v>11.246577549730668</v>
      </c>
      <c r="I3858" s="402"/>
      <c r="J3858" s="400"/>
      <c r="K3858" s="400"/>
      <c r="L3858" s="400"/>
      <c r="M3858" s="400"/>
      <c r="N3858" s="400">
        <f t="shared" si="211"/>
        <v>11.246577549730668</v>
      </c>
    </row>
    <row r="3859" spans="1:14" s="360" customFormat="1" hidden="1" outlineLevel="2" x14ac:dyDescent="0.35">
      <c r="A3859" s="403" t="s">
        <v>7166</v>
      </c>
      <c r="B3859" s="397">
        <v>44266</v>
      </c>
      <c r="C3859" s="398" t="s">
        <v>4531</v>
      </c>
      <c r="D3859" s="399" t="s">
        <v>4051</v>
      </c>
      <c r="E3859" s="399" t="s">
        <v>4042</v>
      </c>
      <c r="F3859" s="400">
        <v>3022.5225</v>
      </c>
      <c r="G3859" s="401" t="s">
        <v>3800</v>
      </c>
      <c r="H3859" s="402">
        <v>1.1246577549730667</v>
      </c>
      <c r="I3859" s="402"/>
      <c r="J3859" s="400"/>
      <c r="K3859" s="400"/>
      <c r="L3859" s="400"/>
      <c r="M3859" s="400"/>
      <c r="N3859" s="400">
        <f t="shared" si="211"/>
        <v>1.1246577549730667</v>
      </c>
    </row>
    <row r="3860" spans="1:14" s="360" customFormat="1" hidden="1" outlineLevel="2" x14ac:dyDescent="0.35">
      <c r="A3860" s="403" t="s">
        <v>7166</v>
      </c>
      <c r="B3860" s="397">
        <v>44266</v>
      </c>
      <c r="C3860" s="398" t="s">
        <v>4526</v>
      </c>
      <c r="D3860" s="399" t="s">
        <v>4527</v>
      </c>
      <c r="E3860" s="399" t="s">
        <v>7174</v>
      </c>
      <c r="F3860" s="400">
        <v>302252.25</v>
      </c>
      <c r="G3860" s="401" t="s">
        <v>3800</v>
      </c>
      <c r="H3860" s="402">
        <v>112.46577549730668</v>
      </c>
      <c r="I3860" s="402"/>
      <c r="J3860" s="400"/>
      <c r="K3860" s="400"/>
      <c r="L3860" s="400"/>
      <c r="M3860" s="400"/>
      <c r="N3860" s="400">
        <f t="shared" si="211"/>
        <v>112.46577549730668</v>
      </c>
    </row>
    <row r="3861" spans="1:14" s="360" customFormat="1" hidden="1" outlineLevel="2" x14ac:dyDescent="0.35">
      <c r="A3861" s="403" t="s">
        <v>7166</v>
      </c>
      <c r="B3861" s="397">
        <v>44266</v>
      </c>
      <c r="C3861" s="398" t="s">
        <v>4529</v>
      </c>
      <c r="D3861" s="399" t="s">
        <v>4530</v>
      </c>
      <c r="E3861" s="399" t="s">
        <v>4272</v>
      </c>
      <c r="F3861" s="400">
        <v>30225.225000000002</v>
      </c>
      <c r="G3861" s="401" t="s">
        <v>3800</v>
      </c>
      <c r="H3861" s="402">
        <v>11.246577549730668</v>
      </c>
      <c r="I3861" s="402"/>
      <c r="J3861" s="400"/>
      <c r="K3861" s="400"/>
      <c r="L3861" s="400"/>
      <c r="M3861" s="400"/>
      <c r="N3861" s="400">
        <f t="shared" si="211"/>
        <v>11.246577549730668</v>
      </c>
    </row>
    <row r="3862" spans="1:14" s="360" customFormat="1" hidden="1" outlineLevel="2" x14ac:dyDescent="0.35">
      <c r="A3862" s="403" t="s">
        <v>7166</v>
      </c>
      <c r="B3862" s="397">
        <v>44266</v>
      </c>
      <c r="C3862" s="398" t="s">
        <v>4531</v>
      </c>
      <c r="D3862" s="399" t="s">
        <v>4051</v>
      </c>
      <c r="E3862" s="399" t="s">
        <v>4042</v>
      </c>
      <c r="F3862" s="400">
        <v>3022.5225</v>
      </c>
      <c r="G3862" s="401" t="s">
        <v>3800</v>
      </c>
      <c r="H3862" s="402">
        <v>1.1246577549730667</v>
      </c>
      <c r="I3862" s="402"/>
      <c r="J3862" s="400"/>
      <c r="K3862" s="400"/>
      <c r="L3862" s="400"/>
      <c r="M3862" s="400"/>
      <c r="N3862" s="400">
        <f t="shared" si="211"/>
        <v>1.1246577549730667</v>
      </c>
    </row>
    <row r="3863" spans="1:14" s="360" customFormat="1" hidden="1" outlineLevel="2" x14ac:dyDescent="0.35">
      <c r="A3863" s="403" t="s">
        <v>7166</v>
      </c>
      <c r="B3863" s="397">
        <v>44284</v>
      </c>
      <c r="C3863" s="398" t="s">
        <v>4532</v>
      </c>
      <c r="D3863" s="399" t="s">
        <v>4533</v>
      </c>
      <c r="E3863" s="399" t="s">
        <v>7167</v>
      </c>
      <c r="F3863" s="400">
        <v>604504.5</v>
      </c>
      <c r="G3863" s="401" t="s">
        <v>3800</v>
      </c>
      <c r="H3863" s="402">
        <v>224.93155099461336</v>
      </c>
      <c r="I3863" s="402"/>
      <c r="J3863" s="400"/>
      <c r="K3863" s="400"/>
      <c r="L3863" s="400"/>
      <c r="M3863" s="400"/>
      <c r="N3863" s="400">
        <f t="shared" si="211"/>
        <v>224.93155099461336</v>
      </c>
    </row>
    <row r="3864" spans="1:14" s="360" customFormat="1" hidden="1" outlineLevel="2" x14ac:dyDescent="0.35">
      <c r="A3864" s="403" t="s">
        <v>7166</v>
      </c>
      <c r="B3864" s="397">
        <v>44284</v>
      </c>
      <c r="C3864" s="398" t="s">
        <v>4534</v>
      </c>
      <c r="D3864" s="399" t="s">
        <v>4535</v>
      </c>
      <c r="E3864" s="399" t="s">
        <v>4272</v>
      </c>
      <c r="F3864" s="400">
        <v>60450.450000000004</v>
      </c>
      <c r="G3864" s="401" t="s">
        <v>3800</v>
      </c>
      <c r="H3864" s="402">
        <v>22.493155099461337</v>
      </c>
      <c r="I3864" s="402"/>
      <c r="J3864" s="400"/>
      <c r="K3864" s="400"/>
      <c r="L3864" s="400"/>
      <c r="M3864" s="400"/>
      <c r="N3864" s="400">
        <f t="shared" si="211"/>
        <v>22.493155099461337</v>
      </c>
    </row>
    <row r="3865" spans="1:14" s="360" customFormat="1" hidden="1" outlineLevel="2" x14ac:dyDescent="0.35">
      <c r="A3865" s="403" t="s">
        <v>7166</v>
      </c>
      <c r="B3865" s="397">
        <v>44284</v>
      </c>
      <c r="C3865" s="398" t="s">
        <v>4536</v>
      </c>
      <c r="D3865" s="399" t="s">
        <v>4061</v>
      </c>
      <c r="E3865" s="399" t="s">
        <v>4042</v>
      </c>
      <c r="F3865" s="400">
        <v>6045.0450000000001</v>
      </c>
      <c r="G3865" s="401" t="s">
        <v>3800</v>
      </c>
      <c r="H3865" s="402">
        <v>2.2493155099461335</v>
      </c>
      <c r="I3865" s="402"/>
      <c r="J3865" s="400"/>
      <c r="K3865" s="400"/>
      <c r="L3865" s="400"/>
      <c r="M3865" s="400"/>
      <c r="N3865" s="400">
        <f t="shared" si="211"/>
        <v>2.2493155099461335</v>
      </c>
    </row>
    <row r="3866" spans="1:14" s="360" customFormat="1" hidden="1" outlineLevel="2" x14ac:dyDescent="0.35">
      <c r="A3866" s="403" t="s">
        <v>7166</v>
      </c>
      <c r="B3866" s="397">
        <v>44284</v>
      </c>
      <c r="C3866" s="398" t="s">
        <v>4532</v>
      </c>
      <c r="D3866" s="399" t="s">
        <v>4533</v>
      </c>
      <c r="E3866" s="399" t="s">
        <v>7168</v>
      </c>
      <c r="F3866" s="400">
        <v>604504.5</v>
      </c>
      <c r="G3866" s="401" t="s">
        <v>3800</v>
      </c>
      <c r="H3866" s="402">
        <v>224.93155099461336</v>
      </c>
      <c r="I3866" s="402"/>
      <c r="J3866" s="400"/>
      <c r="K3866" s="400"/>
      <c r="L3866" s="400"/>
      <c r="M3866" s="400"/>
      <c r="N3866" s="400">
        <f t="shared" si="211"/>
        <v>224.93155099461336</v>
      </c>
    </row>
    <row r="3867" spans="1:14" s="360" customFormat="1" hidden="1" outlineLevel="2" x14ac:dyDescent="0.35">
      <c r="A3867" s="403" t="s">
        <v>7166</v>
      </c>
      <c r="B3867" s="397">
        <v>44284</v>
      </c>
      <c r="C3867" s="398" t="s">
        <v>4534</v>
      </c>
      <c r="D3867" s="399" t="s">
        <v>4535</v>
      </c>
      <c r="E3867" s="399" t="s">
        <v>4272</v>
      </c>
      <c r="F3867" s="400">
        <v>60450.450000000004</v>
      </c>
      <c r="G3867" s="401" t="s">
        <v>3800</v>
      </c>
      <c r="H3867" s="402">
        <v>22.493155099461337</v>
      </c>
      <c r="I3867" s="402"/>
      <c r="J3867" s="400"/>
      <c r="K3867" s="400"/>
      <c r="L3867" s="400"/>
      <c r="M3867" s="400"/>
      <c r="N3867" s="400">
        <f t="shared" si="211"/>
        <v>22.493155099461337</v>
      </c>
    </row>
    <row r="3868" spans="1:14" s="360" customFormat="1" hidden="1" outlineLevel="2" x14ac:dyDescent="0.35">
      <c r="A3868" s="403" t="s">
        <v>7166</v>
      </c>
      <c r="B3868" s="397">
        <v>44284</v>
      </c>
      <c r="C3868" s="398" t="s">
        <v>4536</v>
      </c>
      <c r="D3868" s="399" t="s">
        <v>4061</v>
      </c>
      <c r="E3868" s="399" t="s">
        <v>4042</v>
      </c>
      <c r="F3868" s="400">
        <v>6045.0450000000001</v>
      </c>
      <c r="G3868" s="401" t="s">
        <v>3800</v>
      </c>
      <c r="H3868" s="402">
        <v>2.2493155099461335</v>
      </c>
      <c r="I3868" s="402"/>
      <c r="J3868" s="400"/>
      <c r="K3868" s="400"/>
      <c r="L3868" s="400"/>
      <c r="M3868" s="400"/>
      <c r="N3868" s="400">
        <f t="shared" si="211"/>
        <v>2.2493155099461335</v>
      </c>
    </row>
    <row r="3869" spans="1:14" s="360" customFormat="1" hidden="1" outlineLevel="2" x14ac:dyDescent="0.35">
      <c r="A3869" s="403" t="s">
        <v>7166</v>
      </c>
      <c r="B3869" s="397">
        <v>44284</v>
      </c>
      <c r="C3869" s="398" t="s">
        <v>4532</v>
      </c>
      <c r="D3869" s="399" t="s">
        <v>4533</v>
      </c>
      <c r="E3869" s="399" t="s">
        <v>7169</v>
      </c>
      <c r="F3869" s="400">
        <v>604504.5</v>
      </c>
      <c r="G3869" s="401" t="s">
        <v>3800</v>
      </c>
      <c r="H3869" s="402">
        <v>224.93155099461336</v>
      </c>
      <c r="I3869" s="402"/>
      <c r="J3869" s="400"/>
      <c r="K3869" s="400"/>
      <c r="L3869" s="400"/>
      <c r="M3869" s="400"/>
      <c r="N3869" s="400">
        <f t="shared" si="211"/>
        <v>224.93155099461336</v>
      </c>
    </row>
    <row r="3870" spans="1:14" s="360" customFormat="1" hidden="1" outlineLevel="2" x14ac:dyDescent="0.35">
      <c r="A3870" s="403" t="s">
        <v>7166</v>
      </c>
      <c r="B3870" s="397">
        <v>44284</v>
      </c>
      <c r="C3870" s="398" t="s">
        <v>4534</v>
      </c>
      <c r="D3870" s="399" t="s">
        <v>4535</v>
      </c>
      <c r="E3870" s="399" t="s">
        <v>4272</v>
      </c>
      <c r="F3870" s="400">
        <v>60450.450000000004</v>
      </c>
      <c r="G3870" s="401" t="s">
        <v>3800</v>
      </c>
      <c r="H3870" s="402">
        <v>22.493155099461337</v>
      </c>
      <c r="I3870" s="402"/>
      <c r="J3870" s="400"/>
      <c r="K3870" s="400"/>
      <c r="L3870" s="400"/>
      <c r="M3870" s="400"/>
      <c r="N3870" s="400">
        <f t="shared" si="211"/>
        <v>22.493155099461337</v>
      </c>
    </row>
    <row r="3871" spans="1:14" s="360" customFormat="1" hidden="1" outlineLevel="2" x14ac:dyDescent="0.35">
      <c r="A3871" s="403" t="s">
        <v>7166</v>
      </c>
      <c r="B3871" s="397">
        <v>44284</v>
      </c>
      <c r="C3871" s="398" t="s">
        <v>4536</v>
      </c>
      <c r="D3871" s="399" t="s">
        <v>4061</v>
      </c>
      <c r="E3871" s="399" t="s">
        <v>4042</v>
      </c>
      <c r="F3871" s="400">
        <v>6045.0450000000001</v>
      </c>
      <c r="G3871" s="401" t="s">
        <v>3800</v>
      </c>
      <c r="H3871" s="402">
        <v>2.2493155099461335</v>
      </c>
      <c r="I3871" s="402"/>
      <c r="J3871" s="400"/>
      <c r="K3871" s="400"/>
      <c r="L3871" s="400"/>
      <c r="M3871" s="400"/>
      <c r="N3871" s="400">
        <f t="shared" si="211"/>
        <v>2.2493155099461335</v>
      </c>
    </row>
    <row r="3872" spans="1:14" s="360" customFormat="1" hidden="1" outlineLevel="2" x14ac:dyDescent="0.35">
      <c r="A3872" s="403" t="s">
        <v>7166</v>
      </c>
      <c r="B3872" s="397">
        <v>44284</v>
      </c>
      <c r="C3872" s="398" t="s">
        <v>4532</v>
      </c>
      <c r="D3872" s="399" t="s">
        <v>4533</v>
      </c>
      <c r="E3872" s="399" t="s">
        <v>7170</v>
      </c>
      <c r="F3872" s="400">
        <v>604504.5</v>
      </c>
      <c r="G3872" s="401" t="s">
        <v>3800</v>
      </c>
      <c r="H3872" s="402">
        <v>224.93155099461336</v>
      </c>
      <c r="I3872" s="402"/>
      <c r="J3872" s="400"/>
      <c r="K3872" s="400"/>
      <c r="L3872" s="400"/>
      <c r="M3872" s="400"/>
      <c r="N3872" s="400">
        <f t="shared" si="211"/>
        <v>224.93155099461336</v>
      </c>
    </row>
    <row r="3873" spans="1:14" s="360" customFormat="1" hidden="1" outlineLevel="2" x14ac:dyDescent="0.35">
      <c r="A3873" s="403" t="s">
        <v>7166</v>
      </c>
      <c r="B3873" s="397">
        <v>44284</v>
      </c>
      <c r="C3873" s="398" t="s">
        <v>4534</v>
      </c>
      <c r="D3873" s="399" t="s">
        <v>4535</v>
      </c>
      <c r="E3873" s="399" t="s">
        <v>4272</v>
      </c>
      <c r="F3873" s="400">
        <v>60450.450000000004</v>
      </c>
      <c r="G3873" s="401" t="s">
        <v>3800</v>
      </c>
      <c r="H3873" s="402">
        <v>22.493155099461337</v>
      </c>
      <c r="I3873" s="402"/>
      <c r="J3873" s="400"/>
      <c r="K3873" s="400"/>
      <c r="L3873" s="400"/>
      <c r="M3873" s="400"/>
      <c r="N3873" s="400">
        <f t="shared" si="211"/>
        <v>22.493155099461337</v>
      </c>
    </row>
    <row r="3874" spans="1:14" s="360" customFormat="1" hidden="1" outlineLevel="2" x14ac:dyDescent="0.35">
      <c r="A3874" s="403" t="s">
        <v>7166</v>
      </c>
      <c r="B3874" s="397">
        <v>44284</v>
      </c>
      <c r="C3874" s="398" t="s">
        <v>4536</v>
      </c>
      <c r="D3874" s="399" t="s">
        <v>4061</v>
      </c>
      <c r="E3874" s="399" t="s">
        <v>4042</v>
      </c>
      <c r="F3874" s="400">
        <v>6045.0450000000001</v>
      </c>
      <c r="G3874" s="401" t="s">
        <v>3800</v>
      </c>
      <c r="H3874" s="402">
        <v>2.2493155099461335</v>
      </c>
      <c r="I3874" s="402"/>
      <c r="J3874" s="400"/>
      <c r="K3874" s="400"/>
      <c r="L3874" s="400"/>
      <c r="M3874" s="400"/>
      <c r="N3874" s="400">
        <f t="shared" si="211"/>
        <v>2.2493155099461335</v>
      </c>
    </row>
    <row r="3875" spans="1:14" s="360" customFormat="1" hidden="1" outlineLevel="2" x14ac:dyDescent="0.35">
      <c r="A3875" s="403" t="s">
        <v>7166</v>
      </c>
      <c r="B3875" s="397">
        <v>44284</v>
      </c>
      <c r="C3875" s="398" t="s">
        <v>4532</v>
      </c>
      <c r="D3875" s="399" t="s">
        <v>4533</v>
      </c>
      <c r="E3875" s="399" t="s">
        <v>7171</v>
      </c>
      <c r="F3875" s="400">
        <v>604504.5</v>
      </c>
      <c r="G3875" s="401" t="s">
        <v>3800</v>
      </c>
      <c r="H3875" s="402">
        <v>224.93155099461336</v>
      </c>
      <c r="I3875" s="402"/>
      <c r="J3875" s="400"/>
      <c r="K3875" s="400"/>
      <c r="L3875" s="400"/>
      <c r="M3875" s="400"/>
      <c r="N3875" s="400">
        <f t="shared" si="211"/>
        <v>224.93155099461336</v>
      </c>
    </row>
    <row r="3876" spans="1:14" s="360" customFormat="1" hidden="1" outlineLevel="2" x14ac:dyDescent="0.35">
      <c r="A3876" s="403" t="s">
        <v>7166</v>
      </c>
      <c r="B3876" s="397">
        <v>44284</v>
      </c>
      <c r="C3876" s="398" t="s">
        <v>4534</v>
      </c>
      <c r="D3876" s="399" t="s">
        <v>4535</v>
      </c>
      <c r="E3876" s="399" t="s">
        <v>4272</v>
      </c>
      <c r="F3876" s="400">
        <v>60450.450000000004</v>
      </c>
      <c r="G3876" s="401" t="s">
        <v>3800</v>
      </c>
      <c r="H3876" s="402">
        <v>22.493155099461337</v>
      </c>
      <c r="I3876" s="402"/>
      <c r="J3876" s="400"/>
      <c r="K3876" s="400"/>
      <c r="L3876" s="400"/>
      <c r="M3876" s="400"/>
      <c r="N3876" s="400">
        <f t="shared" si="211"/>
        <v>22.493155099461337</v>
      </c>
    </row>
    <row r="3877" spans="1:14" s="360" customFormat="1" hidden="1" outlineLevel="2" x14ac:dyDescent="0.35">
      <c r="A3877" s="403" t="s">
        <v>7166</v>
      </c>
      <c r="B3877" s="397">
        <v>44284</v>
      </c>
      <c r="C3877" s="398" t="s">
        <v>4536</v>
      </c>
      <c r="D3877" s="399" t="s">
        <v>4061</v>
      </c>
      <c r="E3877" s="399" t="s">
        <v>4042</v>
      </c>
      <c r="F3877" s="400">
        <v>6045.0450000000001</v>
      </c>
      <c r="G3877" s="401" t="s">
        <v>3800</v>
      </c>
      <c r="H3877" s="402">
        <v>2.2493155099461335</v>
      </c>
      <c r="I3877" s="402"/>
      <c r="J3877" s="400"/>
      <c r="K3877" s="400"/>
      <c r="L3877" s="400"/>
      <c r="M3877" s="400"/>
      <c r="N3877" s="400">
        <f t="shared" si="211"/>
        <v>2.2493155099461335</v>
      </c>
    </row>
    <row r="3878" spans="1:14" s="360" customFormat="1" hidden="1" outlineLevel="2" x14ac:dyDescent="0.35">
      <c r="A3878" s="403" t="s">
        <v>7166</v>
      </c>
      <c r="B3878" s="397">
        <v>44284</v>
      </c>
      <c r="C3878" s="398" t="s">
        <v>4532</v>
      </c>
      <c r="D3878" s="399" t="s">
        <v>4533</v>
      </c>
      <c r="E3878" s="399" t="s">
        <v>7172</v>
      </c>
      <c r="F3878" s="400">
        <v>604504.5</v>
      </c>
      <c r="G3878" s="401" t="s">
        <v>3800</v>
      </c>
      <c r="H3878" s="402">
        <v>224.93155099461336</v>
      </c>
      <c r="I3878" s="402"/>
      <c r="J3878" s="400"/>
      <c r="K3878" s="400"/>
      <c r="L3878" s="400"/>
      <c r="M3878" s="400"/>
      <c r="N3878" s="400">
        <f t="shared" si="211"/>
        <v>224.93155099461336</v>
      </c>
    </row>
    <row r="3879" spans="1:14" s="360" customFormat="1" hidden="1" outlineLevel="2" x14ac:dyDescent="0.35">
      <c r="A3879" s="403" t="s">
        <v>7166</v>
      </c>
      <c r="B3879" s="397">
        <v>44284</v>
      </c>
      <c r="C3879" s="398" t="s">
        <v>4534</v>
      </c>
      <c r="D3879" s="399" t="s">
        <v>4535</v>
      </c>
      <c r="E3879" s="399" t="s">
        <v>4272</v>
      </c>
      <c r="F3879" s="400">
        <v>60450.450000000004</v>
      </c>
      <c r="G3879" s="401" t="s">
        <v>3800</v>
      </c>
      <c r="H3879" s="402">
        <v>22.493155099461337</v>
      </c>
      <c r="I3879" s="402"/>
      <c r="J3879" s="400"/>
      <c r="K3879" s="400"/>
      <c r="L3879" s="400"/>
      <c r="M3879" s="400"/>
      <c r="N3879" s="400">
        <f t="shared" si="211"/>
        <v>22.493155099461337</v>
      </c>
    </row>
    <row r="3880" spans="1:14" s="360" customFormat="1" hidden="1" outlineLevel="2" x14ac:dyDescent="0.35">
      <c r="A3880" s="403" t="s">
        <v>7166</v>
      </c>
      <c r="B3880" s="397">
        <v>44284</v>
      </c>
      <c r="C3880" s="398" t="s">
        <v>4536</v>
      </c>
      <c r="D3880" s="399" t="s">
        <v>4061</v>
      </c>
      <c r="E3880" s="399" t="s">
        <v>4042</v>
      </c>
      <c r="F3880" s="400">
        <v>6045.0450000000001</v>
      </c>
      <c r="G3880" s="401" t="s">
        <v>3800</v>
      </c>
      <c r="H3880" s="402">
        <v>2.2493155099461335</v>
      </c>
      <c r="I3880" s="402"/>
      <c r="J3880" s="400"/>
      <c r="K3880" s="400"/>
      <c r="L3880" s="400"/>
      <c r="M3880" s="400"/>
      <c r="N3880" s="400">
        <f t="shared" si="211"/>
        <v>2.2493155099461335</v>
      </c>
    </row>
    <row r="3881" spans="1:14" s="360" customFormat="1" hidden="1" outlineLevel="2" x14ac:dyDescent="0.35">
      <c r="A3881" s="403" t="s">
        <v>7166</v>
      </c>
      <c r="B3881" s="397">
        <v>44284</v>
      </c>
      <c r="C3881" s="398" t="s">
        <v>4532</v>
      </c>
      <c r="D3881" s="399" t="s">
        <v>4533</v>
      </c>
      <c r="E3881" s="399" t="s">
        <v>7173</v>
      </c>
      <c r="F3881" s="400">
        <v>604504.5</v>
      </c>
      <c r="G3881" s="401" t="s">
        <v>3800</v>
      </c>
      <c r="H3881" s="402">
        <v>224.93155099461336</v>
      </c>
      <c r="I3881" s="402"/>
      <c r="J3881" s="400"/>
      <c r="K3881" s="400"/>
      <c r="L3881" s="400"/>
      <c r="M3881" s="400"/>
      <c r="N3881" s="400">
        <f t="shared" si="211"/>
        <v>224.93155099461336</v>
      </c>
    </row>
    <row r="3882" spans="1:14" s="360" customFormat="1" hidden="1" outlineLevel="2" x14ac:dyDescent="0.35">
      <c r="A3882" s="403" t="s">
        <v>7166</v>
      </c>
      <c r="B3882" s="397">
        <v>44284</v>
      </c>
      <c r="C3882" s="398" t="s">
        <v>4534</v>
      </c>
      <c r="D3882" s="399" t="s">
        <v>4535</v>
      </c>
      <c r="E3882" s="399" t="s">
        <v>4272</v>
      </c>
      <c r="F3882" s="400">
        <v>60450.450000000004</v>
      </c>
      <c r="G3882" s="401" t="s">
        <v>3800</v>
      </c>
      <c r="H3882" s="402">
        <v>22.493155099461337</v>
      </c>
      <c r="I3882" s="402"/>
      <c r="J3882" s="400"/>
      <c r="K3882" s="400"/>
      <c r="L3882" s="400"/>
      <c r="M3882" s="400"/>
      <c r="N3882" s="400">
        <f t="shared" si="211"/>
        <v>22.493155099461337</v>
      </c>
    </row>
    <row r="3883" spans="1:14" s="360" customFormat="1" hidden="1" outlineLevel="2" x14ac:dyDescent="0.35">
      <c r="A3883" s="403" t="s">
        <v>7166</v>
      </c>
      <c r="B3883" s="397">
        <v>44284</v>
      </c>
      <c r="C3883" s="398" t="s">
        <v>4536</v>
      </c>
      <c r="D3883" s="399" t="s">
        <v>4061</v>
      </c>
      <c r="E3883" s="399" t="s">
        <v>4042</v>
      </c>
      <c r="F3883" s="400">
        <v>6045.0450000000001</v>
      </c>
      <c r="G3883" s="401" t="s">
        <v>3800</v>
      </c>
      <c r="H3883" s="402">
        <v>2.2493155099461335</v>
      </c>
      <c r="I3883" s="402"/>
      <c r="J3883" s="400"/>
      <c r="K3883" s="400"/>
      <c r="L3883" s="400"/>
      <c r="M3883" s="400"/>
      <c r="N3883" s="400">
        <f t="shared" si="211"/>
        <v>2.2493155099461335</v>
      </c>
    </row>
    <row r="3884" spans="1:14" s="360" customFormat="1" hidden="1" outlineLevel="2" x14ac:dyDescent="0.35">
      <c r="A3884" s="403" t="s">
        <v>7166</v>
      </c>
      <c r="B3884" s="397">
        <v>44284</v>
      </c>
      <c r="C3884" s="398" t="s">
        <v>4532</v>
      </c>
      <c r="D3884" s="399" t="s">
        <v>4533</v>
      </c>
      <c r="E3884" s="399" t="s">
        <v>7174</v>
      </c>
      <c r="F3884" s="400">
        <v>604504.5</v>
      </c>
      <c r="G3884" s="401" t="s">
        <v>3800</v>
      </c>
      <c r="H3884" s="402">
        <v>224.93155099461336</v>
      </c>
      <c r="I3884" s="402"/>
      <c r="J3884" s="400"/>
      <c r="K3884" s="400"/>
      <c r="L3884" s="400"/>
      <c r="M3884" s="400"/>
      <c r="N3884" s="400">
        <f t="shared" si="211"/>
        <v>224.93155099461336</v>
      </c>
    </row>
    <row r="3885" spans="1:14" s="360" customFormat="1" hidden="1" outlineLevel="2" x14ac:dyDescent="0.35">
      <c r="A3885" s="403" t="s">
        <v>7166</v>
      </c>
      <c r="B3885" s="397">
        <v>44284</v>
      </c>
      <c r="C3885" s="398" t="s">
        <v>4534</v>
      </c>
      <c r="D3885" s="399" t="s">
        <v>4535</v>
      </c>
      <c r="E3885" s="399" t="s">
        <v>4272</v>
      </c>
      <c r="F3885" s="400">
        <v>60450.450000000004</v>
      </c>
      <c r="G3885" s="401" t="s">
        <v>3800</v>
      </c>
      <c r="H3885" s="402">
        <v>22.493155099461337</v>
      </c>
      <c r="I3885" s="402"/>
      <c r="J3885" s="400"/>
      <c r="K3885" s="400"/>
      <c r="L3885" s="400"/>
      <c r="M3885" s="400"/>
      <c r="N3885" s="400">
        <f t="shared" si="211"/>
        <v>22.493155099461337</v>
      </c>
    </row>
    <row r="3886" spans="1:14" s="360" customFormat="1" hidden="1" outlineLevel="2" x14ac:dyDescent="0.35">
      <c r="A3886" s="403" t="s">
        <v>7166</v>
      </c>
      <c r="B3886" s="397">
        <v>44284</v>
      </c>
      <c r="C3886" s="398" t="s">
        <v>4536</v>
      </c>
      <c r="D3886" s="399" t="s">
        <v>4061</v>
      </c>
      <c r="E3886" s="399" t="s">
        <v>4042</v>
      </c>
      <c r="F3886" s="400">
        <v>6045.0450000000001</v>
      </c>
      <c r="G3886" s="401" t="s">
        <v>3800</v>
      </c>
      <c r="H3886" s="402">
        <v>2.2493155099461335</v>
      </c>
      <c r="I3886" s="402"/>
      <c r="J3886" s="400"/>
      <c r="K3886" s="400"/>
      <c r="L3886" s="400"/>
      <c r="M3886" s="400"/>
      <c r="N3886" s="400">
        <f t="shared" si="211"/>
        <v>2.2493155099461335</v>
      </c>
    </row>
    <row r="3887" spans="1:14" s="360" customFormat="1" hidden="1" outlineLevel="2" x14ac:dyDescent="0.35">
      <c r="A3887" s="403" t="s">
        <v>7166</v>
      </c>
      <c r="B3887" s="397">
        <v>44316</v>
      </c>
      <c r="C3887" s="398" t="s">
        <v>4537</v>
      </c>
      <c r="D3887" s="399" t="s">
        <v>4538</v>
      </c>
      <c r="E3887" s="399" t="s">
        <v>7167</v>
      </c>
      <c r="F3887" s="400">
        <v>604504.5</v>
      </c>
      <c r="G3887" s="401" t="s">
        <v>3800</v>
      </c>
      <c r="H3887" s="402">
        <v>224.93155099461336</v>
      </c>
      <c r="I3887" s="402"/>
      <c r="J3887" s="400"/>
      <c r="K3887" s="400"/>
      <c r="L3887" s="400"/>
      <c r="M3887" s="400"/>
      <c r="N3887" s="400">
        <f t="shared" si="211"/>
        <v>224.93155099461336</v>
      </c>
    </row>
    <row r="3888" spans="1:14" s="360" customFormat="1" hidden="1" outlineLevel="2" x14ac:dyDescent="0.35">
      <c r="A3888" s="403" t="s">
        <v>7166</v>
      </c>
      <c r="B3888" s="397">
        <v>44316</v>
      </c>
      <c r="C3888" s="398" t="s">
        <v>4539</v>
      </c>
      <c r="D3888" s="399" t="s">
        <v>4540</v>
      </c>
      <c r="E3888" s="399" t="s">
        <v>4272</v>
      </c>
      <c r="F3888" s="400">
        <v>60450.450000000004</v>
      </c>
      <c r="G3888" s="401" t="s">
        <v>3800</v>
      </c>
      <c r="H3888" s="402">
        <v>22.493155099461337</v>
      </c>
      <c r="I3888" s="402"/>
      <c r="J3888" s="400"/>
      <c r="K3888" s="400"/>
      <c r="L3888" s="400"/>
      <c r="M3888" s="400"/>
      <c r="N3888" s="400">
        <f t="shared" si="211"/>
        <v>22.493155099461337</v>
      </c>
    </row>
    <row r="3889" spans="1:14" s="360" customFormat="1" hidden="1" outlineLevel="2" x14ac:dyDescent="0.35">
      <c r="A3889" s="403" t="s">
        <v>7166</v>
      </c>
      <c r="B3889" s="397">
        <v>44316</v>
      </c>
      <c r="C3889" s="398" t="s">
        <v>4541</v>
      </c>
      <c r="D3889" s="399" t="s">
        <v>4542</v>
      </c>
      <c r="E3889" s="399" t="s">
        <v>4042</v>
      </c>
      <c r="F3889" s="400">
        <v>6045.0450000000001</v>
      </c>
      <c r="G3889" s="401" t="s">
        <v>3800</v>
      </c>
      <c r="H3889" s="402">
        <v>2.2493155099461335</v>
      </c>
      <c r="I3889" s="402"/>
      <c r="J3889" s="400"/>
      <c r="K3889" s="400"/>
      <c r="L3889" s="400"/>
      <c r="M3889" s="400"/>
      <c r="N3889" s="400">
        <f t="shared" si="211"/>
        <v>2.2493155099461335</v>
      </c>
    </row>
    <row r="3890" spans="1:14" s="360" customFormat="1" hidden="1" outlineLevel="2" x14ac:dyDescent="0.35">
      <c r="A3890" s="403" t="s">
        <v>7166</v>
      </c>
      <c r="B3890" s="397">
        <v>44316</v>
      </c>
      <c r="C3890" s="398" t="s">
        <v>4537</v>
      </c>
      <c r="D3890" s="399" t="s">
        <v>4538</v>
      </c>
      <c r="E3890" s="399" t="s">
        <v>7168</v>
      </c>
      <c r="F3890" s="400">
        <v>604504.5</v>
      </c>
      <c r="G3890" s="401" t="s">
        <v>3800</v>
      </c>
      <c r="H3890" s="402">
        <v>224.93155099461336</v>
      </c>
      <c r="I3890" s="402"/>
      <c r="J3890" s="400"/>
      <c r="K3890" s="400"/>
      <c r="L3890" s="400"/>
      <c r="M3890" s="400"/>
      <c r="N3890" s="400">
        <f t="shared" si="211"/>
        <v>224.93155099461336</v>
      </c>
    </row>
    <row r="3891" spans="1:14" s="360" customFormat="1" hidden="1" outlineLevel="2" x14ac:dyDescent="0.35">
      <c r="A3891" s="403" t="s">
        <v>7166</v>
      </c>
      <c r="B3891" s="397">
        <v>44316</v>
      </c>
      <c r="C3891" s="398" t="s">
        <v>4539</v>
      </c>
      <c r="D3891" s="399" t="s">
        <v>4540</v>
      </c>
      <c r="E3891" s="399" t="s">
        <v>4272</v>
      </c>
      <c r="F3891" s="400">
        <v>60450.450000000004</v>
      </c>
      <c r="G3891" s="401" t="s">
        <v>3800</v>
      </c>
      <c r="H3891" s="402">
        <v>22.493155099461337</v>
      </c>
      <c r="I3891" s="402"/>
      <c r="J3891" s="400"/>
      <c r="K3891" s="400"/>
      <c r="L3891" s="400"/>
      <c r="M3891" s="400"/>
      <c r="N3891" s="400">
        <f t="shared" si="211"/>
        <v>22.493155099461337</v>
      </c>
    </row>
    <row r="3892" spans="1:14" s="360" customFormat="1" hidden="1" outlineLevel="2" x14ac:dyDescent="0.35">
      <c r="A3892" s="403" t="s">
        <v>7166</v>
      </c>
      <c r="B3892" s="397">
        <v>44316</v>
      </c>
      <c r="C3892" s="398" t="s">
        <v>4541</v>
      </c>
      <c r="D3892" s="399" t="s">
        <v>4542</v>
      </c>
      <c r="E3892" s="399" t="s">
        <v>4042</v>
      </c>
      <c r="F3892" s="400">
        <v>6045.0450000000001</v>
      </c>
      <c r="G3892" s="401" t="s">
        <v>3800</v>
      </c>
      <c r="H3892" s="402">
        <v>2.2493155099461335</v>
      </c>
      <c r="I3892" s="402"/>
      <c r="J3892" s="400"/>
      <c r="K3892" s="400"/>
      <c r="L3892" s="400"/>
      <c r="M3892" s="400"/>
      <c r="N3892" s="400">
        <f t="shared" si="211"/>
        <v>2.2493155099461335</v>
      </c>
    </row>
    <row r="3893" spans="1:14" s="360" customFormat="1" hidden="1" outlineLevel="2" x14ac:dyDescent="0.35">
      <c r="A3893" s="403" t="s">
        <v>7166</v>
      </c>
      <c r="B3893" s="397">
        <v>44316</v>
      </c>
      <c r="C3893" s="398" t="s">
        <v>4537</v>
      </c>
      <c r="D3893" s="399" t="s">
        <v>4538</v>
      </c>
      <c r="E3893" s="399" t="s">
        <v>7169</v>
      </c>
      <c r="F3893" s="400">
        <v>604504.5</v>
      </c>
      <c r="G3893" s="401" t="s">
        <v>3800</v>
      </c>
      <c r="H3893" s="402">
        <v>224.93155099461336</v>
      </c>
      <c r="I3893" s="402"/>
      <c r="J3893" s="400"/>
      <c r="K3893" s="400"/>
      <c r="L3893" s="400"/>
      <c r="M3893" s="400"/>
      <c r="N3893" s="400">
        <f t="shared" si="211"/>
        <v>224.93155099461336</v>
      </c>
    </row>
    <row r="3894" spans="1:14" s="360" customFormat="1" hidden="1" outlineLevel="2" x14ac:dyDescent="0.35">
      <c r="A3894" s="403" t="s">
        <v>7166</v>
      </c>
      <c r="B3894" s="397">
        <v>44316</v>
      </c>
      <c r="C3894" s="398" t="s">
        <v>4539</v>
      </c>
      <c r="D3894" s="399" t="s">
        <v>4540</v>
      </c>
      <c r="E3894" s="399" t="s">
        <v>4272</v>
      </c>
      <c r="F3894" s="400">
        <v>60450.450000000004</v>
      </c>
      <c r="G3894" s="401" t="s">
        <v>3800</v>
      </c>
      <c r="H3894" s="402">
        <v>22.493155099461337</v>
      </c>
      <c r="I3894" s="402"/>
      <c r="J3894" s="400"/>
      <c r="K3894" s="400"/>
      <c r="L3894" s="400"/>
      <c r="M3894" s="400"/>
      <c r="N3894" s="400">
        <f t="shared" si="211"/>
        <v>22.493155099461337</v>
      </c>
    </row>
    <row r="3895" spans="1:14" s="360" customFormat="1" hidden="1" outlineLevel="2" x14ac:dyDescent="0.35">
      <c r="A3895" s="403" t="s">
        <v>7166</v>
      </c>
      <c r="B3895" s="397">
        <v>44316</v>
      </c>
      <c r="C3895" s="398" t="s">
        <v>4541</v>
      </c>
      <c r="D3895" s="399" t="s">
        <v>4542</v>
      </c>
      <c r="E3895" s="399" t="s">
        <v>4042</v>
      </c>
      <c r="F3895" s="400">
        <v>6045.0450000000001</v>
      </c>
      <c r="G3895" s="401" t="s">
        <v>3800</v>
      </c>
      <c r="H3895" s="402">
        <v>2.2493155099461335</v>
      </c>
      <c r="I3895" s="402"/>
      <c r="J3895" s="400"/>
      <c r="K3895" s="400"/>
      <c r="L3895" s="400"/>
      <c r="M3895" s="400"/>
      <c r="N3895" s="400">
        <f t="shared" si="211"/>
        <v>2.2493155099461335</v>
      </c>
    </row>
    <row r="3896" spans="1:14" s="360" customFormat="1" hidden="1" outlineLevel="2" x14ac:dyDescent="0.35">
      <c r="A3896" s="403" t="s">
        <v>7166</v>
      </c>
      <c r="B3896" s="397">
        <v>44316</v>
      </c>
      <c r="C3896" s="398" t="s">
        <v>4537</v>
      </c>
      <c r="D3896" s="399" t="s">
        <v>4538</v>
      </c>
      <c r="E3896" s="399" t="s">
        <v>7170</v>
      </c>
      <c r="F3896" s="400">
        <v>604504.5</v>
      </c>
      <c r="G3896" s="401" t="s">
        <v>3800</v>
      </c>
      <c r="H3896" s="402">
        <v>224.93155099461336</v>
      </c>
      <c r="I3896" s="402"/>
      <c r="J3896" s="400"/>
      <c r="K3896" s="400"/>
      <c r="L3896" s="400"/>
      <c r="M3896" s="400"/>
      <c r="N3896" s="400">
        <f t="shared" si="211"/>
        <v>224.93155099461336</v>
      </c>
    </row>
    <row r="3897" spans="1:14" s="360" customFormat="1" hidden="1" outlineLevel="2" x14ac:dyDescent="0.35">
      <c r="A3897" s="403" t="s">
        <v>7166</v>
      </c>
      <c r="B3897" s="397">
        <v>44316</v>
      </c>
      <c r="C3897" s="398" t="s">
        <v>4539</v>
      </c>
      <c r="D3897" s="399" t="s">
        <v>4540</v>
      </c>
      <c r="E3897" s="399" t="s">
        <v>4272</v>
      </c>
      <c r="F3897" s="400">
        <v>60450.450000000004</v>
      </c>
      <c r="G3897" s="401" t="s">
        <v>3800</v>
      </c>
      <c r="H3897" s="402">
        <v>22.493155099461337</v>
      </c>
      <c r="I3897" s="402"/>
      <c r="J3897" s="400"/>
      <c r="K3897" s="400"/>
      <c r="L3897" s="400"/>
      <c r="M3897" s="400"/>
      <c r="N3897" s="400">
        <f t="shared" si="211"/>
        <v>22.493155099461337</v>
      </c>
    </row>
    <row r="3898" spans="1:14" s="360" customFormat="1" hidden="1" outlineLevel="2" x14ac:dyDescent="0.35">
      <c r="A3898" s="403" t="s">
        <v>7166</v>
      </c>
      <c r="B3898" s="397">
        <v>44316</v>
      </c>
      <c r="C3898" s="398" t="s">
        <v>4541</v>
      </c>
      <c r="D3898" s="399" t="s">
        <v>4542</v>
      </c>
      <c r="E3898" s="399" t="s">
        <v>4042</v>
      </c>
      <c r="F3898" s="400">
        <v>6045.0450000000001</v>
      </c>
      <c r="G3898" s="401" t="s">
        <v>3800</v>
      </c>
      <c r="H3898" s="402">
        <v>2.2493155099461335</v>
      </c>
      <c r="I3898" s="402"/>
      <c r="J3898" s="400"/>
      <c r="K3898" s="400"/>
      <c r="L3898" s="400"/>
      <c r="M3898" s="400"/>
      <c r="N3898" s="400">
        <f t="shared" si="211"/>
        <v>2.2493155099461335</v>
      </c>
    </row>
    <row r="3899" spans="1:14" s="360" customFormat="1" hidden="1" outlineLevel="2" x14ac:dyDescent="0.35">
      <c r="A3899" s="403" t="s">
        <v>7166</v>
      </c>
      <c r="B3899" s="397">
        <v>44316</v>
      </c>
      <c r="C3899" s="398" t="s">
        <v>4537</v>
      </c>
      <c r="D3899" s="399" t="s">
        <v>4538</v>
      </c>
      <c r="E3899" s="399" t="s">
        <v>7171</v>
      </c>
      <c r="F3899" s="400">
        <v>604504.5</v>
      </c>
      <c r="G3899" s="401" t="s">
        <v>3800</v>
      </c>
      <c r="H3899" s="402">
        <v>224.93155099461336</v>
      </c>
      <c r="I3899" s="402"/>
      <c r="J3899" s="400"/>
      <c r="K3899" s="400"/>
      <c r="L3899" s="400"/>
      <c r="M3899" s="400"/>
      <c r="N3899" s="400">
        <f t="shared" si="211"/>
        <v>224.93155099461336</v>
      </c>
    </row>
    <row r="3900" spans="1:14" s="360" customFormat="1" hidden="1" outlineLevel="2" x14ac:dyDescent="0.35">
      <c r="A3900" s="403" t="s">
        <v>7166</v>
      </c>
      <c r="B3900" s="397">
        <v>44316</v>
      </c>
      <c r="C3900" s="398" t="s">
        <v>4539</v>
      </c>
      <c r="D3900" s="399" t="s">
        <v>4540</v>
      </c>
      <c r="E3900" s="399" t="s">
        <v>4272</v>
      </c>
      <c r="F3900" s="400">
        <v>60450.450000000004</v>
      </c>
      <c r="G3900" s="401" t="s">
        <v>3800</v>
      </c>
      <c r="H3900" s="402">
        <v>22.493155099461337</v>
      </c>
      <c r="I3900" s="402"/>
      <c r="J3900" s="400"/>
      <c r="K3900" s="400"/>
      <c r="L3900" s="400"/>
      <c r="M3900" s="400"/>
      <c r="N3900" s="400">
        <f t="shared" si="211"/>
        <v>22.493155099461337</v>
      </c>
    </row>
    <row r="3901" spans="1:14" s="360" customFormat="1" hidden="1" outlineLevel="2" x14ac:dyDescent="0.35">
      <c r="A3901" s="403" t="s">
        <v>7166</v>
      </c>
      <c r="B3901" s="397">
        <v>44316</v>
      </c>
      <c r="C3901" s="398" t="s">
        <v>4541</v>
      </c>
      <c r="D3901" s="399" t="s">
        <v>4542</v>
      </c>
      <c r="E3901" s="399" t="s">
        <v>4042</v>
      </c>
      <c r="F3901" s="400">
        <v>6045.0450000000001</v>
      </c>
      <c r="G3901" s="401" t="s">
        <v>3800</v>
      </c>
      <c r="H3901" s="402">
        <v>2.2493155099461335</v>
      </c>
      <c r="I3901" s="402"/>
      <c r="J3901" s="400"/>
      <c r="K3901" s="400"/>
      <c r="L3901" s="400"/>
      <c r="M3901" s="400"/>
      <c r="N3901" s="400">
        <f t="shared" si="211"/>
        <v>2.2493155099461335</v>
      </c>
    </row>
    <row r="3902" spans="1:14" s="360" customFormat="1" hidden="1" outlineLevel="2" x14ac:dyDescent="0.35">
      <c r="A3902" s="403" t="s">
        <v>7166</v>
      </c>
      <c r="B3902" s="397">
        <v>44316</v>
      </c>
      <c r="C3902" s="398" t="s">
        <v>4537</v>
      </c>
      <c r="D3902" s="399" t="s">
        <v>4538</v>
      </c>
      <c r="E3902" s="399" t="s">
        <v>7172</v>
      </c>
      <c r="F3902" s="400">
        <v>604504.5</v>
      </c>
      <c r="G3902" s="401" t="s">
        <v>3800</v>
      </c>
      <c r="H3902" s="402">
        <v>224.93155099461336</v>
      </c>
      <c r="I3902" s="402"/>
      <c r="J3902" s="400"/>
      <c r="K3902" s="400"/>
      <c r="L3902" s="400"/>
      <c r="M3902" s="400"/>
      <c r="N3902" s="400">
        <f t="shared" si="211"/>
        <v>224.93155099461336</v>
      </c>
    </row>
    <row r="3903" spans="1:14" s="360" customFormat="1" hidden="1" outlineLevel="2" x14ac:dyDescent="0.35">
      <c r="A3903" s="403" t="s">
        <v>7166</v>
      </c>
      <c r="B3903" s="397">
        <v>44316</v>
      </c>
      <c r="C3903" s="398" t="s">
        <v>4539</v>
      </c>
      <c r="D3903" s="399" t="s">
        <v>4540</v>
      </c>
      <c r="E3903" s="399" t="s">
        <v>4272</v>
      </c>
      <c r="F3903" s="400">
        <v>60450.450000000004</v>
      </c>
      <c r="G3903" s="401" t="s">
        <v>3800</v>
      </c>
      <c r="H3903" s="402">
        <v>22.493155099461337</v>
      </c>
      <c r="I3903" s="402"/>
      <c r="J3903" s="400"/>
      <c r="K3903" s="400"/>
      <c r="L3903" s="400"/>
      <c r="M3903" s="400"/>
      <c r="N3903" s="400">
        <f t="shared" ref="N3903:N3966" si="212">H3903</f>
        <v>22.493155099461337</v>
      </c>
    </row>
    <row r="3904" spans="1:14" s="360" customFormat="1" hidden="1" outlineLevel="2" x14ac:dyDescent="0.35">
      <c r="A3904" s="403" t="s">
        <v>7166</v>
      </c>
      <c r="B3904" s="397">
        <v>44316</v>
      </c>
      <c r="C3904" s="398" t="s">
        <v>4541</v>
      </c>
      <c r="D3904" s="399" t="s">
        <v>4542</v>
      </c>
      <c r="E3904" s="399" t="s">
        <v>4042</v>
      </c>
      <c r="F3904" s="400">
        <v>6045.0450000000001</v>
      </c>
      <c r="G3904" s="401" t="s">
        <v>3800</v>
      </c>
      <c r="H3904" s="402">
        <v>2.2493155099461335</v>
      </c>
      <c r="I3904" s="402"/>
      <c r="J3904" s="400"/>
      <c r="K3904" s="400"/>
      <c r="L3904" s="400"/>
      <c r="M3904" s="400"/>
      <c r="N3904" s="400">
        <f t="shared" si="212"/>
        <v>2.2493155099461335</v>
      </c>
    </row>
    <row r="3905" spans="1:14" s="360" customFormat="1" hidden="1" outlineLevel="2" x14ac:dyDescent="0.35">
      <c r="A3905" s="403" t="s">
        <v>7166</v>
      </c>
      <c r="B3905" s="397">
        <v>44316</v>
      </c>
      <c r="C3905" s="398" t="s">
        <v>4537</v>
      </c>
      <c r="D3905" s="399" t="s">
        <v>4538</v>
      </c>
      <c r="E3905" s="399" t="s">
        <v>7173</v>
      </c>
      <c r="F3905" s="400">
        <v>604504.5</v>
      </c>
      <c r="G3905" s="401" t="s">
        <v>3800</v>
      </c>
      <c r="H3905" s="402">
        <v>224.93155099461336</v>
      </c>
      <c r="I3905" s="402"/>
      <c r="J3905" s="400"/>
      <c r="K3905" s="400"/>
      <c r="L3905" s="400"/>
      <c r="M3905" s="400"/>
      <c r="N3905" s="400">
        <f t="shared" si="212"/>
        <v>224.93155099461336</v>
      </c>
    </row>
    <row r="3906" spans="1:14" s="360" customFormat="1" hidden="1" outlineLevel="2" x14ac:dyDescent="0.35">
      <c r="A3906" s="403" t="s">
        <v>7166</v>
      </c>
      <c r="B3906" s="397">
        <v>44316</v>
      </c>
      <c r="C3906" s="398" t="s">
        <v>4539</v>
      </c>
      <c r="D3906" s="399" t="s">
        <v>4540</v>
      </c>
      <c r="E3906" s="399" t="s">
        <v>4272</v>
      </c>
      <c r="F3906" s="400">
        <v>60450.450000000004</v>
      </c>
      <c r="G3906" s="401" t="s">
        <v>3800</v>
      </c>
      <c r="H3906" s="402">
        <v>22.493155099461337</v>
      </c>
      <c r="I3906" s="402"/>
      <c r="J3906" s="400"/>
      <c r="K3906" s="400"/>
      <c r="L3906" s="400"/>
      <c r="M3906" s="400"/>
      <c r="N3906" s="400">
        <f t="shared" si="212"/>
        <v>22.493155099461337</v>
      </c>
    </row>
    <row r="3907" spans="1:14" s="360" customFormat="1" hidden="1" outlineLevel="2" x14ac:dyDescent="0.35">
      <c r="A3907" s="403" t="s">
        <v>7166</v>
      </c>
      <c r="B3907" s="397">
        <v>44316</v>
      </c>
      <c r="C3907" s="398" t="s">
        <v>4541</v>
      </c>
      <c r="D3907" s="399" t="s">
        <v>4542</v>
      </c>
      <c r="E3907" s="399" t="s">
        <v>4042</v>
      </c>
      <c r="F3907" s="400">
        <v>6045.0450000000001</v>
      </c>
      <c r="G3907" s="401" t="s">
        <v>3800</v>
      </c>
      <c r="H3907" s="402">
        <v>2.2493155099461335</v>
      </c>
      <c r="I3907" s="402"/>
      <c r="J3907" s="400"/>
      <c r="K3907" s="400"/>
      <c r="L3907" s="400"/>
      <c r="M3907" s="400"/>
      <c r="N3907" s="400">
        <f t="shared" si="212"/>
        <v>2.2493155099461335</v>
      </c>
    </row>
    <row r="3908" spans="1:14" s="360" customFormat="1" hidden="1" outlineLevel="2" collapsed="1" x14ac:dyDescent="0.35">
      <c r="A3908" s="403" t="s">
        <v>7166</v>
      </c>
      <c r="B3908" s="397">
        <v>44316</v>
      </c>
      <c r="C3908" s="398" t="s">
        <v>4537</v>
      </c>
      <c r="D3908" s="399" t="s">
        <v>4538</v>
      </c>
      <c r="E3908" s="399" t="s">
        <v>7174</v>
      </c>
      <c r="F3908" s="400">
        <v>604504.5</v>
      </c>
      <c r="G3908" s="401" t="s">
        <v>3800</v>
      </c>
      <c r="H3908" s="402">
        <v>224.93155099461336</v>
      </c>
      <c r="I3908" s="402"/>
      <c r="J3908" s="400"/>
      <c r="K3908" s="400"/>
      <c r="L3908" s="400"/>
      <c r="M3908" s="400"/>
      <c r="N3908" s="400">
        <f t="shared" si="212"/>
        <v>224.93155099461336</v>
      </c>
    </row>
    <row r="3909" spans="1:14" s="360" customFormat="1" hidden="1" outlineLevel="2" x14ac:dyDescent="0.35">
      <c r="A3909" s="403" t="s">
        <v>7166</v>
      </c>
      <c r="B3909" s="397">
        <v>44316</v>
      </c>
      <c r="C3909" s="398" t="s">
        <v>4539</v>
      </c>
      <c r="D3909" s="399" t="s">
        <v>4540</v>
      </c>
      <c r="E3909" s="399" t="s">
        <v>4272</v>
      </c>
      <c r="F3909" s="400">
        <v>60450.450000000004</v>
      </c>
      <c r="G3909" s="401" t="s">
        <v>3800</v>
      </c>
      <c r="H3909" s="402">
        <v>22.493155099461337</v>
      </c>
      <c r="I3909" s="402"/>
      <c r="J3909" s="400"/>
      <c r="K3909" s="400"/>
      <c r="L3909" s="400"/>
      <c r="M3909" s="400"/>
      <c r="N3909" s="400">
        <f t="shared" si="212"/>
        <v>22.493155099461337</v>
      </c>
    </row>
    <row r="3910" spans="1:14" s="360" customFormat="1" hidden="1" outlineLevel="2" x14ac:dyDescent="0.35">
      <c r="A3910" s="403" t="s">
        <v>7166</v>
      </c>
      <c r="B3910" s="397">
        <v>44316</v>
      </c>
      <c r="C3910" s="398" t="s">
        <v>4541</v>
      </c>
      <c r="D3910" s="399" t="s">
        <v>4542</v>
      </c>
      <c r="E3910" s="399" t="s">
        <v>4042</v>
      </c>
      <c r="F3910" s="400">
        <v>6045.0450000000001</v>
      </c>
      <c r="G3910" s="401" t="s">
        <v>3800</v>
      </c>
      <c r="H3910" s="402">
        <v>2.2493155099461335</v>
      </c>
      <c r="I3910" s="402"/>
      <c r="J3910" s="400"/>
      <c r="K3910" s="400"/>
      <c r="L3910" s="400"/>
      <c r="M3910" s="400"/>
      <c r="N3910" s="400">
        <f t="shared" si="212"/>
        <v>2.2493155099461335</v>
      </c>
    </row>
    <row r="3911" spans="1:14" s="360" customFormat="1" hidden="1" outlineLevel="2" x14ac:dyDescent="0.35">
      <c r="A3911" s="403" t="s">
        <v>7166</v>
      </c>
      <c r="B3911" s="397">
        <v>44343</v>
      </c>
      <c r="C3911" s="398" t="s">
        <v>4543</v>
      </c>
      <c r="D3911" s="399" t="s">
        <v>4544</v>
      </c>
      <c r="E3911" s="399" t="s">
        <v>7167</v>
      </c>
      <c r="F3911" s="400">
        <v>604504.5</v>
      </c>
      <c r="G3911" s="401" t="s">
        <v>3800</v>
      </c>
      <c r="H3911" s="402">
        <v>224.93155099461336</v>
      </c>
      <c r="I3911" s="402"/>
      <c r="J3911" s="400"/>
      <c r="K3911" s="400"/>
      <c r="L3911" s="400"/>
      <c r="M3911" s="400"/>
      <c r="N3911" s="400">
        <f t="shared" si="212"/>
        <v>224.93155099461336</v>
      </c>
    </row>
    <row r="3912" spans="1:14" s="360" customFormat="1" hidden="1" outlineLevel="2" x14ac:dyDescent="0.35">
      <c r="A3912" s="403" t="s">
        <v>7166</v>
      </c>
      <c r="B3912" s="397">
        <v>44343</v>
      </c>
      <c r="C3912" s="398" t="s">
        <v>4545</v>
      </c>
      <c r="D3912" s="399" t="s">
        <v>4546</v>
      </c>
      <c r="E3912" s="399" t="s">
        <v>4272</v>
      </c>
      <c r="F3912" s="400">
        <v>60450.450000000004</v>
      </c>
      <c r="G3912" s="401" t="s">
        <v>3800</v>
      </c>
      <c r="H3912" s="402">
        <v>22.493155099461337</v>
      </c>
      <c r="I3912" s="402"/>
      <c r="J3912" s="400"/>
      <c r="K3912" s="400"/>
      <c r="L3912" s="400"/>
      <c r="M3912" s="400"/>
      <c r="N3912" s="400">
        <f t="shared" si="212"/>
        <v>22.493155099461337</v>
      </c>
    </row>
    <row r="3913" spans="1:14" s="360" customFormat="1" hidden="1" outlineLevel="2" x14ac:dyDescent="0.35">
      <c r="A3913" s="403" t="s">
        <v>7166</v>
      </c>
      <c r="B3913" s="397">
        <v>44343</v>
      </c>
      <c r="C3913" s="398" t="s">
        <v>4547</v>
      </c>
      <c r="D3913" s="399" t="s">
        <v>4548</v>
      </c>
      <c r="E3913" s="399" t="s">
        <v>4042</v>
      </c>
      <c r="F3913" s="400">
        <v>6045.0450000000001</v>
      </c>
      <c r="G3913" s="401" t="s">
        <v>3800</v>
      </c>
      <c r="H3913" s="402">
        <v>2.2493155099461335</v>
      </c>
      <c r="I3913" s="402"/>
      <c r="J3913" s="400"/>
      <c r="K3913" s="400"/>
      <c r="L3913" s="400"/>
      <c r="M3913" s="400"/>
      <c r="N3913" s="400">
        <f t="shared" si="212"/>
        <v>2.2493155099461335</v>
      </c>
    </row>
    <row r="3914" spans="1:14" s="360" customFormat="1" hidden="1" outlineLevel="2" x14ac:dyDescent="0.35">
      <c r="A3914" s="403" t="s">
        <v>7166</v>
      </c>
      <c r="B3914" s="397">
        <v>44343</v>
      </c>
      <c r="C3914" s="398" t="s">
        <v>4543</v>
      </c>
      <c r="D3914" s="399" t="s">
        <v>4544</v>
      </c>
      <c r="E3914" s="399" t="s">
        <v>7168</v>
      </c>
      <c r="F3914" s="400">
        <v>604504.5</v>
      </c>
      <c r="G3914" s="401" t="s">
        <v>3800</v>
      </c>
      <c r="H3914" s="402">
        <v>224.93155099461336</v>
      </c>
      <c r="I3914" s="402"/>
      <c r="J3914" s="400"/>
      <c r="K3914" s="400"/>
      <c r="L3914" s="400"/>
      <c r="M3914" s="400"/>
      <c r="N3914" s="400">
        <f t="shared" si="212"/>
        <v>224.93155099461336</v>
      </c>
    </row>
    <row r="3915" spans="1:14" s="360" customFormat="1" hidden="1" outlineLevel="2" x14ac:dyDescent="0.35">
      <c r="A3915" s="403" t="s">
        <v>7166</v>
      </c>
      <c r="B3915" s="397">
        <v>44343</v>
      </c>
      <c r="C3915" s="398" t="s">
        <v>4545</v>
      </c>
      <c r="D3915" s="399" t="s">
        <v>4546</v>
      </c>
      <c r="E3915" s="399" t="s">
        <v>4272</v>
      </c>
      <c r="F3915" s="400">
        <v>60450.450000000004</v>
      </c>
      <c r="G3915" s="401" t="s">
        <v>3800</v>
      </c>
      <c r="H3915" s="402">
        <v>22.493155099461337</v>
      </c>
      <c r="I3915" s="402"/>
      <c r="J3915" s="400"/>
      <c r="K3915" s="400"/>
      <c r="L3915" s="400"/>
      <c r="M3915" s="400"/>
      <c r="N3915" s="400">
        <f t="shared" si="212"/>
        <v>22.493155099461337</v>
      </c>
    </row>
    <row r="3916" spans="1:14" s="360" customFormat="1" hidden="1" outlineLevel="2" x14ac:dyDescent="0.35">
      <c r="A3916" s="403" t="s">
        <v>7166</v>
      </c>
      <c r="B3916" s="397">
        <v>44343</v>
      </c>
      <c r="C3916" s="398" t="s">
        <v>4547</v>
      </c>
      <c r="D3916" s="399" t="s">
        <v>4548</v>
      </c>
      <c r="E3916" s="399" t="s">
        <v>4042</v>
      </c>
      <c r="F3916" s="400">
        <v>6045.0450000000001</v>
      </c>
      <c r="G3916" s="401" t="s">
        <v>3800</v>
      </c>
      <c r="H3916" s="402">
        <v>2.2493155099461335</v>
      </c>
      <c r="I3916" s="402"/>
      <c r="J3916" s="400"/>
      <c r="K3916" s="400"/>
      <c r="L3916" s="400"/>
      <c r="M3916" s="400"/>
      <c r="N3916" s="400">
        <f t="shared" si="212"/>
        <v>2.2493155099461335</v>
      </c>
    </row>
    <row r="3917" spans="1:14" s="360" customFormat="1" hidden="1" outlineLevel="2" x14ac:dyDescent="0.35">
      <c r="A3917" s="403" t="s">
        <v>7166</v>
      </c>
      <c r="B3917" s="397">
        <v>44343</v>
      </c>
      <c r="C3917" s="398" t="s">
        <v>4543</v>
      </c>
      <c r="D3917" s="399" t="s">
        <v>4544</v>
      </c>
      <c r="E3917" s="399" t="s">
        <v>7169</v>
      </c>
      <c r="F3917" s="400">
        <v>604504.5</v>
      </c>
      <c r="G3917" s="401" t="s">
        <v>3800</v>
      </c>
      <c r="H3917" s="402">
        <v>224.93155099461336</v>
      </c>
      <c r="I3917" s="402"/>
      <c r="J3917" s="400"/>
      <c r="K3917" s="400"/>
      <c r="L3917" s="400"/>
      <c r="M3917" s="400"/>
      <c r="N3917" s="400">
        <f t="shared" si="212"/>
        <v>224.93155099461336</v>
      </c>
    </row>
    <row r="3918" spans="1:14" s="360" customFormat="1" hidden="1" outlineLevel="2" x14ac:dyDescent="0.35">
      <c r="A3918" s="403" t="s">
        <v>7166</v>
      </c>
      <c r="B3918" s="397">
        <v>44343</v>
      </c>
      <c r="C3918" s="398" t="s">
        <v>4545</v>
      </c>
      <c r="D3918" s="399" t="s">
        <v>4546</v>
      </c>
      <c r="E3918" s="399" t="s">
        <v>4272</v>
      </c>
      <c r="F3918" s="400">
        <v>60450.450000000004</v>
      </c>
      <c r="G3918" s="401" t="s">
        <v>3800</v>
      </c>
      <c r="H3918" s="402">
        <v>22.493155099461337</v>
      </c>
      <c r="I3918" s="402"/>
      <c r="J3918" s="400"/>
      <c r="K3918" s="400"/>
      <c r="L3918" s="400"/>
      <c r="M3918" s="400"/>
      <c r="N3918" s="400">
        <f t="shared" si="212"/>
        <v>22.493155099461337</v>
      </c>
    </row>
    <row r="3919" spans="1:14" s="360" customFormat="1" hidden="1" outlineLevel="2" x14ac:dyDescent="0.35">
      <c r="A3919" s="403" t="s">
        <v>7166</v>
      </c>
      <c r="B3919" s="397">
        <v>44343</v>
      </c>
      <c r="C3919" s="398" t="s">
        <v>4547</v>
      </c>
      <c r="D3919" s="399" t="s">
        <v>4548</v>
      </c>
      <c r="E3919" s="399" t="s">
        <v>4042</v>
      </c>
      <c r="F3919" s="400">
        <v>6045.0450000000001</v>
      </c>
      <c r="G3919" s="401" t="s">
        <v>3800</v>
      </c>
      <c r="H3919" s="402">
        <v>2.2493155099461335</v>
      </c>
      <c r="I3919" s="402"/>
      <c r="J3919" s="400"/>
      <c r="K3919" s="400"/>
      <c r="L3919" s="400"/>
      <c r="M3919" s="400"/>
      <c r="N3919" s="400">
        <f t="shared" si="212"/>
        <v>2.2493155099461335</v>
      </c>
    </row>
    <row r="3920" spans="1:14" s="360" customFormat="1" hidden="1" outlineLevel="2" x14ac:dyDescent="0.35">
      <c r="A3920" s="403" t="s">
        <v>7166</v>
      </c>
      <c r="B3920" s="397">
        <v>44343</v>
      </c>
      <c r="C3920" s="398" t="s">
        <v>4543</v>
      </c>
      <c r="D3920" s="399" t="s">
        <v>4544</v>
      </c>
      <c r="E3920" s="399" t="s">
        <v>7170</v>
      </c>
      <c r="F3920" s="400">
        <v>604504.5</v>
      </c>
      <c r="G3920" s="401" t="s">
        <v>3800</v>
      </c>
      <c r="H3920" s="402">
        <v>224.93155099461336</v>
      </c>
      <c r="I3920" s="402"/>
      <c r="J3920" s="400"/>
      <c r="K3920" s="400"/>
      <c r="L3920" s="400"/>
      <c r="M3920" s="400"/>
      <c r="N3920" s="400">
        <f t="shared" si="212"/>
        <v>224.93155099461336</v>
      </c>
    </row>
    <row r="3921" spans="1:14" s="360" customFormat="1" hidden="1" outlineLevel="2" x14ac:dyDescent="0.35">
      <c r="A3921" s="403" t="s">
        <v>7166</v>
      </c>
      <c r="B3921" s="397">
        <v>44343</v>
      </c>
      <c r="C3921" s="398" t="s">
        <v>4545</v>
      </c>
      <c r="D3921" s="399" t="s">
        <v>4546</v>
      </c>
      <c r="E3921" s="399" t="s">
        <v>4272</v>
      </c>
      <c r="F3921" s="400">
        <v>60450.450000000004</v>
      </c>
      <c r="G3921" s="401" t="s">
        <v>3800</v>
      </c>
      <c r="H3921" s="402">
        <v>22.493155099461337</v>
      </c>
      <c r="I3921" s="402"/>
      <c r="J3921" s="400"/>
      <c r="K3921" s="400"/>
      <c r="L3921" s="400"/>
      <c r="M3921" s="400"/>
      <c r="N3921" s="400">
        <f t="shared" si="212"/>
        <v>22.493155099461337</v>
      </c>
    </row>
    <row r="3922" spans="1:14" s="360" customFormat="1" hidden="1" outlineLevel="2" x14ac:dyDescent="0.35">
      <c r="A3922" s="403" t="s">
        <v>7166</v>
      </c>
      <c r="B3922" s="397">
        <v>44343</v>
      </c>
      <c r="C3922" s="398" t="s">
        <v>4547</v>
      </c>
      <c r="D3922" s="399" t="s">
        <v>4548</v>
      </c>
      <c r="E3922" s="399" t="s">
        <v>4042</v>
      </c>
      <c r="F3922" s="400">
        <v>6045.0450000000001</v>
      </c>
      <c r="G3922" s="401" t="s">
        <v>3800</v>
      </c>
      <c r="H3922" s="402">
        <v>2.2493155099461335</v>
      </c>
      <c r="I3922" s="402"/>
      <c r="J3922" s="400"/>
      <c r="K3922" s="400"/>
      <c r="L3922" s="400"/>
      <c r="M3922" s="400"/>
      <c r="N3922" s="400">
        <f t="shared" si="212"/>
        <v>2.2493155099461335</v>
      </c>
    </row>
    <row r="3923" spans="1:14" s="360" customFormat="1" hidden="1" outlineLevel="2" x14ac:dyDescent="0.35">
      <c r="A3923" s="403" t="s">
        <v>7166</v>
      </c>
      <c r="B3923" s="397">
        <v>44343</v>
      </c>
      <c r="C3923" s="398" t="s">
        <v>4543</v>
      </c>
      <c r="D3923" s="399" t="s">
        <v>4544</v>
      </c>
      <c r="E3923" s="399" t="s">
        <v>7171</v>
      </c>
      <c r="F3923" s="400">
        <v>604504.5</v>
      </c>
      <c r="G3923" s="401" t="s">
        <v>3800</v>
      </c>
      <c r="H3923" s="402">
        <v>224.93155099461336</v>
      </c>
      <c r="I3923" s="402"/>
      <c r="J3923" s="400"/>
      <c r="K3923" s="400"/>
      <c r="L3923" s="400"/>
      <c r="M3923" s="400"/>
      <c r="N3923" s="400">
        <f t="shared" si="212"/>
        <v>224.93155099461336</v>
      </c>
    </row>
    <row r="3924" spans="1:14" s="360" customFormat="1" hidden="1" outlineLevel="2" x14ac:dyDescent="0.35">
      <c r="A3924" s="403" t="s">
        <v>7166</v>
      </c>
      <c r="B3924" s="397">
        <v>44343</v>
      </c>
      <c r="C3924" s="398" t="s">
        <v>4545</v>
      </c>
      <c r="D3924" s="399" t="s">
        <v>4546</v>
      </c>
      <c r="E3924" s="399" t="s">
        <v>4272</v>
      </c>
      <c r="F3924" s="400">
        <v>60450.450000000004</v>
      </c>
      <c r="G3924" s="401" t="s">
        <v>3800</v>
      </c>
      <c r="H3924" s="402">
        <v>22.493155099461337</v>
      </c>
      <c r="I3924" s="402"/>
      <c r="J3924" s="400"/>
      <c r="K3924" s="400"/>
      <c r="L3924" s="400"/>
      <c r="M3924" s="400"/>
      <c r="N3924" s="400">
        <f t="shared" si="212"/>
        <v>22.493155099461337</v>
      </c>
    </row>
    <row r="3925" spans="1:14" s="360" customFormat="1" hidden="1" outlineLevel="2" x14ac:dyDescent="0.35">
      <c r="A3925" s="403" t="s">
        <v>7166</v>
      </c>
      <c r="B3925" s="397">
        <v>44343</v>
      </c>
      <c r="C3925" s="398" t="s">
        <v>4547</v>
      </c>
      <c r="D3925" s="399" t="s">
        <v>4548</v>
      </c>
      <c r="E3925" s="399" t="s">
        <v>4042</v>
      </c>
      <c r="F3925" s="400">
        <v>6045.0450000000001</v>
      </c>
      <c r="G3925" s="401" t="s">
        <v>3800</v>
      </c>
      <c r="H3925" s="402">
        <v>2.2493155099461335</v>
      </c>
      <c r="I3925" s="402"/>
      <c r="J3925" s="400"/>
      <c r="K3925" s="400"/>
      <c r="L3925" s="400"/>
      <c r="M3925" s="400"/>
      <c r="N3925" s="400">
        <f t="shared" si="212"/>
        <v>2.2493155099461335</v>
      </c>
    </row>
    <row r="3926" spans="1:14" s="360" customFormat="1" hidden="1" outlineLevel="2" collapsed="1" x14ac:dyDescent="0.35">
      <c r="A3926" s="403" t="s">
        <v>7166</v>
      </c>
      <c r="B3926" s="397">
        <v>44343</v>
      </c>
      <c r="C3926" s="398" t="s">
        <v>4543</v>
      </c>
      <c r="D3926" s="399" t="s">
        <v>4544</v>
      </c>
      <c r="E3926" s="399" t="s">
        <v>7172</v>
      </c>
      <c r="F3926" s="400">
        <v>604504.5</v>
      </c>
      <c r="G3926" s="401" t="s">
        <v>3800</v>
      </c>
      <c r="H3926" s="402">
        <v>224.93155099461336</v>
      </c>
      <c r="I3926" s="402"/>
      <c r="J3926" s="400"/>
      <c r="K3926" s="400"/>
      <c r="L3926" s="400"/>
      <c r="M3926" s="400"/>
      <c r="N3926" s="400">
        <f t="shared" si="212"/>
        <v>224.93155099461336</v>
      </c>
    </row>
    <row r="3927" spans="1:14" s="360" customFormat="1" hidden="1" outlineLevel="2" x14ac:dyDescent="0.35">
      <c r="A3927" s="403" t="s">
        <v>7166</v>
      </c>
      <c r="B3927" s="397">
        <v>44343</v>
      </c>
      <c r="C3927" s="398" t="s">
        <v>4545</v>
      </c>
      <c r="D3927" s="399" t="s">
        <v>4546</v>
      </c>
      <c r="E3927" s="399" t="s">
        <v>4272</v>
      </c>
      <c r="F3927" s="400">
        <v>60450.450000000004</v>
      </c>
      <c r="G3927" s="401" t="s">
        <v>3800</v>
      </c>
      <c r="H3927" s="402">
        <v>22.493155099461337</v>
      </c>
      <c r="I3927" s="402"/>
      <c r="J3927" s="400"/>
      <c r="K3927" s="400"/>
      <c r="L3927" s="400"/>
      <c r="M3927" s="400"/>
      <c r="N3927" s="400">
        <f t="shared" si="212"/>
        <v>22.493155099461337</v>
      </c>
    </row>
    <row r="3928" spans="1:14" s="360" customFormat="1" hidden="1" outlineLevel="2" x14ac:dyDescent="0.35">
      <c r="A3928" s="403" t="s">
        <v>7166</v>
      </c>
      <c r="B3928" s="397">
        <v>44343</v>
      </c>
      <c r="C3928" s="398" t="s">
        <v>4547</v>
      </c>
      <c r="D3928" s="399" t="s">
        <v>4548</v>
      </c>
      <c r="E3928" s="399" t="s">
        <v>4042</v>
      </c>
      <c r="F3928" s="400">
        <v>6045.0450000000001</v>
      </c>
      <c r="G3928" s="401" t="s">
        <v>3800</v>
      </c>
      <c r="H3928" s="402">
        <v>2.2493155099461335</v>
      </c>
      <c r="I3928" s="402"/>
      <c r="J3928" s="400"/>
      <c r="K3928" s="400"/>
      <c r="L3928" s="400"/>
      <c r="M3928" s="400"/>
      <c r="N3928" s="400">
        <f t="shared" si="212"/>
        <v>2.2493155099461335</v>
      </c>
    </row>
    <row r="3929" spans="1:14" s="360" customFormat="1" hidden="1" outlineLevel="2" x14ac:dyDescent="0.35">
      <c r="A3929" s="403" t="s">
        <v>7166</v>
      </c>
      <c r="B3929" s="397">
        <v>44343</v>
      </c>
      <c r="C3929" s="398" t="s">
        <v>4543</v>
      </c>
      <c r="D3929" s="399" t="s">
        <v>4544</v>
      </c>
      <c r="E3929" s="399" t="s">
        <v>7173</v>
      </c>
      <c r="F3929" s="400">
        <v>604504.5</v>
      </c>
      <c r="G3929" s="401" t="s">
        <v>3800</v>
      </c>
      <c r="H3929" s="402">
        <v>224.93155099461336</v>
      </c>
      <c r="I3929" s="402"/>
      <c r="J3929" s="400"/>
      <c r="K3929" s="400"/>
      <c r="L3929" s="400"/>
      <c r="M3929" s="400"/>
      <c r="N3929" s="400">
        <f t="shared" si="212"/>
        <v>224.93155099461336</v>
      </c>
    </row>
    <row r="3930" spans="1:14" s="360" customFormat="1" hidden="1" outlineLevel="2" x14ac:dyDescent="0.35">
      <c r="A3930" s="403" t="s">
        <v>7166</v>
      </c>
      <c r="B3930" s="397">
        <v>44343</v>
      </c>
      <c r="C3930" s="398" t="s">
        <v>4545</v>
      </c>
      <c r="D3930" s="399" t="s">
        <v>4546</v>
      </c>
      <c r="E3930" s="399" t="s">
        <v>4272</v>
      </c>
      <c r="F3930" s="400">
        <v>60450.450000000004</v>
      </c>
      <c r="G3930" s="401" t="s">
        <v>3800</v>
      </c>
      <c r="H3930" s="402">
        <v>22.493155099461337</v>
      </c>
      <c r="I3930" s="402"/>
      <c r="J3930" s="400"/>
      <c r="K3930" s="400"/>
      <c r="L3930" s="400"/>
      <c r="M3930" s="400"/>
      <c r="N3930" s="400">
        <f t="shared" si="212"/>
        <v>22.493155099461337</v>
      </c>
    </row>
    <row r="3931" spans="1:14" s="360" customFormat="1" hidden="1" outlineLevel="2" x14ac:dyDescent="0.35">
      <c r="A3931" s="403" t="s">
        <v>7166</v>
      </c>
      <c r="B3931" s="397">
        <v>44343</v>
      </c>
      <c r="C3931" s="398" t="s">
        <v>4547</v>
      </c>
      <c r="D3931" s="399" t="s">
        <v>4548</v>
      </c>
      <c r="E3931" s="399" t="s">
        <v>4042</v>
      </c>
      <c r="F3931" s="400">
        <v>6045.0450000000001</v>
      </c>
      <c r="G3931" s="401" t="s">
        <v>3800</v>
      </c>
      <c r="H3931" s="402">
        <v>2.2493155099461335</v>
      </c>
      <c r="I3931" s="402"/>
      <c r="J3931" s="400"/>
      <c r="K3931" s="400"/>
      <c r="L3931" s="400"/>
      <c r="M3931" s="400"/>
      <c r="N3931" s="400">
        <f t="shared" si="212"/>
        <v>2.2493155099461335</v>
      </c>
    </row>
    <row r="3932" spans="1:14" s="360" customFormat="1" hidden="1" outlineLevel="2" x14ac:dyDescent="0.35">
      <c r="A3932" s="403" t="s">
        <v>7166</v>
      </c>
      <c r="B3932" s="397">
        <v>44343</v>
      </c>
      <c r="C3932" s="398" t="s">
        <v>4543</v>
      </c>
      <c r="D3932" s="399" t="s">
        <v>4544</v>
      </c>
      <c r="E3932" s="399" t="s">
        <v>7174</v>
      </c>
      <c r="F3932" s="400">
        <v>604504.5</v>
      </c>
      <c r="G3932" s="401" t="s">
        <v>3800</v>
      </c>
      <c r="H3932" s="402">
        <v>224.93155099461336</v>
      </c>
      <c r="I3932" s="402"/>
      <c r="J3932" s="400"/>
      <c r="K3932" s="400"/>
      <c r="L3932" s="400"/>
      <c r="M3932" s="400"/>
      <c r="N3932" s="400">
        <f t="shared" si="212"/>
        <v>224.93155099461336</v>
      </c>
    </row>
    <row r="3933" spans="1:14" s="360" customFormat="1" hidden="1" outlineLevel="2" x14ac:dyDescent="0.35">
      <c r="A3933" s="403" t="s">
        <v>7166</v>
      </c>
      <c r="B3933" s="397">
        <v>44343</v>
      </c>
      <c r="C3933" s="398" t="s">
        <v>4545</v>
      </c>
      <c r="D3933" s="399" t="s">
        <v>4546</v>
      </c>
      <c r="E3933" s="399" t="s">
        <v>4272</v>
      </c>
      <c r="F3933" s="400">
        <v>60450.450000000004</v>
      </c>
      <c r="G3933" s="401" t="s">
        <v>3800</v>
      </c>
      <c r="H3933" s="402">
        <v>22.493155099461337</v>
      </c>
      <c r="I3933" s="402"/>
      <c r="J3933" s="400"/>
      <c r="K3933" s="400"/>
      <c r="L3933" s="400"/>
      <c r="M3933" s="400"/>
      <c r="N3933" s="400">
        <f t="shared" si="212"/>
        <v>22.493155099461337</v>
      </c>
    </row>
    <row r="3934" spans="1:14" s="360" customFormat="1" hidden="1" outlineLevel="2" x14ac:dyDescent="0.35">
      <c r="A3934" s="403" t="s">
        <v>7166</v>
      </c>
      <c r="B3934" s="397">
        <v>44343</v>
      </c>
      <c r="C3934" s="398" t="s">
        <v>4547</v>
      </c>
      <c r="D3934" s="399" t="s">
        <v>4548</v>
      </c>
      <c r="E3934" s="399" t="s">
        <v>4042</v>
      </c>
      <c r="F3934" s="400">
        <v>6045.0450000000001</v>
      </c>
      <c r="G3934" s="401" t="s">
        <v>3800</v>
      </c>
      <c r="H3934" s="402">
        <v>2.2493155099461335</v>
      </c>
      <c r="I3934" s="402"/>
      <c r="J3934" s="400"/>
      <c r="K3934" s="400"/>
      <c r="L3934" s="400"/>
      <c r="M3934" s="400"/>
      <c r="N3934" s="400">
        <f t="shared" si="212"/>
        <v>2.2493155099461335</v>
      </c>
    </row>
    <row r="3935" spans="1:14" s="360" customFormat="1" hidden="1" outlineLevel="2" x14ac:dyDescent="0.35">
      <c r="A3935" s="403" t="s">
        <v>7166</v>
      </c>
      <c r="B3935" s="397">
        <v>44376</v>
      </c>
      <c r="C3935" s="398" t="s">
        <v>4549</v>
      </c>
      <c r="D3935" s="399" t="s">
        <v>4550</v>
      </c>
      <c r="E3935" s="399" t="s">
        <v>7167</v>
      </c>
      <c r="F3935" s="400">
        <v>604504.5</v>
      </c>
      <c r="G3935" s="401" t="s">
        <v>3800</v>
      </c>
      <c r="H3935" s="402">
        <v>224.93155099461336</v>
      </c>
      <c r="I3935" s="402"/>
      <c r="J3935" s="400"/>
      <c r="K3935" s="400"/>
      <c r="L3935" s="400"/>
      <c r="M3935" s="400"/>
      <c r="N3935" s="400">
        <f t="shared" si="212"/>
        <v>224.93155099461336</v>
      </c>
    </row>
    <row r="3936" spans="1:14" s="360" customFormat="1" hidden="1" outlineLevel="2" x14ac:dyDescent="0.35">
      <c r="A3936" s="403" t="s">
        <v>7166</v>
      </c>
      <c r="B3936" s="397">
        <v>44376</v>
      </c>
      <c r="C3936" s="398" t="s">
        <v>4551</v>
      </c>
      <c r="D3936" s="399" t="s">
        <v>4552</v>
      </c>
      <c r="E3936" s="399" t="s">
        <v>4272</v>
      </c>
      <c r="F3936" s="400">
        <v>60450.450000000004</v>
      </c>
      <c r="G3936" s="401" t="s">
        <v>3800</v>
      </c>
      <c r="H3936" s="402">
        <v>22.493155099461337</v>
      </c>
      <c r="I3936" s="402"/>
      <c r="J3936" s="400"/>
      <c r="K3936" s="400"/>
      <c r="L3936" s="400"/>
      <c r="M3936" s="400"/>
      <c r="N3936" s="400">
        <f t="shared" si="212"/>
        <v>22.493155099461337</v>
      </c>
    </row>
    <row r="3937" spans="1:14" s="360" customFormat="1" hidden="1" outlineLevel="2" x14ac:dyDescent="0.35">
      <c r="A3937" s="403" t="s">
        <v>7166</v>
      </c>
      <c r="B3937" s="397">
        <v>44376</v>
      </c>
      <c r="C3937" s="398" t="s">
        <v>4553</v>
      </c>
      <c r="D3937" s="399" t="s">
        <v>4554</v>
      </c>
      <c r="E3937" s="399" t="s">
        <v>4042</v>
      </c>
      <c r="F3937" s="400">
        <v>6045.0450000000001</v>
      </c>
      <c r="G3937" s="401" t="s">
        <v>3800</v>
      </c>
      <c r="H3937" s="402">
        <v>2.2493155099461335</v>
      </c>
      <c r="I3937" s="402"/>
      <c r="J3937" s="400"/>
      <c r="K3937" s="400"/>
      <c r="L3937" s="400"/>
      <c r="M3937" s="400"/>
      <c r="N3937" s="400">
        <f t="shared" si="212"/>
        <v>2.2493155099461335</v>
      </c>
    </row>
    <row r="3938" spans="1:14" s="360" customFormat="1" hidden="1" outlineLevel="2" x14ac:dyDescent="0.35">
      <c r="A3938" s="403" t="s">
        <v>7166</v>
      </c>
      <c r="B3938" s="397">
        <v>44376</v>
      </c>
      <c r="C3938" s="398" t="s">
        <v>4549</v>
      </c>
      <c r="D3938" s="399" t="s">
        <v>4550</v>
      </c>
      <c r="E3938" s="399" t="s">
        <v>7168</v>
      </c>
      <c r="F3938" s="400">
        <v>604504.5</v>
      </c>
      <c r="G3938" s="401" t="s">
        <v>3800</v>
      </c>
      <c r="H3938" s="402">
        <v>224.93155099461336</v>
      </c>
      <c r="I3938" s="402"/>
      <c r="J3938" s="400"/>
      <c r="K3938" s="400"/>
      <c r="L3938" s="400"/>
      <c r="M3938" s="400"/>
      <c r="N3938" s="400">
        <f t="shared" si="212"/>
        <v>224.93155099461336</v>
      </c>
    </row>
    <row r="3939" spans="1:14" s="360" customFormat="1" hidden="1" outlineLevel="2" collapsed="1" x14ac:dyDescent="0.35">
      <c r="A3939" s="403" t="s">
        <v>7166</v>
      </c>
      <c r="B3939" s="397">
        <v>44376</v>
      </c>
      <c r="C3939" s="398" t="s">
        <v>4551</v>
      </c>
      <c r="D3939" s="399" t="s">
        <v>4552</v>
      </c>
      <c r="E3939" s="399" t="s">
        <v>4272</v>
      </c>
      <c r="F3939" s="400">
        <v>60450.450000000004</v>
      </c>
      <c r="G3939" s="401" t="s">
        <v>3800</v>
      </c>
      <c r="H3939" s="402">
        <v>22.493155099461337</v>
      </c>
      <c r="I3939" s="402"/>
      <c r="J3939" s="400"/>
      <c r="K3939" s="400"/>
      <c r="L3939" s="400"/>
      <c r="M3939" s="400"/>
      <c r="N3939" s="400">
        <f t="shared" si="212"/>
        <v>22.493155099461337</v>
      </c>
    </row>
    <row r="3940" spans="1:14" s="360" customFormat="1" hidden="1" outlineLevel="2" x14ac:dyDescent="0.35">
      <c r="A3940" s="403" t="s">
        <v>7166</v>
      </c>
      <c r="B3940" s="397">
        <v>44376</v>
      </c>
      <c r="C3940" s="398" t="s">
        <v>4553</v>
      </c>
      <c r="D3940" s="399" t="s">
        <v>4554</v>
      </c>
      <c r="E3940" s="399" t="s">
        <v>4042</v>
      </c>
      <c r="F3940" s="400">
        <v>6045.0450000000001</v>
      </c>
      <c r="G3940" s="401" t="s">
        <v>3800</v>
      </c>
      <c r="H3940" s="402">
        <v>2.2493155099461335</v>
      </c>
      <c r="I3940" s="402"/>
      <c r="J3940" s="400"/>
      <c r="K3940" s="400"/>
      <c r="L3940" s="400"/>
      <c r="M3940" s="400"/>
      <c r="N3940" s="400">
        <f t="shared" si="212"/>
        <v>2.2493155099461335</v>
      </c>
    </row>
    <row r="3941" spans="1:14" s="360" customFormat="1" hidden="1" outlineLevel="2" x14ac:dyDescent="0.35">
      <c r="A3941" s="403" t="s">
        <v>7166</v>
      </c>
      <c r="B3941" s="397">
        <v>44376</v>
      </c>
      <c r="C3941" s="398" t="s">
        <v>4549</v>
      </c>
      <c r="D3941" s="399" t="s">
        <v>4550</v>
      </c>
      <c r="E3941" s="399" t="s">
        <v>7169</v>
      </c>
      <c r="F3941" s="400">
        <v>604504.5</v>
      </c>
      <c r="G3941" s="401" t="s">
        <v>3800</v>
      </c>
      <c r="H3941" s="402">
        <v>224.93155099461336</v>
      </c>
      <c r="I3941" s="402"/>
      <c r="J3941" s="400"/>
      <c r="K3941" s="400"/>
      <c r="L3941" s="400"/>
      <c r="M3941" s="400"/>
      <c r="N3941" s="400">
        <f t="shared" si="212"/>
        <v>224.93155099461336</v>
      </c>
    </row>
    <row r="3942" spans="1:14" s="360" customFormat="1" hidden="1" outlineLevel="2" x14ac:dyDescent="0.35">
      <c r="A3942" s="403" t="s">
        <v>7166</v>
      </c>
      <c r="B3942" s="397">
        <v>44376</v>
      </c>
      <c r="C3942" s="398" t="s">
        <v>4551</v>
      </c>
      <c r="D3942" s="399" t="s">
        <v>4552</v>
      </c>
      <c r="E3942" s="399" t="s">
        <v>4272</v>
      </c>
      <c r="F3942" s="400">
        <v>60450.450000000004</v>
      </c>
      <c r="G3942" s="401" t="s">
        <v>3800</v>
      </c>
      <c r="H3942" s="402">
        <v>22.493155099461337</v>
      </c>
      <c r="I3942" s="402"/>
      <c r="J3942" s="400"/>
      <c r="K3942" s="400"/>
      <c r="L3942" s="400"/>
      <c r="M3942" s="400"/>
      <c r="N3942" s="400">
        <f t="shared" si="212"/>
        <v>22.493155099461337</v>
      </c>
    </row>
    <row r="3943" spans="1:14" s="360" customFormat="1" hidden="1" outlineLevel="2" x14ac:dyDescent="0.35">
      <c r="A3943" s="403" t="s">
        <v>7166</v>
      </c>
      <c r="B3943" s="397">
        <v>44376</v>
      </c>
      <c r="C3943" s="398" t="s">
        <v>4553</v>
      </c>
      <c r="D3943" s="399" t="s">
        <v>4554</v>
      </c>
      <c r="E3943" s="399" t="s">
        <v>4042</v>
      </c>
      <c r="F3943" s="400">
        <v>6045.0450000000001</v>
      </c>
      <c r="G3943" s="401" t="s">
        <v>3800</v>
      </c>
      <c r="H3943" s="402">
        <v>2.2493155099461335</v>
      </c>
      <c r="I3943" s="402"/>
      <c r="J3943" s="400"/>
      <c r="K3943" s="400"/>
      <c r="L3943" s="400"/>
      <c r="M3943" s="400"/>
      <c r="N3943" s="400">
        <f t="shared" si="212"/>
        <v>2.2493155099461335</v>
      </c>
    </row>
    <row r="3944" spans="1:14" s="360" customFormat="1" hidden="1" outlineLevel="2" x14ac:dyDescent="0.35">
      <c r="A3944" s="403" t="s">
        <v>7166</v>
      </c>
      <c r="B3944" s="397">
        <v>44376</v>
      </c>
      <c r="C3944" s="398" t="s">
        <v>4549</v>
      </c>
      <c r="D3944" s="399" t="s">
        <v>4550</v>
      </c>
      <c r="E3944" s="399" t="s">
        <v>7170</v>
      </c>
      <c r="F3944" s="400">
        <v>604504.5</v>
      </c>
      <c r="G3944" s="401" t="s">
        <v>3800</v>
      </c>
      <c r="H3944" s="402">
        <v>224.93155099461336</v>
      </c>
      <c r="I3944" s="402"/>
      <c r="J3944" s="400"/>
      <c r="K3944" s="400"/>
      <c r="L3944" s="400"/>
      <c r="M3944" s="400"/>
      <c r="N3944" s="400">
        <f t="shared" si="212"/>
        <v>224.93155099461336</v>
      </c>
    </row>
    <row r="3945" spans="1:14" s="360" customFormat="1" hidden="1" outlineLevel="2" x14ac:dyDescent="0.35">
      <c r="A3945" s="403" t="s">
        <v>7166</v>
      </c>
      <c r="B3945" s="397">
        <v>44376</v>
      </c>
      <c r="C3945" s="398" t="s">
        <v>4551</v>
      </c>
      <c r="D3945" s="399" t="s">
        <v>4552</v>
      </c>
      <c r="E3945" s="399" t="s">
        <v>4272</v>
      </c>
      <c r="F3945" s="400">
        <v>60450.450000000004</v>
      </c>
      <c r="G3945" s="401" t="s">
        <v>3800</v>
      </c>
      <c r="H3945" s="402">
        <v>22.493155099461337</v>
      </c>
      <c r="I3945" s="402"/>
      <c r="J3945" s="400"/>
      <c r="K3945" s="400"/>
      <c r="L3945" s="400"/>
      <c r="M3945" s="400"/>
      <c r="N3945" s="400">
        <f t="shared" si="212"/>
        <v>22.493155099461337</v>
      </c>
    </row>
    <row r="3946" spans="1:14" s="360" customFormat="1" hidden="1" outlineLevel="2" x14ac:dyDescent="0.35">
      <c r="A3946" s="403" t="s">
        <v>7166</v>
      </c>
      <c r="B3946" s="397">
        <v>44376</v>
      </c>
      <c r="C3946" s="398" t="s">
        <v>4553</v>
      </c>
      <c r="D3946" s="399" t="s">
        <v>4554</v>
      </c>
      <c r="E3946" s="399" t="s">
        <v>4042</v>
      </c>
      <c r="F3946" s="400">
        <v>6045.0450000000001</v>
      </c>
      <c r="G3946" s="401" t="s">
        <v>3800</v>
      </c>
      <c r="H3946" s="402">
        <v>2.2493155099461335</v>
      </c>
      <c r="I3946" s="402"/>
      <c r="J3946" s="400"/>
      <c r="K3946" s="400"/>
      <c r="L3946" s="400"/>
      <c r="M3946" s="400"/>
      <c r="N3946" s="400">
        <f t="shared" si="212"/>
        <v>2.2493155099461335</v>
      </c>
    </row>
    <row r="3947" spans="1:14" s="360" customFormat="1" hidden="1" outlineLevel="2" x14ac:dyDescent="0.35">
      <c r="A3947" s="403" t="s">
        <v>7166</v>
      </c>
      <c r="B3947" s="397">
        <v>44376</v>
      </c>
      <c r="C3947" s="398" t="s">
        <v>4549</v>
      </c>
      <c r="D3947" s="399" t="s">
        <v>4550</v>
      </c>
      <c r="E3947" s="399" t="s">
        <v>7171</v>
      </c>
      <c r="F3947" s="400">
        <v>604504.5</v>
      </c>
      <c r="G3947" s="401" t="s">
        <v>3800</v>
      </c>
      <c r="H3947" s="402">
        <v>224.93155099461336</v>
      </c>
      <c r="I3947" s="402"/>
      <c r="J3947" s="400"/>
      <c r="K3947" s="400"/>
      <c r="L3947" s="400"/>
      <c r="M3947" s="400"/>
      <c r="N3947" s="400">
        <f t="shared" si="212"/>
        <v>224.93155099461336</v>
      </c>
    </row>
    <row r="3948" spans="1:14" s="360" customFormat="1" hidden="1" outlineLevel="2" x14ac:dyDescent="0.35">
      <c r="A3948" s="403" t="s">
        <v>7166</v>
      </c>
      <c r="B3948" s="397">
        <v>44376</v>
      </c>
      <c r="C3948" s="398" t="s">
        <v>4551</v>
      </c>
      <c r="D3948" s="399" t="s">
        <v>4552</v>
      </c>
      <c r="E3948" s="399" t="s">
        <v>4272</v>
      </c>
      <c r="F3948" s="400">
        <v>60450.450000000004</v>
      </c>
      <c r="G3948" s="401" t="s">
        <v>3800</v>
      </c>
      <c r="H3948" s="402">
        <v>22.493155099461337</v>
      </c>
      <c r="I3948" s="402"/>
      <c r="J3948" s="400"/>
      <c r="K3948" s="400"/>
      <c r="L3948" s="400"/>
      <c r="M3948" s="400"/>
      <c r="N3948" s="400">
        <f t="shared" si="212"/>
        <v>22.493155099461337</v>
      </c>
    </row>
    <row r="3949" spans="1:14" s="360" customFormat="1" hidden="1" outlineLevel="2" x14ac:dyDescent="0.35">
      <c r="A3949" s="403" t="s">
        <v>7166</v>
      </c>
      <c r="B3949" s="397">
        <v>44376</v>
      </c>
      <c r="C3949" s="398" t="s">
        <v>4553</v>
      </c>
      <c r="D3949" s="399" t="s">
        <v>4554</v>
      </c>
      <c r="E3949" s="399" t="s">
        <v>4042</v>
      </c>
      <c r="F3949" s="400">
        <v>6045.0450000000001</v>
      </c>
      <c r="G3949" s="401" t="s">
        <v>3800</v>
      </c>
      <c r="H3949" s="402">
        <v>2.2493155099461335</v>
      </c>
      <c r="I3949" s="402"/>
      <c r="J3949" s="400"/>
      <c r="K3949" s="400"/>
      <c r="L3949" s="400"/>
      <c r="M3949" s="400"/>
      <c r="N3949" s="400">
        <f t="shared" si="212"/>
        <v>2.2493155099461335</v>
      </c>
    </row>
    <row r="3950" spans="1:14" s="360" customFormat="1" hidden="1" outlineLevel="2" x14ac:dyDescent="0.35">
      <c r="A3950" s="403" t="s">
        <v>7166</v>
      </c>
      <c r="B3950" s="397">
        <v>44376</v>
      </c>
      <c r="C3950" s="398" t="s">
        <v>4549</v>
      </c>
      <c r="D3950" s="399" t="s">
        <v>4550</v>
      </c>
      <c r="E3950" s="399" t="s">
        <v>7172</v>
      </c>
      <c r="F3950" s="400">
        <v>604504.5</v>
      </c>
      <c r="G3950" s="401" t="s">
        <v>3800</v>
      </c>
      <c r="H3950" s="402">
        <v>224.93155099461336</v>
      </c>
      <c r="I3950" s="402"/>
      <c r="J3950" s="400"/>
      <c r="K3950" s="400"/>
      <c r="L3950" s="400"/>
      <c r="M3950" s="400"/>
      <c r="N3950" s="400">
        <f t="shared" si="212"/>
        <v>224.93155099461336</v>
      </c>
    </row>
    <row r="3951" spans="1:14" s="360" customFormat="1" hidden="1" outlineLevel="2" x14ac:dyDescent="0.35">
      <c r="A3951" s="403" t="s">
        <v>7166</v>
      </c>
      <c r="B3951" s="397">
        <v>44376</v>
      </c>
      <c r="C3951" s="398" t="s">
        <v>4551</v>
      </c>
      <c r="D3951" s="399" t="s">
        <v>4552</v>
      </c>
      <c r="E3951" s="399" t="s">
        <v>4272</v>
      </c>
      <c r="F3951" s="400">
        <v>60450.450000000004</v>
      </c>
      <c r="G3951" s="401" t="s">
        <v>3800</v>
      </c>
      <c r="H3951" s="402">
        <v>22.493155099461337</v>
      </c>
      <c r="I3951" s="402"/>
      <c r="J3951" s="400"/>
      <c r="K3951" s="400"/>
      <c r="L3951" s="400"/>
      <c r="M3951" s="400"/>
      <c r="N3951" s="400">
        <f t="shared" si="212"/>
        <v>22.493155099461337</v>
      </c>
    </row>
    <row r="3952" spans="1:14" s="360" customFormat="1" hidden="1" outlineLevel="2" x14ac:dyDescent="0.35">
      <c r="A3952" s="403" t="s">
        <v>7166</v>
      </c>
      <c r="B3952" s="397">
        <v>44376</v>
      </c>
      <c r="C3952" s="398" t="s">
        <v>4553</v>
      </c>
      <c r="D3952" s="399" t="s">
        <v>4554</v>
      </c>
      <c r="E3952" s="399" t="s">
        <v>4042</v>
      </c>
      <c r="F3952" s="400">
        <v>6045.0450000000001</v>
      </c>
      <c r="G3952" s="401" t="s">
        <v>3800</v>
      </c>
      <c r="H3952" s="402">
        <v>2.2493155099461335</v>
      </c>
      <c r="I3952" s="402"/>
      <c r="J3952" s="400"/>
      <c r="K3952" s="400"/>
      <c r="L3952" s="400"/>
      <c r="M3952" s="400"/>
      <c r="N3952" s="400">
        <f t="shared" si="212"/>
        <v>2.2493155099461335</v>
      </c>
    </row>
    <row r="3953" spans="1:14" s="360" customFormat="1" hidden="1" outlineLevel="2" x14ac:dyDescent="0.35">
      <c r="A3953" s="403" t="s">
        <v>7166</v>
      </c>
      <c r="B3953" s="397">
        <v>44376</v>
      </c>
      <c r="C3953" s="398" t="s">
        <v>4549</v>
      </c>
      <c r="D3953" s="399" t="s">
        <v>4550</v>
      </c>
      <c r="E3953" s="399" t="s">
        <v>7173</v>
      </c>
      <c r="F3953" s="400">
        <v>604504.5</v>
      </c>
      <c r="G3953" s="401" t="s">
        <v>3800</v>
      </c>
      <c r="H3953" s="402">
        <v>224.93155099461336</v>
      </c>
      <c r="I3953" s="402"/>
      <c r="J3953" s="400"/>
      <c r="K3953" s="400"/>
      <c r="L3953" s="400"/>
      <c r="M3953" s="400"/>
      <c r="N3953" s="400">
        <f t="shared" si="212"/>
        <v>224.93155099461336</v>
      </c>
    </row>
    <row r="3954" spans="1:14" s="360" customFormat="1" hidden="1" outlineLevel="2" x14ac:dyDescent="0.35">
      <c r="A3954" s="403" t="s">
        <v>7166</v>
      </c>
      <c r="B3954" s="397">
        <v>44376</v>
      </c>
      <c r="C3954" s="398" t="s">
        <v>4551</v>
      </c>
      <c r="D3954" s="399" t="s">
        <v>4552</v>
      </c>
      <c r="E3954" s="399" t="s">
        <v>4272</v>
      </c>
      <c r="F3954" s="400">
        <v>60450.450000000004</v>
      </c>
      <c r="G3954" s="401" t="s">
        <v>3800</v>
      </c>
      <c r="H3954" s="402">
        <v>22.493155099461337</v>
      </c>
      <c r="I3954" s="402"/>
      <c r="J3954" s="400"/>
      <c r="K3954" s="400"/>
      <c r="L3954" s="400"/>
      <c r="M3954" s="400"/>
      <c r="N3954" s="400">
        <f t="shared" si="212"/>
        <v>22.493155099461337</v>
      </c>
    </row>
    <row r="3955" spans="1:14" s="360" customFormat="1" hidden="1" outlineLevel="2" x14ac:dyDescent="0.35">
      <c r="A3955" s="403" t="s">
        <v>7166</v>
      </c>
      <c r="B3955" s="397">
        <v>44376</v>
      </c>
      <c r="C3955" s="398" t="s">
        <v>4553</v>
      </c>
      <c r="D3955" s="399" t="s">
        <v>4554</v>
      </c>
      <c r="E3955" s="399" t="s">
        <v>4042</v>
      </c>
      <c r="F3955" s="400">
        <v>6045.0450000000001</v>
      </c>
      <c r="G3955" s="401" t="s">
        <v>3800</v>
      </c>
      <c r="H3955" s="402">
        <v>2.2493155099461335</v>
      </c>
      <c r="I3955" s="402"/>
      <c r="J3955" s="400"/>
      <c r="K3955" s="400"/>
      <c r="L3955" s="400"/>
      <c r="M3955" s="400"/>
      <c r="N3955" s="400">
        <f t="shared" si="212"/>
        <v>2.2493155099461335</v>
      </c>
    </row>
    <row r="3956" spans="1:14" s="360" customFormat="1" hidden="1" outlineLevel="2" x14ac:dyDescent="0.35">
      <c r="A3956" s="403" t="s">
        <v>7166</v>
      </c>
      <c r="B3956" s="397">
        <v>44376</v>
      </c>
      <c r="C3956" s="398" t="s">
        <v>4549</v>
      </c>
      <c r="D3956" s="399" t="s">
        <v>4550</v>
      </c>
      <c r="E3956" s="399" t="s">
        <v>7174</v>
      </c>
      <c r="F3956" s="400">
        <v>604504.5</v>
      </c>
      <c r="G3956" s="401" t="s">
        <v>3800</v>
      </c>
      <c r="H3956" s="402">
        <v>224.93155099461336</v>
      </c>
      <c r="I3956" s="402"/>
      <c r="J3956" s="400"/>
      <c r="K3956" s="400"/>
      <c r="L3956" s="400"/>
      <c r="M3956" s="400"/>
      <c r="N3956" s="400">
        <f t="shared" si="212"/>
        <v>224.93155099461336</v>
      </c>
    </row>
    <row r="3957" spans="1:14" s="360" customFormat="1" hidden="1" outlineLevel="2" x14ac:dyDescent="0.35">
      <c r="A3957" s="403" t="s">
        <v>7166</v>
      </c>
      <c r="B3957" s="397">
        <v>44376</v>
      </c>
      <c r="C3957" s="398" t="s">
        <v>4551</v>
      </c>
      <c r="D3957" s="399" t="s">
        <v>4552</v>
      </c>
      <c r="E3957" s="399" t="s">
        <v>4272</v>
      </c>
      <c r="F3957" s="400">
        <v>60450.450000000004</v>
      </c>
      <c r="G3957" s="401" t="s">
        <v>3800</v>
      </c>
      <c r="H3957" s="402">
        <v>22.493155099461337</v>
      </c>
      <c r="I3957" s="402"/>
      <c r="J3957" s="400"/>
      <c r="K3957" s="400"/>
      <c r="L3957" s="400"/>
      <c r="M3957" s="400"/>
      <c r="N3957" s="400">
        <f t="shared" si="212"/>
        <v>22.493155099461337</v>
      </c>
    </row>
    <row r="3958" spans="1:14" s="360" customFormat="1" hidden="1" outlineLevel="2" x14ac:dyDescent="0.35">
      <c r="A3958" s="403" t="s">
        <v>7166</v>
      </c>
      <c r="B3958" s="397">
        <v>44376</v>
      </c>
      <c r="C3958" s="398" t="s">
        <v>4553</v>
      </c>
      <c r="D3958" s="399" t="s">
        <v>4554</v>
      </c>
      <c r="E3958" s="399" t="s">
        <v>4042</v>
      </c>
      <c r="F3958" s="400">
        <v>6045.0450000000001</v>
      </c>
      <c r="G3958" s="401" t="s">
        <v>3800</v>
      </c>
      <c r="H3958" s="402">
        <v>2.2493155099461335</v>
      </c>
      <c r="I3958" s="402"/>
      <c r="J3958" s="400"/>
      <c r="K3958" s="400"/>
      <c r="L3958" s="400"/>
      <c r="M3958" s="400"/>
      <c r="N3958" s="400">
        <f t="shared" si="212"/>
        <v>2.2493155099461335</v>
      </c>
    </row>
    <row r="3959" spans="1:14" s="360" customFormat="1" hidden="1" outlineLevel="2" x14ac:dyDescent="0.35">
      <c r="A3959" s="403" t="s">
        <v>7166</v>
      </c>
      <c r="B3959" s="397">
        <v>44407</v>
      </c>
      <c r="C3959" s="398" t="s">
        <v>4555</v>
      </c>
      <c r="D3959" s="399" t="s">
        <v>4556</v>
      </c>
      <c r="E3959" s="399" t="s">
        <v>7168</v>
      </c>
      <c r="F3959" s="400">
        <v>604504.5</v>
      </c>
      <c r="G3959" s="401" t="s">
        <v>3800</v>
      </c>
      <c r="H3959" s="402">
        <v>224.93155099461336</v>
      </c>
      <c r="I3959" s="402"/>
      <c r="J3959" s="400"/>
      <c r="K3959" s="400"/>
      <c r="L3959" s="400"/>
      <c r="M3959" s="400"/>
      <c r="N3959" s="400">
        <f t="shared" si="212"/>
        <v>224.93155099461336</v>
      </c>
    </row>
    <row r="3960" spans="1:14" s="360" customFormat="1" hidden="1" outlineLevel="2" x14ac:dyDescent="0.35">
      <c r="A3960" s="403" t="s">
        <v>7166</v>
      </c>
      <c r="B3960" s="397">
        <v>44407</v>
      </c>
      <c r="C3960" s="398" t="s">
        <v>4557</v>
      </c>
      <c r="D3960" s="399" t="s">
        <v>4558</v>
      </c>
      <c r="E3960" s="399" t="s">
        <v>4272</v>
      </c>
      <c r="F3960" s="400">
        <v>60450.450000000004</v>
      </c>
      <c r="G3960" s="401" t="s">
        <v>3800</v>
      </c>
      <c r="H3960" s="402">
        <v>22.493155099461337</v>
      </c>
      <c r="I3960" s="402"/>
      <c r="J3960" s="400"/>
      <c r="K3960" s="400"/>
      <c r="L3960" s="400"/>
      <c r="M3960" s="400"/>
      <c r="N3960" s="400">
        <f t="shared" si="212"/>
        <v>22.493155099461337</v>
      </c>
    </row>
    <row r="3961" spans="1:14" s="360" customFormat="1" hidden="1" outlineLevel="2" x14ac:dyDescent="0.35">
      <c r="A3961" s="403" t="s">
        <v>7166</v>
      </c>
      <c r="B3961" s="397">
        <v>44407</v>
      </c>
      <c r="C3961" s="398" t="s">
        <v>4559</v>
      </c>
      <c r="D3961" s="399" t="s">
        <v>4560</v>
      </c>
      <c r="E3961" s="399" t="s">
        <v>4042</v>
      </c>
      <c r="F3961" s="400">
        <v>3627.027</v>
      </c>
      <c r="G3961" s="401" t="s">
        <v>3800</v>
      </c>
      <c r="H3961" s="402">
        <v>1.3495893059676802</v>
      </c>
      <c r="I3961" s="402"/>
      <c r="J3961" s="400"/>
      <c r="K3961" s="400"/>
      <c r="L3961" s="400"/>
      <c r="M3961" s="400"/>
      <c r="N3961" s="400">
        <f t="shared" si="212"/>
        <v>1.3495893059676802</v>
      </c>
    </row>
    <row r="3962" spans="1:14" s="360" customFormat="1" hidden="1" outlineLevel="2" x14ac:dyDescent="0.35">
      <c r="A3962" s="403" t="s">
        <v>7166</v>
      </c>
      <c r="B3962" s="397">
        <v>44407</v>
      </c>
      <c r="C3962" s="398" t="s">
        <v>4555</v>
      </c>
      <c r="D3962" s="399" t="s">
        <v>4556</v>
      </c>
      <c r="E3962" s="399" t="s">
        <v>7169</v>
      </c>
      <c r="F3962" s="400">
        <v>604504.5</v>
      </c>
      <c r="G3962" s="401" t="s">
        <v>3800</v>
      </c>
      <c r="H3962" s="402">
        <v>224.93155099461336</v>
      </c>
      <c r="I3962" s="402"/>
      <c r="J3962" s="400"/>
      <c r="K3962" s="400"/>
      <c r="L3962" s="400"/>
      <c r="M3962" s="400"/>
      <c r="N3962" s="400">
        <f t="shared" si="212"/>
        <v>224.93155099461336</v>
      </c>
    </row>
    <row r="3963" spans="1:14" s="360" customFormat="1" hidden="1" outlineLevel="2" x14ac:dyDescent="0.35">
      <c r="A3963" s="403" t="s">
        <v>7166</v>
      </c>
      <c r="B3963" s="397">
        <v>44407</v>
      </c>
      <c r="C3963" s="398" t="s">
        <v>4557</v>
      </c>
      <c r="D3963" s="399" t="s">
        <v>4558</v>
      </c>
      <c r="E3963" s="399" t="s">
        <v>4272</v>
      </c>
      <c r="F3963" s="400">
        <v>60450.450000000004</v>
      </c>
      <c r="G3963" s="401" t="s">
        <v>3800</v>
      </c>
      <c r="H3963" s="402">
        <v>22.493155099461337</v>
      </c>
      <c r="I3963" s="402"/>
      <c r="J3963" s="400"/>
      <c r="K3963" s="400"/>
      <c r="L3963" s="400"/>
      <c r="M3963" s="400"/>
      <c r="N3963" s="400">
        <f t="shared" si="212"/>
        <v>22.493155099461337</v>
      </c>
    </row>
    <row r="3964" spans="1:14" s="360" customFormat="1" hidden="1" outlineLevel="2" x14ac:dyDescent="0.35">
      <c r="A3964" s="403" t="s">
        <v>7166</v>
      </c>
      <c r="B3964" s="397">
        <v>44407</v>
      </c>
      <c r="C3964" s="398" t="s">
        <v>4559</v>
      </c>
      <c r="D3964" s="399" t="s">
        <v>4560</v>
      </c>
      <c r="E3964" s="399" t="s">
        <v>4042</v>
      </c>
      <c r="F3964" s="400">
        <v>3627.027</v>
      </c>
      <c r="G3964" s="401" t="s">
        <v>3800</v>
      </c>
      <c r="H3964" s="402">
        <v>1.3495893059676802</v>
      </c>
      <c r="I3964" s="402"/>
      <c r="J3964" s="400"/>
      <c r="K3964" s="400"/>
      <c r="L3964" s="400"/>
      <c r="M3964" s="400"/>
      <c r="N3964" s="400">
        <f t="shared" si="212"/>
        <v>1.3495893059676802</v>
      </c>
    </row>
    <row r="3965" spans="1:14" s="360" customFormat="1" hidden="1" outlineLevel="2" x14ac:dyDescent="0.35">
      <c r="A3965" s="403" t="s">
        <v>7166</v>
      </c>
      <c r="B3965" s="397">
        <v>44407</v>
      </c>
      <c r="C3965" s="398" t="s">
        <v>4555</v>
      </c>
      <c r="D3965" s="399" t="s">
        <v>4556</v>
      </c>
      <c r="E3965" s="399" t="s">
        <v>7170</v>
      </c>
      <c r="F3965" s="400">
        <v>604504.5</v>
      </c>
      <c r="G3965" s="401" t="s">
        <v>3800</v>
      </c>
      <c r="H3965" s="402">
        <v>224.93155099461336</v>
      </c>
      <c r="I3965" s="402"/>
      <c r="J3965" s="400"/>
      <c r="K3965" s="400"/>
      <c r="L3965" s="400"/>
      <c r="M3965" s="400"/>
      <c r="N3965" s="400">
        <f t="shared" si="212"/>
        <v>224.93155099461336</v>
      </c>
    </row>
    <row r="3966" spans="1:14" s="360" customFormat="1" hidden="1" outlineLevel="2" x14ac:dyDescent="0.35">
      <c r="A3966" s="403" t="s">
        <v>7166</v>
      </c>
      <c r="B3966" s="397">
        <v>44407</v>
      </c>
      <c r="C3966" s="398" t="s">
        <v>4557</v>
      </c>
      <c r="D3966" s="399" t="s">
        <v>4558</v>
      </c>
      <c r="E3966" s="399" t="s">
        <v>4272</v>
      </c>
      <c r="F3966" s="400">
        <v>60450.450000000004</v>
      </c>
      <c r="G3966" s="401" t="s">
        <v>3800</v>
      </c>
      <c r="H3966" s="402">
        <v>22.493155099461337</v>
      </c>
      <c r="I3966" s="402"/>
      <c r="J3966" s="400"/>
      <c r="K3966" s="400"/>
      <c r="L3966" s="400"/>
      <c r="M3966" s="400"/>
      <c r="N3966" s="400">
        <f t="shared" si="212"/>
        <v>22.493155099461337</v>
      </c>
    </row>
    <row r="3967" spans="1:14" s="360" customFormat="1" hidden="1" outlineLevel="2" x14ac:dyDescent="0.35">
      <c r="A3967" s="403" t="s">
        <v>7166</v>
      </c>
      <c r="B3967" s="397">
        <v>44407</v>
      </c>
      <c r="C3967" s="398" t="s">
        <v>4559</v>
      </c>
      <c r="D3967" s="399" t="s">
        <v>4560</v>
      </c>
      <c r="E3967" s="399" t="s">
        <v>4042</v>
      </c>
      <c r="F3967" s="400">
        <v>3627.027</v>
      </c>
      <c r="G3967" s="401" t="s">
        <v>3800</v>
      </c>
      <c r="H3967" s="402">
        <v>1.3495893059676802</v>
      </c>
      <c r="I3967" s="402"/>
      <c r="J3967" s="400"/>
      <c r="K3967" s="400"/>
      <c r="L3967" s="400"/>
      <c r="M3967" s="400"/>
      <c r="N3967" s="400">
        <f t="shared" ref="N3967:N4030" si="213">H3967</f>
        <v>1.3495893059676802</v>
      </c>
    </row>
    <row r="3968" spans="1:14" s="360" customFormat="1" hidden="1" outlineLevel="2" x14ac:dyDescent="0.35">
      <c r="A3968" s="403" t="s">
        <v>7166</v>
      </c>
      <c r="B3968" s="397">
        <v>44407</v>
      </c>
      <c r="C3968" s="398" t="s">
        <v>4555</v>
      </c>
      <c r="D3968" s="399" t="s">
        <v>4556</v>
      </c>
      <c r="E3968" s="399" t="s">
        <v>7171</v>
      </c>
      <c r="F3968" s="400">
        <v>604504.5</v>
      </c>
      <c r="G3968" s="401" t="s">
        <v>3800</v>
      </c>
      <c r="H3968" s="402">
        <v>224.93155099461336</v>
      </c>
      <c r="I3968" s="402"/>
      <c r="J3968" s="400"/>
      <c r="K3968" s="400"/>
      <c r="L3968" s="400"/>
      <c r="M3968" s="400"/>
      <c r="N3968" s="400">
        <f t="shared" si="213"/>
        <v>224.93155099461336</v>
      </c>
    </row>
    <row r="3969" spans="1:14" s="360" customFormat="1" hidden="1" outlineLevel="2" x14ac:dyDescent="0.35">
      <c r="A3969" s="403" t="s">
        <v>7166</v>
      </c>
      <c r="B3969" s="397">
        <v>44407</v>
      </c>
      <c r="C3969" s="398" t="s">
        <v>4557</v>
      </c>
      <c r="D3969" s="399" t="s">
        <v>4558</v>
      </c>
      <c r="E3969" s="399" t="s">
        <v>4272</v>
      </c>
      <c r="F3969" s="400">
        <v>60450.450000000004</v>
      </c>
      <c r="G3969" s="401" t="s">
        <v>3800</v>
      </c>
      <c r="H3969" s="402">
        <v>22.493155099461337</v>
      </c>
      <c r="I3969" s="402"/>
      <c r="J3969" s="400"/>
      <c r="K3969" s="400"/>
      <c r="L3969" s="400"/>
      <c r="M3969" s="400"/>
      <c r="N3969" s="400">
        <f t="shared" si="213"/>
        <v>22.493155099461337</v>
      </c>
    </row>
    <row r="3970" spans="1:14" s="360" customFormat="1" hidden="1" outlineLevel="2" collapsed="1" x14ac:dyDescent="0.35">
      <c r="A3970" s="403" t="s">
        <v>7166</v>
      </c>
      <c r="B3970" s="397">
        <v>44407</v>
      </c>
      <c r="C3970" s="398" t="s">
        <v>4559</v>
      </c>
      <c r="D3970" s="399" t="s">
        <v>4560</v>
      </c>
      <c r="E3970" s="399" t="s">
        <v>4042</v>
      </c>
      <c r="F3970" s="400">
        <v>3627.027</v>
      </c>
      <c r="G3970" s="401" t="s">
        <v>3800</v>
      </c>
      <c r="H3970" s="402">
        <v>1.3495893059676802</v>
      </c>
      <c r="I3970" s="402"/>
      <c r="J3970" s="400"/>
      <c r="K3970" s="400"/>
      <c r="L3970" s="400"/>
      <c r="M3970" s="400"/>
      <c r="N3970" s="400">
        <f t="shared" si="213"/>
        <v>1.3495893059676802</v>
      </c>
    </row>
    <row r="3971" spans="1:14" s="360" customFormat="1" hidden="1" outlineLevel="2" x14ac:dyDescent="0.35">
      <c r="A3971" s="403" t="s">
        <v>7166</v>
      </c>
      <c r="B3971" s="397">
        <v>44407</v>
      </c>
      <c r="C3971" s="398" t="s">
        <v>4555</v>
      </c>
      <c r="D3971" s="399" t="s">
        <v>4556</v>
      </c>
      <c r="E3971" s="399" t="s">
        <v>7172</v>
      </c>
      <c r="F3971" s="400">
        <v>604504.5</v>
      </c>
      <c r="G3971" s="401" t="s">
        <v>3800</v>
      </c>
      <c r="H3971" s="402">
        <v>224.93155099461336</v>
      </c>
      <c r="I3971" s="402"/>
      <c r="J3971" s="400"/>
      <c r="K3971" s="400"/>
      <c r="L3971" s="400"/>
      <c r="M3971" s="400"/>
      <c r="N3971" s="400">
        <f t="shared" si="213"/>
        <v>224.93155099461336</v>
      </c>
    </row>
    <row r="3972" spans="1:14" s="360" customFormat="1" hidden="1" outlineLevel="2" x14ac:dyDescent="0.35">
      <c r="A3972" s="403" t="s">
        <v>7166</v>
      </c>
      <c r="B3972" s="397">
        <v>44407</v>
      </c>
      <c r="C3972" s="398" t="s">
        <v>4557</v>
      </c>
      <c r="D3972" s="399" t="s">
        <v>4558</v>
      </c>
      <c r="E3972" s="399" t="s">
        <v>4272</v>
      </c>
      <c r="F3972" s="400">
        <v>60450.450000000004</v>
      </c>
      <c r="G3972" s="401" t="s">
        <v>3800</v>
      </c>
      <c r="H3972" s="402">
        <v>22.493155099461337</v>
      </c>
      <c r="I3972" s="402"/>
      <c r="J3972" s="400"/>
      <c r="K3972" s="400"/>
      <c r="L3972" s="400"/>
      <c r="M3972" s="400"/>
      <c r="N3972" s="400">
        <f t="shared" si="213"/>
        <v>22.493155099461337</v>
      </c>
    </row>
    <row r="3973" spans="1:14" s="360" customFormat="1" hidden="1" outlineLevel="2" x14ac:dyDescent="0.35">
      <c r="A3973" s="403" t="s">
        <v>7166</v>
      </c>
      <c r="B3973" s="397">
        <v>44407</v>
      </c>
      <c r="C3973" s="398" t="s">
        <v>4559</v>
      </c>
      <c r="D3973" s="399" t="s">
        <v>4560</v>
      </c>
      <c r="E3973" s="399" t="s">
        <v>4042</v>
      </c>
      <c r="F3973" s="400">
        <v>3627.027</v>
      </c>
      <c r="G3973" s="401" t="s">
        <v>3800</v>
      </c>
      <c r="H3973" s="402">
        <v>1.3495893059676802</v>
      </c>
      <c r="I3973" s="402"/>
      <c r="J3973" s="400"/>
      <c r="K3973" s="400"/>
      <c r="L3973" s="400"/>
      <c r="M3973" s="400"/>
      <c r="N3973" s="400">
        <f t="shared" si="213"/>
        <v>1.3495893059676802</v>
      </c>
    </row>
    <row r="3974" spans="1:14" s="360" customFormat="1" hidden="1" outlineLevel="2" x14ac:dyDescent="0.35">
      <c r="A3974" s="403" t="s">
        <v>7166</v>
      </c>
      <c r="B3974" s="397">
        <v>44407</v>
      </c>
      <c r="C3974" s="398" t="s">
        <v>4555</v>
      </c>
      <c r="D3974" s="399" t="s">
        <v>4556</v>
      </c>
      <c r="E3974" s="399" t="s">
        <v>7173</v>
      </c>
      <c r="F3974" s="400">
        <v>604504.5</v>
      </c>
      <c r="G3974" s="401" t="s">
        <v>3800</v>
      </c>
      <c r="H3974" s="402">
        <v>224.93155099461336</v>
      </c>
      <c r="I3974" s="402"/>
      <c r="J3974" s="400"/>
      <c r="K3974" s="400"/>
      <c r="L3974" s="400"/>
      <c r="M3974" s="400"/>
      <c r="N3974" s="400">
        <f t="shared" si="213"/>
        <v>224.93155099461336</v>
      </c>
    </row>
    <row r="3975" spans="1:14" s="360" customFormat="1" hidden="1" outlineLevel="2" x14ac:dyDescent="0.35">
      <c r="A3975" s="403" t="s">
        <v>7166</v>
      </c>
      <c r="B3975" s="397">
        <v>44407</v>
      </c>
      <c r="C3975" s="398" t="s">
        <v>4557</v>
      </c>
      <c r="D3975" s="399" t="s">
        <v>4558</v>
      </c>
      <c r="E3975" s="399" t="s">
        <v>4272</v>
      </c>
      <c r="F3975" s="400">
        <v>60450.450000000004</v>
      </c>
      <c r="G3975" s="401" t="s">
        <v>3800</v>
      </c>
      <c r="H3975" s="402">
        <v>22.493155099461337</v>
      </c>
      <c r="I3975" s="402"/>
      <c r="J3975" s="400"/>
      <c r="K3975" s="400"/>
      <c r="L3975" s="400"/>
      <c r="M3975" s="400"/>
      <c r="N3975" s="400">
        <f t="shared" si="213"/>
        <v>22.493155099461337</v>
      </c>
    </row>
    <row r="3976" spans="1:14" s="360" customFormat="1" hidden="1" outlineLevel="2" x14ac:dyDescent="0.35">
      <c r="A3976" s="403" t="s">
        <v>7166</v>
      </c>
      <c r="B3976" s="397">
        <v>44407</v>
      </c>
      <c r="C3976" s="398" t="s">
        <v>4559</v>
      </c>
      <c r="D3976" s="399" t="s">
        <v>4560</v>
      </c>
      <c r="E3976" s="399" t="s">
        <v>4042</v>
      </c>
      <c r="F3976" s="400">
        <v>3627.027</v>
      </c>
      <c r="G3976" s="401" t="s">
        <v>3800</v>
      </c>
      <c r="H3976" s="402">
        <v>1.3495893059676802</v>
      </c>
      <c r="I3976" s="402"/>
      <c r="J3976" s="400"/>
      <c r="K3976" s="400"/>
      <c r="L3976" s="400"/>
      <c r="M3976" s="400"/>
      <c r="N3976" s="400">
        <f t="shared" si="213"/>
        <v>1.3495893059676802</v>
      </c>
    </row>
    <row r="3977" spans="1:14" s="360" customFormat="1" hidden="1" outlineLevel="2" collapsed="1" x14ac:dyDescent="0.35">
      <c r="A3977" s="403" t="s">
        <v>7166</v>
      </c>
      <c r="B3977" s="397">
        <v>44407</v>
      </c>
      <c r="C3977" s="398" t="s">
        <v>4555</v>
      </c>
      <c r="D3977" s="399" t="s">
        <v>4556</v>
      </c>
      <c r="E3977" s="399" t="s">
        <v>7174</v>
      </c>
      <c r="F3977" s="400">
        <v>604504.5</v>
      </c>
      <c r="G3977" s="401" t="s">
        <v>3800</v>
      </c>
      <c r="H3977" s="402">
        <v>224.93155099461336</v>
      </c>
      <c r="I3977" s="402"/>
      <c r="J3977" s="400"/>
      <c r="K3977" s="400"/>
      <c r="L3977" s="400"/>
      <c r="M3977" s="400"/>
      <c r="N3977" s="400">
        <f t="shared" si="213"/>
        <v>224.93155099461336</v>
      </c>
    </row>
    <row r="3978" spans="1:14" s="360" customFormat="1" hidden="1" outlineLevel="2" x14ac:dyDescent="0.35">
      <c r="A3978" s="403" t="s">
        <v>7166</v>
      </c>
      <c r="B3978" s="397">
        <v>44407</v>
      </c>
      <c r="C3978" s="398" t="s">
        <v>4557</v>
      </c>
      <c r="D3978" s="399" t="s">
        <v>4558</v>
      </c>
      <c r="E3978" s="399" t="s">
        <v>4272</v>
      </c>
      <c r="F3978" s="400">
        <v>60450.450000000004</v>
      </c>
      <c r="G3978" s="401" t="s">
        <v>3800</v>
      </c>
      <c r="H3978" s="402">
        <v>22.493155099461337</v>
      </c>
      <c r="I3978" s="402"/>
      <c r="J3978" s="400"/>
      <c r="K3978" s="400"/>
      <c r="L3978" s="400"/>
      <c r="M3978" s="400"/>
      <c r="N3978" s="400">
        <f t="shared" si="213"/>
        <v>22.493155099461337</v>
      </c>
    </row>
    <row r="3979" spans="1:14" s="360" customFormat="1" hidden="1" outlineLevel="2" x14ac:dyDescent="0.35">
      <c r="A3979" s="403" t="s">
        <v>7166</v>
      </c>
      <c r="B3979" s="397">
        <v>44407</v>
      </c>
      <c r="C3979" s="398" t="s">
        <v>4559</v>
      </c>
      <c r="D3979" s="399" t="s">
        <v>4560</v>
      </c>
      <c r="E3979" s="399" t="s">
        <v>4042</v>
      </c>
      <c r="F3979" s="400">
        <v>3627.027</v>
      </c>
      <c r="G3979" s="401" t="s">
        <v>3800</v>
      </c>
      <c r="H3979" s="402">
        <v>1.3495893059676802</v>
      </c>
      <c r="I3979" s="402"/>
      <c r="J3979" s="400"/>
      <c r="K3979" s="400"/>
      <c r="L3979" s="400"/>
      <c r="M3979" s="400"/>
      <c r="N3979" s="400">
        <f t="shared" si="213"/>
        <v>1.3495893059676802</v>
      </c>
    </row>
    <row r="3980" spans="1:14" s="360" customFormat="1" hidden="1" outlineLevel="2" x14ac:dyDescent="0.35">
      <c r="A3980" s="403" t="s">
        <v>7166</v>
      </c>
      <c r="B3980" s="397">
        <v>44438</v>
      </c>
      <c r="C3980" s="398" t="s">
        <v>4561</v>
      </c>
      <c r="D3980" s="399" t="s">
        <v>4562</v>
      </c>
      <c r="E3980" s="399" t="s">
        <v>4563</v>
      </c>
      <c r="F3980" s="400">
        <v>604504.5</v>
      </c>
      <c r="G3980" s="401" t="s">
        <v>3800</v>
      </c>
      <c r="H3980" s="402">
        <v>224.93155099461336</v>
      </c>
      <c r="I3980" s="402"/>
      <c r="J3980" s="400"/>
      <c r="K3980" s="400"/>
      <c r="L3980" s="400"/>
      <c r="M3980" s="400"/>
      <c r="N3980" s="400">
        <f t="shared" si="213"/>
        <v>224.93155099461336</v>
      </c>
    </row>
    <row r="3981" spans="1:14" s="360" customFormat="1" hidden="1" outlineLevel="2" x14ac:dyDescent="0.35">
      <c r="A3981" s="403" t="s">
        <v>7166</v>
      </c>
      <c r="B3981" s="397">
        <v>44438</v>
      </c>
      <c r="C3981" s="398" t="s">
        <v>4564</v>
      </c>
      <c r="D3981" s="399" t="s">
        <v>4565</v>
      </c>
      <c r="E3981" s="399" t="s">
        <v>4272</v>
      </c>
      <c r="F3981" s="400">
        <v>60450.450000000004</v>
      </c>
      <c r="G3981" s="401" t="s">
        <v>3800</v>
      </c>
      <c r="H3981" s="402">
        <v>22.493155099461337</v>
      </c>
      <c r="I3981" s="402"/>
      <c r="J3981" s="400"/>
      <c r="K3981" s="400"/>
      <c r="L3981" s="400"/>
      <c r="M3981" s="400"/>
      <c r="N3981" s="400">
        <f t="shared" si="213"/>
        <v>22.493155099461337</v>
      </c>
    </row>
    <row r="3982" spans="1:14" s="360" customFormat="1" hidden="1" outlineLevel="2" x14ac:dyDescent="0.35">
      <c r="A3982" s="403" t="s">
        <v>7166</v>
      </c>
      <c r="B3982" s="397">
        <v>44438</v>
      </c>
      <c r="C3982" s="398" t="s">
        <v>4566</v>
      </c>
      <c r="D3982" s="399" t="s">
        <v>4567</v>
      </c>
      <c r="E3982" s="399" t="s">
        <v>4042</v>
      </c>
      <c r="F3982" s="400">
        <v>3627.027</v>
      </c>
      <c r="G3982" s="401" t="s">
        <v>3800</v>
      </c>
      <c r="H3982" s="402">
        <v>1.3495893059676802</v>
      </c>
      <c r="I3982" s="402"/>
      <c r="J3982" s="400"/>
      <c r="K3982" s="400"/>
      <c r="L3982" s="400"/>
      <c r="M3982" s="400"/>
      <c r="N3982" s="400">
        <f t="shared" si="213"/>
        <v>1.3495893059676802</v>
      </c>
    </row>
    <row r="3983" spans="1:14" s="360" customFormat="1" hidden="1" outlineLevel="2" x14ac:dyDescent="0.35">
      <c r="A3983" s="403" t="s">
        <v>7166</v>
      </c>
      <c r="B3983" s="397">
        <v>44438</v>
      </c>
      <c r="C3983" s="398" t="s">
        <v>4561</v>
      </c>
      <c r="D3983" s="399" t="s">
        <v>4562</v>
      </c>
      <c r="E3983" s="399" t="s">
        <v>7169</v>
      </c>
      <c r="F3983" s="400">
        <v>604504.5</v>
      </c>
      <c r="G3983" s="401" t="s">
        <v>3800</v>
      </c>
      <c r="H3983" s="402">
        <v>224.93155099461336</v>
      </c>
      <c r="I3983" s="402"/>
      <c r="J3983" s="400"/>
      <c r="K3983" s="400"/>
      <c r="L3983" s="400"/>
      <c r="M3983" s="400"/>
      <c r="N3983" s="400">
        <f t="shared" si="213"/>
        <v>224.93155099461336</v>
      </c>
    </row>
    <row r="3984" spans="1:14" s="360" customFormat="1" hidden="1" outlineLevel="2" x14ac:dyDescent="0.35">
      <c r="A3984" s="403" t="s">
        <v>7166</v>
      </c>
      <c r="B3984" s="397">
        <v>44438</v>
      </c>
      <c r="C3984" s="398" t="s">
        <v>4564</v>
      </c>
      <c r="D3984" s="399" t="s">
        <v>4565</v>
      </c>
      <c r="E3984" s="399" t="s">
        <v>4272</v>
      </c>
      <c r="F3984" s="400">
        <v>60450.450000000004</v>
      </c>
      <c r="G3984" s="401" t="s">
        <v>3800</v>
      </c>
      <c r="H3984" s="402">
        <v>22.493155099461337</v>
      </c>
      <c r="I3984" s="402"/>
      <c r="J3984" s="400"/>
      <c r="K3984" s="400"/>
      <c r="L3984" s="400"/>
      <c r="M3984" s="400"/>
      <c r="N3984" s="400">
        <f t="shared" si="213"/>
        <v>22.493155099461337</v>
      </c>
    </row>
    <row r="3985" spans="1:14" s="360" customFormat="1" hidden="1" outlineLevel="2" x14ac:dyDescent="0.35">
      <c r="A3985" s="403" t="s">
        <v>7166</v>
      </c>
      <c r="B3985" s="397">
        <v>44438</v>
      </c>
      <c r="C3985" s="398" t="s">
        <v>4566</v>
      </c>
      <c r="D3985" s="399" t="s">
        <v>4567</v>
      </c>
      <c r="E3985" s="399" t="s">
        <v>4042</v>
      </c>
      <c r="F3985" s="400">
        <v>3627.027</v>
      </c>
      <c r="G3985" s="401" t="s">
        <v>3800</v>
      </c>
      <c r="H3985" s="402">
        <v>1.3495893059676802</v>
      </c>
      <c r="I3985" s="402"/>
      <c r="J3985" s="400"/>
      <c r="K3985" s="400"/>
      <c r="L3985" s="400"/>
      <c r="M3985" s="400"/>
      <c r="N3985" s="400">
        <f t="shared" si="213"/>
        <v>1.3495893059676802</v>
      </c>
    </row>
    <row r="3986" spans="1:14" s="360" customFormat="1" hidden="1" outlineLevel="2" x14ac:dyDescent="0.35">
      <c r="A3986" s="403" t="s">
        <v>7166</v>
      </c>
      <c r="B3986" s="397">
        <v>44438</v>
      </c>
      <c r="C3986" s="398" t="s">
        <v>4561</v>
      </c>
      <c r="D3986" s="399" t="s">
        <v>4562</v>
      </c>
      <c r="E3986" s="399" t="s">
        <v>7170</v>
      </c>
      <c r="F3986" s="400">
        <v>604504.5</v>
      </c>
      <c r="G3986" s="401" t="s">
        <v>3800</v>
      </c>
      <c r="H3986" s="402">
        <v>224.93155099461336</v>
      </c>
      <c r="I3986" s="402"/>
      <c r="J3986" s="400"/>
      <c r="K3986" s="400"/>
      <c r="L3986" s="400"/>
      <c r="M3986" s="400"/>
      <c r="N3986" s="400">
        <f t="shared" si="213"/>
        <v>224.93155099461336</v>
      </c>
    </row>
    <row r="3987" spans="1:14" s="360" customFormat="1" hidden="1" outlineLevel="2" collapsed="1" x14ac:dyDescent="0.35">
      <c r="A3987" s="403" t="s">
        <v>7166</v>
      </c>
      <c r="B3987" s="397">
        <v>44438</v>
      </c>
      <c r="C3987" s="398" t="s">
        <v>4564</v>
      </c>
      <c r="D3987" s="399" t="s">
        <v>4565</v>
      </c>
      <c r="E3987" s="399" t="s">
        <v>4272</v>
      </c>
      <c r="F3987" s="400">
        <v>60450.450000000004</v>
      </c>
      <c r="G3987" s="401" t="s">
        <v>3800</v>
      </c>
      <c r="H3987" s="402">
        <v>22.493155099461337</v>
      </c>
      <c r="I3987" s="402"/>
      <c r="J3987" s="400"/>
      <c r="K3987" s="400"/>
      <c r="L3987" s="400"/>
      <c r="M3987" s="400"/>
      <c r="N3987" s="400">
        <f t="shared" si="213"/>
        <v>22.493155099461337</v>
      </c>
    </row>
    <row r="3988" spans="1:14" s="360" customFormat="1" hidden="1" outlineLevel="2" x14ac:dyDescent="0.35">
      <c r="A3988" s="403" t="s">
        <v>7166</v>
      </c>
      <c r="B3988" s="397">
        <v>44438</v>
      </c>
      <c r="C3988" s="398" t="s">
        <v>4566</v>
      </c>
      <c r="D3988" s="399" t="s">
        <v>4567</v>
      </c>
      <c r="E3988" s="399" t="s">
        <v>4042</v>
      </c>
      <c r="F3988" s="400">
        <v>3627.027</v>
      </c>
      <c r="G3988" s="401" t="s">
        <v>3800</v>
      </c>
      <c r="H3988" s="402">
        <v>1.3495893059676802</v>
      </c>
      <c r="I3988" s="402"/>
      <c r="J3988" s="400"/>
      <c r="K3988" s="400"/>
      <c r="L3988" s="400"/>
      <c r="M3988" s="400"/>
      <c r="N3988" s="400">
        <f t="shared" si="213"/>
        <v>1.3495893059676802</v>
      </c>
    </row>
    <row r="3989" spans="1:14" s="360" customFormat="1" hidden="1" outlineLevel="2" x14ac:dyDescent="0.35">
      <c r="A3989" s="403" t="s">
        <v>7166</v>
      </c>
      <c r="B3989" s="397">
        <v>44438</v>
      </c>
      <c r="C3989" s="398" t="s">
        <v>4561</v>
      </c>
      <c r="D3989" s="399" t="s">
        <v>4562</v>
      </c>
      <c r="E3989" s="399" t="s">
        <v>7171</v>
      </c>
      <c r="F3989" s="400">
        <v>604504.5</v>
      </c>
      <c r="G3989" s="401" t="s">
        <v>3800</v>
      </c>
      <c r="H3989" s="402">
        <v>224.93155099461336</v>
      </c>
      <c r="I3989" s="402"/>
      <c r="J3989" s="400"/>
      <c r="K3989" s="400"/>
      <c r="L3989" s="400"/>
      <c r="M3989" s="400"/>
      <c r="N3989" s="400">
        <f t="shared" si="213"/>
        <v>224.93155099461336</v>
      </c>
    </row>
    <row r="3990" spans="1:14" s="360" customFormat="1" hidden="1" outlineLevel="2" collapsed="1" x14ac:dyDescent="0.35">
      <c r="A3990" s="403" t="s">
        <v>7166</v>
      </c>
      <c r="B3990" s="397">
        <v>44438</v>
      </c>
      <c r="C3990" s="398" t="s">
        <v>4564</v>
      </c>
      <c r="D3990" s="399" t="s">
        <v>4565</v>
      </c>
      <c r="E3990" s="399" t="s">
        <v>4272</v>
      </c>
      <c r="F3990" s="400">
        <v>60450.450000000004</v>
      </c>
      <c r="G3990" s="401" t="s">
        <v>3800</v>
      </c>
      <c r="H3990" s="402">
        <v>22.493155099461337</v>
      </c>
      <c r="I3990" s="402"/>
      <c r="J3990" s="400"/>
      <c r="K3990" s="400"/>
      <c r="L3990" s="400"/>
      <c r="M3990" s="400"/>
      <c r="N3990" s="400">
        <f t="shared" si="213"/>
        <v>22.493155099461337</v>
      </c>
    </row>
    <row r="3991" spans="1:14" s="360" customFormat="1" hidden="1" outlineLevel="2" x14ac:dyDescent="0.35">
      <c r="A3991" s="403" t="s">
        <v>7166</v>
      </c>
      <c r="B3991" s="397">
        <v>44438</v>
      </c>
      <c r="C3991" s="398" t="s">
        <v>4566</v>
      </c>
      <c r="D3991" s="399" t="s">
        <v>4567</v>
      </c>
      <c r="E3991" s="399" t="s">
        <v>4042</v>
      </c>
      <c r="F3991" s="400">
        <v>3627.027</v>
      </c>
      <c r="G3991" s="401" t="s">
        <v>3800</v>
      </c>
      <c r="H3991" s="402">
        <v>1.3495893059676802</v>
      </c>
      <c r="I3991" s="402"/>
      <c r="J3991" s="400"/>
      <c r="K3991" s="400"/>
      <c r="L3991" s="400"/>
      <c r="M3991" s="400"/>
      <c r="N3991" s="400">
        <f t="shared" si="213"/>
        <v>1.3495893059676802</v>
      </c>
    </row>
    <row r="3992" spans="1:14" s="360" customFormat="1" hidden="1" outlineLevel="2" x14ac:dyDescent="0.35">
      <c r="A3992" s="403" t="s">
        <v>7166</v>
      </c>
      <c r="B3992" s="397">
        <v>44438</v>
      </c>
      <c r="C3992" s="398" t="s">
        <v>4561</v>
      </c>
      <c r="D3992" s="399" t="s">
        <v>4562</v>
      </c>
      <c r="E3992" s="399" t="s">
        <v>7172</v>
      </c>
      <c r="F3992" s="400">
        <v>604504.5</v>
      </c>
      <c r="G3992" s="401" t="s">
        <v>3800</v>
      </c>
      <c r="H3992" s="402">
        <v>224.93155099461336</v>
      </c>
      <c r="I3992" s="402"/>
      <c r="J3992" s="400"/>
      <c r="K3992" s="400"/>
      <c r="L3992" s="400"/>
      <c r="M3992" s="400"/>
      <c r="N3992" s="400">
        <f t="shared" si="213"/>
        <v>224.93155099461336</v>
      </c>
    </row>
    <row r="3993" spans="1:14" s="360" customFormat="1" hidden="1" outlineLevel="2" x14ac:dyDescent="0.35">
      <c r="A3993" s="403" t="s">
        <v>7166</v>
      </c>
      <c r="B3993" s="397">
        <v>44438</v>
      </c>
      <c r="C3993" s="398" t="s">
        <v>4564</v>
      </c>
      <c r="D3993" s="399" t="s">
        <v>4565</v>
      </c>
      <c r="E3993" s="399" t="s">
        <v>4272</v>
      </c>
      <c r="F3993" s="400">
        <v>60450.450000000004</v>
      </c>
      <c r="G3993" s="401" t="s">
        <v>3800</v>
      </c>
      <c r="H3993" s="402">
        <v>22.493155099461337</v>
      </c>
      <c r="I3993" s="402"/>
      <c r="J3993" s="400"/>
      <c r="K3993" s="400"/>
      <c r="L3993" s="400"/>
      <c r="M3993" s="400"/>
      <c r="N3993" s="400">
        <f t="shared" si="213"/>
        <v>22.493155099461337</v>
      </c>
    </row>
    <row r="3994" spans="1:14" s="360" customFormat="1" hidden="1" outlineLevel="2" x14ac:dyDescent="0.35">
      <c r="A3994" s="403" t="s">
        <v>7166</v>
      </c>
      <c r="B3994" s="397">
        <v>44438</v>
      </c>
      <c r="C3994" s="398" t="s">
        <v>4566</v>
      </c>
      <c r="D3994" s="399" t="s">
        <v>4567</v>
      </c>
      <c r="E3994" s="399" t="s">
        <v>4042</v>
      </c>
      <c r="F3994" s="400">
        <v>3627.027</v>
      </c>
      <c r="G3994" s="401" t="s">
        <v>3800</v>
      </c>
      <c r="H3994" s="402">
        <v>1.3495893059676802</v>
      </c>
      <c r="I3994" s="402"/>
      <c r="J3994" s="400"/>
      <c r="K3994" s="400"/>
      <c r="L3994" s="400"/>
      <c r="M3994" s="400"/>
      <c r="N3994" s="400">
        <f t="shared" si="213"/>
        <v>1.3495893059676802</v>
      </c>
    </row>
    <row r="3995" spans="1:14" s="360" customFormat="1" hidden="1" outlineLevel="2" x14ac:dyDescent="0.35">
      <c r="A3995" s="403" t="s">
        <v>7166</v>
      </c>
      <c r="B3995" s="397">
        <v>44438</v>
      </c>
      <c r="C3995" s="398" t="s">
        <v>4561</v>
      </c>
      <c r="D3995" s="399" t="s">
        <v>4562</v>
      </c>
      <c r="E3995" s="399" t="s">
        <v>7173</v>
      </c>
      <c r="F3995" s="400">
        <v>604504.5</v>
      </c>
      <c r="G3995" s="401" t="s">
        <v>3800</v>
      </c>
      <c r="H3995" s="402">
        <v>224.93155099461336</v>
      </c>
      <c r="I3995" s="402"/>
      <c r="J3995" s="400"/>
      <c r="K3995" s="400"/>
      <c r="L3995" s="400"/>
      <c r="M3995" s="400"/>
      <c r="N3995" s="400">
        <f t="shared" si="213"/>
        <v>224.93155099461336</v>
      </c>
    </row>
    <row r="3996" spans="1:14" s="360" customFormat="1" hidden="1" outlineLevel="2" x14ac:dyDescent="0.35">
      <c r="A3996" s="403" t="s">
        <v>7166</v>
      </c>
      <c r="B3996" s="397">
        <v>44438</v>
      </c>
      <c r="C3996" s="398" t="s">
        <v>4564</v>
      </c>
      <c r="D3996" s="399" t="s">
        <v>4565</v>
      </c>
      <c r="E3996" s="399" t="s">
        <v>4272</v>
      </c>
      <c r="F3996" s="400">
        <v>60450.450000000004</v>
      </c>
      <c r="G3996" s="401" t="s">
        <v>3800</v>
      </c>
      <c r="H3996" s="402">
        <v>22.493155099461337</v>
      </c>
      <c r="I3996" s="402"/>
      <c r="J3996" s="400"/>
      <c r="K3996" s="400"/>
      <c r="L3996" s="400"/>
      <c r="M3996" s="400"/>
      <c r="N3996" s="400">
        <f t="shared" si="213"/>
        <v>22.493155099461337</v>
      </c>
    </row>
    <row r="3997" spans="1:14" s="360" customFormat="1" hidden="1" outlineLevel="2" x14ac:dyDescent="0.35">
      <c r="A3997" s="403" t="s">
        <v>7166</v>
      </c>
      <c r="B3997" s="397">
        <v>44438</v>
      </c>
      <c r="C3997" s="398" t="s">
        <v>4566</v>
      </c>
      <c r="D3997" s="399" t="s">
        <v>4567</v>
      </c>
      <c r="E3997" s="399" t="s">
        <v>4042</v>
      </c>
      <c r="F3997" s="400">
        <v>3627.027</v>
      </c>
      <c r="G3997" s="401" t="s">
        <v>3800</v>
      </c>
      <c r="H3997" s="402">
        <v>1.3495893059676802</v>
      </c>
      <c r="I3997" s="402"/>
      <c r="J3997" s="400"/>
      <c r="K3997" s="400"/>
      <c r="L3997" s="400"/>
      <c r="M3997" s="400"/>
      <c r="N3997" s="400">
        <f t="shared" si="213"/>
        <v>1.3495893059676802</v>
      </c>
    </row>
    <row r="3998" spans="1:14" s="360" customFormat="1" hidden="1" outlineLevel="2" x14ac:dyDescent="0.35">
      <c r="A3998" s="403" t="s">
        <v>7166</v>
      </c>
      <c r="B3998" s="397">
        <v>44438</v>
      </c>
      <c r="C3998" s="398" t="s">
        <v>4561</v>
      </c>
      <c r="D3998" s="399" t="s">
        <v>4562</v>
      </c>
      <c r="E3998" s="399" t="s">
        <v>7174</v>
      </c>
      <c r="F3998" s="400">
        <v>604504.5</v>
      </c>
      <c r="G3998" s="401" t="s">
        <v>3800</v>
      </c>
      <c r="H3998" s="402">
        <v>224.93155099461336</v>
      </c>
      <c r="I3998" s="402"/>
      <c r="J3998" s="400"/>
      <c r="K3998" s="400"/>
      <c r="L3998" s="400"/>
      <c r="M3998" s="400"/>
      <c r="N3998" s="400">
        <f t="shared" si="213"/>
        <v>224.93155099461336</v>
      </c>
    </row>
    <row r="3999" spans="1:14" s="360" customFormat="1" hidden="1" outlineLevel="2" x14ac:dyDescent="0.35">
      <c r="A3999" s="403" t="s">
        <v>7166</v>
      </c>
      <c r="B3999" s="397">
        <v>44438</v>
      </c>
      <c r="C3999" s="398" t="s">
        <v>4564</v>
      </c>
      <c r="D3999" s="399" t="s">
        <v>4565</v>
      </c>
      <c r="E3999" s="399" t="s">
        <v>4272</v>
      </c>
      <c r="F3999" s="400">
        <v>60450.450000000004</v>
      </c>
      <c r="G3999" s="401" t="s">
        <v>3800</v>
      </c>
      <c r="H3999" s="402">
        <v>22.493155099461337</v>
      </c>
      <c r="I3999" s="402"/>
      <c r="J3999" s="400"/>
      <c r="K3999" s="400"/>
      <c r="L3999" s="400"/>
      <c r="M3999" s="400"/>
      <c r="N3999" s="400">
        <f t="shared" si="213"/>
        <v>22.493155099461337</v>
      </c>
    </row>
    <row r="4000" spans="1:14" s="360" customFormat="1" hidden="1" outlineLevel="2" x14ac:dyDescent="0.35">
      <c r="A4000" s="403" t="s">
        <v>7166</v>
      </c>
      <c r="B4000" s="397">
        <v>44438</v>
      </c>
      <c r="C4000" s="398" t="s">
        <v>4566</v>
      </c>
      <c r="D4000" s="399" t="s">
        <v>4567</v>
      </c>
      <c r="E4000" s="399" t="s">
        <v>4042</v>
      </c>
      <c r="F4000" s="400">
        <v>3627.027</v>
      </c>
      <c r="G4000" s="401" t="s">
        <v>3800</v>
      </c>
      <c r="H4000" s="402">
        <v>1.3495893059676802</v>
      </c>
      <c r="I4000" s="402"/>
      <c r="J4000" s="400"/>
      <c r="K4000" s="400"/>
      <c r="L4000" s="400"/>
      <c r="M4000" s="400"/>
      <c r="N4000" s="400">
        <f t="shared" si="213"/>
        <v>1.3495893059676802</v>
      </c>
    </row>
    <row r="4001" spans="1:14" s="360" customFormat="1" hidden="1" outlineLevel="2" x14ac:dyDescent="0.35">
      <c r="A4001" s="403" t="s">
        <v>7166</v>
      </c>
      <c r="B4001" s="397">
        <v>44438</v>
      </c>
      <c r="C4001" s="398" t="s">
        <v>4561</v>
      </c>
      <c r="D4001" s="399" t="s">
        <v>4562</v>
      </c>
      <c r="E4001" s="399" t="s">
        <v>7175</v>
      </c>
      <c r="F4001" s="400">
        <v>544054.05000000005</v>
      </c>
      <c r="G4001" s="401" t="s">
        <v>3800</v>
      </c>
      <c r="H4001" s="402">
        <v>202.43839589515204</v>
      </c>
      <c r="I4001" s="402"/>
      <c r="J4001" s="400"/>
      <c r="K4001" s="400"/>
      <c r="L4001" s="400"/>
      <c r="M4001" s="400"/>
      <c r="N4001" s="400">
        <f t="shared" si="213"/>
        <v>202.43839589515204</v>
      </c>
    </row>
    <row r="4002" spans="1:14" s="360" customFormat="1" hidden="1" outlineLevel="2" x14ac:dyDescent="0.35">
      <c r="A4002" s="403" t="s">
        <v>7166</v>
      </c>
      <c r="B4002" s="397">
        <v>44438</v>
      </c>
      <c r="C4002" s="398" t="s">
        <v>4564</v>
      </c>
      <c r="D4002" s="399" t="s">
        <v>4565</v>
      </c>
      <c r="E4002" s="399" t="s">
        <v>4272</v>
      </c>
      <c r="F4002" s="400">
        <v>54405.41</v>
      </c>
      <c r="G4002" s="401" t="s">
        <v>3800</v>
      </c>
      <c r="H4002" s="402">
        <v>20.243841449977374</v>
      </c>
      <c r="I4002" s="402"/>
      <c r="J4002" s="400"/>
      <c r="K4002" s="400"/>
      <c r="L4002" s="400"/>
      <c r="M4002" s="400"/>
      <c r="N4002" s="400">
        <f t="shared" si="213"/>
        <v>20.243841449977374</v>
      </c>
    </row>
    <row r="4003" spans="1:14" s="360" customFormat="1" hidden="1" outlineLevel="2" x14ac:dyDescent="0.35">
      <c r="A4003" s="403" t="s">
        <v>7166</v>
      </c>
      <c r="B4003" s="397">
        <v>44438</v>
      </c>
      <c r="C4003" s="398" t="s">
        <v>4566</v>
      </c>
      <c r="D4003" s="399" t="s">
        <v>4567</v>
      </c>
      <c r="E4003" s="399" t="s">
        <v>4042</v>
      </c>
      <c r="F4003" s="400">
        <v>3264.3243000000002</v>
      </c>
      <c r="G4003" s="401" t="s">
        <v>3800</v>
      </c>
      <c r="H4003" s="402">
        <v>1.2146303753709122</v>
      </c>
      <c r="I4003" s="402"/>
      <c r="J4003" s="400"/>
      <c r="K4003" s="400"/>
      <c r="L4003" s="400"/>
      <c r="M4003" s="400"/>
      <c r="N4003" s="400">
        <f t="shared" si="213"/>
        <v>1.2146303753709122</v>
      </c>
    </row>
    <row r="4004" spans="1:14" s="360" customFormat="1" hidden="1" outlineLevel="2" x14ac:dyDescent="0.35">
      <c r="A4004" s="403" t="s">
        <v>7166</v>
      </c>
      <c r="B4004" s="397">
        <v>44438</v>
      </c>
      <c r="C4004" s="398" t="s">
        <v>4561</v>
      </c>
      <c r="D4004" s="399" t="s">
        <v>4562</v>
      </c>
      <c r="E4004" s="399" t="s">
        <v>7176</v>
      </c>
      <c r="F4004" s="400">
        <v>544054.05000000005</v>
      </c>
      <c r="G4004" s="401" t="s">
        <v>3800</v>
      </c>
      <c r="H4004" s="402">
        <v>202.43839589515204</v>
      </c>
      <c r="I4004" s="402"/>
      <c r="J4004" s="400"/>
      <c r="K4004" s="400"/>
      <c r="L4004" s="400"/>
      <c r="M4004" s="400"/>
      <c r="N4004" s="400">
        <f t="shared" si="213"/>
        <v>202.43839589515204</v>
      </c>
    </row>
    <row r="4005" spans="1:14" s="360" customFormat="1" hidden="1" outlineLevel="2" collapsed="1" x14ac:dyDescent="0.35">
      <c r="A4005" s="403" t="s">
        <v>7166</v>
      </c>
      <c r="B4005" s="397">
        <v>44438</v>
      </c>
      <c r="C4005" s="398" t="s">
        <v>4564</v>
      </c>
      <c r="D4005" s="399" t="s">
        <v>4565</v>
      </c>
      <c r="E4005" s="399" t="s">
        <v>4272</v>
      </c>
      <c r="F4005" s="400">
        <v>54405.41</v>
      </c>
      <c r="G4005" s="401" t="s">
        <v>3800</v>
      </c>
      <c r="H4005" s="402">
        <v>20.243841449977374</v>
      </c>
      <c r="I4005" s="402"/>
      <c r="J4005" s="400"/>
      <c r="K4005" s="400"/>
      <c r="L4005" s="400"/>
      <c r="M4005" s="400"/>
      <c r="N4005" s="400">
        <f t="shared" si="213"/>
        <v>20.243841449977374</v>
      </c>
    </row>
    <row r="4006" spans="1:14" s="360" customFormat="1" hidden="1" outlineLevel="2" x14ac:dyDescent="0.35">
      <c r="A4006" s="403" t="s">
        <v>7166</v>
      </c>
      <c r="B4006" s="397">
        <v>44438</v>
      </c>
      <c r="C4006" s="398" t="s">
        <v>4566</v>
      </c>
      <c r="D4006" s="399" t="s">
        <v>4567</v>
      </c>
      <c r="E4006" s="399" t="s">
        <v>4042</v>
      </c>
      <c r="F4006" s="400">
        <v>3264.3243000000002</v>
      </c>
      <c r="G4006" s="401" t="s">
        <v>3800</v>
      </c>
      <c r="H4006" s="402">
        <v>1.2146303753709122</v>
      </c>
      <c r="I4006" s="402"/>
      <c r="J4006" s="400"/>
      <c r="K4006" s="400"/>
      <c r="L4006" s="400"/>
      <c r="M4006" s="400"/>
      <c r="N4006" s="400">
        <f t="shared" si="213"/>
        <v>1.2146303753709122</v>
      </c>
    </row>
    <row r="4007" spans="1:14" s="360" customFormat="1" hidden="1" outlineLevel="2" x14ac:dyDescent="0.35">
      <c r="A4007" s="403" t="s">
        <v>7166</v>
      </c>
      <c r="B4007" s="397">
        <v>44438</v>
      </c>
      <c r="C4007" s="398" t="s">
        <v>4561</v>
      </c>
      <c r="D4007" s="399" t="s">
        <v>4562</v>
      </c>
      <c r="E4007" s="399" t="s">
        <v>7177</v>
      </c>
      <c r="F4007" s="400">
        <v>604504.05000000005</v>
      </c>
      <c r="G4007" s="401" t="s">
        <v>3800</v>
      </c>
      <c r="H4007" s="402">
        <v>224.93138355301789</v>
      </c>
      <c r="I4007" s="402"/>
      <c r="J4007" s="400"/>
      <c r="K4007" s="400"/>
      <c r="L4007" s="400"/>
      <c r="M4007" s="400"/>
      <c r="N4007" s="400">
        <f t="shared" si="213"/>
        <v>224.93138355301789</v>
      </c>
    </row>
    <row r="4008" spans="1:14" s="360" customFormat="1" hidden="1" outlineLevel="2" x14ac:dyDescent="0.35">
      <c r="A4008" s="403" t="s">
        <v>7166</v>
      </c>
      <c r="B4008" s="397">
        <v>44438</v>
      </c>
      <c r="C4008" s="398" t="s">
        <v>4564</v>
      </c>
      <c r="D4008" s="399" t="s">
        <v>4565</v>
      </c>
      <c r="E4008" s="399" t="s">
        <v>4272</v>
      </c>
      <c r="F4008" s="400">
        <v>60450.45</v>
      </c>
      <c r="G4008" s="401" t="s">
        <v>3800</v>
      </c>
      <c r="H4008" s="402">
        <v>22.493155099461333</v>
      </c>
      <c r="I4008" s="402"/>
      <c r="J4008" s="400"/>
      <c r="K4008" s="400"/>
      <c r="L4008" s="400"/>
      <c r="M4008" s="400"/>
      <c r="N4008" s="400">
        <f t="shared" si="213"/>
        <v>22.493155099461333</v>
      </c>
    </row>
    <row r="4009" spans="1:14" s="360" customFormat="1" hidden="1" outlineLevel="2" collapsed="1" x14ac:dyDescent="0.35">
      <c r="A4009" s="403" t="s">
        <v>7166</v>
      </c>
      <c r="B4009" s="397">
        <v>44438</v>
      </c>
      <c r="C4009" s="398" t="s">
        <v>4566</v>
      </c>
      <c r="D4009" s="399" t="s">
        <v>4567</v>
      </c>
      <c r="E4009" s="399" t="s">
        <v>4042</v>
      </c>
      <c r="F4009" s="400">
        <v>3627.0243000000005</v>
      </c>
      <c r="G4009" s="401" t="s">
        <v>3800</v>
      </c>
      <c r="H4009" s="402">
        <v>1.3495883013181076</v>
      </c>
      <c r="I4009" s="402"/>
      <c r="J4009" s="400"/>
      <c r="K4009" s="400"/>
      <c r="L4009" s="400"/>
      <c r="M4009" s="400"/>
      <c r="N4009" s="400">
        <f t="shared" si="213"/>
        <v>1.3495883013181076</v>
      </c>
    </row>
    <row r="4010" spans="1:14" s="360" customFormat="1" hidden="1" outlineLevel="2" x14ac:dyDescent="0.35">
      <c r="A4010" s="403" t="s">
        <v>7166</v>
      </c>
      <c r="B4010" s="397">
        <v>44438</v>
      </c>
      <c r="C4010" s="398" t="s">
        <v>4561</v>
      </c>
      <c r="D4010" s="399" t="s">
        <v>4562</v>
      </c>
      <c r="E4010" s="399" t="s">
        <v>7178</v>
      </c>
      <c r="F4010" s="400">
        <v>201501.5</v>
      </c>
      <c r="G4010" s="401" t="s">
        <v>3800</v>
      </c>
      <c r="H4010" s="402">
        <v>74.97718366487112</v>
      </c>
      <c r="I4010" s="402"/>
      <c r="J4010" s="400"/>
      <c r="K4010" s="400"/>
      <c r="L4010" s="400"/>
      <c r="M4010" s="400"/>
      <c r="N4010" s="400">
        <f t="shared" si="213"/>
        <v>74.97718366487112</v>
      </c>
    </row>
    <row r="4011" spans="1:14" s="360" customFormat="1" hidden="1" outlineLevel="2" x14ac:dyDescent="0.35">
      <c r="A4011" s="403" t="s">
        <v>7166</v>
      </c>
      <c r="B4011" s="397">
        <v>44438</v>
      </c>
      <c r="C4011" s="398" t="s">
        <v>4564</v>
      </c>
      <c r="D4011" s="399" t="s">
        <v>4565</v>
      </c>
      <c r="E4011" s="399" t="s">
        <v>4272</v>
      </c>
      <c r="F4011" s="400">
        <v>20150.150000000001</v>
      </c>
      <c r="G4011" s="401" t="s">
        <v>3800</v>
      </c>
      <c r="H4011" s="402">
        <v>7.4977183664871125</v>
      </c>
      <c r="I4011" s="402"/>
      <c r="J4011" s="400"/>
      <c r="K4011" s="400"/>
      <c r="L4011" s="400"/>
      <c r="M4011" s="400"/>
      <c r="N4011" s="400">
        <f t="shared" si="213"/>
        <v>7.4977183664871125</v>
      </c>
    </row>
    <row r="4012" spans="1:14" s="360" customFormat="1" hidden="1" outlineLevel="2" x14ac:dyDescent="0.35">
      <c r="A4012" s="403" t="s">
        <v>7166</v>
      </c>
      <c r="B4012" s="397">
        <v>44438</v>
      </c>
      <c r="C4012" s="398" t="s">
        <v>4566</v>
      </c>
      <c r="D4012" s="399" t="s">
        <v>4567</v>
      </c>
      <c r="E4012" s="399" t="s">
        <v>4042</v>
      </c>
      <c r="F4012" s="400">
        <v>1209.009</v>
      </c>
      <c r="G4012" s="401" t="s">
        <v>3800</v>
      </c>
      <c r="H4012" s="402">
        <v>0.44986310198922669</v>
      </c>
      <c r="I4012" s="402"/>
      <c r="J4012" s="400"/>
      <c r="K4012" s="400"/>
      <c r="L4012" s="400"/>
      <c r="M4012" s="400"/>
      <c r="N4012" s="400">
        <f t="shared" si="213"/>
        <v>0.44986310198922669</v>
      </c>
    </row>
    <row r="4013" spans="1:14" s="360" customFormat="1" hidden="1" outlineLevel="2" x14ac:dyDescent="0.35">
      <c r="A4013" s="403" t="s">
        <v>7166</v>
      </c>
      <c r="B4013" s="397">
        <v>44438</v>
      </c>
      <c r="C4013" s="398" t="s">
        <v>4561</v>
      </c>
      <c r="D4013" s="399" t="s">
        <v>4562</v>
      </c>
      <c r="E4013" s="399" t="s">
        <v>7179</v>
      </c>
      <c r="F4013" s="400">
        <v>201501.5</v>
      </c>
      <c r="G4013" s="401" t="s">
        <v>3800</v>
      </c>
      <c r="H4013" s="402">
        <v>74.97718366487112</v>
      </c>
      <c r="I4013" s="402"/>
      <c r="J4013" s="400"/>
      <c r="K4013" s="400"/>
      <c r="L4013" s="400"/>
      <c r="M4013" s="400"/>
      <c r="N4013" s="400">
        <f t="shared" si="213"/>
        <v>74.97718366487112</v>
      </c>
    </row>
    <row r="4014" spans="1:14" s="360" customFormat="1" hidden="1" outlineLevel="2" x14ac:dyDescent="0.35">
      <c r="A4014" s="403" t="s">
        <v>7166</v>
      </c>
      <c r="B4014" s="397">
        <v>44438</v>
      </c>
      <c r="C4014" s="398" t="s">
        <v>4564</v>
      </c>
      <c r="D4014" s="399" t="s">
        <v>4565</v>
      </c>
      <c r="E4014" s="399" t="s">
        <v>4272</v>
      </c>
      <c r="F4014" s="400">
        <v>20150.150000000001</v>
      </c>
      <c r="G4014" s="401" t="s">
        <v>3800</v>
      </c>
      <c r="H4014" s="402">
        <v>7.4977183664871125</v>
      </c>
      <c r="I4014" s="402"/>
      <c r="J4014" s="400"/>
      <c r="K4014" s="400"/>
      <c r="L4014" s="400"/>
      <c r="M4014" s="400"/>
      <c r="N4014" s="400">
        <f t="shared" si="213"/>
        <v>7.4977183664871125</v>
      </c>
    </row>
    <row r="4015" spans="1:14" s="360" customFormat="1" hidden="1" outlineLevel="2" x14ac:dyDescent="0.35">
      <c r="A4015" s="403" t="s">
        <v>7166</v>
      </c>
      <c r="B4015" s="397">
        <v>44438</v>
      </c>
      <c r="C4015" s="398" t="s">
        <v>4566</v>
      </c>
      <c r="D4015" s="399" t="s">
        <v>4567</v>
      </c>
      <c r="E4015" s="399" t="s">
        <v>4042</v>
      </c>
      <c r="F4015" s="400">
        <v>1209.009</v>
      </c>
      <c r="G4015" s="401" t="s">
        <v>3800</v>
      </c>
      <c r="H4015" s="402">
        <v>0.44986310198922669</v>
      </c>
      <c r="I4015" s="402"/>
      <c r="J4015" s="400"/>
      <c r="K4015" s="400"/>
      <c r="L4015" s="400"/>
      <c r="M4015" s="400"/>
      <c r="N4015" s="400">
        <f t="shared" si="213"/>
        <v>0.44986310198922669</v>
      </c>
    </row>
    <row r="4016" spans="1:14" s="360" customFormat="1" hidden="1" outlineLevel="2" x14ac:dyDescent="0.35">
      <c r="A4016" s="403" t="s">
        <v>7166</v>
      </c>
      <c r="B4016" s="397">
        <v>44467</v>
      </c>
      <c r="C4016" s="398" t="s">
        <v>4568</v>
      </c>
      <c r="D4016" s="399" t="s">
        <v>4569</v>
      </c>
      <c r="E4016" s="399" t="s">
        <v>4563</v>
      </c>
      <c r="F4016" s="400">
        <v>604504.5</v>
      </c>
      <c r="G4016" s="401" t="s">
        <v>3800</v>
      </c>
      <c r="H4016" s="402">
        <v>224.93155099461336</v>
      </c>
      <c r="I4016" s="402"/>
      <c r="J4016" s="400"/>
      <c r="K4016" s="400"/>
      <c r="L4016" s="400"/>
      <c r="M4016" s="400"/>
      <c r="N4016" s="400">
        <f t="shared" si="213"/>
        <v>224.93155099461336</v>
      </c>
    </row>
    <row r="4017" spans="1:14" s="360" customFormat="1" hidden="1" outlineLevel="2" x14ac:dyDescent="0.35">
      <c r="A4017" s="403" t="s">
        <v>7166</v>
      </c>
      <c r="B4017" s="397">
        <v>44467</v>
      </c>
      <c r="C4017" s="398" t="s">
        <v>4570</v>
      </c>
      <c r="D4017" s="399" t="s">
        <v>4571</v>
      </c>
      <c r="E4017" s="399" t="s">
        <v>4272</v>
      </c>
      <c r="F4017" s="400">
        <v>60450.450000000004</v>
      </c>
      <c r="G4017" s="401" t="s">
        <v>3800</v>
      </c>
      <c r="H4017" s="402">
        <v>22.493155099461337</v>
      </c>
      <c r="I4017" s="402"/>
      <c r="J4017" s="400"/>
      <c r="K4017" s="400"/>
      <c r="L4017" s="400"/>
      <c r="M4017" s="400"/>
      <c r="N4017" s="400">
        <f t="shared" si="213"/>
        <v>22.493155099461337</v>
      </c>
    </row>
    <row r="4018" spans="1:14" s="360" customFormat="1" hidden="1" outlineLevel="2" x14ac:dyDescent="0.35">
      <c r="A4018" s="403" t="s">
        <v>7166</v>
      </c>
      <c r="B4018" s="397">
        <v>44467</v>
      </c>
      <c r="C4018" s="398" t="s">
        <v>4572</v>
      </c>
      <c r="D4018" s="399" t="s">
        <v>4573</v>
      </c>
      <c r="E4018" s="399" t="s">
        <v>4042</v>
      </c>
      <c r="F4018" s="400">
        <v>3627.027</v>
      </c>
      <c r="G4018" s="401" t="s">
        <v>3800</v>
      </c>
      <c r="H4018" s="402">
        <v>1.3495893059676802</v>
      </c>
      <c r="I4018" s="402"/>
      <c r="J4018" s="400"/>
      <c r="K4018" s="400"/>
      <c r="L4018" s="400"/>
      <c r="M4018" s="400"/>
      <c r="N4018" s="400">
        <f t="shared" si="213"/>
        <v>1.3495893059676802</v>
      </c>
    </row>
    <row r="4019" spans="1:14" s="360" customFormat="1" hidden="1" outlineLevel="2" x14ac:dyDescent="0.35">
      <c r="A4019" s="403" t="s">
        <v>7166</v>
      </c>
      <c r="B4019" s="397">
        <v>44467</v>
      </c>
      <c r="C4019" s="398" t="s">
        <v>4568</v>
      </c>
      <c r="D4019" s="399" t="s">
        <v>4569</v>
      </c>
      <c r="E4019" s="399" t="s">
        <v>7169</v>
      </c>
      <c r="F4019" s="400">
        <v>604504.5</v>
      </c>
      <c r="G4019" s="401" t="s">
        <v>3800</v>
      </c>
      <c r="H4019" s="402">
        <v>224.93155099461336</v>
      </c>
      <c r="I4019" s="402"/>
      <c r="J4019" s="400"/>
      <c r="K4019" s="400"/>
      <c r="L4019" s="400"/>
      <c r="M4019" s="400"/>
      <c r="N4019" s="400">
        <f t="shared" si="213"/>
        <v>224.93155099461336</v>
      </c>
    </row>
    <row r="4020" spans="1:14" s="360" customFormat="1" hidden="1" outlineLevel="2" collapsed="1" x14ac:dyDescent="0.35">
      <c r="A4020" s="403" t="s">
        <v>7166</v>
      </c>
      <c r="B4020" s="397">
        <v>44467</v>
      </c>
      <c r="C4020" s="398" t="s">
        <v>4570</v>
      </c>
      <c r="D4020" s="399" t="s">
        <v>4571</v>
      </c>
      <c r="E4020" s="399" t="s">
        <v>4272</v>
      </c>
      <c r="F4020" s="400">
        <v>60450.450000000004</v>
      </c>
      <c r="G4020" s="401" t="s">
        <v>3800</v>
      </c>
      <c r="H4020" s="402">
        <v>22.493155099461337</v>
      </c>
      <c r="I4020" s="402"/>
      <c r="J4020" s="400"/>
      <c r="K4020" s="400"/>
      <c r="L4020" s="400"/>
      <c r="M4020" s="400"/>
      <c r="N4020" s="400">
        <f t="shared" si="213"/>
        <v>22.493155099461337</v>
      </c>
    </row>
    <row r="4021" spans="1:14" s="360" customFormat="1" hidden="1" outlineLevel="2" x14ac:dyDescent="0.35">
      <c r="A4021" s="403" t="s">
        <v>7166</v>
      </c>
      <c r="B4021" s="397">
        <v>44467</v>
      </c>
      <c r="C4021" s="398" t="s">
        <v>4572</v>
      </c>
      <c r="D4021" s="399" t="s">
        <v>4573</v>
      </c>
      <c r="E4021" s="399" t="s">
        <v>4042</v>
      </c>
      <c r="F4021" s="400">
        <v>3627.027</v>
      </c>
      <c r="G4021" s="401" t="s">
        <v>3800</v>
      </c>
      <c r="H4021" s="402">
        <v>1.3495893059676802</v>
      </c>
      <c r="I4021" s="402"/>
      <c r="J4021" s="400"/>
      <c r="K4021" s="400"/>
      <c r="L4021" s="400"/>
      <c r="M4021" s="400"/>
      <c r="N4021" s="400">
        <f t="shared" si="213"/>
        <v>1.3495893059676802</v>
      </c>
    </row>
    <row r="4022" spans="1:14" s="360" customFormat="1" hidden="1" outlineLevel="2" x14ac:dyDescent="0.35">
      <c r="A4022" s="403" t="s">
        <v>7166</v>
      </c>
      <c r="B4022" s="397">
        <v>44467</v>
      </c>
      <c r="C4022" s="398" t="s">
        <v>4568</v>
      </c>
      <c r="D4022" s="399" t="s">
        <v>4569</v>
      </c>
      <c r="E4022" s="399" t="s">
        <v>7170</v>
      </c>
      <c r="F4022" s="400">
        <v>604504.5</v>
      </c>
      <c r="G4022" s="401" t="s">
        <v>3800</v>
      </c>
      <c r="H4022" s="402">
        <v>224.93155099461336</v>
      </c>
      <c r="I4022" s="402"/>
      <c r="J4022" s="400"/>
      <c r="K4022" s="400"/>
      <c r="L4022" s="400"/>
      <c r="M4022" s="400"/>
      <c r="N4022" s="400">
        <f t="shared" si="213"/>
        <v>224.93155099461336</v>
      </c>
    </row>
    <row r="4023" spans="1:14" s="360" customFormat="1" hidden="1" outlineLevel="2" x14ac:dyDescent="0.35">
      <c r="A4023" s="403" t="s">
        <v>7166</v>
      </c>
      <c r="B4023" s="397">
        <v>44467</v>
      </c>
      <c r="C4023" s="398" t="s">
        <v>4570</v>
      </c>
      <c r="D4023" s="399" t="s">
        <v>4571</v>
      </c>
      <c r="E4023" s="399" t="s">
        <v>4272</v>
      </c>
      <c r="F4023" s="400">
        <v>60450.450000000004</v>
      </c>
      <c r="G4023" s="401" t="s">
        <v>3800</v>
      </c>
      <c r="H4023" s="402">
        <v>22.493155099461337</v>
      </c>
      <c r="I4023" s="402"/>
      <c r="J4023" s="400"/>
      <c r="K4023" s="400"/>
      <c r="L4023" s="400"/>
      <c r="M4023" s="400"/>
      <c r="N4023" s="400">
        <f t="shared" si="213"/>
        <v>22.493155099461337</v>
      </c>
    </row>
    <row r="4024" spans="1:14" s="360" customFormat="1" hidden="1" outlineLevel="2" x14ac:dyDescent="0.35">
      <c r="A4024" s="403" t="s">
        <v>7166</v>
      </c>
      <c r="B4024" s="397">
        <v>44467</v>
      </c>
      <c r="C4024" s="398" t="s">
        <v>4572</v>
      </c>
      <c r="D4024" s="399" t="s">
        <v>4573</v>
      </c>
      <c r="E4024" s="399" t="s">
        <v>4042</v>
      </c>
      <c r="F4024" s="400">
        <v>3627.027</v>
      </c>
      <c r="G4024" s="401" t="s">
        <v>3800</v>
      </c>
      <c r="H4024" s="402">
        <v>1.3495893059676802</v>
      </c>
      <c r="I4024" s="402"/>
      <c r="J4024" s="400"/>
      <c r="K4024" s="400"/>
      <c r="L4024" s="400"/>
      <c r="M4024" s="400"/>
      <c r="N4024" s="400">
        <f t="shared" si="213"/>
        <v>1.3495893059676802</v>
      </c>
    </row>
    <row r="4025" spans="1:14" s="360" customFormat="1" hidden="1" outlineLevel="2" x14ac:dyDescent="0.35">
      <c r="A4025" s="403" t="s">
        <v>7166</v>
      </c>
      <c r="B4025" s="397">
        <v>44467</v>
      </c>
      <c r="C4025" s="398" t="s">
        <v>4568</v>
      </c>
      <c r="D4025" s="399" t="s">
        <v>4569</v>
      </c>
      <c r="E4025" s="399" t="s">
        <v>7171</v>
      </c>
      <c r="F4025" s="400">
        <v>604504.5</v>
      </c>
      <c r="G4025" s="401" t="s">
        <v>3800</v>
      </c>
      <c r="H4025" s="402">
        <v>224.93155099461336</v>
      </c>
      <c r="I4025" s="402"/>
      <c r="J4025" s="400"/>
      <c r="K4025" s="400"/>
      <c r="L4025" s="400"/>
      <c r="M4025" s="400"/>
      <c r="N4025" s="400">
        <f t="shared" si="213"/>
        <v>224.93155099461336</v>
      </c>
    </row>
    <row r="4026" spans="1:14" s="360" customFormat="1" hidden="1" outlineLevel="2" x14ac:dyDescent="0.35">
      <c r="A4026" s="403" t="s">
        <v>7166</v>
      </c>
      <c r="B4026" s="397">
        <v>44467</v>
      </c>
      <c r="C4026" s="398" t="s">
        <v>4570</v>
      </c>
      <c r="D4026" s="399" t="s">
        <v>4571</v>
      </c>
      <c r="E4026" s="399" t="s">
        <v>4272</v>
      </c>
      <c r="F4026" s="400">
        <v>60450.450000000004</v>
      </c>
      <c r="G4026" s="401" t="s">
        <v>3800</v>
      </c>
      <c r="H4026" s="402">
        <v>22.493155099461337</v>
      </c>
      <c r="I4026" s="402"/>
      <c r="J4026" s="400"/>
      <c r="K4026" s="400"/>
      <c r="L4026" s="400"/>
      <c r="M4026" s="400"/>
      <c r="N4026" s="400">
        <f t="shared" si="213"/>
        <v>22.493155099461337</v>
      </c>
    </row>
    <row r="4027" spans="1:14" s="360" customFormat="1" hidden="1" outlineLevel="2" x14ac:dyDescent="0.35">
      <c r="A4027" s="403" t="s">
        <v>7166</v>
      </c>
      <c r="B4027" s="397">
        <v>44467</v>
      </c>
      <c r="C4027" s="398" t="s">
        <v>4572</v>
      </c>
      <c r="D4027" s="399" t="s">
        <v>4573</v>
      </c>
      <c r="E4027" s="399" t="s">
        <v>4042</v>
      </c>
      <c r="F4027" s="400">
        <v>3627.027</v>
      </c>
      <c r="G4027" s="401" t="s">
        <v>3800</v>
      </c>
      <c r="H4027" s="402">
        <v>1.3495893059676802</v>
      </c>
      <c r="I4027" s="402"/>
      <c r="J4027" s="400"/>
      <c r="K4027" s="400"/>
      <c r="L4027" s="400"/>
      <c r="M4027" s="400"/>
      <c r="N4027" s="400">
        <f t="shared" si="213"/>
        <v>1.3495893059676802</v>
      </c>
    </row>
    <row r="4028" spans="1:14" s="360" customFormat="1" hidden="1" outlineLevel="2" x14ac:dyDescent="0.35">
      <c r="A4028" s="403" t="s">
        <v>7166</v>
      </c>
      <c r="B4028" s="397">
        <v>44467</v>
      </c>
      <c r="C4028" s="398" t="s">
        <v>4568</v>
      </c>
      <c r="D4028" s="399" t="s">
        <v>4569</v>
      </c>
      <c r="E4028" s="399" t="s">
        <v>7172</v>
      </c>
      <c r="F4028" s="400">
        <v>604504.5</v>
      </c>
      <c r="G4028" s="401" t="s">
        <v>3800</v>
      </c>
      <c r="H4028" s="402">
        <v>224.93155099461336</v>
      </c>
      <c r="I4028" s="402"/>
      <c r="J4028" s="400"/>
      <c r="K4028" s="400"/>
      <c r="L4028" s="400"/>
      <c r="M4028" s="400"/>
      <c r="N4028" s="400">
        <f t="shared" si="213"/>
        <v>224.93155099461336</v>
      </c>
    </row>
    <row r="4029" spans="1:14" s="360" customFormat="1" hidden="1" outlineLevel="2" x14ac:dyDescent="0.35">
      <c r="A4029" s="403" t="s">
        <v>7166</v>
      </c>
      <c r="B4029" s="397">
        <v>44467</v>
      </c>
      <c r="C4029" s="398" t="s">
        <v>4570</v>
      </c>
      <c r="D4029" s="399" t="s">
        <v>4571</v>
      </c>
      <c r="E4029" s="399" t="s">
        <v>4272</v>
      </c>
      <c r="F4029" s="400">
        <v>60450.450000000004</v>
      </c>
      <c r="G4029" s="401" t="s">
        <v>3800</v>
      </c>
      <c r="H4029" s="402">
        <v>22.493155099461337</v>
      </c>
      <c r="I4029" s="402"/>
      <c r="J4029" s="400"/>
      <c r="K4029" s="400"/>
      <c r="L4029" s="400"/>
      <c r="M4029" s="400"/>
      <c r="N4029" s="400">
        <f t="shared" si="213"/>
        <v>22.493155099461337</v>
      </c>
    </row>
    <row r="4030" spans="1:14" s="360" customFormat="1" hidden="1" outlineLevel="2" x14ac:dyDescent="0.35">
      <c r="A4030" s="403" t="s">
        <v>7166</v>
      </c>
      <c r="B4030" s="397">
        <v>44467</v>
      </c>
      <c r="C4030" s="398" t="s">
        <v>4572</v>
      </c>
      <c r="D4030" s="399" t="s">
        <v>4573</v>
      </c>
      <c r="E4030" s="399" t="s">
        <v>4042</v>
      </c>
      <c r="F4030" s="400">
        <v>3627.027</v>
      </c>
      <c r="G4030" s="401" t="s">
        <v>3800</v>
      </c>
      <c r="H4030" s="402">
        <v>1.3495893059676802</v>
      </c>
      <c r="I4030" s="402"/>
      <c r="J4030" s="400"/>
      <c r="K4030" s="400"/>
      <c r="L4030" s="400"/>
      <c r="M4030" s="400"/>
      <c r="N4030" s="400">
        <f t="shared" si="213"/>
        <v>1.3495893059676802</v>
      </c>
    </row>
    <row r="4031" spans="1:14" s="360" customFormat="1" hidden="1" outlineLevel="2" x14ac:dyDescent="0.35">
      <c r="A4031" s="403" t="s">
        <v>7166</v>
      </c>
      <c r="B4031" s="397">
        <v>44467</v>
      </c>
      <c r="C4031" s="398" t="s">
        <v>4568</v>
      </c>
      <c r="D4031" s="399" t="s">
        <v>4569</v>
      </c>
      <c r="E4031" s="399" t="s">
        <v>7173</v>
      </c>
      <c r="F4031" s="400">
        <v>604504.5</v>
      </c>
      <c r="G4031" s="401" t="s">
        <v>3800</v>
      </c>
      <c r="H4031" s="402">
        <v>224.93155099461336</v>
      </c>
      <c r="I4031" s="402"/>
      <c r="J4031" s="400"/>
      <c r="K4031" s="400"/>
      <c r="L4031" s="400"/>
      <c r="M4031" s="400"/>
      <c r="N4031" s="400">
        <f t="shared" ref="N4031:N4094" si="214">H4031</f>
        <v>224.93155099461336</v>
      </c>
    </row>
    <row r="4032" spans="1:14" s="360" customFormat="1" hidden="1" outlineLevel="2" x14ac:dyDescent="0.35">
      <c r="A4032" s="403" t="s">
        <v>7166</v>
      </c>
      <c r="B4032" s="397">
        <v>44467</v>
      </c>
      <c r="C4032" s="398" t="s">
        <v>4570</v>
      </c>
      <c r="D4032" s="399" t="s">
        <v>4571</v>
      </c>
      <c r="E4032" s="399" t="s">
        <v>4272</v>
      </c>
      <c r="F4032" s="400">
        <v>60450.450000000004</v>
      </c>
      <c r="G4032" s="401" t="s">
        <v>3800</v>
      </c>
      <c r="H4032" s="402">
        <v>22.493155099461337</v>
      </c>
      <c r="I4032" s="402"/>
      <c r="J4032" s="400"/>
      <c r="K4032" s="400"/>
      <c r="L4032" s="400"/>
      <c r="M4032" s="400"/>
      <c r="N4032" s="400">
        <f t="shared" si="214"/>
        <v>22.493155099461337</v>
      </c>
    </row>
    <row r="4033" spans="1:14" s="360" customFormat="1" hidden="1" outlineLevel="2" x14ac:dyDescent="0.35">
      <c r="A4033" s="403" t="s">
        <v>7166</v>
      </c>
      <c r="B4033" s="397">
        <v>44467</v>
      </c>
      <c r="C4033" s="398" t="s">
        <v>4572</v>
      </c>
      <c r="D4033" s="399" t="s">
        <v>4573</v>
      </c>
      <c r="E4033" s="399" t="s">
        <v>4042</v>
      </c>
      <c r="F4033" s="400">
        <v>3627.027</v>
      </c>
      <c r="G4033" s="401" t="s">
        <v>3800</v>
      </c>
      <c r="H4033" s="402">
        <v>1.3495893059676802</v>
      </c>
      <c r="I4033" s="402"/>
      <c r="J4033" s="400"/>
      <c r="K4033" s="400"/>
      <c r="L4033" s="400"/>
      <c r="M4033" s="400"/>
      <c r="N4033" s="400">
        <f t="shared" si="214"/>
        <v>1.3495893059676802</v>
      </c>
    </row>
    <row r="4034" spans="1:14" s="360" customFormat="1" hidden="1" outlineLevel="2" x14ac:dyDescent="0.35">
      <c r="A4034" s="403" t="s">
        <v>7166</v>
      </c>
      <c r="B4034" s="397">
        <v>44467</v>
      </c>
      <c r="C4034" s="398" t="s">
        <v>4568</v>
      </c>
      <c r="D4034" s="399" t="s">
        <v>4569</v>
      </c>
      <c r="E4034" s="399" t="s">
        <v>7174</v>
      </c>
      <c r="F4034" s="400">
        <v>604504.5</v>
      </c>
      <c r="G4034" s="401" t="s">
        <v>3800</v>
      </c>
      <c r="H4034" s="402">
        <v>224.93155099461336</v>
      </c>
      <c r="I4034" s="402"/>
      <c r="J4034" s="400"/>
      <c r="K4034" s="400"/>
      <c r="L4034" s="400"/>
      <c r="M4034" s="400"/>
      <c r="N4034" s="400">
        <f t="shared" si="214"/>
        <v>224.93155099461336</v>
      </c>
    </row>
    <row r="4035" spans="1:14" s="360" customFormat="1" hidden="1" outlineLevel="2" x14ac:dyDescent="0.35">
      <c r="A4035" s="403" t="s">
        <v>7166</v>
      </c>
      <c r="B4035" s="397">
        <v>44467</v>
      </c>
      <c r="C4035" s="398" t="s">
        <v>4570</v>
      </c>
      <c r="D4035" s="399" t="s">
        <v>4571</v>
      </c>
      <c r="E4035" s="399" t="s">
        <v>4272</v>
      </c>
      <c r="F4035" s="400">
        <v>60450.450000000004</v>
      </c>
      <c r="G4035" s="401" t="s">
        <v>3800</v>
      </c>
      <c r="H4035" s="402">
        <v>22.493155099461337</v>
      </c>
      <c r="I4035" s="402"/>
      <c r="J4035" s="400"/>
      <c r="K4035" s="400"/>
      <c r="L4035" s="400"/>
      <c r="M4035" s="400"/>
      <c r="N4035" s="400">
        <f t="shared" si="214"/>
        <v>22.493155099461337</v>
      </c>
    </row>
    <row r="4036" spans="1:14" s="360" customFormat="1" hidden="1" outlineLevel="2" x14ac:dyDescent="0.35">
      <c r="A4036" s="403" t="s">
        <v>7166</v>
      </c>
      <c r="B4036" s="397">
        <v>44467</v>
      </c>
      <c r="C4036" s="398" t="s">
        <v>4572</v>
      </c>
      <c r="D4036" s="399" t="s">
        <v>4573</v>
      </c>
      <c r="E4036" s="399" t="s">
        <v>4042</v>
      </c>
      <c r="F4036" s="400">
        <v>3627.027</v>
      </c>
      <c r="G4036" s="401" t="s">
        <v>3800</v>
      </c>
      <c r="H4036" s="402">
        <v>1.3495893059676802</v>
      </c>
      <c r="I4036" s="402"/>
      <c r="J4036" s="400"/>
      <c r="K4036" s="400"/>
      <c r="L4036" s="400"/>
      <c r="M4036" s="400"/>
      <c r="N4036" s="400">
        <f t="shared" si="214"/>
        <v>1.3495893059676802</v>
      </c>
    </row>
    <row r="4037" spans="1:14" s="360" customFormat="1" hidden="1" outlineLevel="2" x14ac:dyDescent="0.35">
      <c r="A4037" s="403" t="s">
        <v>7166</v>
      </c>
      <c r="B4037" s="397">
        <v>44467</v>
      </c>
      <c r="C4037" s="398" t="s">
        <v>4568</v>
      </c>
      <c r="D4037" s="399" t="s">
        <v>4569</v>
      </c>
      <c r="E4037" s="399" t="s">
        <v>7175</v>
      </c>
      <c r="F4037" s="400">
        <v>604504.5</v>
      </c>
      <c r="G4037" s="401" t="s">
        <v>3800</v>
      </c>
      <c r="H4037" s="402">
        <v>224.93155099461336</v>
      </c>
      <c r="I4037" s="402"/>
      <c r="J4037" s="400"/>
      <c r="K4037" s="400"/>
      <c r="L4037" s="400"/>
      <c r="M4037" s="400"/>
      <c r="N4037" s="400">
        <f t="shared" si="214"/>
        <v>224.93155099461336</v>
      </c>
    </row>
    <row r="4038" spans="1:14" s="360" customFormat="1" hidden="1" outlineLevel="2" x14ac:dyDescent="0.35">
      <c r="A4038" s="403" t="s">
        <v>7166</v>
      </c>
      <c r="B4038" s="397">
        <v>44467</v>
      </c>
      <c r="C4038" s="398" t="s">
        <v>4570</v>
      </c>
      <c r="D4038" s="399" t="s">
        <v>4571</v>
      </c>
      <c r="E4038" s="399" t="s">
        <v>4272</v>
      </c>
      <c r="F4038" s="400">
        <v>60450.450000000004</v>
      </c>
      <c r="G4038" s="401" t="s">
        <v>3800</v>
      </c>
      <c r="H4038" s="402">
        <v>22.493155099461337</v>
      </c>
      <c r="I4038" s="402"/>
      <c r="J4038" s="400"/>
      <c r="K4038" s="400"/>
      <c r="L4038" s="400"/>
      <c r="M4038" s="400"/>
      <c r="N4038" s="400">
        <f t="shared" si="214"/>
        <v>22.493155099461337</v>
      </c>
    </row>
    <row r="4039" spans="1:14" s="360" customFormat="1" hidden="1" outlineLevel="2" x14ac:dyDescent="0.35">
      <c r="A4039" s="403" t="s">
        <v>7166</v>
      </c>
      <c r="B4039" s="397">
        <v>44467</v>
      </c>
      <c r="C4039" s="398" t="s">
        <v>4572</v>
      </c>
      <c r="D4039" s="399" t="s">
        <v>4573</v>
      </c>
      <c r="E4039" s="399" t="s">
        <v>4042</v>
      </c>
      <c r="F4039" s="400">
        <v>3627.027</v>
      </c>
      <c r="G4039" s="401" t="s">
        <v>3800</v>
      </c>
      <c r="H4039" s="402">
        <v>1.3495893059676802</v>
      </c>
      <c r="I4039" s="402"/>
      <c r="J4039" s="400"/>
      <c r="K4039" s="400"/>
      <c r="L4039" s="400"/>
      <c r="M4039" s="400"/>
      <c r="N4039" s="400">
        <f t="shared" si="214"/>
        <v>1.3495893059676802</v>
      </c>
    </row>
    <row r="4040" spans="1:14" s="360" customFormat="1" hidden="1" outlineLevel="2" x14ac:dyDescent="0.35">
      <c r="A4040" s="403" t="s">
        <v>7166</v>
      </c>
      <c r="B4040" s="397">
        <v>44467</v>
      </c>
      <c r="C4040" s="398" t="s">
        <v>4568</v>
      </c>
      <c r="D4040" s="399" t="s">
        <v>4569</v>
      </c>
      <c r="E4040" s="399" t="s">
        <v>7176</v>
      </c>
      <c r="F4040" s="400">
        <v>604504.5</v>
      </c>
      <c r="G4040" s="401" t="s">
        <v>3800</v>
      </c>
      <c r="H4040" s="402">
        <v>224.93155099461336</v>
      </c>
      <c r="I4040" s="402"/>
      <c r="J4040" s="400"/>
      <c r="K4040" s="400"/>
      <c r="L4040" s="400"/>
      <c r="M4040" s="400"/>
      <c r="N4040" s="400">
        <f t="shared" si="214"/>
        <v>224.93155099461336</v>
      </c>
    </row>
    <row r="4041" spans="1:14" s="360" customFormat="1" hidden="1" outlineLevel="2" x14ac:dyDescent="0.35">
      <c r="A4041" s="403" t="s">
        <v>7166</v>
      </c>
      <c r="B4041" s="397">
        <v>44467</v>
      </c>
      <c r="C4041" s="398" t="s">
        <v>4570</v>
      </c>
      <c r="D4041" s="399" t="s">
        <v>4571</v>
      </c>
      <c r="E4041" s="399" t="s">
        <v>4272</v>
      </c>
      <c r="F4041" s="400">
        <v>60450.450000000004</v>
      </c>
      <c r="G4041" s="401" t="s">
        <v>3800</v>
      </c>
      <c r="H4041" s="402">
        <v>22.493155099461337</v>
      </c>
      <c r="I4041" s="402"/>
      <c r="J4041" s="400"/>
      <c r="K4041" s="400"/>
      <c r="L4041" s="400"/>
      <c r="M4041" s="400"/>
      <c r="N4041" s="400">
        <f t="shared" si="214"/>
        <v>22.493155099461337</v>
      </c>
    </row>
    <row r="4042" spans="1:14" s="360" customFormat="1" hidden="1" outlineLevel="2" x14ac:dyDescent="0.35">
      <c r="A4042" s="403" t="s">
        <v>7166</v>
      </c>
      <c r="B4042" s="397">
        <v>44467</v>
      </c>
      <c r="C4042" s="398" t="s">
        <v>4572</v>
      </c>
      <c r="D4042" s="399" t="s">
        <v>4573</v>
      </c>
      <c r="E4042" s="399" t="s">
        <v>4042</v>
      </c>
      <c r="F4042" s="400">
        <v>3627.027</v>
      </c>
      <c r="G4042" s="401" t="s">
        <v>3800</v>
      </c>
      <c r="H4042" s="402">
        <v>1.3495893059676802</v>
      </c>
      <c r="I4042" s="402"/>
      <c r="J4042" s="400"/>
      <c r="K4042" s="400"/>
      <c r="L4042" s="400"/>
      <c r="M4042" s="400"/>
      <c r="N4042" s="400">
        <f t="shared" si="214"/>
        <v>1.3495893059676802</v>
      </c>
    </row>
    <row r="4043" spans="1:14" s="360" customFormat="1" hidden="1" outlineLevel="2" x14ac:dyDescent="0.35">
      <c r="A4043" s="403" t="s">
        <v>7166</v>
      </c>
      <c r="B4043" s="397">
        <v>44467</v>
      </c>
      <c r="C4043" s="398" t="s">
        <v>4568</v>
      </c>
      <c r="D4043" s="399" t="s">
        <v>4569</v>
      </c>
      <c r="E4043" s="399" t="s">
        <v>7177</v>
      </c>
      <c r="F4043" s="400">
        <v>604504.05000000005</v>
      </c>
      <c r="G4043" s="401" t="s">
        <v>3800</v>
      </c>
      <c r="H4043" s="402">
        <v>224.93138355301789</v>
      </c>
      <c r="I4043" s="402"/>
      <c r="J4043" s="400"/>
      <c r="K4043" s="400"/>
      <c r="L4043" s="400"/>
      <c r="M4043" s="400"/>
      <c r="N4043" s="400">
        <f t="shared" si="214"/>
        <v>224.93138355301789</v>
      </c>
    </row>
    <row r="4044" spans="1:14" s="360" customFormat="1" hidden="1" outlineLevel="2" x14ac:dyDescent="0.35">
      <c r="A4044" s="403" t="s">
        <v>7166</v>
      </c>
      <c r="B4044" s="397">
        <v>44467</v>
      </c>
      <c r="C4044" s="398" t="s">
        <v>4570</v>
      </c>
      <c r="D4044" s="399" t="s">
        <v>4571</v>
      </c>
      <c r="E4044" s="399" t="s">
        <v>4272</v>
      </c>
      <c r="F4044" s="400">
        <v>60450.45</v>
      </c>
      <c r="G4044" s="401" t="s">
        <v>3800</v>
      </c>
      <c r="H4044" s="402">
        <v>22.493155099461333</v>
      </c>
      <c r="I4044" s="402"/>
      <c r="J4044" s="400"/>
      <c r="K4044" s="400"/>
      <c r="L4044" s="400"/>
      <c r="M4044" s="400"/>
      <c r="N4044" s="400">
        <f t="shared" si="214"/>
        <v>22.493155099461333</v>
      </c>
    </row>
    <row r="4045" spans="1:14" s="360" customFormat="1" hidden="1" outlineLevel="2" x14ac:dyDescent="0.35">
      <c r="A4045" s="403" t="s">
        <v>7166</v>
      </c>
      <c r="B4045" s="397">
        <v>44467</v>
      </c>
      <c r="C4045" s="398" t="s">
        <v>4572</v>
      </c>
      <c r="D4045" s="399" t="s">
        <v>4573</v>
      </c>
      <c r="E4045" s="399" t="s">
        <v>4042</v>
      </c>
      <c r="F4045" s="400">
        <v>3627.0243000000005</v>
      </c>
      <c r="G4045" s="401" t="s">
        <v>3800</v>
      </c>
      <c r="H4045" s="402">
        <v>1.3495883013181076</v>
      </c>
      <c r="I4045" s="402"/>
      <c r="J4045" s="400"/>
      <c r="K4045" s="400"/>
      <c r="L4045" s="400"/>
      <c r="M4045" s="400"/>
      <c r="N4045" s="400">
        <f t="shared" si="214"/>
        <v>1.3495883013181076</v>
      </c>
    </row>
    <row r="4046" spans="1:14" s="360" customFormat="1" hidden="1" outlineLevel="2" x14ac:dyDescent="0.35">
      <c r="A4046" s="403" t="s">
        <v>7166</v>
      </c>
      <c r="B4046" s="397">
        <v>44467</v>
      </c>
      <c r="C4046" s="398" t="s">
        <v>4568</v>
      </c>
      <c r="D4046" s="399" t="s">
        <v>4569</v>
      </c>
      <c r="E4046" s="399" t="s">
        <v>7178</v>
      </c>
      <c r="F4046" s="400">
        <v>604504.5</v>
      </c>
      <c r="G4046" s="401" t="s">
        <v>3800</v>
      </c>
      <c r="H4046" s="402">
        <v>224.93155099461336</v>
      </c>
      <c r="I4046" s="402"/>
      <c r="J4046" s="400"/>
      <c r="K4046" s="400"/>
      <c r="L4046" s="400"/>
      <c r="M4046" s="400"/>
      <c r="N4046" s="400">
        <f t="shared" si="214"/>
        <v>224.93155099461336</v>
      </c>
    </row>
    <row r="4047" spans="1:14" s="360" customFormat="1" hidden="1" outlineLevel="2" x14ac:dyDescent="0.35">
      <c r="A4047" s="403" t="s">
        <v>7166</v>
      </c>
      <c r="B4047" s="397">
        <v>44467</v>
      </c>
      <c r="C4047" s="398" t="s">
        <v>4570</v>
      </c>
      <c r="D4047" s="399" t="s">
        <v>4571</v>
      </c>
      <c r="E4047" s="399" t="s">
        <v>4272</v>
      </c>
      <c r="F4047" s="400">
        <v>60450.450000000004</v>
      </c>
      <c r="G4047" s="401" t="s">
        <v>3800</v>
      </c>
      <c r="H4047" s="402">
        <v>22.493155099461337</v>
      </c>
      <c r="I4047" s="402"/>
      <c r="J4047" s="400"/>
      <c r="K4047" s="400"/>
      <c r="L4047" s="400"/>
      <c r="M4047" s="400"/>
      <c r="N4047" s="400">
        <f t="shared" si="214"/>
        <v>22.493155099461337</v>
      </c>
    </row>
    <row r="4048" spans="1:14" s="360" customFormat="1" hidden="1" outlineLevel="2" x14ac:dyDescent="0.35">
      <c r="A4048" s="403" t="s">
        <v>7166</v>
      </c>
      <c r="B4048" s="397">
        <v>44467</v>
      </c>
      <c r="C4048" s="398" t="s">
        <v>4572</v>
      </c>
      <c r="D4048" s="399" t="s">
        <v>4573</v>
      </c>
      <c r="E4048" s="399" t="s">
        <v>4042</v>
      </c>
      <c r="F4048" s="400">
        <v>3627.027</v>
      </c>
      <c r="G4048" s="401" t="s">
        <v>3800</v>
      </c>
      <c r="H4048" s="402">
        <v>1.3495893059676802</v>
      </c>
      <c r="I4048" s="402"/>
      <c r="J4048" s="400"/>
      <c r="K4048" s="400"/>
      <c r="L4048" s="400"/>
      <c r="M4048" s="400"/>
      <c r="N4048" s="400">
        <f t="shared" si="214"/>
        <v>1.3495893059676802</v>
      </c>
    </row>
    <row r="4049" spans="1:14" s="360" customFormat="1" hidden="1" outlineLevel="2" x14ac:dyDescent="0.35">
      <c r="A4049" s="403" t="s">
        <v>7166</v>
      </c>
      <c r="B4049" s="397">
        <v>44467</v>
      </c>
      <c r="C4049" s="398" t="s">
        <v>4568</v>
      </c>
      <c r="D4049" s="399" t="s">
        <v>4569</v>
      </c>
      <c r="E4049" s="399" t="s">
        <v>7179</v>
      </c>
      <c r="F4049" s="400">
        <v>604504.5</v>
      </c>
      <c r="G4049" s="401" t="s">
        <v>3800</v>
      </c>
      <c r="H4049" s="402">
        <v>224.93155099461336</v>
      </c>
      <c r="I4049" s="402"/>
      <c r="J4049" s="400"/>
      <c r="K4049" s="400"/>
      <c r="L4049" s="400"/>
      <c r="M4049" s="400"/>
      <c r="N4049" s="400">
        <f t="shared" si="214"/>
        <v>224.93155099461336</v>
      </c>
    </row>
    <row r="4050" spans="1:14" s="360" customFormat="1" hidden="1" outlineLevel="2" x14ac:dyDescent="0.35">
      <c r="A4050" s="403" t="s">
        <v>7166</v>
      </c>
      <c r="B4050" s="397">
        <v>44467</v>
      </c>
      <c r="C4050" s="398" t="s">
        <v>4570</v>
      </c>
      <c r="D4050" s="399" t="s">
        <v>4571</v>
      </c>
      <c r="E4050" s="399" t="s">
        <v>4272</v>
      </c>
      <c r="F4050" s="400">
        <v>60450.450000000004</v>
      </c>
      <c r="G4050" s="401" t="s">
        <v>3800</v>
      </c>
      <c r="H4050" s="402">
        <v>22.493155099461337</v>
      </c>
      <c r="I4050" s="402"/>
      <c r="J4050" s="400"/>
      <c r="K4050" s="400"/>
      <c r="L4050" s="400"/>
      <c r="M4050" s="400"/>
      <c r="N4050" s="400">
        <f t="shared" si="214"/>
        <v>22.493155099461337</v>
      </c>
    </row>
    <row r="4051" spans="1:14" s="360" customFormat="1" hidden="1" outlineLevel="2" x14ac:dyDescent="0.35">
      <c r="A4051" s="403" t="s">
        <v>7166</v>
      </c>
      <c r="B4051" s="397">
        <v>44467</v>
      </c>
      <c r="C4051" s="398" t="s">
        <v>4572</v>
      </c>
      <c r="D4051" s="399" t="s">
        <v>4573</v>
      </c>
      <c r="E4051" s="399" t="s">
        <v>4042</v>
      </c>
      <c r="F4051" s="400">
        <v>3627.027</v>
      </c>
      <c r="G4051" s="401" t="s">
        <v>3800</v>
      </c>
      <c r="H4051" s="402">
        <v>1.3495893059676802</v>
      </c>
      <c r="I4051" s="402"/>
      <c r="J4051" s="400"/>
      <c r="K4051" s="400"/>
      <c r="L4051" s="400"/>
      <c r="M4051" s="400"/>
      <c r="N4051" s="400">
        <f t="shared" si="214"/>
        <v>1.3495893059676802</v>
      </c>
    </row>
    <row r="4052" spans="1:14" s="360" customFormat="1" hidden="1" outlineLevel="2" x14ac:dyDescent="0.35">
      <c r="A4052" s="403" t="s">
        <v>7166</v>
      </c>
      <c r="B4052" s="397">
        <v>44497</v>
      </c>
      <c r="C4052" s="398" t="s">
        <v>4574</v>
      </c>
      <c r="D4052" s="399" t="s">
        <v>4575</v>
      </c>
      <c r="E4052" s="399" t="s">
        <v>7168</v>
      </c>
      <c r="F4052" s="400">
        <v>604504.5</v>
      </c>
      <c r="G4052" s="401" t="s">
        <v>3800</v>
      </c>
      <c r="H4052" s="402">
        <v>224.93155099461336</v>
      </c>
      <c r="I4052" s="402"/>
      <c r="J4052" s="400"/>
      <c r="K4052" s="400"/>
      <c r="L4052" s="400"/>
      <c r="M4052" s="400"/>
      <c r="N4052" s="400">
        <f t="shared" si="214"/>
        <v>224.93155099461336</v>
      </c>
    </row>
    <row r="4053" spans="1:14" s="360" customFormat="1" hidden="1" outlineLevel="2" x14ac:dyDescent="0.35">
      <c r="A4053" s="403" t="s">
        <v>7166</v>
      </c>
      <c r="B4053" s="397">
        <v>44497</v>
      </c>
      <c r="C4053" s="398" t="s">
        <v>4576</v>
      </c>
      <c r="D4053" s="399" t="s">
        <v>4577</v>
      </c>
      <c r="E4053" s="399" t="s">
        <v>4272</v>
      </c>
      <c r="F4053" s="400">
        <v>60450.450000000004</v>
      </c>
      <c r="G4053" s="401" t="s">
        <v>3800</v>
      </c>
      <c r="H4053" s="402">
        <v>22.493155099461337</v>
      </c>
      <c r="I4053" s="402"/>
      <c r="J4053" s="400"/>
      <c r="K4053" s="400"/>
      <c r="L4053" s="400"/>
      <c r="M4053" s="400"/>
      <c r="N4053" s="400">
        <f t="shared" si="214"/>
        <v>22.493155099461337</v>
      </c>
    </row>
    <row r="4054" spans="1:14" s="360" customFormat="1" hidden="1" outlineLevel="2" x14ac:dyDescent="0.35">
      <c r="A4054" s="403" t="s">
        <v>7166</v>
      </c>
      <c r="B4054" s="397">
        <v>44497</v>
      </c>
      <c r="C4054" s="398" t="s">
        <v>4578</v>
      </c>
      <c r="D4054" s="399" t="s">
        <v>4579</v>
      </c>
      <c r="E4054" s="399" t="s">
        <v>4042</v>
      </c>
      <c r="F4054" s="400">
        <v>3627.027</v>
      </c>
      <c r="G4054" s="401" t="s">
        <v>3800</v>
      </c>
      <c r="H4054" s="402">
        <v>1.3495893059676802</v>
      </c>
      <c r="I4054" s="402"/>
      <c r="J4054" s="400"/>
      <c r="K4054" s="400"/>
      <c r="L4054" s="400"/>
      <c r="M4054" s="400"/>
      <c r="N4054" s="400">
        <f t="shared" si="214"/>
        <v>1.3495893059676802</v>
      </c>
    </row>
    <row r="4055" spans="1:14" s="360" customFormat="1" hidden="1" outlineLevel="2" x14ac:dyDescent="0.35">
      <c r="A4055" s="403" t="s">
        <v>7166</v>
      </c>
      <c r="B4055" s="397">
        <v>44497</v>
      </c>
      <c r="C4055" s="398" t="s">
        <v>4574</v>
      </c>
      <c r="D4055" s="399" t="s">
        <v>4575</v>
      </c>
      <c r="E4055" s="399" t="s">
        <v>7169</v>
      </c>
      <c r="F4055" s="400">
        <v>604504.5</v>
      </c>
      <c r="G4055" s="401" t="s">
        <v>3800</v>
      </c>
      <c r="H4055" s="402">
        <v>224.93155099461336</v>
      </c>
      <c r="I4055" s="402"/>
      <c r="J4055" s="400"/>
      <c r="K4055" s="400"/>
      <c r="L4055" s="400"/>
      <c r="M4055" s="400"/>
      <c r="N4055" s="400">
        <f t="shared" si="214"/>
        <v>224.93155099461336</v>
      </c>
    </row>
    <row r="4056" spans="1:14" s="360" customFormat="1" hidden="1" outlineLevel="2" x14ac:dyDescent="0.35">
      <c r="A4056" s="403" t="s">
        <v>7166</v>
      </c>
      <c r="B4056" s="397">
        <v>44497</v>
      </c>
      <c r="C4056" s="398" t="s">
        <v>4576</v>
      </c>
      <c r="D4056" s="399" t="s">
        <v>4577</v>
      </c>
      <c r="E4056" s="399" t="s">
        <v>4272</v>
      </c>
      <c r="F4056" s="400">
        <v>60450.450000000004</v>
      </c>
      <c r="G4056" s="401" t="s">
        <v>3800</v>
      </c>
      <c r="H4056" s="402">
        <v>22.493155099461337</v>
      </c>
      <c r="I4056" s="402"/>
      <c r="J4056" s="400"/>
      <c r="K4056" s="400"/>
      <c r="L4056" s="400"/>
      <c r="M4056" s="400"/>
      <c r="N4056" s="400">
        <f t="shared" si="214"/>
        <v>22.493155099461337</v>
      </c>
    </row>
    <row r="4057" spans="1:14" s="360" customFormat="1" hidden="1" outlineLevel="2" x14ac:dyDescent="0.35">
      <c r="A4057" s="403" t="s">
        <v>7166</v>
      </c>
      <c r="B4057" s="397">
        <v>44497</v>
      </c>
      <c r="C4057" s="398" t="s">
        <v>4578</v>
      </c>
      <c r="D4057" s="399" t="s">
        <v>4579</v>
      </c>
      <c r="E4057" s="399" t="s">
        <v>4042</v>
      </c>
      <c r="F4057" s="400">
        <v>3627.027</v>
      </c>
      <c r="G4057" s="401" t="s">
        <v>3800</v>
      </c>
      <c r="H4057" s="402">
        <v>1.3495893059676802</v>
      </c>
      <c r="I4057" s="402"/>
      <c r="J4057" s="400"/>
      <c r="K4057" s="400"/>
      <c r="L4057" s="400"/>
      <c r="M4057" s="400"/>
      <c r="N4057" s="400">
        <f t="shared" si="214"/>
        <v>1.3495893059676802</v>
      </c>
    </row>
    <row r="4058" spans="1:14" s="360" customFormat="1" hidden="1" outlineLevel="2" x14ac:dyDescent="0.35">
      <c r="A4058" s="403" t="s">
        <v>7166</v>
      </c>
      <c r="B4058" s="397">
        <v>44497</v>
      </c>
      <c r="C4058" s="398" t="s">
        <v>4574</v>
      </c>
      <c r="D4058" s="399" t="s">
        <v>4575</v>
      </c>
      <c r="E4058" s="399" t="s">
        <v>7170</v>
      </c>
      <c r="F4058" s="400">
        <v>604504.5</v>
      </c>
      <c r="G4058" s="401" t="s">
        <v>3800</v>
      </c>
      <c r="H4058" s="402">
        <v>224.93155099461336</v>
      </c>
      <c r="I4058" s="402"/>
      <c r="J4058" s="400"/>
      <c r="K4058" s="400"/>
      <c r="L4058" s="400"/>
      <c r="M4058" s="400"/>
      <c r="N4058" s="400">
        <f t="shared" si="214"/>
        <v>224.93155099461336</v>
      </c>
    </row>
    <row r="4059" spans="1:14" s="360" customFormat="1" hidden="1" outlineLevel="2" x14ac:dyDescent="0.35">
      <c r="A4059" s="403" t="s">
        <v>7166</v>
      </c>
      <c r="B4059" s="397">
        <v>44497</v>
      </c>
      <c r="C4059" s="398" t="s">
        <v>4576</v>
      </c>
      <c r="D4059" s="399" t="s">
        <v>4577</v>
      </c>
      <c r="E4059" s="399" t="s">
        <v>4272</v>
      </c>
      <c r="F4059" s="400">
        <v>60450.450000000004</v>
      </c>
      <c r="G4059" s="401" t="s">
        <v>3800</v>
      </c>
      <c r="H4059" s="402">
        <v>22.493155099461337</v>
      </c>
      <c r="I4059" s="402"/>
      <c r="J4059" s="400"/>
      <c r="K4059" s="400"/>
      <c r="L4059" s="400"/>
      <c r="M4059" s="400"/>
      <c r="N4059" s="400">
        <f t="shared" si="214"/>
        <v>22.493155099461337</v>
      </c>
    </row>
    <row r="4060" spans="1:14" s="360" customFormat="1" hidden="1" outlineLevel="2" x14ac:dyDescent="0.35">
      <c r="A4060" s="403" t="s">
        <v>7166</v>
      </c>
      <c r="B4060" s="397">
        <v>44497</v>
      </c>
      <c r="C4060" s="398" t="s">
        <v>4578</v>
      </c>
      <c r="D4060" s="399" t="s">
        <v>4579</v>
      </c>
      <c r="E4060" s="399" t="s">
        <v>4042</v>
      </c>
      <c r="F4060" s="400">
        <v>3627.027</v>
      </c>
      <c r="G4060" s="401" t="s">
        <v>3800</v>
      </c>
      <c r="H4060" s="402">
        <v>1.3495893059676802</v>
      </c>
      <c r="I4060" s="402"/>
      <c r="J4060" s="400"/>
      <c r="K4060" s="400"/>
      <c r="L4060" s="400"/>
      <c r="M4060" s="400"/>
      <c r="N4060" s="400">
        <f t="shared" si="214"/>
        <v>1.3495893059676802</v>
      </c>
    </row>
    <row r="4061" spans="1:14" s="360" customFormat="1" hidden="1" outlineLevel="2" x14ac:dyDescent="0.35">
      <c r="A4061" s="403" t="s">
        <v>7166</v>
      </c>
      <c r="B4061" s="397">
        <v>44497</v>
      </c>
      <c r="C4061" s="398" t="s">
        <v>4574</v>
      </c>
      <c r="D4061" s="399" t="s">
        <v>4575</v>
      </c>
      <c r="E4061" s="399" t="s">
        <v>7171</v>
      </c>
      <c r="F4061" s="400">
        <v>604504.5</v>
      </c>
      <c r="G4061" s="401" t="s">
        <v>3800</v>
      </c>
      <c r="H4061" s="402">
        <v>224.93155099461336</v>
      </c>
      <c r="I4061" s="402"/>
      <c r="J4061" s="400"/>
      <c r="K4061" s="400"/>
      <c r="L4061" s="400"/>
      <c r="M4061" s="400"/>
      <c r="N4061" s="400">
        <f t="shared" si="214"/>
        <v>224.93155099461336</v>
      </c>
    </row>
    <row r="4062" spans="1:14" s="360" customFormat="1" hidden="1" outlineLevel="2" x14ac:dyDescent="0.35">
      <c r="A4062" s="403" t="s">
        <v>7166</v>
      </c>
      <c r="B4062" s="397">
        <v>44497</v>
      </c>
      <c r="C4062" s="398" t="s">
        <v>4576</v>
      </c>
      <c r="D4062" s="399" t="s">
        <v>4577</v>
      </c>
      <c r="E4062" s="399" t="s">
        <v>4272</v>
      </c>
      <c r="F4062" s="400">
        <v>60450.450000000004</v>
      </c>
      <c r="G4062" s="401" t="s">
        <v>3800</v>
      </c>
      <c r="H4062" s="402">
        <v>22.493155099461337</v>
      </c>
      <c r="I4062" s="402"/>
      <c r="J4062" s="400"/>
      <c r="K4062" s="400"/>
      <c r="L4062" s="400"/>
      <c r="M4062" s="400"/>
      <c r="N4062" s="400">
        <f t="shared" si="214"/>
        <v>22.493155099461337</v>
      </c>
    </row>
    <row r="4063" spans="1:14" s="360" customFormat="1" hidden="1" outlineLevel="2" x14ac:dyDescent="0.35">
      <c r="A4063" s="403" t="s">
        <v>7166</v>
      </c>
      <c r="B4063" s="397">
        <v>44497</v>
      </c>
      <c r="C4063" s="398" t="s">
        <v>4578</v>
      </c>
      <c r="D4063" s="399" t="s">
        <v>4579</v>
      </c>
      <c r="E4063" s="399" t="s">
        <v>4042</v>
      </c>
      <c r="F4063" s="400">
        <v>3627.027</v>
      </c>
      <c r="G4063" s="401" t="s">
        <v>3800</v>
      </c>
      <c r="H4063" s="402">
        <v>1.3495893059676802</v>
      </c>
      <c r="I4063" s="402"/>
      <c r="J4063" s="400"/>
      <c r="K4063" s="400"/>
      <c r="L4063" s="400"/>
      <c r="M4063" s="400"/>
      <c r="N4063" s="400">
        <f t="shared" si="214"/>
        <v>1.3495893059676802</v>
      </c>
    </row>
    <row r="4064" spans="1:14" s="360" customFormat="1" hidden="1" outlineLevel="2" x14ac:dyDescent="0.35">
      <c r="A4064" s="403" t="s">
        <v>7166</v>
      </c>
      <c r="B4064" s="397">
        <v>44497</v>
      </c>
      <c r="C4064" s="398" t="s">
        <v>4574</v>
      </c>
      <c r="D4064" s="399" t="s">
        <v>4575</v>
      </c>
      <c r="E4064" s="399" t="s">
        <v>7172</v>
      </c>
      <c r="F4064" s="400">
        <v>604504.5</v>
      </c>
      <c r="G4064" s="401" t="s">
        <v>3800</v>
      </c>
      <c r="H4064" s="402">
        <v>224.93155099461336</v>
      </c>
      <c r="I4064" s="402"/>
      <c r="J4064" s="400"/>
      <c r="K4064" s="400"/>
      <c r="L4064" s="400"/>
      <c r="M4064" s="400"/>
      <c r="N4064" s="400">
        <f t="shared" si="214"/>
        <v>224.93155099461336</v>
      </c>
    </row>
    <row r="4065" spans="1:14" s="360" customFormat="1" hidden="1" outlineLevel="2" x14ac:dyDescent="0.35">
      <c r="A4065" s="403" t="s">
        <v>7166</v>
      </c>
      <c r="B4065" s="397">
        <v>44497</v>
      </c>
      <c r="C4065" s="398" t="s">
        <v>4576</v>
      </c>
      <c r="D4065" s="399" t="s">
        <v>4577</v>
      </c>
      <c r="E4065" s="399" t="s">
        <v>4272</v>
      </c>
      <c r="F4065" s="400">
        <v>60450.450000000004</v>
      </c>
      <c r="G4065" s="401" t="s">
        <v>3800</v>
      </c>
      <c r="H4065" s="402">
        <v>22.493155099461337</v>
      </c>
      <c r="I4065" s="402"/>
      <c r="J4065" s="400"/>
      <c r="K4065" s="400"/>
      <c r="L4065" s="400"/>
      <c r="M4065" s="400"/>
      <c r="N4065" s="400">
        <f t="shared" si="214"/>
        <v>22.493155099461337</v>
      </c>
    </row>
    <row r="4066" spans="1:14" s="360" customFormat="1" hidden="1" outlineLevel="2" collapsed="1" x14ac:dyDescent="0.35">
      <c r="A4066" s="403" t="s">
        <v>7166</v>
      </c>
      <c r="B4066" s="397">
        <v>44497</v>
      </c>
      <c r="C4066" s="398" t="s">
        <v>4578</v>
      </c>
      <c r="D4066" s="399" t="s">
        <v>4579</v>
      </c>
      <c r="E4066" s="399" t="s">
        <v>4042</v>
      </c>
      <c r="F4066" s="400">
        <v>3627.027</v>
      </c>
      <c r="G4066" s="401" t="s">
        <v>3800</v>
      </c>
      <c r="H4066" s="402">
        <v>1.3495893059676802</v>
      </c>
      <c r="I4066" s="402"/>
      <c r="J4066" s="400"/>
      <c r="K4066" s="400"/>
      <c r="L4066" s="400"/>
      <c r="M4066" s="400"/>
      <c r="N4066" s="400">
        <f t="shared" si="214"/>
        <v>1.3495893059676802</v>
      </c>
    </row>
    <row r="4067" spans="1:14" s="360" customFormat="1" hidden="1" outlineLevel="2" x14ac:dyDescent="0.35">
      <c r="A4067" s="403" t="s">
        <v>7166</v>
      </c>
      <c r="B4067" s="397">
        <v>44497</v>
      </c>
      <c r="C4067" s="398" t="s">
        <v>4574</v>
      </c>
      <c r="D4067" s="399" t="s">
        <v>4575</v>
      </c>
      <c r="E4067" s="399" t="s">
        <v>7173</v>
      </c>
      <c r="F4067" s="400">
        <v>604504.5</v>
      </c>
      <c r="G4067" s="401" t="s">
        <v>3800</v>
      </c>
      <c r="H4067" s="402">
        <v>224.93155099461336</v>
      </c>
      <c r="I4067" s="402"/>
      <c r="J4067" s="400"/>
      <c r="K4067" s="400"/>
      <c r="L4067" s="400"/>
      <c r="M4067" s="400"/>
      <c r="N4067" s="400">
        <f t="shared" si="214"/>
        <v>224.93155099461336</v>
      </c>
    </row>
    <row r="4068" spans="1:14" s="360" customFormat="1" hidden="1" outlineLevel="2" x14ac:dyDescent="0.35">
      <c r="A4068" s="403" t="s">
        <v>7166</v>
      </c>
      <c r="B4068" s="397">
        <v>44497</v>
      </c>
      <c r="C4068" s="398" t="s">
        <v>4576</v>
      </c>
      <c r="D4068" s="399" t="s">
        <v>4577</v>
      </c>
      <c r="E4068" s="399" t="s">
        <v>4272</v>
      </c>
      <c r="F4068" s="400">
        <v>60450.450000000004</v>
      </c>
      <c r="G4068" s="401" t="s">
        <v>3800</v>
      </c>
      <c r="H4068" s="402">
        <v>22.493155099461337</v>
      </c>
      <c r="I4068" s="402"/>
      <c r="J4068" s="400"/>
      <c r="K4068" s="400"/>
      <c r="L4068" s="400"/>
      <c r="M4068" s="400"/>
      <c r="N4068" s="400">
        <f t="shared" si="214"/>
        <v>22.493155099461337</v>
      </c>
    </row>
    <row r="4069" spans="1:14" s="360" customFormat="1" hidden="1" outlineLevel="2" x14ac:dyDescent="0.35">
      <c r="A4069" s="403" t="s">
        <v>7166</v>
      </c>
      <c r="B4069" s="397">
        <v>44497</v>
      </c>
      <c r="C4069" s="398" t="s">
        <v>4578</v>
      </c>
      <c r="D4069" s="399" t="s">
        <v>4579</v>
      </c>
      <c r="E4069" s="399" t="s">
        <v>4042</v>
      </c>
      <c r="F4069" s="400">
        <v>3627.027</v>
      </c>
      <c r="G4069" s="401" t="s">
        <v>3800</v>
      </c>
      <c r="H4069" s="402">
        <v>1.3495893059676802</v>
      </c>
      <c r="I4069" s="402"/>
      <c r="J4069" s="400"/>
      <c r="K4069" s="400"/>
      <c r="L4069" s="400"/>
      <c r="M4069" s="400"/>
      <c r="N4069" s="400">
        <f t="shared" si="214"/>
        <v>1.3495893059676802</v>
      </c>
    </row>
    <row r="4070" spans="1:14" s="360" customFormat="1" hidden="1" outlineLevel="2" collapsed="1" x14ac:dyDescent="0.35">
      <c r="A4070" s="403" t="s">
        <v>7166</v>
      </c>
      <c r="B4070" s="397">
        <v>44497</v>
      </c>
      <c r="C4070" s="398" t="s">
        <v>4574</v>
      </c>
      <c r="D4070" s="399" t="s">
        <v>4575</v>
      </c>
      <c r="E4070" s="399" t="s">
        <v>7174</v>
      </c>
      <c r="F4070" s="400">
        <v>604504.5</v>
      </c>
      <c r="G4070" s="401" t="s">
        <v>3800</v>
      </c>
      <c r="H4070" s="402">
        <v>224.93155099461336</v>
      </c>
      <c r="I4070" s="402"/>
      <c r="J4070" s="400"/>
      <c r="K4070" s="400"/>
      <c r="L4070" s="400"/>
      <c r="M4070" s="400"/>
      <c r="N4070" s="400">
        <f t="shared" si="214"/>
        <v>224.93155099461336</v>
      </c>
    </row>
    <row r="4071" spans="1:14" s="360" customFormat="1" hidden="1" outlineLevel="2" x14ac:dyDescent="0.35">
      <c r="A4071" s="403" t="s">
        <v>7166</v>
      </c>
      <c r="B4071" s="397">
        <v>44497</v>
      </c>
      <c r="C4071" s="398" t="s">
        <v>4576</v>
      </c>
      <c r="D4071" s="399" t="s">
        <v>4577</v>
      </c>
      <c r="E4071" s="399" t="s">
        <v>4272</v>
      </c>
      <c r="F4071" s="400">
        <v>60450.450000000004</v>
      </c>
      <c r="G4071" s="401" t="s">
        <v>3800</v>
      </c>
      <c r="H4071" s="402">
        <v>22.493155099461337</v>
      </c>
      <c r="I4071" s="402"/>
      <c r="J4071" s="400"/>
      <c r="K4071" s="400"/>
      <c r="L4071" s="400"/>
      <c r="M4071" s="400"/>
      <c r="N4071" s="400">
        <f t="shared" si="214"/>
        <v>22.493155099461337</v>
      </c>
    </row>
    <row r="4072" spans="1:14" s="360" customFormat="1" hidden="1" outlineLevel="2" x14ac:dyDescent="0.35">
      <c r="A4072" s="403" t="s">
        <v>7166</v>
      </c>
      <c r="B4072" s="397">
        <v>44497</v>
      </c>
      <c r="C4072" s="398" t="s">
        <v>4578</v>
      </c>
      <c r="D4072" s="399" t="s">
        <v>4579</v>
      </c>
      <c r="E4072" s="399" t="s">
        <v>4042</v>
      </c>
      <c r="F4072" s="400">
        <v>3627.027</v>
      </c>
      <c r="G4072" s="401" t="s">
        <v>3800</v>
      </c>
      <c r="H4072" s="402">
        <v>1.3495893059676802</v>
      </c>
      <c r="I4072" s="402"/>
      <c r="J4072" s="400"/>
      <c r="K4072" s="400"/>
      <c r="L4072" s="400"/>
      <c r="M4072" s="400"/>
      <c r="N4072" s="400">
        <f t="shared" si="214"/>
        <v>1.3495893059676802</v>
      </c>
    </row>
    <row r="4073" spans="1:14" s="360" customFormat="1" hidden="1" outlineLevel="2" x14ac:dyDescent="0.35">
      <c r="A4073" s="403" t="s">
        <v>7166</v>
      </c>
      <c r="B4073" s="397">
        <v>44497</v>
      </c>
      <c r="C4073" s="398" t="s">
        <v>4574</v>
      </c>
      <c r="D4073" s="399" t="s">
        <v>4575</v>
      </c>
      <c r="E4073" s="399" t="s">
        <v>7175</v>
      </c>
      <c r="F4073" s="400">
        <v>604504.5</v>
      </c>
      <c r="G4073" s="401" t="s">
        <v>3800</v>
      </c>
      <c r="H4073" s="402">
        <v>224.93155099461336</v>
      </c>
      <c r="I4073" s="402"/>
      <c r="J4073" s="400"/>
      <c r="K4073" s="400"/>
      <c r="L4073" s="400"/>
      <c r="M4073" s="400"/>
      <c r="N4073" s="400">
        <f t="shared" si="214"/>
        <v>224.93155099461336</v>
      </c>
    </row>
    <row r="4074" spans="1:14" s="360" customFormat="1" hidden="1" outlineLevel="2" x14ac:dyDescent="0.35">
      <c r="A4074" s="403" t="s">
        <v>7166</v>
      </c>
      <c r="B4074" s="397">
        <v>44497</v>
      </c>
      <c r="C4074" s="398" t="s">
        <v>4576</v>
      </c>
      <c r="D4074" s="399" t="s">
        <v>4577</v>
      </c>
      <c r="E4074" s="399" t="s">
        <v>4272</v>
      </c>
      <c r="F4074" s="400">
        <v>60450.450000000004</v>
      </c>
      <c r="G4074" s="401" t="s">
        <v>3800</v>
      </c>
      <c r="H4074" s="402">
        <v>22.493155099461337</v>
      </c>
      <c r="I4074" s="402"/>
      <c r="J4074" s="400"/>
      <c r="K4074" s="400"/>
      <c r="L4074" s="400"/>
      <c r="M4074" s="400"/>
      <c r="N4074" s="400">
        <f t="shared" si="214"/>
        <v>22.493155099461337</v>
      </c>
    </row>
    <row r="4075" spans="1:14" s="360" customFormat="1" hidden="1" outlineLevel="2" x14ac:dyDescent="0.35">
      <c r="A4075" s="403" t="s">
        <v>7166</v>
      </c>
      <c r="B4075" s="397">
        <v>44497</v>
      </c>
      <c r="C4075" s="398" t="s">
        <v>4578</v>
      </c>
      <c r="D4075" s="399" t="s">
        <v>4579</v>
      </c>
      <c r="E4075" s="399" t="s">
        <v>4042</v>
      </c>
      <c r="F4075" s="400">
        <v>3627.027</v>
      </c>
      <c r="G4075" s="401" t="s">
        <v>3800</v>
      </c>
      <c r="H4075" s="402">
        <v>1.3495893059676802</v>
      </c>
      <c r="I4075" s="402"/>
      <c r="J4075" s="400"/>
      <c r="K4075" s="400"/>
      <c r="L4075" s="400"/>
      <c r="M4075" s="400"/>
      <c r="N4075" s="400">
        <f t="shared" si="214"/>
        <v>1.3495893059676802</v>
      </c>
    </row>
    <row r="4076" spans="1:14" s="360" customFormat="1" hidden="1" outlineLevel="2" collapsed="1" x14ac:dyDescent="0.35">
      <c r="A4076" s="403" t="s">
        <v>7166</v>
      </c>
      <c r="B4076" s="397">
        <v>44497</v>
      </c>
      <c r="C4076" s="398" t="s">
        <v>4574</v>
      </c>
      <c r="D4076" s="399" t="s">
        <v>4575</v>
      </c>
      <c r="E4076" s="399" t="s">
        <v>7176</v>
      </c>
      <c r="F4076" s="400">
        <v>604504.5</v>
      </c>
      <c r="G4076" s="401" t="s">
        <v>3800</v>
      </c>
      <c r="H4076" s="402">
        <v>224.93155099461336</v>
      </c>
      <c r="I4076" s="402"/>
      <c r="J4076" s="400"/>
      <c r="K4076" s="400"/>
      <c r="L4076" s="400"/>
      <c r="M4076" s="400"/>
      <c r="N4076" s="400">
        <f t="shared" si="214"/>
        <v>224.93155099461336</v>
      </c>
    </row>
    <row r="4077" spans="1:14" s="360" customFormat="1" hidden="1" outlineLevel="2" collapsed="1" x14ac:dyDescent="0.35">
      <c r="A4077" s="403" t="s">
        <v>7166</v>
      </c>
      <c r="B4077" s="397">
        <v>44497</v>
      </c>
      <c r="C4077" s="398" t="s">
        <v>4576</v>
      </c>
      <c r="D4077" s="399" t="s">
        <v>4577</v>
      </c>
      <c r="E4077" s="399" t="s">
        <v>4272</v>
      </c>
      <c r="F4077" s="400">
        <v>60450.450000000004</v>
      </c>
      <c r="G4077" s="401" t="s">
        <v>3800</v>
      </c>
      <c r="H4077" s="402">
        <v>22.493155099461337</v>
      </c>
      <c r="I4077" s="402"/>
      <c r="J4077" s="400"/>
      <c r="K4077" s="400"/>
      <c r="L4077" s="400"/>
      <c r="M4077" s="400"/>
      <c r="N4077" s="400">
        <f t="shared" si="214"/>
        <v>22.493155099461337</v>
      </c>
    </row>
    <row r="4078" spans="1:14" s="360" customFormat="1" hidden="1" outlineLevel="2" x14ac:dyDescent="0.35">
      <c r="A4078" s="403" t="s">
        <v>7166</v>
      </c>
      <c r="B4078" s="397">
        <v>44497</v>
      </c>
      <c r="C4078" s="398" t="s">
        <v>4578</v>
      </c>
      <c r="D4078" s="399" t="s">
        <v>4579</v>
      </c>
      <c r="E4078" s="399" t="s">
        <v>4042</v>
      </c>
      <c r="F4078" s="400">
        <v>3627.027</v>
      </c>
      <c r="G4078" s="401" t="s">
        <v>3800</v>
      </c>
      <c r="H4078" s="402">
        <v>1.3495893059676802</v>
      </c>
      <c r="I4078" s="402"/>
      <c r="J4078" s="400"/>
      <c r="K4078" s="400"/>
      <c r="L4078" s="400"/>
      <c r="M4078" s="400"/>
      <c r="N4078" s="400">
        <f t="shared" si="214"/>
        <v>1.3495893059676802</v>
      </c>
    </row>
    <row r="4079" spans="1:14" s="360" customFormat="1" hidden="1" outlineLevel="2" x14ac:dyDescent="0.35">
      <c r="A4079" s="403" t="s">
        <v>7166</v>
      </c>
      <c r="B4079" s="397">
        <v>44497</v>
      </c>
      <c r="C4079" s="398" t="s">
        <v>4574</v>
      </c>
      <c r="D4079" s="399" t="s">
        <v>4575</v>
      </c>
      <c r="E4079" s="399" t="s">
        <v>7177</v>
      </c>
      <c r="F4079" s="400">
        <v>604504.05000000005</v>
      </c>
      <c r="G4079" s="401" t="s">
        <v>3800</v>
      </c>
      <c r="H4079" s="402">
        <v>224.93138355301789</v>
      </c>
      <c r="I4079" s="402"/>
      <c r="J4079" s="400"/>
      <c r="K4079" s="400"/>
      <c r="L4079" s="400"/>
      <c r="M4079" s="400"/>
      <c r="N4079" s="400">
        <f t="shared" si="214"/>
        <v>224.93138355301789</v>
      </c>
    </row>
    <row r="4080" spans="1:14" s="360" customFormat="1" hidden="1" outlineLevel="2" x14ac:dyDescent="0.35">
      <c r="A4080" s="403" t="s">
        <v>7166</v>
      </c>
      <c r="B4080" s="397">
        <v>44497</v>
      </c>
      <c r="C4080" s="398" t="s">
        <v>4576</v>
      </c>
      <c r="D4080" s="399" t="s">
        <v>4577</v>
      </c>
      <c r="E4080" s="399" t="s">
        <v>4272</v>
      </c>
      <c r="F4080" s="400">
        <v>60450.45</v>
      </c>
      <c r="G4080" s="401" t="s">
        <v>3800</v>
      </c>
      <c r="H4080" s="402">
        <v>22.493155099461333</v>
      </c>
      <c r="I4080" s="402"/>
      <c r="J4080" s="400"/>
      <c r="K4080" s="400"/>
      <c r="L4080" s="400"/>
      <c r="M4080" s="400"/>
      <c r="N4080" s="400">
        <f t="shared" si="214"/>
        <v>22.493155099461333</v>
      </c>
    </row>
    <row r="4081" spans="1:14" s="360" customFormat="1" hidden="1" outlineLevel="2" x14ac:dyDescent="0.35">
      <c r="A4081" s="403" t="s">
        <v>7166</v>
      </c>
      <c r="B4081" s="397">
        <v>44497</v>
      </c>
      <c r="C4081" s="398" t="s">
        <v>4578</v>
      </c>
      <c r="D4081" s="399" t="s">
        <v>4579</v>
      </c>
      <c r="E4081" s="399" t="s">
        <v>4042</v>
      </c>
      <c r="F4081" s="400">
        <v>3627.0243000000005</v>
      </c>
      <c r="G4081" s="401" t="s">
        <v>3800</v>
      </c>
      <c r="H4081" s="402">
        <v>1.3495883013181076</v>
      </c>
      <c r="I4081" s="402"/>
      <c r="J4081" s="400"/>
      <c r="K4081" s="400"/>
      <c r="L4081" s="400"/>
      <c r="M4081" s="400"/>
      <c r="N4081" s="400">
        <f t="shared" si="214"/>
        <v>1.3495883013181076</v>
      </c>
    </row>
    <row r="4082" spans="1:14" s="360" customFormat="1" hidden="1" outlineLevel="2" x14ac:dyDescent="0.35">
      <c r="A4082" s="403" t="s">
        <v>7166</v>
      </c>
      <c r="B4082" s="397">
        <v>44497</v>
      </c>
      <c r="C4082" s="398" t="s">
        <v>4574</v>
      </c>
      <c r="D4082" s="399" t="s">
        <v>4575</v>
      </c>
      <c r="E4082" s="399" t="s">
        <v>7178</v>
      </c>
      <c r="F4082" s="400">
        <v>604504.5</v>
      </c>
      <c r="G4082" s="401" t="s">
        <v>3800</v>
      </c>
      <c r="H4082" s="402">
        <v>224.93155099461336</v>
      </c>
      <c r="I4082" s="402"/>
      <c r="J4082" s="400"/>
      <c r="K4082" s="400"/>
      <c r="L4082" s="400"/>
      <c r="M4082" s="400"/>
      <c r="N4082" s="400">
        <f t="shared" si="214"/>
        <v>224.93155099461336</v>
      </c>
    </row>
    <row r="4083" spans="1:14" s="360" customFormat="1" hidden="1" outlineLevel="2" x14ac:dyDescent="0.35">
      <c r="A4083" s="403" t="s">
        <v>7166</v>
      </c>
      <c r="B4083" s="397">
        <v>44497</v>
      </c>
      <c r="C4083" s="398" t="s">
        <v>4576</v>
      </c>
      <c r="D4083" s="399" t="s">
        <v>4577</v>
      </c>
      <c r="E4083" s="399" t="s">
        <v>4272</v>
      </c>
      <c r="F4083" s="400">
        <v>60450.450000000004</v>
      </c>
      <c r="G4083" s="401" t="s">
        <v>3800</v>
      </c>
      <c r="H4083" s="402">
        <v>22.493155099461337</v>
      </c>
      <c r="I4083" s="402"/>
      <c r="J4083" s="400"/>
      <c r="K4083" s="400"/>
      <c r="L4083" s="400"/>
      <c r="M4083" s="400"/>
      <c r="N4083" s="400">
        <f t="shared" si="214"/>
        <v>22.493155099461337</v>
      </c>
    </row>
    <row r="4084" spans="1:14" s="360" customFormat="1" hidden="1" outlineLevel="2" x14ac:dyDescent="0.35">
      <c r="A4084" s="403" t="s">
        <v>7166</v>
      </c>
      <c r="B4084" s="397">
        <v>44497</v>
      </c>
      <c r="C4084" s="398" t="s">
        <v>4578</v>
      </c>
      <c r="D4084" s="399" t="s">
        <v>4579</v>
      </c>
      <c r="E4084" s="399" t="s">
        <v>4042</v>
      </c>
      <c r="F4084" s="400">
        <v>3627.027</v>
      </c>
      <c r="G4084" s="401" t="s">
        <v>3800</v>
      </c>
      <c r="H4084" s="402">
        <v>1.3495893059676802</v>
      </c>
      <c r="I4084" s="402"/>
      <c r="J4084" s="400"/>
      <c r="K4084" s="400"/>
      <c r="L4084" s="400"/>
      <c r="M4084" s="400"/>
      <c r="N4084" s="400">
        <f t="shared" si="214"/>
        <v>1.3495893059676802</v>
      </c>
    </row>
    <row r="4085" spans="1:14" s="360" customFormat="1" hidden="1" outlineLevel="2" x14ac:dyDescent="0.35">
      <c r="A4085" s="403" t="s">
        <v>7166</v>
      </c>
      <c r="B4085" s="397">
        <v>44497</v>
      </c>
      <c r="C4085" s="398" t="s">
        <v>4574</v>
      </c>
      <c r="D4085" s="399" t="s">
        <v>4575</v>
      </c>
      <c r="E4085" s="399" t="s">
        <v>7179</v>
      </c>
      <c r="F4085" s="400">
        <v>604504.5</v>
      </c>
      <c r="G4085" s="401" t="s">
        <v>3800</v>
      </c>
      <c r="H4085" s="402">
        <v>224.93155099461336</v>
      </c>
      <c r="I4085" s="402"/>
      <c r="J4085" s="400"/>
      <c r="K4085" s="400"/>
      <c r="L4085" s="400"/>
      <c r="M4085" s="400"/>
      <c r="N4085" s="400">
        <f t="shared" si="214"/>
        <v>224.93155099461336</v>
      </c>
    </row>
    <row r="4086" spans="1:14" s="360" customFormat="1" hidden="1" outlineLevel="2" collapsed="1" x14ac:dyDescent="0.35">
      <c r="A4086" s="403" t="s">
        <v>7166</v>
      </c>
      <c r="B4086" s="397">
        <v>44497</v>
      </c>
      <c r="C4086" s="398" t="s">
        <v>4576</v>
      </c>
      <c r="D4086" s="399" t="s">
        <v>4577</v>
      </c>
      <c r="E4086" s="399" t="s">
        <v>4272</v>
      </c>
      <c r="F4086" s="400">
        <v>60450.450000000004</v>
      </c>
      <c r="G4086" s="401" t="s">
        <v>3800</v>
      </c>
      <c r="H4086" s="402">
        <v>22.493155099461337</v>
      </c>
      <c r="I4086" s="402"/>
      <c r="J4086" s="400"/>
      <c r="K4086" s="400"/>
      <c r="L4086" s="400"/>
      <c r="M4086" s="400"/>
      <c r="N4086" s="400">
        <f t="shared" si="214"/>
        <v>22.493155099461337</v>
      </c>
    </row>
    <row r="4087" spans="1:14" s="360" customFormat="1" hidden="1" outlineLevel="2" x14ac:dyDescent="0.35">
      <c r="A4087" s="403" t="s">
        <v>7166</v>
      </c>
      <c r="B4087" s="397">
        <v>44497</v>
      </c>
      <c r="C4087" s="398" t="s">
        <v>4578</v>
      </c>
      <c r="D4087" s="399" t="s">
        <v>4579</v>
      </c>
      <c r="E4087" s="399" t="s">
        <v>4042</v>
      </c>
      <c r="F4087" s="400">
        <v>3627.027</v>
      </c>
      <c r="G4087" s="401" t="s">
        <v>3800</v>
      </c>
      <c r="H4087" s="402">
        <v>1.3495893059676802</v>
      </c>
      <c r="I4087" s="402"/>
      <c r="J4087" s="400"/>
      <c r="K4087" s="400"/>
      <c r="L4087" s="400"/>
      <c r="M4087" s="400"/>
      <c r="N4087" s="400">
        <f t="shared" si="214"/>
        <v>1.3495893059676802</v>
      </c>
    </row>
    <row r="4088" spans="1:14" s="360" customFormat="1" hidden="1" outlineLevel="2" x14ac:dyDescent="0.35">
      <c r="A4088" s="403" t="s">
        <v>7166</v>
      </c>
      <c r="B4088" s="397">
        <v>44497</v>
      </c>
      <c r="C4088" s="398" t="s">
        <v>4574</v>
      </c>
      <c r="D4088" s="399" t="s">
        <v>4575</v>
      </c>
      <c r="E4088" s="399" t="s">
        <v>7180</v>
      </c>
      <c r="F4088" s="400">
        <v>604504.5</v>
      </c>
      <c r="G4088" s="401" t="s">
        <v>3800</v>
      </c>
      <c r="H4088" s="402">
        <v>224.93155099461336</v>
      </c>
      <c r="I4088" s="402"/>
      <c r="J4088" s="400"/>
      <c r="K4088" s="400"/>
      <c r="L4088" s="400"/>
      <c r="M4088" s="400"/>
      <c r="N4088" s="400">
        <f t="shared" si="214"/>
        <v>224.93155099461336</v>
      </c>
    </row>
    <row r="4089" spans="1:14" s="360" customFormat="1" hidden="1" outlineLevel="2" x14ac:dyDescent="0.35">
      <c r="A4089" s="403" t="s">
        <v>7166</v>
      </c>
      <c r="B4089" s="397">
        <v>44497</v>
      </c>
      <c r="C4089" s="398" t="s">
        <v>4576</v>
      </c>
      <c r="D4089" s="399" t="s">
        <v>4577</v>
      </c>
      <c r="E4089" s="399" t="s">
        <v>4272</v>
      </c>
      <c r="F4089" s="400">
        <v>60450.450000000004</v>
      </c>
      <c r="G4089" s="401" t="s">
        <v>3800</v>
      </c>
      <c r="H4089" s="402">
        <v>22.493155099461337</v>
      </c>
      <c r="I4089" s="402"/>
      <c r="J4089" s="400"/>
      <c r="K4089" s="400"/>
      <c r="L4089" s="400"/>
      <c r="M4089" s="400"/>
      <c r="N4089" s="400">
        <f t="shared" si="214"/>
        <v>22.493155099461337</v>
      </c>
    </row>
    <row r="4090" spans="1:14" s="360" customFormat="1" hidden="1" outlineLevel="2" x14ac:dyDescent="0.35">
      <c r="A4090" s="403" t="s">
        <v>7166</v>
      </c>
      <c r="B4090" s="397">
        <v>44497</v>
      </c>
      <c r="C4090" s="398" t="s">
        <v>4578</v>
      </c>
      <c r="D4090" s="399" t="s">
        <v>4579</v>
      </c>
      <c r="E4090" s="399" t="s">
        <v>4042</v>
      </c>
      <c r="F4090" s="400">
        <v>3627.027</v>
      </c>
      <c r="G4090" s="401" t="s">
        <v>3800</v>
      </c>
      <c r="H4090" s="402">
        <v>1.3495893059676802</v>
      </c>
      <c r="I4090" s="402"/>
      <c r="J4090" s="400"/>
      <c r="K4090" s="400"/>
      <c r="L4090" s="400"/>
      <c r="M4090" s="400"/>
      <c r="N4090" s="400">
        <f t="shared" si="214"/>
        <v>1.3495893059676802</v>
      </c>
    </row>
    <row r="4091" spans="1:14" s="360" customFormat="1" hidden="1" outlineLevel="2" x14ac:dyDescent="0.35">
      <c r="A4091" s="403" t="s">
        <v>7166</v>
      </c>
      <c r="B4091" s="397">
        <v>44497</v>
      </c>
      <c r="C4091" s="398" t="s">
        <v>4574</v>
      </c>
      <c r="D4091" s="399" t="s">
        <v>4575</v>
      </c>
      <c r="E4091" s="399" t="s">
        <v>7181</v>
      </c>
      <c r="F4091" s="400">
        <v>604504.5</v>
      </c>
      <c r="G4091" s="401" t="s">
        <v>3800</v>
      </c>
      <c r="H4091" s="402">
        <v>224.93155099461336</v>
      </c>
      <c r="I4091" s="402"/>
      <c r="J4091" s="400"/>
      <c r="K4091" s="400"/>
      <c r="L4091" s="400"/>
      <c r="M4091" s="400"/>
      <c r="N4091" s="400">
        <f t="shared" si="214"/>
        <v>224.93155099461336</v>
      </c>
    </row>
    <row r="4092" spans="1:14" s="360" customFormat="1" hidden="1" outlineLevel="2" x14ac:dyDescent="0.35">
      <c r="A4092" s="403" t="s">
        <v>7166</v>
      </c>
      <c r="B4092" s="397">
        <v>44497</v>
      </c>
      <c r="C4092" s="398" t="s">
        <v>4576</v>
      </c>
      <c r="D4092" s="399" t="s">
        <v>4577</v>
      </c>
      <c r="E4092" s="399" t="s">
        <v>4272</v>
      </c>
      <c r="F4092" s="400">
        <v>60450.450000000004</v>
      </c>
      <c r="G4092" s="401" t="s">
        <v>3800</v>
      </c>
      <c r="H4092" s="402">
        <v>22.493155099461337</v>
      </c>
      <c r="I4092" s="402"/>
      <c r="J4092" s="400"/>
      <c r="K4092" s="400"/>
      <c r="L4092" s="400"/>
      <c r="M4092" s="400"/>
      <c r="N4092" s="400">
        <f t="shared" si="214"/>
        <v>22.493155099461337</v>
      </c>
    </row>
    <row r="4093" spans="1:14" s="360" customFormat="1" hidden="1" outlineLevel="2" x14ac:dyDescent="0.35">
      <c r="A4093" s="403" t="s">
        <v>7166</v>
      </c>
      <c r="B4093" s="397">
        <v>44497</v>
      </c>
      <c r="C4093" s="398" t="s">
        <v>4578</v>
      </c>
      <c r="D4093" s="399" t="s">
        <v>4579</v>
      </c>
      <c r="E4093" s="399" t="s">
        <v>4042</v>
      </c>
      <c r="F4093" s="400">
        <v>3627.027</v>
      </c>
      <c r="G4093" s="401" t="s">
        <v>3800</v>
      </c>
      <c r="H4093" s="402">
        <v>1.3495893059676802</v>
      </c>
      <c r="I4093" s="402"/>
      <c r="J4093" s="400"/>
      <c r="K4093" s="400"/>
      <c r="L4093" s="400"/>
      <c r="M4093" s="400"/>
      <c r="N4093" s="400">
        <f t="shared" si="214"/>
        <v>1.3495893059676802</v>
      </c>
    </row>
    <row r="4094" spans="1:14" s="360" customFormat="1" hidden="1" outlineLevel="2" x14ac:dyDescent="0.35">
      <c r="A4094" s="403" t="s">
        <v>7166</v>
      </c>
      <c r="B4094" s="397">
        <v>44497</v>
      </c>
      <c r="C4094" s="398" t="s">
        <v>4574</v>
      </c>
      <c r="D4094" s="399" t="s">
        <v>4575</v>
      </c>
      <c r="E4094" s="399" t="s">
        <v>7182</v>
      </c>
      <c r="F4094" s="400">
        <v>604504.5</v>
      </c>
      <c r="G4094" s="401" t="s">
        <v>3800</v>
      </c>
      <c r="H4094" s="402">
        <v>224.93155099461336</v>
      </c>
      <c r="I4094" s="402"/>
      <c r="J4094" s="400"/>
      <c r="K4094" s="400"/>
      <c r="L4094" s="400"/>
      <c r="M4094" s="400"/>
      <c r="N4094" s="400">
        <f t="shared" si="214"/>
        <v>224.93155099461336</v>
      </c>
    </row>
    <row r="4095" spans="1:14" s="360" customFormat="1" hidden="1" outlineLevel="2" x14ac:dyDescent="0.35">
      <c r="A4095" s="403" t="s">
        <v>7166</v>
      </c>
      <c r="B4095" s="397">
        <v>44497</v>
      </c>
      <c r="C4095" s="398" t="s">
        <v>4576</v>
      </c>
      <c r="D4095" s="399" t="s">
        <v>4577</v>
      </c>
      <c r="E4095" s="399" t="s">
        <v>4272</v>
      </c>
      <c r="F4095" s="400">
        <v>60450.450000000004</v>
      </c>
      <c r="G4095" s="401" t="s">
        <v>3800</v>
      </c>
      <c r="H4095" s="402">
        <v>22.493155099461337</v>
      </c>
      <c r="I4095" s="402"/>
      <c r="J4095" s="400"/>
      <c r="K4095" s="400"/>
      <c r="L4095" s="400"/>
      <c r="M4095" s="400"/>
      <c r="N4095" s="400">
        <f t="shared" ref="N4095:N4158" si="215">H4095</f>
        <v>22.493155099461337</v>
      </c>
    </row>
    <row r="4096" spans="1:14" s="360" customFormat="1" hidden="1" outlineLevel="2" x14ac:dyDescent="0.35">
      <c r="A4096" s="403" t="s">
        <v>7166</v>
      </c>
      <c r="B4096" s="397">
        <v>44497</v>
      </c>
      <c r="C4096" s="398" t="s">
        <v>4578</v>
      </c>
      <c r="D4096" s="399" t="s">
        <v>4579</v>
      </c>
      <c r="E4096" s="399" t="s">
        <v>4042</v>
      </c>
      <c r="F4096" s="400">
        <v>3627.027</v>
      </c>
      <c r="G4096" s="401" t="s">
        <v>3800</v>
      </c>
      <c r="H4096" s="402">
        <v>1.3495893059676802</v>
      </c>
      <c r="I4096" s="402"/>
      <c r="J4096" s="400"/>
      <c r="K4096" s="400"/>
      <c r="L4096" s="400"/>
      <c r="M4096" s="400"/>
      <c r="N4096" s="400">
        <f t="shared" si="215"/>
        <v>1.3495893059676802</v>
      </c>
    </row>
    <row r="4097" spans="1:14" s="360" customFormat="1" hidden="1" outlineLevel="2" x14ac:dyDescent="0.35">
      <c r="A4097" s="403" t="s">
        <v>7166</v>
      </c>
      <c r="B4097" s="397">
        <v>44497</v>
      </c>
      <c r="C4097" s="398" t="s">
        <v>4574</v>
      </c>
      <c r="D4097" s="399" t="s">
        <v>4575</v>
      </c>
      <c r="E4097" s="399" t="s">
        <v>7183</v>
      </c>
      <c r="F4097" s="400">
        <v>604504.5</v>
      </c>
      <c r="G4097" s="401" t="s">
        <v>3800</v>
      </c>
      <c r="H4097" s="402">
        <v>224.93155099461336</v>
      </c>
      <c r="I4097" s="402"/>
      <c r="J4097" s="400"/>
      <c r="K4097" s="400"/>
      <c r="L4097" s="400"/>
      <c r="M4097" s="400"/>
      <c r="N4097" s="400">
        <f t="shared" si="215"/>
        <v>224.93155099461336</v>
      </c>
    </row>
    <row r="4098" spans="1:14" s="360" customFormat="1" hidden="1" outlineLevel="2" x14ac:dyDescent="0.35">
      <c r="A4098" s="403" t="s">
        <v>7166</v>
      </c>
      <c r="B4098" s="397">
        <v>44497</v>
      </c>
      <c r="C4098" s="398" t="s">
        <v>4576</v>
      </c>
      <c r="D4098" s="399" t="s">
        <v>4577</v>
      </c>
      <c r="E4098" s="399" t="s">
        <v>4272</v>
      </c>
      <c r="F4098" s="400">
        <v>60450.450000000004</v>
      </c>
      <c r="G4098" s="401" t="s">
        <v>3800</v>
      </c>
      <c r="H4098" s="402">
        <v>22.493155099461337</v>
      </c>
      <c r="I4098" s="402"/>
      <c r="J4098" s="400"/>
      <c r="K4098" s="400"/>
      <c r="L4098" s="400"/>
      <c r="M4098" s="400"/>
      <c r="N4098" s="400">
        <f t="shared" si="215"/>
        <v>22.493155099461337</v>
      </c>
    </row>
    <row r="4099" spans="1:14" s="360" customFormat="1" hidden="1" outlineLevel="2" collapsed="1" x14ac:dyDescent="0.35">
      <c r="A4099" s="403" t="s">
        <v>7166</v>
      </c>
      <c r="B4099" s="397">
        <v>44497</v>
      </c>
      <c r="C4099" s="398" t="s">
        <v>4578</v>
      </c>
      <c r="D4099" s="399" t="s">
        <v>4579</v>
      </c>
      <c r="E4099" s="399" t="s">
        <v>4042</v>
      </c>
      <c r="F4099" s="400">
        <v>3627.027</v>
      </c>
      <c r="G4099" s="401" t="s">
        <v>3800</v>
      </c>
      <c r="H4099" s="402">
        <v>1.3495893059676802</v>
      </c>
      <c r="I4099" s="402"/>
      <c r="J4099" s="400"/>
      <c r="K4099" s="400"/>
      <c r="L4099" s="400"/>
      <c r="M4099" s="400"/>
      <c r="N4099" s="400">
        <f t="shared" si="215"/>
        <v>1.3495893059676802</v>
      </c>
    </row>
    <row r="4100" spans="1:14" s="360" customFormat="1" hidden="1" outlineLevel="2" x14ac:dyDescent="0.35">
      <c r="A4100" s="403" t="s">
        <v>7166</v>
      </c>
      <c r="B4100" s="397">
        <v>44525</v>
      </c>
      <c r="C4100" s="398" t="s">
        <v>4580</v>
      </c>
      <c r="D4100" s="399" t="s">
        <v>4581</v>
      </c>
      <c r="E4100" s="399" t="s">
        <v>7168</v>
      </c>
      <c r="F4100" s="400">
        <v>604504.5</v>
      </c>
      <c r="G4100" s="401" t="s">
        <v>3800</v>
      </c>
      <c r="H4100" s="402">
        <v>224.93155099461336</v>
      </c>
      <c r="I4100" s="402"/>
      <c r="J4100" s="400"/>
      <c r="K4100" s="400"/>
      <c r="L4100" s="400"/>
      <c r="M4100" s="400"/>
      <c r="N4100" s="400">
        <f t="shared" si="215"/>
        <v>224.93155099461336</v>
      </c>
    </row>
    <row r="4101" spans="1:14" s="360" customFormat="1" hidden="1" outlineLevel="2" x14ac:dyDescent="0.35">
      <c r="A4101" s="403" t="s">
        <v>7166</v>
      </c>
      <c r="B4101" s="397">
        <v>44525</v>
      </c>
      <c r="C4101" s="398" t="s">
        <v>4582</v>
      </c>
      <c r="D4101" s="399" t="s">
        <v>4583</v>
      </c>
      <c r="E4101" s="399" t="s">
        <v>4272</v>
      </c>
      <c r="F4101" s="400">
        <v>60450.450000000004</v>
      </c>
      <c r="G4101" s="401" t="s">
        <v>3800</v>
      </c>
      <c r="H4101" s="402">
        <v>22.493155099461337</v>
      </c>
      <c r="I4101" s="402"/>
      <c r="J4101" s="400"/>
      <c r="K4101" s="400"/>
      <c r="L4101" s="400"/>
      <c r="M4101" s="400"/>
      <c r="N4101" s="400">
        <f t="shared" si="215"/>
        <v>22.493155099461337</v>
      </c>
    </row>
    <row r="4102" spans="1:14" s="360" customFormat="1" hidden="1" outlineLevel="2" x14ac:dyDescent="0.35">
      <c r="A4102" s="403" t="s">
        <v>7166</v>
      </c>
      <c r="B4102" s="397">
        <v>44525</v>
      </c>
      <c r="C4102" s="398" t="s">
        <v>4584</v>
      </c>
      <c r="D4102" s="399" t="s">
        <v>4585</v>
      </c>
      <c r="E4102" s="399" t="s">
        <v>4042</v>
      </c>
      <c r="F4102" s="400">
        <v>3627.027</v>
      </c>
      <c r="G4102" s="401" t="s">
        <v>3800</v>
      </c>
      <c r="H4102" s="402">
        <v>1.3495893059676802</v>
      </c>
      <c r="I4102" s="402"/>
      <c r="J4102" s="400"/>
      <c r="K4102" s="400"/>
      <c r="L4102" s="400"/>
      <c r="M4102" s="400"/>
      <c r="N4102" s="400">
        <f t="shared" si="215"/>
        <v>1.3495893059676802</v>
      </c>
    </row>
    <row r="4103" spans="1:14" s="360" customFormat="1" hidden="1" outlineLevel="2" x14ac:dyDescent="0.35">
      <c r="A4103" s="403" t="s">
        <v>7166</v>
      </c>
      <c r="B4103" s="397">
        <v>44525</v>
      </c>
      <c r="C4103" s="398" t="s">
        <v>4580</v>
      </c>
      <c r="D4103" s="399" t="s">
        <v>4581</v>
      </c>
      <c r="E4103" s="399" t="s">
        <v>7169</v>
      </c>
      <c r="F4103" s="400">
        <v>604504.5</v>
      </c>
      <c r="G4103" s="401" t="s">
        <v>3800</v>
      </c>
      <c r="H4103" s="402">
        <v>224.93155099461336</v>
      </c>
      <c r="I4103" s="402"/>
      <c r="J4103" s="400"/>
      <c r="K4103" s="400"/>
      <c r="L4103" s="400"/>
      <c r="M4103" s="400"/>
      <c r="N4103" s="400">
        <f t="shared" si="215"/>
        <v>224.93155099461336</v>
      </c>
    </row>
    <row r="4104" spans="1:14" s="360" customFormat="1" hidden="1" outlineLevel="2" x14ac:dyDescent="0.35">
      <c r="A4104" s="403" t="s">
        <v>7166</v>
      </c>
      <c r="B4104" s="397">
        <v>44525</v>
      </c>
      <c r="C4104" s="398" t="s">
        <v>4582</v>
      </c>
      <c r="D4104" s="399" t="s">
        <v>4583</v>
      </c>
      <c r="E4104" s="399" t="s">
        <v>4272</v>
      </c>
      <c r="F4104" s="400">
        <v>60450.450000000004</v>
      </c>
      <c r="G4104" s="401" t="s">
        <v>3800</v>
      </c>
      <c r="H4104" s="402">
        <v>22.493155099461337</v>
      </c>
      <c r="I4104" s="402"/>
      <c r="J4104" s="400"/>
      <c r="K4104" s="400"/>
      <c r="L4104" s="400"/>
      <c r="M4104" s="400"/>
      <c r="N4104" s="400">
        <f t="shared" si="215"/>
        <v>22.493155099461337</v>
      </c>
    </row>
    <row r="4105" spans="1:14" s="360" customFormat="1" hidden="1" outlineLevel="2" x14ac:dyDescent="0.35">
      <c r="A4105" s="403" t="s">
        <v>7166</v>
      </c>
      <c r="B4105" s="397">
        <v>44525</v>
      </c>
      <c r="C4105" s="398" t="s">
        <v>4584</v>
      </c>
      <c r="D4105" s="399" t="s">
        <v>4585</v>
      </c>
      <c r="E4105" s="399" t="s">
        <v>4042</v>
      </c>
      <c r="F4105" s="400">
        <v>3627.027</v>
      </c>
      <c r="G4105" s="401" t="s">
        <v>3800</v>
      </c>
      <c r="H4105" s="402">
        <v>1.3495893059676802</v>
      </c>
      <c r="I4105" s="402"/>
      <c r="J4105" s="400"/>
      <c r="K4105" s="400"/>
      <c r="L4105" s="400"/>
      <c r="M4105" s="400"/>
      <c r="N4105" s="400">
        <f t="shared" si="215"/>
        <v>1.3495893059676802</v>
      </c>
    </row>
    <row r="4106" spans="1:14" s="360" customFormat="1" hidden="1" outlineLevel="2" x14ac:dyDescent="0.35">
      <c r="A4106" s="403" t="s">
        <v>7166</v>
      </c>
      <c r="B4106" s="397">
        <v>44525</v>
      </c>
      <c r="C4106" s="398" t="s">
        <v>4580</v>
      </c>
      <c r="D4106" s="399" t="s">
        <v>4581</v>
      </c>
      <c r="E4106" s="399" t="s">
        <v>7170</v>
      </c>
      <c r="F4106" s="400">
        <v>604504.5</v>
      </c>
      <c r="G4106" s="401" t="s">
        <v>3800</v>
      </c>
      <c r="H4106" s="402">
        <v>224.93155099461336</v>
      </c>
      <c r="I4106" s="402"/>
      <c r="J4106" s="400"/>
      <c r="K4106" s="400"/>
      <c r="L4106" s="400"/>
      <c r="M4106" s="400"/>
      <c r="N4106" s="400">
        <f t="shared" si="215"/>
        <v>224.93155099461336</v>
      </c>
    </row>
    <row r="4107" spans="1:14" s="360" customFormat="1" hidden="1" outlineLevel="2" x14ac:dyDescent="0.35">
      <c r="A4107" s="403" t="s">
        <v>7166</v>
      </c>
      <c r="B4107" s="397">
        <v>44525</v>
      </c>
      <c r="C4107" s="398" t="s">
        <v>4582</v>
      </c>
      <c r="D4107" s="399" t="s">
        <v>4583</v>
      </c>
      <c r="E4107" s="399" t="s">
        <v>4272</v>
      </c>
      <c r="F4107" s="400">
        <v>60450.450000000004</v>
      </c>
      <c r="G4107" s="401" t="s">
        <v>3800</v>
      </c>
      <c r="H4107" s="402">
        <v>22.493155099461337</v>
      </c>
      <c r="I4107" s="402"/>
      <c r="J4107" s="400"/>
      <c r="K4107" s="400"/>
      <c r="L4107" s="400"/>
      <c r="M4107" s="400"/>
      <c r="N4107" s="400">
        <f t="shared" si="215"/>
        <v>22.493155099461337</v>
      </c>
    </row>
    <row r="4108" spans="1:14" s="360" customFormat="1" hidden="1" outlineLevel="2" x14ac:dyDescent="0.35">
      <c r="A4108" s="403" t="s">
        <v>7166</v>
      </c>
      <c r="B4108" s="397">
        <v>44525</v>
      </c>
      <c r="C4108" s="398" t="s">
        <v>4584</v>
      </c>
      <c r="D4108" s="399" t="s">
        <v>4585</v>
      </c>
      <c r="E4108" s="399" t="s">
        <v>4042</v>
      </c>
      <c r="F4108" s="400">
        <v>3627.027</v>
      </c>
      <c r="G4108" s="401" t="s">
        <v>3800</v>
      </c>
      <c r="H4108" s="402">
        <v>1.3495893059676802</v>
      </c>
      <c r="I4108" s="402"/>
      <c r="J4108" s="400"/>
      <c r="K4108" s="400"/>
      <c r="L4108" s="400"/>
      <c r="M4108" s="400"/>
      <c r="N4108" s="400">
        <f t="shared" si="215"/>
        <v>1.3495893059676802</v>
      </c>
    </row>
    <row r="4109" spans="1:14" s="360" customFormat="1" hidden="1" outlineLevel="2" x14ac:dyDescent="0.35">
      <c r="A4109" s="403" t="s">
        <v>7166</v>
      </c>
      <c r="B4109" s="397">
        <v>44525</v>
      </c>
      <c r="C4109" s="398" t="s">
        <v>4586</v>
      </c>
      <c r="D4109" s="399" t="s">
        <v>4581</v>
      </c>
      <c r="E4109" s="399" t="s">
        <v>7171</v>
      </c>
      <c r="F4109" s="400">
        <v>604504.5</v>
      </c>
      <c r="G4109" s="401" t="s">
        <v>3800</v>
      </c>
      <c r="H4109" s="402">
        <v>224.93155099461336</v>
      </c>
      <c r="I4109" s="402"/>
      <c r="J4109" s="400"/>
      <c r="K4109" s="400"/>
      <c r="L4109" s="400"/>
      <c r="M4109" s="400"/>
      <c r="N4109" s="400">
        <f t="shared" si="215"/>
        <v>224.93155099461336</v>
      </c>
    </row>
    <row r="4110" spans="1:14" s="360" customFormat="1" hidden="1" outlineLevel="2" x14ac:dyDescent="0.35">
      <c r="A4110" s="403" t="s">
        <v>7166</v>
      </c>
      <c r="B4110" s="397">
        <v>44525</v>
      </c>
      <c r="C4110" s="398" t="s">
        <v>4588</v>
      </c>
      <c r="D4110" s="399" t="s">
        <v>4583</v>
      </c>
      <c r="E4110" s="399" t="s">
        <v>4272</v>
      </c>
      <c r="F4110" s="400">
        <v>60450.450000000004</v>
      </c>
      <c r="G4110" s="401" t="s">
        <v>3800</v>
      </c>
      <c r="H4110" s="402">
        <v>22.493155099461337</v>
      </c>
      <c r="I4110" s="402"/>
      <c r="J4110" s="400"/>
      <c r="K4110" s="400"/>
      <c r="L4110" s="400"/>
      <c r="M4110" s="400"/>
      <c r="N4110" s="400">
        <f t="shared" si="215"/>
        <v>22.493155099461337</v>
      </c>
    </row>
    <row r="4111" spans="1:14" s="360" customFormat="1" hidden="1" outlineLevel="2" x14ac:dyDescent="0.35">
      <c r="A4111" s="403" t="s">
        <v>7166</v>
      </c>
      <c r="B4111" s="397">
        <v>44525</v>
      </c>
      <c r="C4111" s="398" t="s">
        <v>4590</v>
      </c>
      <c r="D4111" s="399" t="s">
        <v>4585</v>
      </c>
      <c r="E4111" s="399" t="s">
        <v>4042</v>
      </c>
      <c r="F4111" s="400">
        <v>3627.027</v>
      </c>
      <c r="G4111" s="401" t="s">
        <v>3800</v>
      </c>
      <c r="H4111" s="402">
        <v>1.3495893059676802</v>
      </c>
      <c r="I4111" s="402"/>
      <c r="J4111" s="400"/>
      <c r="K4111" s="400"/>
      <c r="L4111" s="400"/>
      <c r="M4111" s="400"/>
      <c r="N4111" s="400">
        <f t="shared" si="215"/>
        <v>1.3495893059676802</v>
      </c>
    </row>
    <row r="4112" spans="1:14" s="360" customFormat="1" hidden="1" outlineLevel="2" x14ac:dyDescent="0.35">
      <c r="A4112" s="403" t="s">
        <v>7166</v>
      </c>
      <c r="B4112" s="397">
        <v>44525</v>
      </c>
      <c r="C4112" s="398" t="s">
        <v>4580</v>
      </c>
      <c r="D4112" s="399" t="s">
        <v>4581</v>
      </c>
      <c r="E4112" s="399" t="s">
        <v>7172</v>
      </c>
      <c r="F4112" s="400">
        <v>604504.5</v>
      </c>
      <c r="G4112" s="401" t="s">
        <v>3800</v>
      </c>
      <c r="H4112" s="402">
        <v>224.93155099461336</v>
      </c>
      <c r="I4112" s="402"/>
      <c r="J4112" s="400"/>
      <c r="K4112" s="400"/>
      <c r="L4112" s="400"/>
      <c r="M4112" s="400"/>
      <c r="N4112" s="400">
        <f t="shared" si="215"/>
        <v>224.93155099461336</v>
      </c>
    </row>
    <row r="4113" spans="1:14" s="360" customFormat="1" hidden="1" outlineLevel="2" x14ac:dyDescent="0.35">
      <c r="A4113" s="403" t="s">
        <v>7166</v>
      </c>
      <c r="B4113" s="397">
        <v>44525</v>
      </c>
      <c r="C4113" s="398" t="s">
        <v>4582</v>
      </c>
      <c r="D4113" s="399" t="s">
        <v>4583</v>
      </c>
      <c r="E4113" s="399" t="s">
        <v>4272</v>
      </c>
      <c r="F4113" s="400">
        <v>60450.450000000004</v>
      </c>
      <c r="G4113" s="401" t="s">
        <v>3800</v>
      </c>
      <c r="H4113" s="402">
        <v>22.493155099461337</v>
      </c>
      <c r="I4113" s="402"/>
      <c r="J4113" s="400"/>
      <c r="K4113" s="400"/>
      <c r="L4113" s="400"/>
      <c r="M4113" s="400"/>
      <c r="N4113" s="400">
        <f t="shared" si="215"/>
        <v>22.493155099461337</v>
      </c>
    </row>
    <row r="4114" spans="1:14" s="360" customFormat="1" hidden="1" outlineLevel="2" x14ac:dyDescent="0.35">
      <c r="A4114" s="403" t="s">
        <v>7166</v>
      </c>
      <c r="B4114" s="397">
        <v>44525</v>
      </c>
      <c r="C4114" s="398" t="s">
        <v>4584</v>
      </c>
      <c r="D4114" s="399" t="s">
        <v>4585</v>
      </c>
      <c r="E4114" s="399" t="s">
        <v>4042</v>
      </c>
      <c r="F4114" s="400">
        <v>3627.027</v>
      </c>
      <c r="G4114" s="401" t="s">
        <v>3800</v>
      </c>
      <c r="H4114" s="402">
        <v>1.3495893059676802</v>
      </c>
      <c r="I4114" s="402"/>
      <c r="J4114" s="400"/>
      <c r="K4114" s="400"/>
      <c r="L4114" s="400"/>
      <c r="M4114" s="400"/>
      <c r="N4114" s="400">
        <f t="shared" si="215"/>
        <v>1.3495893059676802</v>
      </c>
    </row>
    <row r="4115" spans="1:14" s="360" customFormat="1" hidden="1" outlineLevel="2" x14ac:dyDescent="0.35">
      <c r="A4115" s="403" t="s">
        <v>7166</v>
      </c>
      <c r="B4115" s="397">
        <v>44525</v>
      </c>
      <c r="C4115" s="398" t="s">
        <v>4580</v>
      </c>
      <c r="D4115" s="399" t="s">
        <v>4581</v>
      </c>
      <c r="E4115" s="399" t="s">
        <v>7173</v>
      </c>
      <c r="F4115" s="400">
        <v>604504.5</v>
      </c>
      <c r="G4115" s="401" t="s">
        <v>3800</v>
      </c>
      <c r="H4115" s="402">
        <v>224.93155099461336</v>
      </c>
      <c r="I4115" s="402"/>
      <c r="J4115" s="400"/>
      <c r="K4115" s="400"/>
      <c r="L4115" s="400"/>
      <c r="M4115" s="400"/>
      <c r="N4115" s="400">
        <f t="shared" si="215"/>
        <v>224.93155099461336</v>
      </c>
    </row>
    <row r="4116" spans="1:14" s="360" customFormat="1" hidden="1" outlineLevel="2" x14ac:dyDescent="0.35">
      <c r="A4116" s="403" t="s">
        <v>7166</v>
      </c>
      <c r="B4116" s="397">
        <v>44525</v>
      </c>
      <c r="C4116" s="398" t="s">
        <v>4582</v>
      </c>
      <c r="D4116" s="399" t="s">
        <v>4583</v>
      </c>
      <c r="E4116" s="399" t="s">
        <v>4272</v>
      </c>
      <c r="F4116" s="400">
        <v>60450.450000000004</v>
      </c>
      <c r="G4116" s="401" t="s">
        <v>3800</v>
      </c>
      <c r="H4116" s="402">
        <v>22.493155099461337</v>
      </c>
      <c r="I4116" s="402"/>
      <c r="J4116" s="400"/>
      <c r="K4116" s="400"/>
      <c r="L4116" s="400"/>
      <c r="M4116" s="400"/>
      <c r="N4116" s="400">
        <f t="shared" si="215"/>
        <v>22.493155099461337</v>
      </c>
    </row>
    <row r="4117" spans="1:14" s="360" customFormat="1" hidden="1" outlineLevel="2" x14ac:dyDescent="0.35">
      <c r="A4117" s="403" t="s">
        <v>7166</v>
      </c>
      <c r="B4117" s="397">
        <v>44525</v>
      </c>
      <c r="C4117" s="398" t="s">
        <v>4584</v>
      </c>
      <c r="D4117" s="399" t="s">
        <v>4585</v>
      </c>
      <c r="E4117" s="399" t="s">
        <v>4042</v>
      </c>
      <c r="F4117" s="400">
        <v>3627.027</v>
      </c>
      <c r="G4117" s="401" t="s">
        <v>3800</v>
      </c>
      <c r="H4117" s="402">
        <v>1.3495893059676802</v>
      </c>
      <c r="I4117" s="402"/>
      <c r="J4117" s="400"/>
      <c r="K4117" s="400"/>
      <c r="L4117" s="400"/>
      <c r="M4117" s="400"/>
      <c r="N4117" s="400">
        <f t="shared" si="215"/>
        <v>1.3495893059676802</v>
      </c>
    </row>
    <row r="4118" spans="1:14" s="360" customFormat="1" hidden="1" outlineLevel="2" x14ac:dyDescent="0.35">
      <c r="A4118" s="403" t="s">
        <v>7166</v>
      </c>
      <c r="B4118" s="397">
        <v>44525</v>
      </c>
      <c r="C4118" s="398" t="s">
        <v>4580</v>
      </c>
      <c r="D4118" s="399" t="s">
        <v>4581</v>
      </c>
      <c r="E4118" s="399" t="s">
        <v>7174</v>
      </c>
      <c r="F4118" s="400">
        <v>604504.5</v>
      </c>
      <c r="G4118" s="401" t="s">
        <v>3800</v>
      </c>
      <c r="H4118" s="402">
        <v>224.93155099461336</v>
      </c>
      <c r="I4118" s="402"/>
      <c r="J4118" s="400"/>
      <c r="K4118" s="400"/>
      <c r="L4118" s="400"/>
      <c r="M4118" s="400"/>
      <c r="N4118" s="400">
        <f t="shared" si="215"/>
        <v>224.93155099461336</v>
      </c>
    </row>
    <row r="4119" spans="1:14" s="360" customFormat="1" hidden="1" outlineLevel="2" x14ac:dyDescent="0.35">
      <c r="A4119" s="403" t="s">
        <v>7166</v>
      </c>
      <c r="B4119" s="397">
        <v>44525</v>
      </c>
      <c r="C4119" s="398" t="s">
        <v>4582</v>
      </c>
      <c r="D4119" s="399" t="s">
        <v>4583</v>
      </c>
      <c r="E4119" s="399" t="s">
        <v>4272</v>
      </c>
      <c r="F4119" s="400">
        <v>60450.450000000004</v>
      </c>
      <c r="G4119" s="401" t="s">
        <v>3800</v>
      </c>
      <c r="H4119" s="402">
        <v>22.493155099461337</v>
      </c>
      <c r="I4119" s="402"/>
      <c r="J4119" s="400"/>
      <c r="K4119" s="400"/>
      <c r="L4119" s="400"/>
      <c r="M4119" s="400"/>
      <c r="N4119" s="400">
        <f t="shared" si="215"/>
        <v>22.493155099461337</v>
      </c>
    </row>
    <row r="4120" spans="1:14" s="360" customFormat="1" hidden="1" outlineLevel="2" x14ac:dyDescent="0.35">
      <c r="A4120" s="403" t="s">
        <v>7166</v>
      </c>
      <c r="B4120" s="397">
        <v>44525</v>
      </c>
      <c r="C4120" s="398" t="s">
        <v>4584</v>
      </c>
      <c r="D4120" s="399" t="s">
        <v>4585</v>
      </c>
      <c r="E4120" s="399" t="s">
        <v>4042</v>
      </c>
      <c r="F4120" s="400">
        <v>3627.027</v>
      </c>
      <c r="G4120" s="401" t="s">
        <v>3800</v>
      </c>
      <c r="H4120" s="402">
        <v>1.3495893059676802</v>
      </c>
      <c r="I4120" s="402"/>
      <c r="J4120" s="400"/>
      <c r="K4120" s="400"/>
      <c r="L4120" s="400"/>
      <c r="M4120" s="400"/>
      <c r="N4120" s="400">
        <f t="shared" si="215"/>
        <v>1.3495893059676802</v>
      </c>
    </row>
    <row r="4121" spans="1:14" s="360" customFormat="1" hidden="1" outlineLevel="2" x14ac:dyDescent="0.35">
      <c r="A4121" s="403" t="s">
        <v>7166</v>
      </c>
      <c r="B4121" s="397">
        <v>44525</v>
      </c>
      <c r="C4121" s="398" t="s">
        <v>4580</v>
      </c>
      <c r="D4121" s="399" t="s">
        <v>4581</v>
      </c>
      <c r="E4121" s="399" t="s">
        <v>7175</v>
      </c>
      <c r="F4121" s="400">
        <v>604504.5</v>
      </c>
      <c r="G4121" s="401" t="s">
        <v>3800</v>
      </c>
      <c r="H4121" s="402">
        <v>224.93155099461336</v>
      </c>
      <c r="I4121" s="402"/>
      <c r="J4121" s="400"/>
      <c r="K4121" s="400"/>
      <c r="L4121" s="400"/>
      <c r="M4121" s="400"/>
      <c r="N4121" s="400">
        <f t="shared" si="215"/>
        <v>224.93155099461336</v>
      </c>
    </row>
    <row r="4122" spans="1:14" s="360" customFormat="1" hidden="1" outlineLevel="2" x14ac:dyDescent="0.35">
      <c r="A4122" s="403" t="s">
        <v>7166</v>
      </c>
      <c r="B4122" s="397">
        <v>44525</v>
      </c>
      <c r="C4122" s="398" t="s">
        <v>4582</v>
      </c>
      <c r="D4122" s="399" t="s">
        <v>4583</v>
      </c>
      <c r="E4122" s="399" t="s">
        <v>4272</v>
      </c>
      <c r="F4122" s="400">
        <v>60450.450000000004</v>
      </c>
      <c r="G4122" s="401" t="s">
        <v>3800</v>
      </c>
      <c r="H4122" s="402">
        <v>22.493155099461337</v>
      </c>
      <c r="I4122" s="402"/>
      <c r="J4122" s="400"/>
      <c r="K4122" s="400"/>
      <c r="L4122" s="400"/>
      <c r="M4122" s="400"/>
      <c r="N4122" s="400">
        <f t="shared" si="215"/>
        <v>22.493155099461337</v>
      </c>
    </row>
    <row r="4123" spans="1:14" s="360" customFormat="1" hidden="1" outlineLevel="2" collapsed="1" x14ac:dyDescent="0.35">
      <c r="A4123" s="403" t="s">
        <v>7166</v>
      </c>
      <c r="B4123" s="397">
        <v>44525</v>
      </c>
      <c r="C4123" s="398" t="s">
        <v>4584</v>
      </c>
      <c r="D4123" s="399" t="s">
        <v>4585</v>
      </c>
      <c r="E4123" s="399" t="s">
        <v>4042</v>
      </c>
      <c r="F4123" s="400">
        <v>3627.027</v>
      </c>
      <c r="G4123" s="401" t="s">
        <v>3800</v>
      </c>
      <c r="H4123" s="402">
        <v>1.3495893059676802</v>
      </c>
      <c r="I4123" s="402"/>
      <c r="J4123" s="400"/>
      <c r="K4123" s="400"/>
      <c r="L4123" s="400"/>
      <c r="M4123" s="400"/>
      <c r="N4123" s="400">
        <f t="shared" si="215"/>
        <v>1.3495893059676802</v>
      </c>
    </row>
    <row r="4124" spans="1:14" s="360" customFormat="1" hidden="1" outlineLevel="2" x14ac:dyDescent="0.35">
      <c r="A4124" s="403" t="s">
        <v>7166</v>
      </c>
      <c r="B4124" s="397">
        <v>44525</v>
      </c>
      <c r="C4124" s="398" t="s">
        <v>4580</v>
      </c>
      <c r="D4124" s="399" t="s">
        <v>4581</v>
      </c>
      <c r="E4124" s="399" t="s">
        <v>7176</v>
      </c>
      <c r="F4124" s="400">
        <v>604504.5</v>
      </c>
      <c r="G4124" s="401" t="s">
        <v>3800</v>
      </c>
      <c r="H4124" s="402">
        <v>224.93155099461336</v>
      </c>
      <c r="I4124" s="402"/>
      <c r="J4124" s="400"/>
      <c r="K4124" s="400"/>
      <c r="L4124" s="400"/>
      <c r="M4124" s="400"/>
      <c r="N4124" s="400">
        <f t="shared" si="215"/>
        <v>224.93155099461336</v>
      </c>
    </row>
    <row r="4125" spans="1:14" s="360" customFormat="1" hidden="1" outlineLevel="2" x14ac:dyDescent="0.35">
      <c r="A4125" s="403" t="s">
        <v>7166</v>
      </c>
      <c r="B4125" s="397">
        <v>44525</v>
      </c>
      <c r="C4125" s="398" t="s">
        <v>4582</v>
      </c>
      <c r="D4125" s="399" t="s">
        <v>4583</v>
      </c>
      <c r="E4125" s="399" t="s">
        <v>4272</v>
      </c>
      <c r="F4125" s="400">
        <v>60450.450000000004</v>
      </c>
      <c r="G4125" s="401" t="s">
        <v>3800</v>
      </c>
      <c r="H4125" s="402">
        <v>22.493155099461337</v>
      </c>
      <c r="I4125" s="402"/>
      <c r="J4125" s="400"/>
      <c r="K4125" s="400"/>
      <c r="L4125" s="400"/>
      <c r="M4125" s="400"/>
      <c r="N4125" s="400">
        <f t="shared" si="215"/>
        <v>22.493155099461337</v>
      </c>
    </row>
    <row r="4126" spans="1:14" s="360" customFormat="1" hidden="1" outlineLevel="2" x14ac:dyDescent="0.35">
      <c r="A4126" s="403" t="s">
        <v>7166</v>
      </c>
      <c r="B4126" s="397">
        <v>44525</v>
      </c>
      <c r="C4126" s="398" t="s">
        <v>4584</v>
      </c>
      <c r="D4126" s="399" t="s">
        <v>4585</v>
      </c>
      <c r="E4126" s="399" t="s">
        <v>4042</v>
      </c>
      <c r="F4126" s="400">
        <v>3627.027</v>
      </c>
      <c r="G4126" s="401" t="s">
        <v>3800</v>
      </c>
      <c r="H4126" s="402">
        <v>1.3495893059676802</v>
      </c>
      <c r="I4126" s="402"/>
      <c r="J4126" s="400"/>
      <c r="K4126" s="400"/>
      <c r="L4126" s="400"/>
      <c r="M4126" s="400"/>
      <c r="N4126" s="400">
        <f t="shared" si="215"/>
        <v>1.3495893059676802</v>
      </c>
    </row>
    <row r="4127" spans="1:14" s="360" customFormat="1" hidden="1" outlineLevel="2" x14ac:dyDescent="0.35">
      <c r="A4127" s="403" t="s">
        <v>7166</v>
      </c>
      <c r="B4127" s="397">
        <v>44525</v>
      </c>
      <c r="C4127" s="398" t="s">
        <v>4580</v>
      </c>
      <c r="D4127" s="399" t="s">
        <v>4581</v>
      </c>
      <c r="E4127" s="399" t="s">
        <v>7177</v>
      </c>
      <c r="F4127" s="400">
        <v>604504.05000000005</v>
      </c>
      <c r="G4127" s="401" t="s">
        <v>3800</v>
      </c>
      <c r="H4127" s="402">
        <v>224.93138355301789</v>
      </c>
      <c r="I4127" s="402"/>
      <c r="J4127" s="400"/>
      <c r="K4127" s="400"/>
      <c r="L4127" s="400"/>
      <c r="M4127" s="400"/>
      <c r="N4127" s="400">
        <f t="shared" si="215"/>
        <v>224.93138355301789</v>
      </c>
    </row>
    <row r="4128" spans="1:14" s="360" customFormat="1" hidden="1" outlineLevel="2" x14ac:dyDescent="0.35">
      <c r="A4128" s="403" t="s">
        <v>7166</v>
      </c>
      <c r="B4128" s="397">
        <v>44525</v>
      </c>
      <c r="C4128" s="398" t="s">
        <v>4582</v>
      </c>
      <c r="D4128" s="399" t="s">
        <v>4583</v>
      </c>
      <c r="E4128" s="399" t="s">
        <v>4272</v>
      </c>
      <c r="F4128" s="400">
        <v>60450.45</v>
      </c>
      <c r="G4128" s="401" t="s">
        <v>3800</v>
      </c>
      <c r="H4128" s="402">
        <v>22.493155099461333</v>
      </c>
      <c r="I4128" s="402"/>
      <c r="J4128" s="400"/>
      <c r="K4128" s="400"/>
      <c r="L4128" s="400"/>
      <c r="M4128" s="400"/>
      <c r="N4128" s="400">
        <f t="shared" si="215"/>
        <v>22.493155099461333</v>
      </c>
    </row>
    <row r="4129" spans="1:14" s="360" customFormat="1" hidden="1" outlineLevel="2" collapsed="1" x14ac:dyDescent="0.35">
      <c r="A4129" s="403" t="s">
        <v>7166</v>
      </c>
      <c r="B4129" s="397">
        <v>44525</v>
      </c>
      <c r="C4129" s="398" t="s">
        <v>4584</v>
      </c>
      <c r="D4129" s="399" t="s">
        <v>4585</v>
      </c>
      <c r="E4129" s="399" t="s">
        <v>4042</v>
      </c>
      <c r="F4129" s="400">
        <v>3627.0243000000005</v>
      </c>
      <c r="G4129" s="401" t="s">
        <v>3800</v>
      </c>
      <c r="H4129" s="402">
        <v>1.3495883013181076</v>
      </c>
      <c r="I4129" s="402"/>
      <c r="J4129" s="400"/>
      <c r="K4129" s="400"/>
      <c r="L4129" s="400"/>
      <c r="M4129" s="400"/>
      <c r="N4129" s="400">
        <f t="shared" si="215"/>
        <v>1.3495883013181076</v>
      </c>
    </row>
    <row r="4130" spans="1:14" s="360" customFormat="1" hidden="1" outlineLevel="2" x14ac:dyDescent="0.35">
      <c r="A4130" s="403" t="s">
        <v>7166</v>
      </c>
      <c r="B4130" s="397">
        <v>44525</v>
      </c>
      <c r="C4130" s="398" t="s">
        <v>4580</v>
      </c>
      <c r="D4130" s="399" t="s">
        <v>4581</v>
      </c>
      <c r="E4130" s="399" t="s">
        <v>7178</v>
      </c>
      <c r="F4130" s="400">
        <v>604504.5</v>
      </c>
      <c r="G4130" s="401" t="s">
        <v>3800</v>
      </c>
      <c r="H4130" s="402">
        <v>224.93155099461336</v>
      </c>
      <c r="I4130" s="402"/>
      <c r="J4130" s="400"/>
      <c r="K4130" s="400"/>
      <c r="L4130" s="400"/>
      <c r="M4130" s="400"/>
      <c r="N4130" s="400">
        <f t="shared" si="215"/>
        <v>224.93155099461336</v>
      </c>
    </row>
    <row r="4131" spans="1:14" s="360" customFormat="1" hidden="1" outlineLevel="2" x14ac:dyDescent="0.35">
      <c r="A4131" s="403" t="s">
        <v>7166</v>
      </c>
      <c r="B4131" s="397">
        <v>44525</v>
      </c>
      <c r="C4131" s="398" t="s">
        <v>4582</v>
      </c>
      <c r="D4131" s="399" t="s">
        <v>4583</v>
      </c>
      <c r="E4131" s="399" t="s">
        <v>4272</v>
      </c>
      <c r="F4131" s="400">
        <v>60450.450000000004</v>
      </c>
      <c r="G4131" s="401" t="s">
        <v>3800</v>
      </c>
      <c r="H4131" s="402">
        <v>22.493155099461337</v>
      </c>
      <c r="I4131" s="402"/>
      <c r="J4131" s="400"/>
      <c r="K4131" s="400"/>
      <c r="L4131" s="400"/>
      <c r="M4131" s="400"/>
      <c r="N4131" s="400">
        <f t="shared" si="215"/>
        <v>22.493155099461337</v>
      </c>
    </row>
    <row r="4132" spans="1:14" s="360" customFormat="1" hidden="1" outlineLevel="2" collapsed="1" x14ac:dyDescent="0.35">
      <c r="A4132" s="403" t="s">
        <v>7166</v>
      </c>
      <c r="B4132" s="397">
        <v>44525</v>
      </c>
      <c r="C4132" s="398" t="s">
        <v>4584</v>
      </c>
      <c r="D4132" s="399" t="s">
        <v>4585</v>
      </c>
      <c r="E4132" s="399" t="s">
        <v>4042</v>
      </c>
      <c r="F4132" s="400">
        <v>3627.027</v>
      </c>
      <c r="G4132" s="401" t="s">
        <v>3800</v>
      </c>
      <c r="H4132" s="402">
        <v>1.3495893059676802</v>
      </c>
      <c r="I4132" s="402"/>
      <c r="J4132" s="400"/>
      <c r="K4132" s="400"/>
      <c r="L4132" s="400"/>
      <c r="M4132" s="400"/>
      <c r="N4132" s="400">
        <f t="shared" si="215"/>
        <v>1.3495893059676802</v>
      </c>
    </row>
    <row r="4133" spans="1:14" s="360" customFormat="1" hidden="1" outlineLevel="2" x14ac:dyDescent="0.35">
      <c r="A4133" s="403" t="s">
        <v>7166</v>
      </c>
      <c r="B4133" s="397">
        <v>44525</v>
      </c>
      <c r="C4133" s="398" t="s">
        <v>4580</v>
      </c>
      <c r="D4133" s="399" t="s">
        <v>4581</v>
      </c>
      <c r="E4133" s="399" t="s">
        <v>7179</v>
      </c>
      <c r="F4133" s="400">
        <v>604504.5</v>
      </c>
      <c r="G4133" s="401" t="s">
        <v>3800</v>
      </c>
      <c r="H4133" s="402">
        <v>224.93155099461336</v>
      </c>
      <c r="I4133" s="402"/>
      <c r="J4133" s="400"/>
      <c r="K4133" s="400"/>
      <c r="L4133" s="400"/>
      <c r="M4133" s="400"/>
      <c r="N4133" s="400">
        <f t="shared" si="215"/>
        <v>224.93155099461336</v>
      </c>
    </row>
    <row r="4134" spans="1:14" s="360" customFormat="1" hidden="1" outlineLevel="2" x14ac:dyDescent="0.35">
      <c r="A4134" s="403" t="s">
        <v>7166</v>
      </c>
      <c r="B4134" s="397">
        <v>44525</v>
      </c>
      <c r="C4134" s="398" t="s">
        <v>4582</v>
      </c>
      <c r="D4134" s="399" t="s">
        <v>4583</v>
      </c>
      <c r="E4134" s="399" t="s">
        <v>4272</v>
      </c>
      <c r="F4134" s="400">
        <v>60450.450000000004</v>
      </c>
      <c r="G4134" s="401" t="s">
        <v>3800</v>
      </c>
      <c r="H4134" s="402">
        <v>22.493155099461337</v>
      </c>
      <c r="I4134" s="402"/>
      <c r="J4134" s="400"/>
      <c r="K4134" s="400"/>
      <c r="L4134" s="400"/>
      <c r="M4134" s="400"/>
      <c r="N4134" s="400">
        <f t="shared" si="215"/>
        <v>22.493155099461337</v>
      </c>
    </row>
    <row r="4135" spans="1:14" s="360" customFormat="1" hidden="1" outlineLevel="2" collapsed="1" x14ac:dyDescent="0.35">
      <c r="A4135" s="403" t="s">
        <v>7166</v>
      </c>
      <c r="B4135" s="397">
        <v>44525</v>
      </c>
      <c r="C4135" s="398" t="s">
        <v>4584</v>
      </c>
      <c r="D4135" s="399" t="s">
        <v>4585</v>
      </c>
      <c r="E4135" s="399" t="s">
        <v>4042</v>
      </c>
      <c r="F4135" s="400">
        <v>3627.027</v>
      </c>
      <c r="G4135" s="401" t="s">
        <v>3800</v>
      </c>
      <c r="H4135" s="402">
        <v>1.3495893059676802</v>
      </c>
      <c r="I4135" s="402"/>
      <c r="J4135" s="400"/>
      <c r="K4135" s="400"/>
      <c r="L4135" s="400"/>
      <c r="M4135" s="400"/>
      <c r="N4135" s="400">
        <f t="shared" si="215"/>
        <v>1.3495893059676802</v>
      </c>
    </row>
    <row r="4136" spans="1:14" s="360" customFormat="1" hidden="1" outlineLevel="2" x14ac:dyDescent="0.35">
      <c r="A4136" s="403" t="s">
        <v>7166</v>
      </c>
      <c r="B4136" s="397">
        <v>44525</v>
      </c>
      <c r="C4136" s="398" t="s">
        <v>4580</v>
      </c>
      <c r="D4136" s="399" t="s">
        <v>4581</v>
      </c>
      <c r="E4136" s="399" t="s">
        <v>7180</v>
      </c>
      <c r="F4136" s="400">
        <v>604504.5</v>
      </c>
      <c r="G4136" s="401" t="s">
        <v>3800</v>
      </c>
      <c r="H4136" s="402">
        <v>224.93155099461336</v>
      </c>
      <c r="I4136" s="402"/>
      <c r="J4136" s="400"/>
      <c r="K4136" s="400"/>
      <c r="L4136" s="400"/>
      <c r="M4136" s="400"/>
      <c r="N4136" s="400">
        <f t="shared" si="215"/>
        <v>224.93155099461336</v>
      </c>
    </row>
    <row r="4137" spans="1:14" s="360" customFormat="1" hidden="1" outlineLevel="2" x14ac:dyDescent="0.35">
      <c r="A4137" s="403" t="s">
        <v>7166</v>
      </c>
      <c r="B4137" s="397">
        <v>44525</v>
      </c>
      <c r="C4137" s="398" t="s">
        <v>4582</v>
      </c>
      <c r="D4137" s="399" t="s">
        <v>4583</v>
      </c>
      <c r="E4137" s="399" t="s">
        <v>4272</v>
      </c>
      <c r="F4137" s="400">
        <v>60450.450000000004</v>
      </c>
      <c r="G4137" s="401" t="s">
        <v>3800</v>
      </c>
      <c r="H4137" s="402">
        <v>22.493155099461337</v>
      </c>
      <c r="I4137" s="402"/>
      <c r="J4137" s="400"/>
      <c r="K4137" s="400"/>
      <c r="L4137" s="400"/>
      <c r="M4137" s="400"/>
      <c r="N4137" s="400">
        <f t="shared" si="215"/>
        <v>22.493155099461337</v>
      </c>
    </row>
    <row r="4138" spans="1:14" s="360" customFormat="1" hidden="1" outlineLevel="2" x14ac:dyDescent="0.35">
      <c r="A4138" s="403" t="s">
        <v>7166</v>
      </c>
      <c r="B4138" s="397">
        <v>44525</v>
      </c>
      <c r="C4138" s="398" t="s">
        <v>4584</v>
      </c>
      <c r="D4138" s="399" t="s">
        <v>4585</v>
      </c>
      <c r="E4138" s="399" t="s">
        <v>4042</v>
      </c>
      <c r="F4138" s="400">
        <v>3627.027</v>
      </c>
      <c r="G4138" s="401" t="s">
        <v>3800</v>
      </c>
      <c r="H4138" s="402">
        <v>1.3495893059676802</v>
      </c>
      <c r="I4138" s="402"/>
      <c r="J4138" s="400"/>
      <c r="K4138" s="400"/>
      <c r="L4138" s="400"/>
      <c r="M4138" s="400"/>
      <c r="N4138" s="400">
        <f t="shared" si="215"/>
        <v>1.3495893059676802</v>
      </c>
    </row>
    <row r="4139" spans="1:14" s="360" customFormat="1" hidden="1" outlineLevel="2" x14ac:dyDescent="0.35">
      <c r="A4139" s="403" t="s">
        <v>7166</v>
      </c>
      <c r="B4139" s="397">
        <v>44525</v>
      </c>
      <c r="C4139" s="398" t="s">
        <v>4580</v>
      </c>
      <c r="D4139" s="399" t="s">
        <v>4581</v>
      </c>
      <c r="E4139" s="399" t="s">
        <v>7181</v>
      </c>
      <c r="F4139" s="400">
        <v>604504.5</v>
      </c>
      <c r="G4139" s="401" t="s">
        <v>3800</v>
      </c>
      <c r="H4139" s="402">
        <v>224.93155099461336</v>
      </c>
      <c r="I4139" s="402"/>
      <c r="J4139" s="400"/>
      <c r="K4139" s="400"/>
      <c r="L4139" s="400"/>
      <c r="M4139" s="400"/>
      <c r="N4139" s="400">
        <f t="shared" si="215"/>
        <v>224.93155099461336</v>
      </c>
    </row>
    <row r="4140" spans="1:14" s="360" customFormat="1" hidden="1" outlineLevel="2" x14ac:dyDescent="0.35">
      <c r="A4140" s="403" t="s">
        <v>7166</v>
      </c>
      <c r="B4140" s="397">
        <v>44525</v>
      </c>
      <c r="C4140" s="398" t="s">
        <v>4582</v>
      </c>
      <c r="D4140" s="399" t="s">
        <v>4583</v>
      </c>
      <c r="E4140" s="399" t="s">
        <v>4272</v>
      </c>
      <c r="F4140" s="400">
        <v>60450.450000000004</v>
      </c>
      <c r="G4140" s="401" t="s">
        <v>3800</v>
      </c>
      <c r="H4140" s="402">
        <v>22.493155099461337</v>
      </c>
      <c r="I4140" s="402"/>
      <c r="J4140" s="400"/>
      <c r="K4140" s="400"/>
      <c r="L4140" s="400"/>
      <c r="M4140" s="400"/>
      <c r="N4140" s="400">
        <f t="shared" si="215"/>
        <v>22.493155099461337</v>
      </c>
    </row>
    <row r="4141" spans="1:14" s="360" customFormat="1" hidden="1" outlineLevel="2" x14ac:dyDescent="0.35">
      <c r="A4141" s="403" t="s">
        <v>7166</v>
      </c>
      <c r="B4141" s="397">
        <v>44525</v>
      </c>
      <c r="C4141" s="398" t="s">
        <v>4584</v>
      </c>
      <c r="D4141" s="399" t="s">
        <v>4585</v>
      </c>
      <c r="E4141" s="399" t="s">
        <v>4042</v>
      </c>
      <c r="F4141" s="400">
        <v>3627.027</v>
      </c>
      <c r="G4141" s="401" t="s">
        <v>3800</v>
      </c>
      <c r="H4141" s="402">
        <v>1.3495893059676802</v>
      </c>
      <c r="I4141" s="402"/>
      <c r="J4141" s="400"/>
      <c r="K4141" s="400"/>
      <c r="L4141" s="400"/>
      <c r="M4141" s="400"/>
      <c r="N4141" s="400">
        <f t="shared" si="215"/>
        <v>1.3495893059676802</v>
      </c>
    </row>
    <row r="4142" spans="1:14" s="360" customFormat="1" hidden="1" outlineLevel="2" x14ac:dyDescent="0.35">
      <c r="A4142" s="403" t="s">
        <v>7166</v>
      </c>
      <c r="B4142" s="397">
        <v>44525</v>
      </c>
      <c r="C4142" s="398" t="s">
        <v>4580</v>
      </c>
      <c r="D4142" s="399" t="s">
        <v>4581</v>
      </c>
      <c r="E4142" s="399" t="s">
        <v>7182</v>
      </c>
      <c r="F4142" s="400">
        <v>604504.5</v>
      </c>
      <c r="G4142" s="401" t="s">
        <v>3800</v>
      </c>
      <c r="H4142" s="402">
        <v>224.93155099461336</v>
      </c>
      <c r="I4142" s="402"/>
      <c r="J4142" s="400"/>
      <c r="K4142" s="400"/>
      <c r="L4142" s="400"/>
      <c r="M4142" s="400"/>
      <c r="N4142" s="400">
        <f t="shared" si="215"/>
        <v>224.93155099461336</v>
      </c>
    </row>
    <row r="4143" spans="1:14" s="360" customFormat="1" hidden="1" outlineLevel="2" x14ac:dyDescent="0.35">
      <c r="A4143" s="403" t="s">
        <v>7166</v>
      </c>
      <c r="B4143" s="397">
        <v>44525</v>
      </c>
      <c r="C4143" s="398" t="s">
        <v>4582</v>
      </c>
      <c r="D4143" s="399" t="s">
        <v>4583</v>
      </c>
      <c r="E4143" s="399" t="s">
        <v>4272</v>
      </c>
      <c r="F4143" s="400">
        <v>60450.450000000004</v>
      </c>
      <c r="G4143" s="401" t="s">
        <v>3800</v>
      </c>
      <c r="H4143" s="402">
        <v>22.493155099461337</v>
      </c>
      <c r="I4143" s="402"/>
      <c r="J4143" s="400"/>
      <c r="K4143" s="400"/>
      <c r="L4143" s="400"/>
      <c r="M4143" s="400"/>
      <c r="N4143" s="400">
        <f t="shared" si="215"/>
        <v>22.493155099461337</v>
      </c>
    </row>
    <row r="4144" spans="1:14" s="360" customFormat="1" hidden="1" outlineLevel="2" x14ac:dyDescent="0.35">
      <c r="A4144" s="403" t="s">
        <v>7166</v>
      </c>
      <c r="B4144" s="397">
        <v>44525</v>
      </c>
      <c r="C4144" s="398" t="s">
        <v>4584</v>
      </c>
      <c r="D4144" s="399" t="s">
        <v>4585</v>
      </c>
      <c r="E4144" s="399" t="s">
        <v>4042</v>
      </c>
      <c r="F4144" s="400">
        <v>3627.027</v>
      </c>
      <c r="G4144" s="401" t="s">
        <v>3800</v>
      </c>
      <c r="H4144" s="402">
        <v>1.3495893059676802</v>
      </c>
      <c r="I4144" s="402"/>
      <c r="J4144" s="400"/>
      <c r="K4144" s="400"/>
      <c r="L4144" s="400"/>
      <c r="M4144" s="400"/>
      <c r="N4144" s="400">
        <f t="shared" si="215"/>
        <v>1.3495893059676802</v>
      </c>
    </row>
    <row r="4145" spans="1:14" s="360" customFormat="1" hidden="1" outlineLevel="2" x14ac:dyDescent="0.35">
      <c r="A4145" s="403" t="s">
        <v>7166</v>
      </c>
      <c r="B4145" s="397">
        <v>44525</v>
      </c>
      <c r="C4145" s="398" t="s">
        <v>4580</v>
      </c>
      <c r="D4145" s="399" t="s">
        <v>4581</v>
      </c>
      <c r="E4145" s="399" t="s">
        <v>7183</v>
      </c>
      <c r="F4145" s="400">
        <v>604504.5</v>
      </c>
      <c r="G4145" s="401" t="s">
        <v>3800</v>
      </c>
      <c r="H4145" s="402">
        <v>224.93155099461336</v>
      </c>
      <c r="I4145" s="402"/>
      <c r="J4145" s="400"/>
      <c r="K4145" s="400"/>
      <c r="L4145" s="400"/>
      <c r="M4145" s="400"/>
      <c r="N4145" s="400">
        <f t="shared" si="215"/>
        <v>224.93155099461336</v>
      </c>
    </row>
    <row r="4146" spans="1:14" s="360" customFormat="1" hidden="1" outlineLevel="2" x14ac:dyDescent="0.35">
      <c r="A4146" s="403" t="s">
        <v>7166</v>
      </c>
      <c r="B4146" s="397">
        <v>44525</v>
      </c>
      <c r="C4146" s="398" t="s">
        <v>4582</v>
      </c>
      <c r="D4146" s="399" t="s">
        <v>4583</v>
      </c>
      <c r="E4146" s="399" t="s">
        <v>4272</v>
      </c>
      <c r="F4146" s="400">
        <v>60450.450000000004</v>
      </c>
      <c r="G4146" s="401" t="s">
        <v>3800</v>
      </c>
      <c r="H4146" s="402">
        <v>22.493155099461337</v>
      </c>
      <c r="I4146" s="402"/>
      <c r="J4146" s="400"/>
      <c r="K4146" s="400"/>
      <c r="L4146" s="400"/>
      <c r="M4146" s="400"/>
      <c r="N4146" s="400">
        <f t="shared" si="215"/>
        <v>22.493155099461337</v>
      </c>
    </row>
    <row r="4147" spans="1:14" s="360" customFormat="1" hidden="1" outlineLevel="2" x14ac:dyDescent="0.35">
      <c r="A4147" s="403" t="s">
        <v>7166</v>
      </c>
      <c r="B4147" s="397">
        <v>44525</v>
      </c>
      <c r="C4147" s="398" t="s">
        <v>4584</v>
      </c>
      <c r="D4147" s="399" t="s">
        <v>4585</v>
      </c>
      <c r="E4147" s="399" t="s">
        <v>4042</v>
      </c>
      <c r="F4147" s="400">
        <v>3627.027</v>
      </c>
      <c r="G4147" s="401" t="s">
        <v>3800</v>
      </c>
      <c r="H4147" s="402">
        <v>1.3495893059676802</v>
      </c>
      <c r="I4147" s="402"/>
      <c r="J4147" s="400"/>
      <c r="K4147" s="400"/>
      <c r="L4147" s="400"/>
      <c r="M4147" s="400"/>
      <c r="N4147" s="400">
        <f t="shared" si="215"/>
        <v>1.3495893059676802</v>
      </c>
    </row>
    <row r="4148" spans="1:14" s="360" customFormat="1" hidden="1" outlineLevel="2" x14ac:dyDescent="0.35">
      <c r="A4148" s="403" t="s">
        <v>7166</v>
      </c>
      <c r="B4148" s="397">
        <v>44547</v>
      </c>
      <c r="C4148" s="398" t="s">
        <v>4586</v>
      </c>
      <c r="D4148" s="399" t="s">
        <v>4587</v>
      </c>
      <c r="E4148" s="399" t="s">
        <v>7168</v>
      </c>
      <c r="F4148" s="400">
        <v>604504.5</v>
      </c>
      <c r="G4148" s="401" t="s">
        <v>3800</v>
      </c>
      <c r="H4148" s="402">
        <v>224.93155099461336</v>
      </c>
      <c r="I4148" s="402"/>
      <c r="J4148" s="400"/>
      <c r="K4148" s="400"/>
      <c r="L4148" s="400"/>
      <c r="M4148" s="400"/>
      <c r="N4148" s="400">
        <f t="shared" si="215"/>
        <v>224.93155099461336</v>
      </c>
    </row>
    <row r="4149" spans="1:14" s="360" customFormat="1" hidden="1" outlineLevel="2" x14ac:dyDescent="0.35">
      <c r="A4149" s="403" t="s">
        <v>7166</v>
      </c>
      <c r="B4149" s="397">
        <v>44547</v>
      </c>
      <c r="C4149" s="398" t="s">
        <v>4588</v>
      </c>
      <c r="D4149" s="399" t="s">
        <v>4589</v>
      </c>
      <c r="E4149" s="399" t="s">
        <v>4272</v>
      </c>
      <c r="F4149" s="400">
        <v>60450.450000000004</v>
      </c>
      <c r="G4149" s="401" t="s">
        <v>3800</v>
      </c>
      <c r="H4149" s="402">
        <v>22.493155099461337</v>
      </c>
      <c r="I4149" s="402"/>
      <c r="J4149" s="400"/>
      <c r="K4149" s="400"/>
      <c r="L4149" s="400"/>
      <c r="M4149" s="400"/>
      <c r="N4149" s="400">
        <f t="shared" si="215"/>
        <v>22.493155099461337</v>
      </c>
    </row>
    <row r="4150" spans="1:14" s="360" customFormat="1" hidden="1" outlineLevel="2" x14ac:dyDescent="0.35">
      <c r="A4150" s="403" t="s">
        <v>7166</v>
      </c>
      <c r="B4150" s="397">
        <v>44547</v>
      </c>
      <c r="C4150" s="398" t="s">
        <v>4590</v>
      </c>
      <c r="D4150" s="399" t="s">
        <v>4591</v>
      </c>
      <c r="E4150" s="399" t="s">
        <v>4042</v>
      </c>
      <c r="F4150" s="400">
        <v>3627.027</v>
      </c>
      <c r="G4150" s="401" t="s">
        <v>3800</v>
      </c>
      <c r="H4150" s="402">
        <v>1.3495893059676802</v>
      </c>
      <c r="I4150" s="402"/>
      <c r="J4150" s="400"/>
      <c r="K4150" s="400"/>
      <c r="L4150" s="400"/>
      <c r="M4150" s="400"/>
      <c r="N4150" s="400">
        <f t="shared" si="215"/>
        <v>1.3495893059676802</v>
      </c>
    </row>
    <row r="4151" spans="1:14" s="360" customFormat="1" hidden="1" outlineLevel="2" collapsed="1" x14ac:dyDescent="0.35">
      <c r="A4151" s="403" t="s">
        <v>7166</v>
      </c>
      <c r="B4151" s="397">
        <v>44547</v>
      </c>
      <c r="C4151" s="398" t="s">
        <v>4586</v>
      </c>
      <c r="D4151" s="399" t="s">
        <v>4587</v>
      </c>
      <c r="E4151" s="399" t="s">
        <v>7169</v>
      </c>
      <c r="F4151" s="400">
        <v>604504.5</v>
      </c>
      <c r="G4151" s="401" t="s">
        <v>3800</v>
      </c>
      <c r="H4151" s="402">
        <v>224.93155099461336</v>
      </c>
      <c r="I4151" s="402"/>
      <c r="J4151" s="400"/>
      <c r="K4151" s="400"/>
      <c r="L4151" s="400"/>
      <c r="M4151" s="400"/>
      <c r="N4151" s="400">
        <f t="shared" si="215"/>
        <v>224.93155099461336</v>
      </c>
    </row>
    <row r="4152" spans="1:14" s="360" customFormat="1" hidden="1" outlineLevel="2" x14ac:dyDescent="0.35">
      <c r="A4152" s="403" t="s">
        <v>7166</v>
      </c>
      <c r="B4152" s="397">
        <v>44547</v>
      </c>
      <c r="C4152" s="398" t="s">
        <v>4588</v>
      </c>
      <c r="D4152" s="399" t="s">
        <v>4589</v>
      </c>
      <c r="E4152" s="399" t="s">
        <v>4272</v>
      </c>
      <c r="F4152" s="400">
        <v>60450.450000000004</v>
      </c>
      <c r="G4152" s="401" t="s">
        <v>3800</v>
      </c>
      <c r="H4152" s="402">
        <v>22.493155099461337</v>
      </c>
      <c r="I4152" s="402"/>
      <c r="J4152" s="400"/>
      <c r="K4152" s="400"/>
      <c r="L4152" s="400"/>
      <c r="M4152" s="400"/>
      <c r="N4152" s="400">
        <f t="shared" si="215"/>
        <v>22.493155099461337</v>
      </c>
    </row>
    <row r="4153" spans="1:14" s="360" customFormat="1" hidden="1" outlineLevel="2" x14ac:dyDescent="0.35">
      <c r="A4153" s="403" t="s">
        <v>7166</v>
      </c>
      <c r="B4153" s="397">
        <v>44547</v>
      </c>
      <c r="C4153" s="398" t="s">
        <v>4590</v>
      </c>
      <c r="D4153" s="399" t="s">
        <v>4591</v>
      </c>
      <c r="E4153" s="399" t="s">
        <v>4042</v>
      </c>
      <c r="F4153" s="400">
        <v>3627.027</v>
      </c>
      <c r="G4153" s="401" t="s">
        <v>3800</v>
      </c>
      <c r="H4153" s="402">
        <v>1.3495893059676802</v>
      </c>
      <c r="I4153" s="402"/>
      <c r="J4153" s="400"/>
      <c r="K4153" s="400"/>
      <c r="L4153" s="400"/>
      <c r="M4153" s="400"/>
      <c r="N4153" s="400">
        <f t="shared" si="215"/>
        <v>1.3495893059676802</v>
      </c>
    </row>
    <row r="4154" spans="1:14" s="360" customFormat="1" hidden="1" outlineLevel="2" x14ac:dyDescent="0.35">
      <c r="A4154" s="403" t="s">
        <v>7166</v>
      </c>
      <c r="B4154" s="397">
        <v>44547</v>
      </c>
      <c r="C4154" s="398" t="s">
        <v>4586</v>
      </c>
      <c r="D4154" s="399" t="s">
        <v>4587</v>
      </c>
      <c r="E4154" s="399" t="s">
        <v>7170</v>
      </c>
      <c r="F4154" s="400">
        <v>604504.5</v>
      </c>
      <c r="G4154" s="401" t="s">
        <v>3800</v>
      </c>
      <c r="H4154" s="402">
        <v>224.93155099461336</v>
      </c>
      <c r="I4154" s="402"/>
      <c r="J4154" s="400"/>
      <c r="K4154" s="400"/>
      <c r="L4154" s="400"/>
      <c r="M4154" s="400"/>
      <c r="N4154" s="400">
        <f t="shared" si="215"/>
        <v>224.93155099461336</v>
      </c>
    </row>
    <row r="4155" spans="1:14" s="360" customFormat="1" hidden="1" outlineLevel="2" x14ac:dyDescent="0.35">
      <c r="A4155" s="403" t="s">
        <v>7166</v>
      </c>
      <c r="B4155" s="397">
        <v>44547</v>
      </c>
      <c r="C4155" s="398" t="s">
        <v>4588</v>
      </c>
      <c r="D4155" s="399" t="s">
        <v>4589</v>
      </c>
      <c r="E4155" s="399" t="s">
        <v>4272</v>
      </c>
      <c r="F4155" s="400">
        <v>60450.450000000004</v>
      </c>
      <c r="G4155" s="401" t="s">
        <v>3800</v>
      </c>
      <c r="H4155" s="402">
        <v>22.493155099461337</v>
      </c>
      <c r="I4155" s="402"/>
      <c r="J4155" s="400"/>
      <c r="K4155" s="400"/>
      <c r="L4155" s="400"/>
      <c r="M4155" s="400"/>
      <c r="N4155" s="400">
        <f t="shared" si="215"/>
        <v>22.493155099461337</v>
      </c>
    </row>
    <row r="4156" spans="1:14" s="360" customFormat="1" hidden="1" outlineLevel="2" x14ac:dyDescent="0.35">
      <c r="A4156" s="403" t="s">
        <v>7166</v>
      </c>
      <c r="B4156" s="397">
        <v>44547</v>
      </c>
      <c r="C4156" s="398" t="s">
        <v>4590</v>
      </c>
      <c r="D4156" s="399" t="s">
        <v>4591</v>
      </c>
      <c r="E4156" s="399" t="s">
        <v>4042</v>
      </c>
      <c r="F4156" s="400">
        <v>3627.027</v>
      </c>
      <c r="G4156" s="401" t="s">
        <v>3800</v>
      </c>
      <c r="H4156" s="402">
        <v>1.3495893059676802</v>
      </c>
      <c r="I4156" s="402"/>
      <c r="J4156" s="400"/>
      <c r="K4156" s="400"/>
      <c r="L4156" s="400"/>
      <c r="M4156" s="400"/>
      <c r="N4156" s="400">
        <f t="shared" si="215"/>
        <v>1.3495893059676802</v>
      </c>
    </row>
    <row r="4157" spans="1:14" s="360" customFormat="1" hidden="1" outlineLevel="2" x14ac:dyDescent="0.35">
      <c r="A4157" s="403" t="s">
        <v>7166</v>
      </c>
      <c r="B4157" s="397">
        <v>44547</v>
      </c>
      <c r="C4157" s="398" t="s">
        <v>4586</v>
      </c>
      <c r="D4157" s="399" t="s">
        <v>4587</v>
      </c>
      <c r="E4157" s="399" t="s">
        <v>7171</v>
      </c>
      <c r="F4157" s="400">
        <v>604504.5</v>
      </c>
      <c r="G4157" s="401" t="s">
        <v>3800</v>
      </c>
      <c r="H4157" s="402">
        <v>224.93155099461336</v>
      </c>
      <c r="I4157" s="402"/>
      <c r="J4157" s="400"/>
      <c r="K4157" s="400"/>
      <c r="L4157" s="400"/>
      <c r="M4157" s="400"/>
      <c r="N4157" s="400">
        <f t="shared" si="215"/>
        <v>224.93155099461336</v>
      </c>
    </row>
    <row r="4158" spans="1:14" s="360" customFormat="1" hidden="1" outlineLevel="2" x14ac:dyDescent="0.35">
      <c r="A4158" s="403" t="s">
        <v>7166</v>
      </c>
      <c r="B4158" s="397">
        <v>44547</v>
      </c>
      <c r="C4158" s="398" t="s">
        <v>4588</v>
      </c>
      <c r="D4158" s="399" t="s">
        <v>4589</v>
      </c>
      <c r="E4158" s="399" t="s">
        <v>4272</v>
      </c>
      <c r="F4158" s="400">
        <v>60450.450000000004</v>
      </c>
      <c r="G4158" s="401" t="s">
        <v>3800</v>
      </c>
      <c r="H4158" s="402">
        <v>22.493155099461337</v>
      </c>
      <c r="I4158" s="402"/>
      <c r="J4158" s="400"/>
      <c r="K4158" s="400"/>
      <c r="L4158" s="400"/>
      <c r="M4158" s="400"/>
      <c r="N4158" s="400">
        <f t="shared" si="215"/>
        <v>22.493155099461337</v>
      </c>
    </row>
    <row r="4159" spans="1:14" s="360" customFormat="1" hidden="1" outlineLevel="2" x14ac:dyDescent="0.35">
      <c r="A4159" s="403" t="s">
        <v>7166</v>
      </c>
      <c r="B4159" s="397">
        <v>44547</v>
      </c>
      <c r="C4159" s="398" t="s">
        <v>4590</v>
      </c>
      <c r="D4159" s="399" t="s">
        <v>4591</v>
      </c>
      <c r="E4159" s="399" t="s">
        <v>4042</v>
      </c>
      <c r="F4159" s="400">
        <v>3627.027</v>
      </c>
      <c r="G4159" s="401" t="s">
        <v>3800</v>
      </c>
      <c r="H4159" s="402">
        <v>1.3495893059676802</v>
      </c>
      <c r="I4159" s="402"/>
      <c r="J4159" s="400"/>
      <c r="K4159" s="400"/>
      <c r="L4159" s="400"/>
      <c r="M4159" s="400"/>
      <c r="N4159" s="400">
        <f t="shared" ref="N4159:N4195" si="216">H4159</f>
        <v>1.3495893059676802</v>
      </c>
    </row>
    <row r="4160" spans="1:14" s="360" customFormat="1" hidden="1" outlineLevel="2" x14ac:dyDescent="0.35">
      <c r="A4160" s="403" t="s">
        <v>7166</v>
      </c>
      <c r="B4160" s="397">
        <v>44547</v>
      </c>
      <c r="C4160" s="398" t="s">
        <v>4586</v>
      </c>
      <c r="D4160" s="399" t="s">
        <v>4587</v>
      </c>
      <c r="E4160" s="399" t="s">
        <v>7172</v>
      </c>
      <c r="F4160" s="400">
        <v>604504.5</v>
      </c>
      <c r="G4160" s="401" t="s">
        <v>3800</v>
      </c>
      <c r="H4160" s="402">
        <v>224.93155099461336</v>
      </c>
      <c r="I4160" s="402"/>
      <c r="J4160" s="400"/>
      <c r="K4160" s="400"/>
      <c r="L4160" s="400"/>
      <c r="M4160" s="400"/>
      <c r="N4160" s="400">
        <f t="shared" si="216"/>
        <v>224.93155099461336</v>
      </c>
    </row>
    <row r="4161" spans="1:14" s="360" customFormat="1" hidden="1" outlineLevel="2" x14ac:dyDescent="0.35">
      <c r="A4161" s="403" t="s">
        <v>7166</v>
      </c>
      <c r="B4161" s="397">
        <v>44547</v>
      </c>
      <c r="C4161" s="398" t="s">
        <v>4588</v>
      </c>
      <c r="D4161" s="399" t="s">
        <v>4589</v>
      </c>
      <c r="E4161" s="399" t="s">
        <v>4272</v>
      </c>
      <c r="F4161" s="400">
        <v>60450.450000000004</v>
      </c>
      <c r="G4161" s="401" t="s">
        <v>3800</v>
      </c>
      <c r="H4161" s="402">
        <v>22.493155099461337</v>
      </c>
      <c r="I4161" s="402"/>
      <c r="J4161" s="400"/>
      <c r="K4161" s="400"/>
      <c r="L4161" s="400"/>
      <c r="M4161" s="400"/>
      <c r="N4161" s="400">
        <f t="shared" si="216"/>
        <v>22.493155099461337</v>
      </c>
    </row>
    <row r="4162" spans="1:14" s="360" customFormat="1" hidden="1" outlineLevel="2" x14ac:dyDescent="0.35">
      <c r="A4162" s="403" t="s">
        <v>7166</v>
      </c>
      <c r="B4162" s="397">
        <v>44547</v>
      </c>
      <c r="C4162" s="398" t="s">
        <v>4590</v>
      </c>
      <c r="D4162" s="399" t="s">
        <v>4591</v>
      </c>
      <c r="E4162" s="399" t="s">
        <v>4042</v>
      </c>
      <c r="F4162" s="400">
        <v>3627.027</v>
      </c>
      <c r="G4162" s="401" t="s">
        <v>3800</v>
      </c>
      <c r="H4162" s="402">
        <v>1.3495893059676802</v>
      </c>
      <c r="I4162" s="402"/>
      <c r="J4162" s="400"/>
      <c r="K4162" s="400"/>
      <c r="L4162" s="400"/>
      <c r="M4162" s="400"/>
      <c r="N4162" s="400">
        <f t="shared" si="216"/>
        <v>1.3495893059676802</v>
      </c>
    </row>
    <row r="4163" spans="1:14" s="360" customFormat="1" hidden="1" outlineLevel="2" x14ac:dyDescent="0.35">
      <c r="A4163" s="403" t="s">
        <v>7166</v>
      </c>
      <c r="B4163" s="397">
        <v>44547</v>
      </c>
      <c r="C4163" s="398" t="s">
        <v>4586</v>
      </c>
      <c r="D4163" s="399" t="s">
        <v>4587</v>
      </c>
      <c r="E4163" s="399" t="s">
        <v>7173</v>
      </c>
      <c r="F4163" s="400">
        <v>604504.5</v>
      </c>
      <c r="G4163" s="401" t="s">
        <v>3800</v>
      </c>
      <c r="H4163" s="402">
        <v>224.93155099461336</v>
      </c>
      <c r="I4163" s="402"/>
      <c r="J4163" s="400"/>
      <c r="K4163" s="400"/>
      <c r="L4163" s="400"/>
      <c r="M4163" s="400"/>
      <c r="N4163" s="400">
        <f t="shared" si="216"/>
        <v>224.93155099461336</v>
      </c>
    </row>
    <row r="4164" spans="1:14" s="360" customFormat="1" hidden="1" outlineLevel="2" x14ac:dyDescent="0.35">
      <c r="A4164" s="403" t="s">
        <v>7166</v>
      </c>
      <c r="B4164" s="397">
        <v>44547</v>
      </c>
      <c r="C4164" s="398" t="s">
        <v>4588</v>
      </c>
      <c r="D4164" s="399" t="s">
        <v>4589</v>
      </c>
      <c r="E4164" s="399" t="s">
        <v>4272</v>
      </c>
      <c r="F4164" s="400">
        <v>60450.450000000004</v>
      </c>
      <c r="G4164" s="401" t="s">
        <v>3800</v>
      </c>
      <c r="H4164" s="402">
        <v>22.493155099461337</v>
      </c>
      <c r="I4164" s="402"/>
      <c r="J4164" s="400"/>
      <c r="K4164" s="400"/>
      <c r="L4164" s="400"/>
      <c r="M4164" s="400"/>
      <c r="N4164" s="400">
        <f t="shared" si="216"/>
        <v>22.493155099461337</v>
      </c>
    </row>
    <row r="4165" spans="1:14" s="360" customFormat="1" hidden="1" outlineLevel="2" x14ac:dyDescent="0.35">
      <c r="A4165" s="403" t="s">
        <v>7166</v>
      </c>
      <c r="B4165" s="397">
        <v>44547</v>
      </c>
      <c r="C4165" s="398" t="s">
        <v>4590</v>
      </c>
      <c r="D4165" s="399" t="s">
        <v>4591</v>
      </c>
      <c r="E4165" s="399" t="s">
        <v>4042</v>
      </c>
      <c r="F4165" s="400">
        <v>3627.027</v>
      </c>
      <c r="G4165" s="401" t="s">
        <v>3800</v>
      </c>
      <c r="H4165" s="402">
        <v>1.3495893059676802</v>
      </c>
      <c r="I4165" s="402"/>
      <c r="J4165" s="400"/>
      <c r="K4165" s="400"/>
      <c r="L4165" s="400"/>
      <c r="M4165" s="400"/>
      <c r="N4165" s="400">
        <f t="shared" si="216"/>
        <v>1.3495893059676802</v>
      </c>
    </row>
    <row r="4166" spans="1:14" s="360" customFormat="1" hidden="1" outlineLevel="2" x14ac:dyDescent="0.35">
      <c r="A4166" s="403" t="s">
        <v>7166</v>
      </c>
      <c r="B4166" s="397">
        <v>44547</v>
      </c>
      <c r="C4166" s="398" t="s">
        <v>4586</v>
      </c>
      <c r="D4166" s="399" t="s">
        <v>4587</v>
      </c>
      <c r="E4166" s="399" t="s">
        <v>7174</v>
      </c>
      <c r="F4166" s="400">
        <v>604504.5</v>
      </c>
      <c r="G4166" s="401" t="s">
        <v>3800</v>
      </c>
      <c r="H4166" s="402">
        <v>224.93155099461336</v>
      </c>
      <c r="I4166" s="402"/>
      <c r="J4166" s="400"/>
      <c r="K4166" s="400"/>
      <c r="L4166" s="400"/>
      <c r="M4166" s="400"/>
      <c r="N4166" s="400">
        <f t="shared" si="216"/>
        <v>224.93155099461336</v>
      </c>
    </row>
    <row r="4167" spans="1:14" s="360" customFormat="1" hidden="1" outlineLevel="2" x14ac:dyDescent="0.35">
      <c r="A4167" s="403" t="s">
        <v>7166</v>
      </c>
      <c r="B4167" s="397">
        <v>44547</v>
      </c>
      <c r="C4167" s="398" t="s">
        <v>4588</v>
      </c>
      <c r="D4167" s="399" t="s">
        <v>4589</v>
      </c>
      <c r="E4167" s="399" t="s">
        <v>4272</v>
      </c>
      <c r="F4167" s="400">
        <v>60450.450000000004</v>
      </c>
      <c r="G4167" s="401" t="s">
        <v>3800</v>
      </c>
      <c r="H4167" s="402">
        <v>22.493155099461337</v>
      </c>
      <c r="I4167" s="402"/>
      <c r="J4167" s="400"/>
      <c r="K4167" s="400"/>
      <c r="L4167" s="400"/>
      <c r="M4167" s="400"/>
      <c r="N4167" s="400">
        <f t="shared" si="216"/>
        <v>22.493155099461337</v>
      </c>
    </row>
    <row r="4168" spans="1:14" s="360" customFormat="1" hidden="1" outlineLevel="2" x14ac:dyDescent="0.35">
      <c r="A4168" s="403" t="s">
        <v>7166</v>
      </c>
      <c r="B4168" s="397">
        <v>44547</v>
      </c>
      <c r="C4168" s="398" t="s">
        <v>4590</v>
      </c>
      <c r="D4168" s="399" t="s">
        <v>4591</v>
      </c>
      <c r="E4168" s="399" t="s">
        <v>4042</v>
      </c>
      <c r="F4168" s="400">
        <v>3627.027</v>
      </c>
      <c r="G4168" s="401" t="s">
        <v>3800</v>
      </c>
      <c r="H4168" s="402">
        <v>1.3495893059676802</v>
      </c>
      <c r="I4168" s="402"/>
      <c r="J4168" s="400"/>
      <c r="K4168" s="400"/>
      <c r="L4168" s="400"/>
      <c r="M4168" s="400"/>
      <c r="N4168" s="400">
        <f t="shared" si="216"/>
        <v>1.3495893059676802</v>
      </c>
    </row>
    <row r="4169" spans="1:14" s="360" customFormat="1" hidden="1" outlineLevel="2" x14ac:dyDescent="0.35">
      <c r="A4169" s="403" t="s">
        <v>7166</v>
      </c>
      <c r="B4169" s="397">
        <v>44547</v>
      </c>
      <c r="C4169" s="398" t="s">
        <v>4586</v>
      </c>
      <c r="D4169" s="399" t="s">
        <v>4587</v>
      </c>
      <c r="E4169" s="399" t="s">
        <v>7175</v>
      </c>
      <c r="F4169" s="400">
        <v>604504.5</v>
      </c>
      <c r="G4169" s="401" t="s">
        <v>3800</v>
      </c>
      <c r="H4169" s="402">
        <v>224.93155099461336</v>
      </c>
      <c r="I4169" s="402"/>
      <c r="J4169" s="400"/>
      <c r="K4169" s="400"/>
      <c r="L4169" s="400"/>
      <c r="M4169" s="400"/>
      <c r="N4169" s="400">
        <f t="shared" si="216"/>
        <v>224.93155099461336</v>
      </c>
    </row>
    <row r="4170" spans="1:14" s="360" customFormat="1" hidden="1" outlineLevel="2" x14ac:dyDescent="0.35">
      <c r="A4170" s="403" t="s">
        <v>7166</v>
      </c>
      <c r="B4170" s="397">
        <v>44547</v>
      </c>
      <c r="C4170" s="398" t="s">
        <v>4588</v>
      </c>
      <c r="D4170" s="399" t="s">
        <v>4589</v>
      </c>
      <c r="E4170" s="399" t="s">
        <v>4272</v>
      </c>
      <c r="F4170" s="400">
        <v>60450.450000000004</v>
      </c>
      <c r="G4170" s="401" t="s">
        <v>3800</v>
      </c>
      <c r="H4170" s="402">
        <v>22.493155099461337</v>
      </c>
      <c r="I4170" s="402"/>
      <c r="J4170" s="400"/>
      <c r="K4170" s="400"/>
      <c r="L4170" s="400"/>
      <c r="M4170" s="400"/>
      <c r="N4170" s="400">
        <f t="shared" si="216"/>
        <v>22.493155099461337</v>
      </c>
    </row>
    <row r="4171" spans="1:14" s="360" customFormat="1" hidden="1" outlineLevel="2" x14ac:dyDescent="0.35">
      <c r="A4171" s="403" t="s">
        <v>7166</v>
      </c>
      <c r="B4171" s="397">
        <v>44547</v>
      </c>
      <c r="C4171" s="398" t="s">
        <v>4590</v>
      </c>
      <c r="D4171" s="399" t="s">
        <v>4591</v>
      </c>
      <c r="E4171" s="399" t="s">
        <v>4042</v>
      </c>
      <c r="F4171" s="400">
        <v>3627.027</v>
      </c>
      <c r="G4171" s="401" t="s">
        <v>3800</v>
      </c>
      <c r="H4171" s="402">
        <v>1.3495893059676802</v>
      </c>
      <c r="I4171" s="402"/>
      <c r="J4171" s="400"/>
      <c r="K4171" s="400"/>
      <c r="L4171" s="400"/>
      <c r="M4171" s="400"/>
      <c r="N4171" s="400">
        <f t="shared" si="216"/>
        <v>1.3495893059676802</v>
      </c>
    </row>
    <row r="4172" spans="1:14" s="360" customFormat="1" hidden="1" outlineLevel="2" x14ac:dyDescent="0.35">
      <c r="A4172" s="403" t="s">
        <v>7166</v>
      </c>
      <c r="B4172" s="397">
        <v>44547</v>
      </c>
      <c r="C4172" s="398" t="s">
        <v>4586</v>
      </c>
      <c r="D4172" s="399" t="s">
        <v>4587</v>
      </c>
      <c r="E4172" s="399" t="s">
        <v>7176</v>
      </c>
      <c r="F4172" s="400">
        <v>604504.5</v>
      </c>
      <c r="G4172" s="401" t="s">
        <v>3800</v>
      </c>
      <c r="H4172" s="402">
        <v>224.93155099461336</v>
      </c>
      <c r="I4172" s="402"/>
      <c r="J4172" s="400"/>
      <c r="K4172" s="400"/>
      <c r="L4172" s="400"/>
      <c r="M4172" s="400"/>
      <c r="N4172" s="400">
        <f t="shared" si="216"/>
        <v>224.93155099461336</v>
      </c>
    </row>
    <row r="4173" spans="1:14" s="360" customFormat="1" hidden="1" outlineLevel="2" x14ac:dyDescent="0.35">
      <c r="A4173" s="403" t="s">
        <v>7166</v>
      </c>
      <c r="B4173" s="397">
        <v>44547</v>
      </c>
      <c r="C4173" s="398" t="s">
        <v>4588</v>
      </c>
      <c r="D4173" s="399" t="s">
        <v>4589</v>
      </c>
      <c r="E4173" s="399" t="s">
        <v>4272</v>
      </c>
      <c r="F4173" s="400">
        <v>60450.450000000004</v>
      </c>
      <c r="G4173" s="401" t="s">
        <v>3800</v>
      </c>
      <c r="H4173" s="402">
        <v>22.493155099461337</v>
      </c>
      <c r="I4173" s="402"/>
      <c r="J4173" s="400"/>
      <c r="K4173" s="400"/>
      <c r="L4173" s="400"/>
      <c r="M4173" s="400"/>
      <c r="N4173" s="400">
        <f t="shared" si="216"/>
        <v>22.493155099461337</v>
      </c>
    </row>
    <row r="4174" spans="1:14" s="360" customFormat="1" hidden="1" outlineLevel="2" x14ac:dyDescent="0.35">
      <c r="A4174" s="403" t="s">
        <v>7166</v>
      </c>
      <c r="B4174" s="397">
        <v>44547</v>
      </c>
      <c r="C4174" s="398" t="s">
        <v>4590</v>
      </c>
      <c r="D4174" s="399" t="s">
        <v>4591</v>
      </c>
      <c r="E4174" s="399" t="s">
        <v>4042</v>
      </c>
      <c r="F4174" s="400">
        <v>3627.027</v>
      </c>
      <c r="G4174" s="401" t="s">
        <v>3800</v>
      </c>
      <c r="H4174" s="402">
        <v>1.3495893059676802</v>
      </c>
      <c r="I4174" s="402"/>
      <c r="J4174" s="400"/>
      <c r="K4174" s="400"/>
      <c r="L4174" s="400"/>
      <c r="M4174" s="400"/>
      <c r="N4174" s="400">
        <f t="shared" si="216"/>
        <v>1.3495893059676802</v>
      </c>
    </row>
    <row r="4175" spans="1:14" s="360" customFormat="1" hidden="1" outlineLevel="2" x14ac:dyDescent="0.35">
      <c r="A4175" s="403" t="s">
        <v>7166</v>
      </c>
      <c r="B4175" s="397">
        <v>44547</v>
      </c>
      <c r="C4175" s="398" t="s">
        <v>4586</v>
      </c>
      <c r="D4175" s="399" t="s">
        <v>4587</v>
      </c>
      <c r="E4175" s="399" t="s">
        <v>7177</v>
      </c>
      <c r="F4175" s="400">
        <v>604504.05000000005</v>
      </c>
      <c r="G4175" s="401" t="s">
        <v>3800</v>
      </c>
      <c r="H4175" s="402">
        <v>224.93138355301789</v>
      </c>
      <c r="I4175" s="402"/>
      <c r="J4175" s="400"/>
      <c r="K4175" s="400"/>
      <c r="L4175" s="400"/>
      <c r="M4175" s="400"/>
      <c r="N4175" s="400">
        <f t="shared" si="216"/>
        <v>224.93138355301789</v>
      </c>
    </row>
    <row r="4176" spans="1:14" s="360" customFormat="1" hidden="1" outlineLevel="2" collapsed="1" x14ac:dyDescent="0.35">
      <c r="A4176" s="403" t="s">
        <v>7166</v>
      </c>
      <c r="B4176" s="397">
        <v>44547</v>
      </c>
      <c r="C4176" s="398" t="s">
        <v>4588</v>
      </c>
      <c r="D4176" s="399" t="s">
        <v>4589</v>
      </c>
      <c r="E4176" s="399" t="s">
        <v>4272</v>
      </c>
      <c r="F4176" s="400">
        <v>60450.45</v>
      </c>
      <c r="G4176" s="401" t="s">
        <v>3800</v>
      </c>
      <c r="H4176" s="402">
        <v>22.493155099461333</v>
      </c>
      <c r="I4176" s="402"/>
      <c r="J4176" s="400"/>
      <c r="K4176" s="400"/>
      <c r="L4176" s="400"/>
      <c r="M4176" s="400"/>
      <c r="N4176" s="400">
        <f t="shared" si="216"/>
        <v>22.493155099461333</v>
      </c>
    </row>
    <row r="4177" spans="1:14" s="360" customFormat="1" hidden="1" outlineLevel="2" x14ac:dyDescent="0.35">
      <c r="A4177" s="403" t="s">
        <v>7166</v>
      </c>
      <c r="B4177" s="397">
        <v>44547</v>
      </c>
      <c r="C4177" s="398" t="s">
        <v>4590</v>
      </c>
      <c r="D4177" s="399" t="s">
        <v>4591</v>
      </c>
      <c r="E4177" s="399" t="s">
        <v>4042</v>
      </c>
      <c r="F4177" s="400">
        <v>3627.0243000000005</v>
      </c>
      <c r="G4177" s="401" t="s">
        <v>3800</v>
      </c>
      <c r="H4177" s="402">
        <v>1.3495883013181076</v>
      </c>
      <c r="I4177" s="402"/>
      <c r="J4177" s="400"/>
      <c r="K4177" s="400"/>
      <c r="L4177" s="400"/>
      <c r="M4177" s="400"/>
      <c r="N4177" s="400">
        <f t="shared" si="216"/>
        <v>1.3495883013181076</v>
      </c>
    </row>
    <row r="4178" spans="1:14" s="360" customFormat="1" hidden="1" outlineLevel="2" collapsed="1" x14ac:dyDescent="0.35">
      <c r="A4178" s="403" t="s">
        <v>7166</v>
      </c>
      <c r="B4178" s="397">
        <v>44547</v>
      </c>
      <c r="C4178" s="398" t="s">
        <v>4586</v>
      </c>
      <c r="D4178" s="399" t="s">
        <v>4587</v>
      </c>
      <c r="E4178" s="399" t="s">
        <v>7178</v>
      </c>
      <c r="F4178" s="400">
        <v>604504.5</v>
      </c>
      <c r="G4178" s="401" t="s">
        <v>3800</v>
      </c>
      <c r="H4178" s="402">
        <v>224.93155099461336</v>
      </c>
      <c r="I4178" s="402"/>
      <c r="J4178" s="400"/>
      <c r="K4178" s="400"/>
      <c r="L4178" s="400"/>
      <c r="M4178" s="400"/>
      <c r="N4178" s="400">
        <f t="shared" si="216"/>
        <v>224.93155099461336</v>
      </c>
    </row>
    <row r="4179" spans="1:14" s="360" customFormat="1" hidden="1" outlineLevel="2" x14ac:dyDescent="0.35">
      <c r="A4179" s="403" t="s">
        <v>7166</v>
      </c>
      <c r="B4179" s="397">
        <v>44547</v>
      </c>
      <c r="C4179" s="398" t="s">
        <v>4588</v>
      </c>
      <c r="D4179" s="399" t="s">
        <v>4589</v>
      </c>
      <c r="E4179" s="399" t="s">
        <v>4272</v>
      </c>
      <c r="F4179" s="400">
        <v>60450.450000000004</v>
      </c>
      <c r="G4179" s="401" t="s">
        <v>3800</v>
      </c>
      <c r="H4179" s="402">
        <v>22.493155099461337</v>
      </c>
      <c r="I4179" s="402"/>
      <c r="J4179" s="400"/>
      <c r="K4179" s="400"/>
      <c r="L4179" s="400"/>
      <c r="M4179" s="400"/>
      <c r="N4179" s="400">
        <f t="shared" si="216"/>
        <v>22.493155099461337</v>
      </c>
    </row>
    <row r="4180" spans="1:14" s="360" customFormat="1" hidden="1" outlineLevel="2" x14ac:dyDescent="0.35">
      <c r="A4180" s="403" t="s">
        <v>7166</v>
      </c>
      <c r="B4180" s="397">
        <v>44547</v>
      </c>
      <c r="C4180" s="398" t="s">
        <v>4590</v>
      </c>
      <c r="D4180" s="399" t="s">
        <v>4591</v>
      </c>
      <c r="E4180" s="399" t="s">
        <v>4042</v>
      </c>
      <c r="F4180" s="400">
        <v>3627.027</v>
      </c>
      <c r="G4180" s="401" t="s">
        <v>3800</v>
      </c>
      <c r="H4180" s="402">
        <v>1.3495893059676802</v>
      </c>
      <c r="I4180" s="402"/>
      <c r="J4180" s="400"/>
      <c r="K4180" s="400"/>
      <c r="L4180" s="400"/>
      <c r="M4180" s="400"/>
      <c r="N4180" s="400">
        <f t="shared" si="216"/>
        <v>1.3495893059676802</v>
      </c>
    </row>
    <row r="4181" spans="1:14" s="360" customFormat="1" hidden="1" outlineLevel="2" x14ac:dyDescent="0.35">
      <c r="A4181" s="403" t="s">
        <v>7166</v>
      </c>
      <c r="B4181" s="397">
        <v>44547</v>
      </c>
      <c r="C4181" s="398" t="s">
        <v>4586</v>
      </c>
      <c r="D4181" s="399" t="s">
        <v>4587</v>
      </c>
      <c r="E4181" s="399" t="s">
        <v>7179</v>
      </c>
      <c r="F4181" s="400">
        <v>604504.5</v>
      </c>
      <c r="G4181" s="401" t="s">
        <v>3800</v>
      </c>
      <c r="H4181" s="402">
        <v>224.93155099461336</v>
      </c>
      <c r="I4181" s="402"/>
      <c r="J4181" s="400"/>
      <c r="K4181" s="400"/>
      <c r="L4181" s="400"/>
      <c r="M4181" s="400"/>
      <c r="N4181" s="400">
        <f t="shared" si="216"/>
        <v>224.93155099461336</v>
      </c>
    </row>
    <row r="4182" spans="1:14" s="360" customFormat="1" hidden="1" outlineLevel="2" x14ac:dyDescent="0.35">
      <c r="A4182" s="403" t="s">
        <v>7166</v>
      </c>
      <c r="B4182" s="397">
        <v>44547</v>
      </c>
      <c r="C4182" s="398" t="s">
        <v>4588</v>
      </c>
      <c r="D4182" s="399" t="s">
        <v>4589</v>
      </c>
      <c r="E4182" s="399" t="s">
        <v>4272</v>
      </c>
      <c r="F4182" s="400">
        <v>60450.450000000004</v>
      </c>
      <c r="G4182" s="401" t="s">
        <v>3800</v>
      </c>
      <c r="H4182" s="402">
        <v>22.493155099461337</v>
      </c>
      <c r="I4182" s="402"/>
      <c r="J4182" s="400"/>
      <c r="K4182" s="400"/>
      <c r="L4182" s="400"/>
      <c r="M4182" s="400"/>
      <c r="N4182" s="400">
        <f t="shared" si="216"/>
        <v>22.493155099461337</v>
      </c>
    </row>
    <row r="4183" spans="1:14" s="360" customFormat="1" hidden="1" outlineLevel="2" x14ac:dyDescent="0.35">
      <c r="A4183" s="403" t="s">
        <v>7166</v>
      </c>
      <c r="B4183" s="397">
        <v>44547</v>
      </c>
      <c r="C4183" s="398" t="s">
        <v>4590</v>
      </c>
      <c r="D4183" s="399" t="s">
        <v>4591</v>
      </c>
      <c r="E4183" s="399" t="s">
        <v>4042</v>
      </c>
      <c r="F4183" s="400">
        <v>3627.027</v>
      </c>
      <c r="G4183" s="401" t="s">
        <v>3800</v>
      </c>
      <c r="H4183" s="402">
        <v>1.3495893059676802</v>
      </c>
      <c r="I4183" s="402"/>
      <c r="J4183" s="400"/>
      <c r="K4183" s="400"/>
      <c r="L4183" s="400"/>
      <c r="M4183" s="400"/>
      <c r="N4183" s="400">
        <f t="shared" si="216"/>
        <v>1.3495893059676802</v>
      </c>
    </row>
    <row r="4184" spans="1:14" s="360" customFormat="1" hidden="1" outlineLevel="2" x14ac:dyDescent="0.35">
      <c r="A4184" s="403" t="s">
        <v>7166</v>
      </c>
      <c r="B4184" s="397">
        <v>44547</v>
      </c>
      <c r="C4184" s="398" t="s">
        <v>4586</v>
      </c>
      <c r="D4184" s="399" t="s">
        <v>4587</v>
      </c>
      <c r="E4184" s="399" t="s">
        <v>7180</v>
      </c>
      <c r="F4184" s="400">
        <v>604504.5</v>
      </c>
      <c r="G4184" s="401" t="s">
        <v>3800</v>
      </c>
      <c r="H4184" s="402">
        <v>224.93155099461336</v>
      </c>
      <c r="I4184" s="402"/>
      <c r="J4184" s="400"/>
      <c r="K4184" s="400"/>
      <c r="L4184" s="400"/>
      <c r="M4184" s="400"/>
      <c r="N4184" s="400">
        <f t="shared" si="216"/>
        <v>224.93155099461336</v>
      </c>
    </row>
    <row r="4185" spans="1:14" s="360" customFormat="1" hidden="1" outlineLevel="2" x14ac:dyDescent="0.35">
      <c r="A4185" s="403" t="s">
        <v>7166</v>
      </c>
      <c r="B4185" s="397">
        <v>44547</v>
      </c>
      <c r="C4185" s="398" t="s">
        <v>4588</v>
      </c>
      <c r="D4185" s="399" t="s">
        <v>4589</v>
      </c>
      <c r="E4185" s="399" t="s">
        <v>4272</v>
      </c>
      <c r="F4185" s="400">
        <v>60450.450000000004</v>
      </c>
      <c r="G4185" s="401" t="s">
        <v>3800</v>
      </c>
      <c r="H4185" s="402">
        <v>22.493155099461337</v>
      </c>
      <c r="I4185" s="402"/>
      <c r="J4185" s="400"/>
      <c r="K4185" s="400"/>
      <c r="L4185" s="400"/>
      <c r="M4185" s="400"/>
      <c r="N4185" s="400">
        <f t="shared" si="216"/>
        <v>22.493155099461337</v>
      </c>
    </row>
    <row r="4186" spans="1:14" s="360" customFormat="1" hidden="1" outlineLevel="2" x14ac:dyDescent="0.35">
      <c r="A4186" s="403" t="s">
        <v>7166</v>
      </c>
      <c r="B4186" s="397">
        <v>44547</v>
      </c>
      <c r="C4186" s="398" t="s">
        <v>4590</v>
      </c>
      <c r="D4186" s="399" t="s">
        <v>4591</v>
      </c>
      <c r="E4186" s="399" t="s">
        <v>4042</v>
      </c>
      <c r="F4186" s="400">
        <v>3627.027</v>
      </c>
      <c r="G4186" s="401" t="s">
        <v>3800</v>
      </c>
      <c r="H4186" s="402">
        <v>1.3495893059676802</v>
      </c>
      <c r="I4186" s="402"/>
      <c r="J4186" s="400"/>
      <c r="K4186" s="400"/>
      <c r="L4186" s="400"/>
      <c r="M4186" s="400"/>
      <c r="N4186" s="400">
        <f t="shared" si="216"/>
        <v>1.3495893059676802</v>
      </c>
    </row>
    <row r="4187" spans="1:14" s="360" customFormat="1" hidden="1" outlineLevel="2" x14ac:dyDescent="0.35">
      <c r="A4187" s="403" t="s">
        <v>7166</v>
      </c>
      <c r="B4187" s="397">
        <v>44547</v>
      </c>
      <c r="C4187" s="398" t="s">
        <v>4586</v>
      </c>
      <c r="D4187" s="399" t="s">
        <v>4587</v>
      </c>
      <c r="E4187" s="399" t="s">
        <v>7181</v>
      </c>
      <c r="F4187" s="400">
        <v>604504.5</v>
      </c>
      <c r="G4187" s="401" t="s">
        <v>3800</v>
      </c>
      <c r="H4187" s="402">
        <v>224.93155099461336</v>
      </c>
      <c r="I4187" s="402"/>
      <c r="J4187" s="400"/>
      <c r="K4187" s="400"/>
      <c r="L4187" s="400"/>
      <c r="M4187" s="400"/>
      <c r="N4187" s="400">
        <f t="shared" si="216"/>
        <v>224.93155099461336</v>
      </c>
    </row>
    <row r="4188" spans="1:14" s="360" customFormat="1" hidden="1" outlineLevel="2" x14ac:dyDescent="0.35">
      <c r="A4188" s="403" t="s">
        <v>7166</v>
      </c>
      <c r="B4188" s="397">
        <v>44547</v>
      </c>
      <c r="C4188" s="398" t="s">
        <v>4588</v>
      </c>
      <c r="D4188" s="399" t="s">
        <v>4589</v>
      </c>
      <c r="E4188" s="399" t="s">
        <v>4272</v>
      </c>
      <c r="F4188" s="400">
        <v>60450.450000000004</v>
      </c>
      <c r="G4188" s="401" t="s">
        <v>3800</v>
      </c>
      <c r="H4188" s="402">
        <v>22.493155099461337</v>
      </c>
      <c r="I4188" s="402"/>
      <c r="J4188" s="400"/>
      <c r="K4188" s="400"/>
      <c r="L4188" s="400"/>
      <c r="M4188" s="400"/>
      <c r="N4188" s="400">
        <f t="shared" si="216"/>
        <v>22.493155099461337</v>
      </c>
    </row>
    <row r="4189" spans="1:14" s="360" customFormat="1" hidden="1" outlineLevel="2" x14ac:dyDescent="0.35">
      <c r="A4189" s="403" t="s">
        <v>7166</v>
      </c>
      <c r="B4189" s="397">
        <v>44547</v>
      </c>
      <c r="C4189" s="398" t="s">
        <v>4590</v>
      </c>
      <c r="D4189" s="399" t="s">
        <v>4591</v>
      </c>
      <c r="E4189" s="399" t="s">
        <v>4042</v>
      </c>
      <c r="F4189" s="400">
        <v>3627.027</v>
      </c>
      <c r="G4189" s="401" t="s">
        <v>3800</v>
      </c>
      <c r="H4189" s="402">
        <v>1.3495893059676802</v>
      </c>
      <c r="I4189" s="402"/>
      <c r="J4189" s="400"/>
      <c r="K4189" s="400"/>
      <c r="L4189" s="400"/>
      <c r="M4189" s="400"/>
      <c r="N4189" s="400">
        <f t="shared" si="216"/>
        <v>1.3495893059676802</v>
      </c>
    </row>
    <row r="4190" spans="1:14" s="360" customFormat="1" hidden="1" outlineLevel="2" x14ac:dyDescent="0.35">
      <c r="A4190" s="403" t="s">
        <v>7166</v>
      </c>
      <c r="B4190" s="397">
        <v>44547</v>
      </c>
      <c r="C4190" s="398" t="s">
        <v>4586</v>
      </c>
      <c r="D4190" s="399" t="s">
        <v>4587</v>
      </c>
      <c r="E4190" s="399" t="s">
        <v>7182</v>
      </c>
      <c r="F4190" s="400">
        <v>604504.5</v>
      </c>
      <c r="G4190" s="401" t="s">
        <v>3800</v>
      </c>
      <c r="H4190" s="402">
        <v>224.93155099461336</v>
      </c>
      <c r="I4190" s="402"/>
      <c r="J4190" s="400"/>
      <c r="K4190" s="400"/>
      <c r="L4190" s="400"/>
      <c r="M4190" s="400"/>
      <c r="N4190" s="400">
        <f t="shared" si="216"/>
        <v>224.93155099461336</v>
      </c>
    </row>
    <row r="4191" spans="1:14" s="360" customFormat="1" hidden="1" outlineLevel="2" x14ac:dyDescent="0.35">
      <c r="A4191" s="403" t="s">
        <v>7166</v>
      </c>
      <c r="B4191" s="397">
        <v>44547</v>
      </c>
      <c r="C4191" s="398" t="s">
        <v>4588</v>
      </c>
      <c r="D4191" s="399" t="s">
        <v>4589</v>
      </c>
      <c r="E4191" s="399" t="s">
        <v>4272</v>
      </c>
      <c r="F4191" s="400">
        <v>60450.450000000004</v>
      </c>
      <c r="G4191" s="401" t="s">
        <v>3800</v>
      </c>
      <c r="H4191" s="402">
        <v>22.493155099461337</v>
      </c>
      <c r="I4191" s="402"/>
      <c r="J4191" s="400"/>
      <c r="K4191" s="400"/>
      <c r="L4191" s="400"/>
      <c r="M4191" s="400"/>
      <c r="N4191" s="400">
        <f t="shared" si="216"/>
        <v>22.493155099461337</v>
      </c>
    </row>
    <row r="4192" spans="1:14" s="360" customFormat="1" hidden="1" outlineLevel="2" x14ac:dyDescent="0.35">
      <c r="A4192" s="403" t="s">
        <v>7166</v>
      </c>
      <c r="B4192" s="397">
        <v>44547</v>
      </c>
      <c r="C4192" s="398" t="s">
        <v>4590</v>
      </c>
      <c r="D4192" s="399" t="s">
        <v>4591</v>
      </c>
      <c r="E4192" s="399" t="s">
        <v>4042</v>
      </c>
      <c r="F4192" s="400">
        <v>3627.027</v>
      </c>
      <c r="G4192" s="401" t="s">
        <v>3800</v>
      </c>
      <c r="H4192" s="402">
        <v>1.3495893059676802</v>
      </c>
      <c r="I4192" s="402"/>
      <c r="J4192" s="400"/>
      <c r="K4192" s="400"/>
      <c r="L4192" s="400"/>
      <c r="M4192" s="400"/>
      <c r="N4192" s="400">
        <f t="shared" si="216"/>
        <v>1.3495893059676802</v>
      </c>
    </row>
    <row r="4193" spans="1:14" s="360" customFormat="1" hidden="1" outlineLevel="2" x14ac:dyDescent="0.35">
      <c r="A4193" s="403" t="s">
        <v>7166</v>
      </c>
      <c r="B4193" s="397">
        <v>44547</v>
      </c>
      <c r="C4193" s="398" t="s">
        <v>4586</v>
      </c>
      <c r="D4193" s="399" t="s">
        <v>4587</v>
      </c>
      <c r="E4193" s="399" t="s">
        <v>7183</v>
      </c>
      <c r="F4193" s="400">
        <v>604504.5</v>
      </c>
      <c r="G4193" s="401" t="s">
        <v>3800</v>
      </c>
      <c r="H4193" s="402">
        <v>224.93155099461336</v>
      </c>
      <c r="I4193" s="402"/>
      <c r="J4193" s="400"/>
      <c r="K4193" s="400"/>
      <c r="L4193" s="400"/>
      <c r="M4193" s="400"/>
      <c r="N4193" s="400">
        <f t="shared" si="216"/>
        <v>224.93155099461336</v>
      </c>
    </row>
    <row r="4194" spans="1:14" s="360" customFormat="1" hidden="1" outlineLevel="2" x14ac:dyDescent="0.35">
      <c r="A4194" s="403" t="s">
        <v>7166</v>
      </c>
      <c r="B4194" s="397">
        <v>44547</v>
      </c>
      <c r="C4194" s="398" t="s">
        <v>4588</v>
      </c>
      <c r="D4194" s="399" t="s">
        <v>4589</v>
      </c>
      <c r="E4194" s="399" t="s">
        <v>4272</v>
      </c>
      <c r="F4194" s="400">
        <v>60450.450000000004</v>
      </c>
      <c r="G4194" s="401" t="s">
        <v>3800</v>
      </c>
      <c r="H4194" s="402">
        <v>22.493155099461337</v>
      </c>
      <c r="I4194" s="402"/>
      <c r="J4194" s="400"/>
      <c r="K4194" s="400"/>
      <c r="L4194" s="400"/>
      <c r="M4194" s="400"/>
      <c r="N4194" s="400">
        <f t="shared" si="216"/>
        <v>22.493155099461337</v>
      </c>
    </row>
    <row r="4195" spans="1:14" s="360" customFormat="1" hidden="1" outlineLevel="2" x14ac:dyDescent="0.35">
      <c r="A4195" s="403" t="s">
        <v>7166</v>
      </c>
      <c r="B4195" s="397">
        <v>44547</v>
      </c>
      <c r="C4195" s="398" t="s">
        <v>4590</v>
      </c>
      <c r="D4195" s="399" t="s">
        <v>4591</v>
      </c>
      <c r="E4195" s="399" t="s">
        <v>4042</v>
      </c>
      <c r="F4195" s="400">
        <v>3627.027</v>
      </c>
      <c r="G4195" s="401" t="s">
        <v>3800</v>
      </c>
      <c r="H4195" s="402">
        <v>1.3495893059676802</v>
      </c>
      <c r="I4195" s="402"/>
      <c r="J4195" s="400"/>
      <c r="K4195" s="400"/>
      <c r="L4195" s="400"/>
      <c r="M4195" s="400"/>
      <c r="N4195" s="400">
        <f t="shared" si="216"/>
        <v>1.3495893059676802</v>
      </c>
    </row>
    <row r="4196" spans="1:14" s="360" customFormat="1" hidden="1" outlineLevel="2" collapsed="1" x14ac:dyDescent="0.35">
      <c r="A4196" s="403" t="s">
        <v>7166</v>
      </c>
      <c r="B4196" s="397">
        <v>44587</v>
      </c>
      <c r="C4196" s="398" t="s">
        <v>4592</v>
      </c>
      <c r="D4196" s="399" t="s">
        <v>4593</v>
      </c>
      <c r="E4196" s="399" t="s">
        <v>7168</v>
      </c>
      <c r="F4196" s="400">
        <v>604504.5</v>
      </c>
      <c r="G4196" s="401" t="s">
        <v>3800</v>
      </c>
      <c r="H4196" s="402">
        <v>224.93155099461336</v>
      </c>
      <c r="I4196" s="402"/>
      <c r="J4196" s="400"/>
      <c r="K4196" s="400"/>
      <c r="L4196" s="400"/>
      <c r="M4196" s="400"/>
      <c r="N4196" s="400">
        <v>224.93155099461336</v>
      </c>
    </row>
    <row r="4197" spans="1:14" s="360" customFormat="1" hidden="1" outlineLevel="2" x14ac:dyDescent="0.35">
      <c r="A4197" s="403" t="s">
        <v>7166</v>
      </c>
      <c r="B4197" s="397">
        <v>44587</v>
      </c>
      <c r="C4197" s="398" t="s">
        <v>4594</v>
      </c>
      <c r="D4197" s="399" t="s">
        <v>4595</v>
      </c>
      <c r="E4197" s="399" t="s">
        <v>4272</v>
      </c>
      <c r="F4197" s="400">
        <v>60450.450000000004</v>
      </c>
      <c r="G4197" s="401" t="s">
        <v>3800</v>
      </c>
      <c r="H4197" s="402">
        <v>22.493155099461337</v>
      </c>
      <c r="I4197" s="402"/>
      <c r="J4197" s="400"/>
      <c r="K4197" s="400"/>
      <c r="L4197" s="400"/>
      <c r="M4197" s="400"/>
      <c r="N4197" s="400">
        <v>22.493155099461337</v>
      </c>
    </row>
    <row r="4198" spans="1:14" s="360" customFormat="1" hidden="1" outlineLevel="2" x14ac:dyDescent="0.35">
      <c r="A4198" s="403" t="s">
        <v>7166</v>
      </c>
      <c r="B4198" s="397">
        <v>44587</v>
      </c>
      <c r="C4198" s="398" t="s">
        <v>4596</v>
      </c>
      <c r="D4198" s="399" t="s">
        <v>4597</v>
      </c>
      <c r="E4198" s="399" t="s">
        <v>4042</v>
      </c>
      <c r="F4198" s="400">
        <v>3627.027</v>
      </c>
      <c r="G4198" s="401" t="s">
        <v>3800</v>
      </c>
      <c r="H4198" s="402">
        <v>1.3495893059676802</v>
      </c>
      <c r="I4198" s="402"/>
      <c r="J4198" s="400"/>
      <c r="K4198" s="400"/>
      <c r="L4198" s="400"/>
      <c r="M4198" s="400"/>
      <c r="N4198" s="400">
        <v>1.3495893059676802</v>
      </c>
    </row>
    <row r="4199" spans="1:14" s="360" customFormat="1" hidden="1" outlineLevel="2" collapsed="1" x14ac:dyDescent="0.35">
      <c r="A4199" s="403" t="s">
        <v>7166</v>
      </c>
      <c r="B4199" s="397">
        <v>44587</v>
      </c>
      <c r="C4199" s="398" t="s">
        <v>4592</v>
      </c>
      <c r="D4199" s="399" t="s">
        <v>4593</v>
      </c>
      <c r="E4199" s="399" t="s">
        <v>7169</v>
      </c>
      <c r="F4199" s="400">
        <v>604504.5</v>
      </c>
      <c r="G4199" s="401" t="s">
        <v>3800</v>
      </c>
      <c r="H4199" s="402">
        <v>224.93155099461336</v>
      </c>
      <c r="I4199" s="402"/>
      <c r="J4199" s="400"/>
      <c r="K4199" s="400"/>
      <c r="L4199" s="400"/>
      <c r="M4199" s="400"/>
      <c r="N4199" s="400">
        <v>224.93155099461336</v>
      </c>
    </row>
    <row r="4200" spans="1:14" s="360" customFormat="1" hidden="1" outlineLevel="2" x14ac:dyDescent="0.35">
      <c r="A4200" s="403" t="s">
        <v>7166</v>
      </c>
      <c r="B4200" s="397">
        <v>44587</v>
      </c>
      <c r="C4200" s="398" t="s">
        <v>4594</v>
      </c>
      <c r="D4200" s="399" t="s">
        <v>4595</v>
      </c>
      <c r="E4200" s="399" t="s">
        <v>4272</v>
      </c>
      <c r="F4200" s="400">
        <v>60450.450000000004</v>
      </c>
      <c r="G4200" s="401" t="s">
        <v>3800</v>
      </c>
      <c r="H4200" s="402">
        <v>22.493155099461337</v>
      </c>
      <c r="I4200" s="402"/>
      <c r="J4200" s="400"/>
      <c r="K4200" s="400"/>
      <c r="L4200" s="400"/>
      <c r="M4200" s="400"/>
      <c r="N4200" s="400">
        <v>22.493155099461337</v>
      </c>
    </row>
    <row r="4201" spans="1:14" s="360" customFormat="1" hidden="1" outlineLevel="2" collapsed="1" x14ac:dyDescent="0.35">
      <c r="A4201" s="403" t="s">
        <v>7166</v>
      </c>
      <c r="B4201" s="397">
        <v>44587</v>
      </c>
      <c r="C4201" s="398" t="s">
        <v>4596</v>
      </c>
      <c r="D4201" s="399" t="s">
        <v>4597</v>
      </c>
      <c r="E4201" s="399" t="s">
        <v>4042</v>
      </c>
      <c r="F4201" s="400">
        <v>3627.027</v>
      </c>
      <c r="G4201" s="401" t="s">
        <v>3800</v>
      </c>
      <c r="H4201" s="402">
        <v>1.3495893059676802</v>
      </c>
      <c r="I4201" s="402"/>
      <c r="J4201" s="400"/>
      <c r="K4201" s="400"/>
      <c r="L4201" s="400"/>
      <c r="M4201" s="400"/>
      <c r="N4201" s="400">
        <v>1.3495893059676802</v>
      </c>
    </row>
    <row r="4202" spans="1:14" s="360" customFormat="1" hidden="1" outlineLevel="2" x14ac:dyDescent="0.35">
      <c r="A4202" s="403" t="s">
        <v>7166</v>
      </c>
      <c r="B4202" s="397">
        <v>44587</v>
      </c>
      <c r="C4202" s="398" t="s">
        <v>4592</v>
      </c>
      <c r="D4202" s="399" t="s">
        <v>4593</v>
      </c>
      <c r="E4202" s="399" t="s">
        <v>7170</v>
      </c>
      <c r="F4202" s="400">
        <v>604504.5</v>
      </c>
      <c r="G4202" s="401" t="s">
        <v>3800</v>
      </c>
      <c r="H4202" s="402">
        <v>224.93155099461336</v>
      </c>
      <c r="I4202" s="402"/>
      <c r="J4202" s="400"/>
      <c r="K4202" s="400"/>
      <c r="L4202" s="400"/>
      <c r="M4202" s="400"/>
      <c r="N4202" s="400">
        <v>224.93155099461336</v>
      </c>
    </row>
    <row r="4203" spans="1:14" s="360" customFormat="1" hidden="1" outlineLevel="2" collapsed="1" x14ac:dyDescent="0.35">
      <c r="A4203" s="403" t="s">
        <v>7166</v>
      </c>
      <c r="B4203" s="397">
        <v>44587</v>
      </c>
      <c r="C4203" s="398" t="s">
        <v>4594</v>
      </c>
      <c r="D4203" s="399" t="s">
        <v>4595</v>
      </c>
      <c r="E4203" s="399" t="s">
        <v>4272</v>
      </c>
      <c r="F4203" s="400">
        <v>60450.450000000004</v>
      </c>
      <c r="G4203" s="401" t="s">
        <v>3800</v>
      </c>
      <c r="H4203" s="402">
        <v>22.493155099461337</v>
      </c>
      <c r="I4203" s="402"/>
      <c r="J4203" s="400"/>
      <c r="K4203" s="400"/>
      <c r="L4203" s="400"/>
      <c r="M4203" s="400"/>
      <c r="N4203" s="400">
        <v>22.493155099461337</v>
      </c>
    </row>
    <row r="4204" spans="1:14" s="360" customFormat="1" hidden="1" outlineLevel="2" x14ac:dyDescent="0.35">
      <c r="A4204" s="403" t="s">
        <v>7166</v>
      </c>
      <c r="B4204" s="397">
        <v>44587</v>
      </c>
      <c r="C4204" s="398" t="s">
        <v>4596</v>
      </c>
      <c r="D4204" s="399" t="s">
        <v>4597</v>
      </c>
      <c r="E4204" s="399" t="s">
        <v>4042</v>
      </c>
      <c r="F4204" s="400">
        <v>3627.027</v>
      </c>
      <c r="G4204" s="401" t="s">
        <v>3800</v>
      </c>
      <c r="H4204" s="402">
        <v>1.3495893059676802</v>
      </c>
      <c r="I4204" s="402"/>
      <c r="J4204" s="400"/>
      <c r="K4204" s="400"/>
      <c r="L4204" s="400"/>
      <c r="M4204" s="400"/>
      <c r="N4204" s="400">
        <v>1.3495893059676802</v>
      </c>
    </row>
    <row r="4205" spans="1:14" s="360" customFormat="1" hidden="1" outlineLevel="2" x14ac:dyDescent="0.35">
      <c r="A4205" s="403" t="s">
        <v>7166</v>
      </c>
      <c r="B4205" s="397">
        <v>44587</v>
      </c>
      <c r="C4205" s="398" t="s">
        <v>4592</v>
      </c>
      <c r="D4205" s="399" t="s">
        <v>4593</v>
      </c>
      <c r="E4205" s="399" t="s">
        <v>7171</v>
      </c>
      <c r="F4205" s="400">
        <v>604504.5</v>
      </c>
      <c r="G4205" s="401" t="s">
        <v>3800</v>
      </c>
      <c r="H4205" s="402">
        <v>224.93155099461336</v>
      </c>
      <c r="I4205" s="402"/>
      <c r="J4205" s="400"/>
      <c r="K4205" s="400"/>
      <c r="L4205" s="400"/>
      <c r="M4205" s="400"/>
      <c r="N4205" s="400">
        <v>224.93155099461336</v>
      </c>
    </row>
    <row r="4206" spans="1:14" s="360" customFormat="1" hidden="1" outlineLevel="2" x14ac:dyDescent="0.35">
      <c r="A4206" s="403" t="s">
        <v>7166</v>
      </c>
      <c r="B4206" s="397">
        <v>44587</v>
      </c>
      <c r="C4206" s="398" t="s">
        <v>4594</v>
      </c>
      <c r="D4206" s="399" t="s">
        <v>4595</v>
      </c>
      <c r="E4206" s="399" t="s">
        <v>4272</v>
      </c>
      <c r="F4206" s="400">
        <v>60450.450000000004</v>
      </c>
      <c r="G4206" s="401" t="s">
        <v>3800</v>
      </c>
      <c r="H4206" s="402">
        <v>22.493155099461337</v>
      </c>
      <c r="I4206" s="402"/>
      <c r="J4206" s="400"/>
      <c r="K4206" s="400"/>
      <c r="L4206" s="400"/>
      <c r="M4206" s="400"/>
      <c r="N4206" s="400">
        <v>22.493155099461337</v>
      </c>
    </row>
    <row r="4207" spans="1:14" s="360" customFormat="1" hidden="1" outlineLevel="2" x14ac:dyDescent="0.35">
      <c r="A4207" s="403" t="s">
        <v>7166</v>
      </c>
      <c r="B4207" s="397">
        <v>44587</v>
      </c>
      <c r="C4207" s="398" t="s">
        <v>4596</v>
      </c>
      <c r="D4207" s="399" t="s">
        <v>4597</v>
      </c>
      <c r="E4207" s="399" t="s">
        <v>4042</v>
      </c>
      <c r="F4207" s="400">
        <v>3627.027</v>
      </c>
      <c r="G4207" s="401" t="s">
        <v>3800</v>
      </c>
      <c r="H4207" s="402">
        <v>1.3495893059676802</v>
      </c>
      <c r="I4207" s="402"/>
      <c r="J4207" s="400"/>
      <c r="K4207" s="400"/>
      <c r="L4207" s="400"/>
      <c r="M4207" s="400"/>
      <c r="N4207" s="400">
        <v>1.3495893059676802</v>
      </c>
    </row>
    <row r="4208" spans="1:14" s="360" customFormat="1" hidden="1" outlineLevel="2" x14ac:dyDescent="0.35">
      <c r="A4208" s="403" t="s">
        <v>7166</v>
      </c>
      <c r="B4208" s="397">
        <v>44587</v>
      </c>
      <c r="C4208" s="398" t="s">
        <v>4592</v>
      </c>
      <c r="D4208" s="399" t="s">
        <v>4593</v>
      </c>
      <c r="E4208" s="399" t="s">
        <v>7172</v>
      </c>
      <c r="F4208" s="400">
        <v>604504.5</v>
      </c>
      <c r="G4208" s="401" t="s">
        <v>3800</v>
      </c>
      <c r="H4208" s="402">
        <v>224.93155099461336</v>
      </c>
      <c r="I4208" s="402"/>
      <c r="J4208" s="400"/>
      <c r="K4208" s="400"/>
      <c r="L4208" s="400"/>
      <c r="M4208" s="400"/>
      <c r="N4208" s="400">
        <v>224.93155099461336</v>
      </c>
    </row>
    <row r="4209" spans="1:14" s="360" customFormat="1" hidden="1" outlineLevel="2" x14ac:dyDescent="0.35">
      <c r="A4209" s="403" t="s">
        <v>7166</v>
      </c>
      <c r="B4209" s="397">
        <v>44587</v>
      </c>
      <c r="C4209" s="398" t="s">
        <v>4594</v>
      </c>
      <c r="D4209" s="399" t="s">
        <v>4595</v>
      </c>
      <c r="E4209" s="399" t="s">
        <v>4272</v>
      </c>
      <c r="F4209" s="400">
        <v>60450.450000000004</v>
      </c>
      <c r="G4209" s="401" t="s">
        <v>3800</v>
      </c>
      <c r="H4209" s="402">
        <v>22.493155099461337</v>
      </c>
      <c r="I4209" s="402"/>
      <c r="J4209" s="400"/>
      <c r="K4209" s="400"/>
      <c r="L4209" s="400"/>
      <c r="M4209" s="400"/>
      <c r="N4209" s="400">
        <v>22.493155099461337</v>
      </c>
    </row>
    <row r="4210" spans="1:14" s="360" customFormat="1" hidden="1" outlineLevel="2" x14ac:dyDescent="0.35">
      <c r="A4210" s="403" t="s">
        <v>7166</v>
      </c>
      <c r="B4210" s="397">
        <v>44587</v>
      </c>
      <c r="C4210" s="398" t="s">
        <v>4596</v>
      </c>
      <c r="D4210" s="399" t="s">
        <v>4597</v>
      </c>
      <c r="E4210" s="399" t="s">
        <v>4042</v>
      </c>
      <c r="F4210" s="400">
        <v>3627.027</v>
      </c>
      <c r="G4210" s="401" t="s">
        <v>3800</v>
      </c>
      <c r="H4210" s="402">
        <v>1.3495893059676802</v>
      </c>
      <c r="I4210" s="402"/>
      <c r="J4210" s="400"/>
      <c r="K4210" s="400"/>
      <c r="L4210" s="400"/>
      <c r="M4210" s="400"/>
      <c r="N4210" s="400">
        <v>1.3495893059676802</v>
      </c>
    </row>
    <row r="4211" spans="1:14" s="360" customFormat="1" hidden="1" outlineLevel="2" x14ac:dyDescent="0.35">
      <c r="A4211" s="403" t="s">
        <v>7166</v>
      </c>
      <c r="B4211" s="397">
        <v>44587</v>
      </c>
      <c r="C4211" s="398" t="s">
        <v>4592</v>
      </c>
      <c r="D4211" s="399" t="s">
        <v>4593</v>
      </c>
      <c r="E4211" s="399" t="s">
        <v>7173</v>
      </c>
      <c r="F4211" s="400">
        <v>604504.5</v>
      </c>
      <c r="G4211" s="401" t="s">
        <v>3800</v>
      </c>
      <c r="H4211" s="402">
        <v>224.93155099461336</v>
      </c>
      <c r="I4211" s="402"/>
      <c r="J4211" s="400"/>
      <c r="K4211" s="400"/>
      <c r="L4211" s="400"/>
      <c r="M4211" s="400"/>
      <c r="N4211" s="400">
        <v>224.93155099461336</v>
      </c>
    </row>
    <row r="4212" spans="1:14" s="360" customFormat="1" hidden="1" outlineLevel="2" x14ac:dyDescent="0.35">
      <c r="A4212" s="403" t="s">
        <v>7166</v>
      </c>
      <c r="B4212" s="397">
        <v>44587</v>
      </c>
      <c r="C4212" s="398" t="s">
        <v>4594</v>
      </c>
      <c r="D4212" s="399" t="s">
        <v>4595</v>
      </c>
      <c r="E4212" s="399" t="s">
        <v>4272</v>
      </c>
      <c r="F4212" s="400">
        <v>60450.450000000004</v>
      </c>
      <c r="G4212" s="401" t="s">
        <v>3800</v>
      </c>
      <c r="H4212" s="402">
        <v>22.493155099461337</v>
      </c>
      <c r="I4212" s="402"/>
      <c r="J4212" s="400"/>
      <c r="K4212" s="400"/>
      <c r="L4212" s="400"/>
      <c r="M4212" s="400"/>
      <c r="N4212" s="400">
        <v>22.493155099461337</v>
      </c>
    </row>
    <row r="4213" spans="1:14" s="360" customFormat="1" hidden="1" outlineLevel="2" x14ac:dyDescent="0.35">
      <c r="A4213" s="403" t="s">
        <v>7166</v>
      </c>
      <c r="B4213" s="397">
        <v>44587</v>
      </c>
      <c r="C4213" s="398" t="s">
        <v>4596</v>
      </c>
      <c r="D4213" s="399" t="s">
        <v>4597</v>
      </c>
      <c r="E4213" s="399" t="s">
        <v>4042</v>
      </c>
      <c r="F4213" s="400">
        <v>3627.027</v>
      </c>
      <c r="G4213" s="401" t="s">
        <v>3800</v>
      </c>
      <c r="H4213" s="402">
        <v>1.3495893059676802</v>
      </c>
      <c r="I4213" s="402"/>
      <c r="J4213" s="400"/>
      <c r="K4213" s="400"/>
      <c r="L4213" s="400"/>
      <c r="M4213" s="400"/>
      <c r="N4213" s="400">
        <v>1.3495893059676802</v>
      </c>
    </row>
    <row r="4214" spans="1:14" s="360" customFormat="1" hidden="1" outlineLevel="2" x14ac:dyDescent="0.35">
      <c r="A4214" s="403" t="s">
        <v>7166</v>
      </c>
      <c r="B4214" s="397">
        <v>44587</v>
      </c>
      <c r="C4214" s="398" t="s">
        <v>4592</v>
      </c>
      <c r="D4214" s="399" t="s">
        <v>4593</v>
      </c>
      <c r="E4214" s="399" t="s">
        <v>7174</v>
      </c>
      <c r="F4214" s="400">
        <v>604504.5</v>
      </c>
      <c r="G4214" s="401" t="s">
        <v>3800</v>
      </c>
      <c r="H4214" s="402">
        <v>224.93155099461336</v>
      </c>
      <c r="I4214" s="402"/>
      <c r="J4214" s="400"/>
      <c r="K4214" s="400"/>
      <c r="L4214" s="400"/>
      <c r="M4214" s="400"/>
      <c r="N4214" s="400">
        <v>224.93155099461336</v>
      </c>
    </row>
    <row r="4215" spans="1:14" s="360" customFormat="1" hidden="1" outlineLevel="2" collapsed="1" x14ac:dyDescent="0.35">
      <c r="A4215" s="403" t="s">
        <v>7166</v>
      </c>
      <c r="B4215" s="397">
        <v>44587</v>
      </c>
      <c r="C4215" s="398" t="s">
        <v>4594</v>
      </c>
      <c r="D4215" s="399" t="s">
        <v>4595</v>
      </c>
      <c r="E4215" s="399" t="s">
        <v>4272</v>
      </c>
      <c r="F4215" s="400">
        <v>60450.450000000004</v>
      </c>
      <c r="G4215" s="401" t="s">
        <v>3800</v>
      </c>
      <c r="H4215" s="402">
        <v>22.493155099461337</v>
      </c>
      <c r="I4215" s="402"/>
      <c r="J4215" s="400"/>
      <c r="K4215" s="400"/>
      <c r="L4215" s="400"/>
      <c r="M4215" s="400"/>
      <c r="N4215" s="400">
        <v>22.493155099461337</v>
      </c>
    </row>
    <row r="4216" spans="1:14" s="360" customFormat="1" hidden="1" outlineLevel="2" x14ac:dyDescent="0.35">
      <c r="A4216" s="403" t="s">
        <v>7166</v>
      </c>
      <c r="B4216" s="397">
        <v>44587</v>
      </c>
      <c r="C4216" s="398" t="s">
        <v>4596</v>
      </c>
      <c r="D4216" s="399" t="s">
        <v>4597</v>
      </c>
      <c r="E4216" s="399" t="s">
        <v>4042</v>
      </c>
      <c r="F4216" s="400">
        <v>3627.027</v>
      </c>
      <c r="G4216" s="401" t="s">
        <v>3800</v>
      </c>
      <c r="H4216" s="402">
        <v>1.3495893059676802</v>
      </c>
      <c r="I4216" s="402"/>
      <c r="J4216" s="400"/>
      <c r="K4216" s="400"/>
      <c r="L4216" s="400"/>
      <c r="M4216" s="400"/>
      <c r="N4216" s="400">
        <v>1.3495893059676802</v>
      </c>
    </row>
    <row r="4217" spans="1:14" s="360" customFormat="1" hidden="1" outlineLevel="2" x14ac:dyDescent="0.35">
      <c r="A4217" s="403" t="s">
        <v>7166</v>
      </c>
      <c r="B4217" s="397">
        <v>44587</v>
      </c>
      <c r="C4217" s="398" t="s">
        <v>4592</v>
      </c>
      <c r="D4217" s="399" t="s">
        <v>4593</v>
      </c>
      <c r="E4217" s="399" t="s">
        <v>7175</v>
      </c>
      <c r="F4217" s="400">
        <v>604504.5</v>
      </c>
      <c r="G4217" s="401" t="s">
        <v>3800</v>
      </c>
      <c r="H4217" s="402">
        <v>224.93155099461336</v>
      </c>
      <c r="I4217" s="402"/>
      <c r="J4217" s="400"/>
      <c r="K4217" s="400"/>
      <c r="L4217" s="400"/>
      <c r="M4217" s="400"/>
      <c r="N4217" s="400">
        <v>224.93155099461336</v>
      </c>
    </row>
    <row r="4218" spans="1:14" s="360" customFormat="1" hidden="1" outlineLevel="2" x14ac:dyDescent="0.35">
      <c r="A4218" s="403" t="s">
        <v>7166</v>
      </c>
      <c r="B4218" s="397">
        <v>44587</v>
      </c>
      <c r="C4218" s="398" t="s">
        <v>4594</v>
      </c>
      <c r="D4218" s="399" t="s">
        <v>4595</v>
      </c>
      <c r="E4218" s="399" t="s">
        <v>4272</v>
      </c>
      <c r="F4218" s="400">
        <v>60450.450000000004</v>
      </c>
      <c r="G4218" s="401" t="s">
        <v>3800</v>
      </c>
      <c r="H4218" s="402">
        <v>22.493155099461337</v>
      </c>
      <c r="I4218" s="402"/>
      <c r="J4218" s="400"/>
      <c r="K4218" s="400"/>
      <c r="L4218" s="400"/>
      <c r="M4218" s="400"/>
      <c r="N4218" s="400">
        <v>22.493155099461337</v>
      </c>
    </row>
    <row r="4219" spans="1:14" s="360" customFormat="1" hidden="1" outlineLevel="2" x14ac:dyDescent="0.35">
      <c r="A4219" s="403" t="s">
        <v>7166</v>
      </c>
      <c r="B4219" s="397">
        <v>44587</v>
      </c>
      <c r="C4219" s="398" t="s">
        <v>4596</v>
      </c>
      <c r="D4219" s="399" t="s">
        <v>4597</v>
      </c>
      <c r="E4219" s="399" t="s">
        <v>4042</v>
      </c>
      <c r="F4219" s="400">
        <v>3627.027</v>
      </c>
      <c r="G4219" s="401" t="s">
        <v>3800</v>
      </c>
      <c r="H4219" s="402">
        <v>1.3495893059676802</v>
      </c>
      <c r="I4219" s="402"/>
      <c r="J4219" s="400"/>
      <c r="K4219" s="400"/>
      <c r="L4219" s="400"/>
      <c r="M4219" s="400"/>
      <c r="N4219" s="400">
        <v>1.3495893059676802</v>
      </c>
    </row>
    <row r="4220" spans="1:14" s="360" customFormat="1" hidden="1" outlineLevel="2" x14ac:dyDescent="0.35">
      <c r="A4220" s="403" t="s">
        <v>7166</v>
      </c>
      <c r="B4220" s="397">
        <v>44587</v>
      </c>
      <c r="C4220" s="398" t="s">
        <v>4592</v>
      </c>
      <c r="D4220" s="399" t="s">
        <v>4593</v>
      </c>
      <c r="E4220" s="399" t="s">
        <v>7176</v>
      </c>
      <c r="F4220" s="400">
        <v>604504.5</v>
      </c>
      <c r="G4220" s="401" t="s">
        <v>3800</v>
      </c>
      <c r="H4220" s="402">
        <v>224.93155099461336</v>
      </c>
      <c r="I4220" s="402"/>
      <c r="J4220" s="400"/>
      <c r="K4220" s="400"/>
      <c r="L4220" s="400"/>
      <c r="M4220" s="400"/>
      <c r="N4220" s="400">
        <v>224.93155099461336</v>
      </c>
    </row>
    <row r="4221" spans="1:14" s="360" customFormat="1" hidden="1" outlineLevel="2" x14ac:dyDescent="0.35">
      <c r="A4221" s="403" t="s">
        <v>7166</v>
      </c>
      <c r="B4221" s="397">
        <v>44587</v>
      </c>
      <c r="C4221" s="398" t="s">
        <v>4594</v>
      </c>
      <c r="D4221" s="399" t="s">
        <v>4595</v>
      </c>
      <c r="E4221" s="399" t="s">
        <v>4272</v>
      </c>
      <c r="F4221" s="400">
        <v>60450.450000000004</v>
      </c>
      <c r="G4221" s="401" t="s">
        <v>3800</v>
      </c>
      <c r="H4221" s="402">
        <v>22.493155099461337</v>
      </c>
      <c r="I4221" s="402"/>
      <c r="J4221" s="400"/>
      <c r="K4221" s="400"/>
      <c r="L4221" s="400"/>
      <c r="M4221" s="400"/>
      <c r="N4221" s="400">
        <v>22.493155099461337</v>
      </c>
    </row>
    <row r="4222" spans="1:14" s="360" customFormat="1" hidden="1" outlineLevel="2" x14ac:dyDescent="0.35">
      <c r="A4222" s="403" t="s">
        <v>7166</v>
      </c>
      <c r="B4222" s="397">
        <v>44587</v>
      </c>
      <c r="C4222" s="398" t="s">
        <v>4596</v>
      </c>
      <c r="D4222" s="399" t="s">
        <v>4597</v>
      </c>
      <c r="E4222" s="399" t="s">
        <v>4042</v>
      </c>
      <c r="F4222" s="400">
        <v>3627.027</v>
      </c>
      <c r="G4222" s="401" t="s">
        <v>3800</v>
      </c>
      <c r="H4222" s="402">
        <v>1.3495893059676802</v>
      </c>
      <c r="I4222" s="402"/>
      <c r="J4222" s="400"/>
      <c r="K4222" s="400"/>
      <c r="L4222" s="400"/>
      <c r="M4222" s="400"/>
      <c r="N4222" s="400">
        <v>1.3495893059676802</v>
      </c>
    </row>
    <row r="4223" spans="1:14" s="360" customFormat="1" hidden="1" outlineLevel="2" x14ac:dyDescent="0.35">
      <c r="A4223" s="403" t="s">
        <v>7166</v>
      </c>
      <c r="B4223" s="397">
        <v>44587</v>
      </c>
      <c r="C4223" s="398" t="s">
        <v>4592</v>
      </c>
      <c r="D4223" s="399" t="s">
        <v>4593</v>
      </c>
      <c r="E4223" s="399" t="s">
        <v>7177</v>
      </c>
      <c r="F4223" s="400">
        <v>604504.05000000005</v>
      </c>
      <c r="G4223" s="401" t="s">
        <v>3800</v>
      </c>
      <c r="H4223" s="402">
        <v>224.93138355301789</v>
      </c>
      <c r="I4223" s="402"/>
      <c r="J4223" s="400"/>
      <c r="K4223" s="400"/>
      <c r="L4223" s="400"/>
      <c r="M4223" s="400"/>
      <c r="N4223" s="400">
        <v>224.93138355301789</v>
      </c>
    </row>
    <row r="4224" spans="1:14" s="360" customFormat="1" hidden="1" outlineLevel="2" x14ac:dyDescent="0.35">
      <c r="A4224" s="403" t="s">
        <v>7166</v>
      </c>
      <c r="B4224" s="397">
        <v>44587</v>
      </c>
      <c r="C4224" s="398" t="s">
        <v>4594</v>
      </c>
      <c r="D4224" s="399" t="s">
        <v>4595</v>
      </c>
      <c r="E4224" s="399" t="s">
        <v>4272</v>
      </c>
      <c r="F4224" s="400">
        <v>60450.45</v>
      </c>
      <c r="G4224" s="401" t="s">
        <v>3800</v>
      </c>
      <c r="H4224" s="402">
        <v>22.493155099461333</v>
      </c>
      <c r="I4224" s="402"/>
      <c r="J4224" s="400"/>
      <c r="K4224" s="400"/>
      <c r="L4224" s="400"/>
      <c r="M4224" s="400"/>
      <c r="N4224" s="400">
        <v>22.493155099461333</v>
      </c>
    </row>
    <row r="4225" spans="1:14" s="360" customFormat="1" hidden="1" outlineLevel="2" x14ac:dyDescent="0.35">
      <c r="A4225" s="403" t="s">
        <v>7166</v>
      </c>
      <c r="B4225" s="397">
        <v>44587</v>
      </c>
      <c r="C4225" s="398" t="s">
        <v>4596</v>
      </c>
      <c r="D4225" s="399" t="s">
        <v>4597</v>
      </c>
      <c r="E4225" s="399" t="s">
        <v>4042</v>
      </c>
      <c r="F4225" s="400">
        <v>3627.0243000000005</v>
      </c>
      <c r="G4225" s="401" t="s">
        <v>3800</v>
      </c>
      <c r="H4225" s="402">
        <v>1.3495883013181076</v>
      </c>
      <c r="I4225" s="402"/>
      <c r="J4225" s="400"/>
      <c r="K4225" s="400"/>
      <c r="L4225" s="400"/>
      <c r="M4225" s="400"/>
      <c r="N4225" s="400">
        <v>1.3495883013181076</v>
      </c>
    </row>
    <row r="4226" spans="1:14" s="360" customFormat="1" hidden="1" outlineLevel="2" collapsed="1" x14ac:dyDescent="0.35">
      <c r="A4226" s="403" t="s">
        <v>7166</v>
      </c>
      <c r="B4226" s="397">
        <v>44587</v>
      </c>
      <c r="C4226" s="398" t="s">
        <v>4592</v>
      </c>
      <c r="D4226" s="399" t="s">
        <v>4593</v>
      </c>
      <c r="E4226" s="399" t="s">
        <v>7178</v>
      </c>
      <c r="F4226" s="400">
        <v>604504.5</v>
      </c>
      <c r="G4226" s="401" t="s">
        <v>3800</v>
      </c>
      <c r="H4226" s="402">
        <v>224.93155099461336</v>
      </c>
      <c r="I4226" s="402"/>
      <c r="J4226" s="400"/>
      <c r="K4226" s="400"/>
      <c r="L4226" s="400"/>
      <c r="M4226" s="400"/>
      <c r="N4226" s="400">
        <v>224.93155099461336</v>
      </c>
    </row>
    <row r="4227" spans="1:14" s="360" customFormat="1" hidden="1" outlineLevel="2" x14ac:dyDescent="0.35">
      <c r="A4227" s="403" t="s">
        <v>7166</v>
      </c>
      <c r="B4227" s="397">
        <v>44587</v>
      </c>
      <c r="C4227" s="398" t="s">
        <v>4594</v>
      </c>
      <c r="D4227" s="399" t="s">
        <v>4595</v>
      </c>
      <c r="E4227" s="399" t="s">
        <v>4272</v>
      </c>
      <c r="F4227" s="400">
        <v>60450.450000000004</v>
      </c>
      <c r="G4227" s="401" t="s">
        <v>3800</v>
      </c>
      <c r="H4227" s="402">
        <v>22.493155099461337</v>
      </c>
      <c r="I4227" s="402"/>
      <c r="J4227" s="400"/>
      <c r="K4227" s="400"/>
      <c r="L4227" s="400"/>
      <c r="M4227" s="400"/>
      <c r="N4227" s="400">
        <v>22.493155099461337</v>
      </c>
    </row>
    <row r="4228" spans="1:14" s="360" customFormat="1" hidden="1" outlineLevel="2" x14ac:dyDescent="0.35">
      <c r="A4228" s="403" t="s">
        <v>7166</v>
      </c>
      <c r="B4228" s="397">
        <v>44587</v>
      </c>
      <c r="C4228" s="398" t="s">
        <v>4596</v>
      </c>
      <c r="D4228" s="399" t="s">
        <v>4597</v>
      </c>
      <c r="E4228" s="399" t="s">
        <v>4042</v>
      </c>
      <c r="F4228" s="400">
        <v>3627.027</v>
      </c>
      <c r="G4228" s="401" t="s">
        <v>3800</v>
      </c>
      <c r="H4228" s="402">
        <v>1.3495893059676802</v>
      </c>
      <c r="I4228" s="402"/>
      <c r="J4228" s="400"/>
      <c r="K4228" s="400"/>
      <c r="L4228" s="400"/>
      <c r="M4228" s="400"/>
      <c r="N4228" s="400">
        <v>1.3495893059676802</v>
      </c>
    </row>
    <row r="4229" spans="1:14" s="360" customFormat="1" hidden="1" outlineLevel="2" x14ac:dyDescent="0.35">
      <c r="A4229" s="403" t="s">
        <v>7166</v>
      </c>
      <c r="B4229" s="397">
        <v>44587</v>
      </c>
      <c r="C4229" s="398" t="s">
        <v>4592</v>
      </c>
      <c r="D4229" s="399" t="s">
        <v>4593</v>
      </c>
      <c r="E4229" s="399" t="s">
        <v>7179</v>
      </c>
      <c r="F4229" s="400">
        <v>604504.5</v>
      </c>
      <c r="G4229" s="401" t="s">
        <v>3800</v>
      </c>
      <c r="H4229" s="402">
        <v>224.93155099461336</v>
      </c>
      <c r="I4229" s="402"/>
      <c r="J4229" s="400"/>
      <c r="K4229" s="400"/>
      <c r="L4229" s="400"/>
      <c r="M4229" s="400"/>
      <c r="N4229" s="400">
        <v>224.93155099461336</v>
      </c>
    </row>
    <row r="4230" spans="1:14" s="360" customFormat="1" hidden="1" outlineLevel="2" x14ac:dyDescent="0.35">
      <c r="A4230" s="403" t="s">
        <v>7166</v>
      </c>
      <c r="B4230" s="397">
        <v>44587</v>
      </c>
      <c r="C4230" s="398" t="s">
        <v>4594</v>
      </c>
      <c r="D4230" s="399" t="s">
        <v>4595</v>
      </c>
      <c r="E4230" s="399" t="s">
        <v>4272</v>
      </c>
      <c r="F4230" s="400">
        <v>60450.450000000004</v>
      </c>
      <c r="G4230" s="401" t="s">
        <v>3800</v>
      </c>
      <c r="H4230" s="402">
        <v>22.493155099461337</v>
      </c>
      <c r="I4230" s="402"/>
      <c r="J4230" s="400"/>
      <c r="K4230" s="400"/>
      <c r="L4230" s="400"/>
      <c r="M4230" s="400"/>
      <c r="N4230" s="400">
        <v>22.493155099461337</v>
      </c>
    </row>
    <row r="4231" spans="1:14" s="360" customFormat="1" hidden="1" outlineLevel="2" x14ac:dyDescent="0.35">
      <c r="A4231" s="403" t="s">
        <v>7166</v>
      </c>
      <c r="B4231" s="397">
        <v>44587</v>
      </c>
      <c r="C4231" s="398" t="s">
        <v>4596</v>
      </c>
      <c r="D4231" s="399" t="s">
        <v>4597</v>
      </c>
      <c r="E4231" s="399" t="s">
        <v>4042</v>
      </c>
      <c r="F4231" s="400">
        <v>3627.027</v>
      </c>
      <c r="G4231" s="401" t="s">
        <v>3800</v>
      </c>
      <c r="H4231" s="402">
        <v>1.3495893059676802</v>
      </c>
      <c r="I4231" s="402"/>
      <c r="J4231" s="400"/>
      <c r="K4231" s="400"/>
      <c r="L4231" s="400"/>
      <c r="M4231" s="400"/>
      <c r="N4231" s="400">
        <v>1.3495893059676802</v>
      </c>
    </row>
    <row r="4232" spans="1:14" s="360" customFormat="1" hidden="1" outlineLevel="2" x14ac:dyDescent="0.35">
      <c r="A4232" s="403" t="s">
        <v>7166</v>
      </c>
      <c r="B4232" s="397">
        <v>44587</v>
      </c>
      <c r="C4232" s="398" t="s">
        <v>4592</v>
      </c>
      <c r="D4232" s="399" t="s">
        <v>4593</v>
      </c>
      <c r="E4232" s="399" t="s">
        <v>7180</v>
      </c>
      <c r="F4232" s="400">
        <v>604504.5</v>
      </c>
      <c r="G4232" s="401" t="s">
        <v>3800</v>
      </c>
      <c r="H4232" s="402">
        <v>224.93155099461336</v>
      </c>
      <c r="I4232" s="402"/>
      <c r="J4232" s="400"/>
      <c r="K4232" s="400"/>
      <c r="L4232" s="400"/>
      <c r="M4232" s="400"/>
      <c r="N4232" s="400">
        <v>224.93155099461336</v>
      </c>
    </row>
    <row r="4233" spans="1:14" s="360" customFormat="1" hidden="1" outlineLevel="2" x14ac:dyDescent="0.35">
      <c r="A4233" s="403" t="s">
        <v>7166</v>
      </c>
      <c r="B4233" s="397">
        <v>44587</v>
      </c>
      <c r="C4233" s="398" t="s">
        <v>4594</v>
      </c>
      <c r="D4233" s="399" t="s">
        <v>4595</v>
      </c>
      <c r="E4233" s="399" t="s">
        <v>4272</v>
      </c>
      <c r="F4233" s="400">
        <v>60450.450000000004</v>
      </c>
      <c r="G4233" s="401" t="s">
        <v>3800</v>
      </c>
      <c r="H4233" s="402">
        <v>22.493155099461337</v>
      </c>
      <c r="I4233" s="402"/>
      <c r="J4233" s="400"/>
      <c r="K4233" s="400"/>
      <c r="L4233" s="400"/>
      <c r="M4233" s="400"/>
      <c r="N4233" s="400">
        <v>22.493155099461337</v>
      </c>
    </row>
    <row r="4234" spans="1:14" s="360" customFormat="1" hidden="1" outlineLevel="2" x14ac:dyDescent="0.35">
      <c r="A4234" s="403" t="s">
        <v>7166</v>
      </c>
      <c r="B4234" s="397">
        <v>44587</v>
      </c>
      <c r="C4234" s="398" t="s">
        <v>4596</v>
      </c>
      <c r="D4234" s="399" t="s">
        <v>4597</v>
      </c>
      <c r="E4234" s="399" t="s">
        <v>4042</v>
      </c>
      <c r="F4234" s="400">
        <v>3627.027</v>
      </c>
      <c r="G4234" s="401" t="s">
        <v>3800</v>
      </c>
      <c r="H4234" s="402">
        <v>1.3495893059676802</v>
      </c>
      <c r="I4234" s="402"/>
      <c r="J4234" s="400"/>
      <c r="K4234" s="400"/>
      <c r="L4234" s="400"/>
      <c r="M4234" s="400"/>
      <c r="N4234" s="400">
        <v>1.3495893059676802</v>
      </c>
    </row>
    <row r="4235" spans="1:14" s="360" customFormat="1" hidden="1" outlineLevel="2" x14ac:dyDescent="0.35">
      <c r="A4235" s="403" t="s">
        <v>7166</v>
      </c>
      <c r="B4235" s="397">
        <v>44587</v>
      </c>
      <c r="C4235" s="398" t="s">
        <v>4592</v>
      </c>
      <c r="D4235" s="399" t="s">
        <v>4593</v>
      </c>
      <c r="E4235" s="399" t="s">
        <v>7181</v>
      </c>
      <c r="F4235" s="400">
        <v>604504.5</v>
      </c>
      <c r="G4235" s="401" t="s">
        <v>3800</v>
      </c>
      <c r="H4235" s="402">
        <v>224.93155099461336</v>
      </c>
      <c r="I4235" s="402"/>
      <c r="J4235" s="400"/>
      <c r="K4235" s="400"/>
      <c r="L4235" s="400"/>
      <c r="M4235" s="400"/>
      <c r="N4235" s="400">
        <v>224.93155099461336</v>
      </c>
    </row>
    <row r="4236" spans="1:14" s="360" customFormat="1" hidden="1" outlineLevel="2" x14ac:dyDescent="0.35">
      <c r="A4236" s="403" t="s">
        <v>7166</v>
      </c>
      <c r="B4236" s="397">
        <v>44587</v>
      </c>
      <c r="C4236" s="398" t="s">
        <v>4594</v>
      </c>
      <c r="D4236" s="399" t="s">
        <v>4595</v>
      </c>
      <c r="E4236" s="399" t="s">
        <v>4272</v>
      </c>
      <c r="F4236" s="400">
        <v>60450.450000000004</v>
      </c>
      <c r="G4236" s="401" t="s">
        <v>3800</v>
      </c>
      <c r="H4236" s="402">
        <v>22.493155099461337</v>
      </c>
      <c r="I4236" s="402"/>
      <c r="J4236" s="400"/>
      <c r="K4236" s="400"/>
      <c r="L4236" s="400"/>
      <c r="M4236" s="400"/>
      <c r="N4236" s="400">
        <v>22.493155099461337</v>
      </c>
    </row>
    <row r="4237" spans="1:14" s="360" customFormat="1" hidden="1" outlineLevel="2" collapsed="1" x14ac:dyDescent="0.35">
      <c r="A4237" s="403" t="s">
        <v>7166</v>
      </c>
      <c r="B4237" s="397">
        <v>44587</v>
      </c>
      <c r="C4237" s="398" t="s">
        <v>4596</v>
      </c>
      <c r="D4237" s="399" t="s">
        <v>4597</v>
      </c>
      <c r="E4237" s="399" t="s">
        <v>4042</v>
      </c>
      <c r="F4237" s="400">
        <v>3627.027</v>
      </c>
      <c r="G4237" s="401" t="s">
        <v>3800</v>
      </c>
      <c r="H4237" s="402">
        <v>1.3495893059676802</v>
      </c>
      <c r="I4237" s="402"/>
      <c r="J4237" s="400"/>
      <c r="K4237" s="400"/>
      <c r="L4237" s="400"/>
      <c r="M4237" s="400"/>
      <c r="N4237" s="400">
        <v>1.3495893059676802</v>
      </c>
    </row>
    <row r="4238" spans="1:14" s="360" customFormat="1" hidden="1" outlineLevel="2" x14ac:dyDescent="0.35">
      <c r="A4238" s="403" t="s">
        <v>7166</v>
      </c>
      <c r="B4238" s="397">
        <v>44587</v>
      </c>
      <c r="C4238" s="398" t="s">
        <v>4592</v>
      </c>
      <c r="D4238" s="399" t="s">
        <v>4593</v>
      </c>
      <c r="E4238" s="399" t="s">
        <v>7182</v>
      </c>
      <c r="F4238" s="400">
        <v>604504.5</v>
      </c>
      <c r="G4238" s="401" t="s">
        <v>3800</v>
      </c>
      <c r="H4238" s="402">
        <v>224.93155099461336</v>
      </c>
      <c r="I4238" s="402"/>
      <c r="J4238" s="400"/>
      <c r="K4238" s="400"/>
      <c r="L4238" s="400"/>
      <c r="M4238" s="400"/>
      <c r="N4238" s="400">
        <v>224.93155099461336</v>
      </c>
    </row>
    <row r="4239" spans="1:14" s="360" customFormat="1" hidden="1" outlineLevel="2" collapsed="1" x14ac:dyDescent="0.35">
      <c r="A4239" s="403" t="s">
        <v>7166</v>
      </c>
      <c r="B4239" s="397">
        <v>44587</v>
      </c>
      <c r="C4239" s="398" t="s">
        <v>4594</v>
      </c>
      <c r="D4239" s="399" t="s">
        <v>4595</v>
      </c>
      <c r="E4239" s="399" t="s">
        <v>4272</v>
      </c>
      <c r="F4239" s="400">
        <v>60450.450000000004</v>
      </c>
      <c r="G4239" s="401" t="s">
        <v>3800</v>
      </c>
      <c r="H4239" s="402">
        <v>22.493155099461337</v>
      </c>
      <c r="I4239" s="402"/>
      <c r="J4239" s="400"/>
      <c r="K4239" s="400"/>
      <c r="L4239" s="400"/>
      <c r="M4239" s="400"/>
      <c r="N4239" s="400">
        <v>22.493155099461337</v>
      </c>
    </row>
    <row r="4240" spans="1:14" s="360" customFormat="1" hidden="1" outlineLevel="2" x14ac:dyDescent="0.35">
      <c r="A4240" s="403" t="s">
        <v>7166</v>
      </c>
      <c r="B4240" s="397">
        <v>44587</v>
      </c>
      <c r="C4240" s="398" t="s">
        <v>4596</v>
      </c>
      <c r="D4240" s="399" t="s">
        <v>4597</v>
      </c>
      <c r="E4240" s="399" t="s">
        <v>4042</v>
      </c>
      <c r="F4240" s="400">
        <v>3627.027</v>
      </c>
      <c r="G4240" s="401" t="s">
        <v>3800</v>
      </c>
      <c r="H4240" s="402">
        <v>1.3495893059676802</v>
      </c>
      <c r="I4240" s="402"/>
      <c r="J4240" s="400"/>
      <c r="K4240" s="400"/>
      <c r="L4240" s="400"/>
      <c r="M4240" s="400"/>
      <c r="N4240" s="400">
        <v>1.3495893059676802</v>
      </c>
    </row>
    <row r="4241" spans="1:14" s="360" customFormat="1" hidden="1" outlineLevel="2" collapsed="1" x14ac:dyDescent="0.35">
      <c r="A4241" s="403" t="s">
        <v>7166</v>
      </c>
      <c r="B4241" s="397">
        <v>44587</v>
      </c>
      <c r="C4241" s="398" t="s">
        <v>4592</v>
      </c>
      <c r="D4241" s="399" t="s">
        <v>4593</v>
      </c>
      <c r="E4241" s="399" t="s">
        <v>7183</v>
      </c>
      <c r="F4241" s="400">
        <v>604504.5</v>
      </c>
      <c r="G4241" s="401" t="s">
        <v>3800</v>
      </c>
      <c r="H4241" s="402">
        <v>224.93155099461336</v>
      </c>
      <c r="I4241" s="402"/>
      <c r="J4241" s="400"/>
      <c r="K4241" s="400"/>
      <c r="L4241" s="400"/>
      <c r="M4241" s="400"/>
      <c r="N4241" s="400">
        <v>224.93155099461336</v>
      </c>
    </row>
    <row r="4242" spans="1:14" s="360" customFormat="1" hidden="1" outlineLevel="2" x14ac:dyDescent="0.35">
      <c r="A4242" s="403" t="s">
        <v>7166</v>
      </c>
      <c r="B4242" s="397">
        <v>44587</v>
      </c>
      <c r="C4242" s="398" t="s">
        <v>4594</v>
      </c>
      <c r="D4242" s="399" t="s">
        <v>4595</v>
      </c>
      <c r="E4242" s="399" t="s">
        <v>4272</v>
      </c>
      <c r="F4242" s="400">
        <v>60450.450000000004</v>
      </c>
      <c r="G4242" s="401" t="s">
        <v>3800</v>
      </c>
      <c r="H4242" s="402">
        <v>22.493155099461337</v>
      </c>
      <c r="I4242" s="402"/>
      <c r="J4242" s="400"/>
      <c r="K4242" s="400"/>
      <c r="L4242" s="400"/>
      <c r="M4242" s="400"/>
      <c r="N4242" s="400">
        <v>22.493155099461337</v>
      </c>
    </row>
    <row r="4243" spans="1:14" s="360" customFormat="1" hidden="1" outlineLevel="2" x14ac:dyDescent="0.35">
      <c r="A4243" s="403" t="s">
        <v>7166</v>
      </c>
      <c r="B4243" s="397">
        <v>44587</v>
      </c>
      <c r="C4243" s="398" t="s">
        <v>4596</v>
      </c>
      <c r="D4243" s="399" t="s">
        <v>4597</v>
      </c>
      <c r="E4243" s="399" t="s">
        <v>4042</v>
      </c>
      <c r="F4243" s="400">
        <v>3627.027</v>
      </c>
      <c r="G4243" s="401" t="s">
        <v>3800</v>
      </c>
      <c r="H4243" s="402">
        <v>1.3495893059676802</v>
      </c>
      <c r="I4243" s="402"/>
      <c r="J4243" s="400"/>
      <c r="K4243" s="400"/>
      <c r="L4243" s="400"/>
      <c r="M4243" s="400"/>
      <c r="N4243" s="400">
        <v>1.3495893059676802</v>
      </c>
    </row>
    <row r="4244" spans="1:14" s="360" customFormat="1" outlineLevel="1" collapsed="1" x14ac:dyDescent="0.35">
      <c r="A4244" s="396" t="s">
        <v>7184</v>
      </c>
      <c r="B4244" s="397"/>
      <c r="C4244" s="398"/>
      <c r="D4244" s="399"/>
      <c r="E4244" s="399"/>
      <c r="F4244" s="400"/>
      <c r="G4244" s="401"/>
      <c r="H4244" s="402">
        <f t="shared" ref="H4244:N4244" si="217">SUBTOTAL(9,H3839:H4243)</f>
        <v>32240.367914178831</v>
      </c>
      <c r="I4244" s="402"/>
      <c r="J4244" s="400">
        <f t="shared" si="217"/>
        <v>0</v>
      </c>
      <c r="K4244" s="400">
        <f t="shared" si="217"/>
        <v>0</v>
      </c>
      <c r="L4244" s="400">
        <f t="shared" si="217"/>
        <v>0</v>
      </c>
      <c r="M4244" s="400">
        <f t="shared" si="217"/>
        <v>0</v>
      </c>
      <c r="N4244" s="400">
        <f t="shared" si="217"/>
        <v>32240.367914178831</v>
      </c>
    </row>
    <row r="4245" spans="1:14" s="360" customFormat="1" hidden="1" outlineLevel="2" x14ac:dyDescent="0.35">
      <c r="A4245" s="403" t="s">
        <v>7185</v>
      </c>
      <c r="B4245" s="397">
        <v>44438</v>
      </c>
      <c r="C4245" s="398" t="s">
        <v>4561</v>
      </c>
      <c r="D4245" s="399" t="s">
        <v>4562</v>
      </c>
      <c r="E4245" s="399" t="s">
        <v>7186</v>
      </c>
      <c r="F4245" s="400">
        <v>1621621.62</v>
      </c>
      <c r="G4245" s="401" t="s">
        <v>3800</v>
      </c>
      <c r="H4245" s="402">
        <v>603.39313621817132</v>
      </c>
      <c r="I4245" s="402"/>
      <c r="J4245" s="400"/>
      <c r="K4245" s="400"/>
      <c r="L4245" s="400"/>
      <c r="M4245" s="400"/>
      <c r="N4245" s="400">
        <f t="shared" ref="N4245:N4259" si="218">H4245</f>
        <v>603.39313621817132</v>
      </c>
    </row>
    <row r="4246" spans="1:14" s="360" customFormat="1" hidden="1" outlineLevel="2" x14ac:dyDescent="0.35">
      <c r="A4246" s="403" t="s">
        <v>7185</v>
      </c>
      <c r="B4246" s="397">
        <v>44438</v>
      </c>
      <c r="C4246" s="398" t="s">
        <v>4564</v>
      </c>
      <c r="D4246" s="399" t="s">
        <v>4565</v>
      </c>
      <c r="E4246" s="399" t="s">
        <v>4272</v>
      </c>
      <c r="F4246" s="400">
        <v>162162.16200000001</v>
      </c>
      <c r="G4246" s="401" t="s">
        <v>3800</v>
      </c>
      <c r="H4246" s="402">
        <v>60.339313621817134</v>
      </c>
      <c r="I4246" s="402"/>
      <c r="J4246" s="400"/>
      <c r="K4246" s="400"/>
      <c r="L4246" s="400"/>
      <c r="M4246" s="400"/>
      <c r="N4246" s="400">
        <f t="shared" si="218"/>
        <v>60.339313621817134</v>
      </c>
    </row>
    <row r="4247" spans="1:14" s="360" customFormat="1" hidden="1" outlineLevel="2" x14ac:dyDescent="0.35">
      <c r="A4247" s="403" t="s">
        <v>7185</v>
      </c>
      <c r="B4247" s="397">
        <v>44438</v>
      </c>
      <c r="C4247" s="398" t="s">
        <v>4566</v>
      </c>
      <c r="D4247" s="399" t="s">
        <v>4567</v>
      </c>
      <c r="E4247" s="399" t="s">
        <v>4042</v>
      </c>
      <c r="F4247" s="400">
        <v>9729.7297200000012</v>
      </c>
      <c r="G4247" s="401" t="s">
        <v>3800</v>
      </c>
      <c r="H4247" s="402">
        <v>3.620358817309028</v>
      </c>
      <c r="I4247" s="402"/>
      <c r="J4247" s="400"/>
      <c r="K4247" s="400"/>
      <c r="L4247" s="400"/>
      <c r="M4247" s="400"/>
      <c r="N4247" s="400">
        <f t="shared" si="218"/>
        <v>3.620358817309028</v>
      </c>
    </row>
    <row r="4248" spans="1:14" s="360" customFormat="1" hidden="1" outlineLevel="2" x14ac:dyDescent="0.35">
      <c r="A4248" s="403" t="s">
        <v>7185</v>
      </c>
      <c r="B4248" s="397">
        <v>44467</v>
      </c>
      <c r="C4248" s="398" t="s">
        <v>4568</v>
      </c>
      <c r="D4248" s="399" t="s">
        <v>4569</v>
      </c>
      <c r="E4248" s="399" t="s">
        <v>7186</v>
      </c>
      <c r="F4248" s="400">
        <v>1621621.62</v>
      </c>
      <c r="G4248" s="401" t="s">
        <v>3800</v>
      </c>
      <c r="H4248" s="402">
        <v>603.39313621817132</v>
      </c>
      <c r="I4248" s="402"/>
      <c r="J4248" s="400"/>
      <c r="K4248" s="400"/>
      <c r="L4248" s="400"/>
      <c r="M4248" s="400"/>
      <c r="N4248" s="400">
        <f t="shared" si="218"/>
        <v>603.39313621817132</v>
      </c>
    </row>
    <row r="4249" spans="1:14" s="360" customFormat="1" hidden="1" outlineLevel="2" x14ac:dyDescent="0.35">
      <c r="A4249" s="403" t="s">
        <v>7185</v>
      </c>
      <c r="B4249" s="397">
        <v>44467</v>
      </c>
      <c r="C4249" s="398" t="s">
        <v>4570</v>
      </c>
      <c r="D4249" s="399" t="s">
        <v>4602</v>
      </c>
      <c r="E4249" s="399" t="s">
        <v>4272</v>
      </c>
      <c r="F4249" s="400">
        <v>162162.16200000001</v>
      </c>
      <c r="G4249" s="401" t="s">
        <v>3800</v>
      </c>
      <c r="H4249" s="402">
        <v>60.339313621817134</v>
      </c>
      <c r="I4249" s="402"/>
      <c r="J4249" s="400"/>
      <c r="K4249" s="400"/>
      <c r="L4249" s="400"/>
      <c r="M4249" s="400"/>
      <c r="N4249" s="400">
        <f t="shared" si="218"/>
        <v>60.339313621817134</v>
      </c>
    </row>
    <row r="4250" spans="1:14" s="360" customFormat="1" hidden="1" outlineLevel="2" x14ac:dyDescent="0.35">
      <c r="A4250" s="403" t="s">
        <v>7185</v>
      </c>
      <c r="B4250" s="397">
        <v>44467</v>
      </c>
      <c r="C4250" s="398" t="s">
        <v>4572</v>
      </c>
      <c r="D4250" s="399" t="s">
        <v>4603</v>
      </c>
      <c r="E4250" s="399" t="s">
        <v>4042</v>
      </c>
      <c r="F4250" s="400">
        <v>9729.7297200000012</v>
      </c>
      <c r="G4250" s="401" t="s">
        <v>3800</v>
      </c>
      <c r="H4250" s="402">
        <v>3.620358817309028</v>
      </c>
      <c r="I4250" s="402"/>
      <c r="J4250" s="400"/>
      <c r="K4250" s="400"/>
      <c r="L4250" s="400"/>
      <c r="M4250" s="400"/>
      <c r="N4250" s="400">
        <f t="shared" si="218"/>
        <v>3.620358817309028</v>
      </c>
    </row>
    <row r="4251" spans="1:14" s="360" customFormat="1" hidden="1" outlineLevel="2" x14ac:dyDescent="0.35">
      <c r="A4251" s="403" t="s">
        <v>7185</v>
      </c>
      <c r="B4251" s="397">
        <v>44497</v>
      </c>
      <c r="C4251" s="398" t="s">
        <v>4574</v>
      </c>
      <c r="D4251" s="399" t="s">
        <v>4575</v>
      </c>
      <c r="E4251" s="399" t="s">
        <v>7186</v>
      </c>
      <c r="F4251" s="400">
        <v>1621621.62</v>
      </c>
      <c r="G4251" s="401" t="s">
        <v>3800</v>
      </c>
      <c r="H4251" s="402">
        <v>603.39313621817132</v>
      </c>
      <c r="I4251" s="402"/>
      <c r="J4251" s="400"/>
      <c r="K4251" s="400"/>
      <c r="L4251" s="400"/>
      <c r="M4251" s="400"/>
      <c r="N4251" s="400">
        <f t="shared" si="218"/>
        <v>603.39313621817132</v>
      </c>
    </row>
    <row r="4252" spans="1:14" s="360" customFormat="1" hidden="1" outlineLevel="2" collapsed="1" x14ac:dyDescent="0.35">
      <c r="A4252" s="403" t="s">
        <v>7185</v>
      </c>
      <c r="B4252" s="397">
        <v>44497</v>
      </c>
      <c r="C4252" s="398" t="s">
        <v>4576</v>
      </c>
      <c r="D4252" s="399" t="s">
        <v>4604</v>
      </c>
      <c r="E4252" s="399" t="s">
        <v>4272</v>
      </c>
      <c r="F4252" s="400">
        <v>162162.16200000001</v>
      </c>
      <c r="G4252" s="401" t="s">
        <v>3800</v>
      </c>
      <c r="H4252" s="402">
        <v>60.339313621817134</v>
      </c>
      <c r="I4252" s="402"/>
      <c r="J4252" s="400"/>
      <c r="K4252" s="400"/>
      <c r="L4252" s="400"/>
      <c r="M4252" s="400"/>
      <c r="N4252" s="400">
        <f t="shared" si="218"/>
        <v>60.339313621817134</v>
      </c>
    </row>
    <row r="4253" spans="1:14" s="360" customFormat="1" hidden="1" outlineLevel="2" collapsed="1" x14ac:dyDescent="0.35">
      <c r="A4253" s="403" t="s">
        <v>7185</v>
      </c>
      <c r="B4253" s="397">
        <v>44497</v>
      </c>
      <c r="C4253" s="398" t="s">
        <v>4578</v>
      </c>
      <c r="D4253" s="399" t="s">
        <v>4605</v>
      </c>
      <c r="E4253" s="399" t="s">
        <v>4042</v>
      </c>
      <c r="F4253" s="400">
        <v>9729.7297200000012</v>
      </c>
      <c r="G4253" s="401" t="s">
        <v>3800</v>
      </c>
      <c r="H4253" s="402">
        <v>3.620358817309028</v>
      </c>
      <c r="I4253" s="402"/>
      <c r="J4253" s="400"/>
      <c r="K4253" s="400"/>
      <c r="L4253" s="400"/>
      <c r="M4253" s="400"/>
      <c r="N4253" s="400">
        <f t="shared" si="218"/>
        <v>3.620358817309028</v>
      </c>
    </row>
    <row r="4254" spans="1:14" s="360" customFormat="1" hidden="1" outlineLevel="2" x14ac:dyDescent="0.35">
      <c r="A4254" s="403" t="s">
        <v>7185</v>
      </c>
      <c r="B4254" s="397">
        <v>44525</v>
      </c>
      <c r="C4254" s="398" t="s">
        <v>4574</v>
      </c>
      <c r="D4254" s="399" t="s">
        <v>4608</v>
      </c>
      <c r="E4254" s="399" t="s">
        <v>7186</v>
      </c>
      <c r="F4254" s="400">
        <v>1621621.62</v>
      </c>
      <c r="G4254" s="401" t="s">
        <v>3800</v>
      </c>
      <c r="H4254" s="402">
        <v>603.39313621817132</v>
      </c>
      <c r="I4254" s="402"/>
      <c r="J4254" s="400"/>
      <c r="K4254" s="400"/>
      <c r="L4254" s="400"/>
      <c r="M4254" s="400"/>
      <c r="N4254" s="400">
        <f t="shared" si="218"/>
        <v>603.39313621817132</v>
      </c>
    </row>
    <row r="4255" spans="1:14" s="360" customFormat="1" hidden="1" outlineLevel="2" x14ac:dyDescent="0.35">
      <c r="A4255" s="403" t="s">
        <v>7185</v>
      </c>
      <c r="B4255" s="397">
        <v>44525</v>
      </c>
      <c r="C4255" s="398" t="s">
        <v>4576</v>
      </c>
      <c r="D4255" s="399" t="s">
        <v>4609</v>
      </c>
      <c r="E4255" s="399" t="s">
        <v>4272</v>
      </c>
      <c r="F4255" s="400">
        <v>162162.16200000001</v>
      </c>
      <c r="G4255" s="401" t="s">
        <v>3800</v>
      </c>
      <c r="H4255" s="402">
        <v>60.339313621817134</v>
      </c>
      <c r="I4255" s="402"/>
      <c r="J4255" s="400"/>
      <c r="K4255" s="400"/>
      <c r="L4255" s="400"/>
      <c r="M4255" s="400"/>
      <c r="N4255" s="400">
        <f t="shared" si="218"/>
        <v>60.339313621817134</v>
      </c>
    </row>
    <row r="4256" spans="1:14" s="360" customFormat="1" hidden="1" outlineLevel="2" x14ac:dyDescent="0.35">
      <c r="A4256" s="403" t="s">
        <v>7185</v>
      </c>
      <c r="B4256" s="397">
        <v>44525</v>
      </c>
      <c r="C4256" s="398" t="s">
        <v>4578</v>
      </c>
      <c r="D4256" s="399" t="s">
        <v>4610</v>
      </c>
      <c r="E4256" s="399" t="s">
        <v>4042</v>
      </c>
      <c r="F4256" s="400">
        <v>9729.7297200000012</v>
      </c>
      <c r="G4256" s="401" t="s">
        <v>3800</v>
      </c>
      <c r="H4256" s="402">
        <v>3.620358817309028</v>
      </c>
      <c r="I4256" s="402"/>
      <c r="J4256" s="400"/>
      <c r="K4256" s="400"/>
      <c r="L4256" s="400"/>
      <c r="M4256" s="400"/>
      <c r="N4256" s="400">
        <f t="shared" si="218"/>
        <v>3.620358817309028</v>
      </c>
    </row>
    <row r="4257" spans="1:14" s="360" customFormat="1" hidden="1" outlineLevel="2" x14ac:dyDescent="0.35">
      <c r="A4257" s="403" t="s">
        <v>7185</v>
      </c>
      <c r="B4257" s="397">
        <v>44547</v>
      </c>
      <c r="C4257" s="398" t="s">
        <v>4586</v>
      </c>
      <c r="D4257" s="399" t="s">
        <v>4611</v>
      </c>
      <c r="E4257" s="399" t="s">
        <v>7186</v>
      </c>
      <c r="F4257" s="400">
        <v>1621621.62</v>
      </c>
      <c r="G4257" s="401" t="s">
        <v>3800</v>
      </c>
      <c r="H4257" s="402">
        <v>603.39313621817132</v>
      </c>
      <c r="I4257" s="402"/>
      <c r="J4257" s="400"/>
      <c r="K4257" s="400"/>
      <c r="L4257" s="400"/>
      <c r="M4257" s="400"/>
      <c r="N4257" s="400">
        <f t="shared" si="218"/>
        <v>603.39313621817132</v>
      </c>
    </row>
    <row r="4258" spans="1:14" s="360" customFormat="1" hidden="1" outlineLevel="2" x14ac:dyDescent="0.35">
      <c r="A4258" s="403" t="s">
        <v>7185</v>
      </c>
      <c r="B4258" s="397">
        <v>44547</v>
      </c>
      <c r="C4258" s="398" t="s">
        <v>4588</v>
      </c>
      <c r="D4258" s="399" t="s">
        <v>4612</v>
      </c>
      <c r="E4258" s="399" t="s">
        <v>4272</v>
      </c>
      <c r="F4258" s="400">
        <v>162162.16200000001</v>
      </c>
      <c r="G4258" s="401" t="s">
        <v>3800</v>
      </c>
      <c r="H4258" s="402">
        <v>60.339313621817134</v>
      </c>
      <c r="I4258" s="402"/>
      <c r="J4258" s="400"/>
      <c r="K4258" s="400"/>
      <c r="L4258" s="400"/>
      <c r="M4258" s="400"/>
      <c r="N4258" s="400">
        <f t="shared" si="218"/>
        <v>60.339313621817134</v>
      </c>
    </row>
    <row r="4259" spans="1:14" s="360" customFormat="1" hidden="1" outlineLevel="2" x14ac:dyDescent="0.35">
      <c r="A4259" s="403" t="s">
        <v>7185</v>
      </c>
      <c r="B4259" s="397">
        <v>44547</v>
      </c>
      <c r="C4259" s="398" t="s">
        <v>4590</v>
      </c>
      <c r="D4259" s="399" t="s">
        <v>4613</v>
      </c>
      <c r="E4259" s="399" t="s">
        <v>4042</v>
      </c>
      <c r="F4259" s="400">
        <v>9729.7297200000012</v>
      </c>
      <c r="G4259" s="401" t="s">
        <v>3800</v>
      </c>
      <c r="H4259" s="402">
        <v>3.620358817309028</v>
      </c>
      <c r="I4259" s="402"/>
      <c r="J4259" s="400"/>
      <c r="K4259" s="400"/>
      <c r="L4259" s="400"/>
      <c r="M4259" s="400"/>
      <c r="N4259" s="400">
        <f t="shared" si="218"/>
        <v>3.620358817309028</v>
      </c>
    </row>
    <row r="4260" spans="1:14" s="360" customFormat="1" hidden="1" outlineLevel="2" x14ac:dyDescent="0.35">
      <c r="A4260" s="403" t="s">
        <v>7185</v>
      </c>
      <c r="B4260" s="397">
        <v>44587</v>
      </c>
      <c r="C4260" s="398" t="s">
        <v>4592</v>
      </c>
      <c r="D4260" s="399" t="s">
        <v>4593</v>
      </c>
      <c r="E4260" s="399" t="s">
        <v>7186</v>
      </c>
      <c r="F4260" s="400">
        <v>1621621.62</v>
      </c>
      <c r="G4260" s="401" t="s">
        <v>3800</v>
      </c>
      <c r="H4260" s="402">
        <v>603.39313621817132</v>
      </c>
      <c r="I4260" s="402"/>
      <c r="J4260" s="400"/>
      <c r="K4260" s="400"/>
      <c r="L4260" s="400"/>
      <c r="M4260" s="400"/>
      <c r="N4260" s="400">
        <v>603.39313621817132</v>
      </c>
    </row>
    <row r="4261" spans="1:14" s="360" customFormat="1" hidden="1" outlineLevel="2" x14ac:dyDescent="0.35">
      <c r="A4261" s="403" t="s">
        <v>7185</v>
      </c>
      <c r="B4261" s="397">
        <v>44587</v>
      </c>
      <c r="C4261" s="398" t="s">
        <v>4594</v>
      </c>
      <c r="D4261" s="399" t="s">
        <v>4595</v>
      </c>
      <c r="E4261" s="399" t="s">
        <v>4272</v>
      </c>
      <c r="F4261" s="400">
        <v>162162.16200000001</v>
      </c>
      <c r="G4261" s="401" t="s">
        <v>3800</v>
      </c>
      <c r="H4261" s="402">
        <v>60.339313621817134</v>
      </c>
      <c r="I4261" s="402"/>
      <c r="J4261" s="400"/>
      <c r="K4261" s="400"/>
      <c r="L4261" s="400"/>
      <c r="M4261" s="400"/>
      <c r="N4261" s="400">
        <v>60.339313621817134</v>
      </c>
    </row>
    <row r="4262" spans="1:14" s="360" customFormat="1" hidden="1" outlineLevel="2" x14ac:dyDescent="0.35">
      <c r="A4262" s="403" t="s">
        <v>7185</v>
      </c>
      <c r="B4262" s="397">
        <v>44587</v>
      </c>
      <c r="C4262" s="398" t="s">
        <v>4596</v>
      </c>
      <c r="D4262" s="399" t="s">
        <v>4597</v>
      </c>
      <c r="E4262" s="399" t="s">
        <v>4042</v>
      </c>
      <c r="F4262" s="400">
        <v>9729.7297200000012</v>
      </c>
      <c r="G4262" s="401" t="s">
        <v>3800</v>
      </c>
      <c r="H4262" s="402">
        <v>3.620358817309028</v>
      </c>
      <c r="I4262" s="402"/>
      <c r="J4262" s="400"/>
      <c r="K4262" s="400"/>
      <c r="L4262" s="400"/>
      <c r="M4262" s="400"/>
      <c r="N4262" s="400">
        <v>3.620358817309028</v>
      </c>
    </row>
    <row r="4263" spans="1:14" s="360" customFormat="1" outlineLevel="1" collapsed="1" x14ac:dyDescent="0.35">
      <c r="A4263" s="396" t="s">
        <v>7187</v>
      </c>
      <c r="B4263" s="397"/>
      <c r="C4263" s="398"/>
      <c r="D4263" s="399"/>
      <c r="E4263" s="399"/>
      <c r="F4263" s="400"/>
      <c r="G4263" s="401"/>
      <c r="H4263" s="402">
        <f t="shared" ref="H4263:N4263" si="219">SUBTOTAL(9,H4245:H4262)</f>
        <v>4004.1168519437842</v>
      </c>
      <c r="I4263" s="402"/>
      <c r="J4263" s="400">
        <f t="shared" si="219"/>
        <v>0</v>
      </c>
      <c r="K4263" s="400">
        <f t="shared" si="219"/>
        <v>0</v>
      </c>
      <c r="L4263" s="400">
        <f t="shared" si="219"/>
        <v>0</v>
      </c>
      <c r="M4263" s="400">
        <f t="shared" si="219"/>
        <v>0</v>
      </c>
      <c r="N4263" s="400">
        <f t="shared" si="219"/>
        <v>4004.1168519437842</v>
      </c>
    </row>
    <row r="4264" spans="1:14" s="360" customFormat="1" hidden="1" outlineLevel="2" x14ac:dyDescent="0.35">
      <c r="A4264" s="403" t="s">
        <v>7188</v>
      </c>
      <c r="B4264" s="397">
        <v>44266</v>
      </c>
      <c r="C4264" s="398" t="s">
        <v>4526</v>
      </c>
      <c r="D4264" s="399" t="s">
        <v>4527</v>
      </c>
      <c r="E4264" s="399" t="s">
        <v>7189</v>
      </c>
      <c r="F4264" s="400">
        <v>177927.93</v>
      </c>
      <c r="G4264" s="401" t="s">
        <v>3800</v>
      </c>
      <c r="H4264" s="402">
        <v>66.205636616701767</v>
      </c>
      <c r="I4264" s="402"/>
      <c r="J4264" s="400"/>
      <c r="K4264" s="400"/>
      <c r="L4264" s="400"/>
      <c r="M4264" s="400"/>
      <c r="N4264" s="400">
        <f t="shared" ref="N4264:N4296" si="220">H4264</f>
        <v>66.205636616701767</v>
      </c>
    </row>
    <row r="4265" spans="1:14" s="360" customFormat="1" hidden="1" outlineLevel="2" collapsed="1" x14ac:dyDescent="0.35">
      <c r="A4265" s="403" t="s">
        <v>7188</v>
      </c>
      <c r="B4265" s="397">
        <v>44266</v>
      </c>
      <c r="C4265" s="398" t="s">
        <v>4529</v>
      </c>
      <c r="D4265" s="399" t="s">
        <v>4530</v>
      </c>
      <c r="E4265" s="399" t="s">
        <v>4272</v>
      </c>
      <c r="F4265" s="400">
        <v>17792.793000000001</v>
      </c>
      <c r="G4265" s="401" t="s">
        <v>3800</v>
      </c>
      <c r="H4265" s="402">
        <v>6.6205636616701771</v>
      </c>
      <c r="I4265" s="402"/>
      <c r="J4265" s="400"/>
      <c r="K4265" s="400"/>
      <c r="L4265" s="400"/>
      <c r="M4265" s="400"/>
      <c r="N4265" s="400">
        <f t="shared" si="220"/>
        <v>6.6205636616701771</v>
      </c>
    </row>
    <row r="4266" spans="1:14" s="360" customFormat="1" hidden="1" outlineLevel="2" x14ac:dyDescent="0.35">
      <c r="A4266" s="403" t="s">
        <v>7188</v>
      </c>
      <c r="B4266" s="397">
        <v>44266</v>
      </c>
      <c r="C4266" s="398" t="s">
        <v>4531</v>
      </c>
      <c r="D4266" s="399" t="s">
        <v>4051</v>
      </c>
      <c r="E4266" s="399" t="s">
        <v>4042</v>
      </c>
      <c r="F4266" s="400">
        <v>1765.9193</v>
      </c>
      <c r="G4266" s="401" t="s">
        <v>3800</v>
      </c>
      <c r="H4266" s="402">
        <v>0.65708521124379049</v>
      </c>
      <c r="I4266" s="402"/>
      <c r="J4266" s="400"/>
      <c r="K4266" s="400"/>
      <c r="L4266" s="400"/>
      <c r="M4266" s="400"/>
      <c r="N4266" s="400">
        <f t="shared" si="220"/>
        <v>0.65708521124379049</v>
      </c>
    </row>
    <row r="4267" spans="1:14" s="360" customFormat="1" hidden="1" outlineLevel="2" x14ac:dyDescent="0.35">
      <c r="A4267" s="403" t="s">
        <v>7188</v>
      </c>
      <c r="B4267" s="397">
        <v>44284</v>
      </c>
      <c r="C4267" s="398" t="s">
        <v>4532</v>
      </c>
      <c r="D4267" s="399" t="s">
        <v>4533</v>
      </c>
      <c r="E4267" s="399" t="s">
        <v>7189</v>
      </c>
      <c r="F4267" s="400">
        <v>355855.66</v>
      </c>
      <c r="G4267" s="401" t="s">
        <v>3800</v>
      </c>
      <c r="H4267" s="402">
        <v>132.41119881491665</v>
      </c>
      <c r="I4267" s="402"/>
      <c r="J4267" s="400"/>
      <c r="K4267" s="400"/>
      <c r="L4267" s="400"/>
      <c r="M4267" s="400"/>
      <c r="N4267" s="400">
        <f t="shared" si="220"/>
        <v>132.41119881491665</v>
      </c>
    </row>
    <row r="4268" spans="1:14" s="360" customFormat="1" hidden="1" outlineLevel="2" x14ac:dyDescent="0.35">
      <c r="A4268" s="403" t="s">
        <v>7188</v>
      </c>
      <c r="B4268" s="397">
        <v>44284</v>
      </c>
      <c r="C4268" s="398" t="s">
        <v>4534</v>
      </c>
      <c r="D4268" s="399" t="s">
        <v>4535</v>
      </c>
      <c r="E4268" s="399" t="s">
        <v>4272</v>
      </c>
      <c r="F4268" s="400">
        <v>35585.565999999999</v>
      </c>
      <c r="G4268" s="401" t="s">
        <v>3800</v>
      </c>
      <c r="H4268" s="402">
        <v>13.241119881491667</v>
      </c>
      <c r="I4268" s="402"/>
      <c r="J4268" s="400"/>
      <c r="K4268" s="400"/>
      <c r="L4268" s="400"/>
      <c r="M4268" s="400"/>
      <c r="N4268" s="400">
        <f t="shared" si="220"/>
        <v>13.241119881491667</v>
      </c>
    </row>
    <row r="4269" spans="1:14" s="360" customFormat="1" hidden="1" outlineLevel="2" x14ac:dyDescent="0.35">
      <c r="A4269" s="403" t="s">
        <v>7188</v>
      </c>
      <c r="B4269" s="397">
        <v>44284</v>
      </c>
      <c r="C4269" s="398" t="s">
        <v>4536</v>
      </c>
      <c r="D4269" s="399" t="s">
        <v>4061</v>
      </c>
      <c r="E4269" s="399" t="s">
        <v>4042</v>
      </c>
      <c r="F4269" s="400">
        <v>3558.5565999999999</v>
      </c>
      <c r="G4269" s="401" t="s">
        <v>3800</v>
      </c>
      <c r="H4269" s="402">
        <v>1.3241119881491665</v>
      </c>
      <c r="I4269" s="402"/>
      <c r="J4269" s="400"/>
      <c r="K4269" s="400"/>
      <c r="L4269" s="400"/>
      <c r="M4269" s="400"/>
      <c r="N4269" s="400">
        <f t="shared" si="220"/>
        <v>1.3241119881491665</v>
      </c>
    </row>
    <row r="4270" spans="1:14" s="360" customFormat="1" hidden="1" outlineLevel="2" x14ac:dyDescent="0.35">
      <c r="A4270" s="403" t="s">
        <v>7188</v>
      </c>
      <c r="B4270" s="397">
        <v>44316</v>
      </c>
      <c r="C4270" s="398" t="s">
        <v>4537</v>
      </c>
      <c r="D4270" s="399" t="s">
        <v>4538</v>
      </c>
      <c r="E4270" s="399" t="s">
        <v>7189</v>
      </c>
      <c r="F4270" s="400">
        <v>355855.66</v>
      </c>
      <c r="G4270" s="401" t="s">
        <v>3800</v>
      </c>
      <c r="H4270" s="402">
        <v>132.41119881491665</v>
      </c>
      <c r="I4270" s="402"/>
      <c r="J4270" s="400"/>
      <c r="K4270" s="400"/>
      <c r="L4270" s="400"/>
      <c r="M4270" s="400"/>
      <c r="N4270" s="400">
        <f t="shared" si="220"/>
        <v>132.41119881491665</v>
      </c>
    </row>
    <row r="4271" spans="1:14" s="360" customFormat="1" hidden="1" outlineLevel="2" x14ac:dyDescent="0.35">
      <c r="A4271" s="403" t="s">
        <v>7188</v>
      </c>
      <c r="B4271" s="397">
        <v>44316</v>
      </c>
      <c r="C4271" s="398" t="s">
        <v>4539</v>
      </c>
      <c r="D4271" s="399" t="s">
        <v>4540</v>
      </c>
      <c r="E4271" s="399" t="s">
        <v>4272</v>
      </c>
      <c r="F4271" s="400">
        <v>35585.565999999999</v>
      </c>
      <c r="G4271" s="401" t="s">
        <v>3800</v>
      </c>
      <c r="H4271" s="402">
        <v>13.241119881491667</v>
      </c>
      <c r="I4271" s="402"/>
      <c r="J4271" s="400"/>
      <c r="K4271" s="400"/>
      <c r="L4271" s="400"/>
      <c r="M4271" s="400"/>
      <c r="N4271" s="400">
        <f t="shared" si="220"/>
        <v>13.241119881491667</v>
      </c>
    </row>
    <row r="4272" spans="1:14" s="360" customFormat="1" hidden="1" outlineLevel="2" x14ac:dyDescent="0.35">
      <c r="A4272" s="403" t="s">
        <v>7188</v>
      </c>
      <c r="B4272" s="397">
        <v>44316</v>
      </c>
      <c r="C4272" s="398" t="s">
        <v>4541</v>
      </c>
      <c r="D4272" s="399" t="s">
        <v>4542</v>
      </c>
      <c r="E4272" s="399" t="s">
        <v>4042</v>
      </c>
      <c r="F4272" s="400">
        <v>3558.5565999999999</v>
      </c>
      <c r="G4272" s="401" t="s">
        <v>3800</v>
      </c>
      <c r="H4272" s="402">
        <v>1.3241119881491665</v>
      </c>
      <c r="I4272" s="402"/>
      <c r="J4272" s="400"/>
      <c r="K4272" s="400"/>
      <c r="L4272" s="400"/>
      <c r="M4272" s="400"/>
      <c r="N4272" s="400">
        <f t="shared" si="220"/>
        <v>1.3241119881491665</v>
      </c>
    </row>
    <row r="4273" spans="1:14" s="360" customFormat="1" hidden="1" outlineLevel="2" x14ac:dyDescent="0.35">
      <c r="A4273" s="403" t="s">
        <v>7188</v>
      </c>
      <c r="B4273" s="397">
        <v>44343</v>
      </c>
      <c r="C4273" s="398" t="s">
        <v>4543</v>
      </c>
      <c r="D4273" s="399" t="s">
        <v>4544</v>
      </c>
      <c r="E4273" s="399" t="s">
        <v>7189</v>
      </c>
      <c r="F4273" s="400">
        <v>355855.66</v>
      </c>
      <c r="G4273" s="401" t="s">
        <v>3800</v>
      </c>
      <c r="H4273" s="402">
        <v>132.41119881491665</v>
      </c>
      <c r="I4273" s="402"/>
      <c r="J4273" s="400"/>
      <c r="K4273" s="400"/>
      <c r="L4273" s="400"/>
      <c r="M4273" s="400"/>
      <c r="N4273" s="400">
        <f t="shared" si="220"/>
        <v>132.41119881491665</v>
      </c>
    </row>
    <row r="4274" spans="1:14" s="360" customFormat="1" hidden="1" outlineLevel="2" x14ac:dyDescent="0.35">
      <c r="A4274" s="403" t="s">
        <v>7188</v>
      </c>
      <c r="B4274" s="397">
        <v>44343</v>
      </c>
      <c r="C4274" s="398" t="s">
        <v>4545</v>
      </c>
      <c r="D4274" s="399" t="s">
        <v>4546</v>
      </c>
      <c r="E4274" s="399" t="s">
        <v>4272</v>
      </c>
      <c r="F4274" s="400">
        <v>35585.565999999999</v>
      </c>
      <c r="G4274" s="401" t="s">
        <v>3800</v>
      </c>
      <c r="H4274" s="402">
        <v>13.241119881491667</v>
      </c>
      <c r="I4274" s="402"/>
      <c r="J4274" s="400"/>
      <c r="K4274" s="400"/>
      <c r="L4274" s="400"/>
      <c r="M4274" s="400"/>
      <c r="N4274" s="400">
        <f t="shared" si="220"/>
        <v>13.241119881491667</v>
      </c>
    </row>
    <row r="4275" spans="1:14" s="360" customFormat="1" hidden="1" outlineLevel="2" x14ac:dyDescent="0.35">
      <c r="A4275" s="403" t="s">
        <v>7188</v>
      </c>
      <c r="B4275" s="397">
        <v>44343</v>
      </c>
      <c r="C4275" s="398" t="s">
        <v>4547</v>
      </c>
      <c r="D4275" s="399" t="s">
        <v>4548</v>
      </c>
      <c r="E4275" s="399" t="s">
        <v>4042</v>
      </c>
      <c r="F4275" s="400">
        <v>3558.5565999999999</v>
      </c>
      <c r="G4275" s="401" t="s">
        <v>3800</v>
      </c>
      <c r="H4275" s="402">
        <v>1.3241119881491665</v>
      </c>
      <c r="I4275" s="402"/>
      <c r="J4275" s="400"/>
      <c r="K4275" s="400"/>
      <c r="L4275" s="400"/>
      <c r="M4275" s="400"/>
      <c r="N4275" s="400">
        <f t="shared" si="220"/>
        <v>1.3241119881491665</v>
      </c>
    </row>
    <row r="4276" spans="1:14" s="360" customFormat="1" hidden="1" outlineLevel="2" x14ac:dyDescent="0.35">
      <c r="A4276" s="403" t="s">
        <v>7188</v>
      </c>
      <c r="B4276" s="397">
        <v>44376</v>
      </c>
      <c r="C4276" s="398" t="s">
        <v>4549</v>
      </c>
      <c r="D4276" s="399" t="s">
        <v>4550</v>
      </c>
      <c r="E4276" s="399" t="s">
        <v>7189</v>
      </c>
      <c r="F4276" s="400">
        <v>355855.66</v>
      </c>
      <c r="G4276" s="401" t="s">
        <v>3800</v>
      </c>
      <c r="H4276" s="402">
        <v>132.41119881491665</v>
      </c>
      <c r="I4276" s="402"/>
      <c r="J4276" s="400"/>
      <c r="K4276" s="400"/>
      <c r="L4276" s="400"/>
      <c r="M4276" s="400"/>
      <c r="N4276" s="400">
        <f t="shared" si="220"/>
        <v>132.41119881491665</v>
      </c>
    </row>
    <row r="4277" spans="1:14" s="360" customFormat="1" hidden="1" outlineLevel="2" collapsed="1" x14ac:dyDescent="0.35">
      <c r="A4277" s="403" t="s">
        <v>7188</v>
      </c>
      <c r="B4277" s="397">
        <v>44376</v>
      </c>
      <c r="C4277" s="398" t="s">
        <v>4551</v>
      </c>
      <c r="D4277" s="399" t="s">
        <v>4552</v>
      </c>
      <c r="E4277" s="399" t="s">
        <v>4272</v>
      </c>
      <c r="F4277" s="400">
        <v>35585.565999999999</v>
      </c>
      <c r="G4277" s="401" t="s">
        <v>3800</v>
      </c>
      <c r="H4277" s="402">
        <v>13.241119881491667</v>
      </c>
      <c r="I4277" s="402"/>
      <c r="J4277" s="400"/>
      <c r="K4277" s="400"/>
      <c r="L4277" s="400"/>
      <c r="M4277" s="400"/>
      <c r="N4277" s="400">
        <f t="shared" si="220"/>
        <v>13.241119881491667</v>
      </c>
    </row>
    <row r="4278" spans="1:14" s="360" customFormat="1" hidden="1" outlineLevel="2" x14ac:dyDescent="0.35">
      <c r="A4278" s="403" t="s">
        <v>7188</v>
      </c>
      <c r="B4278" s="397">
        <v>44376</v>
      </c>
      <c r="C4278" s="398" t="s">
        <v>4553</v>
      </c>
      <c r="D4278" s="399" t="s">
        <v>4554</v>
      </c>
      <c r="E4278" s="399" t="s">
        <v>4042</v>
      </c>
      <c r="F4278" s="400">
        <v>3558.5565999999999</v>
      </c>
      <c r="G4278" s="401" t="s">
        <v>3800</v>
      </c>
      <c r="H4278" s="402">
        <v>1.3241119881491665</v>
      </c>
      <c r="I4278" s="402"/>
      <c r="J4278" s="400"/>
      <c r="K4278" s="400"/>
      <c r="L4278" s="400"/>
      <c r="M4278" s="400"/>
      <c r="N4278" s="400">
        <f t="shared" si="220"/>
        <v>1.3241119881491665</v>
      </c>
    </row>
    <row r="4279" spans="1:14" s="360" customFormat="1" hidden="1" outlineLevel="2" x14ac:dyDescent="0.35">
      <c r="A4279" s="403" t="s">
        <v>7188</v>
      </c>
      <c r="B4279" s="397">
        <v>44407</v>
      </c>
      <c r="C4279" s="398" t="s">
        <v>4555</v>
      </c>
      <c r="D4279" s="399" t="s">
        <v>4556</v>
      </c>
      <c r="E4279" s="399" t="s">
        <v>7189</v>
      </c>
      <c r="F4279" s="400">
        <v>355855.66</v>
      </c>
      <c r="G4279" s="401" t="s">
        <v>3800</v>
      </c>
      <c r="H4279" s="402">
        <v>132.41119881491665</v>
      </c>
      <c r="I4279" s="402"/>
      <c r="J4279" s="400"/>
      <c r="K4279" s="400"/>
      <c r="L4279" s="400"/>
      <c r="M4279" s="400"/>
      <c r="N4279" s="400">
        <f t="shared" si="220"/>
        <v>132.41119881491665</v>
      </c>
    </row>
    <row r="4280" spans="1:14" s="360" customFormat="1" hidden="1" outlineLevel="2" x14ac:dyDescent="0.35">
      <c r="A4280" s="403" t="s">
        <v>7188</v>
      </c>
      <c r="B4280" s="397">
        <v>44407</v>
      </c>
      <c r="C4280" s="398" t="s">
        <v>4557</v>
      </c>
      <c r="D4280" s="399" t="s">
        <v>4558</v>
      </c>
      <c r="E4280" s="399" t="s">
        <v>4272</v>
      </c>
      <c r="F4280" s="400">
        <v>35585.565999999999</v>
      </c>
      <c r="G4280" s="401" t="s">
        <v>3800</v>
      </c>
      <c r="H4280" s="402">
        <v>13.241119881491667</v>
      </c>
      <c r="I4280" s="402"/>
      <c r="J4280" s="400"/>
      <c r="K4280" s="400"/>
      <c r="L4280" s="400"/>
      <c r="M4280" s="400"/>
      <c r="N4280" s="400">
        <f t="shared" si="220"/>
        <v>13.241119881491667</v>
      </c>
    </row>
    <row r="4281" spans="1:14" s="360" customFormat="1" hidden="1" outlineLevel="2" x14ac:dyDescent="0.35">
      <c r="A4281" s="403" t="s">
        <v>7188</v>
      </c>
      <c r="B4281" s="397">
        <v>44407</v>
      </c>
      <c r="C4281" s="398" t="s">
        <v>4559</v>
      </c>
      <c r="D4281" s="399" t="s">
        <v>4560</v>
      </c>
      <c r="E4281" s="399" t="s">
        <v>4042</v>
      </c>
      <c r="F4281" s="400">
        <v>2135.1339600000001</v>
      </c>
      <c r="G4281" s="401" t="s">
        <v>3800</v>
      </c>
      <c r="H4281" s="402">
        <v>0.79446719288950007</v>
      </c>
      <c r="I4281" s="402"/>
      <c r="J4281" s="400"/>
      <c r="K4281" s="400"/>
      <c r="L4281" s="400"/>
      <c r="M4281" s="400"/>
      <c r="N4281" s="400">
        <f t="shared" si="220"/>
        <v>0.79446719288950007</v>
      </c>
    </row>
    <row r="4282" spans="1:14" s="360" customFormat="1" hidden="1" outlineLevel="2" x14ac:dyDescent="0.35">
      <c r="A4282" s="403" t="s">
        <v>7188</v>
      </c>
      <c r="B4282" s="397">
        <v>44438</v>
      </c>
      <c r="C4282" s="398" t="s">
        <v>4561</v>
      </c>
      <c r="D4282" s="399" t="s">
        <v>4562</v>
      </c>
      <c r="E4282" s="399" t="s">
        <v>7189</v>
      </c>
      <c r="F4282" s="400">
        <v>355855.66</v>
      </c>
      <c r="G4282" s="401" t="s">
        <v>3800</v>
      </c>
      <c r="H4282" s="402">
        <v>132.41119881491665</v>
      </c>
      <c r="I4282" s="402"/>
      <c r="J4282" s="400"/>
      <c r="K4282" s="400"/>
      <c r="L4282" s="400"/>
      <c r="M4282" s="400"/>
      <c r="N4282" s="400">
        <f t="shared" si="220"/>
        <v>132.41119881491665</v>
      </c>
    </row>
    <row r="4283" spans="1:14" s="360" customFormat="1" hidden="1" outlineLevel="2" x14ac:dyDescent="0.35">
      <c r="A4283" s="403" t="s">
        <v>7188</v>
      </c>
      <c r="B4283" s="397">
        <v>44438</v>
      </c>
      <c r="C4283" s="398" t="s">
        <v>4564</v>
      </c>
      <c r="D4283" s="399" t="s">
        <v>4565</v>
      </c>
      <c r="E4283" s="399" t="s">
        <v>4272</v>
      </c>
      <c r="F4283" s="400">
        <v>35585.565999999999</v>
      </c>
      <c r="G4283" s="401" t="s">
        <v>3800</v>
      </c>
      <c r="H4283" s="402">
        <v>13.241119881491667</v>
      </c>
      <c r="I4283" s="402"/>
      <c r="J4283" s="400"/>
      <c r="K4283" s="400"/>
      <c r="L4283" s="400"/>
      <c r="M4283" s="400"/>
      <c r="N4283" s="400">
        <f t="shared" si="220"/>
        <v>13.241119881491667</v>
      </c>
    </row>
    <row r="4284" spans="1:14" s="360" customFormat="1" hidden="1" outlineLevel="2" x14ac:dyDescent="0.35">
      <c r="A4284" s="403" t="s">
        <v>7188</v>
      </c>
      <c r="B4284" s="397">
        <v>44438</v>
      </c>
      <c r="C4284" s="398" t="s">
        <v>4566</v>
      </c>
      <c r="D4284" s="399" t="s">
        <v>4567</v>
      </c>
      <c r="E4284" s="399" t="s">
        <v>4042</v>
      </c>
      <c r="F4284" s="400">
        <v>2135.1339600000001</v>
      </c>
      <c r="G4284" s="401" t="s">
        <v>3800</v>
      </c>
      <c r="H4284" s="402">
        <v>0.79446719288950007</v>
      </c>
      <c r="I4284" s="402"/>
      <c r="J4284" s="400"/>
      <c r="K4284" s="400"/>
      <c r="L4284" s="400"/>
      <c r="M4284" s="400"/>
      <c r="N4284" s="400">
        <f t="shared" si="220"/>
        <v>0.79446719288950007</v>
      </c>
    </row>
    <row r="4285" spans="1:14" s="360" customFormat="1" hidden="1" outlineLevel="2" x14ac:dyDescent="0.35">
      <c r="A4285" s="403" t="s">
        <v>7188</v>
      </c>
      <c r="B4285" s="397">
        <v>44467</v>
      </c>
      <c r="C4285" s="398" t="s">
        <v>4568</v>
      </c>
      <c r="D4285" s="399" t="s">
        <v>4569</v>
      </c>
      <c r="E4285" s="399" t="s">
        <v>7189</v>
      </c>
      <c r="F4285" s="400">
        <v>355855.66</v>
      </c>
      <c r="G4285" s="401" t="s">
        <v>3800</v>
      </c>
      <c r="H4285" s="402">
        <v>132.41119881491665</v>
      </c>
      <c r="I4285" s="402"/>
      <c r="J4285" s="400"/>
      <c r="K4285" s="400"/>
      <c r="L4285" s="400"/>
      <c r="M4285" s="400"/>
      <c r="N4285" s="400">
        <f t="shared" si="220"/>
        <v>132.41119881491665</v>
      </c>
    </row>
    <row r="4286" spans="1:14" s="360" customFormat="1" hidden="1" outlineLevel="2" x14ac:dyDescent="0.35">
      <c r="A4286" s="403" t="s">
        <v>7188</v>
      </c>
      <c r="B4286" s="397">
        <v>44467</v>
      </c>
      <c r="C4286" s="398" t="s">
        <v>4570</v>
      </c>
      <c r="D4286" s="399" t="s">
        <v>4602</v>
      </c>
      <c r="E4286" s="399" t="s">
        <v>4272</v>
      </c>
      <c r="F4286" s="400">
        <v>35585.565999999999</v>
      </c>
      <c r="G4286" s="401" t="s">
        <v>3800</v>
      </c>
      <c r="H4286" s="402">
        <v>13.241119881491667</v>
      </c>
      <c r="I4286" s="402"/>
      <c r="J4286" s="400"/>
      <c r="K4286" s="400"/>
      <c r="L4286" s="400"/>
      <c r="M4286" s="400"/>
      <c r="N4286" s="400">
        <f t="shared" si="220"/>
        <v>13.241119881491667</v>
      </c>
    </row>
    <row r="4287" spans="1:14" s="360" customFormat="1" hidden="1" outlineLevel="2" x14ac:dyDescent="0.35">
      <c r="A4287" s="403" t="s">
        <v>7188</v>
      </c>
      <c r="B4287" s="397">
        <v>44467</v>
      </c>
      <c r="C4287" s="398" t="s">
        <v>4572</v>
      </c>
      <c r="D4287" s="399" t="s">
        <v>4603</v>
      </c>
      <c r="E4287" s="399" t="s">
        <v>4042</v>
      </c>
      <c r="F4287" s="400">
        <v>2135.1339600000001</v>
      </c>
      <c r="G4287" s="401" t="s">
        <v>3800</v>
      </c>
      <c r="H4287" s="402">
        <v>0.79446719288950007</v>
      </c>
      <c r="I4287" s="402"/>
      <c r="J4287" s="400"/>
      <c r="K4287" s="400"/>
      <c r="L4287" s="400"/>
      <c r="M4287" s="400"/>
      <c r="N4287" s="400">
        <f t="shared" si="220"/>
        <v>0.79446719288950007</v>
      </c>
    </row>
    <row r="4288" spans="1:14" s="360" customFormat="1" hidden="1" outlineLevel="2" x14ac:dyDescent="0.35">
      <c r="A4288" s="403" t="s">
        <v>7188</v>
      </c>
      <c r="B4288" s="397">
        <v>44497</v>
      </c>
      <c r="C4288" s="398" t="s">
        <v>4574</v>
      </c>
      <c r="D4288" s="399" t="s">
        <v>4575</v>
      </c>
      <c r="E4288" s="399" t="s">
        <v>7189</v>
      </c>
      <c r="F4288" s="400">
        <v>355855.66</v>
      </c>
      <c r="G4288" s="401" t="s">
        <v>3800</v>
      </c>
      <c r="H4288" s="402">
        <v>132.41119881491665</v>
      </c>
      <c r="I4288" s="402"/>
      <c r="J4288" s="400"/>
      <c r="K4288" s="400"/>
      <c r="L4288" s="400"/>
      <c r="M4288" s="400"/>
      <c r="N4288" s="400">
        <f t="shared" si="220"/>
        <v>132.41119881491665</v>
      </c>
    </row>
    <row r="4289" spans="1:14" s="360" customFormat="1" hidden="1" outlineLevel="2" x14ac:dyDescent="0.35">
      <c r="A4289" s="403" t="s">
        <v>7188</v>
      </c>
      <c r="B4289" s="397">
        <v>44497</v>
      </c>
      <c r="C4289" s="398" t="s">
        <v>4576</v>
      </c>
      <c r="D4289" s="399" t="s">
        <v>4604</v>
      </c>
      <c r="E4289" s="399" t="s">
        <v>4272</v>
      </c>
      <c r="F4289" s="400">
        <v>35585.565999999999</v>
      </c>
      <c r="G4289" s="401" t="s">
        <v>3800</v>
      </c>
      <c r="H4289" s="402">
        <v>13.241119881491667</v>
      </c>
      <c r="I4289" s="402"/>
      <c r="J4289" s="400"/>
      <c r="K4289" s="400"/>
      <c r="L4289" s="400"/>
      <c r="M4289" s="400"/>
      <c r="N4289" s="400">
        <f t="shared" si="220"/>
        <v>13.241119881491667</v>
      </c>
    </row>
    <row r="4290" spans="1:14" s="360" customFormat="1" hidden="1" outlineLevel="2" x14ac:dyDescent="0.35">
      <c r="A4290" s="403" t="s">
        <v>7188</v>
      </c>
      <c r="B4290" s="397">
        <v>44497</v>
      </c>
      <c r="C4290" s="398" t="s">
        <v>4578</v>
      </c>
      <c r="D4290" s="399" t="s">
        <v>4605</v>
      </c>
      <c r="E4290" s="399" t="s">
        <v>4042</v>
      </c>
      <c r="F4290" s="400">
        <v>2135.1339600000001</v>
      </c>
      <c r="G4290" s="401" t="s">
        <v>3800</v>
      </c>
      <c r="H4290" s="402">
        <v>0.79446719288950007</v>
      </c>
      <c r="I4290" s="402"/>
      <c r="J4290" s="400"/>
      <c r="K4290" s="400"/>
      <c r="L4290" s="400"/>
      <c r="M4290" s="400"/>
      <c r="N4290" s="400">
        <f t="shared" si="220"/>
        <v>0.79446719288950007</v>
      </c>
    </row>
    <row r="4291" spans="1:14" s="360" customFormat="1" hidden="1" outlineLevel="2" x14ac:dyDescent="0.35">
      <c r="A4291" s="403" t="s">
        <v>7188</v>
      </c>
      <c r="B4291" s="397">
        <v>44525</v>
      </c>
      <c r="C4291" s="398" t="s">
        <v>4580</v>
      </c>
      <c r="D4291" s="399" t="s">
        <v>4581</v>
      </c>
      <c r="E4291" s="399" t="s">
        <v>7189</v>
      </c>
      <c r="F4291" s="400">
        <v>355855.66</v>
      </c>
      <c r="G4291" s="401" t="s">
        <v>3800</v>
      </c>
      <c r="H4291" s="402">
        <v>132.41119881491665</v>
      </c>
      <c r="I4291" s="402"/>
      <c r="J4291" s="400"/>
      <c r="K4291" s="400"/>
      <c r="L4291" s="400"/>
      <c r="M4291" s="400"/>
      <c r="N4291" s="400">
        <f t="shared" si="220"/>
        <v>132.41119881491665</v>
      </c>
    </row>
    <row r="4292" spans="1:14" s="360" customFormat="1" hidden="1" outlineLevel="2" x14ac:dyDescent="0.35">
      <c r="A4292" s="403" t="s">
        <v>7188</v>
      </c>
      <c r="B4292" s="397">
        <v>44525</v>
      </c>
      <c r="C4292" s="398" t="s">
        <v>4582</v>
      </c>
      <c r="D4292" s="399" t="s">
        <v>4583</v>
      </c>
      <c r="E4292" s="399" t="s">
        <v>4272</v>
      </c>
      <c r="F4292" s="400">
        <v>35585.565999999999</v>
      </c>
      <c r="G4292" s="401" t="s">
        <v>3800</v>
      </c>
      <c r="H4292" s="402">
        <v>13.241119881491667</v>
      </c>
      <c r="I4292" s="402"/>
      <c r="J4292" s="400"/>
      <c r="K4292" s="400"/>
      <c r="L4292" s="400"/>
      <c r="M4292" s="400"/>
      <c r="N4292" s="400">
        <f t="shared" si="220"/>
        <v>13.241119881491667</v>
      </c>
    </row>
    <row r="4293" spans="1:14" s="360" customFormat="1" hidden="1" outlineLevel="2" x14ac:dyDescent="0.35">
      <c r="A4293" s="403" t="s">
        <v>7188</v>
      </c>
      <c r="B4293" s="397">
        <v>44525</v>
      </c>
      <c r="C4293" s="398" t="s">
        <v>4584</v>
      </c>
      <c r="D4293" s="399" t="s">
        <v>4585</v>
      </c>
      <c r="E4293" s="399" t="s">
        <v>4042</v>
      </c>
      <c r="F4293" s="400">
        <v>2135.1339600000001</v>
      </c>
      <c r="G4293" s="401" t="s">
        <v>3800</v>
      </c>
      <c r="H4293" s="402">
        <v>0.79446719288950007</v>
      </c>
      <c r="I4293" s="402"/>
      <c r="J4293" s="400"/>
      <c r="K4293" s="400"/>
      <c r="L4293" s="400"/>
      <c r="M4293" s="400"/>
      <c r="N4293" s="400">
        <f t="shared" si="220"/>
        <v>0.79446719288950007</v>
      </c>
    </row>
    <row r="4294" spans="1:14" s="360" customFormat="1" hidden="1" outlineLevel="2" x14ac:dyDescent="0.35">
      <c r="A4294" s="403" t="s">
        <v>7188</v>
      </c>
      <c r="B4294" s="397">
        <v>44547</v>
      </c>
      <c r="C4294" s="398" t="s">
        <v>4586</v>
      </c>
      <c r="D4294" s="399" t="s">
        <v>4587</v>
      </c>
      <c r="E4294" s="399" t="s">
        <v>7189</v>
      </c>
      <c r="F4294" s="400">
        <v>355855.66</v>
      </c>
      <c r="G4294" s="401" t="s">
        <v>3800</v>
      </c>
      <c r="H4294" s="402">
        <v>132.41119881491665</v>
      </c>
      <c r="I4294" s="402"/>
      <c r="J4294" s="400"/>
      <c r="K4294" s="400"/>
      <c r="L4294" s="400"/>
      <c r="M4294" s="400"/>
      <c r="N4294" s="400">
        <f t="shared" si="220"/>
        <v>132.41119881491665</v>
      </c>
    </row>
    <row r="4295" spans="1:14" s="360" customFormat="1" hidden="1" outlineLevel="2" x14ac:dyDescent="0.35">
      <c r="A4295" s="403" t="s">
        <v>7188</v>
      </c>
      <c r="B4295" s="397">
        <v>44547</v>
      </c>
      <c r="C4295" s="398" t="s">
        <v>4588</v>
      </c>
      <c r="D4295" s="399" t="s">
        <v>4589</v>
      </c>
      <c r="E4295" s="399" t="s">
        <v>4272</v>
      </c>
      <c r="F4295" s="400">
        <v>35585.565999999999</v>
      </c>
      <c r="G4295" s="401" t="s">
        <v>3800</v>
      </c>
      <c r="H4295" s="402">
        <v>13.241119881491667</v>
      </c>
      <c r="I4295" s="402"/>
      <c r="J4295" s="400"/>
      <c r="K4295" s="400"/>
      <c r="L4295" s="400"/>
      <c r="M4295" s="400"/>
      <c r="N4295" s="400">
        <f t="shared" si="220"/>
        <v>13.241119881491667</v>
      </c>
    </row>
    <row r="4296" spans="1:14" s="360" customFormat="1" hidden="1" outlineLevel="2" x14ac:dyDescent="0.35">
      <c r="A4296" s="403" t="s">
        <v>7188</v>
      </c>
      <c r="B4296" s="397">
        <v>44547</v>
      </c>
      <c r="C4296" s="398" t="s">
        <v>4590</v>
      </c>
      <c r="D4296" s="399" t="s">
        <v>4591</v>
      </c>
      <c r="E4296" s="399" t="s">
        <v>4042</v>
      </c>
      <c r="F4296" s="400">
        <v>2135.1339600000001</v>
      </c>
      <c r="G4296" s="401" t="s">
        <v>3800</v>
      </c>
      <c r="H4296" s="402">
        <v>0.79446719288950007</v>
      </c>
      <c r="I4296" s="402"/>
      <c r="J4296" s="400"/>
      <c r="K4296" s="400"/>
      <c r="L4296" s="400"/>
      <c r="M4296" s="400"/>
      <c r="N4296" s="400">
        <f t="shared" si="220"/>
        <v>0.79446719288950007</v>
      </c>
    </row>
    <row r="4297" spans="1:14" s="360" customFormat="1" hidden="1" outlineLevel="2" x14ac:dyDescent="0.35">
      <c r="A4297" s="403" t="s">
        <v>7188</v>
      </c>
      <c r="B4297" s="397">
        <v>44587</v>
      </c>
      <c r="C4297" s="398" t="s">
        <v>4592</v>
      </c>
      <c r="D4297" s="399" t="s">
        <v>4593</v>
      </c>
      <c r="E4297" s="399" t="s">
        <v>7189</v>
      </c>
      <c r="F4297" s="400">
        <v>355855.66</v>
      </c>
      <c r="G4297" s="401" t="s">
        <v>3800</v>
      </c>
      <c r="H4297" s="402">
        <v>132.41119881491665</v>
      </c>
      <c r="I4297" s="402"/>
      <c r="J4297" s="400"/>
      <c r="K4297" s="400"/>
      <c r="L4297" s="400"/>
      <c r="M4297" s="400"/>
      <c r="N4297" s="400">
        <v>132.41119881491665</v>
      </c>
    </row>
    <row r="4298" spans="1:14" s="360" customFormat="1" hidden="1" outlineLevel="2" x14ac:dyDescent="0.35">
      <c r="A4298" s="403" t="s">
        <v>7188</v>
      </c>
      <c r="B4298" s="397">
        <v>44587</v>
      </c>
      <c r="C4298" s="398" t="s">
        <v>4594</v>
      </c>
      <c r="D4298" s="399" t="s">
        <v>4595</v>
      </c>
      <c r="E4298" s="399" t="s">
        <v>4272</v>
      </c>
      <c r="F4298" s="400">
        <v>35585.565999999999</v>
      </c>
      <c r="G4298" s="401" t="s">
        <v>3800</v>
      </c>
      <c r="H4298" s="402">
        <v>13.241119881491667</v>
      </c>
      <c r="I4298" s="402"/>
      <c r="J4298" s="400"/>
      <c r="K4298" s="400"/>
      <c r="L4298" s="400"/>
      <c r="M4298" s="400"/>
      <c r="N4298" s="400">
        <v>13.241119881491667</v>
      </c>
    </row>
    <row r="4299" spans="1:14" s="360" customFormat="1" hidden="1" outlineLevel="2" collapsed="1" x14ac:dyDescent="0.35">
      <c r="A4299" s="403" t="s">
        <v>7188</v>
      </c>
      <c r="B4299" s="397">
        <v>44587</v>
      </c>
      <c r="C4299" s="398" t="s">
        <v>4596</v>
      </c>
      <c r="D4299" s="399" t="s">
        <v>4597</v>
      </c>
      <c r="E4299" s="399" t="s">
        <v>4042</v>
      </c>
      <c r="F4299" s="400">
        <v>2135.1339600000001</v>
      </c>
      <c r="G4299" s="401" t="s">
        <v>3800</v>
      </c>
      <c r="H4299" s="402">
        <v>0.79446719288950007</v>
      </c>
      <c r="I4299" s="402"/>
      <c r="J4299" s="400"/>
      <c r="K4299" s="400"/>
      <c r="L4299" s="400"/>
      <c r="M4299" s="400"/>
      <c r="N4299" s="400">
        <v>0.79446719288950007</v>
      </c>
    </row>
    <row r="4300" spans="1:14" s="360" customFormat="1" outlineLevel="1" collapsed="1" x14ac:dyDescent="0.35">
      <c r="A4300" s="396" t="s">
        <v>7190</v>
      </c>
      <c r="B4300" s="397"/>
      <c r="C4300" s="398"/>
      <c r="D4300" s="399"/>
      <c r="E4300" s="399"/>
      <c r="F4300" s="400"/>
      <c r="G4300" s="401"/>
      <c r="H4300" s="402">
        <f t="shared" ref="H4300:N4300" si="221">SUBTOTAL(9,H4264:H4299)</f>
        <v>1686.5165094529298</v>
      </c>
      <c r="I4300" s="402"/>
      <c r="J4300" s="400">
        <f t="shared" si="221"/>
        <v>0</v>
      </c>
      <c r="K4300" s="400">
        <f t="shared" si="221"/>
        <v>0</v>
      </c>
      <c r="L4300" s="400">
        <f t="shared" si="221"/>
        <v>0</v>
      </c>
      <c r="M4300" s="400">
        <f t="shared" si="221"/>
        <v>0</v>
      </c>
      <c r="N4300" s="400">
        <f t="shared" si="221"/>
        <v>1686.5165094529298</v>
      </c>
    </row>
    <row r="4301" spans="1:14" s="360" customFormat="1" hidden="1" outlineLevel="2" x14ac:dyDescent="0.35">
      <c r="A4301" s="403" t="s">
        <v>3918</v>
      </c>
      <c r="B4301" s="397">
        <v>44547</v>
      </c>
      <c r="C4301" s="398" t="s">
        <v>7191</v>
      </c>
      <c r="D4301" s="399" t="s">
        <v>7192</v>
      </c>
      <c r="E4301" s="399" t="s">
        <v>7193</v>
      </c>
      <c r="F4301" s="400">
        <v>3668000</v>
      </c>
      <c r="G4301" s="401" t="s">
        <v>3800</v>
      </c>
      <c r="H4301" s="402">
        <v>1364.8350492812572</v>
      </c>
      <c r="I4301" s="402"/>
      <c r="J4301" s="400"/>
      <c r="K4301" s="400"/>
      <c r="L4301" s="400"/>
      <c r="M4301" s="400">
        <v>1364.8350492812572</v>
      </c>
      <c r="N4301" s="400"/>
    </row>
    <row r="4302" spans="1:14" s="360" customFormat="1" ht="30" hidden="1" outlineLevel="2" x14ac:dyDescent="0.35">
      <c r="A4302" s="403" t="s">
        <v>3918</v>
      </c>
      <c r="B4302" s="397">
        <v>44547</v>
      </c>
      <c r="C4302" s="398" t="s">
        <v>7194</v>
      </c>
      <c r="D4302" s="399" t="s">
        <v>7195</v>
      </c>
      <c r="E4302" s="399" t="s">
        <v>7196</v>
      </c>
      <c r="F4302" s="400">
        <v>320000</v>
      </c>
      <c r="G4302" s="401" t="s">
        <v>3800</v>
      </c>
      <c r="H4302" s="402">
        <v>119.06957899945537</v>
      </c>
      <c r="I4302" s="402"/>
      <c r="J4302" s="400"/>
      <c r="K4302" s="400"/>
      <c r="L4302" s="400"/>
      <c r="M4302" s="400">
        <v>119.06957899945537</v>
      </c>
      <c r="N4302" s="400"/>
    </row>
    <row r="4303" spans="1:14" s="360" customFormat="1" hidden="1" outlineLevel="2" x14ac:dyDescent="0.35">
      <c r="A4303" s="403" t="s">
        <v>3918</v>
      </c>
      <c r="B4303" s="397">
        <v>44540</v>
      </c>
      <c r="C4303" s="398" t="s">
        <v>7197</v>
      </c>
      <c r="D4303" s="399" t="s">
        <v>7198</v>
      </c>
      <c r="E4303" s="399" t="s">
        <v>6160</v>
      </c>
      <c r="F4303" s="400">
        <v>2060000</v>
      </c>
      <c r="G4303" s="401" t="s">
        <v>3800</v>
      </c>
      <c r="H4303" s="402">
        <v>766.51041480899403</v>
      </c>
      <c r="I4303" s="402"/>
      <c r="J4303" s="400"/>
      <c r="K4303" s="400"/>
      <c r="L4303" s="400"/>
      <c r="M4303" s="400">
        <v>766.51041480899403</v>
      </c>
      <c r="N4303" s="400"/>
    </row>
    <row r="4304" spans="1:14" s="360" customFormat="1" hidden="1" outlineLevel="2" x14ac:dyDescent="0.35">
      <c r="A4304" s="403" t="s">
        <v>3918</v>
      </c>
      <c r="B4304" s="397">
        <v>44544</v>
      </c>
      <c r="C4304" s="398" t="s">
        <v>7199</v>
      </c>
      <c r="D4304" s="399" t="s">
        <v>7200</v>
      </c>
      <c r="E4304" s="399" t="s">
        <v>7201</v>
      </c>
      <c r="F4304" s="400">
        <v>300000</v>
      </c>
      <c r="G4304" s="401" t="s">
        <v>3800</v>
      </c>
      <c r="H4304" s="402">
        <v>111.62773031198941</v>
      </c>
      <c r="I4304" s="402"/>
      <c r="J4304" s="400"/>
      <c r="K4304" s="400"/>
      <c r="L4304" s="400"/>
      <c r="M4304" s="400">
        <v>111.62773031198941</v>
      </c>
      <c r="N4304" s="400"/>
    </row>
    <row r="4305" spans="1:14" s="360" customFormat="1" hidden="1" outlineLevel="2" x14ac:dyDescent="0.35">
      <c r="A4305" s="403" t="s">
        <v>3918</v>
      </c>
      <c r="B4305" s="397">
        <v>44544</v>
      </c>
      <c r="C4305" s="398" t="s">
        <v>7202</v>
      </c>
      <c r="D4305" s="399" t="s">
        <v>7203</v>
      </c>
      <c r="E4305" s="399" t="s">
        <v>7204</v>
      </c>
      <c r="F4305" s="400">
        <v>300000</v>
      </c>
      <c r="G4305" s="401" t="s">
        <v>3800</v>
      </c>
      <c r="H4305" s="402">
        <v>111.62773031198941</v>
      </c>
      <c r="I4305" s="402"/>
      <c r="J4305" s="400"/>
      <c r="K4305" s="400"/>
      <c r="L4305" s="400"/>
      <c r="M4305" s="400">
        <v>111.62773031198941</v>
      </c>
      <c r="N4305" s="400"/>
    </row>
    <row r="4306" spans="1:14" s="360" customFormat="1" hidden="1" outlineLevel="2" x14ac:dyDescent="0.35">
      <c r="A4306" s="403" t="s">
        <v>3918</v>
      </c>
      <c r="B4306" s="397">
        <v>44568</v>
      </c>
      <c r="C4306" s="398" t="s">
        <v>7205</v>
      </c>
      <c r="D4306" s="399" t="s">
        <v>7206</v>
      </c>
      <c r="E4306" s="399" t="s">
        <v>7207</v>
      </c>
      <c r="F4306" s="400">
        <v>746000</v>
      </c>
      <c r="G4306" s="401" t="s">
        <v>3800</v>
      </c>
      <c r="H4306" s="402">
        <v>277.58095604248035</v>
      </c>
      <c r="I4306" s="402"/>
      <c r="J4306" s="400"/>
      <c r="K4306" s="400"/>
      <c r="L4306" s="400"/>
      <c r="M4306" s="400">
        <v>277.58095604248035</v>
      </c>
      <c r="N4306" s="400"/>
    </row>
    <row r="4307" spans="1:14" s="360" customFormat="1" hidden="1" outlineLevel="2" x14ac:dyDescent="0.35">
      <c r="A4307" s="403" t="s">
        <v>3918</v>
      </c>
      <c r="B4307" s="397">
        <v>44568</v>
      </c>
      <c r="C4307" s="398" t="s">
        <v>7205</v>
      </c>
      <c r="D4307" s="399" t="s">
        <v>7208</v>
      </c>
      <c r="E4307" s="399" t="s">
        <v>7209</v>
      </c>
      <c r="F4307" s="400">
        <v>335000</v>
      </c>
      <c r="G4307" s="401" t="s">
        <v>3800</v>
      </c>
      <c r="H4307" s="402">
        <v>124.65096551505485</v>
      </c>
      <c r="I4307" s="402"/>
      <c r="J4307" s="400"/>
      <c r="K4307" s="400"/>
      <c r="L4307" s="400"/>
      <c r="M4307" s="400">
        <v>124.65096551505485</v>
      </c>
      <c r="N4307" s="400"/>
    </row>
    <row r="4308" spans="1:14" s="360" customFormat="1" hidden="1" outlineLevel="2" x14ac:dyDescent="0.35">
      <c r="A4308" s="403" t="s">
        <v>3918</v>
      </c>
      <c r="B4308" s="397">
        <v>44568</v>
      </c>
      <c r="C4308" s="398" t="s">
        <v>7205</v>
      </c>
      <c r="D4308" s="399" t="s">
        <v>7210</v>
      </c>
      <c r="E4308" s="399" t="s">
        <v>7211</v>
      </c>
      <c r="F4308" s="400">
        <v>110000</v>
      </c>
      <c r="G4308" s="401" t="s">
        <v>3800</v>
      </c>
      <c r="H4308" s="402">
        <v>40.930167781062785</v>
      </c>
      <c r="I4308" s="402"/>
      <c r="J4308" s="400"/>
      <c r="K4308" s="400"/>
      <c r="L4308" s="400"/>
      <c r="M4308" s="400">
        <v>40.930167781062785</v>
      </c>
      <c r="N4308" s="400"/>
    </row>
    <row r="4309" spans="1:14" s="360" customFormat="1" outlineLevel="1" collapsed="1" x14ac:dyDescent="0.35">
      <c r="A4309" s="396" t="s">
        <v>7212</v>
      </c>
      <c r="B4309" s="397"/>
      <c r="C4309" s="398"/>
      <c r="D4309" s="399"/>
      <c r="E4309" s="399"/>
      <c r="F4309" s="400"/>
      <c r="G4309" s="401"/>
      <c r="H4309" s="402">
        <f t="shared" ref="H4309:N4309" si="222">SUBTOTAL(9,H4301:H4308)</f>
        <v>2916.8325930522838</v>
      </c>
      <c r="I4309" s="402"/>
      <c r="J4309" s="400">
        <f t="shared" si="222"/>
        <v>0</v>
      </c>
      <c r="K4309" s="400">
        <f t="shared" si="222"/>
        <v>0</v>
      </c>
      <c r="L4309" s="400">
        <f t="shared" si="222"/>
        <v>0</v>
      </c>
      <c r="M4309" s="400">
        <f t="shared" si="222"/>
        <v>2916.8325930522838</v>
      </c>
      <c r="N4309" s="400">
        <f t="shared" si="222"/>
        <v>0</v>
      </c>
    </row>
    <row r="4310" spans="1:14" s="360" customFormat="1" hidden="1" outlineLevel="2" x14ac:dyDescent="0.35">
      <c r="A4310" s="403" t="s">
        <v>168</v>
      </c>
      <c r="B4310" s="397">
        <v>44176</v>
      </c>
      <c r="C4310" s="398" t="s">
        <v>7213</v>
      </c>
      <c r="D4310" s="399" t="s">
        <v>7214</v>
      </c>
      <c r="E4310" s="399" t="s">
        <v>7215</v>
      </c>
      <c r="F4310" s="400">
        <v>787500</v>
      </c>
      <c r="G4310" s="401" t="s">
        <v>3800</v>
      </c>
      <c r="H4310" s="402">
        <v>302.36580347301032</v>
      </c>
      <c r="I4310" s="402"/>
      <c r="J4310" s="400"/>
      <c r="K4310" s="400"/>
      <c r="L4310" s="400"/>
      <c r="M4310" s="400">
        <v>302.36580347301032</v>
      </c>
      <c r="N4310" s="400"/>
    </row>
    <row r="4311" spans="1:14" s="360" customFormat="1" hidden="1" outlineLevel="2" collapsed="1" x14ac:dyDescent="0.35">
      <c r="A4311" s="403" t="s">
        <v>168</v>
      </c>
      <c r="B4311" s="397">
        <v>44183</v>
      </c>
      <c r="C4311" s="398" t="s">
        <v>7216</v>
      </c>
      <c r="D4311" s="399" t="s">
        <v>7217</v>
      </c>
      <c r="E4311" s="399" t="s">
        <v>7218</v>
      </c>
      <c r="F4311" s="400">
        <v>2700000</v>
      </c>
      <c r="G4311" s="401" t="s">
        <v>3800</v>
      </c>
      <c r="H4311" s="402">
        <v>1036.6827547646069</v>
      </c>
      <c r="I4311" s="402"/>
      <c r="J4311" s="400"/>
      <c r="K4311" s="400"/>
      <c r="L4311" s="400"/>
      <c r="M4311" s="400">
        <v>1036.6827547646069</v>
      </c>
      <c r="N4311" s="400"/>
    </row>
    <row r="4312" spans="1:14" s="360" customFormat="1" hidden="1" outlineLevel="2" x14ac:dyDescent="0.35">
      <c r="A4312" s="403" t="s">
        <v>168</v>
      </c>
      <c r="B4312" s="397">
        <v>44183</v>
      </c>
      <c r="C4312" s="398" t="s">
        <v>7219</v>
      </c>
      <c r="D4312" s="399" t="s">
        <v>7220</v>
      </c>
      <c r="E4312" s="399" t="s">
        <v>7221</v>
      </c>
      <c r="F4312" s="400">
        <v>4500000</v>
      </c>
      <c r="G4312" s="401" t="s">
        <v>3800</v>
      </c>
      <c r="H4312" s="402">
        <v>1727.8045912743448</v>
      </c>
      <c r="I4312" s="402"/>
      <c r="J4312" s="400"/>
      <c r="K4312" s="400"/>
      <c r="L4312" s="400"/>
      <c r="M4312" s="400">
        <v>1727.8045912743448</v>
      </c>
      <c r="N4312" s="400"/>
    </row>
    <row r="4313" spans="1:14" s="360" customFormat="1" hidden="1" outlineLevel="2" x14ac:dyDescent="0.35">
      <c r="A4313" s="403" t="s">
        <v>168</v>
      </c>
      <c r="B4313" s="397">
        <v>44184</v>
      </c>
      <c r="C4313" s="398" t="s">
        <v>7222</v>
      </c>
      <c r="D4313" s="399" t="s">
        <v>7223</v>
      </c>
      <c r="E4313" s="399" t="s">
        <v>7224</v>
      </c>
      <c r="F4313" s="400">
        <v>2100000</v>
      </c>
      <c r="G4313" s="401" t="s">
        <v>3800</v>
      </c>
      <c r="H4313" s="402">
        <v>806.30880926136092</v>
      </c>
      <c r="I4313" s="402"/>
      <c r="J4313" s="400"/>
      <c r="K4313" s="400"/>
      <c r="L4313" s="400"/>
      <c r="M4313" s="400">
        <v>806.30880926136092</v>
      </c>
      <c r="N4313" s="400"/>
    </row>
    <row r="4314" spans="1:14" s="360" customFormat="1" hidden="1" outlineLevel="2" x14ac:dyDescent="0.35">
      <c r="A4314" s="403" t="s">
        <v>168</v>
      </c>
      <c r="B4314" s="397">
        <v>44176</v>
      </c>
      <c r="C4314" s="398" t="s">
        <v>7213</v>
      </c>
      <c r="D4314" s="399" t="s">
        <v>4431</v>
      </c>
      <c r="E4314" s="399" t="s">
        <v>2812</v>
      </c>
      <c r="F4314" s="400">
        <v>534300</v>
      </c>
      <c r="G4314" s="401" t="s">
        <v>3800</v>
      </c>
      <c r="H4314" s="402">
        <v>205.14799847064054</v>
      </c>
      <c r="I4314" s="402"/>
      <c r="J4314" s="400"/>
      <c r="K4314" s="400"/>
      <c r="L4314" s="400"/>
      <c r="M4314" s="400">
        <v>205.14799847064054</v>
      </c>
      <c r="N4314" s="400"/>
    </row>
    <row r="4315" spans="1:14" s="360" customFormat="1" hidden="1" outlineLevel="2" x14ac:dyDescent="0.35">
      <c r="A4315" s="403" t="s">
        <v>168</v>
      </c>
      <c r="B4315" s="397">
        <v>44176</v>
      </c>
      <c r="C4315" s="398" t="s">
        <v>7225</v>
      </c>
      <c r="D4315" s="399" t="s">
        <v>7214</v>
      </c>
      <c r="E4315" s="399" t="s">
        <v>7204</v>
      </c>
      <c r="F4315" s="400">
        <v>787500</v>
      </c>
      <c r="G4315" s="401" t="s">
        <v>3800</v>
      </c>
      <c r="H4315" s="402">
        <v>302.36580347301032</v>
      </c>
      <c r="I4315" s="402"/>
      <c r="J4315" s="400"/>
      <c r="K4315" s="400"/>
      <c r="L4315" s="400"/>
      <c r="M4315" s="400">
        <v>302.36580347301032</v>
      </c>
      <c r="N4315" s="400"/>
    </row>
    <row r="4316" spans="1:14" s="360" customFormat="1" hidden="1" outlineLevel="2" x14ac:dyDescent="0.35">
      <c r="A4316" s="403" t="s">
        <v>168</v>
      </c>
      <c r="B4316" s="397">
        <v>44176</v>
      </c>
      <c r="C4316" s="398" t="s">
        <v>7225</v>
      </c>
      <c r="D4316" s="399" t="s">
        <v>4431</v>
      </c>
      <c r="E4316" s="399" t="s">
        <v>2812</v>
      </c>
      <c r="F4316" s="400">
        <v>691900</v>
      </c>
      <c r="G4316" s="401" t="s">
        <v>3800</v>
      </c>
      <c r="H4316" s="402">
        <v>265.65955482282646</v>
      </c>
      <c r="I4316" s="402"/>
      <c r="J4316" s="400"/>
      <c r="K4316" s="400"/>
      <c r="L4316" s="400"/>
      <c r="M4316" s="400">
        <v>265.65955482282646</v>
      </c>
      <c r="N4316" s="400"/>
    </row>
    <row r="4317" spans="1:14" s="360" customFormat="1" hidden="1" outlineLevel="2" x14ac:dyDescent="0.35">
      <c r="A4317" s="403" t="s">
        <v>168</v>
      </c>
      <c r="B4317" s="397">
        <v>44195</v>
      </c>
      <c r="C4317" s="398" t="s">
        <v>7226</v>
      </c>
      <c r="D4317" s="399" t="s">
        <v>7227</v>
      </c>
      <c r="E4317" s="399" t="s">
        <v>4848</v>
      </c>
      <c r="F4317" s="400">
        <v>5400000</v>
      </c>
      <c r="G4317" s="401" t="s">
        <v>3800</v>
      </c>
      <c r="H4317" s="402">
        <v>2073.3655095292138</v>
      </c>
      <c r="I4317" s="402"/>
      <c r="J4317" s="400"/>
      <c r="K4317" s="400"/>
      <c r="L4317" s="400"/>
      <c r="M4317" s="400">
        <v>2073.3655095292138</v>
      </c>
      <c r="N4317" s="400"/>
    </row>
    <row r="4318" spans="1:14" s="360" customFormat="1" hidden="1" outlineLevel="2" x14ac:dyDescent="0.35">
      <c r="A4318" s="403" t="s">
        <v>168</v>
      </c>
      <c r="B4318" s="397">
        <v>44195</v>
      </c>
      <c r="C4318" s="398" t="s">
        <v>7226</v>
      </c>
      <c r="D4318" s="399" t="s">
        <v>6111</v>
      </c>
      <c r="E4318" s="399" t="s">
        <v>4848</v>
      </c>
      <c r="F4318" s="400">
        <v>375000</v>
      </c>
      <c r="G4318" s="401" t="s">
        <v>3800</v>
      </c>
      <c r="H4318" s="402">
        <v>143.98371593952874</v>
      </c>
      <c r="I4318" s="402"/>
      <c r="J4318" s="400"/>
      <c r="K4318" s="400"/>
      <c r="L4318" s="400"/>
      <c r="M4318" s="400">
        <v>143.98371593952874</v>
      </c>
      <c r="N4318" s="400"/>
    </row>
    <row r="4319" spans="1:14" s="360" customFormat="1" hidden="1" outlineLevel="2" x14ac:dyDescent="0.35">
      <c r="A4319" s="403" t="s">
        <v>168</v>
      </c>
      <c r="B4319" s="397">
        <v>44195</v>
      </c>
      <c r="C4319" s="398" t="s">
        <v>7226</v>
      </c>
      <c r="D4319" s="399" t="s">
        <v>4891</v>
      </c>
      <c r="E4319" s="399" t="s">
        <v>4811</v>
      </c>
      <c r="F4319" s="400">
        <v>70500</v>
      </c>
      <c r="G4319" s="401" t="s">
        <v>3800</v>
      </c>
      <c r="H4319" s="402">
        <v>27.068938596631401</v>
      </c>
      <c r="I4319" s="402"/>
      <c r="J4319" s="400"/>
      <c r="K4319" s="400"/>
      <c r="L4319" s="400"/>
      <c r="M4319" s="400">
        <v>27.068938596631401</v>
      </c>
      <c r="N4319" s="400"/>
    </row>
    <row r="4320" spans="1:14" s="360" customFormat="1" outlineLevel="1" collapsed="1" x14ac:dyDescent="0.35">
      <c r="A4320" s="396" t="s">
        <v>2323</v>
      </c>
      <c r="B4320" s="397"/>
      <c r="C4320" s="398"/>
      <c r="D4320" s="399"/>
      <c r="E4320" s="399"/>
      <c r="F4320" s="400"/>
      <c r="G4320" s="401"/>
      <c r="H4320" s="402">
        <f t="shared" ref="H4320:N4320" si="223">SUBTOTAL(9,H4310:H4319)</f>
        <v>6890.7534796051741</v>
      </c>
      <c r="I4320" s="402"/>
      <c r="J4320" s="400">
        <f t="shared" si="223"/>
        <v>0</v>
      </c>
      <c r="K4320" s="400">
        <f t="shared" si="223"/>
        <v>0</v>
      </c>
      <c r="L4320" s="400">
        <f t="shared" si="223"/>
        <v>0</v>
      </c>
      <c r="M4320" s="400">
        <f t="shared" si="223"/>
        <v>6890.7534796051741</v>
      </c>
      <c r="N4320" s="400">
        <f t="shared" si="223"/>
        <v>0</v>
      </c>
    </row>
    <row r="4321" spans="1:14" s="360" customFormat="1" ht="30" hidden="1" outlineLevel="2" x14ac:dyDescent="0.35">
      <c r="A4321" s="403" t="s">
        <v>3913</v>
      </c>
      <c r="B4321" s="397">
        <v>44200</v>
      </c>
      <c r="C4321" s="398" t="s">
        <v>6465</v>
      </c>
      <c r="D4321" s="399" t="s">
        <v>7228</v>
      </c>
      <c r="E4321" s="399" t="s">
        <v>4848</v>
      </c>
      <c r="F4321" s="400">
        <v>3600000</v>
      </c>
      <c r="G4321" s="401" t="s">
        <v>3800</v>
      </c>
      <c r="H4321" s="402">
        <v>1339.5327637438729</v>
      </c>
      <c r="I4321" s="402"/>
      <c r="J4321" s="400"/>
      <c r="K4321" s="400"/>
      <c r="L4321" s="400"/>
      <c r="M4321" s="400">
        <v>1339.5327637438729</v>
      </c>
      <c r="N4321" s="400"/>
    </row>
    <row r="4322" spans="1:14" s="360" customFormat="1" hidden="1" outlineLevel="2" x14ac:dyDescent="0.35">
      <c r="A4322" s="403" t="s">
        <v>3913</v>
      </c>
      <c r="B4322" s="397">
        <v>44200</v>
      </c>
      <c r="C4322" s="398" t="s">
        <v>6465</v>
      </c>
      <c r="D4322" s="399" t="s">
        <v>4853</v>
      </c>
      <c r="E4322" s="399" t="s">
        <v>4848</v>
      </c>
      <c r="F4322" s="400">
        <v>900000</v>
      </c>
      <c r="G4322" s="401" t="s">
        <v>3800</v>
      </c>
      <c r="H4322" s="402">
        <v>334.88319093596823</v>
      </c>
      <c r="I4322" s="402"/>
      <c r="J4322" s="400"/>
      <c r="K4322" s="400"/>
      <c r="L4322" s="400"/>
      <c r="M4322" s="400">
        <v>334.88319093596823</v>
      </c>
      <c r="N4322" s="400"/>
    </row>
    <row r="4323" spans="1:14" s="360" customFormat="1" hidden="1" outlineLevel="2" collapsed="1" x14ac:dyDescent="0.35">
      <c r="A4323" s="403" t="s">
        <v>3913</v>
      </c>
      <c r="B4323" s="397">
        <v>44200</v>
      </c>
      <c r="C4323" s="398" t="s">
        <v>6465</v>
      </c>
      <c r="D4323" s="399" t="s">
        <v>7229</v>
      </c>
      <c r="E4323" s="399" t="s">
        <v>7230</v>
      </c>
      <c r="F4323" s="400">
        <v>240000</v>
      </c>
      <c r="G4323" s="401" t="s">
        <v>3800</v>
      </c>
      <c r="H4323" s="402">
        <v>89.302184249591534</v>
      </c>
      <c r="I4323" s="402"/>
      <c r="J4323" s="400"/>
      <c r="K4323" s="400"/>
      <c r="L4323" s="400"/>
      <c r="M4323" s="400">
        <v>89.302184249591534</v>
      </c>
      <c r="N4323" s="400"/>
    </row>
    <row r="4324" spans="1:14" s="360" customFormat="1" hidden="1" outlineLevel="2" x14ac:dyDescent="0.35">
      <c r="A4324" s="403" t="s">
        <v>3913</v>
      </c>
      <c r="B4324" s="397">
        <v>44200</v>
      </c>
      <c r="C4324" s="398" t="s">
        <v>6465</v>
      </c>
      <c r="D4324" s="399" t="s">
        <v>7231</v>
      </c>
      <c r="E4324" s="399" t="s">
        <v>4203</v>
      </c>
      <c r="F4324" s="400">
        <v>350000</v>
      </c>
      <c r="G4324" s="401" t="s">
        <v>3800</v>
      </c>
      <c r="H4324" s="402">
        <v>130.23235203065431</v>
      </c>
      <c r="I4324" s="402"/>
      <c r="J4324" s="400"/>
      <c r="K4324" s="400"/>
      <c r="L4324" s="400"/>
      <c r="M4324" s="400">
        <v>130.23235203065431</v>
      </c>
      <c r="N4324" s="400"/>
    </row>
    <row r="4325" spans="1:14" s="360" customFormat="1" hidden="1" outlineLevel="2" collapsed="1" x14ac:dyDescent="0.35">
      <c r="A4325" s="403" t="s">
        <v>3913</v>
      </c>
      <c r="B4325" s="397">
        <v>44200</v>
      </c>
      <c r="C4325" s="398" t="s">
        <v>6465</v>
      </c>
      <c r="D4325" s="399" t="s">
        <v>7232</v>
      </c>
      <c r="E4325" s="399" t="s">
        <v>7233</v>
      </c>
      <c r="F4325" s="400">
        <v>300000</v>
      </c>
      <c r="G4325" s="401" t="s">
        <v>3800</v>
      </c>
      <c r="H4325" s="402">
        <v>111.62773031198941</v>
      </c>
      <c r="I4325" s="402"/>
      <c r="J4325" s="400"/>
      <c r="K4325" s="400"/>
      <c r="L4325" s="400"/>
      <c r="M4325" s="400">
        <v>111.62773031198941</v>
      </c>
      <c r="N4325" s="400"/>
    </row>
    <row r="4326" spans="1:14" s="360" customFormat="1" hidden="1" outlineLevel="2" x14ac:dyDescent="0.35">
      <c r="A4326" s="403" t="s">
        <v>3913</v>
      </c>
      <c r="B4326" s="397">
        <v>44200</v>
      </c>
      <c r="C4326" s="398" t="s">
        <v>6465</v>
      </c>
      <c r="D4326" s="399" t="s">
        <v>7234</v>
      </c>
      <c r="E4326" s="399" t="s">
        <v>7230</v>
      </c>
      <c r="F4326" s="400">
        <v>600000</v>
      </c>
      <c r="G4326" s="401" t="s">
        <v>3800</v>
      </c>
      <c r="H4326" s="402">
        <v>223.25546062397882</v>
      </c>
      <c r="I4326" s="402"/>
      <c r="J4326" s="400"/>
      <c r="K4326" s="400"/>
      <c r="L4326" s="400"/>
      <c r="M4326" s="400">
        <v>223.25546062397882</v>
      </c>
      <c r="N4326" s="400"/>
    </row>
    <row r="4327" spans="1:14" s="360" customFormat="1" hidden="1" outlineLevel="2" x14ac:dyDescent="0.35">
      <c r="A4327" s="403" t="s">
        <v>3913</v>
      </c>
      <c r="B4327" s="397">
        <v>44242</v>
      </c>
      <c r="C4327" s="398" t="s">
        <v>6465</v>
      </c>
      <c r="D4327" s="399" t="s">
        <v>7235</v>
      </c>
      <c r="E4327" s="399" t="s">
        <v>7236</v>
      </c>
      <c r="F4327" s="400">
        <v>690000</v>
      </c>
      <c r="G4327" s="401" t="s">
        <v>3800</v>
      </c>
      <c r="H4327" s="402">
        <v>256.74377971757565</v>
      </c>
      <c r="I4327" s="402"/>
      <c r="J4327" s="400"/>
      <c r="K4327" s="400"/>
      <c r="L4327" s="400"/>
      <c r="M4327" s="400">
        <v>256.74377971757565</v>
      </c>
      <c r="N4327" s="400"/>
    </row>
    <row r="4328" spans="1:14" s="360" customFormat="1" outlineLevel="1" collapsed="1" x14ac:dyDescent="0.35">
      <c r="A4328" s="396" t="s">
        <v>7237</v>
      </c>
      <c r="B4328" s="397"/>
      <c r="C4328" s="398"/>
      <c r="D4328" s="399"/>
      <c r="E4328" s="399"/>
      <c r="F4328" s="400"/>
      <c r="G4328" s="401"/>
      <c r="H4328" s="402">
        <f t="shared" ref="H4328:N4328" si="224">SUBTOTAL(9,H4321:H4327)</f>
        <v>2485.5774616136309</v>
      </c>
      <c r="I4328" s="402"/>
      <c r="J4328" s="400">
        <f t="shared" si="224"/>
        <v>0</v>
      </c>
      <c r="K4328" s="400">
        <f t="shared" si="224"/>
        <v>0</v>
      </c>
      <c r="L4328" s="400">
        <f t="shared" si="224"/>
        <v>0</v>
      </c>
      <c r="M4328" s="400">
        <f t="shared" si="224"/>
        <v>2485.5774616136309</v>
      </c>
      <c r="N4328" s="400">
        <f t="shared" si="224"/>
        <v>0</v>
      </c>
    </row>
    <row r="4329" spans="1:14" s="360" customFormat="1" hidden="1" outlineLevel="2" x14ac:dyDescent="0.35">
      <c r="A4329" s="403" t="s">
        <v>3900</v>
      </c>
      <c r="B4329" s="397">
        <v>44181</v>
      </c>
      <c r="C4329" s="398" t="s">
        <v>7238</v>
      </c>
      <c r="D4329" s="399" t="s">
        <v>7239</v>
      </c>
      <c r="E4329" s="399" t="s">
        <v>7240</v>
      </c>
      <c r="F4329" s="400">
        <v>1800000</v>
      </c>
      <c r="G4329" s="401" t="s">
        <v>3800</v>
      </c>
      <c r="H4329" s="402">
        <v>691.12183650973793</v>
      </c>
      <c r="I4329" s="402"/>
      <c r="J4329" s="400"/>
      <c r="K4329" s="400"/>
      <c r="L4329" s="400">
        <v>691.12183650973793</v>
      </c>
      <c r="M4329" s="400"/>
      <c r="N4329" s="400"/>
    </row>
    <row r="4330" spans="1:14" s="360" customFormat="1" hidden="1" outlineLevel="2" x14ac:dyDescent="0.35">
      <c r="A4330" s="403" t="s">
        <v>3900</v>
      </c>
      <c r="B4330" s="397">
        <v>44181</v>
      </c>
      <c r="C4330" s="398">
        <v>200852</v>
      </c>
      <c r="D4330" s="399" t="s">
        <v>7239</v>
      </c>
      <c r="E4330" s="399" t="s">
        <v>7240</v>
      </c>
      <c r="F4330" s="400">
        <v>1500000</v>
      </c>
      <c r="G4330" s="401" t="s">
        <v>3800</v>
      </c>
      <c r="H4330" s="402">
        <v>575.93486375811494</v>
      </c>
      <c r="I4330" s="402"/>
      <c r="J4330" s="400"/>
      <c r="K4330" s="400"/>
      <c r="L4330" s="400">
        <v>575.93486375811494</v>
      </c>
      <c r="M4330" s="400"/>
      <c r="N4330" s="400"/>
    </row>
    <row r="4331" spans="1:14" s="360" customFormat="1" hidden="1" outlineLevel="2" x14ac:dyDescent="0.35">
      <c r="A4331" s="403" t="s">
        <v>3900</v>
      </c>
      <c r="B4331" s="397">
        <v>44275</v>
      </c>
      <c r="C4331" s="398" t="s">
        <v>7241</v>
      </c>
      <c r="D4331" s="399" t="s">
        <v>7242</v>
      </c>
      <c r="E4331" s="399" t="s">
        <v>4110</v>
      </c>
      <c r="F4331" s="400">
        <v>1800000</v>
      </c>
      <c r="G4331" s="401" t="s">
        <v>3800</v>
      </c>
      <c r="H4331" s="402">
        <v>669.76638187193646</v>
      </c>
      <c r="I4331" s="402"/>
      <c r="J4331" s="400"/>
      <c r="K4331" s="400"/>
      <c r="L4331" s="400">
        <v>669.76638187193646</v>
      </c>
      <c r="M4331" s="400"/>
      <c r="N4331" s="400"/>
    </row>
    <row r="4332" spans="1:14" s="360" customFormat="1" hidden="1" outlineLevel="2" x14ac:dyDescent="0.35">
      <c r="A4332" s="403" t="s">
        <v>3900</v>
      </c>
      <c r="B4332" s="397">
        <v>44275</v>
      </c>
      <c r="C4332" s="398" t="s">
        <v>7241</v>
      </c>
      <c r="D4332" s="399" t="s">
        <v>7243</v>
      </c>
      <c r="E4332" s="399" t="s">
        <v>7244</v>
      </c>
      <c r="F4332" s="400">
        <v>331240</v>
      </c>
      <c r="G4332" s="401" t="s">
        <v>3800</v>
      </c>
      <c r="H4332" s="402">
        <v>123.25189796181125</v>
      </c>
      <c r="I4332" s="402"/>
      <c r="J4332" s="400"/>
      <c r="K4332" s="400"/>
      <c r="L4332" s="400">
        <v>123.25189796181125</v>
      </c>
      <c r="M4332" s="400"/>
      <c r="N4332" s="400"/>
    </row>
    <row r="4333" spans="1:14" s="360" customFormat="1" hidden="1" outlineLevel="2" x14ac:dyDescent="0.35">
      <c r="A4333" s="403" t="s">
        <v>3900</v>
      </c>
      <c r="B4333" s="397">
        <v>44275</v>
      </c>
      <c r="C4333" s="398" t="s">
        <v>7241</v>
      </c>
      <c r="D4333" s="399" t="s">
        <v>7245</v>
      </c>
      <c r="E4333" s="399" t="s">
        <v>7246</v>
      </c>
      <c r="F4333" s="400">
        <v>720000</v>
      </c>
      <c r="G4333" s="401" t="s">
        <v>3800</v>
      </c>
      <c r="H4333" s="402">
        <v>267.90655274877457</v>
      </c>
      <c r="I4333" s="402"/>
      <c r="J4333" s="400"/>
      <c r="K4333" s="400"/>
      <c r="L4333" s="400">
        <v>267.90655274877457</v>
      </c>
      <c r="M4333" s="400"/>
      <c r="N4333" s="400"/>
    </row>
    <row r="4334" spans="1:14" s="360" customFormat="1" hidden="1" outlineLevel="2" x14ac:dyDescent="0.35">
      <c r="A4334" s="403" t="s">
        <v>3900</v>
      </c>
      <c r="B4334" s="397">
        <v>44275</v>
      </c>
      <c r="C4334" s="398" t="s">
        <v>7241</v>
      </c>
      <c r="D4334" s="399" t="s">
        <v>7247</v>
      </c>
      <c r="E4334" s="399" t="s">
        <v>7248</v>
      </c>
      <c r="F4334" s="400">
        <v>150000</v>
      </c>
      <c r="G4334" s="401" t="s">
        <v>3800</v>
      </c>
      <c r="H4334" s="402">
        <v>55.813865155994705</v>
      </c>
      <c r="I4334" s="402"/>
      <c r="J4334" s="400"/>
      <c r="K4334" s="400"/>
      <c r="L4334" s="400">
        <v>55.813865155994705</v>
      </c>
      <c r="M4334" s="400"/>
      <c r="N4334" s="400"/>
    </row>
    <row r="4335" spans="1:14" s="360" customFormat="1" hidden="1" outlineLevel="2" collapsed="1" x14ac:dyDescent="0.35">
      <c r="A4335" s="403" t="s">
        <v>3900</v>
      </c>
      <c r="B4335" s="397">
        <v>44361</v>
      </c>
      <c r="C4335" s="398" t="s">
        <v>7249</v>
      </c>
      <c r="D4335" s="399" t="s">
        <v>7250</v>
      </c>
      <c r="E4335" s="399" t="s">
        <v>7251</v>
      </c>
      <c r="F4335" s="400">
        <v>100000</v>
      </c>
      <c r="G4335" s="401" t="s">
        <v>3800</v>
      </c>
      <c r="H4335" s="402">
        <v>37.209243437329803</v>
      </c>
      <c r="I4335" s="402"/>
      <c r="J4335" s="400"/>
      <c r="K4335" s="400"/>
      <c r="L4335" s="400">
        <v>37.209243437329803</v>
      </c>
      <c r="M4335" s="400"/>
      <c r="N4335" s="400"/>
    </row>
    <row r="4336" spans="1:14" s="360" customFormat="1" hidden="1" outlineLevel="2" x14ac:dyDescent="0.35">
      <c r="A4336" s="403" t="s">
        <v>3900</v>
      </c>
      <c r="B4336" s="397">
        <v>44362</v>
      </c>
      <c r="C4336" s="398" t="s">
        <v>7249</v>
      </c>
      <c r="D4336" s="399" t="s">
        <v>7252</v>
      </c>
      <c r="E4336" s="399" t="s">
        <v>7251</v>
      </c>
      <c r="F4336" s="400">
        <v>100000</v>
      </c>
      <c r="G4336" s="401" t="s">
        <v>3800</v>
      </c>
      <c r="H4336" s="402">
        <v>37.209243437329803</v>
      </c>
      <c r="I4336" s="402"/>
      <c r="J4336" s="400"/>
      <c r="K4336" s="400"/>
      <c r="L4336" s="400">
        <v>37.209243437329803</v>
      </c>
      <c r="M4336" s="400"/>
      <c r="N4336" s="400"/>
    </row>
    <row r="4337" spans="1:14" s="360" customFormat="1" hidden="1" outlineLevel="2" x14ac:dyDescent="0.35">
      <c r="A4337" s="403" t="s">
        <v>3900</v>
      </c>
      <c r="B4337" s="397">
        <v>44367</v>
      </c>
      <c r="C4337" s="398" t="s">
        <v>7249</v>
      </c>
      <c r="D4337" s="399" t="s">
        <v>7253</v>
      </c>
      <c r="E4337" s="399" t="s">
        <v>7251</v>
      </c>
      <c r="F4337" s="400">
        <v>100000</v>
      </c>
      <c r="G4337" s="401" t="s">
        <v>3800</v>
      </c>
      <c r="H4337" s="402">
        <v>37.209243437329803</v>
      </c>
      <c r="I4337" s="402"/>
      <c r="J4337" s="400"/>
      <c r="K4337" s="400"/>
      <c r="L4337" s="400">
        <v>37.209243437329803</v>
      </c>
      <c r="M4337" s="400"/>
      <c r="N4337" s="400"/>
    </row>
    <row r="4338" spans="1:14" s="360" customFormat="1" ht="30" hidden="1" outlineLevel="2" x14ac:dyDescent="0.35">
      <c r="A4338" s="403" t="s">
        <v>3900</v>
      </c>
      <c r="B4338" s="397">
        <v>44368</v>
      </c>
      <c r="C4338" s="398" t="s">
        <v>7249</v>
      </c>
      <c r="D4338" s="399" t="s">
        <v>7254</v>
      </c>
      <c r="E4338" s="399" t="s">
        <v>7251</v>
      </c>
      <c r="F4338" s="400">
        <v>100000</v>
      </c>
      <c r="G4338" s="401" t="s">
        <v>3800</v>
      </c>
      <c r="H4338" s="402">
        <v>37.209243437329803</v>
      </c>
      <c r="I4338" s="402"/>
      <c r="J4338" s="400"/>
      <c r="K4338" s="400"/>
      <c r="L4338" s="400">
        <v>37.209243437329803</v>
      </c>
      <c r="M4338" s="400"/>
      <c r="N4338" s="400"/>
    </row>
    <row r="4339" spans="1:14" s="360" customFormat="1" ht="30" hidden="1" outlineLevel="2" x14ac:dyDescent="0.35">
      <c r="A4339" s="403" t="s">
        <v>3900</v>
      </c>
      <c r="B4339" s="397">
        <v>44369</v>
      </c>
      <c r="C4339" s="398" t="s">
        <v>7249</v>
      </c>
      <c r="D4339" s="399" t="s">
        <v>7254</v>
      </c>
      <c r="E4339" s="399" t="s">
        <v>7251</v>
      </c>
      <c r="F4339" s="400">
        <v>100000</v>
      </c>
      <c r="G4339" s="401" t="s">
        <v>3800</v>
      </c>
      <c r="H4339" s="402">
        <v>37.209243437329803</v>
      </c>
      <c r="I4339" s="402"/>
      <c r="J4339" s="400"/>
      <c r="K4339" s="400"/>
      <c r="L4339" s="400">
        <v>37.209243437329803</v>
      </c>
      <c r="M4339" s="400"/>
      <c r="N4339" s="400"/>
    </row>
    <row r="4340" spans="1:14" s="360" customFormat="1" ht="30" hidden="1" outlineLevel="2" x14ac:dyDescent="0.35">
      <c r="A4340" s="403" t="s">
        <v>3900</v>
      </c>
      <c r="B4340" s="397">
        <v>44370</v>
      </c>
      <c r="C4340" s="398" t="s">
        <v>7249</v>
      </c>
      <c r="D4340" s="399" t="s">
        <v>7254</v>
      </c>
      <c r="E4340" s="399" t="s">
        <v>7251</v>
      </c>
      <c r="F4340" s="400">
        <v>100000</v>
      </c>
      <c r="G4340" s="401" t="s">
        <v>3800</v>
      </c>
      <c r="H4340" s="402">
        <v>37.209243437329803</v>
      </c>
      <c r="I4340" s="402"/>
      <c r="J4340" s="400"/>
      <c r="K4340" s="400"/>
      <c r="L4340" s="400">
        <v>37.209243437329803</v>
      </c>
      <c r="M4340" s="400"/>
      <c r="N4340" s="400"/>
    </row>
    <row r="4341" spans="1:14" s="360" customFormat="1" ht="30" hidden="1" outlineLevel="2" x14ac:dyDescent="0.35">
      <c r="A4341" s="403" t="s">
        <v>3900</v>
      </c>
      <c r="B4341" s="397">
        <v>44371</v>
      </c>
      <c r="C4341" s="398" t="s">
        <v>7249</v>
      </c>
      <c r="D4341" s="399" t="s">
        <v>7254</v>
      </c>
      <c r="E4341" s="399" t="s">
        <v>7251</v>
      </c>
      <c r="F4341" s="400">
        <v>100000</v>
      </c>
      <c r="G4341" s="401" t="s">
        <v>3800</v>
      </c>
      <c r="H4341" s="402">
        <v>37.209243437329803</v>
      </c>
      <c r="I4341" s="402"/>
      <c r="J4341" s="400"/>
      <c r="K4341" s="400"/>
      <c r="L4341" s="400">
        <v>37.209243437329803</v>
      </c>
      <c r="M4341" s="400"/>
      <c r="N4341" s="400"/>
    </row>
    <row r="4342" spans="1:14" s="360" customFormat="1" hidden="1" outlineLevel="2" x14ac:dyDescent="0.35">
      <c r="A4342" s="403" t="s">
        <v>3900</v>
      </c>
      <c r="B4342" s="397">
        <v>44354</v>
      </c>
      <c r="C4342" s="398" t="s">
        <v>7249</v>
      </c>
      <c r="D4342" s="399" t="s">
        <v>7255</v>
      </c>
      <c r="E4342" s="399" t="s">
        <v>7251</v>
      </c>
      <c r="F4342" s="400">
        <v>100000</v>
      </c>
      <c r="G4342" s="401" t="s">
        <v>3800</v>
      </c>
      <c r="H4342" s="402">
        <v>37.209243437329803</v>
      </c>
      <c r="I4342" s="402"/>
      <c r="J4342" s="400"/>
      <c r="K4342" s="400"/>
      <c r="L4342" s="400">
        <v>37.209243437329803</v>
      </c>
      <c r="M4342" s="400"/>
      <c r="N4342" s="400"/>
    </row>
    <row r="4343" spans="1:14" s="360" customFormat="1" hidden="1" outlineLevel="2" collapsed="1" x14ac:dyDescent="0.35">
      <c r="A4343" s="403" t="s">
        <v>3900</v>
      </c>
      <c r="B4343" s="397">
        <v>44355</v>
      </c>
      <c r="C4343" s="398" t="s">
        <v>7249</v>
      </c>
      <c r="D4343" s="399" t="s">
        <v>7255</v>
      </c>
      <c r="E4343" s="399" t="s">
        <v>7251</v>
      </c>
      <c r="F4343" s="400">
        <v>100000</v>
      </c>
      <c r="G4343" s="401" t="s">
        <v>3800</v>
      </c>
      <c r="H4343" s="402">
        <v>37.209243437329803</v>
      </c>
      <c r="I4343" s="402"/>
      <c r="J4343" s="400"/>
      <c r="K4343" s="400"/>
      <c r="L4343" s="400">
        <v>37.209243437329803</v>
      </c>
      <c r="M4343" s="400"/>
      <c r="N4343" s="400"/>
    </row>
    <row r="4344" spans="1:14" s="360" customFormat="1" hidden="1" outlineLevel="2" x14ac:dyDescent="0.35">
      <c r="A4344" s="403" t="s">
        <v>3900</v>
      </c>
      <c r="B4344" s="397">
        <v>44356</v>
      </c>
      <c r="C4344" s="398" t="s">
        <v>7249</v>
      </c>
      <c r="D4344" s="399" t="s">
        <v>7255</v>
      </c>
      <c r="E4344" s="399" t="s">
        <v>7251</v>
      </c>
      <c r="F4344" s="400">
        <v>100000</v>
      </c>
      <c r="G4344" s="401" t="s">
        <v>3800</v>
      </c>
      <c r="H4344" s="402">
        <v>37.209243437329803</v>
      </c>
      <c r="I4344" s="402"/>
      <c r="J4344" s="400"/>
      <c r="K4344" s="400"/>
      <c r="L4344" s="400">
        <v>37.209243437329803</v>
      </c>
      <c r="M4344" s="400"/>
      <c r="N4344" s="400"/>
    </row>
    <row r="4345" spans="1:14" s="360" customFormat="1" hidden="1" outlineLevel="2" x14ac:dyDescent="0.35">
      <c r="A4345" s="403" t="s">
        <v>3900</v>
      </c>
      <c r="B4345" s="397">
        <v>44436</v>
      </c>
      <c r="C4345" s="398" t="s">
        <v>7249</v>
      </c>
      <c r="D4345" s="399" t="s">
        <v>4785</v>
      </c>
      <c r="E4345" s="399" t="s">
        <v>7256</v>
      </c>
      <c r="F4345" s="400">
        <v>47000</v>
      </c>
      <c r="G4345" s="401" t="s">
        <v>3800</v>
      </c>
      <c r="H4345" s="402">
        <v>17.488344415545008</v>
      </c>
      <c r="I4345" s="402"/>
      <c r="J4345" s="400"/>
      <c r="K4345" s="400"/>
      <c r="L4345" s="400">
        <v>17.488344415545008</v>
      </c>
      <c r="M4345" s="400"/>
      <c r="N4345" s="400"/>
    </row>
    <row r="4346" spans="1:14" s="360" customFormat="1" hidden="1" outlineLevel="2" collapsed="1" x14ac:dyDescent="0.35">
      <c r="A4346" s="403" t="s">
        <v>3900</v>
      </c>
      <c r="B4346" s="397">
        <v>44359</v>
      </c>
      <c r="C4346" s="398" t="s">
        <v>7249</v>
      </c>
      <c r="D4346" s="399" t="s">
        <v>4785</v>
      </c>
      <c r="E4346" s="399" t="s">
        <v>7257</v>
      </c>
      <c r="F4346" s="400">
        <v>100000</v>
      </c>
      <c r="G4346" s="401" t="s">
        <v>3800</v>
      </c>
      <c r="H4346" s="402">
        <v>37.209243437329803</v>
      </c>
      <c r="I4346" s="402"/>
      <c r="J4346" s="400"/>
      <c r="K4346" s="400"/>
      <c r="L4346" s="400">
        <v>37.209243437329803</v>
      </c>
      <c r="M4346" s="400"/>
      <c r="N4346" s="400"/>
    </row>
    <row r="4347" spans="1:14" s="360" customFormat="1" hidden="1" outlineLevel="2" x14ac:dyDescent="0.35">
      <c r="A4347" s="403" t="s">
        <v>3900</v>
      </c>
      <c r="B4347" s="397">
        <v>44355</v>
      </c>
      <c r="C4347" s="398" t="s">
        <v>7249</v>
      </c>
      <c r="D4347" s="399" t="s">
        <v>7258</v>
      </c>
      <c r="E4347" s="399" t="s">
        <v>7259</v>
      </c>
      <c r="F4347" s="400">
        <v>7000</v>
      </c>
      <c r="G4347" s="401" t="s">
        <v>3800</v>
      </c>
      <c r="H4347" s="402">
        <v>2.6046470406130862</v>
      </c>
      <c r="I4347" s="402"/>
      <c r="J4347" s="400"/>
      <c r="K4347" s="400"/>
      <c r="L4347" s="400">
        <v>2.6046470406130862</v>
      </c>
      <c r="M4347" s="400"/>
      <c r="N4347" s="400"/>
    </row>
    <row r="4348" spans="1:14" s="360" customFormat="1" hidden="1" outlineLevel="2" x14ac:dyDescent="0.35">
      <c r="A4348" s="403" t="s">
        <v>3900</v>
      </c>
      <c r="B4348" s="397">
        <v>44356</v>
      </c>
      <c r="C4348" s="398" t="s">
        <v>7249</v>
      </c>
      <c r="D4348" s="399" t="s">
        <v>4785</v>
      </c>
      <c r="E4348" s="399" t="s">
        <v>7260</v>
      </c>
      <c r="F4348" s="400">
        <v>200000</v>
      </c>
      <c r="G4348" s="401" t="s">
        <v>3800</v>
      </c>
      <c r="H4348" s="402">
        <v>74.418486874659607</v>
      </c>
      <c r="I4348" s="402"/>
      <c r="J4348" s="400"/>
      <c r="K4348" s="400"/>
      <c r="L4348" s="400">
        <v>74.418486874659607</v>
      </c>
      <c r="M4348" s="400"/>
      <c r="N4348" s="400"/>
    </row>
    <row r="4349" spans="1:14" s="360" customFormat="1" hidden="1" outlineLevel="2" x14ac:dyDescent="0.35">
      <c r="A4349" s="403" t="s">
        <v>3900</v>
      </c>
      <c r="B4349" s="397">
        <v>44364</v>
      </c>
      <c r="C4349" s="398" t="s">
        <v>7249</v>
      </c>
      <c r="D4349" s="399" t="s">
        <v>4785</v>
      </c>
      <c r="E4349" s="399" t="s">
        <v>7260</v>
      </c>
      <c r="F4349" s="400">
        <v>100000</v>
      </c>
      <c r="G4349" s="401" t="s">
        <v>3800</v>
      </c>
      <c r="H4349" s="402">
        <v>37.209243437329803</v>
      </c>
      <c r="I4349" s="402"/>
      <c r="J4349" s="400"/>
      <c r="K4349" s="400"/>
      <c r="L4349" s="400">
        <v>37.209243437329803</v>
      </c>
      <c r="M4349" s="400"/>
      <c r="N4349" s="400"/>
    </row>
    <row r="4350" spans="1:14" s="360" customFormat="1" hidden="1" outlineLevel="2" x14ac:dyDescent="0.35">
      <c r="A4350" s="403" t="s">
        <v>3900</v>
      </c>
      <c r="B4350" s="397">
        <v>44369</v>
      </c>
      <c r="C4350" s="398" t="s">
        <v>7249</v>
      </c>
      <c r="D4350" s="399" t="s">
        <v>7258</v>
      </c>
      <c r="E4350" s="399" t="s">
        <v>7261</v>
      </c>
      <c r="F4350" s="400">
        <v>54500</v>
      </c>
      <c r="G4350" s="401" t="s">
        <v>3800</v>
      </c>
      <c r="H4350" s="402">
        <v>20.279037673344742</v>
      </c>
      <c r="I4350" s="402"/>
      <c r="J4350" s="400"/>
      <c r="K4350" s="400"/>
      <c r="L4350" s="400">
        <v>20.279037673344742</v>
      </c>
      <c r="M4350" s="400"/>
      <c r="N4350" s="400"/>
    </row>
    <row r="4351" spans="1:14" s="360" customFormat="1" hidden="1" outlineLevel="2" x14ac:dyDescent="0.35">
      <c r="A4351" s="403" t="s">
        <v>3900</v>
      </c>
      <c r="B4351" s="397">
        <v>44369</v>
      </c>
      <c r="C4351" s="398" t="s">
        <v>7249</v>
      </c>
      <c r="D4351" s="399" t="s">
        <v>7262</v>
      </c>
      <c r="E4351" s="399" t="s">
        <v>7263</v>
      </c>
      <c r="F4351" s="400">
        <v>45000</v>
      </c>
      <c r="G4351" s="401" t="s">
        <v>3800</v>
      </c>
      <c r="H4351" s="402">
        <v>16.744159546798411</v>
      </c>
      <c r="I4351" s="402"/>
      <c r="J4351" s="400"/>
      <c r="K4351" s="400"/>
      <c r="L4351" s="400">
        <v>16.744159546798411</v>
      </c>
      <c r="M4351" s="400"/>
      <c r="N4351" s="400"/>
    </row>
    <row r="4352" spans="1:14" s="360" customFormat="1" hidden="1" outlineLevel="2" x14ac:dyDescent="0.35">
      <c r="A4352" s="403" t="s">
        <v>3900</v>
      </c>
      <c r="B4352" s="397">
        <v>44371</v>
      </c>
      <c r="C4352" s="398" t="s">
        <v>7249</v>
      </c>
      <c r="D4352" s="399" t="s">
        <v>7264</v>
      </c>
      <c r="E4352" s="399" t="s">
        <v>7265</v>
      </c>
      <c r="F4352" s="400">
        <v>150000</v>
      </c>
      <c r="G4352" s="401" t="s">
        <v>3800</v>
      </c>
      <c r="H4352" s="402">
        <v>55.813865155994705</v>
      </c>
      <c r="I4352" s="402"/>
      <c r="J4352" s="400"/>
      <c r="K4352" s="400"/>
      <c r="L4352" s="400">
        <v>55.813865155994705</v>
      </c>
      <c r="M4352" s="400"/>
      <c r="N4352" s="400"/>
    </row>
    <row r="4353" spans="1:14" s="360" customFormat="1" hidden="1" outlineLevel="2" x14ac:dyDescent="0.35">
      <c r="A4353" s="403" t="s">
        <v>3900</v>
      </c>
      <c r="B4353" s="397">
        <v>44354</v>
      </c>
      <c r="C4353" s="398" t="s">
        <v>7249</v>
      </c>
      <c r="D4353" s="399" t="s">
        <v>7266</v>
      </c>
      <c r="E4353" s="399" t="s">
        <v>7267</v>
      </c>
      <c r="F4353" s="400">
        <v>202000</v>
      </c>
      <c r="G4353" s="401" t="s">
        <v>3800</v>
      </c>
      <c r="H4353" s="402">
        <v>75.162671743406207</v>
      </c>
      <c r="I4353" s="402"/>
      <c r="J4353" s="400"/>
      <c r="K4353" s="400"/>
      <c r="L4353" s="400">
        <v>75.162671743406207</v>
      </c>
      <c r="M4353" s="400"/>
      <c r="N4353" s="400"/>
    </row>
    <row r="4354" spans="1:14" s="360" customFormat="1" hidden="1" outlineLevel="2" x14ac:dyDescent="0.35">
      <c r="A4354" s="403" t="s">
        <v>3900</v>
      </c>
      <c r="B4354" s="397">
        <v>44354</v>
      </c>
      <c r="C4354" s="398" t="s">
        <v>7249</v>
      </c>
      <c r="D4354" s="399" t="s">
        <v>7268</v>
      </c>
      <c r="E4354" s="399" t="s">
        <v>7269</v>
      </c>
      <c r="F4354" s="400">
        <v>270000</v>
      </c>
      <c r="G4354" s="401" t="s">
        <v>3800</v>
      </c>
      <c r="H4354" s="402">
        <v>100.46495728079047</v>
      </c>
      <c r="I4354" s="402"/>
      <c r="J4354" s="400"/>
      <c r="K4354" s="400"/>
      <c r="L4354" s="400">
        <v>100.46495728079047</v>
      </c>
      <c r="M4354" s="400"/>
      <c r="N4354" s="400"/>
    </row>
    <row r="4355" spans="1:14" s="360" customFormat="1" hidden="1" outlineLevel="2" x14ac:dyDescent="0.35">
      <c r="A4355" s="403" t="s">
        <v>3900</v>
      </c>
      <c r="B4355" s="397">
        <v>44363</v>
      </c>
      <c r="C4355" s="398" t="s">
        <v>7249</v>
      </c>
      <c r="D4355" s="399" t="s">
        <v>7270</v>
      </c>
      <c r="E4355" s="399" t="s">
        <v>7251</v>
      </c>
      <c r="F4355" s="400">
        <v>100000</v>
      </c>
      <c r="G4355" s="401" t="s">
        <v>3800</v>
      </c>
      <c r="H4355" s="402">
        <v>37.209243437329803</v>
      </c>
      <c r="I4355" s="402"/>
      <c r="J4355" s="400"/>
      <c r="K4355" s="400"/>
      <c r="L4355" s="400">
        <v>37.209243437329803</v>
      </c>
      <c r="M4355" s="400"/>
      <c r="N4355" s="400"/>
    </row>
    <row r="4356" spans="1:14" s="360" customFormat="1" hidden="1" outlineLevel="2" x14ac:dyDescent="0.35">
      <c r="A4356" s="403" t="s">
        <v>3900</v>
      </c>
      <c r="B4356" s="397">
        <v>44364</v>
      </c>
      <c r="C4356" s="398" t="s">
        <v>7249</v>
      </c>
      <c r="D4356" s="399" t="s">
        <v>7271</v>
      </c>
      <c r="E4356" s="399" t="s">
        <v>7251</v>
      </c>
      <c r="F4356" s="400">
        <v>100000</v>
      </c>
      <c r="G4356" s="401" t="s">
        <v>3800</v>
      </c>
      <c r="H4356" s="402">
        <v>37.209243437329803</v>
      </c>
      <c r="I4356" s="402"/>
      <c r="J4356" s="400"/>
      <c r="K4356" s="400"/>
      <c r="L4356" s="400">
        <v>37.209243437329803</v>
      </c>
      <c r="M4356" s="400"/>
      <c r="N4356" s="400"/>
    </row>
    <row r="4357" spans="1:14" s="360" customFormat="1" hidden="1" outlineLevel="2" x14ac:dyDescent="0.35">
      <c r="A4357" s="403" t="s">
        <v>3900</v>
      </c>
      <c r="B4357" s="397">
        <v>44365</v>
      </c>
      <c r="C4357" s="398" t="s">
        <v>7249</v>
      </c>
      <c r="D4357" s="399" t="s">
        <v>7272</v>
      </c>
      <c r="E4357" s="399" t="s">
        <v>7251</v>
      </c>
      <c r="F4357" s="400">
        <v>100000</v>
      </c>
      <c r="G4357" s="401" t="s">
        <v>3800</v>
      </c>
      <c r="H4357" s="402">
        <v>37.209243437329803</v>
      </c>
      <c r="I4357" s="402"/>
      <c r="J4357" s="400"/>
      <c r="K4357" s="400"/>
      <c r="L4357" s="400">
        <v>37.209243437329803</v>
      </c>
      <c r="M4357" s="400"/>
      <c r="N4357" s="400"/>
    </row>
    <row r="4358" spans="1:14" s="360" customFormat="1" hidden="1" outlineLevel="2" x14ac:dyDescent="0.35">
      <c r="A4358" s="403" t="s">
        <v>3900</v>
      </c>
      <c r="B4358" s="397">
        <v>44366</v>
      </c>
      <c r="C4358" s="398" t="s">
        <v>7249</v>
      </c>
      <c r="D4358" s="399" t="s">
        <v>7273</v>
      </c>
      <c r="E4358" s="399" t="s">
        <v>7251</v>
      </c>
      <c r="F4358" s="400">
        <v>100000</v>
      </c>
      <c r="G4358" s="401" t="s">
        <v>3800</v>
      </c>
      <c r="H4358" s="402">
        <v>37.209243437329803</v>
      </c>
      <c r="I4358" s="402"/>
      <c r="J4358" s="400"/>
      <c r="K4358" s="400"/>
      <c r="L4358" s="400">
        <v>37.209243437329803</v>
      </c>
      <c r="M4358" s="400"/>
      <c r="N4358" s="400"/>
    </row>
    <row r="4359" spans="1:14" s="360" customFormat="1" hidden="1" outlineLevel="2" x14ac:dyDescent="0.35">
      <c r="A4359" s="403" t="s">
        <v>3900</v>
      </c>
      <c r="B4359" s="397">
        <v>44364</v>
      </c>
      <c r="C4359" s="398" t="s">
        <v>7249</v>
      </c>
      <c r="D4359" s="399" t="s">
        <v>7274</v>
      </c>
      <c r="E4359" s="399" t="s">
        <v>7275</v>
      </c>
      <c r="F4359" s="400">
        <v>150000</v>
      </c>
      <c r="G4359" s="401" t="s">
        <v>3800</v>
      </c>
      <c r="H4359" s="402">
        <v>55.813865155994705</v>
      </c>
      <c r="I4359" s="402"/>
      <c r="J4359" s="400"/>
      <c r="K4359" s="400"/>
      <c r="L4359" s="400">
        <v>55.813865155994705</v>
      </c>
      <c r="M4359" s="400"/>
      <c r="N4359" s="400"/>
    </row>
    <row r="4360" spans="1:14" s="360" customFormat="1" hidden="1" outlineLevel="2" x14ac:dyDescent="0.35">
      <c r="A4360" s="403" t="s">
        <v>3900</v>
      </c>
      <c r="B4360" s="397">
        <v>44357</v>
      </c>
      <c r="C4360" s="398" t="s">
        <v>7249</v>
      </c>
      <c r="D4360" s="399" t="s">
        <v>7276</v>
      </c>
      <c r="E4360" s="399" t="s">
        <v>7251</v>
      </c>
      <c r="F4360" s="400">
        <v>100000</v>
      </c>
      <c r="G4360" s="401" t="s">
        <v>3800</v>
      </c>
      <c r="H4360" s="402">
        <v>37.209243437329803</v>
      </c>
      <c r="I4360" s="402"/>
      <c r="J4360" s="400"/>
      <c r="K4360" s="400"/>
      <c r="L4360" s="400">
        <v>37.209243437329803</v>
      </c>
      <c r="M4360" s="400"/>
      <c r="N4360" s="400"/>
    </row>
    <row r="4361" spans="1:14" s="360" customFormat="1" hidden="1" outlineLevel="2" x14ac:dyDescent="0.35">
      <c r="A4361" s="403" t="s">
        <v>3900</v>
      </c>
      <c r="B4361" s="397">
        <v>44358</v>
      </c>
      <c r="C4361" s="398" t="s">
        <v>7249</v>
      </c>
      <c r="D4361" s="399" t="s">
        <v>7277</v>
      </c>
      <c r="E4361" s="399" t="s">
        <v>7251</v>
      </c>
      <c r="F4361" s="400">
        <v>100000</v>
      </c>
      <c r="G4361" s="401" t="s">
        <v>3800</v>
      </c>
      <c r="H4361" s="402">
        <v>37.209243437329803</v>
      </c>
      <c r="I4361" s="402"/>
      <c r="J4361" s="400"/>
      <c r="K4361" s="400"/>
      <c r="L4361" s="400">
        <v>37.209243437329803</v>
      </c>
      <c r="M4361" s="400"/>
      <c r="N4361" s="400"/>
    </row>
    <row r="4362" spans="1:14" s="360" customFormat="1" hidden="1" outlineLevel="2" x14ac:dyDescent="0.35">
      <c r="A4362" s="403" t="s">
        <v>3900</v>
      </c>
      <c r="B4362" s="397">
        <v>44359</v>
      </c>
      <c r="C4362" s="398" t="s">
        <v>7249</v>
      </c>
      <c r="D4362" s="399" t="s">
        <v>7278</v>
      </c>
      <c r="E4362" s="399" t="s">
        <v>7251</v>
      </c>
      <c r="F4362" s="400">
        <v>100000</v>
      </c>
      <c r="G4362" s="401" t="s">
        <v>3800</v>
      </c>
      <c r="H4362" s="402">
        <v>37.209243437329803</v>
      </c>
      <c r="I4362" s="402"/>
      <c r="J4362" s="400"/>
      <c r="K4362" s="400"/>
      <c r="L4362" s="400">
        <v>37.209243437329803</v>
      </c>
      <c r="M4362" s="400"/>
      <c r="N4362" s="400"/>
    </row>
    <row r="4363" spans="1:14" s="360" customFormat="1" hidden="1" outlineLevel="2" x14ac:dyDescent="0.35">
      <c r="A4363" s="403" t="s">
        <v>3900</v>
      </c>
      <c r="B4363" s="397">
        <v>44359</v>
      </c>
      <c r="C4363" s="398" t="s">
        <v>7249</v>
      </c>
      <c r="D4363" s="399" t="s">
        <v>7279</v>
      </c>
      <c r="E4363" s="399" t="s">
        <v>7251</v>
      </c>
      <c r="F4363" s="400">
        <v>100000</v>
      </c>
      <c r="G4363" s="401" t="s">
        <v>3800</v>
      </c>
      <c r="H4363" s="402">
        <v>37.209243437329803</v>
      </c>
      <c r="I4363" s="402"/>
      <c r="J4363" s="400"/>
      <c r="K4363" s="400"/>
      <c r="L4363" s="400">
        <v>37.209243437329803</v>
      </c>
      <c r="M4363" s="400"/>
      <c r="N4363" s="400"/>
    </row>
    <row r="4364" spans="1:14" s="360" customFormat="1" outlineLevel="1" collapsed="1" x14ac:dyDescent="0.35">
      <c r="A4364" s="396" t="s">
        <v>7280</v>
      </c>
      <c r="B4364" s="397"/>
      <c r="C4364" s="398"/>
      <c r="D4364" s="399"/>
      <c r="E4364" s="399"/>
      <c r="F4364" s="400"/>
      <c r="G4364" s="401"/>
      <c r="H4364" s="402">
        <f t="shared" ref="H4364:N4364" si="225">SUBTOTAL(9,H4329:H4363)</f>
        <v>3546.7703016401138</v>
      </c>
      <c r="I4364" s="402"/>
      <c r="J4364" s="400">
        <f t="shared" si="225"/>
        <v>0</v>
      </c>
      <c r="K4364" s="400">
        <f t="shared" si="225"/>
        <v>0</v>
      </c>
      <c r="L4364" s="400">
        <f t="shared" si="225"/>
        <v>3546.7703016401138</v>
      </c>
      <c r="M4364" s="400">
        <f t="shared" si="225"/>
        <v>0</v>
      </c>
      <c r="N4364" s="400">
        <f t="shared" si="225"/>
        <v>0</v>
      </c>
    </row>
    <row r="4365" spans="1:14" s="360" customFormat="1" hidden="1" outlineLevel="2" x14ac:dyDescent="0.35">
      <c r="A4365" s="403" t="s">
        <v>3849</v>
      </c>
      <c r="B4365" s="397">
        <v>43837</v>
      </c>
      <c r="C4365" s="398" t="s">
        <v>7281</v>
      </c>
      <c r="D4365" s="399" t="s">
        <v>7282</v>
      </c>
      <c r="E4365" s="399" t="s">
        <v>4934</v>
      </c>
      <c r="F4365" s="400">
        <v>1002000</v>
      </c>
      <c r="G4365" s="401" t="s">
        <v>3800</v>
      </c>
      <c r="H4365" s="402">
        <v>384.72448899042075</v>
      </c>
      <c r="I4365" s="402"/>
      <c r="J4365" s="400">
        <v>96.181122247605188</v>
      </c>
      <c r="K4365" s="400">
        <v>96.181122247605188</v>
      </c>
      <c r="L4365" s="400">
        <v>96.181122247605188</v>
      </c>
      <c r="M4365" s="400">
        <v>96.181122247605188</v>
      </c>
      <c r="N4365" s="400"/>
    </row>
    <row r="4366" spans="1:14" s="360" customFormat="1" hidden="1" outlineLevel="2" x14ac:dyDescent="0.35">
      <c r="A4366" s="403" t="s">
        <v>3849</v>
      </c>
      <c r="B4366" s="397">
        <v>44135</v>
      </c>
      <c r="C4366" s="398" t="s">
        <v>7283</v>
      </c>
      <c r="D4366" s="399" t="s">
        <v>7284</v>
      </c>
      <c r="E4366" s="399" t="s">
        <v>7204</v>
      </c>
      <c r="F4366" s="400">
        <v>450000</v>
      </c>
      <c r="G4366" s="401" t="s">
        <v>3800</v>
      </c>
      <c r="H4366" s="402">
        <v>172.78045912743448</v>
      </c>
      <c r="I4366" s="402"/>
      <c r="J4366" s="400">
        <v>43.195114781858621</v>
      </c>
      <c r="K4366" s="400">
        <v>43.195114781858621</v>
      </c>
      <c r="L4366" s="400">
        <v>43.195114781858621</v>
      </c>
      <c r="M4366" s="400">
        <v>43.195114781858621</v>
      </c>
      <c r="N4366" s="400"/>
    </row>
    <row r="4367" spans="1:14" s="360" customFormat="1" hidden="1" outlineLevel="2" x14ac:dyDescent="0.35">
      <c r="A4367" s="403" t="s">
        <v>3849</v>
      </c>
      <c r="B4367" s="397">
        <v>44135</v>
      </c>
      <c r="C4367" s="398" t="s">
        <v>7283</v>
      </c>
      <c r="D4367" s="399" t="s">
        <v>7285</v>
      </c>
      <c r="E4367" s="399" t="s">
        <v>2812</v>
      </c>
      <c r="F4367" s="400">
        <v>499200</v>
      </c>
      <c r="G4367" s="401" t="s">
        <v>3800</v>
      </c>
      <c r="H4367" s="402">
        <v>191.67112265870065</v>
      </c>
      <c r="I4367" s="402"/>
      <c r="J4367" s="400">
        <v>47.917780664675163</v>
      </c>
      <c r="K4367" s="400">
        <v>47.917780664675163</v>
      </c>
      <c r="L4367" s="400">
        <v>47.917780664675163</v>
      </c>
      <c r="M4367" s="400">
        <v>47.917780664675163</v>
      </c>
      <c r="N4367" s="400"/>
    </row>
    <row r="4368" spans="1:14" s="360" customFormat="1" hidden="1" outlineLevel="2" x14ac:dyDescent="0.35">
      <c r="A4368" s="403" t="s">
        <v>3849</v>
      </c>
      <c r="B4368" s="397">
        <v>44489</v>
      </c>
      <c r="C4368" s="398" t="s">
        <v>7286</v>
      </c>
      <c r="D4368" s="399" t="s">
        <v>7287</v>
      </c>
      <c r="E4368" s="399" t="s">
        <v>7288</v>
      </c>
      <c r="F4368" s="400">
        <v>150000</v>
      </c>
      <c r="G4368" s="401" t="s">
        <v>3800</v>
      </c>
      <c r="H4368" s="402">
        <v>55.813865155994705</v>
      </c>
      <c r="I4368" s="402"/>
      <c r="J4368" s="400">
        <v>13.953466288998676</v>
      </c>
      <c r="K4368" s="400">
        <v>13.953466288998676</v>
      </c>
      <c r="L4368" s="400">
        <v>13.953466288998676</v>
      </c>
      <c r="M4368" s="400">
        <v>13.953466288998676</v>
      </c>
      <c r="N4368" s="400"/>
    </row>
    <row r="4369" spans="1:14" s="360" customFormat="1" hidden="1" outlineLevel="2" x14ac:dyDescent="0.35">
      <c r="A4369" s="403" t="s">
        <v>3849</v>
      </c>
      <c r="B4369" s="397">
        <v>44489</v>
      </c>
      <c r="C4369" s="398" t="s">
        <v>7286</v>
      </c>
      <c r="D4369" s="399" t="s">
        <v>7289</v>
      </c>
      <c r="E4369" s="399" t="s">
        <v>7290</v>
      </c>
      <c r="F4369" s="400">
        <v>150000</v>
      </c>
      <c r="G4369" s="401" t="s">
        <v>3800</v>
      </c>
      <c r="H4369" s="402">
        <v>55.813865155994705</v>
      </c>
      <c r="I4369" s="402"/>
      <c r="J4369" s="400">
        <v>13.953466288998676</v>
      </c>
      <c r="K4369" s="400">
        <v>13.953466288998676</v>
      </c>
      <c r="L4369" s="400">
        <v>13.953466288998676</v>
      </c>
      <c r="M4369" s="400">
        <v>13.953466288998676</v>
      </c>
      <c r="N4369" s="400"/>
    </row>
    <row r="4370" spans="1:14" s="360" customFormat="1" hidden="1" outlineLevel="2" x14ac:dyDescent="0.35">
      <c r="A4370" s="403" t="s">
        <v>3849</v>
      </c>
      <c r="B4370" s="397">
        <v>44502</v>
      </c>
      <c r="C4370" s="398" t="s">
        <v>7291</v>
      </c>
      <c r="D4370" s="399" t="s">
        <v>7292</v>
      </c>
      <c r="E4370" s="399" t="s">
        <v>7293</v>
      </c>
      <c r="F4370" s="400">
        <v>1260000</v>
      </c>
      <c r="G4370" s="401" t="s">
        <v>3800</v>
      </c>
      <c r="H4370" s="402">
        <v>468.83646731035554</v>
      </c>
      <c r="I4370" s="402"/>
      <c r="J4370" s="400">
        <v>117.20911682758889</v>
      </c>
      <c r="K4370" s="400">
        <v>117.20911682758889</v>
      </c>
      <c r="L4370" s="400">
        <v>117.20911682758889</v>
      </c>
      <c r="M4370" s="400">
        <v>117.20911682758889</v>
      </c>
      <c r="N4370" s="400"/>
    </row>
    <row r="4371" spans="1:14" s="360" customFormat="1" hidden="1" outlineLevel="2" x14ac:dyDescent="0.35">
      <c r="A4371" s="403" t="s">
        <v>3849</v>
      </c>
      <c r="B4371" s="397">
        <v>44502</v>
      </c>
      <c r="C4371" s="398" t="s">
        <v>7294</v>
      </c>
      <c r="D4371" s="399" t="s">
        <v>7295</v>
      </c>
      <c r="E4371" s="399" t="s">
        <v>6071</v>
      </c>
      <c r="F4371" s="400">
        <v>150000</v>
      </c>
      <c r="G4371" s="401" t="s">
        <v>3800</v>
      </c>
      <c r="H4371" s="402">
        <v>55.813865155994705</v>
      </c>
      <c r="I4371" s="402"/>
      <c r="J4371" s="400">
        <v>13.953466288998676</v>
      </c>
      <c r="K4371" s="400">
        <v>13.953466288998676</v>
      </c>
      <c r="L4371" s="400">
        <v>13.953466288998676</v>
      </c>
      <c r="M4371" s="400">
        <v>13.953466288998676</v>
      </c>
      <c r="N4371" s="400"/>
    </row>
    <row r="4372" spans="1:14" s="360" customFormat="1" hidden="1" outlineLevel="2" x14ac:dyDescent="0.35">
      <c r="A4372" s="403" t="s">
        <v>3849</v>
      </c>
      <c r="B4372" s="397">
        <v>44502</v>
      </c>
      <c r="C4372" s="398" t="s">
        <v>7294</v>
      </c>
      <c r="D4372" s="399" t="s">
        <v>7296</v>
      </c>
      <c r="E4372" s="399" t="s">
        <v>7297</v>
      </c>
      <c r="F4372" s="400">
        <v>150034</v>
      </c>
      <c r="G4372" s="401" t="s">
        <v>3800</v>
      </c>
      <c r="H4372" s="402">
        <v>55.826516298763401</v>
      </c>
      <c r="I4372" s="402"/>
      <c r="J4372" s="400">
        <v>13.95662907469085</v>
      </c>
      <c r="K4372" s="400">
        <v>13.95662907469085</v>
      </c>
      <c r="L4372" s="400">
        <v>13.95662907469085</v>
      </c>
      <c r="M4372" s="400">
        <v>13.95662907469085</v>
      </c>
      <c r="N4372" s="400"/>
    </row>
    <row r="4373" spans="1:14" s="360" customFormat="1" hidden="1" outlineLevel="2" x14ac:dyDescent="0.35">
      <c r="A4373" s="403" t="s">
        <v>3849</v>
      </c>
      <c r="B4373" s="397">
        <v>44502</v>
      </c>
      <c r="C4373" s="398" t="s">
        <v>7294</v>
      </c>
      <c r="D4373" s="399" t="s">
        <v>7298</v>
      </c>
      <c r="E4373" s="399" t="s">
        <v>7299</v>
      </c>
      <c r="F4373" s="400">
        <v>300000</v>
      </c>
      <c r="G4373" s="401" t="s">
        <v>3800</v>
      </c>
      <c r="H4373" s="402">
        <v>111.62773031198941</v>
      </c>
      <c r="I4373" s="402"/>
      <c r="J4373" s="400">
        <v>27.906932577997352</v>
      </c>
      <c r="K4373" s="400">
        <v>27.906932577997352</v>
      </c>
      <c r="L4373" s="400">
        <v>27.906932577997352</v>
      </c>
      <c r="M4373" s="400">
        <v>27.906932577997352</v>
      </c>
      <c r="N4373" s="400"/>
    </row>
    <row r="4374" spans="1:14" s="360" customFormat="1" hidden="1" outlineLevel="2" x14ac:dyDescent="0.35">
      <c r="A4374" s="403" t="s">
        <v>3849</v>
      </c>
      <c r="B4374" s="397">
        <v>44502</v>
      </c>
      <c r="C4374" s="398" t="s">
        <v>7300</v>
      </c>
      <c r="D4374" s="399" t="s">
        <v>7298</v>
      </c>
      <c r="E4374" s="399" t="s">
        <v>7301</v>
      </c>
      <c r="F4374" s="400">
        <v>500900</v>
      </c>
      <c r="G4374" s="401" t="s">
        <v>3800</v>
      </c>
      <c r="H4374" s="402">
        <v>186.381100377585</v>
      </c>
      <c r="I4374" s="402"/>
      <c r="J4374" s="400">
        <v>46.59527509439625</v>
      </c>
      <c r="K4374" s="400">
        <v>46.59527509439625</v>
      </c>
      <c r="L4374" s="400">
        <v>46.59527509439625</v>
      </c>
      <c r="M4374" s="400">
        <v>46.59527509439625</v>
      </c>
      <c r="N4374" s="400"/>
    </row>
    <row r="4375" spans="1:14" s="360" customFormat="1" ht="30" hidden="1" outlineLevel="2" x14ac:dyDescent="0.35">
      <c r="A4375" s="403" t="s">
        <v>3849</v>
      </c>
      <c r="B4375" s="397">
        <v>44537</v>
      </c>
      <c r="C4375" s="398" t="s">
        <v>7302</v>
      </c>
      <c r="D4375" s="399" t="s">
        <v>7303</v>
      </c>
      <c r="E4375" s="399" t="s">
        <v>7304</v>
      </c>
      <c r="F4375" s="400">
        <v>100000</v>
      </c>
      <c r="G4375" s="401" t="s">
        <v>3800</v>
      </c>
      <c r="H4375" s="402">
        <v>37.209243437329803</v>
      </c>
      <c r="I4375" s="402"/>
      <c r="J4375" s="400">
        <v>9.3023108593324508</v>
      </c>
      <c r="K4375" s="400">
        <v>9.3023108593324508</v>
      </c>
      <c r="L4375" s="400">
        <v>9.3023108593324508</v>
      </c>
      <c r="M4375" s="400">
        <v>9.3023108593324508</v>
      </c>
      <c r="N4375" s="400"/>
    </row>
    <row r="4376" spans="1:14" s="360" customFormat="1" outlineLevel="1" collapsed="1" x14ac:dyDescent="0.35">
      <c r="A4376" s="396" t="s">
        <v>7305</v>
      </c>
      <c r="B4376" s="397"/>
      <c r="C4376" s="398"/>
      <c r="D4376" s="399"/>
      <c r="E4376" s="399"/>
      <c r="F4376" s="400"/>
      <c r="G4376" s="401"/>
      <c r="H4376" s="402">
        <f t="shared" ref="H4376:N4376" si="226">SUBTOTAL(9,H4365:H4375)</f>
        <v>1776.4987239805632</v>
      </c>
      <c r="I4376" s="402"/>
      <c r="J4376" s="400">
        <f t="shared" si="226"/>
        <v>444.12468099514081</v>
      </c>
      <c r="K4376" s="400">
        <f t="shared" si="226"/>
        <v>444.12468099514081</v>
      </c>
      <c r="L4376" s="400">
        <f t="shared" si="226"/>
        <v>444.12468099514081</v>
      </c>
      <c r="M4376" s="400">
        <f t="shared" si="226"/>
        <v>444.12468099514081</v>
      </c>
      <c r="N4376" s="400">
        <f t="shared" si="226"/>
        <v>0</v>
      </c>
    </row>
    <row r="4377" spans="1:14" s="360" customFormat="1" hidden="1" outlineLevel="2" x14ac:dyDescent="0.35">
      <c r="A4377" s="403" t="s">
        <v>7306</v>
      </c>
      <c r="B4377" s="397">
        <v>44266</v>
      </c>
      <c r="C4377" s="398" t="s">
        <v>4526</v>
      </c>
      <c r="D4377" s="399" t="s">
        <v>4527</v>
      </c>
      <c r="E4377" s="399" t="s">
        <v>7307</v>
      </c>
      <c r="F4377" s="400">
        <v>1171171.17</v>
      </c>
      <c r="G4377" s="401" t="s">
        <v>3800</v>
      </c>
      <c r="H4377" s="402">
        <v>435.78393171312365</v>
      </c>
      <c r="I4377" s="402"/>
      <c r="J4377" s="400"/>
      <c r="K4377" s="400"/>
      <c r="L4377" s="400"/>
      <c r="M4377" s="400"/>
      <c r="N4377" s="400">
        <f t="shared" ref="N4377:N4440" si="227">H4377</f>
        <v>435.78393171312365</v>
      </c>
    </row>
    <row r="4378" spans="1:14" s="360" customFormat="1" hidden="1" outlineLevel="2" x14ac:dyDescent="0.35">
      <c r="A4378" s="403" t="s">
        <v>7306</v>
      </c>
      <c r="B4378" s="397">
        <v>44266</v>
      </c>
      <c r="C4378" s="398" t="s">
        <v>4529</v>
      </c>
      <c r="D4378" s="399" t="s">
        <v>4530</v>
      </c>
      <c r="E4378" s="399" t="s">
        <v>4272</v>
      </c>
      <c r="F4378" s="400">
        <v>117117.117</v>
      </c>
      <c r="G4378" s="401" t="s">
        <v>3800</v>
      </c>
      <c r="H4378" s="402">
        <v>43.578393171312371</v>
      </c>
      <c r="I4378" s="402"/>
      <c r="J4378" s="400"/>
      <c r="K4378" s="400"/>
      <c r="L4378" s="400"/>
      <c r="M4378" s="400"/>
      <c r="N4378" s="400">
        <f t="shared" si="227"/>
        <v>43.578393171312371</v>
      </c>
    </row>
    <row r="4379" spans="1:14" s="360" customFormat="1" hidden="1" outlineLevel="2" x14ac:dyDescent="0.35">
      <c r="A4379" s="403" t="s">
        <v>7306</v>
      </c>
      <c r="B4379" s="397">
        <v>44266</v>
      </c>
      <c r="C4379" s="398" t="s">
        <v>4531</v>
      </c>
      <c r="D4379" s="399" t="s">
        <v>4051</v>
      </c>
      <c r="E4379" s="399" t="s">
        <v>4042</v>
      </c>
      <c r="F4379" s="400">
        <v>11711.7117</v>
      </c>
      <c r="G4379" s="401" t="s">
        <v>3800</v>
      </c>
      <c r="H4379" s="402">
        <v>4.3578393171312371</v>
      </c>
      <c r="I4379" s="402"/>
      <c r="J4379" s="400"/>
      <c r="K4379" s="400"/>
      <c r="L4379" s="400"/>
      <c r="M4379" s="400"/>
      <c r="N4379" s="400">
        <f t="shared" si="227"/>
        <v>4.3578393171312371</v>
      </c>
    </row>
    <row r="4380" spans="1:14" s="360" customFormat="1" hidden="1" outlineLevel="2" x14ac:dyDescent="0.35">
      <c r="A4380" s="403" t="s">
        <v>7306</v>
      </c>
      <c r="B4380" s="397">
        <v>44266</v>
      </c>
      <c r="C4380" s="398" t="s">
        <v>4526</v>
      </c>
      <c r="D4380" s="399" t="s">
        <v>4527</v>
      </c>
      <c r="E4380" s="399" t="s">
        <v>7308</v>
      </c>
      <c r="F4380" s="400">
        <v>1171171.17</v>
      </c>
      <c r="G4380" s="401" t="s">
        <v>3800</v>
      </c>
      <c r="H4380" s="402">
        <v>435.78393171312365</v>
      </c>
      <c r="I4380" s="402"/>
      <c r="J4380" s="400"/>
      <c r="K4380" s="400"/>
      <c r="L4380" s="400"/>
      <c r="M4380" s="400"/>
      <c r="N4380" s="400">
        <f t="shared" si="227"/>
        <v>435.78393171312365</v>
      </c>
    </row>
    <row r="4381" spans="1:14" s="360" customFormat="1" hidden="1" outlineLevel="2" x14ac:dyDescent="0.35">
      <c r="A4381" s="403" t="s">
        <v>7306</v>
      </c>
      <c r="B4381" s="397">
        <v>44266</v>
      </c>
      <c r="C4381" s="398" t="s">
        <v>4529</v>
      </c>
      <c r="D4381" s="399" t="s">
        <v>4530</v>
      </c>
      <c r="E4381" s="399" t="s">
        <v>4272</v>
      </c>
      <c r="F4381" s="400">
        <v>117117.117</v>
      </c>
      <c r="G4381" s="401" t="s">
        <v>3800</v>
      </c>
      <c r="H4381" s="402">
        <v>43.578393171312371</v>
      </c>
      <c r="I4381" s="402"/>
      <c r="J4381" s="400"/>
      <c r="K4381" s="400"/>
      <c r="L4381" s="400"/>
      <c r="M4381" s="400"/>
      <c r="N4381" s="400">
        <f t="shared" si="227"/>
        <v>43.578393171312371</v>
      </c>
    </row>
    <row r="4382" spans="1:14" s="360" customFormat="1" hidden="1" outlineLevel="2" x14ac:dyDescent="0.35">
      <c r="A4382" s="403" t="s">
        <v>7306</v>
      </c>
      <c r="B4382" s="397">
        <v>44266</v>
      </c>
      <c r="C4382" s="398" t="s">
        <v>4531</v>
      </c>
      <c r="D4382" s="399" t="s">
        <v>4051</v>
      </c>
      <c r="E4382" s="399" t="s">
        <v>4042</v>
      </c>
      <c r="F4382" s="400">
        <v>11711.7117</v>
      </c>
      <c r="G4382" s="401" t="s">
        <v>3800</v>
      </c>
      <c r="H4382" s="402">
        <v>4.3578393171312371</v>
      </c>
      <c r="I4382" s="402"/>
      <c r="J4382" s="400"/>
      <c r="K4382" s="400"/>
      <c r="L4382" s="400"/>
      <c r="M4382" s="400"/>
      <c r="N4382" s="400">
        <f t="shared" si="227"/>
        <v>4.3578393171312371</v>
      </c>
    </row>
    <row r="4383" spans="1:14" s="360" customFormat="1" hidden="1" outlineLevel="2" x14ac:dyDescent="0.35">
      <c r="A4383" s="403" t="s">
        <v>7306</v>
      </c>
      <c r="B4383" s="397">
        <v>44284</v>
      </c>
      <c r="C4383" s="398" t="s">
        <v>4532</v>
      </c>
      <c r="D4383" s="399" t="s">
        <v>4533</v>
      </c>
      <c r="E4383" s="399" t="s">
        <v>7308</v>
      </c>
      <c r="F4383" s="400">
        <v>1171171.17</v>
      </c>
      <c r="G4383" s="401" t="s">
        <v>3800</v>
      </c>
      <c r="H4383" s="402">
        <v>435.78393171312365</v>
      </c>
      <c r="I4383" s="402"/>
      <c r="J4383" s="400"/>
      <c r="K4383" s="400"/>
      <c r="L4383" s="400"/>
      <c r="M4383" s="400"/>
      <c r="N4383" s="400">
        <f t="shared" si="227"/>
        <v>435.78393171312365</v>
      </c>
    </row>
    <row r="4384" spans="1:14" s="360" customFormat="1" hidden="1" outlineLevel="2" x14ac:dyDescent="0.35">
      <c r="A4384" s="403" t="s">
        <v>7306</v>
      </c>
      <c r="B4384" s="397">
        <v>44284</v>
      </c>
      <c r="C4384" s="398" t="s">
        <v>4534</v>
      </c>
      <c r="D4384" s="399" t="s">
        <v>4535</v>
      </c>
      <c r="E4384" s="399" t="s">
        <v>4272</v>
      </c>
      <c r="F4384" s="400">
        <v>117117.117</v>
      </c>
      <c r="G4384" s="401" t="s">
        <v>3800</v>
      </c>
      <c r="H4384" s="402">
        <v>43.578393171312371</v>
      </c>
      <c r="I4384" s="402"/>
      <c r="J4384" s="400"/>
      <c r="K4384" s="400"/>
      <c r="L4384" s="400"/>
      <c r="M4384" s="400"/>
      <c r="N4384" s="400">
        <f t="shared" si="227"/>
        <v>43.578393171312371</v>
      </c>
    </row>
    <row r="4385" spans="1:14" s="360" customFormat="1" hidden="1" outlineLevel="2" collapsed="1" x14ac:dyDescent="0.35">
      <c r="A4385" s="403" t="s">
        <v>7306</v>
      </c>
      <c r="B4385" s="397">
        <v>44284</v>
      </c>
      <c r="C4385" s="398" t="s">
        <v>4536</v>
      </c>
      <c r="D4385" s="399" t="s">
        <v>4061</v>
      </c>
      <c r="E4385" s="399" t="s">
        <v>4042</v>
      </c>
      <c r="F4385" s="400">
        <v>11711.7117</v>
      </c>
      <c r="G4385" s="401" t="s">
        <v>3800</v>
      </c>
      <c r="H4385" s="402">
        <v>4.3578393171312371</v>
      </c>
      <c r="I4385" s="402"/>
      <c r="J4385" s="400"/>
      <c r="K4385" s="400"/>
      <c r="L4385" s="400"/>
      <c r="M4385" s="400"/>
      <c r="N4385" s="400">
        <f t="shared" si="227"/>
        <v>4.3578393171312371</v>
      </c>
    </row>
    <row r="4386" spans="1:14" s="360" customFormat="1" hidden="1" outlineLevel="2" x14ac:dyDescent="0.35">
      <c r="A4386" s="403" t="s">
        <v>7306</v>
      </c>
      <c r="B4386" s="397">
        <v>44284</v>
      </c>
      <c r="C4386" s="398" t="s">
        <v>4532</v>
      </c>
      <c r="D4386" s="399" t="s">
        <v>4533</v>
      </c>
      <c r="E4386" s="399" t="s">
        <v>7307</v>
      </c>
      <c r="F4386" s="400">
        <v>1171171.17</v>
      </c>
      <c r="G4386" s="401" t="s">
        <v>3800</v>
      </c>
      <c r="H4386" s="402">
        <v>435.78393171312365</v>
      </c>
      <c r="I4386" s="402"/>
      <c r="J4386" s="400"/>
      <c r="K4386" s="400"/>
      <c r="L4386" s="400"/>
      <c r="M4386" s="400"/>
      <c r="N4386" s="400">
        <f t="shared" si="227"/>
        <v>435.78393171312365</v>
      </c>
    </row>
    <row r="4387" spans="1:14" s="360" customFormat="1" hidden="1" outlineLevel="2" collapsed="1" x14ac:dyDescent="0.35">
      <c r="A4387" s="403" t="s">
        <v>7306</v>
      </c>
      <c r="B4387" s="397">
        <v>44284</v>
      </c>
      <c r="C4387" s="398" t="s">
        <v>4534</v>
      </c>
      <c r="D4387" s="399" t="s">
        <v>4535</v>
      </c>
      <c r="E4387" s="399" t="s">
        <v>4272</v>
      </c>
      <c r="F4387" s="400">
        <v>117117.117</v>
      </c>
      <c r="G4387" s="401" t="s">
        <v>3800</v>
      </c>
      <c r="H4387" s="402">
        <v>43.578393171312371</v>
      </c>
      <c r="I4387" s="402"/>
      <c r="J4387" s="400"/>
      <c r="K4387" s="400"/>
      <c r="L4387" s="400"/>
      <c r="M4387" s="400"/>
      <c r="N4387" s="400">
        <f t="shared" si="227"/>
        <v>43.578393171312371</v>
      </c>
    </row>
    <row r="4388" spans="1:14" s="360" customFormat="1" hidden="1" outlineLevel="2" x14ac:dyDescent="0.35">
      <c r="A4388" s="403" t="s">
        <v>7306</v>
      </c>
      <c r="B4388" s="397">
        <v>44284</v>
      </c>
      <c r="C4388" s="398" t="s">
        <v>4536</v>
      </c>
      <c r="D4388" s="399" t="s">
        <v>4061</v>
      </c>
      <c r="E4388" s="399" t="s">
        <v>4042</v>
      </c>
      <c r="F4388" s="400">
        <v>11711.7117</v>
      </c>
      <c r="G4388" s="401" t="s">
        <v>3800</v>
      </c>
      <c r="H4388" s="402">
        <v>4.3578393171312371</v>
      </c>
      <c r="I4388" s="402"/>
      <c r="J4388" s="400"/>
      <c r="K4388" s="400"/>
      <c r="L4388" s="400"/>
      <c r="M4388" s="400"/>
      <c r="N4388" s="400">
        <f t="shared" si="227"/>
        <v>4.3578393171312371</v>
      </c>
    </row>
    <row r="4389" spans="1:14" s="360" customFormat="1" hidden="1" outlineLevel="2" collapsed="1" x14ac:dyDescent="0.35">
      <c r="A4389" s="403" t="s">
        <v>7306</v>
      </c>
      <c r="B4389" s="397">
        <v>44316</v>
      </c>
      <c r="C4389" s="398" t="s">
        <v>4537</v>
      </c>
      <c r="D4389" s="399" t="s">
        <v>4538</v>
      </c>
      <c r="E4389" s="399" t="s">
        <v>7307</v>
      </c>
      <c r="F4389" s="400">
        <v>1171171.17</v>
      </c>
      <c r="G4389" s="401" t="s">
        <v>3800</v>
      </c>
      <c r="H4389" s="402">
        <v>435.78393171312365</v>
      </c>
      <c r="I4389" s="402"/>
      <c r="J4389" s="400"/>
      <c r="K4389" s="400"/>
      <c r="L4389" s="400"/>
      <c r="M4389" s="400"/>
      <c r="N4389" s="400">
        <f t="shared" si="227"/>
        <v>435.78393171312365</v>
      </c>
    </row>
    <row r="4390" spans="1:14" s="360" customFormat="1" hidden="1" outlineLevel="2" x14ac:dyDescent="0.35">
      <c r="A4390" s="403" t="s">
        <v>7306</v>
      </c>
      <c r="B4390" s="397">
        <v>44316</v>
      </c>
      <c r="C4390" s="398" t="s">
        <v>4539</v>
      </c>
      <c r="D4390" s="399" t="s">
        <v>4540</v>
      </c>
      <c r="E4390" s="399" t="s">
        <v>4272</v>
      </c>
      <c r="F4390" s="400">
        <v>117117.117</v>
      </c>
      <c r="G4390" s="401" t="s">
        <v>3800</v>
      </c>
      <c r="H4390" s="402">
        <v>43.578393171312371</v>
      </c>
      <c r="I4390" s="402"/>
      <c r="J4390" s="400"/>
      <c r="K4390" s="400"/>
      <c r="L4390" s="400"/>
      <c r="M4390" s="400"/>
      <c r="N4390" s="400">
        <f t="shared" si="227"/>
        <v>43.578393171312371</v>
      </c>
    </row>
    <row r="4391" spans="1:14" s="360" customFormat="1" hidden="1" outlineLevel="2" collapsed="1" x14ac:dyDescent="0.35">
      <c r="A4391" s="403" t="s">
        <v>7306</v>
      </c>
      <c r="B4391" s="397">
        <v>44316</v>
      </c>
      <c r="C4391" s="398" t="s">
        <v>4541</v>
      </c>
      <c r="D4391" s="399" t="s">
        <v>4542</v>
      </c>
      <c r="E4391" s="399" t="s">
        <v>4042</v>
      </c>
      <c r="F4391" s="400">
        <v>11711.7117</v>
      </c>
      <c r="G4391" s="401" t="s">
        <v>3800</v>
      </c>
      <c r="H4391" s="402">
        <v>4.3578393171312371</v>
      </c>
      <c r="I4391" s="402"/>
      <c r="J4391" s="400"/>
      <c r="K4391" s="400"/>
      <c r="L4391" s="400"/>
      <c r="M4391" s="400"/>
      <c r="N4391" s="400">
        <f t="shared" si="227"/>
        <v>4.3578393171312371</v>
      </c>
    </row>
    <row r="4392" spans="1:14" s="360" customFormat="1" hidden="1" outlineLevel="2" x14ac:dyDescent="0.35">
      <c r="A4392" s="403" t="s">
        <v>7306</v>
      </c>
      <c r="B4392" s="397">
        <v>44316</v>
      </c>
      <c r="C4392" s="398" t="s">
        <v>4537</v>
      </c>
      <c r="D4392" s="399" t="s">
        <v>4538</v>
      </c>
      <c r="E4392" s="399" t="s">
        <v>7308</v>
      </c>
      <c r="F4392" s="400">
        <v>1171171.17</v>
      </c>
      <c r="G4392" s="401" t="s">
        <v>3800</v>
      </c>
      <c r="H4392" s="402">
        <v>435.78393171312365</v>
      </c>
      <c r="I4392" s="402"/>
      <c r="J4392" s="400"/>
      <c r="K4392" s="400"/>
      <c r="L4392" s="400"/>
      <c r="M4392" s="400"/>
      <c r="N4392" s="400">
        <f t="shared" si="227"/>
        <v>435.78393171312365</v>
      </c>
    </row>
    <row r="4393" spans="1:14" s="360" customFormat="1" hidden="1" outlineLevel="2" collapsed="1" x14ac:dyDescent="0.35">
      <c r="A4393" s="403" t="s">
        <v>7306</v>
      </c>
      <c r="B4393" s="397">
        <v>44316</v>
      </c>
      <c r="C4393" s="398" t="s">
        <v>4539</v>
      </c>
      <c r="D4393" s="399" t="s">
        <v>4540</v>
      </c>
      <c r="E4393" s="399" t="s">
        <v>4272</v>
      </c>
      <c r="F4393" s="400">
        <v>117117.117</v>
      </c>
      <c r="G4393" s="401" t="s">
        <v>3800</v>
      </c>
      <c r="H4393" s="402">
        <v>43.578393171312371</v>
      </c>
      <c r="I4393" s="402"/>
      <c r="J4393" s="400"/>
      <c r="K4393" s="400"/>
      <c r="L4393" s="400"/>
      <c r="M4393" s="400"/>
      <c r="N4393" s="400">
        <f t="shared" si="227"/>
        <v>43.578393171312371</v>
      </c>
    </row>
    <row r="4394" spans="1:14" s="360" customFormat="1" hidden="1" outlineLevel="2" x14ac:dyDescent="0.35">
      <c r="A4394" s="403" t="s">
        <v>7306</v>
      </c>
      <c r="B4394" s="397">
        <v>44316</v>
      </c>
      <c r="C4394" s="398" t="s">
        <v>4541</v>
      </c>
      <c r="D4394" s="399" t="s">
        <v>4542</v>
      </c>
      <c r="E4394" s="399" t="s">
        <v>4042</v>
      </c>
      <c r="F4394" s="400">
        <v>11711.7117</v>
      </c>
      <c r="G4394" s="401" t="s">
        <v>3800</v>
      </c>
      <c r="H4394" s="402">
        <v>4.3578393171312371</v>
      </c>
      <c r="I4394" s="402"/>
      <c r="J4394" s="400"/>
      <c r="K4394" s="400"/>
      <c r="L4394" s="400"/>
      <c r="M4394" s="400"/>
      <c r="N4394" s="400">
        <f t="shared" si="227"/>
        <v>4.3578393171312371</v>
      </c>
    </row>
    <row r="4395" spans="1:14" s="360" customFormat="1" hidden="1" outlineLevel="2" collapsed="1" x14ac:dyDescent="0.35">
      <c r="A4395" s="403" t="s">
        <v>7306</v>
      </c>
      <c r="B4395" s="397">
        <v>44343</v>
      </c>
      <c r="C4395" s="398" t="s">
        <v>4543</v>
      </c>
      <c r="D4395" s="399" t="s">
        <v>4544</v>
      </c>
      <c r="E4395" s="399" t="s">
        <v>7307</v>
      </c>
      <c r="F4395" s="400">
        <v>1171171.17</v>
      </c>
      <c r="G4395" s="401" t="s">
        <v>3800</v>
      </c>
      <c r="H4395" s="402">
        <v>435.78393171312365</v>
      </c>
      <c r="I4395" s="402"/>
      <c r="J4395" s="400"/>
      <c r="K4395" s="400"/>
      <c r="L4395" s="400"/>
      <c r="M4395" s="400"/>
      <c r="N4395" s="400">
        <f t="shared" si="227"/>
        <v>435.78393171312365</v>
      </c>
    </row>
    <row r="4396" spans="1:14" s="360" customFormat="1" hidden="1" outlineLevel="2" x14ac:dyDescent="0.35">
      <c r="A4396" s="403" t="s">
        <v>7306</v>
      </c>
      <c r="B4396" s="397">
        <v>44343</v>
      </c>
      <c r="C4396" s="398" t="s">
        <v>4545</v>
      </c>
      <c r="D4396" s="399" t="s">
        <v>4546</v>
      </c>
      <c r="E4396" s="399" t="s">
        <v>4272</v>
      </c>
      <c r="F4396" s="400">
        <v>117117.117</v>
      </c>
      <c r="G4396" s="401" t="s">
        <v>3800</v>
      </c>
      <c r="H4396" s="402">
        <v>43.578393171312371</v>
      </c>
      <c r="I4396" s="402"/>
      <c r="J4396" s="400"/>
      <c r="K4396" s="400"/>
      <c r="L4396" s="400"/>
      <c r="M4396" s="400"/>
      <c r="N4396" s="400">
        <f t="shared" si="227"/>
        <v>43.578393171312371</v>
      </c>
    </row>
    <row r="4397" spans="1:14" s="360" customFormat="1" hidden="1" outlineLevel="2" collapsed="1" x14ac:dyDescent="0.35">
      <c r="A4397" s="403" t="s">
        <v>7306</v>
      </c>
      <c r="B4397" s="397">
        <v>44343</v>
      </c>
      <c r="C4397" s="398" t="s">
        <v>4547</v>
      </c>
      <c r="D4397" s="399" t="s">
        <v>4548</v>
      </c>
      <c r="E4397" s="399" t="s">
        <v>4042</v>
      </c>
      <c r="F4397" s="400">
        <v>11711.7117</v>
      </c>
      <c r="G4397" s="401" t="s">
        <v>3800</v>
      </c>
      <c r="H4397" s="402">
        <v>4.3578393171312371</v>
      </c>
      <c r="I4397" s="402"/>
      <c r="J4397" s="400"/>
      <c r="K4397" s="400"/>
      <c r="L4397" s="400"/>
      <c r="M4397" s="400"/>
      <c r="N4397" s="400">
        <f t="shared" si="227"/>
        <v>4.3578393171312371</v>
      </c>
    </row>
    <row r="4398" spans="1:14" s="360" customFormat="1" hidden="1" outlineLevel="2" x14ac:dyDescent="0.35">
      <c r="A4398" s="403" t="s">
        <v>7306</v>
      </c>
      <c r="B4398" s="397">
        <v>44343</v>
      </c>
      <c r="C4398" s="398" t="s">
        <v>4543</v>
      </c>
      <c r="D4398" s="399" t="s">
        <v>4544</v>
      </c>
      <c r="E4398" s="399" t="s">
        <v>7308</v>
      </c>
      <c r="F4398" s="400">
        <v>1171171.17</v>
      </c>
      <c r="G4398" s="401" t="s">
        <v>3800</v>
      </c>
      <c r="H4398" s="402">
        <v>435.78393171312365</v>
      </c>
      <c r="I4398" s="402"/>
      <c r="J4398" s="400"/>
      <c r="K4398" s="400"/>
      <c r="L4398" s="400"/>
      <c r="M4398" s="400"/>
      <c r="N4398" s="400">
        <f t="shared" si="227"/>
        <v>435.78393171312365</v>
      </c>
    </row>
    <row r="4399" spans="1:14" s="360" customFormat="1" hidden="1" outlineLevel="2" collapsed="1" x14ac:dyDescent="0.35">
      <c r="A4399" s="403" t="s">
        <v>7306</v>
      </c>
      <c r="B4399" s="397">
        <v>44343</v>
      </c>
      <c r="C4399" s="398" t="s">
        <v>4545</v>
      </c>
      <c r="D4399" s="399" t="s">
        <v>4546</v>
      </c>
      <c r="E4399" s="399" t="s">
        <v>4272</v>
      </c>
      <c r="F4399" s="400">
        <v>117117.117</v>
      </c>
      <c r="G4399" s="401" t="s">
        <v>3800</v>
      </c>
      <c r="H4399" s="402">
        <v>43.578393171312371</v>
      </c>
      <c r="I4399" s="402"/>
      <c r="J4399" s="400"/>
      <c r="K4399" s="400"/>
      <c r="L4399" s="400"/>
      <c r="M4399" s="400"/>
      <c r="N4399" s="400">
        <f t="shared" si="227"/>
        <v>43.578393171312371</v>
      </c>
    </row>
    <row r="4400" spans="1:14" s="360" customFormat="1" hidden="1" outlineLevel="2" x14ac:dyDescent="0.35">
      <c r="A4400" s="403" t="s">
        <v>7306</v>
      </c>
      <c r="B4400" s="397">
        <v>44343</v>
      </c>
      <c r="C4400" s="398" t="s">
        <v>4547</v>
      </c>
      <c r="D4400" s="399" t="s">
        <v>4548</v>
      </c>
      <c r="E4400" s="399" t="s">
        <v>4042</v>
      </c>
      <c r="F4400" s="400">
        <v>11711.7117</v>
      </c>
      <c r="G4400" s="401" t="s">
        <v>3800</v>
      </c>
      <c r="H4400" s="402">
        <v>4.3578393171312371</v>
      </c>
      <c r="I4400" s="402"/>
      <c r="J4400" s="400"/>
      <c r="K4400" s="400"/>
      <c r="L4400" s="400"/>
      <c r="M4400" s="400"/>
      <c r="N4400" s="400">
        <f t="shared" si="227"/>
        <v>4.3578393171312371</v>
      </c>
    </row>
    <row r="4401" spans="1:14" s="360" customFormat="1" hidden="1" outlineLevel="2" collapsed="1" x14ac:dyDescent="0.35">
      <c r="A4401" s="403" t="s">
        <v>7306</v>
      </c>
      <c r="B4401" s="397">
        <v>44376</v>
      </c>
      <c r="C4401" s="398" t="s">
        <v>4549</v>
      </c>
      <c r="D4401" s="399" t="s">
        <v>4550</v>
      </c>
      <c r="E4401" s="399" t="s">
        <v>7307</v>
      </c>
      <c r="F4401" s="400">
        <v>1171171.17</v>
      </c>
      <c r="G4401" s="401" t="s">
        <v>3800</v>
      </c>
      <c r="H4401" s="402">
        <v>435.78393171312365</v>
      </c>
      <c r="I4401" s="402"/>
      <c r="J4401" s="400"/>
      <c r="K4401" s="400"/>
      <c r="L4401" s="400"/>
      <c r="M4401" s="400"/>
      <c r="N4401" s="400">
        <f t="shared" si="227"/>
        <v>435.78393171312365</v>
      </c>
    </row>
    <row r="4402" spans="1:14" s="360" customFormat="1" hidden="1" outlineLevel="2" x14ac:dyDescent="0.35">
      <c r="A4402" s="403" t="s">
        <v>7306</v>
      </c>
      <c r="B4402" s="397">
        <v>44376</v>
      </c>
      <c r="C4402" s="398" t="s">
        <v>4551</v>
      </c>
      <c r="D4402" s="399" t="s">
        <v>4552</v>
      </c>
      <c r="E4402" s="399" t="s">
        <v>4272</v>
      </c>
      <c r="F4402" s="400">
        <v>117117.117</v>
      </c>
      <c r="G4402" s="401" t="s">
        <v>3800</v>
      </c>
      <c r="H4402" s="402">
        <v>43.578393171312371</v>
      </c>
      <c r="I4402" s="402"/>
      <c r="J4402" s="400"/>
      <c r="K4402" s="400"/>
      <c r="L4402" s="400"/>
      <c r="M4402" s="400"/>
      <c r="N4402" s="400">
        <f t="shared" si="227"/>
        <v>43.578393171312371</v>
      </c>
    </row>
    <row r="4403" spans="1:14" s="360" customFormat="1" hidden="1" outlineLevel="2" collapsed="1" x14ac:dyDescent="0.35">
      <c r="A4403" s="403" t="s">
        <v>7306</v>
      </c>
      <c r="B4403" s="397">
        <v>44376</v>
      </c>
      <c r="C4403" s="398" t="s">
        <v>4553</v>
      </c>
      <c r="D4403" s="399" t="s">
        <v>4554</v>
      </c>
      <c r="E4403" s="399" t="s">
        <v>4042</v>
      </c>
      <c r="F4403" s="400">
        <v>11711.7117</v>
      </c>
      <c r="G4403" s="401" t="s">
        <v>3800</v>
      </c>
      <c r="H4403" s="402">
        <v>4.3578393171312371</v>
      </c>
      <c r="I4403" s="402"/>
      <c r="J4403" s="400"/>
      <c r="K4403" s="400"/>
      <c r="L4403" s="400"/>
      <c r="M4403" s="400"/>
      <c r="N4403" s="400">
        <f t="shared" si="227"/>
        <v>4.3578393171312371</v>
      </c>
    </row>
    <row r="4404" spans="1:14" s="360" customFormat="1" hidden="1" outlineLevel="2" x14ac:dyDescent="0.35">
      <c r="A4404" s="403" t="s">
        <v>7306</v>
      </c>
      <c r="B4404" s="397">
        <v>44376</v>
      </c>
      <c r="C4404" s="398" t="s">
        <v>4549</v>
      </c>
      <c r="D4404" s="399" t="s">
        <v>4550</v>
      </c>
      <c r="E4404" s="399" t="s">
        <v>7308</v>
      </c>
      <c r="F4404" s="400">
        <v>1171171.17</v>
      </c>
      <c r="G4404" s="401" t="s">
        <v>3800</v>
      </c>
      <c r="H4404" s="402">
        <v>435.78393171312365</v>
      </c>
      <c r="I4404" s="402"/>
      <c r="J4404" s="400"/>
      <c r="K4404" s="400"/>
      <c r="L4404" s="400"/>
      <c r="M4404" s="400"/>
      <c r="N4404" s="400">
        <f t="shared" si="227"/>
        <v>435.78393171312365</v>
      </c>
    </row>
    <row r="4405" spans="1:14" s="360" customFormat="1" hidden="1" outlineLevel="2" x14ac:dyDescent="0.35">
      <c r="A4405" s="403" t="s">
        <v>7306</v>
      </c>
      <c r="B4405" s="397">
        <v>44376</v>
      </c>
      <c r="C4405" s="398" t="s">
        <v>4551</v>
      </c>
      <c r="D4405" s="399" t="s">
        <v>4552</v>
      </c>
      <c r="E4405" s="399" t="s">
        <v>4272</v>
      </c>
      <c r="F4405" s="400">
        <v>117117.117</v>
      </c>
      <c r="G4405" s="401" t="s">
        <v>3800</v>
      </c>
      <c r="H4405" s="402">
        <v>43.578393171312371</v>
      </c>
      <c r="I4405" s="402"/>
      <c r="J4405" s="400"/>
      <c r="K4405" s="400"/>
      <c r="L4405" s="400"/>
      <c r="M4405" s="400"/>
      <c r="N4405" s="400">
        <f t="shared" si="227"/>
        <v>43.578393171312371</v>
      </c>
    </row>
    <row r="4406" spans="1:14" s="360" customFormat="1" hidden="1" outlineLevel="2" collapsed="1" x14ac:dyDescent="0.35">
      <c r="A4406" s="403" t="s">
        <v>7306</v>
      </c>
      <c r="B4406" s="397">
        <v>44376</v>
      </c>
      <c r="C4406" s="398" t="s">
        <v>4553</v>
      </c>
      <c r="D4406" s="399" t="s">
        <v>4554</v>
      </c>
      <c r="E4406" s="399" t="s">
        <v>4042</v>
      </c>
      <c r="F4406" s="400">
        <v>11711.7117</v>
      </c>
      <c r="G4406" s="401" t="s">
        <v>3800</v>
      </c>
      <c r="H4406" s="402">
        <v>4.3578393171312371</v>
      </c>
      <c r="I4406" s="402"/>
      <c r="J4406" s="400"/>
      <c r="K4406" s="400"/>
      <c r="L4406" s="400"/>
      <c r="M4406" s="400"/>
      <c r="N4406" s="400">
        <f t="shared" si="227"/>
        <v>4.3578393171312371</v>
      </c>
    </row>
    <row r="4407" spans="1:14" s="360" customFormat="1" hidden="1" outlineLevel="2" x14ac:dyDescent="0.35">
      <c r="A4407" s="403" t="s">
        <v>7306</v>
      </c>
      <c r="B4407" s="397">
        <v>44407</v>
      </c>
      <c r="C4407" s="398" t="s">
        <v>4555</v>
      </c>
      <c r="D4407" s="399" t="s">
        <v>4556</v>
      </c>
      <c r="E4407" s="399" t="s">
        <v>7307</v>
      </c>
      <c r="F4407" s="400">
        <v>1171171.17</v>
      </c>
      <c r="G4407" s="401" t="s">
        <v>3800</v>
      </c>
      <c r="H4407" s="402">
        <v>435.78393171312365</v>
      </c>
      <c r="I4407" s="402"/>
      <c r="J4407" s="400"/>
      <c r="K4407" s="400"/>
      <c r="L4407" s="400"/>
      <c r="M4407" s="400"/>
      <c r="N4407" s="400">
        <f t="shared" si="227"/>
        <v>435.78393171312365</v>
      </c>
    </row>
    <row r="4408" spans="1:14" s="360" customFormat="1" hidden="1" outlineLevel="2" x14ac:dyDescent="0.35">
      <c r="A4408" s="403" t="s">
        <v>7306</v>
      </c>
      <c r="B4408" s="397">
        <v>44407</v>
      </c>
      <c r="C4408" s="398" t="s">
        <v>4557</v>
      </c>
      <c r="D4408" s="399" t="s">
        <v>4558</v>
      </c>
      <c r="E4408" s="399" t="s">
        <v>4272</v>
      </c>
      <c r="F4408" s="400">
        <v>117117.117</v>
      </c>
      <c r="G4408" s="401" t="s">
        <v>3800</v>
      </c>
      <c r="H4408" s="402">
        <v>43.578393171312371</v>
      </c>
      <c r="I4408" s="402"/>
      <c r="J4408" s="400"/>
      <c r="K4408" s="400"/>
      <c r="L4408" s="400"/>
      <c r="M4408" s="400"/>
      <c r="N4408" s="400">
        <f t="shared" si="227"/>
        <v>43.578393171312371</v>
      </c>
    </row>
    <row r="4409" spans="1:14" s="360" customFormat="1" hidden="1" outlineLevel="2" x14ac:dyDescent="0.35">
      <c r="A4409" s="403" t="s">
        <v>7306</v>
      </c>
      <c r="B4409" s="397">
        <v>44407</v>
      </c>
      <c r="C4409" s="398" t="s">
        <v>4559</v>
      </c>
      <c r="D4409" s="399" t="s">
        <v>4560</v>
      </c>
      <c r="E4409" s="399" t="s">
        <v>4042</v>
      </c>
      <c r="F4409" s="400">
        <v>7027.03</v>
      </c>
      <c r="G4409" s="401" t="s">
        <v>3800</v>
      </c>
      <c r="H4409" s="402">
        <v>2.6147046991141965</v>
      </c>
      <c r="I4409" s="402"/>
      <c r="J4409" s="400"/>
      <c r="K4409" s="400"/>
      <c r="L4409" s="400"/>
      <c r="M4409" s="400"/>
      <c r="N4409" s="400">
        <f t="shared" si="227"/>
        <v>2.6147046991141965</v>
      </c>
    </row>
    <row r="4410" spans="1:14" s="360" customFormat="1" hidden="1" outlineLevel="2" x14ac:dyDescent="0.35">
      <c r="A4410" s="403" t="s">
        <v>7306</v>
      </c>
      <c r="B4410" s="397">
        <v>44407</v>
      </c>
      <c r="C4410" s="398" t="s">
        <v>4555</v>
      </c>
      <c r="D4410" s="399" t="s">
        <v>4556</v>
      </c>
      <c r="E4410" s="399" t="s">
        <v>7308</v>
      </c>
      <c r="F4410" s="400">
        <v>1171171.17</v>
      </c>
      <c r="G4410" s="401" t="s">
        <v>3800</v>
      </c>
      <c r="H4410" s="402">
        <v>435.78393171312365</v>
      </c>
      <c r="I4410" s="402"/>
      <c r="J4410" s="400"/>
      <c r="K4410" s="400"/>
      <c r="L4410" s="400"/>
      <c r="M4410" s="400"/>
      <c r="N4410" s="400">
        <f t="shared" si="227"/>
        <v>435.78393171312365</v>
      </c>
    </row>
    <row r="4411" spans="1:14" s="360" customFormat="1" hidden="1" outlineLevel="2" x14ac:dyDescent="0.35">
      <c r="A4411" s="403" t="s">
        <v>7306</v>
      </c>
      <c r="B4411" s="397">
        <v>44407</v>
      </c>
      <c r="C4411" s="398" t="s">
        <v>4557</v>
      </c>
      <c r="D4411" s="399" t="s">
        <v>4558</v>
      </c>
      <c r="E4411" s="399" t="s">
        <v>4272</v>
      </c>
      <c r="F4411" s="400">
        <v>117117.117</v>
      </c>
      <c r="G4411" s="401" t="s">
        <v>3800</v>
      </c>
      <c r="H4411" s="402">
        <v>43.578393171312371</v>
      </c>
      <c r="I4411" s="402"/>
      <c r="J4411" s="400"/>
      <c r="K4411" s="400"/>
      <c r="L4411" s="400"/>
      <c r="M4411" s="400"/>
      <c r="N4411" s="400">
        <f t="shared" si="227"/>
        <v>43.578393171312371</v>
      </c>
    </row>
    <row r="4412" spans="1:14" s="360" customFormat="1" hidden="1" outlineLevel="2" x14ac:dyDescent="0.35">
      <c r="A4412" s="403" t="s">
        <v>7306</v>
      </c>
      <c r="B4412" s="397">
        <v>44407</v>
      </c>
      <c r="C4412" s="398" t="s">
        <v>4559</v>
      </c>
      <c r="D4412" s="399" t="s">
        <v>4560</v>
      </c>
      <c r="E4412" s="399" t="s">
        <v>4042</v>
      </c>
      <c r="F4412" s="400">
        <v>7027.03</v>
      </c>
      <c r="G4412" s="401" t="s">
        <v>3800</v>
      </c>
      <c r="H4412" s="402">
        <v>2.6147046991141965</v>
      </c>
      <c r="I4412" s="402"/>
      <c r="J4412" s="400"/>
      <c r="K4412" s="400"/>
      <c r="L4412" s="400"/>
      <c r="M4412" s="400"/>
      <c r="N4412" s="400">
        <f t="shared" si="227"/>
        <v>2.6147046991141965</v>
      </c>
    </row>
    <row r="4413" spans="1:14" s="360" customFormat="1" hidden="1" outlineLevel="2" x14ac:dyDescent="0.35">
      <c r="A4413" s="403" t="s">
        <v>7306</v>
      </c>
      <c r="B4413" s="397">
        <v>44438</v>
      </c>
      <c r="C4413" s="398" t="s">
        <v>4561</v>
      </c>
      <c r="D4413" s="399" t="s">
        <v>4562</v>
      </c>
      <c r="E4413" s="399" t="s">
        <v>7307</v>
      </c>
      <c r="F4413" s="400">
        <v>1171171.17</v>
      </c>
      <c r="G4413" s="401" t="s">
        <v>3800</v>
      </c>
      <c r="H4413" s="402">
        <v>435.78393171312365</v>
      </c>
      <c r="I4413" s="402"/>
      <c r="J4413" s="400"/>
      <c r="K4413" s="400"/>
      <c r="L4413" s="400"/>
      <c r="M4413" s="400"/>
      <c r="N4413" s="400">
        <f t="shared" si="227"/>
        <v>435.78393171312365</v>
      </c>
    </row>
    <row r="4414" spans="1:14" s="360" customFormat="1" hidden="1" outlineLevel="2" x14ac:dyDescent="0.35">
      <c r="A4414" s="403" t="s">
        <v>7306</v>
      </c>
      <c r="B4414" s="397">
        <v>44438</v>
      </c>
      <c r="C4414" s="398" t="s">
        <v>4564</v>
      </c>
      <c r="D4414" s="399" t="s">
        <v>4565</v>
      </c>
      <c r="E4414" s="399" t="s">
        <v>4272</v>
      </c>
      <c r="F4414" s="400">
        <v>117117.117</v>
      </c>
      <c r="G4414" s="401" t="s">
        <v>3800</v>
      </c>
      <c r="H4414" s="402">
        <v>43.578393171312371</v>
      </c>
      <c r="I4414" s="402"/>
      <c r="J4414" s="400"/>
      <c r="K4414" s="400"/>
      <c r="L4414" s="400"/>
      <c r="M4414" s="400"/>
      <c r="N4414" s="400">
        <f t="shared" si="227"/>
        <v>43.578393171312371</v>
      </c>
    </row>
    <row r="4415" spans="1:14" s="360" customFormat="1" hidden="1" outlineLevel="2" x14ac:dyDescent="0.35">
      <c r="A4415" s="403" t="s">
        <v>7306</v>
      </c>
      <c r="B4415" s="397">
        <v>44438</v>
      </c>
      <c r="C4415" s="398" t="s">
        <v>4566</v>
      </c>
      <c r="D4415" s="399" t="s">
        <v>4567</v>
      </c>
      <c r="E4415" s="399" t="s">
        <v>4042</v>
      </c>
      <c r="F4415" s="400">
        <v>7027.03</v>
      </c>
      <c r="G4415" s="401" t="s">
        <v>3800</v>
      </c>
      <c r="H4415" s="402">
        <v>2.6147046991141965</v>
      </c>
      <c r="I4415" s="402"/>
      <c r="J4415" s="400"/>
      <c r="K4415" s="400"/>
      <c r="L4415" s="400"/>
      <c r="M4415" s="400"/>
      <c r="N4415" s="400">
        <f t="shared" si="227"/>
        <v>2.6147046991141965</v>
      </c>
    </row>
    <row r="4416" spans="1:14" s="360" customFormat="1" hidden="1" outlineLevel="2" x14ac:dyDescent="0.35">
      <c r="A4416" s="403" t="s">
        <v>7306</v>
      </c>
      <c r="B4416" s="397">
        <v>44438</v>
      </c>
      <c r="C4416" s="398" t="s">
        <v>4561</v>
      </c>
      <c r="D4416" s="399" t="s">
        <v>4562</v>
      </c>
      <c r="E4416" s="399" t="s">
        <v>7308</v>
      </c>
      <c r="F4416" s="400">
        <v>1171171.17</v>
      </c>
      <c r="G4416" s="401" t="s">
        <v>3800</v>
      </c>
      <c r="H4416" s="402">
        <v>435.78393171312365</v>
      </c>
      <c r="I4416" s="402"/>
      <c r="J4416" s="400"/>
      <c r="K4416" s="400"/>
      <c r="L4416" s="400"/>
      <c r="M4416" s="400"/>
      <c r="N4416" s="400">
        <f t="shared" si="227"/>
        <v>435.78393171312365</v>
      </c>
    </row>
    <row r="4417" spans="1:14" s="360" customFormat="1" hidden="1" outlineLevel="2" x14ac:dyDescent="0.35">
      <c r="A4417" s="403" t="s">
        <v>7306</v>
      </c>
      <c r="B4417" s="397">
        <v>44438</v>
      </c>
      <c r="C4417" s="398" t="s">
        <v>4564</v>
      </c>
      <c r="D4417" s="399" t="s">
        <v>4565</v>
      </c>
      <c r="E4417" s="399" t="s">
        <v>4272</v>
      </c>
      <c r="F4417" s="400">
        <v>117117.117</v>
      </c>
      <c r="G4417" s="401" t="s">
        <v>3800</v>
      </c>
      <c r="H4417" s="402">
        <v>43.578393171312371</v>
      </c>
      <c r="I4417" s="402"/>
      <c r="J4417" s="400"/>
      <c r="K4417" s="400"/>
      <c r="L4417" s="400"/>
      <c r="M4417" s="400"/>
      <c r="N4417" s="400">
        <f t="shared" si="227"/>
        <v>43.578393171312371</v>
      </c>
    </row>
    <row r="4418" spans="1:14" s="360" customFormat="1" hidden="1" outlineLevel="2" x14ac:dyDescent="0.35">
      <c r="A4418" s="403" t="s">
        <v>7306</v>
      </c>
      <c r="B4418" s="397">
        <v>44438</v>
      </c>
      <c r="C4418" s="398" t="s">
        <v>4566</v>
      </c>
      <c r="D4418" s="399" t="s">
        <v>4567</v>
      </c>
      <c r="E4418" s="399" t="s">
        <v>4042</v>
      </c>
      <c r="F4418" s="400">
        <v>7027.03</v>
      </c>
      <c r="G4418" s="401" t="s">
        <v>3800</v>
      </c>
      <c r="H4418" s="402">
        <v>2.6147046991141965</v>
      </c>
      <c r="I4418" s="402"/>
      <c r="J4418" s="400"/>
      <c r="K4418" s="400"/>
      <c r="L4418" s="400"/>
      <c r="M4418" s="400"/>
      <c r="N4418" s="400">
        <f t="shared" si="227"/>
        <v>2.6147046991141965</v>
      </c>
    </row>
    <row r="4419" spans="1:14" s="360" customFormat="1" hidden="1" outlineLevel="2" x14ac:dyDescent="0.35">
      <c r="A4419" s="403" t="s">
        <v>7306</v>
      </c>
      <c r="B4419" s="397">
        <v>44467</v>
      </c>
      <c r="C4419" s="398" t="s">
        <v>4568</v>
      </c>
      <c r="D4419" s="399" t="s">
        <v>4569</v>
      </c>
      <c r="E4419" s="399" t="s">
        <v>7307</v>
      </c>
      <c r="F4419" s="400">
        <v>1171171.17</v>
      </c>
      <c r="G4419" s="401" t="s">
        <v>3800</v>
      </c>
      <c r="H4419" s="402">
        <v>435.78393171312365</v>
      </c>
      <c r="I4419" s="402"/>
      <c r="J4419" s="400"/>
      <c r="K4419" s="400"/>
      <c r="L4419" s="400"/>
      <c r="M4419" s="400"/>
      <c r="N4419" s="400">
        <f t="shared" si="227"/>
        <v>435.78393171312365</v>
      </c>
    </row>
    <row r="4420" spans="1:14" s="360" customFormat="1" hidden="1" outlineLevel="2" x14ac:dyDescent="0.35">
      <c r="A4420" s="403" t="s">
        <v>7306</v>
      </c>
      <c r="B4420" s="397">
        <v>44467</v>
      </c>
      <c r="C4420" s="398" t="s">
        <v>4570</v>
      </c>
      <c r="D4420" s="399" t="s">
        <v>4602</v>
      </c>
      <c r="E4420" s="399" t="s">
        <v>4272</v>
      </c>
      <c r="F4420" s="400">
        <v>117117.117</v>
      </c>
      <c r="G4420" s="401" t="s">
        <v>3800</v>
      </c>
      <c r="H4420" s="402">
        <v>43.578393171312371</v>
      </c>
      <c r="I4420" s="402"/>
      <c r="J4420" s="400"/>
      <c r="K4420" s="400"/>
      <c r="L4420" s="400"/>
      <c r="M4420" s="400"/>
      <c r="N4420" s="400">
        <f t="shared" si="227"/>
        <v>43.578393171312371</v>
      </c>
    </row>
    <row r="4421" spans="1:14" s="360" customFormat="1" hidden="1" outlineLevel="2" x14ac:dyDescent="0.35">
      <c r="A4421" s="403" t="s">
        <v>7306</v>
      </c>
      <c r="B4421" s="397">
        <v>44467</v>
      </c>
      <c r="C4421" s="398" t="s">
        <v>4572</v>
      </c>
      <c r="D4421" s="399" t="s">
        <v>4603</v>
      </c>
      <c r="E4421" s="399" t="s">
        <v>4042</v>
      </c>
      <c r="F4421" s="400">
        <v>7027.03</v>
      </c>
      <c r="G4421" s="401" t="s">
        <v>3800</v>
      </c>
      <c r="H4421" s="402">
        <v>2.6147046991141965</v>
      </c>
      <c r="I4421" s="402"/>
      <c r="J4421" s="400"/>
      <c r="K4421" s="400"/>
      <c r="L4421" s="400"/>
      <c r="M4421" s="400"/>
      <c r="N4421" s="400">
        <f t="shared" si="227"/>
        <v>2.6147046991141965</v>
      </c>
    </row>
    <row r="4422" spans="1:14" s="360" customFormat="1" hidden="1" outlineLevel="2" x14ac:dyDescent="0.35">
      <c r="A4422" s="403" t="s">
        <v>7306</v>
      </c>
      <c r="B4422" s="397">
        <v>44467</v>
      </c>
      <c r="C4422" s="398" t="s">
        <v>4568</v>
      </c>
      <c r="D4422" s="399" t="s">
        <v>4569</v>
      </c>
      <c r="E4422" s="399" t="s">
        <v>7308</v>
      </c>
      <c r="F4422" s="400">
        <v>1171171.17</v>
      </c>
      <c r="G4422" s="401" t="s">
        <v>3800</v>
      </c>
      <c r="H4422" s="402">
        <v>435.78393171312365</v>
      </c>
      <c r="I4422" s="402"/>
      <c r="J4422" s="400"/>
      <c r="K4422" s="400"/>
      <c r="L4422" s="400"/>
      <c r="M4422" s="400"/>
      <c r="N4422" s="400">
        <f t="shared" si="227"/>
        <v>435.78393171312365</v>
      </c>
    </row>
    <row r="4423" spans="1:14" s="360" customFormat="1" hidden="1" outlineLevel="2" x14ac:dyDescent="0.35">
      <c r="A4423" s="403" t="s">
        <v>7306</v>
      </c>
      <c r="B4423" s="397">
        <v>44467</v>
      </c>
      <c r="C4423" s="398" t="s">
        <v>4570</v>
      </c>
      <c r="D4423" s="399" t="s">
        <v>4602</v>
      </c>
      <c r="E4423" s="399" t="s">
        <v>4272</v>
      </c>
      <c r="F4423" s="400">
        <v>117117.117</v>
      </c>
      <c r="G4423" s="401" t="s">
        <v>3800</v>
      </c>
      <c r="H4423" s="402">
        <v>43.578393171312371</v>
      </c>
      <c r="I4423" s="402"/>
      <c r="J4423" s="400"/>
      <c r="K4423" s="400"/>
      <c r="L4423" s="400"/>
      <c r="M4423" s="400"/>
      <c r="N4423" s="400">
        <f t="shared" si="227"/>
        <v>43.578393171312371</v>
      </c>
    </row>
    <row r="4424" spans="1:14" s="360" customFormat="1" hidden="1" outlineLevel="2" x14ac:dyDescent="0.35">
      <c r="A4424" s="403" t="s">
        <v>7306</v>
      </c>
      <c r="B4424" s="397">
        <v>44467</v>
      </c>
      <c r="C4424" s="398" t="s">
        <v>4572</v>
      </c>
      <c r="D4424" s="399" t="s">
        <v>4603</v>
      </c>
      <c r="E4424" s="399" t="s">
        <v>4042</v>
      </c>
      <c r="F4424" s="400">
        <v>7027.03</v>
      </c>
      <c r="G4424" s="401" t="s">
        <v>3800</v>
      </c>
      <c r="H4424" s="402">
        <v>2.6147046991141965</v>
      </c>
      <c r="I4424" s="402"/>
      <c r="J4424" s="400"/>
      <c r="K4424" s="400"/>
      <c r="L4424" s="400"/>
      <c r="M4424" s="400"/>
      <c r="N4424" s="400">
        <f t="shared" si="227"/>
        <v>2.6147046991141965</v>
      </c>
    </row>
    <row r="4425" spans="1:14" s="360" customFormat="1" hidden="1" outlineLevel="2" collapsed="1" x14ac:dyDescent="0.35">
      <c r="A4425" s="403" t="s">
        <v>7306</v>
      </c>
      <c r="B4425" s="397">
        <v>44497</v>
      </c>
      <c r="C4425" s="398" t="s">
        <v>4574</v>
      </c>
      <c r="D4425" s="399" t="s">
        <v>4575</v>
      </c>
      <c r="E4425" s="399" t="s">
        <v>7307</v>
      </c>
      <c r="F4425" s="400">
        <v>1171171.17</v>
      </c>
      <c r="G4425" s="401" t="s">
        <v>3800</v>
      </c>
      <c r="H4425" s="402">
        <v>435.78393171312365</v>
      </c>
      <c r="I4425" s="402"/>
      <c r="J4425" s="400"/>
      <c r="K4425" s="400"/>
      <c r="L4425" s="400"/>
      <c r="M4425" s="400"/>
      <c r="N4425" s="400">
        <f t="shared" si="227"/>
        <v>435.78393171312365</v>
      </c>
    </row>
    <row r="4426" spans="1:14" s="360" customFormat="1" hidden="1" outlineLevel="2" x14ac:dyDescent="0.35">
      <c r="A4426" s="403" t="s">
        <v>7306</v>
      </c>
      <c r="B4426" s="397">
        <v>44497</v>
      </c>
      <c r="C4426" s="398" t="s">
        <v>4576</v>
      </c>
      <c r="D4426" s="399" t="s">
        <v>4604</v>
      </c>
      <c r="E4426" s="399" t="s">
        <v>4272</v>
      </c>
      <c r="F4426" s="400">
        <v>117117.117</v>
      </c>
      <c r="G4426" s="401" t="s">
        <v>3800</v>
      </c>
      <c r="H4426" s="402">
        <v>43.578393171312371</v>
      </c>
      <c r="I4426" s="402"/>
      <c r="J4426" s="400"/>
      <c r="K4426" s="400"/>
      <c r="L4426" s="400"/>
      <c r="M4426" s="400"/>
      <c r="N4426" s="400">
        <f t="shared" si="227"/>
        <v>43.578393171312371</v>
      </c>
    </row>
    <row r="4427" spans="1:14" s="360" customFormat="1" hidden="1" outlineLevel="2" x14ac:dyDescent="0.35">
      <c r="A4427" s="403" t="s">
        <v>7306</v>
      </c>
      <c r="B4427" s="397">
        <v>44497</v>
      </c>
      <c r="C4427" s="398" t="s">
        <v>4578</v>
      </c>
      <c r="D4427" s="399" t="s">
        <v>4605</v>
      </c>
      <c r="E4427" s="399" t="s">
        <v>4042</v>
      </c>
      <c r="F4427" s="400">
        <v>7027.03</v>
      </c>
      <c r="G4427" s="401" t="s">
        <v>3800</v>
      </c>
      <c r="H4427" s="402">
        <v>2.6147046991141965</v>
      </c>
      <c r="I4427" s="402"/>
      <c r="J4427" s="400"/>
      <c r="K4427" s="400"/>
      <c r="L4427" s="400"/>
      <c r="M4427" s="400"/>
      <c r="N4427" s="400">
        <f t="shared" si="227"/>
        <v>2.6147046991141965</v>
      </c>
    </row>
    <row r="4428" spans="1:14" s="360" customFormat="1" hidden="1" outlineLevel="2" x14ac:dyDescent="0.35">
      <c r="A4428" s="403" t="s">
        <v>7306</v>
      </c>
      <c r="B4428" s="397">
        <v>44497</v>
      </c>
      <c r="C4428" s="398" t="s">
        <v>4574</v>
      </c>
      <c r="D4428" s="399" t="s">
        <v>4575</v>
      </c>
      <c r="E4428" s="399" t="s">
        <v>7308</v>
      </c>
      <c r="F4428" s="400">
        <v>1171171.17</v>
      </c>
      <c r="G4428" s="401" t="s">
        <v>3800</v>
      </c>
      <c r="H4428" s="402">
        <v>435.78393171312365</v>
      </c>
      <c r="I4428" s="402"/>
      <c r="J4428" s="400"/>
      <c r="K4428" s="400"/>
      <c r="L4428" s="400"/>
      <c r="M4428" s="400"/>
      <c r="N4428" s="400">
        <f t="shared" si="227"/>
        <v>435.78393171312365</v>
      </c>
    </row>
    <row r="4429" spans="1:14" s="360" customFormat="1" hidden="1" outlineLevel="2" collapsed="1" x14ac:dyDescent="0.35">
      <c r="A4429" s="403" t="s">
        <v>7306</v>
      </c>
      <c r="B4429" s="397">
        <v>44497</v>
      </c>
      <c r="C4429" s="398" t="s">
        <v>4576</v>
      </c>
      <c r="D4429" s="399" t="s">
        <v>4604</v>
      </c>
      <c r="E4429" s="399" t="s">
        <v>4272</v>
      </c>
      <c r="F4429" s="400">
        <v>117117.117</v>
      </c>
      <c r="G4429" s="401" t="s">
        <v>3800</v>
      </c>
      <c r="H4429" s="402">
        <v>43.578393171312371</v>
      </c>
      <c r="I4429" s="402"/>
      <c r="J4429" s="400"/>
      <c r="K4429" s="400"/>
      <c r="L4429" s="400"/>
      <c r="M4429" s="400"/>
      <c r="N4429" s="400">
        <f t="shared" si="227"/>
        <v>43.578393171312371</v>
      </c>
    </row>
    <row r="4430" spans="1:14" s="360" customFormat="1" hidden="1" outlineLevel="2" x14ac:dyDescent="0.35">
      <c r="A4430" s="403" t="s">
        <v>7306</v>
      </c>
      <c r="B4430" s="397">
        <v>44497</v>
      </c>
      <c r="C4430" s="398" t="s">
        <v>4578</v>
      </c>
      <c r="D4430" s="399" t="s">
        <v>4605</v>
      </c>
      <c r="E4430" s="399" t="s">
        <v>4042</v>
      </c>
      <c r="F4430" s="400">
        <v>7027.03</v>
      </c>
      <c r="G4430" s="401" t="s">
        <v>3800</v>
      </c>
      <c r="H4430" s="402">
        <v>2.6147046991141965</v>
      </c>
      <c r="I4430" s="402"/>
      <c r="J4430" s="400"/>
      <c r="K4430" s="400"/>
      <c r="L4430" s="400"/>
      <c r="M4430" s="400"/>
      <c r="N4430" s="400">
        <f t="shared" si="227"/>
        <v>2.6147046991141965</v>
      </c>
    </row>
    <row r="4431" spans="1:14" s="360" customFormat="1" hidden="1" outlineLevel="2" x14ac:dyDescent="0.35">
      <c r="A4431" s="403" t="s">
        <v>7306</v>
      </c>
      <c r="B4431" s="397">
        <v>44525</v>
      </c>
      <c r="C4431" s="398" t="s">
        <v>4580</v>
      </c>
      <c r="D4431" s="399" t="s">
        <v>4581</v>
      </c>
      <c r="E4431" s="399" t="s">
        <v>7307</v>
      </c>
      <c r="F4431" s="400">
        <v>1171171.17</v>
      </c>
      <c r="G4431" s="401" t="s">
        <v>3800</v>
      </c>
      <c r="H4431" s="402">
        <v>435.78393171312365</v>
      </c>
      <c r="I4431" s="402"/>
      <c r="J4431" s="400"/>
      <c r="K4431" s="400"/>
      <c r="L4431" s="400"/>
      <c r="M4431" s="400"/>
      <c r="N4431" s="400">
        <f t="shared" si="227"/>
        <v>435.78393171312365</v>
      </c>
    </row>
    <row r="4432" spans="1:14" s="360" customFormat="1" hidden="1" outlineLevel="2" x14ac:dyDescent="0.35">
      <c r="A4432" s="403" t="s">
        <v>7306</v>
      </c>
      <c r="B4432" s="397">
        <v>44525</v>
      </c>
      <c r="C4432" s="398" t="s">
        <v>4582</v>
      </c>
      <c r="D4432" s="399" t="s">
        <v>4583</v>
      </c>
      <c r="E4432" s="399" t="s">
        <v>4272</v>
      </c>
      <c r="F4432" s="400">
        <v>117117.117</v>
      </c>
      <c r="G4432" s="401" t="s">
        <v>3800</v>
      </c>
      <c r="H4432" s="402">
        <v>43.578393171312371</v>
      </c>
      <c r="I4432" s="402"/>
      <c r="J4432" s="400"/>
      <c r="K4432" s="400"/>
      <c r="L4432" s="400"/>
      <c r="M4432" s="400"/>
      <c r="N4432" s="400">
        <f t="shared" si="227"/>
        <v>43.578393171312371</v>
      </c>
    </row>
    <row r="4433" spans="1:14" s="360" customFormat="1" hidden="1" outlineLevel="2" x14ac:dyDescent="0.35">
      <c r="A4433" s="403" t="s">
        <v>7306</v>
      </c>
      <c r="B4433" s="397">
        <v>44525</v>
      </c>
      <c r="C4433" s="398" t="s">
        <v>4584</v>
      </c>
      <c r="D4433" s="399" t="s">
        <v>4585</v>
      </c>
      <c r="E4433" s="399" t="s">
        <v>4042</v>
      </c>
      <c r="F4433" s="400">
        <v>7027.03</v>
      </c>
      <c r="G4433" s="401" t="s">
        <v>3800</v>
      </c>
      <c r="H4433" s="402">
        <v>2.6147046991141965</v>
      </c>
      <c r="I4433" s="402"/>
      <c r="J4433" s="400"/>
      <c r="K4433" s="400"/>
      <c r="L4433" s="400"/>
      <c r="M4433" s="400"/>
      <c r="N4433" s="400">
        <f t="shared" si="227"/>
        <v>2.6147046991141965</v>
      </c>
    </row>
    <row r="4434" spans="1:14" s="360" customFormat="1" hidden="1" outlineLevel="2" x14ac:dyDescent="0.35">
      <c r="A4434" s="403" t="s">
        <v>7306</v>
      </c>
      <c r="B4434" s="397">
        <v>44525</v>
      </c>
      <c r="C4434" s="398" t="s">
        <v>4580</v>
      </c>
      <c r="D4434" s="399" t="s">
        <v>4581</v>
      </c>
      <c r="E4434" s="399" t="s">
        <v>7308</v>
      </c>
      <c r="F4434" s="400">
        <v>1171171.17</v>
      </c>
      <c r="G4434" s="401" t="s">
        <v>3800</v>
      </c>
      <c r="H4434" s="402">
        <v>435.78393171312365</v>
      </c>
      <c r="I4434" s="402"/>
      <c r="J4434" s="400"/>
      <c r="K4434" s="400"/>
      <c r="L4434" s="400"/>
      <c r="M4434" s="400"/>
      <c r="N4434" s="400">
        <f t="shared" si="227"/>
        <v>435.78393171312365</v>
      </c>
    </row>
    <row r="4435" spans="1:14" s="360" customFormat="1" hidden="1" outlineLevel="2" x14ac:dyDescent="0.35">
      <c r="A4435" s="403" t="s">
        <v>7306</v>
      </c>
      <c r="B4435" s="397">
        <v>44525</v>
      </c>
      <c r="C4435" s="398" t="s">
        <v>4582</v>
      </c>
      <c r="D4435" s="399" t="s">
        <v>4583</v>
      </c>
      <c r="E4435" s="399" t="s">
        <v>4272</v>
      </c>
      <c r="F4435" s="400">
        <v>117117.117</v>
      </c>
      <c r="G4435" s="401" t="s">
        <v>3800</v>
      </c>
      <c r="H4435" s="402">
        <v>43.578393171312371</v>
      </c>
      <c r="I4435" s="402"/>
      <c r="J4435" s="400"/>
      <c r="K4435" s="400"/>
      <c r="L4435" s="400"/>
      <c r="M4435" s="400"/>
      <c r="N4435" s="400">
        <f t="shared" si="227"/>
        <v>43.578393171312371</v>
      </c>
    </row>
    <row r="4436" spans="1:14" s="360" customFormat="1" hidden="1" outlineLevel="2" x14ac:dyDescent="0.35">
      <c r="A4436" s="403" t="s">
        <v>7306</v>
      </c>
      <c r="B4436" s="397">
        <v>44525</v>
      </c>
      <c r="C4436" s="398" t="s">
        <v>4584</v>
      </c>
      <c r="D4436" s="399" t="s">
        <v>4585</v>
      </c>
      <c r="E4436" s="399" t="s">
        <v>4042</v>
      </c>
      <c r="F4436" s="400">
        <v>7027.03</v>
      </c>
      <c r="G4436" s="401" t="s">
        <v>3800</v>
      </c>
      <c r="H4436" s="402">
        <v>2.6147046991141965</v>
      </c>
      <c r="I4436" s="402"/>
      <c r="J4436" s="400"/>
      <c r="K4436" s="400"/>
      <c r="L4436" s="400"/>
      <c r="M4436" s="400"/>
      <c r="N4436" s="400">
        <f t="shared" si="227"/>
        <v>2.6147046991141965</v>
      </c>
    </row>
    <row r="4437" spans="1:14" s="360" customFormat="1" hidden="1" outlineLevel="2" x14ac:dyDescent="0.35">
      <c r="A4437" s="403" t="s">
        <v>7306</v>
      </c>
      <c r="B4437" s="397">
        <v>44547</v>
      </c>
      <c r="C4437" s="398" t="s">
        <v>4586</v>
      </c>
      <c r="D4437" s="399" t="s">
        <v>7309</v>
      </c>
      <c r="E4437" s="399" t="s">
        <v>7307</v>
      </c>
      <c r="F4437" s="400">
        <v>1171171.17</v>
      </c>
      <c r="G4437" s="401" t="s">
        <v>3800</v>
      </c>
      <c r="H4437" s="402">
        <v>435.78393171312365</v>
      </c>
      <c r="I4437" s="402"/>
      <c r="J4437" s="400"/>
      <c r="K4437" s="400"/>
      <c r="L4437" s="400"/>
      <c r="M4437" s="400"/>
      <c r="N4437" s="400">
        <f t="shared" si="227"/>
        <v>435.78393171312365</v>
      </c>
    </row>
    <row r="4438" spans="1:14" s="360" customFormat="1" hidden="1" outlineLevel="2" x14ac:dyDescent="0.35">
      <c r="A4438" s="403" t="s">
        <v>7306</v>
      </c>
      <c r="B4438" s="397">
        <v>44547</v>
      </c>
      <c r="C4438" s="398" t="s">
        <v>4588</v>
      </c>
      <c r="D4438" s="399" t="s">
        <v>4589</v>
      </c>
      <c r="E4438" s="399" t="s">
        <v>4272</v>
      </c>
      <c r="F4438" s="400">
        <v>117117.117</v>
      </c>
      <c r="G4438" s="401" t="s">
        <v>3800</v>
      </c>
      <c r="H4438" s="402">
        <v>43.578393171312371</v>
      </c>
      <c r="I4438" s="402"/>
      <c r="J4438" s="400"/>
      <c r="K4438" s="400"/>
      <c r="L4438" s="400"/>
      <c r="M4438" s="400"/>
      <c r="N4438" s="400">
        <f t="shared" si="227"/>
        <v>43.578393171312371</v>
      </c>
    </row>
    <row r="4439" spans="1:14" s="360" customFormat="1" hidden="1" outlineLevel="2" x14ac:dyDescent="0.35">
      <c r="A4439" s="403" t="s">
        <v>7306</v>
      </c>
      <c r="B4439" s="397">
        <v>44547</v>
      </c>
      <c r="C4439" s="398" t="s">
        <v>4590</v>
      </c>
      <c r="D4439" s="399" t="s">
        <v>4591</v>
      </c>
      <c r="E4439" s="399" t="s">
        <v>4042</v>
      </c>
      <c r="F4439" s="400">
        <v>7027.03</v>
      </c>
      <c r="G4439" s="401" t="s">
        <v>3800</v>
      </c>
      <c r="H4439" s="402">
        <v>2.6147046991141965</v>
      </c>
      <c r="I4439" s="402"/>
      <c r="J4439" s="400"/>
      <c r="K4439" s="400"/>
      <c r="L4439" s="400"/>
      <c r="M4439" s="400"/>
      <c r="N4439" s="400">
        <f t="shared" si="227"/>
        <v>2.6147046991141965</v>
      </c>
    </row>
    <row r="4440" spans="1:14" s="360" customFormat="1" hidden="1" outlineLevel="2" collapsed="1" x14ac:dyDescent="0.35">
      <c r="A4440" s="403" t="s">
        <v>7306</v>
      </c>
      <c r="B4440" s="397">
        <v>44547</v>
      </c>
      <c r="C4440" s="398" t="s">
        <v>4586</v>
      </c>
      <c r="D4440" s="399" t="s">
        <v>4587</v>
      </c>
      <c r="E4440" s="399" t="s">
        <v>7308</v>
      </c>
      <c r="F4440" s="400">
        <v>1171171.17</v>
      </c>
      <c r="G4440" s="401" t="s">
        <v>3800</v>
      </c>
      <c r="H4440" s="402">
        <v>435.78393171312365</v>
      </c>
      <c r="I4440" s="402"/>
      <c r="J4440" s="400"/>
      <c r="K4440" s="400"/>
      <c r="L4440" s="400"/>
      <c r="M4440" s="400"/>
      <c r="N4440" s="400">
        <f t="shared" si="227"/>
        <v>435.78393171312365</v>
      </c>
    </row>
    <row r="4441" spans="1:14" s="360" customFormat="1" hidden="1" outlineLevel="2" x14ac:dyDescent="0.35">
      <c r="A4441" s="403" t="s">
        <v>7306</v>
      </c>
      <c r="B4441" s="397">
        <v>44547</v>
      </c>
      <c r="C4441" s="398" t="s">
        <v>4588</v>
      </c>
      <c r="D4441" s="399" t="s">
        <v>4589</v>
      </c>
      <c r="E4441" s="399" t="s">
        <v>4272</v>
      </c>
      <c r="F4441" s="400">
        <v>117117.117</v>
      </c>
      <c r="G4441" s="401" t="s">
        <v>3800</v>
      </c>
      <c r="H4441" s="402">
        <v>43.578393171312371</v>
      </c>
      <c r="I4441" s="402"/>
      <c r="J4441" s="400"/>
      <c r="K4441" s="400"/>
      <c r="L4441" s="400"/>
      <c r="M4441" s="400"/>
      <c r="N4441" s="400">
        <f t="shared" ref="N4441:N4442" si="228">H4441</f>
        <v>43.578393171312371</v>
      </c>
    </row>
    <row r="4442" spans="1:14" s="360" customFormat="1" hidden="1" outlineLevel="2" collapsed="1" x14ac:dyDescent="0.35">
      <c r="A4442" s="403" t="s">
        <v>7306</v>
      </c>
      <c r="B4442" s="397">
        <v>44547</v>
      </c>
      <c r="C4442" s="398" t="s">
        <v>4590</v>
      </c>
      <c r="D4442" s="399" t="s">
        <v>4591</v>
      </c>
      <c r="E4442" s="399" t="s">
        <v>4042</v>
      </c>
      <c r="F4442" s="400">
        <v>7027.03</v>
      </c>
      <c r="G4442" s="401" t="s">
        <v>3800</v>
      </c>
      <c r="H4442" s="402">
        <v>2.6147046991141965</v>
      </c>
      <c r="I4442" s="402"/>
      <c r="J4442" s="400"/>
      <c r="K4442" s="400"/>
      <c r="L4442" s="400"/>
      <c r="M4442" s="400"/>
      <c r="N4442" s="400">
        <f t="shared" si="228"/>
        <v>2.6147046991141965</v>
      </c>
    </row>
    <row r="4443" spans="1:14" s="360" customFormat="1" hidden="1" outlineLevel="2" x14ac:dyDescent="0.35">
      <c r="A4443" s="403" t="s">
        <v>7306</v>
      </c>
      <c r="B4443" s="397">
        <v>44587</v>
      </c>
      <c r="C4443" s="398" t="s">
        <v>4592</v>
      </c>
      <c r="D4443" s="399" t="s">
        <v>4593</v>
      </c>
      <c r="E4443" s="399" t="s">
        <v>7307</v>
      </c>
      <c r="F4443" s="400">
        <v>1171171.17</v>
      </c>
      <c r="G4443" s="401" t="s">
        <v>3800</v>
      </c>
      <c r="H4443" s="402">
        <v>435.78393171312365</v>
      </c>
      <c r="I4443" s="402"/>
      <c r="J4443" s="400"/>
      <c r="K4443" s="400"/>
      <c r="L4443" s="400"/>
      <c r="M4443" s="400"/>
      <c r="N4443" s="400">
        <v>435.78393171312365</v>
      </c>
    </row>
    <row r="4444" spans="1:14" s="360" customFormat="1" hidden="1" outlineLevel="2" x14ac:dyDescent="0.35">
      <c r="A4444" s="403" t="s">
        <v>7306</v>
      </c>
      <c r="B4444" s="397">
        <v>44587</v>
      </c>
      <c r="C4444" s="398" t="s">
        <v>4594</v>
      </c>
      <c r="D4444" s="399" t="s">
        <v>4595</v>
      </c>
      <c r="E4444" s="399" t="s">
        <v>4272</v>
      </c>
      <c r="F4444" s="400">
        <v>117117.117</v>
      </c>
      <c r="G4444" s="401" t="s">
        <v>3800</v>
      </c>
      <c r="H4444" s="402">
        <v>43.578393171312371</v>
      </c>
      <c r="I4444" s="402"/>
      <c r="J4444" s="400"/>
      <c r="K4444" s="400"/>
      <c r="L4444" s="400"/>
      <c r="M4444" s="400"/>
      <c r="N4444" s="400">
        <v>43.578393171312371</v>
      </c>
    </row>
    <row r="4445" spans="1:14" s="360" customFormat="1" hidden="1" outlineLevel="2" x14ac:dyDescent="0.35">
      <c r="A4445" s="403" t="s">
        <v>7306</v>
      </c>
      <c r="B4445" s="397">
        <v>44587</v>
      </c>
      <c r="C4445" s="398" t="s">
        <v>4596</v>
      </c>
      <c r="D4445" s="399" t="s">
        <v>4597</v>
      </c>
      <c r="E4445" s="399" t="s">
        <v>4042</v>
      </c>
      <c r="F4445" s="400">
        <v>7027.03</v>
      </c>
      <c r="G4445" s="401" t="s">
        <v>3800</v>
      </c>
      <c r="H4445" s="402">
        <v>2.6147046991141965</v>
      </c>
      <c r="I4445" s="402"/>
      <c r="J4445" s="400"/>
      <c r="K4445" s="400"/>
      <c r="L4445" s="400"/>
      <c r="M4445" s="400"/>
      <c r="N4445" s="400">
        <v>2.6147046991141965</v>
      </c>
    </row>
    <row r="4446" spans="1:14" s="360" customFormat="1" hidden="1" outlineLevel="2" x14ac:dyDescent="0.35">
      <c r="A4446" s="403" t="s">
        <v>7306</v>
      </c>
      <c r="B4446" s="397">
        <v>44587</v>
      </c>
      <c r="C4446" s="398" t="s">
        <v>4592</v>
      </c>
      <c r="D4446" s="399" t="s">
        <v>4593</v>
      </c>
      <c r="E4446" s="399" t="s">
        <v>7308</v>
      </c>
      <c r="F4446" s="400">
        <v>1171171.17</v>
      </c>
      <c r="G4446" s="401" t="s">
        <v>3800</v>
      </c>
      <c r="H4446" s="402">
        <v>435.78393171312365</v>
      </c>
      <c r="I4446" s="402"/>
      <c r="J4446" s="400"/>
      <c r="K4446" s="400"/>
      <c r="L4446" s="400"/>
      <c r="M4446" s="400"/>
      <c r="N4446" s="400">
        <v>435.78393171312365</v>
      </c>
    </row>
    <row r="4447" spans="1:14" s="360" customFormat="1" hidden="1" outlineLevel="2" x14ac:dyDescent="0.35">
      <c r="A4447" s="403" t="s">
        <v>7306</v>
      </c>
      <c r="B4447" s="397">
        <v>44587</v>
      </c>
      <c r="C4447" s="398" t="s">
        <v>4594</v>
      </c>
      <c r="D4447" s="399" t="s">
        <v>4595</v>
      </c>
      <c r="E4447" s="399" t="s">
        <v>4272</v>
      </c>
      <c r="F4447" s="400">
        <v>117117.117</v>
      </c>
      <c r="G4447" s="401" t="s">
        <v>3800</v>
      </c>
      <c r="H4447" s="402">
        <v>43.578393171312371</v>
      </c>
      <c r="I4447" s="402"/>
      <c r="J4447" s="400"/>
      <c r="K4447" s="400"/>
      <c r="L4447" s="400"/>
      <c r="M4447" s="400"/>
      <c r="N4447" s="400">
        <v>43.578393171312371</v>
      </c>
    </row>
    <row r="4448" spans="1:14" s="360" customFormat="1" hidden="1" outlineLevel="2" x14ac:dyDescent="0.35">
      <c r="A4448" s="403" t="s">
        <v>7306</v>
      </c>
      <c r="B4448" s="397">
        <v>44587</v>
      </c>
      <c r="C4448" s="398" t="s">
        <v>4596</v>
      </c>
      <c r="D4448" s="399" t="s">
        <v>4597</v>
      </c>
      <c r="E4448" s="399" t="s">
        <v>4042</v>
      </c>
      <c r="F4448" s="400">
        <v>7027.03</v>
      </c>
      <c r="G4448" s="401" t="s">
        <v>3800</v>
      </c>
      <c r="H4448" s="402">
        <v>2.6147046991141965</v>
      </c>
      <c r="I4448" s="402"/>
      <c r="J4448" s="400"/>
      <c r="K4448" s="400"/>
      <c r="L4448" s="400"/>
      <c r="M4448" s="400"/>
      <c r="N4448" s="400">
        <v>2.6147046991141965</v>
      </c>
    </row>
    <row r="4449" spans="1:14" s="360" customFormat="1" outlineLevel="1" collapsed="1" x14ac:dyDescent="0.35">
      <c r="A4449" s="396" t="s">
        <v>7310</v>
      </c>
      <c r="B4449" s="397"/>
      <c r="C4449" s="398"/>
      <c r="D4449" s="399"/>
      <c r="E4449" s="399"/>
      <c r="F4449" s="400"/>
      <c r="G4449" s="401"/>
      <c r="H4449" s="402">
        <f t="shared" ref="H4449:N4449" si="229">SUBTOTAL(9,H4377:H4448)</f>
        <v>11584.880056185373</v>
      </c>
      <c r="I4449" s="402"/>
      <c r="J4449" s="400">
        <f t="shared" si="229"/>
        <v>0</v>
      </c>
      <c r="K4449" s="400">
        <f t="shared" si="229"/>
        <v>0</v>
      </c>
      <c r="L4449" s="400">
        <f t="shared" si="229"/>
        <v>0</v>
      </c>
      <c r="M4449" s="400">
        <f t="shared" si="229"/>
        <v>0</v>
      </c>
      <c r="N4449" s="400">
        <f t="shared" si="229"/>
        <v>11584.880056185373</v>
      </c>
    </row>
    <row r="4450" spans="1:14" s="360" customFormat="1" hidden="1" outlineLevel="2" x14ac:dyDescent="0.35">
      <c r="A4450" s="403" t="s">
        <v>3904</v>
      </c>
      <c r="B4450" s="397">
        <v>44043</v>
      </c>
      <c r="C4450" s="398" t="s">
        <v>4847</v>
      </c>
      <c r="D4450" s="399" t="s">
        <v>7311</v>
      </c>
      <c r="E4450" s="399" t="s">
        <v>7312</v>
      </c>
      <c r="F4450" s="400">
        <v>296200</v>
      </c>
      <c r="G4450" s="401" t="s">
        <v>3800</v>
      </c>
      <c r="H4450" s="402">
        <v>113.72793776343576</v>
      </c>
      <c r="I4450" s="402"/>
      <c r="J4450" s="400"/>
      <c r="K4450" s="400"/>
      <c r="L4450" s="400">
        <v>113.72793776343576</v>
      </c>
      <c r="M4450" s="400"/>
      <c r="N4450" s="400"/>
    </row>
    <row r="4451" spans="1:14" s="360" customFormat="1" hidden="1" outlineLevel="2" collapsed="1" x14ac:dyDescent="0.35">
      <c r="A4451" s="403" t="s">
        <v>3904</v>
      </c>
      <c r="B4451" s="397">
        <v>44055</v>
      </c>
      <c r="C4451" s="398" t="s">
        <v>7313</v>
      </c>
      <c r="D4451" s="399" t="s">
        <v>7314</v>
      </c>
      <c r="E4451" s="399" t="s">
        <v>7315</v>
      </c>
      <c r="F4451" s="400">
        <v>7000000</v>
      </c>
      <c r="G4451" s="401" t="s">
        <v>3800</v>
      </c>
      <c r="H4451" s="402">
        <v>2687.6960308712032</v>
      </c>
      <c r="I4451" s="402"/>
      <c r="J4451" s="400"/>
      <c r="K4451" s="400"/>
      <c r="L4451" s="400">
        <v>2687.6960308712032</v>
      </c>
      <c r="M4451" s="400"/>
      <c r="N4451" s="400"/>
    </row>
    <row r="4452" spans="1:14" s="360" customFormat="1" outlineLevel="1" collapsed="1" x14ac:dyDescent="0.35">
      <c r="A4452" s="396" t="s">
        <v>7316</v>
      </c>
      <c r="B4452" s="397"/>
      <c r="C4452" s="398"/>
      <c r="D4452" s="399"/>
      <c r="E4452" s="399"/>
      <c r="F4452" s="400"/>
      <c r="G4452" s="401"/>
      <c r="H4452" s="402">
        <f t="shared" ref="H4452:N4452" si="230">SUBTOTAL(9,H4450:H4451)</f>
        <v>2801.4239686346391</v>
      </c>
      <c r="I4452" s="402"/>
      <c r="J4452" s="400">
        <f t="shared" si="230"/>
        <v>0</v>
      </c>
      <c r="K4452" s="400">
        <f t="shared" si="230"/>
        <v>0</v>
      </c>
      <c r="L4452" s="400">
        <f t="shared" si="230"/>
        <v>2801.4239686346391</v>
      </c>
      <c r="M4452" s="400">
        <f t="shared" si="230"/>
        <v>0</v>
      </c>
      <c r="N4452" s="400">
        <f t="shared" si="230"/>
        <v>0</v>
      </c>
    </row>
    <row r="4453" spans="1:14" s="360" customFormat="1" hidden="1" outlineLevel="2" x14ac:dyDescent="0.35">
      <c r="A4453" s="403" t="s">
        <v>3903</v>
      </c>
      <c r="B4453" s="397">
        <v>44043</v>
      </c>
      <c r="C4453" s="398" t="s">
        <v>4847</v>
      </c>
      <c r="D4453" s="399" t="s">
        <v>7317</v>
      </c>
      <c r="E4453" s="399" t="s">
        <v>4198</v>
      </c>
      <c r="F4453" s="400">
        <v>2150000</v>
      </c>
      <c r="G4453" s="401" t="s">
        <v>3800</v>
      </c>
      <c r="H4453" s="402">
        <v>825.50663805329805</v>
      </c>
      <c r="I4453" s="402"/>
      <c r="J4453" s="400"/>
      <c r="K4453" s="400"/>
      <c r="L4453" s="400">
        <v>825.50663805329805</v>
      </c>
      <c r="M4453" s="400"/>
      <c r="N4453" s="400"/>
    </row>
    <row r="4454" spans="1:14" s="360" customFormat="1" hidden="1" outlineLevel="2" x14ac:dyDescent="0.35">
      <c r="A4454" s="403" t="s">
        <v>3903</v>
      </c>
      <c r="B4454" s="397">
        <v>44130</v>
      </c>
      <c r="C4454" s="398" t="s">
        <v>7318</v>
      </c>
      <c r="D4454" s="399" t="s">
        <v>7319</v>
      </c>
      <c r="E4454" s="399" t="s">
        <v>7320</v>
      </c>
      <c r="F4454" s="400">
        <v>900000</v>
      </c>
      <c r="G4454" s="401" t="s">
        <v>3800</v>
      </c>
      <c r="H4454" s="402">
        <v>345.56091825486897</v>
      </c>
      <c r="I4454" s="402"/>
      <c r="J4454" s="400"/>
      <c r="K4454" s="400"/>
      <c r="L4454" s="400">
        <v>345.56091825486897</v>
      </c>
      <c r="M4454" s="400"/>
      <c r="N4454" s="400"/>
    </row>
    <row r="4455" spans="1:14" s="360" customFormat="1" hidden="1" outlineLevel="2" x14ac:dyDescent="0.35">
      <c r="A4455" s="403" t="s">
        <v>3903</v>
      </c>
      <c r="B4455" s="397">
        <v>44130</v>
      </c>
      <c r="C4455" s="398" t="s">
        <v>7318</v>
      </c>
      <c r="D4455" s="399" t="s">
        <v>4891</v>
      </c>
      <c r="E4455" s="399" t="s">
        <v>4811</v>
      </c>
      <c r="F4455" s="400">
        <v>784500</v>
      </c>
      <c r="G4455" s="401" t="s">
        <v>3800</v>
      </c>
      <c r="H4455" s="402">
        <v>301.2139337454941</v>
      </c>
      <c r="I4455" s="402"/>
      <c r="J4455" s="400"/>
      <c r="K4455" s="400"/>
      <c r="L4455" s="400">
        <v>301.2139337454941</v>
      </c>
      <c r="M4455" s="400"/>
      <c r="N4455" s="400"/>
    </row>
    <row r="4456" spans="1:14" s="360" customFormat="1" hidden="1" outlineLevel="2" collapsed="1" x14ac:dyDescent="0.35">
      <c r="A4456" s="403" t="s">
        <v>3903</v>
      </c>
      <c r="B4456" s="397">
        <v>44130</v>
      </c>
      <c r="C4456" s="398" t="s">
        <v>7318</v>
      </c>
      <c r="D4456" s="399" t="s">
        <v>6170</v>
      </c>
      <c r="E4456" s="399" t="s">
        <v>4848</v>
      </c>
      <c r="F4456" s="400">
        <v>6160000</v>
      </c>
      <c r="G4456" s="401" t="s">
        <v>3800</v>
      </c>
      <c r="H4456" s="402">
        <v>2365.1725071666588</v>
      </c>
      <c r="I4456" s="402"/>
      <c r="J4456" s="400"/>
      <c r="K4456" s="400"/>
      <c r="L4456" s="400">
        <v>2365.1725071666588</v>
      </c>
      <c r="M4456" s="400"/>
      <c r="N4456" s="400"/>
    </row>
    <row r="4457" spans="1:14" s="360" customFormat="1" hidden="1" outlineLevel="2" x14ac:dyDescent="0.35">
      <c r="A4457" s="403" t="s">
        <v>3903</v>
      </c>
      <c r="B4457" s="397">
        <v>44130</v>
      </c>
      <c r="C4457" s="398" t="s">
        <v>7318</v>
      </c>
      <c r="D4457" s="399" t="s">
        <v>7321</v>
      </c>
      <c r="E4457" s="399" t="s">
        <v>7322</v>
      </c>
      <c r="F4457" s="400">
        <v>225000</v>
      </c>
      <c r="G4457" s="401" t="s">
        <v>3800</v>
      </c>
      <c r="H4457" s="402">
        <v>86.390229563717241</v>
      </c>
      <c r="I4457" s="402"/>
      <c r="J4457" s="400"/>
      <c r="K4457" s="400"/>
      <c r="L4457" s="400">
        <v>86.390229563717241</v>
      </c>
      <c r="M4457" s="400"/>
      <c r="N4457" s="400"/>
    </row>
    <row r="4458" spans="1:14" s="360" customFormat="1" hidden="1" outlineLevel="2" x14ac:dyDescent="0.35">
      <c r="A4458" s="403" t="s">
        <v>3903</v>
      </c>
      <c r="B4458" s="397">
        <v>44130</v>
      </c>
      <c r="C4458" s="398" t="s">
        <v>7318</v>
      </c>
      <c r="D4458" s="399" t="s">
        <v>7321</v>
      </c>
      <c r="E4458" s="399" t="s">
        <v>7323</v>
      </c>
      <c r="F4458" s="400">
        <v>50000</v>
      </c>
      <c r="G4458" s="401" t="s">
        <v>3800</v>
      </c>
      <c r="H4458" s="402">
        <v>19.197828791937166</v>
      </c>
      <c r="I4458" s="402"/>
      <c r="J4458" s="400"/>
      <c r="K4458" s="400"/>
      <c r="L4458" s="400">
        <v>19.197828791937166</v>
      </c>
      <c r="M4458" s="400"/>
      <c r="N4458" s="400"/>
    </row>
    <row r="4459" spans="1:14" s="360" customFormat="1" hidden="1" outlineLevel="2" x14ac:dyDescent="0.35">
      <c r="A4459" s="403" t="s">
        <v>3903</v>
      </c>
      <c r="B4459" s="397">
        <v>44130</v>
      </c>
      <c r="C4459" s="398" t="s">
        <v>7318</v>
      </c>
      <c r="D4459" s="399" t="s">
        <v>7324</v>
      </c>
      <c r="E4459" s="399" t="s">
        <v>7325</v>
      </c>
      <c r="F4459" s="400">
        <v>540000</v>
      </c>
      <c r="G4459" s="401" t="s">
        <v>3800</v>
      </c>
      <c r="H4459" s="402">
        <v>207.33655095292139</v>
      </c>
      <c r="I4459" s="402"/>
      <c r="J4459" s="400"/>
      <c r="K4459" s="400"/>
      <c r="L4459" s="400">
        <v>207.33655095292139</v>
      </c>
      <c r="M4459" s="400"/>
      <c r="N4459" s="400"/>
    </row>
    <row r="4460" spans="1:14" s="360" customFormat="1" hidden="1" outlineLevel="2" x14ac:dyDescent="0.35">
      <c r="A4460" s="403" t="s">
        <v>3903</v>
      </c>
      <c r="B4460" s="397">
        <v>44130</v>
      </c>
      <c r="C4460" s="398" t="s">
        <v>7318</v>
      </c>
      <c r="D4460" s="399" t="s">
        <v>4785</v>
      </c>
      <c r="E4460" s="399" t="s">
        <v>6172</v>
      </c>
      <c r="F4460" s="400">
        <v>615000</v>
      </c>
      <c r="G4460" s="401" t="s">
        <v>3800</v>
      </c>
      <c r="H4460" s="402">
        <v>236.13329414082713</v>
      </c>
      <c r="I4460" s="402"/>
      <c r="J4460" s="400"/>
      <c r="K4460" s="400"/>
      <c r="L4460" s="400">
        <v>236.13329414082713</v>
      </c>
      <c r="M4460" s="400"/>
      <c r="N4460" s="400"/>
    </row>
    <row r="4461" spans="1:14" s="360" customFormat="1" hidden="1" outlineLevel="2" x14ac:dyDescent="0.35">
      <c r="A4461" s="403" t="s">
        <v>3903</v>
      </c>
      <c r="B4461" s="397">
        <v>44130</v>
      </c>
      <c r="C4461" s="398" t="s">
        <v>7318</v>
      </c>
      <c r="D4461" s="399" t="s">
        <v>6171</v>
      </c>
      <c r="E4461" s="399" t="s">
        <v>7221</v>
      </c>
      <c r="F4461" s="400">
        <v>560000</v>
      </c>
      <c r="G4461" s="401" t="s">
        <v>3800</v>
      </c>
      <c r="H4461" s="402">
        <v>215.01568246969623</v>
      </c>
      <c r="I4461" s="402"/>
      <c r="J4461" s="400"/>
      <c r="K4461" s="400"/>
      <c r="L4461" s="400">
        <v>215.01568246969623</v>
      </c>
      <c r="M4461" s="400"/>
      <c r="N4461" s="400"/>
    </row>
    <row r="4462" spans="1:14" s="360" customFormat="1" outlineLevel="1" collapsed="1" x14ac:dyDescent="0.35">
      <c r="A4462" s="396" t="s">
        <v>7326</v>
      </c>
      <c r="B4462" s="397"/>
      <c r="C4462" s="398"/>
      <c r="D4462" s="399"/>
      <c r="E4462" s="399"/>
      <c r="F4462" s="400"/>
      <c r="G4462" s="401"/>
      <c r="H4462" s="402">
        <f t="shared" ref="H4462:N4462" si="231">SUBTOTAL(9,H4453:H4461)</f>
        <v>4601.5275831394192</v>
      </c>
      <c r="I4462" s="402"/>
      <c r="J4462" s="400">
        <f t="shared" si="231"/>
        <v>0</v>
      </c>
      <c r="K4462" s="400">
        <f t="shared" si="231"/>
        <v>0</v>
      </c>
      <c r="L4462" s="400">
        <f t="shared" si="231"/>
        <v>4601.5275831394192</v>
      </c>
      <c r="M4462" s="400">
        <f t="shared" si="231"/>
        <v>0</v>
      </c>
      <c r="N4462" s="400">
        <f t="shared" si="231"/>
        <v>0</v>
      </c>
    </row>
    <row r="4463" spans="1:14" s="360" customFormat="1" hidden="1" outlineLevel="2" collapsed="1" x14ac:dyDescent="0.35">
      <c r="A4463" s="403" t="s">
        <v>7327</v>
      </c>
      <c r="B4463" s="397">
        <v>44266</v>
      </c>
      <c r="C4463" s="398" t="s">
        <v>4526</v>
      </c>
      <c r="D4463" s="399" t="s">
        <v>4527</v>
      </c>
      <c r="E4463" s="399" t="s">
        <v>4563</v>
      </c>
      <c r="F4463" s="400">
        <v>897897.88</v>
      </c>
      <c r="G4463" s="401" t="s">
        <v>3800</v>
      </c>
      <c r="H4463" s="402">
        <v>334.10100798782344</v>
      </c>
      <c r="I4463" s="402"/>
      <c r="J4463" s="400"/>
      <c r="K4463" s="400"/>
      <c r="L4463" s="400"/>
      <c r="M4463" s="400"/>
      <c r="N4463" s="400">
        <f t="shared" ref="N4463:N4495" si="232">H4463</f>
        <v>334.10100798782344</v>
      </c>
    </row>
    <row r="4464" spans="1:14" s="360" customFormat="1" hidden="1" outlineLevel="2" x14ac:dyDescent="0.35">
      <c r="A4464" s="403" t="s">
        <v>7327</v>
      </c>
      <c r="B4464" s="397">
        <v>44266</v>
      </c>
      <c r="C4464" s="398" t="s">
        <v>4529</v>
      </c>
      <c r="D4464" s="399" t="s">
        <v>4530</v>
      </c>
      <c r="E4464" s="399" t="s">
        <v>4272</v>
      </c>
      <c r="F4464" s="400">
        <v>89789.788</v>
      </c>
      <c r="G4464" s="401" t="s">
        <v>3800</v>
      </c>
      <c r="H4464" s="402">
        <v>33.410100798782345</v>
      </c>
      <c r="I4464" s="402"/>
      <c r="J4464" s="400"/>
      <c r="K4464" s="400"/>
      <c r="L4464" s="400"/>
      <c r="M4464" s="400"/>
      <c r="N4464" s="400">
        <f t="shared" si="232"/>
        <v>33.410100798782345</v>
      </c>
    </row>
    <row r="4465" spans="1:14" s="360" customFormat="1" hidden="1" outlineLevel="2" collapsed="1" x14ac:dyDescent="0.35">
      <c r="A4465" s="403" t="s">
        <v>7327</v>
      </c>
      <c r="B4465" s="397">
        <v>44266</v>
      </c>
      <c r="C4465" s="398" t="s">
        <v>4531</v>
      </c>
      <c r="D4465" s="399" t="s">
        <v>4051</v>
      </c>
      <c r="E4465" s="399" t="s">
        <v>4042</v>
      </c>
      <c r="F4465" s="400">
        <v>8978.9788000000008</v>
      </c>
      <c r="G4465" s="401" t="s">
        <v>3800</v>
      </c>
      <c r="H4465" s="402">
        <v>3.341010079878235</v>
      </c>
      <c r="I4465" s="402"/>
      <c r="J4465" s="400"/>
      <c r="K4465" s="400"/>
      <c r="L4465" s="400"/>
      <c r="M4465" s="400"/>
      <c r="N4465" s="400">
        <f t="shared" si="232"/>
        <v>3.341010079878235</v>
      </c>
    </row>
    <row r="4466" spans="1:14" s="360" customFormat="1" hidden="1" outlineLevel="2" x14ac:dyDescent="0.35">
      <c r="A4466" s="403" t="s">
        <v>7327</v>
      </c>
      <c r="B4466" s="397">
        <v>44284</v>
      </c>
      <c r="C4466" s="398" t="s">
        <v>4532</v>
      </c>
      <c r="D4466" s="399" t="s">
        <v>4533</v>
      </c>
      <c r="E4466" s="399" t="s">
        <v>4563</v>
      </c>
      <c r="F4466" s="400">
        <v>1171171.17</v>
      </c>
      <c r="G4466" s="401" t="s">
        <v>3800</v>
      </c>
      <c r="H4466" s="402">
        <v>435.78393171312365</v>
      </c>
      <c r="I4466" s="402"/>
      <c r="J4466" s="400"/>
      <c r="K4466" s="400"/>
      <c r="L4466" s="400"/>
      <c r="M4466" s="400"/>
      <c r="N4466" s="400">
        <f t="shared" si="232"/>
        <v>435.78393171312365</v>
      </c>
    </row>
    <row r="4467" spans="1:14" s="360" customFormat="1" hidden="1" outlineLevel="2" collapsed="1" x14ac:dyDescent="0.35">
      <c r="A4467" s="403" t="s">
        <v>7327</v>
      </c>
      <c r="B4467" s="397">
        <v>44284</v>
      </c>
      <c r="C4467" s="398" t="s">
        <v>4534</v>
      </c>
      <c r="D4467" s="399" t="s">
        <v>4535</v>
      </c>
      <c r="E4467" s="399" t="s">
        <v>4272</v>
      </c>
      <c r="F4467" s="400">
        <v>117117.117</v>
      </c>
      <c r="G4467" s="401" t="s">
        <v>3800</v>
      </c>
      <c r="H4467" s="402">
        <v>43.578393171312371</v>
      </c>
      <c r="I4467" s="402"/>
      <c r="J4467" s="400"/>
      <c r="K4467" s="400"/>
      <c r="L4467" s="400"/>
      <c r="M4467" s="400"/>
      <c r="N4467" s="400">
        <f t="shared" si="232"/>
        <v>43.578393171312371</v>
      </c>
    </row>
    <row r="4468" spans="1:14" s="360" customFormat="1" hidden="1" outlineLevel="2" x14ac:dyDescent="0.35">
      <c r="A4468" s="403" t="s">
        <v>7327</v>
      </c>
      <c r="B4468" s="397">
        <v>44284</v>
      </c>
      <c r="C4468" s="398" t="s">
        <v>4536</v>
      </c>
      <c r="D4468" s="399" t="s">
        <v>4061</v>
      </c>
      <c r="E4468" s="399" t="s">
        <v>4042</v>
      </c>
      <c r="F4468" s="400">
        <v>11711.7117</v>
      </c>
      <c r="G4468" s="401" t="s">
        <v>3800</v>
      </c>
      <c r="H4468" s="402">
        <v>4.3578393171312371</v>
      </c>
      <c r="I4468" s="402"/>
      <c r="J4468" s="400"/>
      <c r="K4468" s="400"/>
      <c r="L4468" s="400"/>
      <c r="M4468" s="400"/>
      <c r="N4468" s="400">
        <f t="shared" si="232"/>
        <v>4.3578393171312371</v>
      </c>
    </row>
    <row r="4469" spans="1:14" s="360" customFormat="1" hidden="1" outlineLevel="2" x14ac:dyDescent="0.35">
      <c r="A4469" s="403" t="s">
        <v>7327</v>
      </c>
      <c r="B4469" s="397">
        <v>44316</v>
      </c>
      <c r="C4469" s="398" t="s">
        <v>4537</v>
      </c>
      <c r="D4469" s="399" t="s">
        <v>4538</v>
      </c>
      <c r="E4469" s="399" t="s">
        <v>4563</v>
      </c>
      <c r="F4469" s="400">
        <v>1171171.17</v>
      </c>
      <c r="G4469" s="401" t="s">
        <v>3800</v>
      </c>
      <c r="H4469" s="402">
        <v>435.78393171312365</v>
      </c>
      <c r="I4469" s="402"/>
      <c r="J4469" s="400"/>
      <c r="K4469" s="400"/>
      <c r="L4469" s="400"/>
      <c r="M4469" s="400"/>
      <c r="N4469" s="400">
        <f t="shared" si="232"/>
        <v>435.78393171312365</v>
      </c>
    </row>
    <row r="4470" spans="1:14" s="360" customFormat="1" hidden="1" outlineLevel="2" collapsed="1" x14ac:dyDescent="0.35">
      <c r="A4470" s="403" t="s">
        <v>7327</v>
      </c>
      <c r="B4470" s="397">
        <v>44316</v>
      </c>
      <c r="C4470" s="398" t="s">
        <v>4539</v>
      </c>
      <c r="D4470" s="399" t="s">
        <v>4540</v>
      </c>
      <c r="E4470" s="399" t="s">
        <v>4272</v>
      </c>
      <c r="F4470" s="400">
        <v>117117.117</v>
      </c>
      <c r="G4470" s="401" t="s">
        <v>3800</v>
      </c>
      <c r="H4470" s="402">
        <v>43.578393171312371</v>
      </c>
      <c r="I4470" s="402"/>
      <c r="J4470" s="400"/>
      <c r="K4470" s="400"/>
      <c r="L4470" s="400"/>
      <c r="M4470" s="400"/>
      <c r="N4470" s="400">
        <f t="shared" si="232"/>
        <v>43.578393171312371</v>
      </c>
    </row>
    <row r="4471" spans="1:14" s="360" customFormat="1" hidden="1" outlineLevel="2" x14ac:dyDescent="0.35">
      <c r="A4471" s="403" t="s">
        <v>7327</v>
      </c>
      <c r="B4471" s="397">
        <v>44316</v>
      </c>
      <c r="C4471" s="398" t="s">
        <v>4541</v>
      </c>
      <c r="D4471" s="399" t="s">
        <v>4542</v>
      </c>
      <c r="E4471" s="399" t="s">
        <v>4042</v>
      </c>
      <c r="F4471" s="400">
        <v>11711.7117</v>
      </c>
      <c r="G4471" s="401" t="s">
        <v>3800</v>
      </c>
      <c r="H4471" s="402">
        <v>4.3578393171312371</v>
      </c>
      <c r="I4471" s="402"/>
      <c r="J4471" s="400"/>
      <c r="K4471" s="400"/>
      <c r="L4471" s="400"/>
      <c r="M4471" s="400"/>
      <c r="N4471" s="400">
        <f t="shared" si="232"/>
        <v>4.3578393171312371</v>
      </c>
    </row>
    <row r="4472" spans="1:14" s="360" customFormat="1" hidden="1" outlineLevel="2" x14ac:dyDescent="0.35">
      <c r="A4472" s="403" t="s">
        <v>7327</v>
      </c>
      <c r="B4472" s="397">
        <v>44343</v>
      </c>
      <c r="C4472" s="398" t="s">
        <v>4537</v>
      </c>
      <c r="D4472" s="399" t="s">
        <v>4544</v>
      </c>
      <c r="E4472" s="399" t="s">
        <v>4563</v>
      </c>
      <c r="F4472" s="400">
        <v>1171171.17</v>
      </c>
      <c r="G4472" s="401" t="s">
        <v>3800</v>
      </c>
      <c r="H4472" s="402">
        <v>435.78393171312365</v>
      </c>
      <c r="I4472" s="402"/>
      <c r="J4472" s="400"/>
      <c r="K4472" s="400"/>
      <c r="L4472" s="400"/>
      <c r="M4472" s="400"/>
      <c r="N4472" s="400">
        <f t="shared" si="232"/>
        <v>435.78393171312365</v>
      </c>
    </row>
    <row r="4473" spans="1:14" s="360" customFormat="1" hidden="1" outlineLevel="2" x14ac:dyDescent="0.35">
      <c r="A4473" s="403" t="s">
        <v>7327</v>
      </c>
      <c r="B4473" s="397">
        <v>44343</v>
      </c>
      <c r="C4473" s="398" t="s">
        <v>4539</v>
      </c>
      <c r="D4473" s="399" t="s">
        <v>4546</v>
      </c>
      <c r="E4473" s="399" t="s">
        <v>4272</v>
      </c>
      <c r="F4473" s="400">
        <v>117117.117</v>
      </c>
      <c r="G4473" s="401" t="s">
        <v>3800</v>
      </c>
      <c r="H4473" s="402">
        <v>43.578393171312371</v>
      </c>
      <c r="I4473" s="402"/>
      <c r="J4473" s="400"/>
      <c r="K4473" s="400"/>
      <c r="L4473" s="400"/>
      <c r="M4473" s="400"/>
      <c r="N4473" s="400">
        <f t="shared" si="232"/>
        <v>43.578393171312371</v>
      </c>
    </row>
    <row r="4474" spans="1:14" s="360" customFormat="1" hidden="1" outlineLevel="2" x14ac:dyDescent="0.35">
      <c r="A4474" s="403" t="s">
        <v>7327</v>
      </c>
      <c r="B4474" s="397">
        <v>44343</v>
      </c>
      <c r="C4474" s="398" t="s">
        <v>4541</v>
      </c>
      <c r="D4474" s="399" t="s">
        <v>4548</v>
      </c>
      <c r="E4474" s="399" t="s">
        <v>4042</v>
      </c>
      <c r="F4474" s="400">
        <v>11711.7117</v>
      </c>
      <c r="G4474" s="401" t="s">
        <v>3800</v>
      </c>
      <c r="H4474" s="402">
        <v>4.3578393171312371</v>
      </c>
      <c r="I4474" s="402"/>
      <c r="J4474" s="400"/>
      <c r="K4474" s="400"/>
      <c r="L4474" s="400"/>
      <c r="M4474" s="400"/>
      <c r="N4474" s="400">
        <f t="shared" si="232"/>
        <v>4.3578393171312371</v>
      </c>
    </row>
    <row r="4475" spans="1:14" s="360" customFormat="1" hidden="1" outlineLevel="2" x14ac:dyDescent="0.35">
      <c r="A4475" s="403" t="s">
        <v>7327</v>
      </c>
      <c r="B4475" s="397">
        <v>44376</v>
      </c>
      <c r="C4475" s="398" t="s">
        <v>4549</v>
      </c>
      <c r="D4475" s="399" t="s">
        <v>4550</v>
      </c>
      <c r="E4475" s="399" t="s">
        <v>4563</v>
      </c>
      <c r="F4475" s="400">
        <v>1171171.17</v>
      </c>
      <c r="G4475" s="401" t="s">
        <v>3800</v>
      </c>
      <c r="H4475" s="402">
        <v>435.78393171312365</v>
      </c>
      <c r="I4475" s="402"/>
      <c r="J4475" s="400"/>
      <c r="K4475" s="400"/>
      <c r="L4475" s="400"/>
      <c r="M4475" s="400"/>
      <c r="N4475" s="400">
        <f t="shared" si="232"/>
        <v>435.78393171312365</v>
      </c>
    </row>
    <row r="4476" spans="1:14" s="360" customFormat="1" hidden="1" outlineLevel="2" x14ac:dyDescent="0.35">
      <c r="A4476" s="403" t="s">
        <v>7327</v>
      </c>
      <c r="B4476" s="397">
        <v>44376</v>
      </c>
      <c r="C4476" s="398" t="s">
        <v>4551</v>
      </c>
      <c r="D4476" s="399" t="s">
        <v>4552</v>
      </c>
      <c r="E4476" s="399" t="s">
        <v>4272</v>
      </c>
      <c r="F4476" s="400">
        <v>117117.117</v>
      </c>
      <c r="G4476" s="401" t="s">
        <v>3800</v>
      </c>
      <c r="H4476" s="402">
        <v>43.578393171312371</v>
      </c>
      <c r="I4476" s="402"/>
      <c r="J4476" s="400"/>
      <c r="K4476" s="400"/>
      <c r="L4476" s="400"/>
      <c r="M4476" s="400"/>
      <c r="N4476" s="400">
        <f t="shared" si="232"/>
        <v>43.578393171312371</v>
      </c>
    </row>
    <row r="4477" spans="1:14" s="360" customFormat="1" hidden="1" outlineLevel="2" collapsed="1" x14ac:dyDescent="0.35">
      <c r="A4477" s="403" t="s">
        <v>7327</v>
      </c>
      <c r="B4477" s="397">
        <v>44376</v>
      </c>
      <c r="C4477" s="398" t="s">
        <v>4553</v>
      </c>
      <c r="D4477" s="399" t="s">
        <v>4554</v>
      </c>
      <c r="E4477" s="399" t="s">
        <v>4042</v>
      </c>
      <c r="F4477" s="400">
        <v>11711.7117</v>
      </c>
      <c r="G4477" s="401" t="s">
        <v>3800</v>
      </c>
      <c r="H4477" s="402">
        <v>4.3578393171312371</v>
      </c>
      <c r="I4477" s="402"/>
      <c r="J4477" s="400"/>
      <c r="K4477" s="400"/>
      <c r="L4477" s="400"/>
      <c r="M4477" s="400"/>
      <c r="N4477" s="400">
        <f t="shared" si="232"/>
        <v>4.3578393171312371</v>
      </c>
    </row>
    <row r="4478" spans="1:14" s="360" customFormat="1" hidden="1" outlineLevel="2" x14ac:dyDescent="0.35">
      <c r="A4478" s="403" t="s">
        <v>7327</v>
      </c>
      <c r="B4478" s="397">
        <v>44407</v>
      </c>
      <c r="C4478" s="398" t="s">
        <v>4555</v>
      </c>
      <c r="D4478" s="399" t="s">
        <v>4556</v>
      </c>
      <c r="E4478" s="399" t="s">
        <v>4563</v>
      </c>
      <c r="F4478" s="400">
        <v>1171171.17</v>
      </c>
      <c r="G4478" s="401" t="s">
        <v>3800</v>
      </c>
      <c r="H4478" s="402">
        <v>435.78393171312365</v>
      </c>
      <c r="I4478" s="402"/>
      <c r="J4478" s="400"/>
      <c r="K4478" s="400"/>
      <c r="L4478" s="400"/>
      <c r="M4478" s="400"/>
      <c r="N4478" s="400">
        <f t="shared" si="232"/>
        <v>435.78393171312365</v>
      </c>
    </row>
    <row r="4479" spans="1:14" s="360" customFormat="1" hidden="1" outlineLevel="2" x14ac:dyDescent="0.35">
      <c r="A4479" s="403" t="s">
        <v>7327</v>
      </c>
      <c r="B4479" s="397">
        <v>44407</v>
      </c>
      <c r="C4479" s="398" t="s">
        <v>4557</v>
      </c>
      <c r="D4479" s="399" t="s">
        <v>4558</v>
      </c>
      <c r="E4479" s="399" t="s">
        <v>4272</v>
      </c>
      <c r="F4479" s="400">
        <v>117117.117</v>
      </c>
      <c r="G4479" s="401" t="s">
        <v>3800</v>
      </c>
      <c r="H4479" s="402">
        <v>43.578393171312371</v>
      </c>
      <c r="I4479" s="402"/>
      <c r="J4479" s="400"/>
      <c r="K4479" s="400"/>
      <c r="L4479" s="400"/>
      <c r="M4479" s="400"/>
      <c r="N4479" s="400">
        <f t="shared" si="232"/>
        <v>43.578393171312371</v>
      </c>
    </row>
    <row r="4480" spans="1:14" s="360" customFormat="1" hidden="1" outlineLevel="2" x14ac:dyDescent="0.35">
      <c r="A4480" s="403" t="s">
        <v>7327</v>
      </c>
      <c r="B4480" s="397">
        <v>44407</v>
      </c>
      <c r="C4480" s="398" t="s">
        <v>4559</v>
      </c>
      <c r="D4480" s="399" t="s">
        <v>4560</v>
      </c>
      <c r="E4480" s="399" t="s">
        <v>4042</v>
      </c>
      <c r="F4480" s="400">
        <v>7027.0270199999995</v>
      </c>
      <c r="G4480" s="401" t="s">
        <v>3800</v>
      </c>
      <c r="H4480" s="402">
        <v>2.6147035902787419</v>
      </c>
      <c r="I4480" s="402"/>
      <c r="J4480" s="400"/>
      <c r="K4480" s="400"/>
      <c r="L4480" s="400"/>
      <c r="M4480" s="400"/>
      <c r="N4480" s="400">
        <f t="shared" si="232"/>
        <v>2.6147035902787419</v>
      </c>
    </row>
    <row r="4481" spans="1:14" s="360" customFormat="1" hidden="1" outlineLevel="2" x14ac:dyDescent="0.35">
      <c r="A4481" s="403" t="s">
        <v>7327</v>
      </c>
      <c r="B4481" s="397">
        <v>44438</v>
      </c>
      <c r="C4481" s="398" t="s">
        <v>4561</v>
      </c>
      <c r="D4481" s="399" t="s">
        <v>4562</v>
      </c>
      <c r="E4481" s="399" t="s">
        <v>4563</v>
      </c>
      <c r="F4481" s="400">
        <v>1171171.17</v>
      </c>
      <c r="G4481" s="401" t="s">
        <v>3800</v>
      </c>
      <c r="H4481" s="402">
        <v>435.78393171312365</v>
      </c>
      <c r="I4481" s="402"/>
      <c r="J4481" s="400"/>
      <c r="K4481" s="400"/>
      <c r="L4481" s="400"/>
      <c r="M4481" s="400"/>
      <c r="N4481" s="400">
        <f t="shared" si="232"/>
        <v>435.78393171312365</v>
      </c>
    </row>
    <row r="4482" spans="1:14" s="360" customFormat="1" hidden="1" outlineLevel="2" x14ac:dyDescent="0.35">
      <c r="A4482" s="403" t="s">
        <v>7327</v>
      </c>
      <c r="B4482" s="397">
        <v>44438</v>
      </c>
      <c r="C4482" s="398" t="s">
        <v>4564</v>
      </c>
      <c r="D4482" s="399" t="s">
        <v>4565</v>
      </c>
      <c r="E4482" s="399" t="s">
        <v>4272</v>
      </c>
      <c r="F4482" s="400">
        <v>117117.117</v>
      </c>
      <c r="G4482" s="401" t="s">
        <v>3800</v>
      </c>
      <c r="H4482" s="402">
        <v>43.578393171312371</v>
      </c>
      <c r="I4482" s="402"/>
      <c r="J4482" s="400"/>
      <c r="K4482" s="400"/>
      <c r="L4482" s="400"/>
      <c r="M4482" s="400"/>
      <c r="N4482" s="400">
        <f t="shared" si="232"/>
        <v>43.578393171312371</v>
      </c>
    </row>
    <row r="4483" spans="1:14" s="360" customFormat="1" hidden="1" outlineLevel="2" x14ac:dyDescent="0.35">
      <c r="A4483" s="403" t="s">
        <v>7327</v>
      </c>
      <c r="B4483" s="397">
        <v>44438</v>
      </c>
      <c r="C4483" s="398" t="s">
        <v>4566</v>
      </c>
      <c r="D4483" s="399" t="s">
        <v>4567</v>
      </c>
      <c r="E4483" s="399" t="s">
        <v>4042</v>
      </c>
      <c r="F4483" s="400">
        <v>7027.0270199999995</v>
      </c>
      <c r="G4483" s="401" t="s">
        <v>3800</v>
      </c>
      <c r="H4483" s="402">
        <v>2.6147035902787419</v>
      </c>
      <c r="I4483" s="402"/>
      <c r="J4483" s="400"/>
      <c r="K4483" s="400"/>
      <c r="L4483" s="400"/>
      <c r="M4483" s="400"/>
      <c r="N4483" s="400">
        <f t="shared" si="232"/>
        <v>2.6147035902787419</v>
      </c>
    </row>
    <row r="4484" spans="1:14" s="360" customFormat="1" hidden="1" outlineLevel="2" x14ac:dyDescent="0.35">
      <c r="A4484" s="403" t="s">
        <v>7327</v>
      </c>
      <c r="B4484" s="397">
        <v>44467</v>
      </c>
      <c r="C4484" s="398" t="s">
        <v>4568</v>
      </c>
      <c r="D4484" s="399" t="s">
        <v>4569</v>
      </c>
      <c r="E4484" s="399" t="s">
        <v>4563</v>
      </c>
      <c r="F4484" s="400">
        <v>1171171.17</v>
      </c>
      <c r="G4484" s="401" t="s">
        <v>3800</v>
      </c>
      <c r="H4484" s="402">
        <v>435.78393171312365</v>
      </c>
      <c r="I4484" s="402"/>
      <c r="J4484" s="400"/>
      <c r="K4484" s="400"/>
      <c r="L4484" s="400"/>
      <c r="M4484" s="400"/>
      <c r="N4484" s="400">
        <f t="shared" si="232"/>
        <v>435.78393171312365</v>
      </c>
    </row>
    <row r="4485" spans="1:14" s="360" customFormat="1" hidden="1" outlineLevel="2" x14ac:dyDescent="0.35">
      <c r="A4485" s="403" t="s">
        <v>7327</v>
      </c>
      <c r="B4485" s="397">
        <v>44467</v>
      </c>
      <c r="C4485" s="398" t="s">
        <v>4570</v>
      </c>
      <c r="D4485" s="399" t="s">
        <v>4571</v>
      </c>
      <c r="E4485" s="399" t="s">
        <v>4272</v>
      </c>
      <c r="F4485" s="400">
        <v>117117.117</v>
      </c>
      <c r="G4485" s="401" t="s">
        <v>3800</v>
      </c>
      <c r="H4485" s="402">
        <v>43.578393171312371</v>
      </c>
      <c r="I4485" s="402"/>
      <c r="J4485" s="400"/>
      <c r="K4485" s="400"/>
      <c r="L4485" s="400"/>
      <c r="M4485" s="400"/>
      <c r="N4485" s="400">
        <f t="shared" si="232"/>
        <v>43.578393171312371</v>
      </c>
    </row>
    <row r="4486" spans="1:14" s="360" customFormat="1" hidden="1" outlineLevel="2" x14ac:dyDescent="0.35">
      <c r="A4486" s="403" t="s">
        <v>7327</v>
      </c>
      <c r="B4486" s="397">
        <v>44467</v>
      </c>
      <c r="C4486" s="398" t="s">
        <v>4572</v>
      </c>
      <c r="D4486" s="399" t="s">
        <v>4573</v>
      </c>
      <c r="E4486" s="399" t="s">
        <v>4042</v>
      </c>
      <c r="F4486" s="400">
        <v>7027.0270199999995</v>
      </c>
      <c r="G4486" s="401" t="s">
        <v>3800</v>
      </c>
      <c r="H4486" s="402">
        <v>2.6147035902787419</v>
      </c>
      <c r="I4486" s="402"/>
      <c r="J4486" s="400"/>
      <c r="K4486" s="400"/>
      <c r="L4486" s="400"/>
      <c r="M4486" s="400"/>
      <c r="N4486" s="400">
        <f t="shared" si="232"/>
        <v>2.6147035902787419</v>
      </c>
    </row>
    <row r="4487" spans="1:14" s="360" customFormat="1" hidden="1" outlineLevel="2" x14ac:dyDescent="0.35">
      <c r="A4487" s="403" t="s">
        <v>7327</v>
      </c>
      <c r="B4487" s="397">
        <v>44497</v>
      </c>
      <c r="C4487" s="398" t="s">
        <v>4574</v>
      </c>
      <c r="D4487" s="399" t="s">
        <v>4575</v>
      </c>
      <c r="E4487" s="399" t="s">
        <v>4563</v>
      </c>
      <c r="F4487" s="400">
        <v>1171171.17</v>
      </c>
      <c r="G4487" s="401" t="s">
        <v>3800</v>
      </c>
      <c r="H4487" s="402">
        <v>435.78393171312365</v>
      </c>
      <c r="I4487" s="402"/>
      <c r="J4487" s="400"/>
      <c r="K4487" s="400"/>
      <c r="L4487" s="400"/>
      <c r="M4487" s="400"/>
      <c r="N4487" s="400">
        <f t="shared" si="232"/>
        <v>435.78393171312365</v>
      </c>
    </row>
    <row r="4488" spans="1:14" s="360" customFormat="1" hidden="1" outlineLevel="2" collapsed="1" x14ac:dyDescent="0.35">
      <c r="A4488" s="403" t="s">
        <v>7327</v>
      </c>
      <c r="B4488" s="397">
        <v>44497</v>
      </c>
      <c r="C4488" s="398" t="s">
        <v>4576</v>
      </c>
      <c r="D4488" s="399" t="s">
        <v>4577</v>
      </c>
      <c r="E4488" s="399" t="s">
        <v>4272</v>
      </c>
      <c r="F4488" s="400">
        <v>117117.117</v>
      </c>
      <c r="G4488" s="401" t="s">
        <v>3800</v>
      </c>
      <c r="H4488" s="402">
        <v>43.578393171312371</v>
      </c>
      <c r="I4488" s="402"/>
      <c r="J4488" s="400"/>
      <c r="K4488" s="400"/>
      <c r="L4488" s="400"/>
      <c r="M4488" s="400"/>
      <c r="N4488" s="400">
        <f t="shared" si="232"/>
        <v>43.578393171312371</v>
      </c>
    </row>
    <row r="4489" spans="1:14" s="360" customFormat="1" hidden="1" outlineLevel="2" x14ac:dyDescent="0.35">
      <c r="A4489" s="403" t="s">
        <v>7327</v>
      </c>
      <c r="B4489" s="397">
        <v>44497</v>
      </c>
      <c r="C4489" s="398" t="s">
        <v>4578</v>
      </c>
      <c r="D4489" s="399" t="s">
        <v>4579</v>
      </c>
      <c r="E4489" s="399" t="s">
        <v>4042</v>
      </c>
      <c r="F4489" s="400">
        <v>7027.0270199999995</v>
      </c>
      <c r="G4489" s="401" t="s">
        <v>3800</v>
      </c>
      <c r="H4489" s="402">
        <v>2.6147035902787419</v>
      </c>
      <c r="I4489" s="402"/>
      <c r="J4489" s="400"/>
      <c r="K4489" s="400"/>
      <c r="L4489" s="400"/>
      <c r="M4489" s="400"/>
      <c r="N4489" s="400">
        <f t="shared" si="232"/>
        <v>2.6147035902787419</v>
      </c>
    </row>
    <row r="4490" spans="1:14" s="360" customFormat="1" hidden="1" outlineLevel="2" x14ac:dyDescent="0.35">
      <c r="A4490" s="403" t="s">
        <v>7327</v>
      </c>
      <c r="B4490" s="397">
        <v>44525</v>
      </c>
      <c r="C4490" s="398" t="s">
        <v>4580</v>
      </c>
      <c r="D4490" s="399" t="s">
        <v>4581</v>
      </c>
      <c r="E4490" s="399" t="s">
        <v>4563</v>
      </c>
      <c r="F4490" s="400">
        <v>1171171.17</v>
      </c>
      <c r="G4490" s="401" t="s">
        <v>3800</v>
      </c>
      <c r="H4490" s="402">
        <v>435.78393171312365</v>
      </c>
      <c r="I4490" s="402"/>
      <c r="J4490" s="400"/>
      <c r="K4490" s="400"/>
      <c r="L4490" s="400"/>
      <c r="M4490" s="400"/>
      <c r="N4490" s="400">
        <f t="shared" si="232"/>
        <v>435.78393171312365</v>
      </c>
    </row>
    <row r="4491" spans="1:14" s="360" customFormat="1" hidden="1" outlineLevel="2" x14ac:dyDescent="0.35">
      <c r="A4491" s="403" t="s">
        <v>7327</v>
      </c>
      <c r="B4491" s="397">
        <v>44525</v>
      </c>
      <c r="C4491" s="398" t="s">
        <v>4582</v>
      </c>
      <c r="D4491" s="399" t="s">
        <v>4583</v>
      </c>
      <c r="E4491" s="399" t="s">
        <v>4272</v>
      </c>
      <c r="F4491" s="400">
        <v>117117.117</v>
      </c>
      <c r="G4491" s="401" t="s">
        <v>3800</v>
      </c>
      <c r="H4491" s="402">
        <v>43.578393171312371</v>
      </c>
      <c r="I4491" s="402"/>
      <c r="J4491" s="400"/>
      <c r="K4491" s="400"/>
      <c r="L4491" s="400"/>
      <c r="M4491" s="400"/>
      <c r="N4491" s="400">
        <f t="shared" si="232"/>
        <v>43.578393171312371</v>
      </c>
    </row>
    <row r="4492" spans="1:14" s="360" customFormat="1" hidden="1" outlineLevel="2" x14ac:dyDescent="0.35">
      <c r="A4492" s="403" t="s">
        <v>7327</v>
      </c>
      <c r="B4492" s="397">
        <v>44525</v>
      </c>
      <c r="C4492" s="398" t="s">
        <v>4584</v>
      </c>
      <c r="D4492" s="399" t="s">
        <v>4585</v>
      </c>
      <c r="E4492" s="399" t="s">
        <v>4042</v>
      </c>
      <c r="F4492" s="400">
        <v>7027.0270199999995</v>
      </c>
      <c r="G4492" s="401" t="s">
        <v>3800</v>
      </c>
      <c r="H4492" s="402">
        <v>2.6147035902787419</v>
      </c>
      <c r="I4492" s="402"/>
      <c r="J4492" s="400"/>
      <c r="K4492" s="400"/>
      <c r="L4492" s="400"/>
      <c r="M4492" s="400"/>
      <c r="N4492" s="400">
        <f t="shared" si="232"/>
        <v>2.6147035902787419</v>
      </c>
    </row>
    <row r="4493" spans="1:14" s="360" customFormat="1" hidden="1" outlineLevel="2" x14ac:dyDescent="0.35">
      <c r="A4493" s="403" t="s">
        <v>7327</v>
      </c>
      <c r="B4493" s="397">
        <v>44547</v>
      </c>
      <c r="C4493" s="398" t="s">
        <v>4586</v>
      </c>
      <c r="D4493" s="399" t="s">
        <v>4587</v>
      </c>
      <c r="E4493" s="399" t="s">
        <v>4563</v>
      </c>
      <c r="F4493" s="400">
        <v>1171171.17</v>
      </c>
      <c r="G4493" s="401" t="s">
        <v>3800</v>
      </c>
      <c r="H4493" s="402">
        <v>435.78393171312365</v>
      </c>
      <c r="I4493" s="402"/>
      <c r="J4493" s="400"/>
      <c r="K4493" s="400"/>
      <c r="L4493" s="400"/>
      <c r="M4493" s="400"/>
      <c r="N4493" s="400">
        <f t="shared" si="232"/>
        <v>435.78393171312365</v>
      </c>
    </row>
    <row r="4494" spans="1:14" s="360" customFormat="1" hidden="1" outlineLevel="2" x14ac:dyDescent="0.35">
      <c r="A4494" s="403" t="s">
        <v>7327</v>
      </c>
      <c r="B4494" s="397">
        <v>44547</v>
      </c>
      <c r="C4494" s="398" t="s">
        <v>4588</v>
      </c>
      <c r="D4494" s="399" t="s">
        <v>4589</v>
      </c>
      <c r="E4494" s="399" t="s">
        <v>4272</v>
      </c>
      <c r="F4494" s="400">
        <v>117117.117</v>
      </c>
      <c r="G4494" s="401" t="s">
        <v>3800</v>
      </c>
      <c r="H4494" s="402">
        <v>43.578393171312371</v>
      </c>
      <c r="I4494" s="402"/>
      <c r="J4494" s="400"/>
      <c r="K4494" s="400"/>
      <c r="L4494" s="400"/>
      <c r="M4494" s="400"/>
      <c r="N4494" s="400">
        <f t="shared" si="232"/>
        <v>43.578393171312371</v>
      </c>
    </row>
    <row r="4495" spans="1:14" s="360" customFormat="1" hidden="1" outlineLevel="2" x14ac:dyDescent="0.35">
      <c r="A4495" s="403" t="s">
        <v>7327</v>
      </c>
      <c r="B4495" s="397">
        <v>44547</v>
      </c>
      <c r="C4495" s="398" t="s">
        <v>4590</v>
      </c>
      <c r="D4495" s="399" t="s">
        <v>4591</v>
      </c>
      <c r="E4495" s="399" t="s">
        <v>4042</v>
      </c>
      <c r="F4495" s="400">
        <v>7027.0270199999995</v>
      </c>
      <c r="G4495" s="401" t="s">
        <v>3800</v>
      </c>
      <c r="H4495" s="402">
        <v>2.6147035902787419</v>
      </c>
      <c r="I4495" s="402"/>
      <c r="J4495" s="400"/>
      <c r="K4495" s="400"/>
      <c r="L4495" s="400"/>
      <c r="M4495" s="400"/>
      <c r="N4495" s="400">
        <f t="shared" si="232"/>
        <v>2.6147035902787419</v>
      </c>
    </row>
    <row r="4496" spans="1:14" s="360" customFormat="1" hidden="1" outlineLevel="2" collapsed="1" x14ac:dyDescent="0.35">
      <c r="A4496" s="403" t="s">
        <v>7327</v>
      </c>
      <c r="B4496" s="397">
        <v>44587</v>
      </c>
      <c r="C4496" s="398" t="s">
        <v>4592</v>
      </c>
      <c r="D4496" s="399" t="s">
        <v>4593</v>
      </c>
      <c r="E4496" s="399" t="s">
        <v>4563</v>
      </c>
      <c r="F4496" s="400">
        <v>1171171.17</v>
      </c>
      <c r="G4496" s="401" t="s">
        <v>3800</v>
      </c>
      <c r="H4496" s="402">
        <v>435.78393171312365</v>
      </c>
      <c r="I4496" s="402"/>
      <c r="J4496" s="400"/>
      <c r="K4496" s="400"/>
      <c r="L4496" s="400"/>
      <c r="M4496" s="400"/>
      <c r="N4496" s="400">
        <v>435.78393171312365</v>
      </c>
    </row>
    <row r="4497" spans="1:14" s="360" customFormat="1" hidden="1" outlineLevel="2" x14ac:dyDescent="0.35">
      <c r="A4497" s="403" t="s">
        <v>7327</v>
      </c>
      <c r="B4497" s="397">
        <v>44587</v>
      </c>
      <c r="C4497" s="398" t="s">
        <v>4594</v>
      </c>
      <c r="D4497" s="399" t="s">
        <v>4595</v>
      </c>
      <c r="E4497" s="399" t="s">
        <v>4272</v>
      </c>
      <c r="F4497" s="400">
        <v>117117.117</v>
      </c>
      <c r="G4497" s="401" t="s">
        <v>3800</v>
      </c>
      <c r="H4497" s="402">
        <v>43.578393171312371</v>
      </c>
      <c r="I4497" s="402"/>
      <c r="J4497" s="400"/>
      <c r="K4497" s="400"/>
      <c r="L4497" s="400"/>
      <c r="M4497" s="400"/>
      <c r="N4497" s="400">
        <v>43.578393171312371</v>
      </c>
    </row>
    <row r="4498" spans="1:14" s="360" customFormat="1" hidden="1" outlineLevel="2" collapsed="1" x14ac:dyDescent="0.35">
      <c r="A4498" s="403" t="s">
        <v>7327</v>
      </c>
      <c r="B4498" s="397">
        <v>44587</v>
      </c>
      <c r="C4498" s="398" t="s">
        <v>4596</v>
      </c>
      <c r="D4498" s="399" t="s">
        <v>4597</v>
      </c>
      <c r="E4498" s="399" t="s">
        <v>4042</v>
      </c>
      <c r="F4498" s="400">
        <v>7027.0270199999995</v>
      </c>
      <c r="G4498" s="401" t="s">
        <v>3800</v>
      </c>
      <c r="H4498" s="402">
        <v>2.6147035902787419</v>
      </c>
      <c r="I4498" s="402"/>
      <c r="J4498" s="400"/>
      <c r="K4498" s="400"/>
      <c r="L4498" s="400"/>
      <c r="M4498" s="400"/>
      <c r="N4498" s="400">
        <v>2.6147035902787419</v>
      </c>
    </row>
    <row r="4499" spans="1:14" s="360" customFormat="1" outlineLevel="1" collapsed="1" x14ac:dyDescent="0.35">
      <c r="A4499" s="396" t="s">
        <v>7328</v>
      </c>
      <c r="B4499" s="397"/>
      <c r="C4499" s="398"/>
      <c r="D4499" s="399"/>
      <c r="E4499" s="399"/>
      <c r="F4499" s="400"/>
      <c r="G4499" s="401"/>
      <c r="H4499" s="402">
        <f t="shared" ref="H4499:N4499" si="233">SUBTOTAL(9,H4463:H4498)</f>
        <v>5679.5719749957552</v>
      </c>
      <c r="I4499" s="402"/>
      <c r="J4499" s="400">
        <f t="shared" si="233"/>
        <v>0</v>
      </c>
      <c r="K4499" s="400">
        <f t="shared" si="233"/>
        <v>0</v>
      </c>
      <c r="L4499" s="400">
        <f t="shared" si="233"/>
        <v>0</v>
      </c>
      <c r="M4499" s="400">
        <f t="shared" si="233"/>
        <v>0</v>
      </c>
      <c r="N4499" s="400">
        <f t="shared" si="233"/>
        <v>5679.5719749957552</v>
      </c>
    </row>
    <row r="4500" spans="1:14" s="360" customFormat="1" hidden="1" outlineLevel="2" collapsed="1" x14ac:dyDescent="0.35">
      <c r="A4500" s="403" t="s">
        <v>7329</v>
      </c>
      <c r="B4500" s="397">
        <v>43950</v>
      </c>
      <c r="C4500" s="398" t="s">
        <v>4266</v>
      </c>
      <c r="D4500" s="399" t="s">
        <v>4267</v>
      </c>
      <c r="E4500" s="399" t="s">
        <v>7330</v>
      </c>
      <c r="F4500" s="400">
        <v>2460000</v>
      </c>
      <c r="G4500" s="401" t="s">
        <v>3800</v>
      </c>
      <c r="H4500" s="402">
        <v>944.53317656330853</v>
      </c>
      <c r="I4500" s="402"/>
      <c r="J4500" s="400">
        <v>236.13329414082713</v>
      </c>
      <c r="K4500" s="400">
        <v>236.13329414082713</v>
      </c>
      <c r="L4500" s="400">
        <v>236.13329414082713</v>
      </c>
      <c r="M4500" s="400">
        <v>236.13329414082713</v>
      </c>
      <c r="N4500" s="400"/>
    </row>
    <row r="4501" spans="1:14" s="360" customFormat="1" hidden="1" outlineLevel="2" x14ac:dyDescent="0.35">
      <c r="A4501" s="403" t="s">
        <v>7329</v>
      </c>
      <c r="B4501" s="397">
        <v>43950</v>
      </c>
      <c r="C4501" s="398" t="s">
        <v>4266</v>
      </c>
      <c r="D4501" s="399" t="s">
        <v>4269</v>
      </c>
      <c r="E4501" s="399" t="s">
        <v>7330</v>
      </c>
      <c r="F4501" s="400">
        <v>369000</v>
      </c>
      <c r="G4501" s="401" t="s">
        <v>3800</v>
      </c>
      <c r="H4501" s="402">
        <v>141.67997648449628</v>
      </c>
      <c r="I4501" s="402"/>
      <c r="J4501" s="400">
        <v>35.41999412112407</v>
      </c>
      <c r="K4501" s="400">
        <v>35.41999412112407</v>
      </c>
      <c r="L4501" s="400">
        <v>35.41999412112407</v>
      </c>
      <c r="M4501" s="400">
        <v>35.41999412112407</v>
      </c>
      <c r="N4501" s="400"/>
    </row>
    <row r="4502" spans="1:14" s="360" customFormat="1" hidden="1" outlineLevel="2" collapsed="1" x14ac:dyDescent="0.35">
      <c r="A4502" s="403" t="s">
        <v>7329</v>
      </c>
      <c r="B4502" s="397">
        <v>43950</v>
      </c>
      <c r="C4502" s="398" t="s">
        <v>4270</v>
      </c>
      <c r="D4502" s="399" t="s">
        <v>4271</v>
      </c>
      <c r="E4502" s="399" t="s">
        <v>4272</v>
      </c>
      <c r="F4502" s="400">
        <v>307500</v>
      </c>
      <c r="G4502" s="401" t="s">
        <v>3800</v>
      </c>
      <c r="H4502" s="402">
        <v>118.06664707041357</v>
      </c>
      <c r="I4502" s="402"/>
      <c r="J4502" s="400">
        <v>29.516661767603392</v>
      </c>
      <c r="K4502" s="400">
        <v>29.516661767603392</v>
      </c>
      <c r="L4502" s="400">
        <v>29.516661767603392</v>
      </c>
      <c r="M4502" s="400">
        <v>29.516661767603392</v>
      </c>
      <c r="N4502" s="400"/>
    </row>
    <row r="4503" spans="1:14" s="360" customFormat="1" hidden="1" outlineLevel="2" x14ac:dyDescent="0.35">
      <c r="A4503" s="403" t="s">
        <v>7329</v>
      </c>
      <c r="B4503" s="397">
        <v>43950</v>
      </c>
      <c r="C4503" s="398" t="s">
        <v>4266</v>
      </c>
      <c r="D4503" s="399" t="s">
        <v>4273</v>
      </c>
      <c r="E4503" s="399" t="s">
        <v>7330</v>
      </c>
      <c r="F4503" s="400">
        <v>123000</v>
      </c>
      <c r="G4503" s="401" t="s">
        <v>3800</v>
      </c>
      <c r="H4503" s="402">
        <v>47.226658828165426</v>
      </c>
      <c r="I4503" s="402"/>
      <c r="J4503" s="400">
        <v>11.806664707041357</v>
      </c>
      <c r="K4503" s="400">
        <v>11.806664707041357</v>
      </c>
      <c r="L4503" s="400">
        <v>11.806664707041357</v>
      </c>
      <c r="M4503" s="400">
        <v>11.806664707041357</v>
      </c>
      <c r="N4503" s="400"/>
    </row>
    <row r="4504" spans="1:14" s="360" customFormat="1" hidden="1" outlineLevel="2" x14ac:dyDescent="0.35">
      <c r="A4504" s="403" t="s">
        <v>7329</v>
      </c>
      <c r="B4504" s="397">
        <v>43950</v>
      </c>
      <c r="C4504" s="398" t="s">
        <v>4274</v>
      </c>
      <c r="D4504" s="399" t="s">
        <v>4275</v>
      </c>
      <c r="E4504" s="399" t="s">
        <v>4276</v>
      </c>
      <c r="F4504" s="400">
        <v>123000</v>
      </c>
      <c r="G4504" s="401" t="s">
        <v>3800</v>
      </c>
      <c r="H4504" s="402">
        <v>47.226658828165426</v>
      </c>
      <c r="I4504" s="402"/>
      <c r="J4504" s="400">
        <v>11.806664707041357</v>
      </c>
      <c r="K4504" s="400">
        <v>11.806664707041357</v>
      </c>
      <c r="L4504" s="400">
        <v>11.806664707041357</v>
      </c>
      <c r="M4504" s="400">
        <v>11.806664707041357</v>
      </c>
      <c r="N4504" s="400"/>
    </row>
    <row r="4505" spans="1:14" s="360" customFormat="1" hidden="1" outlineLevel="2" x14ac:dyDescent="0.35">
      <c r="A4505" s="403" t="s">
        <v>7329</v>
      </c>
      <c r="B4505" s="397">
        <v>43950</v>
      </c>
      <c r="C4505" s="398" t="s">
        <v>4277</v>
      </c>
      <c r="D4505" s="399" t="s">
        <v>4278</v>
      </c>
      <c r="E4505" s="399" t="s">
        <v>4042</v>
      </c>
      <c r="F4505" s="400">
        <v>30750</v>
      </c>
      <c r="G4505" s="401" t="s">
        <v>3800</v>
      </c>
      <c r="H4505" s="402">
        <v>11.806664707041357</v>
      </c>
      <c r="I4505" s="402"/>
      <c r="J4505" s="400">
        <v>2.9516661767603392</v>
      </c>
      <c r="K4505" s="400">
        <v>2.9516661767603392</v>
      </c>
      <c r="L4505" s="400">
        <v>2.9516661767603392</v>
      </c>
      <c r="M4505" s="400">
        <v>2.9516661767603392</v>
      </c>
      <c r="N4505" s="400"/>
    </row>
    <row r="4506" spans="1:14" s="360" customFormat="1" hidden="1" outlineLevel="2" x14ac:dyDescent="0.35">
      <c r="A4506" s="403" t="s">
        <v>7329</v>
      </c>
      <c r="B4506" s="397">
        <v>43959</v>
      </c>
      <c r="C4506" s="398" t="s">
        <v>4253</v>
      </c>
      <c r="D4506" s="399" t="s">
        <v>4279</v>
      </c>
      <c r="E4506" s="399" t="s">
        <v>7330</v>
      </c>
      <c r="F4506" s="400">
        <v>2460000</v>
      </c>
      <c r="G4506" s="401" t="s">
        <v>3800</v>
      </c>
      <c r="H4506" s="402">
        <v>944.53317656330853</v>
      </c>
      <c r="I4506" s="402"/>
      <c r="J4506" s="400">
        <v>236.13329414082713</v>
      </c>
      <c r="K4506" s="400">
        <v>236.13329414082713</v>
      </c>
      <c r="L4506" s="400">
        <v>236.13329414082713</v>
      </c>
      <c r="M4506" s="400">
        <v>236.13329414082713</v>
      </c>
      <c r="N4506" s="400"/>
    </row>
    <row r="4507" spans="1:14" s="360" customFormat="1" hidden="1" outlineLevel="2" collapsed="1" x14ac:dyDescent="0.35">
      <c r="A4507" s="403" t="s">
        <v>7329</v>
      </c>
      <c r="B4507" s="397">
        <v>43959</v>
      </c>
      <c r="C4507" s="398" t="s">
        <v>4253</v>
      </c>
      <c r="D4507" s="399" t="s">
        <v>4280</v>
      </c>
      <c r="E4507" s="399" t="s">
        <v>7330</v>
      </c>
      <c r="F4507" s="400">
        <v>369000</v>
      </c>
      <c r="G4507" s="401" t="s">
        <v>3800</v>
      </c>
      <c r="H4507" s="402">
        <v>141.67997648449628</v>
      </c>
      <c r="I4507" s="402"/>
      <c r="J4507" s="400">
        <v>35.41999412112407</v>
      </c>
      <c r="K4507" s="400">
        <v>35.41999412112407</v>
      </c>
      <c r="L4507" s="400">
        <v>35.41999412112407</v>
      </c>
      <c r="M4507" s="400">
        <v>35.41999412112407</v>
      </c>
      <c r="N4507" s="400"/>
    </row>
    <row r="4508" spans="1:14" s="360" customFormat="1" hidden="1" outlineLevel="2" x14ac:dyDescent="0.35">
      <c r="A4508" s="403" t="s">
        <v>7329</v>
      </c>
      <c r="B4508" s="397">
        <v>43963</v>
      </c>
      <c r="C4508" s="398" t="s">
        <v>4281</v>
      </c>
      <c r="D4508" s="399" t="s">
        <v>4282</v>
      </c>
      <c r="E4508" s="399" t="s">
        <v>4272</v>
      </c>
      <c r="F4508" s="400">
        <v>307500</v>
      </c>
      <c r="G4508" s="401" t="s">
        <v>3800</v>
      </c>
      <c r="H4508" s="402">
        <v>118.06664707041357</v>
      </c>
      <c r="I4508" s="402"/>
      <c r="J4508" s="400">
        <v>29.516661767603392</v>
      </c>
      <c r="K4508" s="400">
        <v>29.516661767603392</v>
      </c>
      <c r="L4508" s="400">
        <v>29.516661767603392</v>
      </c>
      <c r="M4508" s="400">
        <v>29.516661767603392</v>
      </c>
      <c r="N4508" s="400"/>
    </row>
    <row r="4509" spans="1:14" s="360" customFormat="1" hidden="1" outlineLevel="2" x14ac:dyDescent="0.35">
      <c r="A4509" s="403" t="s">
        <v>7329</v>
      </c>
      <c r="B4509" s="397">
        <v>43959</v>
      </c>
      <c r="C4509" s="398" t="s">
        <v>4253</v>
      </c>
      <c r="D4509" s="399" t="s">
        <v>4283</v>
      </c>
      <c r="E4509" s="399" t="s">
        <v>7330</v>
      </c>
      <c r="F4509" s="400">
        <v>123000</v>
      </c>
      <c r="G4509" s="401" t="s">
        <v>3800</v>
      </c>
      <c r="H4509" s="402">
        <v>47.226658828165426</v>
      </c>
      <c r="I4509" s="402"/>
      <c r="J4509" s="400">
        <v>11.806664707041357</v>
      </c>
      <c r="K4509" s="400">
        <v>11.806664707041357</v>
      </c>
      <c r="L4509" s="400">
        <v>11.806664707041357</v>
      </c>
      <c r="M4509" s="400">
        <v>11.806664707041357</v>
      </c>
      <c r="N4509" s="400"/>
    </row>
    <row r="4510" spans="1:14" s="360" customFormat="1" hidden="1" outlineLevel="2" x14ac:dyDescent="0.35">
      <c r="A4510" s="403" t="s">
        <v>7329</v>
      </c>
      <c r="B4510" s="397">
        <v>43964</v>
      </c>
      <c r="C4510" s="398" t="s">
        <v>4284</v>
      </c>
      <c r="D4510" s="399" t="s">
        <v>4389</v>
      </c>
      <c r="E4510" s="399" t="s">
        <v>4276</v>
      </c>
      <c r="F4510" s="400">
        <v>123000</v>
      </c>
      <c r="G4510" s="401" t="s">
        <v>3800</v>
      </c>
      <c r="H4510" s="402">
        <v>47.226658828165426</v>
      </c>
      <c r="I4510" s="402"/>
      <c r="J4510" s="400">
        <v>11.806664707041357</v>
      </c>
      <c r="K4510" s="400">
        <v>11.806664707041357</v>
      </c>
      <c r="L4510" s="400">
        <v>11.806664707041357</v>
      </c>
      <c r="M4510" s="400">
        <v>11.806664707041357</v>
      </c>
      <c r="N4510" s="400"/>
    </row>
    <row r="4511" spans="1:14" s="360" customFormat="1" hidden="1" outlineLevel="2" x14ac:dyDescent="0.35">
      <c r="A4511" s="403" t="s">
        <v>7329</v>
      </c>
      <c r="B4511" s="397">
        <v>43959</v>
      </c>
      <c r="C4511" s="398" t="s">
        <v>4286</v>
      </c>
      <c r="D4511" s="399" t="s">
        <v>4287</v>
      </c>
      <c r="E4511" s="399" t="s">
        <v>4042</v>
      </c>
      <c r="F4511" s="400">
        <v>30750</v>
      </c>
      <c r="G4511" s="401" t="s">
        <v>3800</v>
      </c>
      <c r="H4511" s="402">
        <v>11.806664707041357</v>
      </c>
      <c r="I4511" s="402"/>
      <c r="J4511" s="400">
        <v>2.9516661767603392</v>
      </c>
      <c r="K4511" s="400">
        <v>2.9516661767603392</v>
      </c>
      <c r="L4511" s="400">
        <v>2.9516661767603392</v>
      </c>
      <c r="M4511" s="400">
        <v>2.9516661767603392</v>
      </c>
      <c r="N4511" s="400"/>
    </row>
    <row r="4512" spans="1:14" s="360" customFormat="1" hidden="1" outlineLevel="2" x14ac:dyDescent="0.35">
      <c r="A4512" s="403" t="s">
        <v>7329</v>
      </c>
      <c r="B4512" s="397">
        <v>43980</v>
      </c>
      <c r="C4512" s="398" t="s">
        <v>4288</v>
      </c>
      <c r="D4512" s="399" t="s">
        <v>4289</v>
      </c>
      <c r="E4512" s="399" t="s">
        <v>7330</v>
      </c>
      <c r="F4512" s="400">
        <v>2460000</v>
      </c>
      <c r="G4512" s="401" t="s">
        <v>3800</v>
      </c>
      <c r="H4512" s="402">
        <v>944.53317656330853</v>
      </c>
      <c r="I4512" s="402"/>
      <c r="J4512" s="400">
        <v>236.13329414082713</v>
      </c>
      <c r="K4512" s="400">
        <v>236.13329414082713</v>
      </c>
      <c r="L4512" s="400">
        <v>236.13329414082713</v>
      </c>
      <c r="M4512" s="400">
        <v>236.13329414082713</v>
      </c>
      <c r="N4512" s="400"/>
    </row>
    <row r="4513" spans="1:14" s="360" customFormat="1" hidden="1" outlineLevel="2" x14ac:dyDescent="0.35">
      <c r="A4513" s="403" t="s">
        <v>7329</v>
      </c>
      <c r="B4513" s="397">
        <v>43980</v>
      </c>
      <c r="C4513" s="398" t="s">
        <v>4290</v>
      </c>
      <c r="D4513" s="399" t="s">
        <v>4291</v>
      </c>
      <c r="E4513" s="399" t="s">
        <v>7330</v>
      </c>
      <c r="F4513" s="400">
        <v>369000</v>
      </c>
      <c r="G4513" s="401" t="s">
        <v>3800</v>
      </c>
      <c r="H4513" s="402">
        <v>141.67997648449628</v>
      </c>
      <c r="I4513" s="402"/>
      <c r="J4513" s="400">
        <v>35.41999412112407</v>
      </c>
      <c r="K4513" s="400">
        <v>35.41999412112407</v>
      </c>
      <c r="L4513" s="400">
        <v>35.41999412112407</v>
      </c>
      <c r="M4513" s="400">
        <v>35.41999412112407</v>
      </c>
      <c r="N4513" s="400"/>
    </row>
    <row r="4514" spans="1:14" s="360" customFormat="1" hidden="1" outlineLevel="2" x14ac:dyDescent="0.35">
      <c r="A4514" s="403" t="s">
        <v>7329</v>
      </c>
      <c r="B4514" s="397">
        <v>43980</v>
      </c>
      <c r="C4514" s="398" t="s">
        <v>4281</v>
      </c>
      <c r="D4514" s="399" t="s">
        <v>4390</v>
      </c>
      <c r="E4514" s="399" t="s">
        <v>4272</v>
      </c>
      <c r="F4514" s="400">
        <v>307500</v>
      </c>
      <c r="G4514" s="401" t="s">
        <v>3800</v>
      </c>
      <c r="H4514" s="402">
        <v>118.06664707041357</v>
      </c>
      <c r="I4514" s="402"/>
      <c r="J4514" s="400">
        <v>29.516661767603392</v>
      </c>
      <c r="K4514" s="400">
        <v>29.516661767603392</v>
      </c>
      <c r="L4514" s="400">
        <v>29.516661767603392</v>
      </c>
      <c r="M4514" s="400">
        <v>29.516661767603392</v>
      </c>
      <c r="N4514" s="400"/>
    </row>
    <row r="4515" spans="1:14" s="360" customFormat="1" hidden="1" outlineLevel="2" x14ac:dyDescent="0.35">
      <c r="A4515" s="403" t="s">
        <v>7329</v>
      </c>
      <c r="B4515" s="397">
        <v>43980</v>
      </c>
      <c r="C4515" s="398" t="s">
        <v>4288</v>
      </c>
      <c r="D4515" s="399" t="s">
        <v>4292</v>
      </c>
      <c r="E4515" s="399" t="s">
        <v>7330</v>
      </c>
      <c r="F4515" s="400">
        <v>123000</v>
      </c>
      <c r="G4515" s="401" t="s">
        <v>3800</v>
      </c>
      <c r="H4515" s="402">
        <v>47.226658828165426</v>
      </c>
      <c r="I4515" s="402"/>
      <c r="J4515" s="400">
        <v>11.806664707041357</v>
      </c>
      <c r="K4515" s="400">
        <v>11.806664707041357</v>
      </c>
      <c r="L4515" s="400">
        <v>11.806664707041357</v>
      </c>
      <c r="M4515" s="400">
        <v>11.806664707041357</v>
      </c>
      <c r="N4515" s="400"/>
    </row>
    <row r="4516" spans="1:14" s="360" customFormat="1" hidden="1" outlineLevel="2" x14ac:dyDescent="0.35">
      <c r="A4516" s="403" t="s">
        <v>7329</v>
      </c>
      <c r="B4516" s="397">
        <v>43980</v>
      </c>
      <c r="C4516" s="398" t="s">
        <v>4184</v>
      </c>
      <c r="D4516" s="399" t="s">
        <v>6118</v>
      </c>
      <c r="E4516" s="399" t="s">
        <v>4276</v>
      </c>
      <c r="F4516" s="400">
        <v>123000</v>
      </c>
      <c r="G4516" s="401" t="s">
        <v>3800</v>
      </c>
      <c r="H4516" s="402">
        <v>47.226658828165426</v>
      </c>
      <c r="I4516" s="402"/>
      <c r="J4516" s="400">
        <v>11.806664707041357</v>
      </c>
      <c r="K4516" s="400">
        <v>11.806664707041357</v>
      </c>
      <c r="L4516" s="400">
        <v>11.806664707041357</v>
      </c>
      <c r="M4516" s="400">
        <v>11.806664707041357</v>
      </c>
      <c r="N4516" s="400"/>
    </row>
    <row r="4517" spans="1:14" s="360" customFormat="1" hidden="1" outlineLevel="2" x14ac:dyDescent="0.35">
      <c r="A4517" s="403" t="s">
        <v>7329</v>
      </c>
      <c r="B4517" s="397">
        <v>43980</v>
      </c>
      <c r="C4517" s="398" t="s">
        <v>4294</v>
      </c>
      <c r="D4517" s="399" t="s">
        <v>4295</v>
      </c>
      <c r="E4517" s="399" t="s">
        <v>4042</v>
      </c>
      <c r="F4517" s="400">
        <v>30750</v>
      </c>
      <c r="G4517" s="401" t="s">
        <v>3800</v>
      </c>
      <c r="H4517" s="402">
        <v>11.806664707041357</v>
      </c>
      <c r="I4517" s="402"/>
      <c r="J4517" s="400">
        <v>2.9516661767603392</v>
      </c>
      <c r="K4517" s="400">
        <v>2.9516661767603392</v>
      </c>
      <c r="L4517" s="400">
        <v>2.9516661767603392</v>
      </c>
      <c r="M4517" s="400">
        <v>2.9516661767603392</v>
      </c>
      <c r="N4517" s="400"/>
    </row>
    <row r="4518" spans="1:14" s="360" customFormat="1" hidden="1" outlineLevel="2" x14ac:dyDescent="0.35">
      <c r="A4518" s="403" t="s">
        <v>7329</v>
      </c>
      <c r="B4518" s="397">
        <v>44018</v>
      </c>
      <c r="C4518" s="398" t="s">
        <v>4192</v>
      </c>
      <c r="D4518" s="399" t="s">
        <v>4296</v>
      </c>
      <c r="E4518" s="399" t="s">
        <v>7330</v>
      </c>
      <c r="F4518" s="400">
        <v>2460000</v>
      </c>
      <c r="G4518" s="401" t="s">
        <v>3800</v>
      </c>
      <c r="H4518" s="402">
        <v>944.53317656330853</v>
      </c>
      <c r="I4518" s="402"/>
      <c r="J4518" s="400">
        <v>236.13329414082713</v>
      </c>
      <c r="K4518" s="400">
        <v>236.13329414082713</v>
      </c>
      <c r="L4518" s="400">
        <v>236.13329414082713</v>
      </c>
      <c r="M4518" s="400">
        <v>236.13329414082713</v>
      </c>
      <c r="N4518" s="400"/>
    </row>
    <row r="4519" spans="1:14" s="360" customFormat="1" hidden="1" outlineLevel="2" x14ac:dyDescent="0.35">
      <c r="A4519" s="403" t="s">
        <v>7329</v>
      </c>
      <c r="B4519" s="397">
        <v>44018</v>
      </c>
      <c r="C4519" s="398" t="s">
        <v>4192</v>
      </c>
      <c r="D4519" s="399" t="s">
        <v>4297</v>
      </c>
      <c r="E4519" s="399" t="s">
        <v>7330</v>
      </c>
      <c r="F4519" s="400">
        <v>369000</v>
      </c>
      <c r="G4519" s="401" t="s">
        <v>3800</v>
      </c>
      <c r="H4519" s="402">
        <v>141.67997648449628</v>
      </c>
      <c r="I4519" s="402"/>
      <c r="J4519" s="400">
        <v>35.41999412112407</v>
      </c>
      <c r="K4519" s="400">
        <v>35.41999412112407</v>
      </c>
      <c r="L4519" s="400">
        <v>35.41999412112407</v>
      </c>
      <c r="M4519" s="400">
        <v>35.41999412112407</v>
      </c>
      <c r="N4519" s="400"/>
    </row>
    <row r="4520" spans="1:14" s="360" customFormat="1" hidden="1" outlineLevel="2" collapsed="1" x14ac:dyDescent="0.35">
      <c r="A4520" s="403" t="s">
        <v>7329</v>
      </c>
      <c r="B4520" s="397">
        <v>44022</v>
      </c>
      <c r="C4520" s="398" t="s">
        <v>4298</v>
      </c>
      <c r="D4520" s="399" t="s">
        <v>4299</v>
      </c>
      <c r="E4520" s="399" t="s">
        <v>4272</v>
      </c>
      <c r="F4520" s="400">
        <v>307500</v>
      </c>
      <c r="G4520" s="401" t="s">
        <v>3800</v>
      </c>
      <c r="H4520" s="402">
        <v>118.06664707041357</v>
      </c>
      <c r="I4520" s="402"/>
      <c r="J4520" s="400">
        <v>29.516661767603392</v>
      </c>
      <c r="K4520" s="400">
        <v>29.516661767603392</v>
      </c>
      <c r="L4520" s="400">
        <v>29.516661767603392</v>
      </c>
      <c r="M4520" s="400">
        <v>29.516661767603392</v>
      </c>
      <c r="N4520" s="400"/>
    </row>
    <row r="4521" spans="1:14" s="360" customFormat="1" hidden="1" outlineLevel="2" x14ac:dyDescent="0.35">
      <c r="A4521" s="403" t="s">
        <v>7329</v>
      </c>
      <c r="B4521" s="397">
        <v>44018</v>
      </c>
      <c r="C4521" s="398" t="s">
        <v>4192</v>
      </c>
      <c r="D4521" s="399" t="s">
        <v>4300</v>
      </c>
      <c r="E4521" s="399" t="s">
        <v>7330</v>
      </c>
      <c r="F4521" s="400">
        <v>123000</v>
      </c>
      <c r="G4521" s="401" t="s">
        <v>3800</v>
      </c>
      <c r="H4521" s="402">
        <v>47.226658828165426</v>
      </c>
      <c r="I4521" s="402"/>
      <c r="J4521" s="400">
        <v>11.806664707041357</v>
      </c>
      <c r="K4521" s="400">
        <v>11.806664707041357</v>
      </c>
      <c r="L4521" s="400">
        <v>11.806664707041357</v>
      </c>
      <c r="M4521" s="400">
        <v>11.806664707041357</v>
      </c>
      <c r="N4521" s="400"/>
    </row>
    <row r="4522" spans="1:14" s="360" customFormat="1" hidden="1" outlineLevel="2" x14ac:dyDescent="0.35">
      <c r="A4522" s="403" t="s">
        <v>7329</v>
      </c>
      <c r="B4522" s="397">
        <v>44022</v>
      </c>
      <c r="C4522" s="398" t="s">
        <v>4301</v>
      </c>
      <c r="D4522" s="399" t="s">
        <v>4302</v>
      </c>
      <c r="E4522" s="399" t="s">
        <v>4276</v>
      </c>
      <c r="F4522" s="400">
        <v>123000</v>
      </c>
      <c r="G4522" s="401" t="s">
        <v>3800</v>
      </c>
      <c r="H4522" s="402">
        <v>47.226658828165426</v>
      </c>
      <c r="I4522" s="402"/>
      <c r="J4522" s="400">
        <v>11.806664707041357</v>
      </c>
      <c r="K4522" s="400">
        <v>11.806664707041357</v>
      </c>
      <c r="L4522" s="400">
        <v>11.806664707041357</v>
      </c>
      <c r="M4522" s="400">
        <v>11.806664707041357</v>
      </c>
      <c r="N4522" s="400"/>
    </row>
    <row r="4523" spans="1:14" s="360" customFormat="1" hidden="1" outlineLevel="2" collapsed="1" x14ac:dyDescent="0.35">
      <c r="A4523" s="403" t="s">
        <v>7329</v>
      </c>
      <c r="B4523" s="397">
        <v>44022</v>
      </c>
      <c r="C4523" s="398" t="s">
        <v>4303</v>
      </c>
      <c r="D4523" s="399" t="s">
        <v>4304</v>
      </c>
      <c r="E4523" s="399" t="s">
        <v>4042</v>
      </c>
      <c r="F4523" s="400">
        <v>30750</v>
      </c>
      <c r="G4523" s="401" t="s">
        <v>3800</v>
      </c>
      <c r="H4523" s="402">
        <v>11.806664707041357</v>
      </c>
      <c r="I4523" s="402"/>
      <c r="J4523" s="400">
        <v>2.9516661767603392</v>
      </c>
      <c r="K4523" s="400">
        <v>2.9516661767603392</v>
      </c>
      <c r="L4523" s="400">
        <v>2.9516661767603392</v>
      </c>
      <c r="M4523" s="400">
        <v>2.9516661767603392</v>
      </c>
      <c r="N4523" s="400"/>
    </row>
    <row r="4524" spans="1:14" s="360" customFormat="1" hidden="1" outlineLevel="2" x14ac:dyDescent="0.35">
      <c r="A4524" s="403" t="s">
        <v>7329</v>
      </c>
      <c r="B4524" s="397">
        <v>44047</v>
      </c>
      <c r="C4524" s="398" t="s">
        <v>4305</v>
      </c>
      <c r="D4524" s="399" t="s">
        <v>4306</v>
      </c>
      <c r="E4524" s="399" t="s">
        <v>7330</v>
      </c>
      <c r="F4524" s="400">
        <v>1230000</v>
      </c>
      <c r="G4524" s="401" t="s">
        <v>3800</v>
      </c>
      <c r="H4524" s="402">
        <v>472.26658828165426</v>
      </c>
      <c r="I4524" s="402"/>
      <c r="J4524" s="400">
        <v>118.06664707041357</v>
      </c>
      <c r="K4524" s="400">
        <v>118.06664707041357</v>
      </c>
      <c r="L4524" s="400">
        <v>118.06664707041357</v>
      </c>
      <c r="M4524" s="400">
        <v>118.06664707041357</v>
      </c>
      <c r="N4524" s="400"/>
    </row>
    <row r="4525" spans="1:14" s="360" customFormat="1" hidden="1" outlineLevel="2" x14ac:dyDescent="0.35">
      <c r="A4525" s="403" t="s">
        <v>7329</v>
      </c>
      <c r="B4525" s="397">
        <v>44047</v>
      </c>
      <c r="C4525" s="398" t="s">
        <v>4305</v>
      </c>
      <c r="D4525" s="399" t="s">
        <v>4307</v>
      </c>
      <c r="E4525" s="399" t="s">
        <v>7330</v>
      </c>
      <c r="F4525" s="400">
        <v>184500</v>
      </c>
      <c r="G4525" s="401" t="s">
        <v>3800</v>
      </c>
      <c r="H4525" s="402">
        <v>70.83998824224814</v>
      </c>
      <c r="I4525" s="402"/>
      <c r="J4525" s="400">
        <v>17.709997060562035</v>
      </c>
      <c r="K4525" s="400">
        <v>17.709997060562035</v>
      </c>
      <c r="L4525" s="400">
        <v>17.709997060562035</v>
      </c>
      <c r="M4525" s="400">
        <v>17.709997060562035</v>
      </c>
      <c r="N4525" s="400"/>
    </row>
    <row r="4526" spans="1:14" s="360" customFormat="1" hidden="1" outlineLevel="2" x14ac:dyDescent="0.35">
      <c r="A4526" s="403" t="s">
        <v>7329</v>
      </c>
      <c r="B4526" s="397">
        <v>44047</v>
      </c>
      <c r="C4526" s="398" t="s">
        <v>4308</v>
      </c>
      <c r="D4526" s="399" t="s">
        <v>4309</v>
      </c>
      <c r="E4526" s="399" t="s">
        <v>4272</v>
      </c>
      <c r="F4526" s="400">
        <v>153750</v>
      </c>
      <c r="G4526" s="401" t="s">
        <v>3800</v>
      </c>
      <c r="H4526" s="402">
        <v>59.033323535206783</v>
      </c>
      <c r="I4526" s="402"/>
      <c r="J4526" s="400">
        <v>14.758330883801696</v>
      </c>
      <c r="K4526" s="400">
        <v>14.758330883801696</v>
      </c>
      <c r="L4526" s="400">
        <v>14.758330883801696</v>
      </c>
      <c r="M4526" s="400">
        <v>14.758330883801696</v>
      </c>
      <c r="N4526" s="400"/>
    </row>
    <row r="4527" spans="1:14" s="360" customFormat="1" hidden="1" outlineLevel="2" x14ac:dyDescent="0.35">
      <c r="A4527" s="403" t="s">
        <v>7329</v>
      </c>
      <c r="B4527" s="397">
        <v>44047</v>
      </c>
      <c r="C4527" s="398" t="s">
        <v>4305</v>
      </c>
      <c r="D4527" s="399" t="s">
        <v>4310</v>
      </c>
      <c r="E4527" s="399" t="s">
        <v>7330</v>
      </c>
      <c r="F4527" s="400">
        <v>61500</v>
      </c>
      <c r="G4527" s="401" t="s">
        <v>3800</v>
      </c>
      <c r="H4527" s="402">
        <v>23.613329414082713</v>
      </c>
      <c r="I4527" s="402"/>
      <c r="J4527" s="400">
        <v>5.9033323535206783</v>
      </c>
      <c r="K4527" s="400">
        <v>5.9033323535206783</v>
      </c>
      <c r="L4527" s="400">
        <v>5.9033323535206783</v>
      </c>
      <c r="M4527" s="400">
        <v>5.9033323535206783</v>
      </c>
      <c r="N4527" s="400"/>
    </row>
    <row r="4528" spans="1:14" s="360" customFormat="1" hidden="1" outlineLevel="2" x14ac:dyDescent="0.35">
      <c r="A4528" s="403" t="s">
        <v>7329</v>
      </c>
      <c r="B4528" s="397">
        <v>44047</v>
      </c>
      <c r="C4528" s="398" t="s">
        <v>4311</v>
      </c>
      <c r="D4528" s="399" t="s">
        <v>4312</v>
      </c>
      <c r="E4528" s="399" t="s">
        <v>4276</v>
      </c>
      <c r="F4528" s="400">
        <v>61500</v>
      </c>
      <c r="G4528" s="401" t="s">
        <v>3800</v>
      </c>
      <c r="H4528" s="402">
        <v>23.613329414082713</v>
      </c>
      <c r="I4528" s="402"/>
      <c r="J4528" s="400">
        <v>5.9033323535206783</v>
      </c>
      <c r="K4528" s="400">
        <v>5.9033323535206783</v>
      </c>
      <c r="L4528" s="400">
        <v>5.9033323535206783</v>
      </c>
      <c r="M4528" s="400">
        <v>5.9033323535206783</v>
      </c>
      <c r="N4528" s="400"/>
    </row>
    <row r="4529" spans="1:14" s="360" customFormat="1" hidden="1" outlineLevel="2" x14ac:dyDescent="0.35">
      <c r="A4529" s="403" t="s">
        <v>7329</v>
      </c>
      <c r="B4529" s="397">
        <v>44047</v>
      </c>
      <c r="C4529" s="398" t="s">
        <v>4313</v>
      </c>
      <c r="D4529" s="399" t="s">
        <v>4314</v>
      </c>
      <c r="E4529" s="399" t="s">
        <v>4042</v>
      </c>
      <c r="F4529" s="400">
        <v>15375</v>
      </c>
      <c r="G4529" s="401" t="s">
        <v>3800</v>
      </c>
      <c r="H4529" s="402">
        <v>5.9033323535206783</v>
      </c>
      <c r="I4529" s="402"/>
      <c r="J4529" s="400">
        <v>1.4758330883801696</v>
      </c>
      <c r="K4529" s="400">
        <v>1.4758330883801696</v>
      </c>
      <c r="L4529" s="400">
        <v>1.4758330883801696</v>
      </c>
      <c r="M4529" s="400">
        <v>1.4758330883801696</v>
      </c>
      <c r="N4529" s="400"/>
    </row>
    <row r="4530" spans="1:14" s="360" customFormat="1" hidden="1" outlineLevel="2" x14ac:dyDescent="0.35">
      <c r="A4530" s="403" t="s">
        <v>7329</v>
      </c>
      <c r="B4530" s="397">
        <v>44070</v>
      </c>
      <c r="C4530" s="398" t="s">
        <v>4315</v>
      </c>
      <c r="D4530" s="399" t="s">
        <v>4316</v>
      </c>
      <c r="E4530" s="399" t="s">
        <v>7330</v>
      </c>
      <c r="F4530" s="400">
        <v>1230000</v>
      </c>
      <c r="G4530" s="401" t="s">
        <v>3800</v>
      </c>
      <c r="H4530" s="402">
        <v>472.26658828165426</v>
      </c>
      <c r="I4530" s="402"/>
      <c r="J4530" s="400">
        <v>118.06664707041357</v>
      </c>
      <c r="K4530" s="400">
        <v>118.06664707041357</v>
      </c>
      <c r="L4530" s="400">
        <v>118.06664707041357</v>
      </c>
      <c r="M4530" s="400">
        <v>118.06664707041357</v>
      </c>
      <c r="N4530" s="400"/>
    </row>
    <row r="4531" spans="1:14" s="360" customFormat="1" hidden="1" outlineLevel="2" x14ac:dyDescent="0.35">
      <c r="A4531" s="403" t="s">
        <v>7329</v>
      </c>
      <c r="B4531" s="397">
        <v>44070</v>
      </c>
      <c r="C4531" s="398" t="s">
        <v>4315</v>
      </c>
      <c r="D4531" s="399" t="s">
        <v>4317</v>
      </c>
      <c r="E4531" s="399" t="s">
        <v>7330</v>
      </c>
      <c r="F4531" s="400">
        <v>184500</v>
      </c>
      <c r="G4531" s="401" t="s">
        <v>3800</v>
      </c>
      <c r="H4531" s="402">
        <v>70.83998824224814</v>
      </c>
      <c r="I4531" s="402"/>
      <c r="J4531" s="400">
        <v>17.709997060562035</v>
      </c>
      <c r="K4531" s="400">
        <v>17.709997060562035</v>
      </c>
      <c r="L4531" s="400">
        <v>17.709997060562035</v>
      </c>
      <c r="M4531" s="400">
        <v>17.709997060562035</v>
      </c>
      <c r="N4531" s="400"/>
    </row>
    <row r="4532" spans="1:14" s="360" customFormat="1" hidden="1" outlineLevel="2" x14ac:dyDescent="0.35">
      <c r="A4532" s="403" t="s">
        <v>7329</v>
      </c>
      <c r="B4532" s="397">
        <v>44070</v>
      </c>
      <c r="C4532" s="398" t="s">
        <v>4318</v>
      </c>
      <c r="D4532" s="399" t="s">
        <v>4319</v>
      </c>
      <c r="E4532" s="399" t="s">
        <v>4272</v>
      </c>
      <c r="F4532" s="400">
        <v>153750</v>
      </c>
      <c r="G4532" s="401" t="s">
        <v>3800</v>
      </c>
      <c r="H4532" s="402">
        <v>59.033323535206783</v>
      </c>
      <c r="I4532" s="402"/>
      <c r="J4532" s="400">
        <v>14.758330883801696</v>
      </c>
      <c r="K4532" s="400">
        <v>14.758330883801696</v>
      </c>
      <c r="L4532" s="400">
        <v>14.758330883801696</v>
      </c>
      <c r="M4532" s="400">
        <v>14.758330883801696</v>
      </c>
      <c r="N4532" s="400"/>
    </row>
    <row r="4533" spans="1:14" s="360" customFormat="1" hidden="1" outlineLevel="2" x14ac:dyDescent="0.35">
      <c r="A4533" s="403" t="s">
        <v>7329</v>
      </c>
      <c r="B4533" s="397">
        <v>44070</v>
      </c>
      <c r="C4533" s="398" t="s">
        <v>4315</v>
      </c>
      <c r="D4533" s="399" t="s">
        <v>4320</v>
      </c>
      <c r="E4533" s="399" t="s">
        <v>7330</v>
      </c>
      <c r="F4533" s="400">
        <v>61500</v>
      </c>
      <c r="G4533" s="401" t="s">
        <v>3800</v>
      </c>
      <c r="H4533" s="402">
        <v>23.613329414082713</v>
      </c>
      <c r="I4533" s="402"/>
      <c r="J4533" s="400">
        <v>5.9033323535206783</v>
      </c>
      <c r="K4533" s="400">
        <v>5.9033323535206783</v>
      </c>
      <c r="L4533" s="400">
        <v>5.9033323535206783</v>
      </c>
      <c r="M4533" s="400">
        <v>5.9033323535206783</v>
      </c>
      <c r="N4533" s="400"/>
    </row>
    <row r="4534" spans="1:14" s="360" customFormat="1" hidden="1" outlineLevel="2" x14ac:dyDescent="0.35">
      <c r="A4534" s="403" t="s">
        <v>7329</v>
      </c>
      <c r="B4534" s="397">
        <v>44070</v>
      </c>
      <c r="C4534" s="398" t="s">
        <v>4321</v>
      </c>
      <c r="D4534" s="399" t="s">
        <v>4322</v>
      </c>
      <c r="E4534" s="399" t="s">
        <v>4276</v>
      </c>
      <c r="F4534" s="400">
        <v>61500</v>
      </c>
      <c r="G4534" s="401" t="s">
        <v>3800</v>
      </c>
      <c r="H4534" s="402">
        <v>23.613329414082713</v>
      </c>
      <c r="I4534" s="402"/>
      <c r="J4534" s="400">
        <v>5.9033323535206783</v>
      </c>
      <c r="K4534" s="400">
        <v>5.9033323535206783</v>
      </c>
      <c r="L4534" s="400">
        <v>5.9033323535206783</v>
      </c>
      <c r="M4534" s="400">
        <v>5.9033323535206783</v>
      </c>
      <c r="N4534" s="400"/>
    </row>
    <row r="4535" spans="1:14" s="360" customFormat="1" hidden="1" outlineLevel="2" x14ac:dyDescent="0.35">
      <c r="A4535" s="403" t="s">
        <v>7329</v>
      </c>
      <c r="B4535" s="397">
        <v>44070</v>
      </c>
      <c r="C4535" s="398" t="s">
        <v>4323</v>
      </c>
      <c r="D4535" s="399" t="s">
        <v>4324</v>
      </c>
      <c r="E4535" s="399" t="s">
        <v>4042</v>
      </c>
      <c r="F4535" s="400">
        <v>15375</v>
      </c>
      <c r="G4535" s="401" t="s">
        <v>3800</v>
      </c>
      <c r="H4535" s="402">
        <v>5.9033323535206783</v>
      </c>
      <c r="I4535" s="402"/>
      <c r="J4535" s="400">
        <v>1.4758330883801696</v>
      </c>
      <c r="K4535" s="400">
        <v>1.4758330883801696</v>
      </c>
      <c r="L4535" s="400">
        <v>1.4758330883801696</v>
      </c>
      <c r="M4535" s="400">
        <v>1.4758330883801696</v>
      </c>
      <c r="N4535" s="400"/>
    </row>
    <row r="4536" spans="1:14" s="360" customFormat="1" hidden="1" outlineLevel="2" x14ac:dyDescent="0.35">
      <c r="A4536" s="403" t="s">
        <v>7329</v>
      </c>
      <c r="B4536" s="397">
        <v>44104</v>
      </c>
      <c r="C4536" s="398" t="s">
        <v>4325</v>
      </c>
      <c r="D4536" s="399" t="s">
        <v>4326</v>
      </c>
      <c r="E4536" s="399" t="s">
        <v>7330</v>
      </c>
      <c r="F4536" s="400">
        <v>1230000</v>
      </c>
      <c r="G4536" s="401" t="s">
        <v>3800</v>
      </c>
      <c r="H4536" s="402">
        <v>472.26658828165426</v>
      </c>
      <c r="I4536" s="402"/>
      <c r="J4536" s="400">
        <v>118.06664707041357</v>
      </c>
      <c r="K4536" s="400">
        <v>118.06664707041357</v>
      </c>
      <c r="L4536" s="400">
        <v>118.06664707041357</v>
      </c>
      <c r="M4536" s="400">
        <v>118.06664707041357</v>
      </c>
      <c r="N4536" s="400"/>
    </row>
    <row r="4537" spans="1:14" s="360" customFormat="1" hidden="1" outlineLevel="2" x14ac:dyDescent="0.35">
      <c r="A4537" s="403" t="s">
        <v>7329</v>
      </c>
      <c r="B4537" s="397">
        <v>44104</v>
      </c>
      <c r="C4537" s="398" t="s">
        <v>4325</v>
      </c>
      <c r="D4537" s="399" t="s">
        <v>4327</v>
      </c>
      <c r="E4537" s="399" t="s">
        <v>7330</v>
      </c>
      <c r="F4537" s="400">
        <v>184500</v>
      </c>
      <c r="G4537" s="401" t="s">
        <v>3800</v>
      </c>
      <c r="H4537" s="402">
        <v>70.83998824224814</v>
      </c>
      <c r="I4537" s="402"/>
      <c r="J4537" s="400">
        <v>17.709997060562035</v>
      </c>
      <c r="K4537" s="400">
        <v>17.709997060562035</v>
      </c>
      <c r="L4537" s="400">
        <v>17.709997060562035</v>
      </c>
      <c r="M4537" s="400">
        <v>17.709997060562035</v>
      </c>
      <c r="N4537" s="400"/>
    </row>
    <row r="4538" spans="1:14" s="360" customFormat="1" hidden="1" outlineLevel="2" x14ac:dyDescent="0.35">
      <c r="A4538" s="403" t="s">
        <v>7329</v>
      </c>
      <c r="B4538" s="397">
        <v>44104</v>
      </c>
      <c r="C4538" s="398" t="s">
        <v>4328</v>
      </c>
      <c r="D4538" s="399" t="s">
        <v>4329</v>
      </c>
      <c r="E4538" s="399" t="s">
        <v>4272</v>
      </c>
      <c r="F4538" s="400">
        <v>153750</v>
      </c>
      <c r="G4538" s="401" t="s">
        <v>3800</v>
      </c>
      <c r="H4538" s="402">
        <v>59.033323535206783</v>
      </c>
      <c r="I4538" s="402"/>
      <c r="J4538" s="400">
        <v>14.758330883801696</v>
      </c>
      <c r="K4538" s="400">
        <v>14.758330883801696</v>
      </c>
      <c r="L4538" s="400">
        <v>14.758330883801696</v>
      </c>
      <c r="M4538" s="400">
        <v>14.758330883801696</v>
      </c>
      <c r="N4538" s="400"/>
    </row>
    <row r="4539" spans="1:14" s="360" customFormat="1" hidden="1" outlineLevel="2" x14ac:dyDescent="0.35">
      <c r="A4539" s="403" t="s">
        <v>7329</v>
      </c>
      <c r="B4539" s="397">
        <v>44104</v>
      </c>
      <c r="C4539" s="398" t="s">
        <v>4325</v>
      </c>
      <c r="D4539" s="399" t="s">
        <v>4330</v>
      </c>
      <c r="E4539" s="399" t="s">
        <v>7330</v>
      </c>
      <c r="F4539" s="400">
        <v>61500</v>
      </c>
      <c r="G4539" s="401" t="s">
        <v>3800</v>
      </c>
      <c r="H4539" s="402">
        <v>23.613329414082713</v>
      </c>
      <c r="I4539" s="402"/>
      <c r="J4539" s="400">
        <v>5.9033323535206783</v>
      </c>
      <c r="K4539" s="400">
        <v>5.9033323535206783</v>
      </c>
      <c r="L4539" s="400">
        <v>5.9033323535206783</v>
      </c>
      <c r="M4539" s="400">
        <v>5.9033323535206783</v>
      </c>
      <c r="N4539" s="400"/>
    </row>
    <row r="4540" spans="1:14" s="360" customFormat="1" hidden="1" outlineLevel="2" x14ac:dyDescent="0.35">
      <c r="A4540" s="403" t="s">
        <v>7329</v>
      </c>
      <c r="B4540" s="397">
        <v>44104</v>
      </c>
      <c r="C4540" s="398" t="s">
        <v>4331</v>
      </c>
      <c r="D4540" s="399" t="s">
        <v>4332</v>
      </c>
      <c r="E4540" s="399" t="s">
        <v>4276</v>
      </c>
      <c r="F4540" s="400">
        <v>61500</v>
      </c>
      <c r="G4540" s="401" t="s">
        <v>3800</v>
      </c>
      <c r="H4540" s="402">
        <v>23.613329414082713</v>
      </c>
      <c r="I4540" s="402"/>
      <c r="J4540" s="400">
        <v>5.9033323535206783</v>
      </c>
      <c r="K4540" s="400">
        <v>5.9033323535206783</v>
      </c>
      <c r="L4540" s="400">
        <v>5.9033323535206783</v>
      </c>
      <c r="M4540" s="400">
        <v>5.9033323535206783</v>
      </c>
      <c r="N4540" s="400"/>
    </row>
    <row r="4541" spans="1:14" s="360" customFormat="1" hidden="1" outlineLevel="2" x14ac:dyDescent="0.35">
      <c r="A4541" s="403" t="s">
        <v>7329</v>
      </c>
      <c r="B4541" s="397">
        <v>44104</v>
      </c>
      <c r="C4541" s="398" t="s">
        <v>4333</v>
      </c>
      <c r="D4541" s="399" t="s">
        <v>4334</v>
      </c>
      <c r="E4541" s="399" t="s">
        <v>4042</v>
      </c>
      <c r="F4541" s="400">
        <v>15375</v>
      </c>
      <c r="G4541" s="401" t="s">
        <v>3800</v>
      </c>
      <c r="H4541" s="402">
        <v>5.9033323535206783</v>
      </c>
      <c r="I4541" s="402"/>
      <c r="J4541" s="400">
        <v>1.4758330883801696</v>
      </c>
      <c r="K4541" s="400">
        <v>1.4758330883801696</v>
      </c>
      <c r="L4541" s="400">
        <v>1.4758330883801696</v>
      </c>
      <c r="M4541" s="400">
        <v>1.4758330883801696</v>
      </c>
      <c r="N4541" s="400"/>
    </row>
    <row r="4542" spans="1:14" s="360" customFormat="1" hidden="1" outlineLevel="2" x14ac:dyDescent="0.35">
      <c r="A4542" s="403" t="s">
        <v>7329</v>
      </c>
      <c r="B4542" s="397">
        <v>44131</v>
      </c>
      <c r="C4542" s="398" t="s">
        <v>4335</v>
      </c>
      <c r="D4542" s="399" t="s">
        <v>4336</v>
      </c>
      <c r="E4542" s="399" t="s">
        <v>7330</v>
      </c>
      <c r="F4542" s="400">
        <v>1230000</v>
      </c>
      <c r="G4542" s="401" t="s">
        <v>3800</v>
      </c>
      <c r="H4542" s="402">
        <v>472.26658828165426</v>
      </c>
      <c r="I4542" s="402"/>
      <c r="J4542" s="400">
        <v>118.06664707041357</v>
      </c>
      <c r="K4542" s="400">
        <v>118.06664707041357</v>
      </c>
      <c r="L4542" s="400">
        <v>118.06664707041357</v>
      </c>
      <c r="M4542" s="400">
        <v>118.06664707041357</v>
      </c>
      <c r="N4542" s="400"/>
    </row>
    <row r="4543" spans="1:14" s="360" customFormat="1" hidden="1" outlineLevel="2" x14ac:dyDescent="0.35">
      <c r="A4543" s="403" t="s">
        <v>7329</v>
      </c>
      <c r="B4543" s="397">
        <v>44131</v>
      </c>
      <c r="C4543" s="398" t="s">
        <v>4335</v>
      </c>
      <c r="D4543" s="399" t="s">
        <v>4337</v>
      </c>
      <c r="E4543" s="399" t="s">
        <v>7330</v>
      </c>
      <c r="F4543" s="400">
        <v>184500</v>
      </c>
      <c r="G4543" s="401" t="s">
        <v>3800</v>
      </c>
      <c r="H4543" s="402">
        <v>70.83998824224814</v>
      </c>
      <c r="I4543" s="402"/>
      <c r="J4543" s="400">
        <v>17.709997060562035</v>
      </c>
      <c r="K4543" s="400">
        <v>17.709997060562035</v>
      </c>
      <c r="L4543" s="400">
        <v>17.709997060562035</v>
      </c>
      <c r="M4543" s="400">
        <v>17.709997060562035</v>
      </c>
      <c r="N4543" s="400"/>
    </row>
    <row r="4544" spans="1:14" s="360" customFormat="1" hidden="1" outlineLevel="2" x14ac:dyDescent="0.35">
      <c r="A4544" s="403" t="s">
        <v>7329</v>
      </c>
      <c r="B4544" s="397">
        <v>44131</v>
      </c>
      <c r="C4544" s="398" t="s">
        <v>4338</v>
      </c>
      <c r="D4544" s="399" t="s">
        <v>4339</v>
      </c>
      <c r="E4544" s="399" t="s">
        <v>4272</v>
      </c>
      <c r="F4544" s="400">
        <v>153750</v>
      </c>
      <c r="G4544" s="401" t="s">
        <v>3800</v>
      </c>
      <c r="H4544" s="402">
        <v>59.033323535206783</v>
      </c>
      <c r="I4544" s="402"/>
      <c r="J4544" s="400">
        <v>14.758330883801696</v>
      </c>
      <c r="K4544" s="400">
        <v>14.758330883801696</v>
      </c>
      <c r="L4544" s="400">
        <v>14.758330883801696</v>
      </c>
      <c r="M4544" s="400">
        <v>14.758330883801696</v>
      </c>
      <c r="N4544" s="400"/>
    </row>
    <row r="4545" spans="1:14" s="360" customFormat="1" hidden="1" outlineLevel="2" x14ac:dyDescent="0.35">
      <c r="A4545" s="403" t="s">
        <v>7329</v>
      </c>
      <c r="B4545" s="397">
        <v>44131</v>
      </c>
      <c r="C4545" s="398" t="s">
        <v>4325</v>
      </c>
      <c r="D4545" s="399" t="s">
        <v>4340</v>
      </c>
      <c r="E4545" s="399" t="s">
        <v>7330</v>
      </c>
      <c r="F4545" s="400">
        <v>61500</v>
      </c>
      <c r="G4545" s="401" t="s">
        <v>3800</v>
      </c>
      <c r="H4545" s="402">
        <v>23.613329414082713</v>
      </c>
      <c r="I4545" s="402"/>
      <c r="J4545" s="400">
        <v>5.9033323535206783</v>
      </c>
      <c r="K4545" s="400">
        <v>5.9033323535206783</v>
      </c>
      <c r="L4545" s="400">
        <v>5.9033323535206783</v>
      </c>
      <c r="M4545" s="400">
        <v>5.9033323535206783</v>
      </c>
      <c r="N4545" s="400"/>
    </row>
    <row r="4546" spans="1:14" s="360" customFormat="1" hidden="1" outlineLevel="2" x14ac:dyDescent="0.35">
      <c r="A4546" s="403" t="s">
        <v>7329</v>
      </c>
      <c r="B4546" s="397">
        <v>44131</v>
      </c>
      <c r="C4546" s="398" t="s">
        <v>4341</v>
      </c>
      <c r="D4546" s="399" t="s">
        <v>4342</v>
      </c>
      <c r="E4546" s="399" t="s">
        <v>4276</v>
      </c>
      <c r="F4546" s="400">
        <v>61500</v>
      </c>
      <c r="G4546" s="401" t="s">
        <v>3800</v>
      </c>
      <c r="H4546" s="402">
        <v>23.613329414082713</v>
      </c>
      <c r="I4546" s="402"/>
      <c r="J4546" s="400">
        <v>5.9033323535206783</v>
      </c>
      <c r="K4546" s="400">
        <v>5.9033323535206783</v>
      </c>
      <c r="L4546" s="400">
        <v>5.9033323535206783</v>
      </c>
      <c r="M4546" s="400">
        <v>5.9033323535206783</v>
      </c>
      <c r="N4546" s="400"/>
    </row>
    <row r="4547" spans="1:14" s="360" customFormat="1" hidden="1" outlineLevel="2" x14ac:dyDescent="0.35">
      <c r="A4547" s="403" t="s">
        <v>7329</v>
      </c>
      <c r="B4547" s="397">
        <v>44131</v>
      </c>
      <c r="C4547" s="398" t="s">
        <v>4343</v>
      </c>
      <c r="D4547" s="399" t="s">
        <v>4344</v>
      </c>
      <c r="E4547" s="399" t="s">
        <v>4042</v>
      </c>
      <c r="F4547" s="400">
        <v>15375</v>
      </c>
      <c r="G4547" s="401" t="s">
        <v>3800</v>
      </c>
      <c r="H4547" s="402">
        <v>5.9033323535206783</v>
      </c>
      <c r="I4547" s="402"/>
      <c r="J4547" s="400">
        <v>1.4758330883801696</v>
      </c>
      <c r="K4547" s="400">
        <v>1.4758330883801696</v>
      </c>
      <c r="L4547" s="400">
        <v>1.4758330883801696</v>
      </c>
      <c r="M4547" s="400">
        <v>1.4758330883801696</v>
      </c>
      <c r="N4547" s="400"/>
    </row>
    <row r="4548" spans="1:14" s="360" customFormat="1" hidden="1" outlineLevel="2" x14ac:dyDescent="0.35">
      <c r="A4548" s="403" t="s">
        <v>7329</v>
      </c>
      <c r="B4548" s="397">
        <v>44165</v>
      </c>
      <c r="C4548" s="398" t="s">
        <v>4345</v>
      </c>
      <c r="D4548" s="399" t="s">
        <v>4346</v>
      </c>
      <c r="E4548" s="399" t="s">
        <v>7330</v>
      </c>
      <c r="F4548" s="400">
        <v>1230000</v>
      </c>
      <c r="G4548" s="401" t="s">
        <v>3800</v>
      </c>
      <c r="H4548" s="402">
        <v>472.26658828165426</v>
      </c>
      <c r="I4548" s="402"/>
      <c r="J4548" s="400">
        <v>118.06664707041357</v>
      </c>
      <c r="K4548" s="400">
        <v>118.06664707041357</v>
      </c>
      <c r="L4548" s="400">
        <v>118.06664707041357</v>
      </c>
      <c r="M4548" s="400">
        <v>118.06664707041357</v>
      </c>
      <c r="N4548" s="400"/>
    </row>
    <row r="4549" spans="1:14" s="360" customFormat="1" hidden="1" outlineLevel="2" x14ac:dyDescent="0.35">
      <c r="A4549" s="403" t="s">
        <v>7329</v>
      </c>
      <c r="B4549" s="397">
        <v>44165</v>
      </c>
      <c r="C4549" s="398" t="s">
        <v>4345</v>
      </c>
      <c r="D4549" s="399" t="s">
        <v>4347</v>
      </c>
      <c r="E4549" s="399" t="s">
        <v>7330</v>
      </c>
      <c r="F4549" s="400">
        <v>184500</v>
      </c>
      <c r="G4549" s="401" t="s">
        <v>3800</v>
      </c>
      <c r="H4549" s="402">
        <v>70.83998824224814</v>
      </c>
      <c r="I4549" s="402"/>
      <c r="J4549" s="400">
        <v>17.709997060562035</v>
      </c>
      <c r="K4549" s="400">
        <v>17.709997060562035</v>
      </c>
      <c r="L4549" s="400">
        <v>17.709997060562035</v>
      </c>
      <c r="M4549" s="400">
        <v>17.709997060562035</v>
      </c>
      <c r="N4549" s="400"/>
    </row>
    <row r="4550" spans="1:14" s="360" customFormat="1" hidden="1" outlineLevel="2" x14ac:dyDescent="0.35">
      <c r="A4550" s="403" t="s">
        <v>7329</v>
      </c>
      <c r="B4550" s="397">
        <v>44165</v>
      </c>
      <c r="C4550" s="398" t="s">
        <v>4348</v>
      </c>
      <c r="D4550" s="399" t="s">
        <v>4349</v>
      </c>
      <c r="E4550" s="399" t="s">
        <v>4272</v>
      </c>
      <c r="F4550" s="400">
        <v>153750</v>
      </c>
      <c r="G4550" s="401" t="s">
        <v>3800</v>
      </c>
      <c r="H4550" s="402">
        <v>59.033323535206783</v>
      </c>
      <c r="I4550" s="402"/>
      <c r="J4550" s="400">
        <v>14.758330883801696</v>
      </c>
      <c r="K4550" s="400">
        <v>14.758330883801696</v>
      </c>
      <c r="L4550" s="400">
        <v>14.758330883801696</v>
      </c>
      <c r="M4550" s="400">
        <v>14.758330883801696</v>
      </c>
      <c r="N4550" s="400"/>
    </row>
    <row r="4551" spans="1:14" s="360" customFormat="1" hidden="1" outlineLevel="2" x14ac:dyDescent="0.35">
      <c r="A4551" s="403" t="s">
        <v>7329</v>
      </c>
      <c r="B4551" s="397">
        <v>44165</v>
      </c>
      <c r="C4551" s="398" t="s">
        <v>4345</v>
      </c>
      <c r="D4551" s="399" t="s">
        <v>4350</v>
      </c>
      <c r="E4551" s="399" t="s">
        <v>7330</v>
      </c>
      <c r="F4551" s="400">
        <v>61500</v>
      </c>
      <c r="G4551" s="401" t="s">
        <v>3800</v>
      </c>
      <c r="H4551" s="402">
        <v>23.613329414082713</v>
      </c>
      <c r="I4551" s="402"/>
      <c r="J4551" s="400">
        <v>5.9033323535206783</v>
      </c>
      <c r="K4551" s="400">
        <v>5.9033323535206783</v>
      </c>
      <c r="L4551" s="400">
        <v>5.9033323535206783</v>
      </c>
      <c r="M4551" s="400">
        <v>5.9033323535206783</v>
      </c>
      <c r="N4551" s="400"/>
    </row>
    <row r="4552" spans="1:14" s="360" customFormat="1" hidden="1" outlineLevel="2" x14ac:dyDescent="0.35">
      <c r="A4552" s="403" t="s">
        <v>7329</v>
      </c>
      <c r="B4552" s="397">
        <v>44165</v>
      </c>
      <c r="C4552" s="398" t="s">
        <v>4351</v>
      </c>
      <c r="D4552" s="399" t="s">
        <v>4352</v>
      </c>
      <c r="E4552" s="399" t="s">
        <v>4276</v>
      </c>
      <c r="F4552" s="400">
        <v>61500</v>
      </c>
      <c r="G4552" s="401" t="s">
        <v>3800</v>
      </c>
      <c r="H4552" s="402">
        <v>23.613329414082713</v>
      </c>
      <c r="I4552" s="402"/>
      <c r="J4552" s="400">
        <v>5.9033323535206783</v>
      </c>
      <c r="K4552" s="400">
        <v>5.9033323535206783</v>
      </c>
      <c r="L4552" s="400">
        <v>5.9033323535206783</v>
      </c>
      <c r="M4552" s="400">
        <v>5.9033323535206783</v>
      </c>
      <c r="N4552" s="400"/>
    </row>
    <row r="4553" spans="1:14" s="360" customFormat="1" hidden="1" outlineLevel="2" x14ac:dyDescent="0.35">
      <c r="A4553" s="403" t="s">
        <v>7329</v>
      </c>
      <c r="B4553" s="397">
        <v>44165</v>
      </c>
      <c r="C4553" s="398" t="s">
        <v>4353</v>
      </c>
      <c r="D4553" s="399" t="s">
        <v>4354</v>
      </c>
      <c r="E4553" s="399" t="s">
        <v>4042</v>
      </c>
      <c r="F4553" s="400">
        <v>15375</v>
      </c>
      <c r="G4553" s="401" t="s">
        <v>3800</v>
      </c>
      <c r="H4553" s="402">
        <v>5.9033323535206783</v>
      </c>
      <c r="I4553" s="402"/>
      <c r="J4553" s="400">
        <v>1.4758330883801696</v>
      </c>
      <c r="K4553" s="400">
        <v>1.4758330883801696</v>
      </c>
      <c r="L4553" s="400">
        <v>1.4758330883801696</v>
      </c>
      <c r="M4553" s="400">
        <v>1.4758330883801696</v>
      </c>
      <c r="N4553" s="400"/>
    </row>
    <row r="4554" spans="1:14" s="360" customFormat="1" hidden="1" outlineLevel="2" x14ac:dyDescent="0.35">
      <c r="A4554" s="403" t="s">
        <v>7329</v>
      </c>
      <c r="B4554" s="397">
        <v>44187</v>
      </c>
      <c r="C4554" s="398" t="s">
        <v>4355</v>
      </c>
      <c r="D4554" s="399" t="s">
        <v>4356</v>
      </c>
      <c r="E4554" s="399" t="s">
        <v>7330</v>
      </c>
      <c r="F4554" s="400">
        <v>1230000</v>
      </c>
      <c r="G4554" s="401" t="s">
        <v>3800</v>
      </c>
      <c r="H4554" s="402">
        <v>472.26658828165426</v>
      </c>
      <c r="I4554" s="402"/>
      <c r="J4554" s="400">
        <v>118.06664707041357</v>
      </c>
      <c r="K4554" s="400">
        <v>118.06664707041357</v>
      </c>
      <c r="L4554" s="400">
        <v>118.06664707041357</v>
      </c>
      <c r="M4554" s="400">
        <v>118.06664707041357</v>
      </c>
      <c r="N4554" s="400"/>
    </row>
    <row r="4555" spans="1:14" s="360" customFormat="1" hidden="1" outlineLevel="2" x14ac:dyDescent="0.35">
      <c r="A4555" s="403" t="s">
        <v>7329</v>
      </c>
      <c r="B4555" s="397">
        <v>44187</v>
      </c>
      <c r="C4555" s="398" t="s">
        <v>4355</v>
      </c>
      <c r="D4555" s="399" t="s">
        <v>4357</v>
      </c>
      <c r="E4555" s="399" t="s">
        <v>7330</v>
      </c>
      <c r="F4555" s="400">
        <v>184500</v>
      </c>
      <c r="G4555" s="401" t="s">
        <v>3800</v>
      </c>
      <c r="H4555" s="402">
        <v>70.83998824224814</v>
      </c>
      <c r="I4555" s="402"/>
      <c r="J4555" s="400">
        <v>17.709997060562035</v>
      </c>
      <c r="K4555" s="400">
        <v>17.709997060562035</v>
      </c>
      <c r="L4555" s="400">
        <v>17.709997060562035</v>
      </c>
      <c r="M4555" s="400">
        <v>17.709997060562035</v>
      </c>
      <c r="N4555" s="400"/>
    </row>
    <row r="4556" spans="1:14" s="360" customFormat="1" hidden="1" outlineLevel="2" x14ac:dyDescent="0.35">
      <c r="A4556" s="403" t="s">
        <v>7329</v>
      </c>
      <c r="B4556" s="397">
        <v>44187</v>
      </c>
      <c r="C4556" s="398" t="s">
        <v>4358</v>
      </c>
      <c r="D4556" s="399" t="s">
        <v>4359</v>
      </c>
      <c r="E4556" s="399" t="s">
        <v>4272</v>
      </c>
      <c r="F4556" s="400">
        <v>153750</v>
      </c>
      <c r="G4556" s="401" t="s">
        <v>3800</v>
      </c>
      <c r="H4556" s="402">
        <v>59.033323535206783</v>
      </c>
      <c r="I4556" s="402"/>
      <c r="J4556" s="400">
        <v>14.758330883801696</v>
      </c>
      <c r="K4556" s="400">
        <v>14.758330883801696</v>
      </c>
      <c r="L4556" s="400">
        <v>14.758330883801696</v>
      </c>
      <c r="M4556" s="400">
        <v>14.758330883801696</v>
      </c>
      <c r="N4556" s="400"/>
    </row>
    <row r="4557" spans="1:14" s="360" customFormat="1" hidden="1" outlineLevel="2" x14ac:dyDescent="0.35">
      <c r="A4557" s="403" t="s">
        <v>7329</v>
      </c>
      <c r="B4557" s="397">
        <v>44187</v>
      </c>
      <c r="C4557" s="398" t="s">
        <v>4355</v>
      </c>
      <c r="D4557" s="399" t="s">
        <v>4360</v>
      </c>
      <c r="E4557" s="399" t="s">
        <v>7330</v>
      </c>
      <c r="F4557" s="400">
        <v>61500</v>
      </c>
      <c r="G4557" s="401" t="s">
        <v>3800</v>
      </c>
      <c r="H4557" s="402">
        <v>23.613329414082713</v>
      </c>
      <c r="I4557" s="402"/>
      <c r="J4557" s="400">
        <v>5.9033323535206783</v>
      </c>
      <c r="K4557" s="400">
        <v>5.9033323535206783</v>
      </c>
      <c r="L4557" s="400">
        <v>5.9033323535206783</v>
      </c>
      <c r="M4557" s="400">
        <v>5.9033323535206783</v>
      </c>
      <c r="N4557" s="400"/>
    </row>
    <row r="4558" spans="1:14" s="360" customFormat="1" hidden="1" outlineLevel="2" x14ac:dyDescent="0.35">
      <c r="A4558" s="403" t="s">
        <v>7329</v>
      </c>
      <c r="B4558" s="397">
        <v>44187</v>
      </c>
      <c r="C4558" s="398" t="s">
        <v>4361</v>
      </c>
      <c r="D4558" s="399" t="s">
        <v>4362</v>
      </c>
      <c r="E4558" s="399" t="s">
        <v>4276</v>
      </c>
      <c r="F4558" s="400">
        <v>61500</v>
      </c>
      <c r="G4558" s="401" t="s">
        <v>3800</v>
      </c>
      <c r="H4558" s="402">
        <v>23.613329414082713</v>
      </c>
      <c r="I4558" s="402"/>
      <c r="J4558" s="400">
        <v>5.9033323535206783</v>
      </c>
      <c r="K4558" s="400">
        <v>5.9033323535206783</v>
      </c>
      <c r="L4558" s="400">
        <v>5.9033323535206783</v>
      </c>
      <c r="M4558" s="400">
        <v>5.9033323535206783</v>
      </c>
      <c r="N4558" s="400"/>
    </row>
    <row r="4559" spans="1:14" s="360" customFormat="1" hidden="1" outlineLevel="2" x14ac:dyDescent="0.35">
      <c r="A4559" s="403" t="s">
        <v>7329</v>
      </c>
      <c r="B4559" s="397">
        <v>44187</v>
      </c>
      <c r="C4559" s="398" t="s">
        <v>4363</v>
      </c>
      <c r="D4559" s="399" t="s">
        <v>4364</v>
      </c>
      <c r="E4559" s="399" t="s">
        <v>4042</v>
      </c>
      <c r="F4559" s="400">
        <v>15375</v>
      </c>
      <c r="G4559" s="401" t="s">
        <v>3800</v>
      </c>
      <c r="H4559" s="402">
        <v>5.9033323535206783</v>
      </c>
      <c r="I4559" s="402"/>
      <c r="J4559" s="400">
        <v>1.4758330883801696</v>
      </c>
      <c r="K4559" s="400">
        <v>1.4758330883801696</v>
      </c>
      <c r="L4559" s="400">
        <v>1.4758330883801696</v>
      </c>
      <c r="M4559" s="400">
        <v>1.4758330883801696</v>
      </c>
      <c r="N4559" s="400"/>
    </row>
    <row r="4560" spans="1:14" s="360" customFormat="1" outlineLevel="1" collapsed="1" x14ac:dyDescent="0.35">
      <c r="A4560" s="396" t="s">
        <v>7331</v>
      </c>
      <c r="B4560" s="397"/>
      <c r="C4560" s="398"/>
      <c r="D4560" s="399"/>
      <c r="E4560" s="399"/>
      <c r="F4560" s="400"/>
      <c r="G4560" s="401"/>
      <c r="H4560" s="402">
        <f t="shared" ref="H4560:N4560" si="234">SUBTOTAL(9,H4500:H4559)</f>
        <v>9173.7784773711264</v>
      </c>
      <c r="I4560" s="402"/>
      <c r="J4560" s="400">
        <f t="shared" si="234"/>
        <v>2293.4446193427816</v>
      </c>
      <c r="K4560" s="400">
        <f t="shared" si="234"/>
        <v>2293.4446193427816</v>
      </c>
      <c r="L4560" s="400">
        <f t="shared" si="234"/>
        <v>2293.4446193427816</v>
      </c>
      <c r="M4560" s="400">
        <f t="shared" si="234"/>
        <v>2293.4446193427816</v>
      </c>
      <c r="N4560" s="400">
        <f t="shared" si="234"/>
        <v>0</v>
      </c>
    </row>
    <row r="4561" spans="1:14" s="360" customFormat="1" hidden="1" outlineLevel="2" x14ac:dyDescent="0.35">
      <c r="A4561" s="403" t="s">
        <v>3976</v>
      </c>
      <c r="B4561" s="397">
        <v>44222</v>
      </c>
      <c r="C4561" s="398" t="s">
        <v>4029</v>
      </c>
      <c r="D4561" s="399" t="s">
        <v>4030</v>
      </c>
      <c r="E4561" s="399" t="s">
        <v>7330</v>
      </c>
      <c r="F4561" s="400">
        <v>1230000</v>
      </c>
      <c r="G4561" s="401" t="s">
        <v>3800</v>
      </c>
      <c r="H4561" s="402">
        <v>457.67369427915662</v>
      </c>
      <c r="I4561" s="402"/>
      <c r="J4561" s="400">
        <v>114.41842356978916</v>
      </c>
      <c r="K4561" s="400">
        <v>114.41842356978916</v>
      </c>
      <c r="L4561" s="400">
        <v>114.41842356978916</v>
      </c>
      <c r="M4561" s="400">
        <v>114.41842356978916</v>
      </c>
      <c r="N4561" s="400"/>
    </row>
    <row r="4562" spans="1:14" s="360" customFormat="1" hidden="1" outlineLevel="2" x14ac:dyDescent="0.35">
      <c r="A4562" s="403" t="s">
        <v>3976</v>
      </c>
      <c r="B4562" s="397">
        <v>44222</v>
      </c>
      <c r="C4562" s="398" t="s">
        <v>4029</v>
      </c>
      <c r="D4562" s="399" t="s">
        <v>4032</v>
      </c>
      <c r="E4562" s="399" t="s">
        <v>7330</v>
      </c>
      <c r="F4562" s="400">
        <v>184500</v>
      </c>
      <c r="G4562" s="401" t="s">
        <v>3800</v>
      </c>
      <c r="H4562" s="402">
        <v>68.651054141873487</v>
      </c>
      <c r="I4562" s="402"/>
      <c r="J4562" s="400">
        <v>17.162763535468372</v>
      </c>
      <c r="K4562" s="400">
        <v>17.162763535468372</v>
      </c>
      <c r="L4562" s="400">
        <v>17.162763535468372</v>
      </c>
      <c r="M4562" s="400">
        <v>17.162763535468372</v>
      </c>
      <c r="N4562" s="400"/>
    </row>
    <row r="4563" spans="1:14" s="360" customFormat="1" hidden="1" outlineLevel="2" x14ac:dyDescent="0.35">
      <c r="A4563" s="403" t="s">
        <v>3976</v>
      </c>
      <c r="B4563" s="397">
        <v>44222</v>
      </c>
      <c r="C4563" s="398" t="s">
        <v>4033</v>
      </c>
      <c r="D4563" s="399" t="s">
        <v>4034</v>
      </c>
      <c r="E4563" s="399" t="s">
        <v>4272</v>
      </c>
      <c r="F4563" s="400">
        <v>153750</v>
      </c>
      <c r="G4563" s="401" t="s">
        <v>3800</v>
      </c>
      <c r="H4563" s="402">
        <v>57.209211784894578</v>
      </c>
      <c r="I4563" s="402"/>
      <c r="J4563" s="400">
        <v>14.302302946223644</v>
      </c>
      <c r="K4563" s="400">
        <v>14.302302946223644</v>
      </c>
      <c r="L4563" s="400">
        <v>14.302302946223644</v>
      </c>
      <c r="M4563" s="400">
        <v>14.302302946223644</v>
      </c>
      <c r="N4563" s="400"/>
    </row>
    <row r="4564" spans="1:14" s="360" customFormat="1" hidden="1" outlineLevel="2" x14ac:dyDescent="0.35">
      <c r="A4564" s="403" t="s">
        <v>3976</v>
      </c>
      <c r="B4564" s="397">
        <v>44222</v>
      </c>
      <c r="C4564" s="398" t="s">
        <v>4029</v>
      </c>
      <c r="D4564" s="399" t="s">
        <v>4036</v>
      </c>
      <c r="E4564" s="399" t="s">
        <v>7330</v>
      </c>
      <c r="F4564" s="400">
        <v>61500</v>
      </c>
      <c r="G4564" s="401" t="s">
        <v>3800</v>
      </c>
      <c r="H4564" s="402">
        <v>22.88368471395783</v>
      </c>
      <c r="I4564" s="402"/>
      <c r="J4564" s="400">
        <v>5.7209211784894576</v>
      </c>
      <c r="K4564" s="400">
        <v>5.7209211784894576</v>
      </c>
      <c r="L4564" s="400">
        <v>5.7209211784894576</v>
      </c>
      <c r="M4564" s="400">
        <v>5.7209211784894576</v>
      </c>
      <c r="N4564" s="400"/>
    </row>
    <row r="4565" spans="1:14" s="360" customFormat="1" hidden="1" outlineLevel="2" x14ac:dyDescent="0.35">
      <c r="A4565" s="403" t="s">
        <v>3976</v>
      </c>
      <c r="B4565" s="397">
        <v>44222</v>
      </c>
      <c r="C4565" s="398" t="s">
        <v>4037</v>
      </c>
      <c r="D4565" s="399" t="s">
        <v>4038</v>
      </c>
      <c r="E4565" s="399" t="s">
        <v>4039</v>
      </c>
      <c r="F4565" s="400">
        <v>61500</v>
      </c>
      <c r="G4565" s="401" t="s">
        <v>3800</v>
      </c>
      <c r="H4565" s="402">
        <v>22.88368471395783</v>
      </c>
      <c r="I4565" s="402"/>
      <c r="J4565" s="400">
        <v>5.7209211784894576</v>
      </c>
      <c r="K4565" s="400">
        <v>5.7209211784894576</v>
      </c>
      <c r="L4565" s="400">
        <v>5.7209211784894576</v>
      </c>
      <c r="M4565" s="400">
        <v>5.7209211784894576</v>
      </c>
      <c r="N4565" s="400"/>
    </row>
    <row r="4566" spans="1:14" s="360" customFormat="1" hidden="1" outlineLevel="2" x14ac:dyDescent="0.35">
      <c r="A4566" s="403" t="s">
        <v>3976</v>
      </c>
      <c r="B4566" s="397">
        <v>44222</v>
      </c>
      <c r="C4566" s="398" t="s">
        <v>4040</v>
      </c>
      <c r="D4566" s="399" t="s">
        <v>4041</v>
      </c>
      <c r="E4566" s="399" t="s">
        <v>4042</v>
      </c>
      <c r="F4566" s="400">
        <v>15375</v>
      </c>
      <c r="G4566" s="401" t="s">
        <v>3800</v>
      </c>
      <c r="H4566" s="402">
        <v>5.7209211784894576</v>
      </c>
      <c r="I4566" s="402"/>
      <c r="J4566" s="400">
        <v>1.4302302946223644</v>
      </c>
      <c r="K4566" s="400">
        <v>1.4302302946223644</v>
      </c>
      <c r="L4566" s="400">
        <v>1.4302302946223644</v>
      </c>
      <c r="M4566" s="400">
        <v>1.4302302946223644</v>
      </c>
      <c r="N4566" s="400"/>
    </row>
    <row r="4567" spans="1:14" s="360" customFormat="1" hidden="1" outlineLevel="2" x14ac:dyDescent="0.35">
      <c r="A4567" s="403" t="s">
        <v>3976</v>
      </c>
      <c r="B4567" s="397">
        <v>44259</v>
      </c>
      <c r="C4567" s="398" t="s">
        <v>4043</v>
      </c>
      <c r="D4567" s="399" t="s">
        <v>4044</v>
      </c>
      <c r="E4567" s="399" t="s">
        <v>7330</v>
      </c>
      <c r="F4567" s="400">
        <v>1230000</v>
      </c>
      <c r="G4567" s="401" t="s">
        <v>3800</v>
      </c>
      <c r="H4567" s="402">
        <v>457.67369427915662</v>
      </c>
      <c r="I4567" s="402"/>
      <c r="J4567" s="400">
        <v>114.41842356978916</v>
      </c>
      <c r="K4567" s="400">
        <v>114.41842356978916</v>
      </c>
      <c r="L4567" s="400">
        <v>114.41842356978916</v>
      </c>
      <c r="M4567" s="400">
        <v>114.41842356978916</v>
      </c>
      <c r="N4567" s="400"/>
    </row>
    <row r="4568" spans="1:14" s="360" customFormat="1" hidden="1" outlineLevel="2" x14ac:dyDescent="0.35">
      <c r="A4568" s="403" t="s">
        <v>3976</v>
      </c>
      <c r="B4568" s="397">
        <v>44259</v>
      </c>
      <c r="C4568" s="398" t="s">
        <v>4043</v>
      </c>
      <c r="D4568" s="399" t="s">
        <v>4045</v>
      </c>
      <c r="E4568" s="399" t="s">
        <v>7330</v>
      </c>
      <c r="F4568" s="400">
        <v>184500</v>
      </c>
      <c r="G4568" s="401" t="s">
        <v>3800</v>
      </c>
      <c r="H4568" s="402">
        <v>68.651054141873487</v>
      </c>
      <c r="I4568" s="402"/>
      <c r="J4568" s="400">
        <v>17.162763535468372</v>
      </c>
      <c r="K4568" s="400">
        <v>17.162763535468372</v>
      </c>
      <c r="L4568" s="400">
        <v>17.162763535468372</v>
      </c>
      <c r="M4568" s="400">
        <v>17.162763535468372</v>
      </c>
      <c r="N4568" s="400"/>
    </row>
    <row r="4569" spans="1:14" s="360" customFormat="1" hidden="1" outlineLevel="2" x14ac:dyDescent="0.35">
      <c r="A4569" s="403" t="s">
        <v>3976</v>
      </c>
      <c r="B4569" s="397">
        <v>44259</v>
      </c>
      <c r="C4569" s="398" t="s">
        <v>4043</v>
      </c>
      <c r="D4569" s="399" t="s">
        <v>4046</v>
      </c>
      <c r="E4569" s="399" t="s">
        <v>4272</v>
      </c>
      <c r="F4569" s="400">
        <v>153750</v>
      </c>
      <c r="G4569" s="401" t="s">
        <v>3800</v>
      </c>
      <c r="H4569" s="402">
        <v>57.209211784894578</v>
      </c>
      <c r="I4569" s="402"/>
      <c r="J4569" s="400">
        <v>14.302302946223644</v>
      </c>
      <c r="K4569" s="400">
        <v>14.302302946223644</v>
      </c>
      <c r="L4569" s="400">
        <v>14.302302946223644</v>
      </c>
      <c r="M4569" s="400">
        <v>14.302302946223644</v>
      </c>
      <c r="N4569" s="400"/>
    </row>
    <row r="4570" spans="1:14" s="360" customFormat="1" hidden="1" outlineLevel="2" x14ac:dyDescent="0.35">
      <c r="A4570" s="403" t="s">
        <v>3976</v>
      </c>
      <c r="B4570" s="397">
        <v>44259</v>
      </c>
      <c r="C4570" s="398" t="s">
        <v>4043</v>
      </c>
      <c r="D4570" s="399" t="s">
        <v>4047</v>
      </c>
      <c r="E4570" s="399" t="s">
        <v>7330</v>
      </c>
      <c r="F4570" s="400">
        <v>61500</v>
      </c>
      <c r="G4570" s="401" t="s">
        <v>3800</v>
      </c>
      <c r="H4570" s="402">
        <v>22.88368471395783</v>
      </c>
      <c r="I4570" s="402"/>
      <c r="J4570" s="400">
        <v>5.7209211784894576</v>
      </c>
      <c r="K4570" s="400">
        <v>5.7209211784894576</v>
      </c>
      <c r="L4570" s="400">
        <v>5.7209211784894576</v>
      </c>
      <c r="M4570" s="400">
        <v>5.7209211784894576</v>
      </c>
      <c r="N4570" s="400"/>
    </row>
    <row r="4571" spans="1:14" s="360" customFormat="1" hidden="1" outlineLevel="2" x14ac:dyDescent="0.35">
      <c r="A4571" s="403" t="s">
        <v>3976</v>
      </c>
      <c r="B4571" s="397">
        <v>44259</v>
      </c>
      <c r="C4571" s="398" t="s">
        <v>4048</v>
      </c>
      <c r="D4571" s="399" t="s">
        <v>4049</v>
      </c>
      <c r="E4571" s="399" t="s">
        <v>4039</v>
      </c>
      <c r="F4571" s="400">
        <v>61500</v>
      </c>
      <c r="G4571" s="401" t="s">
        <v>3800</v>
      </c>
      <c r="H4571" s="402">
        <v>22.88368471395783</v>
      </c>
      <c r="I4571" s="402"/>
      <c r="J4571" s="400">
        <v>5.7209211784894576</v>
      </c>
      <c r="K4571" s="400">
        <v>5.7209211784894576</v>
      </c>
      <c r="L4571" s="400">
        <v>5.7209211784894576</v>
      </c>
      <c r="M4571" s="400">
        <v>5.7209211784894576</v>
      </c>
      <c r="N4571" s="400"/>
    </row>
    <row r="4572" spans="1:14" s="360" customFormat="1" hidden="1" outlineLevel="2" x14ac:dyDescent="0.35">
      <c r="A4572" s="403" t="s">
        <v>3976</v>
      </c>
      <c r="B4572" s="397">
        <v>44259</v>
      </c>
      <c r="C4572" s="398" t="s">
        <v>4050</v>
      </c>
      <c r="D4572" s="399" t="s">
        <v>4051</v>
      </c>
      <c r="E4572" s="399" t="s">
        <v>4042</v>
      </c>
      <c r="F4572" s="400">
        <v>15375</v>
      </c>
      <c r="G4572" s="401" t="s">
        <v>3800</v>
      </c>
      <c r="H4572" s="402">
        <v>5.7209211784894576</v>
      </c>
      <c r="I4572" s="402"/>
      <c r="J4572" s="400">
        <v>1.4302302946223644</v>
      </c>
      <c r="K4572" s="400">
        <v>1.4302302946223644</v>
      </c>
      <c r="L4572" s="400">
        <v>1.4302302946223644</v>
      </c>
      <c r="M4572" s="400">
        <v>1.4302302946223644</v>
      </c>
      <c r="N4572" s="400"/>
    </row>
    <row r="4573" spans="1:14" s="360" customFormat="1" hidden="1" outlineLevel="2" x14ac:dyDescent="0.35">
      <c r="A4573" s="403" t="s">
        <v>3976</v>
      </c>
      <c r="B4573" s="397">
        <v>44284</v>
      </c>
      <c r="C4573" s="398" t="s">
        <v>4052</v>
      </c>
      <c r="D4573" s="399" t="s">
        <v>4053</v>
      </c>
      <c r="E4573" s="399" t="s">
        <v>7330</v>
      </c>
      <c r="F4573" s="400">
        <v>1230000</v>
      </c>
      <c r="G4573" s="401" t="s">
        <v>3800</v>
      </c>
      <c r="H4573" s="402">
        <v>457.67369427915662</v>
      </c>
      <c r="I4573" s="402"/>
      <c r="J4573" s="400">
        <v>114.41842356978916</v>
      </c>
      <c r="K4573" s="400">
        <v>114.41842356978916</v>
      </c>
      <c r="L4573" s="400">
        <v>114.41842356978916</v>
      </c>
      <c r="M4573" s="400">
        <v>114.41842356978916</v>
      </c>
      <c r="N4573" s="400"/>
    </row>
    <row r="4574" spans="1:14" s="360" customFormat="1" hidden="1" outlineLevel="2" x14ac:dyDescent="0.35">
      <c r="A4574" s="403" t="s">
        <v>3976</v>
      </c>
      <c r="B4574" s="397">
        <v>44284</v>
      </c>
      <c r="C4574" s="398" t="s">
        <v>4052</v>
      </c>
      <c r="D4574" s="399" t="s">
        <v>4054</v>
      </c>
      <c r="E4574" s="399" t="s">
        <v>7330</v>
      </c>
      <c r="F4574" s="400">
        <v>184500</v>
      </c>
      <c r="G4574" s="401" t="s">
        <v>3800</v>
      </c>
      <c r="H4574" s="402">
        <v>68.651054141873487</v>
      </c>
      <c r="I4574" s="402"/>
      <c r="J4574" s="400">
        <v>17.162763535468372</v>
      </c>
      <c r="K4574" s="400">
        <v>17.162763535468372</v>
      </c>
      <c r="L4574" s="400">
        <v>17.162763535468372</v>
      </c>
      <c r="M4574" s="400">
        <v>17.162763535468372</v>
      </c>
      <c r="N4574" s="400"/>
    </row>
    <row r="4575" spans="1:14" s="360" customFormat="1" hidden="1" outlineLevel="2" x14ac:dyDescent="0.35">
      <c r="A4575" s="403" t="s">
        <v>3976</v>
      </c>
      <c r="B4575" s="397">
        <v>44284</v>
      </c>
      <c r="C4575" s="398" t="s">
        <v>4055</v>
      </c>
      <c r="D4575" s="399" t="s">
        <v>4056</v>
      </c>
      <c r="E4575" s="399" t="s">
        <v>4272</v>
      </c>
      <c r="F4575" s="400">
        <v>153750</v>
      </c>
      <c r="G4575" s="401" t="s">
        <v>3800</v>
      </c>
      <c r="H4575" s="402">
        <v>57.209211784894578</v>
      </c>
      <c r="I4575" s="402"/>
      <c r="J4575" s="400">
        <v>14.302302946223644</v>
      </c>
      <c r="K4575" s="400">
        <v>14.302302946223644</v>
      </c>
      <c r="L4575" s="400">
        <v>14.302302946223644</v>
      </c>
      <c r="M4575" s="400">
        <v>14.302302946223644</v>
      </c>
      <c r="N4575" s="400"/>
    </row>
    <row r="4576" spans="1:14" s="360" customFormat="1" hidden="1" outlineLevel="2" x14ac:dyDescent="0.35">
      <c r="A4576" s="403" t="s">
        <v>3976</v>
      </c>
      <c r="B4576" s="397">
        <v>44284</v>
      </c>
      <c r="C4576" s="398" t="s">
        <v>4052</v>
      </c>
      <c r="D4576" s="399" t="s">
        <v>4057</v>
      </c>
      <c r="E4576" s="399" t="s">
        <v>7330</v>
      </c>
      <c r="F4576" s="400">
        <v>61500</v>
      </c>
      <c r="G4576" s="401" t="s">
        <v>3800</v>
      </c>
      <c r="H4576" s="402">
        <v>22.88368471395783</v>
      </c>
      <c r="I4576" s="402"/>
      <c r="J4576" s="400">
        <v>5.7209211784894576</v>
      </c>
      <c r="K4576" s="400">
        <v>5.7209211784894576</v>
      </c>
      <c r="L4576" s="400">
        <v>5.7209211784894576</v>
      </c>
      <c r="M4576" s="400">
        <v>5.7209211784894576</v>
      </c>
      <c r="N4576" s="400"/>
    </row>
    <row r="4577" spans="1:14" s="360" customFormat="1" hidden="1" outlineLevel="2" x14ac:dyDescent="0.35">
      <c r="A4577" s="403" t="s">
        <v>3976</v>
      </c>
      <c r="B4577" s="397">
        <v>44284</v>
      </c>
      <c r="C4577" s="398" t="s">
        <v>4058</v>
      </c>
      <c r="D4577" s="399" t="s">
        <v>4059</v>
      </c>
      <c r="E4577" s="399" t="s">
        <v>4039</v>
      </c>
      <c r="F4577" s="400">
        <v>61500</v>
      </c>
      <c r="G4577" s="401" t="s">
        <v>3800</v>
      </c>
      <c r="H4577" s="402">
        <v>22.88368471395783</v>
      </c>
      <c r="I4577" s="402"/>
      <c r="J4577" s="400">
        <v>5.7209211784894576</v>
      </c>
      <c r="K4577" s="400">
        <v>5.7209211784894576</v>
      </c>
      <c r="L4577" s="400">
        <v>5.7209211784894576</v>
      </c>
      <c r="M4577" s="400">
        <v>5.7209211784894576</v>
      </c>
      <c r="N4577" s="400"/>
    </row>
    <row r="4578" spans="1:14" s="360" customFormat="1" hidden="1" outlineLevel="2" x14ac:dyDescent="0.35">
      <c r="A4578" s="403" t="s">
        <v>3976</v>
      </c>
      <c r="B4578" s="397">
        <v>44284</v>
      </c>
      <c r="C4578" s="398" t="s">
        <v>4060</v>
      </c>
      <c r="D4578" s="399" t="s">
        <v>4061</v>
      </c>
      <c r="E4578" s="399" t="s">
        <v>4042</v>
      </c>
      <c r="F4578" s="400">
        <v>15375</v>
      </c>
      <c r="G4578" s="401" t="s">
        <v>3800</v>
      </c>
      <c r="H4578" s="402">
        <v>5.7209211784894576</v>
      </c>
      <c r="I4578" s="402"/>
      <c r="J4578" s="400">
        <v>1.4302302946223644</v>
      </c>
      <c r="K4578" s="400">
        <v>1.4302302946223644</v>
      </c>
      <c r="L4578" s="400">
        <v>1.4302302946223644</v>
      </c>
      <c r="M4578" s="400">
        <v>1.4302302946223644</v>
      </c>
      <c r="N4578" s="400"/>
    </row>
    <row r="4579" spans="1:14" s="360" customFormat="1" hidden="1" outlineLevel="2" x14ac:dyDescent="0.35">
      <c r="A4579" s="403" t="s">
        <v>3976</v>
      </c>
      <c r="B4579" s="397">
        <v>44315</v>
      </c>
      <c r="C4579" s="398" t="s">
        <v>4062</v>
      </c>
      <c r="D4579" s="399" t="s">
        <v>4063</v>
      </c>
      <c r="E4579" s="399" t="s">
        <v>7330</v>
      </c>
      <c r="F4579" s="400">
        <v>1230000</v>
      </c>
      <c r="G4579" s="401" t="s">
        <v>3800</v>
      </c>
      <c r="H4579" s="402">
        <v>457.67369427915662</v>
      </c>
      <c r="I4579" s="402"/>
      <c r="J4579" s="400">
        <v>114.41842356978916</v>
      </c>
      <c r="K4579" s="400">
        <v>114.41842356978916</v>
      </c>
      <c r="L4579" s="400">
        <v>114.41842356978916</v>
      </c>
      <c r="M4579" s="400">
        <v>114.41842356978916</v>
      </c>
      <c r="N4579" s="400"/>
    </row>
    <row r="4580" spans="1:14" s="360" customFormat="1" hidden="1" outlineLevel="2" x14ac:dyDescent="0.35">
      <c r="A4580" s="403" t="s">
        <v>3976</v>
      </c>
      <c r="B4580" s="397">
        <v>44315</v>
      </c>
      <c r="C4580" s="398" t="s">
        <v>4062</v>
      </c>
      <c r="D4580" s="399" t="s">
        <v>4064</v>
      </c>
      <c r="E4580" s="399" t="s">
        <v>7330</v>
      </c>
      <c r="F4580" s="400">
        <v>184500</v>
      </c>
      <c r="G4580" s="401" t="s">
        <v>3800</v>
      </c>
      <c r="H4580" s="402">
        <v>68.651054141873487</v>
      </c>
      <c r="I4580" s="402"/>
      <c r="J4580" s="400">
        <v>17.162763535468372</v>
      </c>
      <c r="K4580" s="400">
        <v>17.162763535468372</v>
      </c>
      <c r="L4580" s="400">
        <v>17.162763535468372</v>
      </c>
      <c r="M4580" s="400">
        <v>17.162763535468372</v>
      </c>
      <c r="N4580" s="400"/>
    </row>
    <row r="4581" spans="1:14" s="360" customFormat="1" hidden="1" outlineLevel="2" x14ac:dyDescent="0.35">
      <c r="A4581" s="403" t="s">
        <v>3976</v>
      </c>
      <c r="B4581" s="397">
        <v>44315</v>
      </c>
      <c r="C4581" s="398" t="s">
        <v>4065</v>
      </c>
      <c r="D4581" s="399" t="s">
        <v>4066</v>
      </c>
      <c r="E4581" s="399" t="s">
        <v>4272</v>
      </c>
      <c r="F4581" s="400">
        <v>153750</v>
      </c>
      <c r="G4581" s="401" t="s">
        <v>3800</v>
      </c>
      <c r="H4581" s="402">
        <v>57.209211784894578</v>
      </c>
      <c r="I4581" s="402"/>
      <c r="J4581" s="400">
        <v>14.302302946223644</v>
      </c>
      <c r="K4581" s="400">
        <v>14.302302946223644</v>
      </c>
      <c r="L4581" s="400">
        <v>14.302302946223644</v>
      </c>
      <c r="M4581" s="400">
        <v>14.302302946223644</v>
      </c>
      <c r="N4581" s="400"/>
    </row>
    <row r="4582" spans="1:14" s="360" customFormat="1" hidden="1" outlineLevel="2" x14ac:dyDescent="0.35">
      <c r="A4582" s="403" t="s">
        <v>3976</v>
      </c>
      <c r="B4582" s="397">
        <v>44315</v>
      </c>
      <c r="C4582" s="398" t="s">
        <v>4062</v>
      </c>
      <c r="D4582" s="399" t="s">
        <v>4067</v>
      </c>
      <c r="E4582" s="399" t="s">
        <v>7330</v>
      </c>
      <c r="F4582" s="400">
        <v>61500</v>
      </c>
      <c r="G4582" s="401" t="s">
        <v>3800</v>
      </c>
      <c r="H4582" s="402">
        <v>22.88368471395783</v>
      </c>
      <c r="I4582" s="402"/>
      <c r="J4582" s="400">
        <v>5.7209211784894576</v>
      </c>
      <c r="K4582" s="400">
        <v>5.7209211784894576</v>
      </c>
      <c r="L4582" s="400">
        <v>5.7209211784894576</v>
      </c>
      <c r="M4582" s="400">
        <v>5.7209211784894576</v>
      </c>
      <c r="N4582" s="400"/>
    </row>
    <row r="4583" spans="1:14" s="360" customFormat="1" hidden="1" outlineLevel="2" x14ac:dyDescent="0.35">
      <c r="A4583" s="403" t="s">
        <v>3976</v>
      </c>
      <c r="B4583" s="397">
        <v>44315</v>
      </c>
      <c r="C4583" s="398" t="s">
        <v>4068</v>
      </c>
      <c r="D4583" s="399" t="s">
        <v>4069</v>
      </c>
      <c r="E4583" s="399" t="s">
        <v>4039</v>
      </c>
      <c r="F4583" s="400">
        <v>61500</v>
      </c>
      <c r="G4583" s="401" t="s">
        <v>3800</v>
      </c>
      <c r="H4583" s="402">
        <v>22.88368471395783</v>
      </c>
      <c r="I4583" s="402"/>
      <c r="J4583" s="400">
        <v>5.7209211784894576</v>
      </c>
      <c r="K4583" s="400">
        <v>5.7209211784894576</v>
      </c>
      <c r="L4583" s="400">
        <v>5.7209211784894576</v>
      </c>
      <c r="M4583" s="400">
        <v>5.7209211784894576</v>
      </c>
      <c r="N4583" s="400"/>
    </row>
    <row r="4584" spans="1:14" s="360" customFormat="1" hidden="1" outlineLevel="2" x14ac:dyDescent="0.35">
      <c r="A4584" s="403" t="s">
        <v>3976</v>
      </c>
      <c r="B4584" s="397">
        <v>44315</v>
      </c>
      <c r="C4584" s="398" t="s">
        <v>4070</v>
      </c>
      <c r="D4584" s="399" t="s">
        <v>4071</v>
      </c>
      <c r="E4584" s="399" t="s">
        <v>4042</v>
      </c>
      <c r="F4584" s="400">
        <v>15375</v>
      </c>
      <c r="G4584" s="401" t="s">
        <v>3800</v>
      </c>
      <c r="H4584" s="402">
        <v>5.7209211784894576</v>
      </c>
      <c r="I4584" s="402"/>
      <c r="J4584" s="400">
        <v>1.4302302946223644</v>
      </c>
      <c r="K4584" s="400">
        <v>1.4302302946223644</v>
      </c>
      <c r="L4584" s="400">
        <v>1.4302302946223644</v>
      </c>
      <c r="M4584" s="400">
        <v>1.4302302946223644</v>
      </c>
      <c r="N4584" s="400"/>
    </row>
    <row r="4585" spans="1:14" s="360" customFormat="1" hidden="1" outlineLevel="2" x14ac:dyDescent="0.35">
      <c r="A4585" s="403" t="s">
        <v>3976</v>
      </c>
      <c r="B4585" s="397">
        <v>44342</v>
      </c>
      <c r="C4585" s="398" t="s">
        <v>4072</v>
      </c>
      <c r="D4585" s="399" t="s">
        <v>4073</v>
      </c>
      <c r="E4585" s="399" t="s">
        <v>7330</v>
      </c>
      <c r="F4585" s="400">
        <v>1230000</v>
      </c>
      <c r="G4585" s="401" t="s">
        <v>3800</v>
      </c>
      <c r="H4585" s="402">
        <v>457.67369427915662</v>
      </c>
      <c r="I4585" s="402"/>
      <c r="J4585" s="400">
        <v>114.41842356978916</v>
      </c>
      <c r="K4585" s="400">
        <v>114.41842356978916</v>
      </c>
      <c r="L4585" s="400">
        <v>114.41842356978916</v>
      </c>
      <c r="M4585" s="400">
        <v>114.41842356978916</v>
      </c>
      <c r="N4585" s="400"/>
    </row>
    <row r="4586" spans="1:14" s="360" customFormat="1" hidden="1" outlineLevel="2" x14ac:dyDescent="0.35">
      <c r="A4586" s="403" t="s">
        <v>3976</v>
      </c>
      <c r="B4586" s="397">
        <v>44342</v>
      </c>
      <c r="C4586" s="398" t="s">
        <v>4072</v>
      </c>
      <c r="D4586" s="399" t="s">
        <v>4074</v>
      </c>
      <c r="E4586" s="399" t="s">
        <v>7330</v>
      </c>
      <c r="F4586" s="400">
        <v>184500</v>
      </c>
      <c r="G4586" s="401" t="s">
        <v>3800</v>
      </c>
      <c r="H4586" s="402">
        <v>68.651054141873487</v>
      </c>
      <c r="I4586" s="402"/>
      <c r="J4586" s="400">
        <v>17.162763535468372</v>
      </c>
      <c r="K4586" s="400">
        <v>17.162763535468372</v>
      </c>
      <c r="L4586" s="400">
        <v>17.162763535468372</v>
      </c>
      <c r="M4586" s="400">
        <v>17.162763535468372</v>
      </c>
      <c r="N4586" s="400"/>
    </row>
    <row r="4587" spans="1:14" s="360" customFormat="1" hidden="1" outlineLevel="2" x14ac:dyDescent="0.35">
      <c r="A4587" s="403" t="s">
        <v>3976</v>
      </c>
      <c r="B4587" s="397">
        <v>44342</v>
      </c>
      <c r="C4587" s="398" t="s">
        <v>4075</v>
      </c>
      <c r="D4587" s="399" t="s">
        <v>4076</v>
      </c>
      <c r="E4587" s="399" t="s">
        <v>4272</v>
      </c>
      <c r="F4587" s="400">
        <v>153750</v>
      </c>
      <c r="G4587" s="401" t="s">
        <v>3800</v>
      </c>
      <c r="H4587" s="402">
        <v>57.209211784894578</v>
      </c>
      <c r="I4587" s="402"/>
      <c r="J4587" s="400">
        <v>14.302302946223644</v>
      </c>
      <c r="K4587" s="400">
        <v>14.302302946223644</v>
      </c>
      <c r="L4587" s="400">
        <v>14.302302946223644</v>
      </c>
      <c r="M4587" s="400">
        <v>14.302302946223644</v>
      </c>
      <c r="N4587" s="400"/>
    </row>
    <row r="4588" spans="1:14" s="360" customFormat="1" hidden="1" outlineLevel="2" x14ac:dyDescent="0.35">
      <c r="A4588" s="403" t="s">
        <v>3976</v>
      </c>
      <c r="B4588" s="397">
        <v>44342</v>
      </c>
      <c r="C4588" s="398" t="s">
        <v>4072</v>
      </c>
      <c r="D4588" s="399" t="s">
        <v>4077</v>
      </c>
      <c r="E4588" s="399" t="s">
        <v>7330</v>
      </c>
      <c r="F4588" s="400">
        <v>61500</v>
      </c>
      <c r="G4588" s="401" t="s">
        <v>3800</v>
      </c>
      <c r="H4588" s="402">
        <v>22.88368471395783</v>
      </c>
      <c r="I4588" s="402"/>
      <c r="J4588" s="400">
        <v>5.7209211784894576</v>
      </c>
      <c r="K4588" s="400">
        <v>5.7209211784894576</v>
      </c>
      <c r="L4588" s="400">
        <v>5.7209211784894576</v>
      </c>
      <c r="M4588" s="400">
        <v>5.7209211784894576</v>
      </c>
      <c r="N4588" s="400"/>
    </row>
    <row r="4589" spans="1:14" s="360" customFormat="1" hidden="1" outlineLevel="2" x14ac:dyDescent="0.35">
      <c r="A4589" s="403" t="s">
        <v>3976</v>
      </c>
      <c r="B4589" s="397">
        <v>44342</v>
      </c>
      <c r="C4589" s="398" t="s">
        <v>4078</v>
      </c>
      <c r="D4589" s="399" t="s">
        <v>4079</v>
      </c>
      <c r="E4589" s="399" t="s">
        <v>4039</v>
      </c>
      <c r="F4589" s="400">
        <v>61500</v>
      </c>
      <c r="G4589" s="401" t="s">
        <v>3800</v>
      </c>
      <c r="H4589" s="402">
        <v>22.88368471395783</v>
      </c>
      <c r="I4589" s="402"/>
      <c r="J4589" s="400">
        <v>5.7209211784894576</v>
      </c>
      <c r="K4589" s="400">
        <v>5.7209211784894576</v>
      </c>
      <c r="L4589" s="400">
        <v>5.7209211784894576</v>
      </c>
      <c r="M4589" s="400">
        <v>5.7209211784894576</v>
      </c>
      <c r="N4589" s="400"/>
    </row>
    <row r="4590" spans="1:14" s="360" customFormat="1" hidden="1" outlineLevel="2" x14ac:dyDescent="0.35">
      <c r="A4590" s="403" t="s">
        <v>3976</v>
      </c>
      <c r="B4590" s="397">
        <v>44342</v>
      </c>
      <c r="C4590" s="398" t="s">
        <v>4080</v>
      </c>
      <c r="D4590" s="399" t="s">
        <v>4081</v>
      </c>
      <c r="E4590" s="399" t="s">
        <v>4042</v>
      </c>
      <c r="F4590" s="400">
        <v>15375</v>
      </c>
      <c r="G4590" s="401" t="s">
        <v>3800</v>
      </c>
      <c r="H4590" s="402">
        <v>5.7209211784894576</v>
      </c>
      <c r="I4590" s="402"/>
      <c r="J4590" s="400">
        <v>1.4302302946223644</v>
      </c>
      <c r="K4590" s="400">
        <v>1.4302302946223644</v>
      </c>
      <c r="L4590" s="400">
        <v>1.4302302946223644</v>
      </c>
      <c r="M4590" s="400">
        <v>1.4302302946223644</v>
      </c>
      <c r="N4590" s="400"/>
    </row>
    <row r="4591" spans="1:14" s="360" customFormat="1" hidden="1" outlineLevel="2" x14ac:dyDescent="0.35">
      <c r="A4591" s="403" t="s">
        <v>3976</v>
      </c>
      <c r="B4591" s="397">
        <v>44376</v>
      </c>
      <c r="C4591" s="398" t="s">
        <v>4082</v>
      </c>
      <c r="D4591" s="399" t="s">
        <v>4083</v>
      </c>
      <c r="E4591" s="399" t="s">
        <v>7330</v>
      </c>
      <c r="F4591" s="400">
        <v>1230000</v>
      </c>
      <c r="G4591" s="401" t="s">
        <v>3800</v>
      </c>
      <c r="H4591" s="402">
        <v>457.67369427915662</v>
      </c>
      <c r="I4591" s="402"/>
      <c r="J4591" s="400">
        <v>114.41842356978916</v>
      </c>
      <c r="K4591" s="400">
        <v>114.41842356978916</v>
      </c>
      <c r="L4591" s="400">
        <v>114.41842356978916</v>
      </c>
      <c r="M4591" s="400">
        <v>114.41842356978916</v>
      </c>
      <c r="N4591" s="400"/>
    </row>
    <row r="4592" spans="1:14" s="360" customFormat="1" hidden="1" outlineLevel="2" x14ac:dyDescent="0.35">
      <c r="A4592" s="403" t="s">
        <v>3976</v>
      </c>
      <c r="B4592" s="397">
        <v>44376</v>
      </c>
      <c r="C4592" s="398" t="s">
        <v>4082</v>
      </c>
      <c r="D4592" s="399" t="s">
        <v>4084</v>
      </c>
      <c r="E4592" s="399" t="s">
        <v>7330</v>
      </c>
      <c r="F4592" s="400">
        <v>184500</v>
      </c>
      <c r="G4592" s="401" t="s">
        <v>3800</v>
      </c>
      <c r="H4592" s="402">
        <v>68.651054141873487</v>
      </c>
      <c r="I4592" s="402"/>
      <c r="J4592" s="400">
        <v>17.162763535468372</v>
      </c>
      <c r="K4592" s="400">
        <v>17.162763535468372</v>
      </c>
      <c r="L4592" s="400">
        <v>17.162763535468372</v>
      </c>
      <c r="M4592" s="400">
        <v>17.162763535468372</v>
      </c>
      <c r="N4592" s="400"/>
    </row>
    <row r="4593" spans="1:14" s="360" customFormat="1" hidden="1" outlineLevel="2" x14ac:dyDescent="0.35">
      <c r="A4593" s="403" t="s">
        <v>3976</v>
      </c>
      <c r="B4593" s="397">
        <v>44376</v>
      </c>
      <c r="C4593" s="398" t="s">
        <v>4085</v>
      </c>
      <c r="D4593" s="399" t="s">
        <v>4086</v>
      </c>
      <c r="E4593" s="399" t="s">
        <v>4272</v>
      </c>
      <c r="F4593" s="400">
        <v>153750</v>
      </c>
      <c r="G4593" s="401" t="s">
        <v>3800</v>
      </c>
      <c r="H4593" s="402">
        <v>57.209211784894578</v>
      </c>
      <c r="I4593" s="402"/>
      <c r="J4593" s="400">
        <v>14.302302946223644</v>
      </c>
      <c r="K4593" s="400">
        <v>14.302302946223644</v>
      </c>
      <c r="L4593" s="400">
        <v>14.302302946223644</v>
      </c>
      <c r="M4593" s="400">
        <v>14.302302946223644</v>
      </c>
      <c r="N4593" s="400"/>
    </row>
    <row r="4594" spans="1:14" s="360" customFormat="1" hidden="1" outlineLevel="2" x14ac:dyDescent="0.35">
      <c r="A4594" s="403" t="s">
        <v>3976</v>
      </c>
      <c r="B4594" s="397">
        <v>44376</v>
      </c>
      <c r="C4594" s="398" t="s">
        <v>4082</v>
      </c>
      <c r="D4594" s="399" t="s">
        <v>4087</v>
      </c>
      <c r="E4594" s="399" t="s">
        <v>7330</v>
      </c>
      <c r="F4594" s="400">
        <v>61500</v>
      </c>
      <c r="G4594" s="401" t="s">
        <v>3800</v>
      </c>
      <c r="H4594" s="402">
        <v>22.88368471395783</v>
      </c>
      <c r="I4594" s="402"/>
      <c r="J4594" s="400">
        <v>5.7209211784894576</v>
      </c>
      <c r="K4594" s="400">
        <v>5.7209211784894576</v>
      </c>
      <c r="L4594" s="400">
        <v>5.7209211784894576</v>
      </c>
      <c r="M4594" s="400">
        <v>5.7209211784894576</v>
      </c>
      <c r="N4594" s="400"/>
    </row>
    <row r="4595" spans="1:14" s="360" customFormat="1" hidden="1" outlineLevel="2" x14ac:dyDescent="0.35">
      <c r="A4595" s="403" t="s">
        <v>3976</v>
      </c>
      <c r="B4595" s="397">
        <v>44376</v>
      </c>
      <c r="C4595" s="398" t="s">
        <v>4088</v>
      </c>
      <c r="D4595" s="399" t="s">
        <v>4089</v>
      </c>
      <c r="E4595" s="399" t="s">
        <v>4039</v>
      </c>
      <c r="F4595" s="400">
        <v>61500</v>
      </c>
      <c r="G4595" s="401" t="s">
        <v>3800</v>
      </c>
      <c r="H4595" s="402">
        <v>22.88368471395783</v>
      </c>
      <c r="I4595" s="402"/>
      <c r="J4595" s="400">
        <v>5.7209211784894576</v>
      </c>
      <c r="K4595" s="400">
        <v>5.7209211784894576</v>
      </c>
      <c r="L4595" s="400">
        <v>5.7209211784894576</v>
      </c>
      <c r="M4595" s="400">
        <v>5.7209211784894576</v>
      </c>
      <c r="N4595" s="400"/>
    </row>
    <row r="4596" spans="1:14" s="360" customFormat="1" hidden="1" outlineLevel="2" x14ac:dyDescent="0.35">
      <c r="A4596" s="403" t="s">
        <v>3976</v>
      </c>
      <c r="B4596" s="397">
        <v>44376</v>
      </c>
      <c r="C4596" s="398" t="s">
        <v>4090</v>
      </c>
      <c r="D4596" s="399" t="s">
        <v>4091</v>
      </c>
      <c r="E4596" s="399" t="s">
        <v>4042</v>
      </c>
      <c r="F4596" s="400">
        <v>15375</v>
      </c>
      <c r="G4596" s="401" t="s">
        <v>3800</v>
      </c>
      <c r="H4596" s="402">
        <v>5.7209211784894576</v>
      </c>
      <c r="I4596" s="402"/>
      <c r="J4596" s="400">
        <v>1.4302302946223644</v>
      </c>
      <c r="K4596" s="400">
        <v>1.4302302946223644</v>
      </c>
      <c r="L4596" s="400">
        <v>1.4302302946223644</v>
      </c>
      <c r="M4596" s="400">
        <v>1.4302302946223644</v>
      </c>
      <c r="N4596" s="400"/>
    </row>
    <row r="4597" spans="1:14" s="360" customFormat="1" hidden="1" outlineLevel="2" x14ac:dyDescent="0.35">
      <c r="A4597" s="403" t="s">
        <v>3976</v>
      </c>
      <c r="B4597" s="397">
        <v>44407</v>
      </c>
      <c r="C4597" s="398" t="s">
        <v>4092</v>
      </c>
      <c r="D4597" s="399" t="s">
        <v>4093</v>
      </c>
      <c r="E4597" s="399" t="s">
        <v>7330</v>
      </c>
      <c r="F4597" s="400">
        <v>1230000</v>
      </c>
      <c r="G4597" s="401" t="s">
        <v>3800</v>
      </c>
      <c r="H4597" s="402">
        <v>457.67369427915662</v>
      </c>
      <c r="I4597" s="402"/>
      <c r="J4597" s="400">
        <v>114.41842356978916</v>
      </c>
      <c r="K4597" s="400">
        <v>114.41842356978916</v>
      </c>
      <c r="L4597" s="400">
        <v>114.41842356978916</v>
      </c>
      <c r="M4597" s="400">
        <v>114.41842356978916</v>
      </c>
      <c r="N4597" s="400"/>
    </row>
    <row r="4598" spans="1:14" s="360" customFormat="1" hidden="1" outlineLevel="2" x14ac:dyDescent="0.35">
      <c r="A4598" s="403" t="s">
        <v>3976</v>
      </c>
      <c r="B4598" s="397">
        <v>44407</v>
      </c>
      <c r="C4598" s="398" t="s">
        <v>4092</v>
      </c>
      <c r="D4598" s="399" t="s">
        <v>4094</v>
      </c>
      <c r="E4598" s="399" t="s">
        <v>7330</v>
      </c>
      <c r="F4598" s="400">
        <v>184500</v>
      </c>
      <c r="G4598" s="401" t="s">
        <v>3800</v>
      </c>
      <c r="H4598" s="402">
        <v>68.651054141873487</v>
      </c>
      <c r="I4598" s="402"/>
      <c r="J4598" s="400">
        <v>17.162763535468372</v>
      </c>
      <c r="K4598" s="400">
        <v>17.162763535468372</v>
      </c>
      <c r="L4598" s="400">
        <v>17.162763535468372</v>
      </c>
      <c r="M4598" s="400">
        <v>17.162763535468372</v>
      </c>
      <c r="N4598" s="400"/>
    </row>
    <row r="4599" spans="1:14" s="360" customFormat="1" hidden="1" outlineLevel="2" x14ac:dyDescent="0.35">
      <c r="A4599" s="403" t="s">
        <v>3976</v>
      </c>
      <c r="B4599" s="397">
        <v>44407</v>
      </c>
      <c r="C4599" s="398" t="s">
        <v>4095</v>
      </c>
      <c r="D4599" s="399" t="s">
        <v>4096</v>
      </c>
      <c r="E4599" s="399" t="s">
        <v>4272</v>
      </c>
      <c r="F4599" s="400">
        <v>153750</v>
      </c>
      <c r="G4599" s="401" t="s">
        <v>3800</v>
      </c>
      <c r="H4599" s="402">
        <v>57.209211784894578</v>
      </c>
      <c r="I4599" s="402"/>
      <c r="J4599" s="400">
        <v>14.302302946223644</v>
      </c>
      <c r="K4599" s="400">
        <v>14.302302946223644</v>
      </c>
      <c r="L4599" s="400">
        <v>14.302302946223644</v>
      </c>
      <c r="M4599" s="400">
        <v>14.302302946223644</v>
      </c>
      <c r="N4599" s="400"/>
    </row>
    <row r="4600" spans="1:14" s="360" customFormat="1" hidden="1" outlineLevel="2" x14ac:dyDescent="0.35">
      <c r="A4600" s="403" t="s">
        <v>3976</v>
      </c>
      <c r="B4600" s="397">
        <v>44407</v>
      </c>
      <c r="C4600" s="398" t="s">
        <v>4062</v>
      </c>
      <c r="D4600" s="399" t="s">
        <v>4097</v>
      </c>
      <c r="E4600" s="399" t="s">
        <v>7330</v>
      </c>
      <c r="F4600" s="400">
        <v>61500</v>
      </c>
      <c r="G4600" s="401" t="s">
        <v>3800</v>
      </c>
      <c r="H4600" s="402">
        <v>22.88368471395783</v>
      </c>
      <c r="I4600" s="402"/>
      <c r="J4600" s="400">
        <v>5.7209211784894576</v>
      </c>
      <c r="K4600" s="400">
        <v>5.7209211784894576</v>
      </c>
      <c r="L4600" s="400">
        <v>5.7209211784894576</v>
      </c>
      <c r="M4600" s="400">
        <v>5.7209211784894576</v>
      </c>
      <c r="N4600" s="400"/>
    </row>
    <row r="4601" spans="1:14" s="360" customFormat="1" hidden="1" outlineLevel="2" x14ac:dyDescent="0.35">
      <c r="A4601" s="403" t="s">
        <v>3976</v>
      </c>
      <c r="B4601" s="397">
        <v>44407</v>
      </c>
      <c r="C4601" s="398" t="s">
        <v>4092</v>
      </c>
      <c r="D4601" s="399" t="s">
        <v>4098</v>
      </c>
      <c r="E4601" s="399" t="s">
        <v>4039</v>
      </c>
      <c r="F4601" s="400">
        <v>61500</v>
      </c>
      <c r="G4601" s="401" t="s">
        <v>3800</v>
      </c>
      <c r="H4601" s="402">
        <v>22.88368471395783</v>
      </c>
      <c r="I4601" s="402"/>
      <c r="J4601" s="400">
        <v>5.7209211784894576</v>
      </c>
      <c r="K4601" s="400">
        <v>5.7209211784894576</v>
      </c>
      <c r="L4601" s="400">
        <v>5.7209211784894576</v>
      </c>
      <c r="M4601" s="400">
        <v>5.7209211784894576</v>
      </c>
      <c r="N4601" s="400"/>
    </row>
    <row r="4602" spans="1:14" s="360" customFormat="1" hidden="1" outlineLevel="2" x14ac:dyDescent="0.35">
      <c r="A4602" s="403" t="s">
        <v>3976</v>
      </c>
      <c r="B4602" s="397">
        <v>44407</v>
      </c>
      <c r="C4602" s="398" t="s">
        <v>4099</v>
      </c>
      <c r="D4602" s="399" t="s">
        <v>4100</v>
      </c>
      <c r="E4602" s="399" t="s">
        <v>4042</v>
      </c>
      <c r="F4602" s="400">
        <v>9225</v>
      </c>
      <c r="G4602" s="401" t="s">
        <v>3800</v>
      </c>
      <c r="H4602" s="402">
        <v>3.4325527070936745</v>
      </c>
      <c r="I4602" s="402"/>
      <c r="J4602" s="400">
        <v>0.85813817677341864</v>
      </c>
      <c r="K4602" s="400">
        <v>0.85813817677341864</v>
      </c>
      <c r="L4602" s="400">
        <v>0.85813817677341864</v>
      </c>
      <c r="M4602" s="400">
        <v>0.85813817677341864</v>
      </c>
      <c r="N4602" s="400"/>
    </row>
    <row r="4603" spans="1:14" s="360" customFormat="1" outlineLevel="1" collapsed="1" x14ac:dyDescent="0.35">
      <c r="A4603" s="396" t="s">
        <v>7332</v>
      </c>
      <c r="B4603" s="397"/>
      <c r="C4603" s="398"/>
      <c r="D4603" s="399"/>
      <c r="E4603" s="399"/>
      <c r="F4603" s="400"/>
      <c r="G4603" s="401"/>
      <c r="H4603" s="402">
        <f t="shared" ref="H4603:N4603" si="235">SUBTOTAL(9,H4561:H4602)</f>
        <v>4442.8673872149129</v>
      </c>
      <c r="I4603" s="402"/>
      <c r="J4603" s="400">
        <f t="shared" si="235"/>
        <v>1110.7168468037282</v>
      </c>
      <c r="K4603" s="400">
        <f t="shared" si="235"/>
        <v>1110.7168468037282</v>
      </c>
      <c r="L4603" s="400">
        <f t="shared" si="235"/>
        <v>1110.7168468037282</v>
      </c>
      <c r="M4603" s="400">
        <f t="shared" si="235"/>
        <v>1110.7168468037282</v>
      </c>
      <c r="N4603" s="400">
        <f t="shared" si="235"/>
        <v>0</v>
      </c>
    </row>
    <row r="4604" spans="1:14" s="360" customFormat="1" hidden="1" outlineLevel="2" x14ac:dyDescent="0.35">
      <c r="A4604" s="403" t="s">
        <v>3821</v>
      </c>
      <c r="B4604" s="397">
        <v>44459</v>
      </c>
      <c r="C4604" s="398" t="s">
        <v>7333</v>
      </c>
      <c r="D4604" s="399" t="s">
        <v>7334</v>
      </c>
      <c r="E4604" s="399" t="s">
        <v>7335</v>
      </c>
      <c r="F4604" s="400">
        <v>1380600</v>
      </c>
      <c r="G4604" s="401" t="s">
        <v>3800</v>
      </c>
      <c r="H4604" s="402">
        <v>513.71081489577534</v>
      </c>
      <c r="I4604" s="402"/>
      <c r="J4604" s="400"/>
      <c r="K4604" s="400"/>
      <c r="L4604" s="400"/>
      <c r="M4604" s="400">
        <v>513.71081489577534</v>
      </c>
      <c r="N4604" s="400"/>
    </row>
    <row r="4605" spans="1:14" s="360" customFormat="1" hidden="1" outlineLevel="2" x14ac:dyDescent="0.35">
      <c r="A4605" s="403" t="s">
        <v>3821</v>
      </c>
      <c r="B4605" s="397">
        <v>44424</v>
      </c>
      <c r="C4605" s="398" t="s">
        <v>7336</v>
      </c>
      <c r="D4605" s="399" t="s">
        <v>7337</v>
      </c>
      <c r="E4605" s="399" t="s">
        <v>7338</v>
      </c>
      <c r="F4605" s="400">
        <v>7307740</v>
      </c>
      <c r="G4605" s="401" t="s">
        <v>3800</v>
      </c>
      <c r="H4605" s="402">
        <v>2719.1547663671249</v>
      </c>
      <c r="I4605" s="402"/>
      <c r="J4605" s="400"/>
      <c r="K4605" s="400"/>
      <c r="L4605" s="400"/>
      <c r="M4605" s="400">
        <v>2719.1547663671249</v>
      </c>
      <c r="N4605" s="400"/>
    </row>
    <row r="4606" spans="1:14" s="360" customFormat="1" hidden="1" outlineLevel="2" x14ac:dyDescent="0.35">
      <c r="A4606" s="403" t="s">
        <v>3821</v>
      </c>
      <c r="B4606" s="397">
        <v>44572</v>
      </c>
      <c r="C4606" s="398" t="s">
        <v>7339</v>
      </c>
      <c r="D4606" s="399" t="s">
        <v>7340</v>
      </c>
      <c r="E4606" s="399" t="s">
        <v>4916</v>
      </c>
      <c r="F4606" s="400">
        <v>10555762.609999999</v>
      </c>
      <c r="G4606" s="401" t="s">
        <v>3800</v>
      </c>
      <c r="H4606" s="402">
        <v>3927.7194062215381</v>
      </c>
      <c r="I4606" s="402"/>
      <c r="J4606" s="400"/>
      <c r="K4606" s="400"/>
      <c r="L4606" s="400"/>
      <c r="M4606" s="400">
        <v>3927.7194062215381</v>
      </c>
      <c r="N4606" s="400"/>
    </row>
    <row r="4607" spans="1:14" s="360" customFormat="1" hidden="1" outlineLevel="2" x14ac:dyDescent="0.35">
      <c r="A4607" s="403" t="s">
        <v>3821</v>
      </c>
      <c r="B4607" s="397">
        <v>44574</v>
      </c>
      <c r="C4607" s="398" t="s">
        <v>7341</v>
      </c>
      <c r="D4607" s="399" t="s">
        <v>7342</v>
      </c>
      <c r="E4607" s="399" t="s">
        <v>7343</v>
      </c>
      <c r="F4607" s="400">
        <v>294237.39</v>
      </c>
      <c r="G4607" s="401" t="s">
        <v>3800</v>
      </c>
      <c r="H4607" s="402">
        <v>109.48350672874551</v>
      </c>
      <c r="I4607" s="402"/>
      <c r="J4607" s="400"/>
      <c r="K4607" s="400"/>
      <c r="L4607" s="400"/>
      <c r="M4607" s="400">
        <v>109.48350672874551</v>
      </c>
      <c r="N4607" s="400"/>
    </row>
    <row r="4608" spans="1:14" s="360" customFormat="1" outlineLevel="1" collapsed="1" x14ac:dyDescent="0.35">
      <c r="A4608" s="396" t="s">
        <v>7344</v>
      </c>
      <c r="B4608" s="397"/>
      <c r="C4608" s="398"/>
      <c r="D4608" s="399"/>
      <c r="E4608" s="399"/>
      <c r="F4608" s="400"/>
      <c r="G4608" s="401"/>
      <c r="H4608" s="402">
        <f t="shared" ref="H4608:N4608" si="236">SUBTOTAL(9,H4604:H4607)</f>
        <v>7270.0684942131847</v>
      </c>
      <c r="I4608" s="402"/>
      <c r="J4608" s="400">
        <f t="shared" si="236"/>
        <v>0</v>
      </c>
      <c r="K4608" s="400">
        <f t="shared" si="236"/>
        <v>0</v>
      </c>
      <c r="L4608" s="400">
        <f t="shared" si="236"/>
        <v>0</v>
      </c>
      <c r="M4608" s="400">
        <f t="shared" si="236"/>
        <v>7270.0684942131847</v>
      </c>
      <c r="N4608" s="400">
        <f t="shared" si="236"/>
        <v>0</v>
      </c>
    </row>
    <row r="4609" spans="1:14" s="360" customFormat="1" hidden="1" outlineLevel="2" x14ac:dyDescent="0.35">
      <c r="A4609" s="403" t="s">
        <v>3817</v>
      </c>
      <c r="B4609" s="397">
        <v>43913</v>
      </c>
      <c r="C4609" s="398" t="s">
        <v>6501</v>
      </c>
      <c r="D4609" s="399" t="s">
        <v>7345</v>
      </c>
      <c r="E4609" s="399" t="s">
        <v>7346</v>
      </c>
      <c r="F4609" s="400">
        <v>10995000</v>
      </c>
      <c r="G4609" s="401" t="s">
        <v>3800</v>
      </c>
      <c r="H4609" s="402">
        <v>4221.6025513469822</v>
      </c>
      <c r="I4609" s="402"/>
      <c r="J4609" s="400">
        <v>4221.6025513469822</v>
      </c>
      <c r="K4609" s="400"/>
      <c r="L4609" s="400"/>
      <c r="M4609" s="400"/>
      <c r="N4609" s="400"/>
    </row>
    <row r="4610" spans="1:14" s="360" customFormat="1" hidden="1" outlineLevel="2" x14ac:dyDescent="0.35">
      <c r="A4610" s="403" t="s">
        <v>3817</v>
      </c>
      <c r="B4610" s="397">
        <v>44055</v>
      </c>
      <c r="C4610" s="398" t="s">
        <v>7347</v>
      </c>
      <c r="D4610" s="399" t="s">
        <v>7348</v>
      </c>
      <c r="E4610" s="399" t="s">
        <v>7349</v>
      </c>
      <c r="F4610" s="400">
        <v>171483.28</v>
      </c>
      <c r="G4610" s="401" t="s">
        <v>3800</v>
      </c>
      <c r="H4610" s="402">
        <v>65.842133002396452</v>
      </c>
      <c r="I4610" s="402"/>
      <c r="J4610" s="400">
        <v>65.842133002396452</v>
      </c>
      <c r="K4610" s="400"/>
      <c r="L4610" s="400"/>
      <c r="M4610" s="400"/>
      <c r="N4610" s="400"/>
    </row>
    <row r="4611" spans="1:14" s="360" customFormat="1" hidden="1" outlineLevel="2" x14ac:dyDescent="0.35">
      <c r="A4611" s="403" t="s">
        <v>3817</v>
      </c>
      <c r="B4611" s="397">
        <v>44424</v>
      </c>
      <c r="C4611" s="398" t="s">
        <v>7350</v>
      </c>
      <c r="D4611" s="399" t="s">
        <v>7351</v>
      </c>
      <c r="E4611" s="399" t="s">
        <v>4131</v>
      </c>
      <c r="F4611" s="400">
        <v>8760000</v>
      </c>
      <c r="G4611" s="401" t="s">
        <v>3800</v>
      </c>
      <c r="H4611" s="402">
        <v>3259.529725110091</v>
      </c>
      <c r="I4611" s="402"/>
      <c r="J4611" s="400"/>
      <c r="K4611" s="400">
        <v>3259.529725110091</v>
      </c>
      <c r="L4611" s="400"/>
      <c r="M4611" s="400"/>
      <c r="N4611" s="400"/>
    </row>
    <row r="4612" spans="1:14" s="360" customFormat="1" outlineLevel="1" collapsed="1" x14ac:dyDescent="0.35">
      <c r="A4612" s="396" t="s">
        <v>7352</v>
      </c>
      <c r="B4612" s="397"/>
      <c r="C4612" s="398"/>
      <c r="D4612" s="399"/>
      <c r="E4612" s="399"/>
      <c r="F4612" s="400"/>
      <c r="G4612" s="401"/>
      <c r="H4612" s="402">
        <f t="shared" ref="H4612:N4612" si="237">SUBTOTAL(9,H4609:H4611)</f>
        <v>7546.9744094594698</v>
      </c>
      <c r="I4612" s="402"/>
      <c r="J4612" s="400">
        <f t="shared" si="237"/>
        <v>4287.4446843493788</v>
      </c>
      <c r="K4612" s="400">
        <f t="shared" si="237"/>
        <v>3259.529725110091</v>
      </c>
      <c r="L4612" s="400">
        <f t="shared" si="237"/>
        <v>0</v>
      </c>
      <c r="M4612" s="400">
        <f t="shared" si="237"/>
        <v>0</v>
      </c>
      <c r="N4612" s="400">
        <f t="shared" si="237"/>
        <v>0</v>
      </c>
    </row>
    <row r="4613" spans="1:14" s="360" customFormat="1" hidden="1" outlineLevel="2" x14ac:dyDescent="0.35">
      <c r="A4613" s="403" t="s">
        <v>222</v>
      </c>
      <c r="B4613" s="397">
        <v>43738</v>
      </c>
      <c r="C4613" s="398" t="s">
        <v>1087</v>
      </c>
      <c r="D4613" s="399" t="s">
        <v>2506</v>
      </c>
      <c r="E4613" s="399" t="s">
        <v>2507</v>
      </c>
      <c r="F4613" s="400">
        <v>895.03</v>
      </c>
      <c r="G4613" s="401" t="s">
        <v>56</v>
      </c>
      <c r="H4613" s="402">
        <v>895.03</v>
      </c>
      <c r="I4613" s="402"/>
      <c r="J4613" s="400">
        <f t="shared" ref="J4613:N4623" si="238">$H4613/5</f>
        <v>179.006</v>
      </c>
      <c r="K4613" s="400">
        <f t="shared" si="238"/>
        <v>179.006</v>
      </c>
      <c r="L4613" s="400">
        <f t="shared" si="238"/>
        <v>179.006</v>
      </c>
      <c r="M4613" s="400">
        <f t="shared" si="238"/>
        <v>179.006</v>
      </c>
      <c r="N4613" s="400">
        <f t="shared" si="238"/>
        <v>179.006</v>
      </c>
    </row>
    <row r="4614" spans="1:14" s="360" customFormat="1" hidden="1" outlineLevel="2" x14ac:dyDescent="0.35">
      <c r="A4614" s="403" t="s">
        <v>222</v>
      </c>
      <c r="B4614" s="397">
        <v>43830</v>
      </c>
      <c r="C4614" s="398" t="s">
        <v>1090</v>
      </c>
      <c r="D4614" s="399" t="s">
        <v>2508</v>
      </c>
      <c r="E4614" s="399" t="s">
        <v>2507</v>
      </c>
      <c r="F4614" s="400">
        <v>895.03</v>
      </c>
      <c r="G4614" s="401" t="s">
        <v>56</v>
      </c>
      <c r="H4614" s="402">
        <v>895.03</v>
      </c>
      <c r="I4614" s="402"/>
      <c r="J4614" s="400">
        <f t="shared" si="238"/>
        <v>179.006</v>
      </c>
      <c r="K4614" s="400">
        <f t="shared" si="238"/>
        <v>179.006</v>
      </c>
      <c r="L4614" s="400">
        <f t="shared" si="238"/>
        <v>179.006</v>
      </c>
      <c r="M4614" s="400">
        <f t="shared" si="238"/>
        <v>179.006</v>
      </c>
      <c r="N4614" s="400">
        <f t="shared" si="238"/>
        <v>179.006</v>
      </c>
    </row>
    <row r="4615" spans="1:14" s="360" customFormat="1" hidden="1" outlineLevel="2" x14ac:dyDescent="0.35">
      <c r="A4615" s="403" t="s">
        <v>222</v>
      </c>
      <c r="B4615" s="397">
        <v>43921</v>
      </c>
      <c r="C4615" s="398" t="s">
        <v>1092</v>
      </c>
      <c r="D4615" s="399" t="s">
        <v>2509</v>
      </c>
      <c r="E4615" s="399" t="s">
        <v>1959</v>
      </c>
      <c r="F4615" s="400">
        <v>1074.03</v>
      </c>
      <c r="G4615" s="401" t="s">
        <v>56</v>
      </c>
      <c r="H4615" s="402">
        <v>1074.03</v>
      </c>
      <c r="I4615" s="402"/>
      <c r="J4615" s="400">
        <f t="shared" si="238"/>
        <v>214.80599999999998</v>
      </c>
      <c r="K4615" s="400">
        <f t="shared" si="238"/>
        <v>214.80599999999998</v>
      </c>
      <c r="L4615" s="400">
        <f t="shared" si="238"/>
        <v>214.80599999999998</v>
      </c>
      <c r="M4615" s="400">
        <f t="shared" si="238"/>
        <v>214.80599999999998</v>
      </c>
      <c r="N4615" s="400">
        <f t="shared" si="238"/>
        <v>214.80599999999998</v>
      </c>
    </row>
    <row r="4616" spans="1:14" s="360" customFormat="1" hidden="1" outlineLevel="2" x14ac:dyDescent="0.35">
      <c r="A4616" s="403" t="s">
        <v>222</v>
      </c>
      <c r="B4616" s="397">
        <v>44012</v>
      </c>
      <c r="C4616" s="398" t="s">
        <v>1094</v>
      </c>
      <c r="D4616" s="399" t="s">
        <v>2510</v>
      </c>
      <c r="E4616" s="399" t="s">
        <v>1959</v>
      </c>
      <c r="F4616" s="400">
        <v>1074.03</v>
      </c>
      <c r="G4616" s="401" t="s">
        <v>56</v>
      </c>
      <c r="H4616" s="402">
        <v>1074.03</v>
      </c>
      <c r="I4616" s="402"/>
      <c r="J4616" s="400">
        <f t="shared" si="238"/>
        <v>214.80599999999998</v>
      </c>
      <c r="K4616" s="400">
        <f t="shared" si="238"/>
        <v>214.80599999999998</v>
      </c>
      <c r="L4616" s="400">
        <f t="shared" si="238"/>
        <v>214.80599999999998</v>
      </c>
      <c r="M4616" s="400">
        <f t="shared" si="238"/>
        <v>214.80599999999998</v>
      </c>
      <c r="N4616" s="400">
        <f t="shared" si="238"/>
        <v>214.80599999999998</v>
      </c>
    </row>
    <row r="4617" spans="1:14" s="360" customFormat="1" hidden="1" outlineLevel="2" x14ac:dyDescent="0.35">
      <c r="A4617" s="403" t="s">
        <v>222</v>
      </c>
      <c r="B4617" s="397">
        <v>44104</v>
      </c>
      <c r="C4617" s="398" t="s">
        <v>1096</v>
      </c>
      <c r="D4617" s="399" t="s">
        <v>2511</v>
      </c>
      <c r="E4617" s="399" t="s">
        <v>1959</v>
      </c>
      <c r="F4617" s="400">
        <v>626.52</v>
      </c>
      <c r="G4617" s="401" t="s">
        <v>56</v>
      </c>
      <c r="H4617" s="402">
        <v>626.52</v>
      </c>
      <c r="I4617" s="402"/>
      <c r="J4617" s="400">
        <f t="shared" si="238"/>
        <v>125.304</v>
      </c>
      <c r="K4617" s="400">
        <f t="shared" si="238"/>
        <v>125.304</v>
      </c>
      <c r="L4617" s="400">
        <f t="shared" si="238"/>
        <v>125.304</v>
      </c>
      <c r="M4617" s="400">
        <f t="shared" si="238"/>
        <v>125.304</v>
      </c>
      <c r="N4617" s="400">
        <f t="shared" si="238"/>
        <v>125.304</v>
      </c>
    </row>
    <row r="4618" spans="1:14" s="360" customFormat="1" hidden="1" outlineLevel="2" x14ac:dyDescent="0.35">
      <c r="A4618" s="403" t="s">
        <v>222</v>
      </c>
      <c r="B4618" s="397">
        <v>44196</v>
      </c>
      <c r="C4618" s="398" t="s">
        <v>1099</v>
      </c>
      <c r="D4618" s="399" t="s">
        <v>2512</v>
      </c>
      <c r="E4618" s="399" t="s">
        <v>1959</v>
      </c>
      <c r="F4618" s="400">
        <v>626.52</v>
      </c>
      <c r="G4618" s="401" t="s">
        <v>56</v>
      </c>
      <c r="H4618" s="402">
        <v>626.52</v>
      </c>
      <c r="I4618" s="402"/>
      <c r="J4618" s="400">
        <f t="shared" si="238"/>
        <v>125.304</v>
      </c>
      <c r="K4618" s="400">
        <f t="shared" si="238"/>
        <v>125.304</v>
      </c>
      <c r="L4618" s="400">
        <f t="shared" si="238"/>
        <v>125.304</v>
      </c>
      <c r="M4618" s="400">
        <f t="shared" si="238"/>
        <v>125.304</v>
      </c>
      <c r="N4618" s="400">
        <f t="shared" si="238"/>
        <v>125.304</v>
      </c>
    </row>
    <row r="4619" spans="1:14" s="360" customFormat="1" hidden="1" outlineLevel="2" x14ac:dyDescent="0.35">
      <c r="A4619" s="403" t="s">
        <v>222</v>
      </c>
      <c r="B4619" s="397">
        <v>44286</v>
      </c>
      <c r="C4619" s="398" t="s">
        <v>1101</v>
      </c>
      <c r="D4619" s="399" t="s">
        <v>7353</v>
      </c>
      <c r="E4619" s="399" t="s">
        <v>1959</v>
      </c>
      <c r="F4619" s="400">
        <v>850.27</v>
      </c>
      <c r="G4619" s="401" t="s">
        <v>56</v>
      </c>
      <c r="H4619" s="402">
        <v>850.27</v>
      </c>
      <c r="I4619" s="402"/>
      <c r="J4619" s="400">
        <f t="shared" si="238"/>
        <v>170.054</v>
      </c>
      <c r="K4619" s="400">
        <f t="shared" si="238"/>
        <v>170.054</v>
      </c>
      <c r="L4619" s="400">
        <f t="shared" si="238"/>
        <v>170.054</v>
      </c>
      <c r="M4619" s="400">
        <f t="shared" si="238"/>
        <v>170.054</v>
      </c>
      <c r="N4619" s="400">
        <f t="shared" si="238"/>
        <v>170.054</v>
      </c>
    </row>
    <row r="4620" spans="1:14" s="360" customFormat="1" hidden="1" outlineLevel="2" x14ac:dyDescent="0.35">
      <c r="A4620" s="403" t="s">
        <v>222</v>
      </c>
      <c r="B4620" s="397">
        <v>44377</v>
      </c>
      <c r="C4620" s="398" t="s">
        <v>1103</v>
      </c>
      <c r="D4620" s="399" t="s">
        <v>7354</v>
      </c>
      <c r="E4620" s="399" t="s">
        <v>1959</v>
      </c>
      <c r="F4620" s="400">
        <v>850.27</v>
      </c>
      <c r="G4620" s="401" t="s">
        <v>56</v>
      </c>
      <c r="H4620" s="402">
        <v>850.27</v>
      </c>
      <c r="I4620" s="402"/>
      <c r="J4620" s="400">
        <f t="shared" si="238"/>
        <v>170.054</v>
      </c>
      <c r="K4620" s="400">
        <f t="shared" si="238"/>
        <v>170.054</v>
      </c>
      <c r="L4620" s="400">
        <f t="shared" si="238"/>
        <v>170.054</v>
      </c>
      <c r="M4620" s="400">
        <f t="shared" si="238"/>
        <v>170.054</v>
      </c>
      <c r="N4620" s="400">
        <f t="shared" si="238"/>
        <v>170.054</v>
      </c>
    </row>
    <row r="4621" spans="1:14" s="360" customFormat="1" hidden="1" outlineLevel="2" x14ac:dyDescent="0.35">
      <c r="A4621" s="403" t="s">
        <v>222</v>
      </c>
      <c r="B4621" s="397">
        <v>44469</v>
      </c>
      <c r="C4621" s="398" t="s">
        <v>7355</v>
      </c>
      <c r="D4621" s="399" t="s">
        <v>7356</v>
      </c>
      <c r="E4621" s="399" t="s">
        <v>1959</v>
      </c>
      <c r="F4621" s="400">
        <v>719.46</v>
      </c>
      <c r="G4621" s="401" t="s">
        <v>56</v>
      </c>
      <c r="H4621" s="402">
        <v>719.46</v>
      </c>
      <c r="I4621" s="402"/>
      <c r="J4621" s="400">
        <f t="shared" si="238"/>
        <v>143.892</v>
      </c>
      <c r="K4621" s="400">
        <f t="shared" si="238"/>
        <v>143.892</v>
      </c>
      <c r="L4621" s="400">
        <f t="shared" si="238"/>
        <v>143.892</v>
      </c>
      <c r="M4621" s="400">
        <f t="shared" si="238"/>
        <v>143.892</v>
      </c>
      <c r="N4621" s="400">
        <f t="shared" si="238"/>
        <v>143.892</v>
      </c>
    </row>
    <row r="4622" spans="1:14" s="360" customFormat="1" hidden="1" outlineLevel="2" x14ac:dyDescent="0.35">
      <c r="A4622" s="403" t="s">
        <v>222</v>
      </c>
      <c r="B4622" s="397">
        <v>44561</v>
      </c>
      <c r="C4622" s="398" t="s">
        <v>7357</v>
      </c>
      <c r="D4622" s="399" t="s">
        <v>7358</v>
      </c>
      <c r="E4622" s="399" t="s">
        <v>1959</v>
      </c>
      <c r="F4622" s="400">
        <v>359.73</v>
      </c>
      <c r="G4622" s="401" t="s">
        <v>56</v>
      </c>
      <c r="H4622" s="402">
        <v>359.73</v>
      </c>
      <c r="I4622" s="402"/>
      <c r="J4622" s="400">
        <f t="shared" si="238"/>
        <v>71.945999999999998</v>
      </c>
      <c r="K4622" s="400">
        <f t="shared" si="238"/>
        <v>71.945999999999998</v>
      </c>
      <c r="L4622" s="400">
        <f t="shared" si="238"/>
        <v>71.945999999999998</v>
      </c>
      <c r="M4622" s="400">
        <f t="shared" si="238"/>
        <v>71.945999999999998</v>
      </c>
      <c r="N4622" s="400">
        <f t="shared" si="238"/>
        <v>71.945999999999998</v>
      </c>
    </row>
    <row r="4623" spans="1:14" s="360" customFormat="1" hidden="1" outlineLevel="2" x14ac:dyDescent="0.35">
      <c r="A4623" s="403" t="s">
        <v>222</v>
      </c>
      <c r="B4623" s="397">
        <v>44561</v>
      </c>
      <c r="C4623" s="398" t="s">
        <v>7359</v>
      </c>
      <c r="D4623" s="399" t="s">
        <v>7360</v>
      </c>
      <c r="E4623" s="399" t="s">
        <v>1959</v>
      </c>
      <c r="F4623" s="400">
        <v>359.73</v>
      </c>
      <c r="G4623" s="401" t="s">
        <v>56</v>
      </c>
      <c r="H4623" s="402">
        <v>359.73</v>
      </c>
      <c r="I4623" s="402"/>
      <c r="J4623" s="400">
        <f t="shared" si="238"/>
        <v>71.945999999999998</v>
      </c>
      <c r="K4623" s="400">
        <f t="shared" si="238"/>
        <v>71.945999999999998</v>
      </c>
      <c r="L4623" s="400">
        <f t="shared" si="238"/>
        <v>71.945999999999998</v>
      </c>
      <c r="M4623" s="400">
        <f t="shared" si="238"/>
        <v>71.945999999999998</v>
      </c>
      <c r="N4623" s="400">
        <f t="shared" si="238"/>
        <v>71.945999999999998</v>
      </c>
    </row>
    <row r="4624" spans="1:14" s="360" customFormat="1" outlineLevel="1" collapsed="1" x14ac:dyDescent="0.35">
      <c r="A4624" s="396" t="s">
        <v>2521</v>
      </c>
      <c r="B4624" s="397"/>
      <c r="C4624" s="398"/>
      <c r="D4624" s="399"/>
      <c r="E4624" s="399"/>
      <c r="F4624" s="400"/>
      <c r="G4624" s="401"/>
      <c r="H4624" s="402">
        <f t="shared" ref="H4624:N4624" si="239">SUBTOTAL(9,H4613:H4623)</f>
        <v>8330.6200000000008</v>
      </c>
      <c r="I4624" s="402"/>
      <c r="J4624" s="400">
        <f t="shared" si="239"/>
        <v>1666.124</v>
      </c>
      <c r="K4624" s="400">
        <f t="shared" si="239"/>
        <v>1666.124</v>
      </c>
      <c r="L4624" s="400">
        <f t="shared" si="239"/>
        <v>1666.124</v>
      </c>
      <c r="M4624" s="400">
        <f t="shared" si="239"/>
        <v>1666.124</v>
      </c>
      <c r="N4624" s="400">
        <f t="shared" si="239"/>
        <v>1666.124</v>
      </c>
    </row>
    <row r="4625" spans="1:14" s="360" customFormat="1" hidden="1" outlineLevel="2" x14ac:dyDescent="0.35">
      <c r="A4625" s="403" t="s">
        <v>3813</v>
      </c>
      <c r="B4625" s="397">
        <v>43868</v>
      </c>
      <c r="C4625" s="398" t="s">
        <v>7361</v>
      </c>
      <c r="D4625" s="399" t="s">
        <v>7362</v>
      </c>
      <c r="E4625" s="399" t="s">
        <v>7363</v>
      </c>
      <c r="F4625" s="400">
        <v>333.14</v>
      </c>
      <c r="G4625" s="401" t="s">
        <v>56</v>
      </c>
      <c r="H4625" s="402">
        <v>333.14</v>
      </c>
      <c r="I4625" s="402"/>
      <c r="J4625" s="400">
        <f>H4625</f>
        <v>333.14</v>
      </c>
      <c r="K4625" s="400"/>
      <c r="L4625" s="400"/>
      <c r="M4625" s="400"/>
      <c r="N4625" s="400"/>
    </row>
    <row r="4626" spans="1:14" s="360" customFormat="1" hidden="1" outlineLevel="2" x14ac:dyDescent="0.35">
      <c r="A4626" s="403" t="s">
        <v>3813</v>
      </c>
      <c r="B4626" s="397">
        <v>43868</v>
      </c>
      <c r="C4626" s="398" t="s">
        <v>7361</v>
      </c>
      <c r="D4626" s="399" t="s">
        <v>7362</v>
      </c>
      <c r="E4626" s="399" t="s">
        <v>7363</v>
      </c>
      <c r="F4626" s="400">
        <v>1586.4</v>
      </c>
      <c r="G4626" s="401" t="s">
        <v>56</v>
      </c>
      <c r="H4626" s="402">
        <v>1586.4</v>
      </c>
      <c r="I4626" s="402"/>
      <c r="J4626" s="400">
        <f>H4626</f>
        <v>1586.4</v>
      </c>
      <c r="K4626" s="400"/>
      <c r="L4626" s="400"/>
      <c r="M4626" s="400"/>
      <c r="N4626" s="400"/>
    </row>
    <row r="4627" spans="1:14" s="360" customFormat="1" hidden="1" outlineLevel="2" x14ac:dyDescent="0.35">
      <c r="A4627" s="403" t="s">
        <v>3813</v>
      </c>
      <c r="B4627" s="397">
        <v>43874</v>
      </c>
      <c r="C4627" s="398" t="s">
        <v>7364</v>
      </c>
      <c r="D4627" s="399" t="s">
        <v>7365</v>
      </c>
      <c r="E4627" s="399" t="s">
        <v>7363</v>
      </c>
      <c r="F4627" s="400">
        <v>519.20000000000005</v>
      </c>
      <c r="G4627" s="401" t="s">
        <v>56</v>
      </c>
      <c r="H4627" s="402">
        <v>519.20000000000005</v>
      </c>
      <c r="I4627" s="402"/>
      <c r="J4627" s="400">
        <f>H4627</f>
        <v>519.20000000000005</v>
      </c>
      <c r="K4627" s="400"/>
      <c r="L4627" s="400"/>
      <c r="M4627" s="400"/>
      <c r="N4627" s="400"/>
    </row>
    <row r="4628" spans="1:14" s="360" customFormat="1" hidden="1" outlineLevel="2" x14ac:dyDescent="0.35">
      <c r="A4628" s="403" t="s">
        <v>3813</v>
      </c>
      <c r="B4628" s="397">
        <v>43874</v>
      </c>
      <c r="C4628" s="398" t="s">
        <v>7364</v>
      </c>
      <c r="D4628" s="399" t="s">
        <v>7365</v>
      </c>
      <c r="E4628" s="399" t="s">
        <v>7363</v>
      </c>
      <c r="F4628" s="400">
        <v>109.03</v>
      </c>
      <c r="G4628" s="401" t="s">
        <v>56</v>
      </c>
      <c r="H4628" s="402">
        <v>109.03</v>
      </c>
      <c r="I4628" s="402"/>
      <c r="J4628" s="400">
        <f>H4628</f>
        <v>109.03</v>
      </c>
      <c r="K4628" s="400"/>
      <c r="L4628" s="400"/>
      <c r="M4628" s="400"/>
      <c r="N4628" s="400"/>
    </row>
    <row r="4629" spans="1:14" s="360" customFormat="1" hidden="1" outlineLevel="2" x14ac:dyDescent="0.35">
      <c r="A4629" s="403" t="s">
        <v>3813</v>
      </c>
      <c r="B4629" s="397">
        <v>43882</v>
      </c>
      <c r="C4629" s="398" t="s">
        <v>7366</v>
      </c>
      <c r="D4629" s="399" t="s">
        <v>7367</v>
      </c>
      <c r="E4629" s="399" t="s">
        <v>633</v>
      </c>
      <c r="F4629" s="400">
        <v>235.5</v>
      </c>
      <c r="G4629" s="401" t="s">
        <v>56</v>
      </c>
      <c r="H4629" s="402">
        <v>235.5</v>
      </c>
      <c r="I4629" s="402"/>
      <c r="J4629" s="400">
        <f t="shared" ref="J4629:N4630" si="240">$H4629/5</f>
        <v>47.1</v>
      </c>
      <c r="K4629" s="400">
        <f t="shared" si="240"/>
        <v>47.1</v>
      </c>
      <c r="L4629" s="400">
        <f t="shared" si="240"/>
        <v>47.1</v>
      </c>
      <c r="M4629" s="400">
        <f t="shared" si="240"/>
        <v>47.1</v>
      </c>
      <c r="N4629" s="400">
        <f t="shared" si="240"/>
        <v>47.1</v>
      </c>
    </row>
    <row r="4630" spans="1:14" s="360" customFormat="1" hidden="1" outlineLevel="2" x14ac:dyDescent="0.35">
      <c r="A4630" s="403" t="s">
        <v>3813</v>
      </c>
      <c r="B4630" s="397">
        <v>43882</v>
      </c>
      <c r="C4630" s="398" t="s">
        <v>7368</v>
      </c>
      <c r="D4630" s="399" t="s">
        <v>7367</v>
      </c>
      <c r="E4630" s="399" t="s">
        <v>633</v>
      </c>
      <c r="F4630" s="400">
        <v>427.5</v>
      </c>
      <c r="G4630" s="401" t="s">
        <v>56</v>
      </c>
      <c r="H4630" s="402">
        <v>427.5</v>
      </c>
      <c r="I4630" s="402"/>
      <c r="J4630" s="400">
        <f t="shared" si="240"/>
        <v>85.5</v>
      </c>
      <c r="K4630" s="400">
        <f t="shared" si="240"/>
        <v>85.5</v>
      </c>
      <c r="L4630" s="400">
        <f t="shared" si="240"/>
        <v>85.5</v>
      </c>
      <c r="M4630" s="400">
        <f t="shared" si="240"/>
        <v>85.5</v>
      </c>
      <c r="N4630" s="400">
        <f t="shared" si="240"/>
        <v>85.5</v>
      </c>
    </row>
    <row r="4631" spans="1:14" s="360" customFormat="1" hidden="1" outlineLevel="2" x14ac:dyDescent="0.35">
      <c r="A4631" s="403" t="s">
        <v>3813</v>
      </c>
      <c r="B4631" s="397">
        <v>43868</v>
      </c>
      <c r="C4631" s="398" t="s">
        <v>7361</v>
      </c>
      <c r="D4631" s="399" t="s">
        <v>7362</v>
      </c>
      <c r="E4631" s="399" t="s">
        <v>7363</v>
      </c>
      <c r="F4631" s="400">
        <v>9.73</v>
      </c>
      <c r="G4631" s="401" t="s">
        <v>56</v>
      </c>
      <c r="H4631" s="402">
        <v>9.73</v>
      </c>
      <c r="I4631" s="402"/>
      <c r="J4631" s="400">
        <f>H4631</f>
        <v>9.73</v>
      </c>
      <c r="K4631" s="400"/>
      <c r="L4631" s="400"/>
      <c r="M4631" s="400"/>
      <c r="N4631" s="400"/>
    </row>
    <row r="4632" spans="1:14" s="360" customFormat="1" hidden="1" outlineLevel="2" x14ac:dyDescent="0.35">
      <c r="A4632" s="403" t="s">
        <v>3813</v>
      </c>
      <c r="B4632" s="397">
        <v>43868</v>
      </c>
      <c r="C4632" s="398" t="s">
        <v>7361</v>
      </c>
      <c r="D4632" s="399" t="s">
        <v>7362</v>
      </c>
      <c r="E4632" s="399" t="s">
        <v>7363</v>
      </c>
      <c r="F4632" s="400">
        <v>46.32</v>
      </c>
      <c r="G4632" s="401" t="s">
        <v>56</v>
      </c>
      <c r="H4632" s="402">
        <v>46.32</v>
      </c>
      <c r="I4632" s="402"/>
      <c r="J4632" s="400">
        <f>H4632</f>
        <v>46.32</v>
      </c>
      <c r="K4632" s="400"/>
      <c r="L4632" s="400"/>
      <c r="M4632" s="400"/>
      <c r="N4632" s="400"/>
    </row>
    <row r="4633" spans="1:14" s="360" customFormat="1" outlineLevel="1" collapsed="1" x14ac:dyDescent="0.35">
      <c r="A4633" s="396" t="s">
        <v>7369</v>
      </c>
      <c r="B4633" s="397"/>
      <c r="C4633" s="398"/>
      <c r="D4633" s="399"/>
      <c r="E4633" s="399"/>
      <c r="F4633" s="400"/>
      <c r="G4633" s="401"/>
      <c r="H4633" s="402">
        <f t="shared" ref="H4633:N4633" si="241">SUBTOTAL(9,H4625:H4632)</f>
        <v>3266.82</v>
      </c>
      <c r="I4633" s="402"/>
      <c r="J4633" s="400">
        <f t="shared" si="241"/>
        <v>2736.42</v>
      </c>
      <c r="K4633" s="400">
        <f t="shared" si="241"/>
        <v>132.6</v>
      </c>
      <c r="L4633" s="400">
        <f t="shared" si="241"/>
        <v>132.6</v>
      </c>
      <c r="M4633" s="400">
        <f t="shared" si="241"/>
        <v>132.6</v>
      </c>
      <c r="N4633" s="400">
        <f t="shared" si="241"/>
        <v>132.6</v>
      </c>
    </row>
    <row r="4634" spans="1:14" s="360" customFormat="1" hidden="1" outlineLevel="2" x14ac:dyDescent="0.35">
      <c r="A4634" s="403" t="s">
        <v>7370</v>
      </c>
      <c r="B4634" s="397">
        <v>44286</v>
      </c>
      <c r="C4634" s="398" t="s">
        <v>7371</v>
      </c>
      <c r="D4634" s="399" t="s">
        <v>7372</v>
      </c>
      <c r="E4634" s="399" t="s">
        <v>6594</v>
      </c>
      <c r="F4634" s="400">
        <v>5775000</v>
      </c>
      <c r="G4634" s="401" t="s">
        <v>3800</v>
      </c>
      <c r="H4634" s="402">
        <v>2148.8338085057962</v>
      </c>
      <c r="I4634" s="402"/>
      <c r="J4634" s="400"/>
      <c r="K4634" s="400"/>
      <c r="L4634" s="400"/>
      <c r="M4634" s="400"/>
      <c r="N4634" s="400">
        <f>H4634</f>
        <v>2148.8338085057962</v>
      </c>
    </row>
    <row r="4635" spans="1:14" s="360" customFormat="1" outlineLevel="1" collapsed="1" x14ac:dyDescent="0.35">
      <c r="A4635" s="396" t="s">
        <v>7373</v>
      </c>
      <c r="B4635" s="397"/>
      <c r="C4635" s="398"/>
      <c r="D4635" s="399"/>
      <c r="E4635" s="399"/>
      <c r="F4635" s="400"/>
      <c r="G4635" s="401"/>
      <c r="H4635" s="402">
        <f t="shared" ref="H4635:N4635" si="242">SUBTOTAL(9,H4634:H4634)</f>
        <v>2148.8338085057962</v>
      </c>
      <c r="I4635" s="402"/>
      <c r="J4635" s="400">
        <f t="shared" si="242"/>
        <v>0</v>
      </c>
      <c r="K4635" s="400">
        <f t="shared" si="242"/>
        <v>0</v>
      </c>
      <c r="L4635" s="400">
        <f t="shared" si="242"/>
        <v>0</v>
      </c>
      <c r="M4635" s="400">
        <f t="shared" si="242"/>
        <v>0</v>
      </c>
      <c r="N4635" s="400">
        <f t="shared" si="242"/>
        <v>2148.8338085057962</v>
      </c>
    </row>
    <row r="4636" spans="1:14" s="360" customFormat="1" hidden="1" outlineLevel="2" x14ac:dyDescent="0.35">
      <c r="A4636" s="403" t="s">
        <v>7374</v>
      </c>
      <c r="B4636" s="397">
        <v>44271</v>
      </c>
      <c r="C4636" s="398" t="s">
        <v>7375</v>
      </c>
      <c r="D4636" s="399" t="s">
        <v>7376</v>
      </c>
      <c r="E4636" s="399" t="s">
        <v>7377</v>
      </c>
      <c r="F4636" s="400">
        <v>14012500</v>
      </c>
      <c r="G4636" s="401" t="s">
        <v>3800</v>
      </c>
      <c r="H4636" s="402">
        <v>5213.9452366558389</v>
      </c>
      <c r="I4636" s="402"/>
      <c r="J4636" s="400"/>
      <c r="K4636" s="400"/>
      <c r="L4636" s="400"/>
      <c r="M4636" s="400"/>
      <c r="N4636" s="400">
        <f>H4636</f>
        <v>5213.9452366558389</v>
      </c>
    </row>
    <row r="4637" spans="1:14" s="360" customFormat="1" outlineLevel="1" collapsed="1" x14ac:dyDescent="0.35">
      <c r="A4637" s="396" t="s">
        <v>7378</v>
      </c>
      <c r="B4637" s="397"/>
      <c r="C4637" s="398"/>
      <c r="D4637" s="399"/>
      <c r="E4637" s="399"/>
      <c r="F4637" s="400"/>
      <c r="G4637" s="401"/>
      <c r="H4637" s="402">
        <f t="shared" ref="H4637:N4637" si="243">SUBTOTAL(9,H4636:H4636)</f>
        <v>5213.9452366558389</v>
      </c>
      <c r="I4637" s="402"/>
      <c r="J4637" s="400">
        <f t="shared" si="243"/>
        <v>0</v>
      </c>
      <c r="K4637" s="400">
        <f t="shared" si="243"/>
        <v>0</v>
      </c>
      <c r="L4637" s="400">
        <f t="shared" si="243"/>
        <v>0</v>
      </c>
      <c r="M4637" s="400">
        <f t="shared" si="243"/>
        <v>0</v>
      </c>
      <c r="N4637" s="400">
        <f t="shared" si="243"/>
        <v>5213.9452366558389</v>
      </c>
    </row>
    <row r="4638" spans="1:14" s="360" customFormat="1" hidden="1" outlineLevel="2" collapsed="1" x14ac:dyDescent="0.35">
      <c r="A4638" s="403" t="s">
        <v>7379</v>
      </c>
      <c r="B4638" s="397">
        <v>44316</v>
      </c>
      <c r="C4638" s="398" t="s">
        <v>7380</v>
      </c>
      <c r="D4638" s="399" t="s">
        <v>7381</v>
      </c>
      <c r="E4638" s="399" t="s">
        <v>6543</v>
      </c>
      <c r="F4638" s="400">
        <v>4130000</v>
      </c>
      <c r="G4638" s="401" t="s">
        <v>3800</v>
      </c>
      <c r="H4638" s="402">
        <v>1536.7417539617209</v>
      </c>
      <c r="I4638" s="402"/>
      <c r="J4638" s="400"/>
      <c r="K4638" s="400"/>
      <c r="L4638" s="400"/>
      <c r="M4638" s="400"/>
      <c r="N4638" s="400">
        <f>H4638</f>
        <v>1536.7417539617209</v>
      </c>
    </row>
    <row r="4639" spans="1:14" s="360" customFormat="1" outlineLevel="1" collapsed="1" x14ac:dyDescent="0.35">
      <c r="A4639" s="396" t="s">
        <v>7382</v>
      </c>
      <c r="B4639" s="397"/>
      <c r="C4639" s="398"/>
      <c r="D4639" s="399"/>
      <c r="E4639" s="399"/>
      <c r="F4639" s="400"/>
      <c r="G4639" s="401"/>
      <c r="H4639" s="402">
        <f t="shared" ref="H4639:N4639" si="244">SUBTOTAL(9,H4638:H4638)</f>
        <v>1536.7417539617209</v>
      </c>
      <c r="I4639" s="402"/>
      <c r="J4639" s="400">
        <f t="shared" si="244"/>
        <v>0</v>
      </c>
      <c r="K4639" s="400">
        <f t="shared" si="244"/>
        <v>0</v>
      </c>
      <c r="L4639" s="400">
        <f t="shared" si="244"/>
        <v>0</v>
      </c>
      <c r="M4639" s="400">
        <f t="shared" si="244"/>
        <v>0</v>
      </c>
      <c r="N4639" s="400">
        <f t="shared" si="244"/>
        <v>1536.7417539617209</v>
      </c>
    </row>
    <row r="4640" spans="1:14" s="360" customFormat="1" hidden="1" outlineLevel="2" x14ac:dyDescent="0.35">
      <c r="A4640" s="403" t="s">
        <v>7383</v>
      </c>
      <c r="B4640" s="397">
        <v>44438</v>
      </c>
      <c r="C4640" s="398" t="s">
        <v>4561</v>
      </c>
      <c r="D4640" s="399" t="s">
        <v>4562</v>
      </c>
      <c r="E4640" s="399" t="s">
        <v>4268</v>
      </c>
      <c r="F4640" s="400">
        <v>3625000</v>
      </c>
      <c r="G4640" s="401" t="s">
        <v>3800</v>
      </c>
      <c r="H4640" s="402">
        <v>1348.8350746032054</v>
      </c>
      <c r="I4640" s="402"/>
      <c r="J4640" s="400"/>
      <c r="K4640" s="400"/>
      <c r="L4640" s="400"/>
      <c r="M4640" s="400"/>
      <c r="N4640" s="400">
        <f t="shared" ref="N4640:N4654" si="245">H4640</f>
        <v>1348.8350746032054</v>
      </c>
    </row>
    <row r="4641" spans="1:14" s="360" customFormat="1" hidden="1" outlineLevel="2" x14ac:dyDescent="0.35">
      <c r="A4641" s="403" t="s">
        <v>7383</v>
      </c>
      <c r="B4641" s="397">
        <v>44438</v>
      </c>
      <c r="C4641" s="398" t="s">
        <v>4564</v>
      </c>
      <c r="D4641" s="399" t="s">
        <v>4565</v>
      </c>
      <c r="E4641" s="399" t="s">
        <v>4272</v>
      </c>
      <c r="F4641" s="400">
        <v>362500</v>
      </c>
      <c r="G4641" s="401" t="s">
        <v>3800</v>
      </c>
      <c r="H4641" s="402">
        <v>134.88350746032054</v>
      </c>
      <c r="I4641" s="402"/>
      <c r="J4641" s="400"/>
      <c r="K4641" s="400"/>
      <c r="L4641" s="400"/>
      <c r="M4641" s="400"/>
      <c r="N4641" s="400">
        <f t="shared" si="245"/>
        <v>134.88350746032054</v>
      </c>
    </row>
    <row r="4642" spans="1:14" s="360" customFormat="1" hidden="1" outlineLevel="2" x14ac:dyDescent="0.35">
      <c r="A4642" s="403" t="s">
        <v>7383</v>
      </c>
      <c r="B4642" s="397">
        <v>44438</v>
      </c>
      <c r="C4642" s="398" t="s">
        <v>4566</v>
      </c>
      <c r="D4642" s="399" t="s">
        <v>4567</v>
      </c>
      <c r="E4642" s="399" t="s">
        <v>4042</v>
      </c>
      <c r="F4642" s="400">
        <v>21750</v>
      </c>
      <c r="G4642" s="401" t="s">
        <v>3800</v>
      </c>
      <c r="H4642" s="402">
        <v>8.0930104476192319</v>
      </c>
      <c r="I4642" s="402"/>
      <c r="J4642" s="400"/>
      <c r="K4642" s="400"/>
      <c r="L4642" s="400"/>
      <c r="M4642" s="400"/>
      <c r="N4642" s="400">
        <f t="shared" si="245"/>
        <v>8.0930104476192319</v>
      </c>
    </row>
    <row r="4643" spans="1:14" s="360" customFormat="1" hidden="1" outlineLevel="2" x14ac:dyDescent="0.35">
      <c r="A4643" s="403" t="s">
        <v>7383</v>
      </c>
      <c r="B4643" s="397">
        <v>44467</v>
      </c>
      <c r="C4643" s="398" t="s">
        <v>4568</v>
      </c>
      <c r="D4643" s="399" t="s">
        <v>4569</v>
      </c>
      <c r="E4643" s="399" t="s">
        <v>4268</v>
      </c>
      <c r="F4643" s="400">
        <v>3625000</v>
      </c>
      <c r="G4643" s="401" t="s">
        <v>3800</v>
      </c>
      <c r="H4643" s="402">
        <v>1348.8350746032054</v>
      </c>
      <c r="I4643" s="402"/>
      <c r="J4643" s="400"/>
      <c r="K4643" s="400"/>
      <c r="L4643" s="400"/>
      <c r="M4643" s="400"/>
      <c r="N4643" s="400">
        <f t="shared" si="245"/>
        <v>1348.8350746032054</v>
      </c>
    </row>
    <row r="4644" spans="1:14" s="360" customFormat="1" hidden="1" outlineLevel="2" x14ac:dyDescent="0.35">
      <c r="A4644" s="403" t="s">
        <v>7383</v>
      </c>
      <c r="B4644" s="397">
        <v>44467</v>
      </c>
      <c r="C4644" s="398" t="s">
        <v>4570</v>
      </c>
      <c r="D4644" s="399" t="s">
        <v>4602</v>
      </c>
      <c r="E4644" s="399" t="s">
        <v>4272</v>
      </c>
      <c r="F4644" s="400">
        <v>362500</v>
      </c>
      <c r="G4644" s="401" t="s">
        <v>3800</v>
      </c>
      <c r="H4644" s="402">
        <v>134.88350746032054</v>
      </c>
      <c r="I4644" s="402"/>
      <c r="J4644" s="400"/>
      <c r="K4644" s="400"/>
      <c r="L4644" s="400"/>
      <c r="M4644" s="400"/>
      <c r="N4644" s="400">
        <f t="shared" si="245"/>
        <v>134.88350746032054</v>
      </c>
    </row>
    <row r="4645" spans="1:14" s="360" customFormat="1" hidden="1" outlineLevel="2" x14ac:dyDescent="0.35">
      <c r="A4645" s="403" t="s">
        <v>7383</v>
      </c>
      <c r="B4645" s="397">
        <v>44467</v>
      </c>
      <c r="C4645" s="398" t="s">
        <v>4572</v>
      </c>
      <c r="D4645" s="399" t="s">
        <v>4603</v>
      </c>
      <c r="E4645" s="399" t="s">
        <v>4042</v>
      </c>
      <c r="F4645" s="400">
        <v>21750</v>
      </c>
      <c r="G4645" s="401" t="s">
        <v>3800</v>
      </c>
      <c r="H4645" s="402">
        <v>8.0930104476192319</v>
      </c>
      <c r="I4645" s="402"/>
      <c r="J4645" s="400"/>
      <c r="K4645" s="400"/>
      <c r="L4645" s="400"/>
      <c r="M4645" s="400"/>
      <c r="N4645" s="400">
        <f t="shared" si="245"/>
        <v>8.0930104476192319</v>
      </c>
    </row>
    <row r="4646" spans="1:14" s="360" customFormat="1" hidden="1" outlineLevel="2" x14ac:dyDescent="0.35">
      <c r="A4646" s="403" t="s">
        <v>7383</v>
      </c>
      <c r="B4646" s="397">
        <v>44497</v>
      </c>
      <c r="C4646" s="398" t="s">
        <v>4574</v>
      </c>
      <c r="D4646" s="399" t="s">
        <v>4575</v>
      </c>
      <c r="E4646" s="399" t="s">
        <v>4268</v>
      </c>
      <c r="F4646" s="400">
        <v>3625000</v>
      </c>
      <c r="G4646" s="401" t="s">
        <v>3800</v>
      </c>
      <c r="H4646" s="402">
        <v>1348.8350746032054</v>
      </c>
      <c r="I4646" s="402"/>
      <c r="J4646" s="400"/>
      <c r="K4646" s="400"/>
      <c r="L4646" s="400"/>
      <c r="M4646" s="400"/>
      <c r="N4646" s="400">
        <f t="shared" si="245"/>
        <v>1348.8350746032054</v>
      </c>
    </row>
    <row r="4647" spans="1:14" s="360" customFormat="1" hidden="1" outlineLevel="2" x14ac:dyDescent="0.35">
      <c r="A4647" s="403" t="s">
        <v>7383</v>
      </c>
      <c r="B4647" s="397">
        <v>44497</v>
      </c>
      <c r="C4647" s="398" t="s">
        <v>4576</v>
      </c>
      <c r="D4647" s="399" t="s">
        <v>4604</v>
      </c>
      <c r="E4647" s="399" t="s">
        <v>4272</v>
      </c>
      <c r="F4647" s="400">
        <v>362500</v>
      </c>
      <c r="G4647" s="401" t="s">
        <v>3800</v>
      </c>
      <c r="H4647" s="402">
        <v>134.88350746032054</v>
      </c>
      <c r="I4647" s="402"/>
      <c r="J4647" s="400"/>
      <c r="K4647" s="400"/>
      <c r="L4647" s="400"/>
      <c r="M4647" s="400"/>
      <c r="N4647" s="400">
        <f t="shared" si="245"/>
        <v>134.88350746032054</v>
      </c>
    </row>
    <row r="4648" spans="1:14" s="360" customFormat="1" hidden="1" outlineLevel="2" x14ac:dyDescent="0.35">
      <c r="A4648" s="403" t="s">
        <v>7383</v>
      </c>
      <c r="B4648" s="397">
        <v>44497</v>
      </c>
      <c r="C4648" s="398" t="s">
        <v>4578</v>
      </c>
      <c r="D4648" s="399" t="s">
        <v>4605</v>
      </c>
      <c r="E4648" s="399" t="s">
        <v>4042</v>
      </c>
      <c r="F4648" s="400">
        <v>21750</v>
      </c>
      <c r="G4648" s="401" t="s">
        <v>3800</v>
      </c>
      <c r="H4648" s="402">
        <v>8.0930104476192319</v>
      </c>
      <c r="I4648" s="402"/>
      <c r="J4648" s="400"/>
      <c r="K4648" s="400"/>
      <c r="L4648" s="400"/>
      <c r="M4648" s="400"/>
      <c r="N4648" s="400">
        <f t="shared" si="245"/>
        <v>8.0930104476192319</v>
      </c>
    </row>
    <row r="4649" spans="1:14" s="360" customFormat="1" hidden="1" outlineLevel="2" x14ac:dyDescent="0.35">
      <c r="A4649" s="403" t="s">
        <v>7383</v>
      </c>
      <c r="B4649" s="397">
        <v>44525</v>
      </c>
      <c r="C4649" s="398" t="s">
        <v>4574</v>
      </c>
      <c r="D4649" s="399" t="s">
        <v>4608</v>
      </c>
      <c r="E4649" s="399" t="s">
        <v>4268</v>
      </c>
      <c r="F4649" s="400">
        <v>3625000</v>
      </c>
      <c r="G4649" s="401" t="s">
        <v>3800</v>
      </c>
      <c r="H4649" s="402">
        <v>1348.8350746032054</v>
      </c>
      <c r="I4649" s="402"/>
      <c r="J4649" s="400"/>
      <c r="K4649" s="400"/>
      <c r="L4649" s="400"/>
      <c r="M4649" s="400"/>
      <c r="N4649" s="400">
        <f t="shared" si="245"/>
        <v>1348.8350746032054</v>
      </c>
    </row>
    <row r="4650" spans="1:14" s="360" customFormat="1" hidden="1" outlineLevel="2" x14ac:dyDescent="0.35">
      <c r="A4650" s="403" t="s">
        <v>7383</v>
      </c>
      <c r="B4650" s="397">
        <v>44525</v>
      </c>
      <c r="C4650" s="398" t="s">
        <v>4576</v>
      </c>
      <c r="D4650" s="399" t="s">
        <v>4609</v>
      </c>
      <c r="E4650" s="399" t="s">
        <v>4272</v>
      </c>
      <c r="F4650" s="400">
        <v>362500</v>
      </c>
      <c r="G4650" s="401" t="s">
        <v>3800</v>
      </c>
      <c r="H4650" s="402">
        <v>134.88350746032054</v>
      </c>
      <c r="I4650" s="402"/>
      <c r="J4650" s="400"/>
      <c r="K4650" s="400"/>
      <c r="L4650" s="400"/>
      <c r="M4650" s="400"/>
      <c r="N4650" s="400">
        <f t="shared" si="245"/>
        <v>134.88350746032054</v>
      </c>
    </row>
    <row r="4651" spans="1:14" s="360" customFormat="1" hidden="1" outlineLevel="2" x14ac:dyDescent="0.35">
      <c r="A4651" s="403" t="s">
        <v>7383</v>
      </c>
      <c r="B4651" s="397">
        <v>44525</v>
      </c>
      <c r="C4651" s="398" t="s">
        <v>4578</v>
      </c>
      <c r="D4651" s="399" t="s">
        <v>4610</v>
      </c>
      <c r="E4651" s="399" t="s">
        <v>4042</v>
      </c>
      <c r="F4651" s="400">
        <v>21750</v>
      </c>
      <c r="G4651" s="401" t="s">
        <v>3800</v>
      </c>
      <c r="H4651" s="402">
        <v>8.0930104476192319</v>
      </c>
      <c r="I4651" s="402"/>
      <c r="J4651" s="400"/>
      <c r="K4651" s="400"/>
      <c r="L4651" s="400"/>
      <c r="M4651" s="400"/>
      <c r="N4651" s="400">
        <f t="shared" si="245"/>
        <v>8.0930104476192319</v>
      </c>
    </row>
    <row r="4652" spans="1:14" s="360" customFormat="1" hidden="1" outlineLevel="2" x14ac:dyDescent="0.35">
      <c r="A4652" s="403" t="s">
        <v>7383</v>
      </c>
      <c r="B4652" s="397">
        <v>44547</v>
      </c>
      <c r="C4652" s="398" t="s">
        <v>4586</v>
      </c>
      <c r="D4652" s="399" t="s">
        <v>4611</v>
      </c>
      <c r="E4652" s="399" t="s">
        <v>4268</v>
      </c>
      <c r="F4652" s="400">
        <v>3625000</v>
      </c>
      <c r="G4652" s="401" t="s">
        <v>3800</v>
      </c>
      <c r="H4652" s="402">
        <v>1348.8350746032054</v>
      </c>
      <c r="I4652" s="402"/>
      <c r="J4652" s="400"/>
      <c r="K4652" s="400"/>
      <c r="L4652" s="400"/>
      <c r="M4652" s="400"/>
      <c r="N4652" s="400">
        <f t="shared" si="245"/>
        <v>1348.8350746032054</v>
      </c>
    </row>
    <row r="4653" spans="1:14" s="360" customFormat="1" hidden="1" outlineLevel="2" x14ac:dyDescent="0.35">
      <c r="A4653" s="403" t="s">
        <v>7383</v>
      </c>
      <c r="B4653" s="397">
        <v>44547</v>
      </c>
      <c r="C4653" s="398" t="s">
        <v>4588</v>
      </c>
      <c r="D4653" s="399" t="s">
        <v>4612</v>
      </c>
      <c r="E4653" s="399" t="s">
        <v>4272</v>
      </c>
      <c r="F4653" s="400">
        <v>362500</v>
      </c>
      <c r="G4653" s="401" t="s">
        <v>3800</v>
      </c>
      <c r="H4653" s="402">
        <v>134.88350746032054</v>
      </c>
      <c r="I4653" s="402"/>
      <c r="J4653" s="400"/>
      <c r="K4653" s="400"/>
      <c r="L4653" s="400"/>
      <c r="M4653" s="400"/>
      <c r="N4653" s="400">
        <f t="shared" si="245"/>
        <v>134.88350746032054</v>
      </c>
    </row>
    <row r="4654" spans="1:14" s="360" customFormat="1" hidden="1" outlineLevel="2" x14ac:dyDescent="0.35">
      <c r="A4654" s="403" t="s">
        <v>7383</v>
      </c>
      <c r="B4654" s="397">
        <v>44547</v>
      </c>
      <c r="C4654" s="398" t="s">
        <v>4590</v>
      </c>
      <c r="D4654" s="399" t="s">
        <v>4613</v>
      </c>
      <c r="E4654" s="399" t="s">
        <v>4042</v>
      </c>
      <c r="F4654" s="400">
        <v>21750</v>
      </c>
      <c r="G4654" s="401" t="s">
        <v>3800</v>
      </c>
      <c r="H4654" s="402">
        <v>8.0930104476192319</v>
      </c>
      <c r="I4654" s="402"/>
      <c r="J4654" s="400"/>
      <c r="K4654" s="400"/>
      <c r="L4654" s="400"/>
      <c r="M4654" s="400"/>
      <c r="N4654" s="400">
        <f t="shared" si="245"/>
        <v>8.0930104476192319</v>
      </c>
    </row>
    <row r="4655" spans="1:14" s="360" customFormat="1" hidden="1" outlineLevel="2" x14ac:dyDescent="0.35">
      <c r="A4655" s="403" t="s">
        <v>7383</v>
      </c>
      <c r="B4655" s="397">
        <v>44587</v>
      </c>
      <c r="C4655" s="398" t="s">
        <v>4592</v>
      </c>
      <c r="D4655" s="399" t="s">
        <v>4593</v>
      </c>
      <c r="E4655" s="399" t="s">
        <v>4268</v>
      </c>
      <c r="F4655" s="400">
        <v>3625000</v>
      </c>
      <c r="G4655" s="401" t="s">
        <v>3800</v>
      </c>
      <c r="H4655" s="402">
        <v>1348.8350746032054</v>
      </c>
      <c r="I4655" s="402"/>
      <c r="J4655" s="400"/>
      <c r="K4655" s="400"/>
      <c r="L4655" s="400"/>
      <c r="M4655" s="400"/>
      <c r="N4655" s="400">
        <v>1348.8350746032054</v>
      </c>
    </row>
    <row r="4656" spans="1:14" s="360" customFormat="1" hidden="1" outlineLevel="2" x14ac:dyDescent="0.35">
      <c r="A4656" s="403" t="s">
        <v>7383</v>
      </c>
      <c r="B4656" s="397">
        <v>44587</v>
      </c>
      <c r="C4656" s="398" t="s">
        <v>4594</v>
      </c>
      <c r="D4656" s="399" t="s">
        <v>4595</v>
      </c>
      <c r="E4656" s="399" t="s">
        <v>4272</v>
      </c>
      <c r="F4656" s="400">
        <v>362500</v>
      </c>
      <c r="G4656" s="401" t="s">
        <v>3800</v>
      </c>
      <c r="H4656" s="402">
        <v>134.88350746032054</v>
      </c>
      <c r="I4656" s="402"/>
      <c r="J4656" s="400"/>
      <c r="K4656" s="400"/>
      <c r="L4656" s="400"/>
      <c r="M4656" s="400"/>
      <c r="N4656" s="400">
        <v>134.88350746032054</v>
      </c>
    </row>
    <row r="4657" spans="1:14" s="360" customFormat="1" hidden="1" outlineLevel="2" x14ac:dyDescent="0.35">
      <c r="A4657" s="403" t="s">
        <v>7383</v>
      </c>
      <c r="B4657" s="397">
        <v>44587</v>
      </c>
      <c r="C4657" s="398" t="s">
        <v>4596</v>
      </c>
      <c r="D4657" s="399" t="s">
        <v>4597</v>
      </c>
      <c r="E4657" s="399" t="s">
        <v>4042</v>
      </c>
      <c r="F4657" s="400">
        <v>21750</v>
      </c>
      <c r="G4657" s="401" t="s">
        <v>3800</v>
      </c>
      <c r="H4657" s="402">
        <v>8.0930104476192319</v>
      </c>
      <c r="I4657" s="402"/>
      <c r="J4657" s="400"/>
      <c r="K4657" s="400"/>
      <c r="L4657" s="400"/>
      <c r="M4657" s="400"/>
      <c r="N4657" s="400">
        <v>8.0930104476192319</v>
      </c>
    </row>
    <row r="4658" spans="1:14" s="360" customFormat="1" outlineLevel="1" collapsed="1" x14ac:dyDescent="0.35">
      <c r="A4658" s="396" t="s">
        <v>7384</v>
      </c>
      <c r="B4658" s="397"/>
      <c r="C4658" s="398"/>
      <c r="D4658" s="399"/>
      <c r="E4658" s="399"/>
      <c r="F4658" s="400"/>
      <c r="G4658" s="401"/>
      <c r="H4658" s="402">
        <f t="shared" ref="H4658:N4658" si="246">SUBTOTAL(9,H4640:H4657)</f>
        <v>8950.8695550668708</v>
      </c>
      <c r="I4658" s="402"/>
      <c r="J4658" s="400">
        <f t="shared" si="246"/>
        <v>0</v>
      </c>
      <c r="K4658" s="400">
        <f t="shared" si="246"/>
        <v>0</v>
      </c>
      <c r="L4658" s="400">
        <f t="shared" si="246"/>
        <v>0</v>
      </c>
      <c r="M4658" s="400">
        <f t="shared" si="246"/>
        <v>0</v>
      </c>
      <c r="N4658" s="400">
        <f t="shared" si="246"/>
        <v>8950.8695550668708</v>
      </c>
    </row>
    <row r="4659" spans="1:14" s="360" customFormat="1" hidden="1" outlineLevel="2" x14ac:dyDescent="0.35">
      <c r="A4659" s="403" t="s">
        <v>7385</v>
      </c>
      <c r="B4659" s="397">
        <v>43833</v>
      </c>
      <c r="C4659" s="398" t="s">
        <v>4367</v>
      </c>
      <c r="D4659" s="399" t="s">
        <v>7386</v>
      </c>
      <c r="E4659" s="399" t="s">
        <v>6202</v>
      </c>
      <c r="F4659" s="400">
        <v>2500000</v>
      </c>
      <c r="G4659" s="401" t="s">
        <v>3800</v>
      </c>
      <c r="H4659" s="402">
        <v>959.89143959685828</v>
      </c>
      <c r="I4659" s="402"/>
      <c r="J4659" s="400">
        <v>239.97285989921457</v>
      </c>
      <c r="K4659" s="400">
        <v>239.97285989921457</v>
      </c>
      <c r="L4659" s="400">
        <v>239.97285989921457</v>
      </c>
      <c r="M4659" s="400">
        <v>239.97285989921457</v>
      </c>
      <c r="N4659" s="400"/>
    </row>
    <row r="4660" spans="1:14" s="360" customFormat="1" hidden="1" outlineLevel="2" x14ac:dyDescent="0.35">
      <c r="A4660" s="403" t="s">
        <v>7385</v>
      </c>
      <c r="B4660" s="397">
        <v>43833</v>
      </c>
      <c r="C4660" s="398" t="s">
        <v>4367</v>
      </c>
      <c r="D4660" s="399" t="s">
        <v>4370</v>
      </c>
      <c r="E4660" s="399" t="s">
        <v>6202</v>
      </c>
      <c r="F4660" s="400">
        <v>375000</v>
      </c>
      <c r="G4660" s="401" t="s">
        <v>3800</v>
      </c>
      <c r="H4660" s="402">
        <v>143.98371593952874</v>
      </c>
      <c r="I4660" s="402"/>
      <c r="J4660" s="400">
        <v>35.995928984882184</v>
      </c>
      <c r="K4660" s="400">
        <v>35.995928984882184</v>
      </c>
      <c r="L4660" s="400">
        <v>35.995928984882184</v>
      </c>
      <c r="M4660" s="400">
        <v>35.995928984882184</v>
      </c>
      <c r="N4660" s="400"/>
    </row>
    <row r="4661" spans="1:14" s="360" customFormat="1" hidden="1" outlineLevel="2" x14ac:dyDescent="0.35">
      <c r="A4661" s="403" t="s">
        <v>7385</v>
      </c>
      <c r="B4661" s="397">
        <v>43833</v>
      </c>
      <c r="C4661" s="398" t="s">
        <v>4371</v>
      </c>
      <c r="D4661" s="399" t="s">
        <v>4372</v>
      </c>
      <c r="E4661" s="399" t="s">
        <v>4272</v>
      </c>
      <c r="F4661" s="400">
        <v>312500</v>
      </c>
      <c r="G4661" s="401" t="s">
        <v>3800</v>
      </c>
      <c r="H4661" s="402">
        <v>119.98642994960728</v>
      </c>
      <c r="I4661" s="402"/>
      <c r="J4661" s="400">
        <v>29.996607487401821</v>
      </c>
      <c r="K4661" s="400">
        <v>29.996607487401821</v>
      </c>
      <c r="L4661" s="400">
        <v>29.996607487401821</v>
      </c>
      <c r="M4661" s="400">
        <v>29.996607487401821</v>
      </c>
      <c r="N4661" s="400"/>
    </row>
    <row r="4662" spans="1:14" s="360" customFormat="1" hidden="1" outlineLevel="2" x14ac:dyDescent="0.35">
      <c r="A4662" s="403" t="s">
        <v>7385</v>
      </c>
      <c r="B4662" s="397">
        <v>43833</v>
      </c>
      <c r="C4662" s="398" t="s">
        <v>4367</v>
      </c>
      <c r="D4662" s="399" t="s">
        <v>4373</v>
      </c>
      <c r="E4662" s="399" t="s">
        <v>6202</v>
      </c>
      <c r="F4662" s="400">
        <v>125000</v>
      </c>
      <c r="G4662" s="401" t="s">
        <v>3800</v>
      </c>
      <c r="H4662" s="402">
        <v>47.99457197984291</v>
      </c>
      <c r="I4662" s="402"/>
      <c r="J4662" s="400">
        <v>11.998642994960727</v>
      </c>
      <c r="K4662" s="400">
        <v>11.998642994960727</v>
      </c>
      <c r="L4662" s="400">
        <v>11.998642994960727</v>
      </c>
      <c r="M4662" s="400">
        <v>11.998642994960727</v>
      </c>
      <c r="N4662" s="400"/>
    </row>
    <row r="4663" spans="1:14" s="360" customFormat="1" hidden="1" outlineLevel="2" x14ac:dyDescent="0.35">
      <c r="A4663" s="403" t="s">
        <v>7385</v>
      </c>
      <c r="B4663" s="397">
        <v>43833</v>
      </c>
      <c r="C4663" s="398" t="s">
        <v>4374</v>
      </c>
      <c r="D4663" s="399" t="s">
        <v>7387</v>
      </c>
      <c r="E4663" s="399" t="s">
        <v>4039</v>
      </c>
      <c r="F4663" s="400">
        <v>125000</v>
      </c>
      <c r="G4663" s="401" t="s">
        <v>3800</v>
      </c>
      <c r="H4663" s="402">
        <v>47.99457197984291</v>
      </c>
      <c r="I4663" s="402"/>
      <c r="J4663" s="400">
        <v>11.998642994960727</v>
      </c>
      <c r="K4663" s="400">
        <v>11.998642994960727</v>
      </c>
      <c r="L4663" s="400">
        <v>11.998642994960727</v>
      </c>
      <c r="M4663" s="400">
        <v>11.998642994960727</v>
      </c>
      <c r="N4663" s="400"/>
    </row>
    <row r="4664" spans="1:14" s="360" customFormat="1" hidden="1" outlineLevel="2" x14ac:dyDescent="0.35">
      <c r="A4664" s="403" t="s">
        <v>7385</v>
      </c>
      <c r="B4664" s="397">
        <v>43833</v>
      </c>
      <c r="C4664" s="398" t="s">
        <v>4377</v>
      </c>
      <c r="D4664" s="399" t="s">
        <v>4378</v>
      </c>
      <c r="E4664" s="399" t="s">
        <v>4042</v>
      </c>
      <c r="F4664" s="400">
        <v>31250</v>
      </c>
      <c r="G4664" s="401" t="s">
        <v>3800</v>
      </c>
      <c r="H4664" s="402">
        <v>11.998642994960727</v>
      </c>
      <c r="I4664" s="402"/>
      <c r="J4664" s="400">
        <v>2.9996607487401818</v>
      </c>
      <c r="K4664" s="400">
        <v>2.9996607487401818</v>
      </c>
      <c r="L4664" s="400">
        <v>2.9996607487401818</v>
      </c>
      <c r="M4664" s="400">
        <v>2.9996607487401818</v>
      </c>
      <c r="N4664" s="400"/>
    </row>
    <row r="4665" spans="1:14" s="360" customFormat="1" hidden="1" outlineLevel="2" x14ac:dyDescent="0.35">
      <c r="A4665" s="403" t="s">
        <v>7385</v>
      </c>
      <c r="B4665" s="397">
        <v>43890</v>
      </c>
      <c r="C4665" s="398" t="s">
        <v>4379</v>
      </c>
      <c r="D4665" s="399" t="s">
        <v>4380</v>
      </c>
      <c r="E4665" s="399" t="s">
        <v>6202</v>
      </c>
      <c r="F4665" s="400">
        <v>2500000</v>
      </c>
      <c r="G4665" s="401" t="s">
        <v>3800</v>
      </c>
      <c r="H4665" s="402">
        <v>959.89143959685828</v>
      </c>
      <c r="I4665" s="402"/>
      <c r="J4665" s="400">
        <v>239.97285989921457</v>
      </c>
      <c r="K4665" s="400">
        <v>239.97285989921457</v>
      </c>
      <c r="L4665" s="400">
        <v>239.97285989921457</v>
      </c>
      <c r="M4665" s="400">
        <v>239.97285989921457</v>
      </c>
      <c r="N4665" s="400"/>
    </row>
    <row r="4666" spans="1:14" s="360" customFormat="1" hidden="1" outlineLevel="2" x14ac:dyDescent="0.35">
      <c r="A4666" s="403" t="s">
        <v>7385</v>
      </c>
      <c r="B4666" s="397">
        <v>43890</v>
      </c>
      <c r="C4666" s="398" t="s">
        <v>4379</v>
      </c>
      <c r="D4666" s="399" t="s">
        <v>4381</v>
      </c>
      <c r="E4666" s="399" t="s">
        <v>6202</v>
      </c>
      <c r="F4666" s="400">
        <v>375000</v>
      </c>
      <c r="G4666" s="401" t="s">
        <v>3800</v>
      </c>
      <c r="H4666" s="402">
        <v>143.98371593952874</v>
      </c>
      <c r="I4666" s="402"/>
      <c r="J4666" s="400">
        <v>35.995928984882184</v>
      </c>
      <c r="K4666" s="400">
        <v>35.995928984882184</v>
      </c>
      <c r="L4666" s="400">
        <v>35.995928984882184</v>
      </c>
      <c r="M4666" s="400">
        <v>35.995928984882184</v>
      </c>
      <c r="N4666" s="400"/>
    </row>
    <row r="4667" spans="1:14" s="360" customFormat="1" hidden="1" outlineLevel="2" x14ac:dyDescent="0.35">
      <c r="A4667" s="403" t="s">
        <v>7385</v>
      </c>
      <c r="B4667" s="397">
        <v>43890</v>
      </c>
      <c r="C4667" s="398" t="s">
        <v>4382</v>
      </c>
      <c r="D4667" s="399" t="s">
        <v>4383</v>
      </c>
      <c r="E4667" s="399" t="s">
        <v>4272</v>
      </c>
      <c r="F4667" s="400">
        <v>312500</v>
      </c>
      <c r="G4667" s="401" t="s">
        <v>3800</v>
      </c>
      <c r="H4667" s="402">
        <v>119.98642994960728</v>
      </c>
      <c r="I4667" s="402"/>
      <c r="J4667" s="400">
        <v>29.996607487401821</v>
      </c>
      <c r="K4667" s="400">
        <v>29.996607487401821</v>
      </c>
      <c r="L4667" s="400">
        <v>29.996607487401821</v>
      </c>
      <c r="M4667" s="400">
        <v>29.996607487401821</v>
      </c>
      <c r="N4667" s="400"/>
    </row>
    <row r="4668" spans="1:14" s="360" customFormat="1" hidden="1" outlineLevel="2" x14ac:dyDescent="0.35">
      <c r="A4668" s="403" t="s">
        <v>7385</v>
      </c>
      <c r="B4668" s="397">
        <v>43890</v>
      </c>
      <c r="C4668" s="398" t="s">
        <v>4379</v>
      </c>
      <c r="D4668" s="399" t="s">
        <v>4384</v>
      </c>
      <c r="E4668" s="399" t="s">
        <v>6202</v>
      </c>
      <c r="F4668" s="400">
        <v>125000</v>
      </c>
      <c r="G4668" s="401" t="s">
        <v>3800</v>
      </c>
      <c r="H4668" s="402">
        <v>47.99457197984291</v>
      </c>
      <c r="I4668" s="402"/>
      <c r="J4668" s="400">
        <v>11.998642994960727</v>
      </c>
      <c r="K4668" s="400">
        <v>11.998642994960727</v>
      </c>
      <c r="L4668" s="400">
        <v>11.998642994960727</v>
      </c>
      <c r="M4668" s="400">
        <v>11.998642994960727</v>
      </c>
      <c r="N4668" s="400"/>
    </row>
    <row r="4669" spans="1:14" s="360" customFormat="1" hidden="1" outlineLevel="2" x14ac:dyDescent="0.35">
      <c r="A4669" s="403" t="s">
        <v>7385</v>
      </c>
      <c r="B4669" s="397">
        <v>43890</v>
      </c>
      <c r="C4669" s="398" t="s">
        <v>4385</v>
      </c>
      <c r="D4669" s="399" t="s">
        <v>4386</v>
      </c>
      <c r="E4669" s="399" t="s">
        <v>4039</v>
      </c>
      <c r="F4669" s="400">
        <v>125000</v>
      </c>
      <c r="G4669" s="401" t="s">
        <v>3800</v>
      </c>
      <c r="H4669" s="402">
        <v>47.99457197984291</v>
      </c>
      <c r="I4669" s="402"/>
      <c r="J4669" s="400">
        <v>11.998642994960727</v>
      </c>
      <c r="K4669" s="400">
        <v>11.998642994960727</v>
      </c>
      <c r="L4669" s="400">
        <v>11.998642994960727</v>
      </c>
      <c r="M4669" s="400">
        <v>11.998642994960727</v>
      </c>
      <c r="N4669" s="400"/>
    </row>
    <row r="4670" spans="1:14" s="360" customFormat="1" hidden="1" outlineLevel="2" x14ac:dyDescent="0.35">
      <c r="A4670" s="403" t="s">
        <v>7385</v>
      </c>
      <c r="B4670" s="397">
        <v>43890</v>
      </c>
      <c r="C4670" s="398" t="s">
        <v>4387</v>
      </c>
      <c r="D4670" s="399" t="s">
        <v>4388</v>
      </c>
      <c r="E4670" s="399" t="s">
        <v>4042</v>
      </c>
      <c r="F4670" s="400">
        <v>31250</v>
      </c>
      <c r="G4670" s="401" t="s">
        <v>3800</v>
      </c>
      <c r="H4670" s="402">
        <v>11.998642994960727</v>
      </c>
      <c r="I4670" s="402"/>
      <c r="J4670" s="400">
        <v>2.9996607487401818</v>
      </c>
      <c r="K4670" s="400">
        <v>2.9996607487401818</v>
      </c>
      <c r="L4670" s="400">
        <v>2.9996607487401818</v>
      </c>
      <c r="M4670" s="400">
        <v>2.9996607487401818</v>
      </c>
      <c r="N4670" s="400"/>
    </row>
    <row r="4671" spans="1:14" s="360" customFormat="1" hidden="1" outlineLevel="2" x14ac:dyDescent="0.35">
      <c r="A4671" s="403" t="s">
        <v>7385</v>
      </c>
      <c r="B4671" s="397">
        <v>43950</v>
      </c>
      <c r="C4671" s="398" t="s">
        <v>4266</v>
      </c>
      <c r="D4671" s="399" t="s">
        <v>4267</v>
      </c>
      <c r="E4671" s="399" t="s">
        <v>6202</v>
      </c>
      <c r="F4671" s="400">
        <v>2500000</v>
      </c>
      <c r="G4671" s="401" t="s">
        <v>3800</v>
      </c>
      <c r="H4671" s="402">
        <v>959.89143959685828</v>
      </c>
      <c r="I4671" s="402"/>
      <c r="J4671" s="400">
        <v>239.97285989921457</v>
      </c>
      <c r="K4671" s="400">
        <v>239.97285989921457</v>
      </c>
      <c r="L4671" s="400">
        <v>239.97285989921457</v>
      </c>
      <c r="M4671" s="400">
        <v>239.97285989921457</v>
      </c>
      <c r="N4671" s="400"/>
    </row>
    <row r="4672" spans="1:14" s="360" customFormat="1" hidden="1" outlineLevel="2" x14ac:dyDescent="0.35">
      <c r="A4672" s="403" t="s">
        <v>7385</v>
      </c>
      <c r="B4672" s="397">
        <v>43950</v>
      </c>
      <c r="C4672" s="398" t="s">
        <v>4266</v>
      </c>
      <c r="D4672" s="399" t="s">
        <v>4269</v>
      </c>
      <c r="E4672" s="399" t="s">
        <v>6202</v>
      </c>
      <c r="F4672" s="400">
        <v>375000</v>
      </c>
      <c r="G4672" s="401" t="s">
        <v>3800</v>
      </c>
      <c r="H4672" s="402">
        <v>143.98371593952874</v>
      </c>
      <c r="I4672" s="402"/>
      <c r="J4672" s="400">
        <v>35.995928984882184</v>
      </c>
      <c r="K4672" s="400">
        <v>35.995928984882184</v>
      </c>
      <c r="L4672" s="400">
        <v>35.995928984882184</v>
      </c>
      <c r="M4672" s="400">
        <v>35.995928984882184</v>
      </c>
      <c r="N4672" s="400"/>
    </row>
    <row r="4673" spans="1:14" s="360" customFormat="1" hidden="1" outlineLevel="2" x14ac:dyDescent="0.35">
      <c r="A4673" s="403" t="s">
        <v>7385</v>
      </c>
      <c r="B4673" s="397">
        <v>43950</v>
      </c>
      <c r="C4673" s="398" t="s">
        <v>4270</v>
      </c>
      <c r="D4673" s="399" t="s">
        <v>4271</v>
      </c>
      <c r="E4673" s="399" t="s">
        <v>4272</v>
      </c>
      <c r="F4673" s="400">
        <v>312500</v>
      </c>
      <c r="G4673" s="401" t="s">
        <v>3800</v>
      </c>
      <c r="H4673" s="402">
        <v>119.98642994960728</v>
      </c>
      <c r="I4673" s="402"/>
      <c r="J4673" s="400">
        <v>29.996607487401821</v>
      </c>
      <c r="K4673" s="400">
        <v>29.996607487401821</v>
      </c>
      <c r="L4673" s="400">
        <v>29.996607487401821</v>
      </c>
      <c r="M4673" s="400">
        <v>29.996607487401821</v>
      </c>
      <c r="N4673" s="400"/>
    </row>
    <row r="4674" spans="1:14" s="360" customFormat="1" hidden="1" outlineLevel="2" x14ac:dyDescent="0.35">
      <c r="A4674" s="403" t="s">
        <v>7385</v>
      </c>
      <c r="B4674" s="397">
        <v>43950</v>
      </c>
      <c r="C4674" s="398" t="s">
        <v>4266</v>
      </c>
      <c r="D4674" s="399" t="s">
        <v>4273</v>
      </c>
      <c r="E4674" s="399" t="s">
        <v>6202</v>
      </c>
      <c r="F4674" s="400">
        <v>125000</v>
      </c>
      <c r="G4674" s="401" t="s">
        <v>3800</v>
      </c>
      <c r="H4674" s="402">
        <v>47.99457197984291</v>
      </c>
      <c r="I4674" s="402"/>
      <c r="J4674" s="400">
        <v>11.998642994960727</v>
      </c>
      <c r="K4674" s="400">
        <v>11.998642994960727</v>
      </c>
      <c r="L4674" s="400">
        <v>11.998642994960727</v>
      </c>
      <c r="M4674" s="400">
        <v>11.998642994960727</v>
      </c>
      <c r="N4674" s="400"/>
    </row>
    <row r="4675" spans="1:14" s="360" customFormat="1" hidden="1" outlineLevel="2" x14ac:dyDescent="0.35">
      <c r="A4675" s="403" t="s">
        <v>7385</v>
      </c>
      <c r="B4675" s="397">
        <v>43950</v>
      </c>
      <c r="C4675" s="398" t="s">
        <v>4274</v>
      </c>
      <c r="D4675" s="399" t="s">
        <v>4275</v>
      </c>
      <c r="E4675" s="399" t="s">
        <v>4039</v>
      </c>
      <c r="F4675" s="400">
        <v>125000</v>
      </c>
      <c r="G4675" s="401" t="s">
        <v>3800</v>
      </c>
      <c r="H4675" s="402">
        <v>47.99457197984291</v>
      </c>
      <c r="I4675" s="402"/>
      <c r="J4675" s="400">
        <v>11.998642994960727</v>
      </c>
      <c r="K4675" s="400">
        <v>11.998642994960727</v>
      </c>
      <c r="L4675" s="400">
        <v>11.998642994960727</v>
      </c>
      <c r="M4675" s="400">
        <v>11.998642994960727</v>
      </c>
      <c r="N4675" s="400"/>
    </row>
    <row r="4676" spans="1:14" s="360" customFormat="1" hidden="1" outlineLevel="2" x14ac:dyDescent="0.35">
      <c r="A4676" s="403" t="s">
        <v>7385</v>
      </c>
      <c r="B4676" s="397">
        <v>43950</v>
      </c>
      <c r="C4676" s="398" t="s">
        <v>4277</v>
      </c>
      <c r="D4676" s="399" t="s">
        <v>4278</v>
      </c>
      <c r="E4676" s="399" t="s">
        <v>4042</v>
      </c>
      <c r="F4676" s="400">
        <v>31250</v>
      </c>
      <c r="G4676" s="401" t="s">
        <v>3800</v>
      </c>
      <c r="H4676" s="402">
        <v>11.998642994960727</v>
      </c>
      <c r="I4676" s="402"/>
      <c r="J4676" s="400">
        <v>2.9996607487401818</v>
      </c>
      <c r="K4676" s="400">
        <v>2.9996607487401818</v>
      </c>
      <c r="L4676" s="400">
        <v>2.9996607487401818</v>
      </c>
      <c r="M4676" s="400">
        <v>2.9996607487401818</v>
      </c>
      <c r="N4676" s="400"/>
    </row>
    <row r="4677" spans="1:14" s="360" customFormat="1" hidden="1" outlineLevel="2" x14ac:dyDescent="0.35">
      <c r="A4677" s="403" t="s">
        <v>7385</v>
      </c>
      <c r="B4677" s="397">
        <v>43959</v>
      </c>
      <c r="C4677" s="398" t="s">
        <v>4253</v>
      </c>
      <c r="D4677" s="399" t="s">
        <v>4279</v>
      </c>
      <c r="E4677" s="399" t="s">
        <v>6202</v>
      </c>
      <c r="F4677" s="400">
        <v>2500000</v>
      </c>
      <c r="G4677" s="401" t="s">
        <v>3800</v>
      </c>
      <c r="H4677" s="402">
        <v>959.89143959685828</v>
      </c>
      <c r="I4677" s="402"/>
      <c r="J4677" s="400">
        <v>239.97285989921457</v>
      </c>
      <c r="K4677" s="400">
        <v>239.97285989921457</v>
      </c>
      <c r="L4677" s="400">
        <v>239.97285989921457</v>
      </c>
      <c r="M4677" s="400">
        <v>239.97285989921457</v>
      </c>
      <c r="N4677" s="400"/>
    </row>
    <row r="4678" spans="1:14" s="360" customFormat="1" hidden="1" outlineLevel="2" x14ac:dyDescent="0.35">
      <c r="A4678" s="403" t="s">
        <v>7385</v>
      </c>
      <c r="B4678" s="397">
        <v>43959</v>
      </c>
      <c r="C4678" s="398" t="s">
        <v>4253</v>
      </c>
      <c r="D4678" s="399" t="s">
        <v>4280</v>
      </c>
      <c r="E4678" s="399" t="s">
        <v>6202</v>
      </c>
      <c r="F4678" s="400">
        <v>375000</v>
      </c>
      <c r="G4678" s="401" t="s">
        <v>3800</v>
      </c>
      <c r="H4678" s="402">
        <v>143.98371593952874</v>
      </c>
      <c r="I4678" s="402"/>
      <c r="J4678" s="400">
        <v>35.995928984882184</v>
      </c>
      <c r="K4678" s="400">
        <v>35.995928984882184</v>
      </c>
      <c r="L4678" s="400">
        <v>35.995928984882184</v>
      </c>
      <c r="M4678" s="400">
        <v>35.995928984882184</v>
      </c>
      <c r="N4678" s="400"/>
    </row>
    <row r="4679" spans="1:14" s="360" customFormat="1" hidden="1" outlineLevel="2" x14ac:dyDescent="0.35">
      <c r="A4679" s="403" t="s">
        <v>7385</v>
      </c>
      <c r="B4679" s="397">
        <v>43963</v>
      </c>
      <c r="C4679" s="398" t="s">
        <v>4281</v>
      </c>
      <c r="D4679" s="399" t="s">
        <v>4282</v>
      </c>
      <c r="E4679" s="399" t="s">
        <v>4272</v>
      </c>
      <c r="F4679" s="400">
        <v>312500</v>
      </c>
      <c r="G4679" s="401" t="s">
        <v>3800</v>
      </c>
      <c r="H4679" s="402">
        <v>119.98642994960728</v>
      </c>
      <c r="I4679" s="402"/>
      <c r="J4679" s="400">
        <v>29.996607487401821</v>
      </c>
      <c r="K4679" s="400">
        <v>29.996607487401821</v>
      </c>
      <c r="L4679" s="400">
        <v>29.996607487401821</v>
      </c>
      <c r="M4679" s="400">
        <v>29.996607487401821</v>
      </c>
      <c r="N4679" s="400"/>
    </row>
    <row r="4680" spans="1:14" s="360" customFormat="1" hidden="1" outlineLevel="2" x14ac:dyDescent="0.35">
      <c r="A4680" s="403" t="s">
        <v>7385</v>
      </c>
      <c r="B4680" s="397">
        <v>43959</v>
      </c>
      <c r="C4680" s="398" t="s">
        <v>4253</v>
      </c>
      <c r="D4680" s="399" t="s">
        <v>4283</v>
      </c>
      <c r="E4680" s="399" t="s">
        <v>6202</v>
      </c>
      <c r="F4680" s="400">
        <v>125000</v>
      </c>
      <c r="G4680" s="401" t="s">
        <v>3800</v>
      </c>
      <c r="H4680" s="402">
        <v>47.99457197984291</v>
      </c>
      <c r="I4680" s="402"/>
      <c r="J4680" s="400">
        <v>11.998642994960727</v>
      </c>
      <c r="K4680" s="400">
        <v>11.998642994960727</v>
      </c>
      <c r="L4680" s="400">
        <v>11.998642994960727</v>
      </c>
      <c r="M4680" s="400">
        <v>11.998642994960727</v>
      </c>
      <c r="N4680" s="400"/>
    </row>
    <row r="4681" spans="1:14" s="360" customFormat="1" hidden="1" outlineLevel="2" x14ac:dyDescent="0.35">
      <c r="A4681" s="403" t="s">
        <v>7385</v>
      </c>
      <c r="B4681" s="397">
        <v>43964</v>
      </c>
      <c r="C4681" s="398" t="s">
        <v>4284</v>
      </c>
      <c r="D4681" s="399" t="s">
        <v>4389</v>
      </c>
      <c r="E4681" s="399" t="s">
        <v>4039</v>
      </c>
      <c r="F4681" s="400">
        <v>125000</v>
      </c>
      <c r="G4681" s="401" t="s">
        <v>3800</v>
      </c>
      <c r="H4681" s="402">
        <v>47.99457197984291</v>
      </c>
      <c r="I4681" s="402"/>
      <c r="J4681" s="400">
        <v>11.998642994960727</v>
      </c>
      <c r="K4681" s="400">
        <v>11.998642994960727</v>
      </c>
      <c r="L4681" s="400">
        <v>11.998642994960727</v>
      </c>
      <c r="M4681" s="400">
        <v>11.998642994960727</v>
      </c>
      <c r="N4681" s="400"/>
    </row>
    <row r="4682" spans="1:14" s="360" customFormat="1" hidden="1" outlineLevel="2" x14ac:dyDescent="0.35">
      <c r="A4682" s="403" t="s">
        <v>7385</v>
      </c>
      <c r="B4682" s="397">
        <v>43959</v>
      </c>
      <c r="C4682" s="398" t="s">
        <v>4286</v>
      </c>
      <c r="D4682" s="399" t="s">
        <v>4287</v>
      </c>
      <c r="E4682" s="399" t="s">
        <v>4042</v>
      </c>
      <c r="F4682" s="400">
        <v>31250</v>
      </c>
      <c r="G4682" s="401" t="s">
        <v>3800</v>
      </c>
      <c r="H4682" s="402">
        <v>11.998642994960727</v>
      </c>
      <c r="I4682" s="402"/>
      <c r="J4682" s="400">
        <v>2.9996607487401818</v>
      </c>
      <c r="K4682" s="400">
        <v>2.9996607487401818</v>
      </c>
      <c r="L4682" s="400">
        <v>2.9996607487401818</v>
      </c>
      <c r="M4682" s="400">
        <v>2.9996607487401818</v>
      </c>
      <c r="N4682" s="400"/>
    </row>
    <row r="4683" spans="1:14" s="360" customFormat="1" hidden="1" outlineLevel="2" x14ac:dyDescent="0.35">
      <c r="A4683" s="403" t="s">
        <v>7385</v>
      </c>
      <c r="B4683" s="397">
        <v>43980</v>
      </c>
      <c r="C4683" s="398" t="s">
        <v>4288</v>
      </c>
      <c r="D4683" s="399" t="s">
        <v>4289</v>
      </c>
      <c r="E4683" s="399" t="s">
        <v>6202</v>
      </c>
      <c r="F4683" s="400">
        <v>2500000</v>
      </c>
      <c r="G4683" s="401" t="s">
        <v>3800</v>
      </c>
      <c r="H4683" s="402">
        <v>959.89143959685828</v>
      </c>
      <c r="I4683" s="402"/>
      <c r="J4683" s="400">
        <v>239.97285989921457</v>
      </c>
      <c r="K4683" s="400">
        <v>239.97285989921457</v>
      </c>
      <c r="L4683" s="400">
        <v>239.97285989921457</v>
      </c>
      <c r="M4683" s="400">
        <v>239.97285989921457</v>
      </c>
      <c r="N4683" s="400"/>
    </row>
    <row r="4684" spans="1:14" s="360" customFormat="1" hidden="1" outlineLevel="2" x14ac:dyDescent="0.35">
      <c r="A4684" s="403" t="s">
        <v>7385</v>
      </c>
      <c r="B4684" s="397">
        <v>43980</v>
      </c>
      <c r="C4684" s="398" t="s">
        <v>4290</v>
      </c>
      <c r="D4684" s="399" t="s">
        <v>4291</v>
      </c>
      <c r="E4684" s="399" t="s">
        <v>6202</v>
      </c>
      <c r="F4684" s="400">
        <v>375000</v>
      </c>
      <c r="G4684" s="401" t="s">
        <v>3800</v>
      </c>
      <c r="H4684" s="402">
        <v>143.98371593952874</v>
      </c>
      <c r="I4684" s="402"/>
      <c r="J4684" s="400">
        <v>35.995928984882184</v>
      </c>
      <c r="K4684" s="400">
        <v>35.995928984882184</v>
      </c>
      <c r="L4684" s="400">
        <v>35.995928984882184</v>
      </c>
      <c r="M4684" s="400">
        <v>35.995928984882184</v>
      </c>
      <c r="N4684" s="400"/>
    </row>
    <row r="4685" spans="1:14" s="360" customFormat="1" hidden="1" outlineLevel="2" x14ac:dyDescent="0.35">
      <c r="A4685" s="403" t="s">
        <v>7385</v>
      </c>
      <c r="B4685" s="397">
        <v>43980</v>
      </c>
      <c r="C4685" s="398" t="s">
        <v>4281</v>
      </c>
      <c r="D4685" s="399" t="s">
        <v>4390</v>
      </c>
      <c r="E4685" s="399" t="s">
        <v>4272</v>
      </c>
      <c r="F4685" s="400">
        <v>312500</v>
      </c>
      <c r="G4685" s="401" t="s">
        <v>3800</v>
      </c>
      <c r="H4685" s="402">
        <v>119.98642994960728</v>
      </c>
      <c r="I4685" s="402"/>
      <c r="J4685" s="400">
        <v>29.996607487401821</v>
      </c>
      <c r="K4685" s="400">
        <v>29.996607487401821</v>
      </c>
      <c r="L4685" s="400">
        <v>29.996607487401821</v>
      </c>
      <c r="M4685" s="400">
        <v>29.996607487401821</v>
      </c>
      <c r="N4685" s="400"/>
    </row>
    <row r="4686" spans="1:14" s="360" customFormat="1" hidden="1" outlineLevel="2" x14ac:dyDescent="0.35">
      <c r="A4686" s="403" t="s">
        <v>7385</v>
      </c>
      <c r="B4686" s="397">
        <v>43980</v>
      </c>
      <c r="C4686" s="398" t="s">
        <v>4288</v>
      </c>
      <c r="D4686" s="399" t="s">
        <v>4292</v>
      </c>
      <c r="E4686" s="399" t="s">
        <v>6202</v>
      </c>
      <c r="F4686" s="400">
        <v>125000</v>
      </c>
      <c r="G4686" s="401" t="s">
        <v>3800</v>
      </c>
      <c r="H4686" s="402">
        <v>47.99457197984291</v>
      </c>
      <c r="I4686" s="402"/>
      <c r="J4686" s="400">
        <v>11.998642994960727</v>
      </c>
      <c r="K4686" s="400">
        <v>11.998642994960727</v>
      </c>
      <c r="L4686" s="400">
        <v>11.998642994960727</v>
      </c>
      <c r="M4686" s="400">
        <v>11.998642994960727</v>
      </c>
      <c r="N4686" s="400"/>
    </row>
    <row r="4687" spans="1:14" s="360" customFormat="1" hidden="1" outlineLevel="2" x14ac:dyDescent="0.35">
      <c r="A4687" s="403" t="s">
        <v>7385</v>
      </c>
      <c r="B4687" s="397">
        <v>43980</v>
      </c>
      <c r="C4687" s="398" t="s">
        <v>4184</v>
      </c>
      <c r="D4687" s="399" t="s">
        <v>4391</v>
      </c>
      <c r="E4687" s="399" t="s">
        <v>4039</v>
      </c>
      <c r="F4687" s="400">
        <v>125000</v>
      </c>
      <c r="G4687" s="401" t="s">
        <v>3800</v>
      </c>
      <c r="H4687" s="402">
        <v>47.99457197984291</v>
      </c>
      <c r="I4687" s="402"/>
      <c r="J4687" s="400">
        <v>11.998642994960727</v>
      </c>
      <c r="K4687" s="400">
        <v>11.998642994960727</v>
      </c>
      <c r="L4687" s="400">
        <v>11.998642994960727</v>
      </c>
      <c r="M4687" s="400">
        <v>11.998642994960727</v>
      </c>
      <c r="N4687" s="400"/>
    </row>
    <row r="4688" spans="1:14" s="360" customFormat="1" hidden="1" outlineLevel="2" x14ac:dyDescent="0.35">
      <c r="A4688" s="403" t="s">
        <v>7385</v>
      </c>
      <c r="B4688" s="397">
        <v>43980</v>
      </c>
      <c r="C4688" s="398" t="s">
        <v>4294</v>
      </c>
      <c r="D4688" s="399" t="s">
        <v>4295</v>
      </c>
      <c r="E4688" s="399" t="s">
        <v>4042</v>
      </c>
      <c r="F4688" s="400">
        <v>31250</v>
      </c>
      <c r="G4688" s="401" t="s">
        <v>3800</v>
      </c>
      <c r="H4688" s="402">
        <v>11.998642994960727</v>
      </c>
      <c r="I4688" s="402"/>
      <c r="J4688" s="400">
        <v>2.9996607487401818</v>
      </c>
      <c r="K4688" s="400">
        <v>2.9996607487401818</v>
      </c>
      <c r="L4688" s="400">
        <v>2.9996607487401818</v>
      </c>
      <c r="M4688" s="400">
        <v>2.9996607487401818</v>
      </c>
      <c r="N4688" s="400"/>
    </row>
    <row r="4689" spans="1:14" s="360" customFormat="1" hidden="1" outlineLevel="2" x14ac:dyDescent="0.35">
      <c r="A4689" s="403" t="s">
        <v>7385</v>
      </c>
      <c r="B4689" s="397">
        <v>44018</v>
      </c>
      <c r="C4689" s="398" t="s">
        <v>4192</v>
      </c>
      <c r="D4689" s="399" t="s">
        <v>4296</v>
      </c>
      <c r="E4689" s="399" t="s">
        <v>6202</v>
      </c>
      <c r="F4689" s="400">
        <v>2500000</v>
      </c>
      <c r="G4689" s="401" t="s">
        <v>3800</v>
      </c>
      <c r="H4689" s="402">
        <v>959.89143959685828</v>
      </c>
      <c r="I4689" s="402"/>
      <c r="J4689" s="400">
        <v>239.97285989921457</v>
      </c>
      <c r="K4689" s="400">
        <v>239.97285989921457</v>
      </c>
      <c r="L4689" s="400">
        <v>239.97285989921457</v>
      </c>
      <c r="M4689" s="400">
        <v>239.97285989921457</v>
      </c>
      <c r="N4689" s="400"/>
    </row>
    <row r="4690" spans="1:14" s="360" customFormat="1" hidden="1" outlineLevel="2" x14ac:dyDescent="0.35">
      <c r="A4690" s="403" t="s">
        <v>7385</v>
      </c>
      <c r="B4690" s="397">
        <v>44018</v>
      </c>
      <c r="C4690" s="398" t="s">
        <v>4192</v>
      </c>
      <c r="D4690" s="399" t="s">
        <v>4297</v>
      </c>
      <c r="E4690" s="399" t="s">
        <v>6202</v>
      </c>
      <c r="F4690" s="400">
        <v>375000</v>
      </c>
      <c r="G4690" s="401" t="s">
        <v>3800</v>
      </c>
      <c r="H4690" s="402">
        <v>143.98371593952874</v>
      </c>
      <c r="I4690" s="402"/>
      <c r="J4690" s="400">
        <v>35.995928984882184</v>
      </c>
      <c r="K4690" s="400">
        <v>35.995928984882184</v>
      </c>
      <c r="L4690" s="400">
        <v>35.995928984882184</v>
      </c>
      <c r="M4690" s="400">
        <v>35.995928984882184</v>
      </c>
      <c r="N4690" s="400"/>
    </row>
    <row r="4691" spans="1:14" s="360" customFormat="1" hidden="1" outlineLevel="2" x14ac:dyDescent="0.35">
      <c r="A4691" s="403" t="s">
        <v>7385</v>
      </c>
      <c r="B4691" s="397">
        <v>44022</v>
      </c>
      <c r="C4691" s="398" t="s">
        <v>4298</v>
      </c>
      <c r="D4691" s="399" t="s">
        <v>4299</v>
      </c>
      <c r="E4691" s="399" t="s">
        <v>4272</v>
      </c>
      <c r="F4691" s="400">
        <v>312500</v>
      </c>
      <c r="G4691" s="401" t="s">
        <v>3800</v>
      </c>
      <c r="H4691" s="402">
        <v>119.98642994960728</v>
      </c>
      <c r="I4691" s="402"/>
      <c r="J4691" s="400">
        <v>29.996607487401821</v>
      </c>
      <c r="K4691" s="400">
        <v>29.996607487401821</v>
      </c>
      <c r="L4691" s="400">
        <v>29.996607487401821</v>
      </c>
      <c r="M4691" s="400">
        <v>29.996607487401821</v>
      </c>
      <c r="N4691" s="400"/>
    </row>
    <row r="4692" spans="1:14" s="360" customFormat="1" hidden="1" outlineLevel="2" x14ac:dyDescent="0.35">
      <c r="A4692" s="403" t="s">
        <v>7385</v>
      </c>
      <c r="B4692" s="397">
        <v>44018</v>
      </c>
      <c r="C4692" s="398" t="s">
        <v>4192</v>
      </c>
      <c r="D4692" s="399" t="s">
        <v>4300</v>
      </c>
      <c r="E4692" s="399" t="s">
        <v>6202</v>
      </c>
      <c r="F4692" s="400">
        <v>125000</v>
      </c>
      <c r="G4692" s="401" t="s">
        <v>3800</v>
      </c>
      <c r="H4692" s="402">
        <v>47.99457197984291</v>
      </c>
      <c r="I4692" s="402"/>
      <c r="J4692" s="400">
        <v>11.998642994960727</v>
      </c>
      <c r="K4692" s="400">
        <v>11.998642994960727</v>
      </c>
      <c r="L4692" s="400">
        <v>11.998642994960727</v>
      </c>
      <c r="M4692" s="400">
        <v>11.998642994960727</v>
      </c>
      <c r="N4692" s="400"/>
    </row>
    <row r="4693" spans="1:14" s="360" customFormat="1" hidden="1" outlineLevel="2" x14ac:dyDescent="0.35">
      <c r="A4693" s="403" t="s">
        <v>7385</v>
      </c>
      <c r="B4693" s="397">
        <v>44022</v>
      </c>
      <c r="C4693" s="398" t="s">
        <v>4301</v>
      </c>
      <c r="D4693" s="399" t="s">
        <v>4302</v>
      </c>
      <c r="E4693" s="399" t="s">
        <v>4039</v>
      </c>
      <c r="F4693" s="400">
        <v>125000</v>
      </c>
      <c r="G4693" s="401" t="s">
        <v>3800</v>
      </c>
      <c r="H4693" s="402">
        <v>47.99457197984291</v>
      </c>
      <c r="I4693" s="402"/>
      <c r="J4693" s="400">
        <v>11.998642994960727</v>
      </c>
      <c r="K4693" s="400">
        <v>11.998642994960727</v>
      </c>
      <c r="L4693" s="400">
        <v>11.998642994960727</v>
      </c>
      <c r="M4693" s="400">
        <v>11.998642994960727</v>
      </c>
      <c r="N4693" s="400"/>
    </row>
    <row r="4694" spans="1:14" s="360" customFormat="1" hidden="1" outlineLevel="2" x14ac:dyDescent="0.35">
      <c r="A4694" s="403" t="s">
        <v>7385</v>
      </c>
      <c r="B4694" s="397">
        <v>44022</v>
      </c>
      <c r="C4694" s="398" t="s">
        <v>4303</v>
      </c>
      <c r="D4694" s="399" t="s">
        <v>4304</v>
      </c>
      <c r="E4694" s="399" t="s">
        <v>4042</v>
      </c>
      <c r="F4694" s="400">
        <v>31250</v>
      </c>
      <c r="G4694" s="401" t="s">
        <v>3800</v>
      </c>
      <c r="H4694" s="402">
        <v>11.998642994960727</v>
      </c>
      <c r="I4694" s="402"/>
      <c r="J4694" s="400">
        <v>2.9996607487401818</v>
      </c>
      <c r="K4694" s="400">
        <v>2.9996607487401818</v>
      </c>
      <c r="L4694" s="400">
        <v>2.9996607487401818</v>
      </c>
      <c r="M4694" s="400">
        <v>2.9996607487401818</v>
      </c>
      <c r="N4694" s="400"/>
    </row>
    <row r="4695" spans="1:14" s="360" customFormat="1" hidden="1" outlineLevel="2" x14ac:dyDescent="0.35">
      <c r="A4695" s="403" t="s">
        <v>7385</v>
      </c>
      <c r="B4695" s="397">
        <v>44047</v>
      </c>
      <c r="C4695" s="398" t="s">
        <v>4305</v>
      </c>
      <c r="D4695" s="399" t="s">
        <v>4306</v>
      </c>
      <c r="E4695" s="399" t="s">
        <v>6202</v>
      </c>
      <c r="F4695" s="400">
        <v>2500000</v>
      </c>
      <c r="G4695" s="401" t="s">
        <v>3800</v>
      </c>
      <c r="H4695" s="402">
        <v>959.89143959685828</v>
      </c>
      <c r="I4695" s="402"/>
      <c r="J4695" s="400">
        <v>239.97285989921457</v>
      </c>
      <c r="K4695" s="400">
        <v>239.97285989921457</v>
      </c>
      <c r="L4695" s="400">
        <v>239.97285989921457</v>
      </c>
      <c r="M4695" s="400">
        <v>239.97285989921457</v>
      </c>
      <c r="N4695" s="400"/>
    </row>
    <row r="4696" spans="1:14" s="360" customFormat="1" hidden="1" outlineLevel="2" x14ac:dyDescent="0.35">
      <c r="A4696" s="403" t="s">
        <v>7385</v>
      </c>
      <c r="B4696" s="397">
        <v>44047</v>
      </c>
      <c r="C4696" s="398" t="s">
        <v>4305</v>
      </c>
      <c r="D4696" s="399" t="s">
        <v>4307</v>
      </c>
      <c r="E4696" s="399" t="s">
        <v>6202</v>
      </c>
      <c r="F4696" s="400">
        <v>375000</v>
      </c>
      <c r="G4696" s="401" t="s">
        <v>3800</v>
      </c>
      <c r="H4696" s="402">
        <v>143.98371593952874</v>
      </c>
      <c r="I4696" s="402"/>
      <c r="J4696" s="400">
        <v>35.995928984882184</v>
      </c>
      <c r="K4696" s="400">
        <v>35.995928984882184</v>
      </c>
      <c r="L4696" s="400">
        <v>35.995928984882184</v>
      </c>
      <c r="M4696" s="400">
        <v>35.995928984882184</v>
      </c>
      <c r="N4696" s="400"/>
    </row>
    <row r="4697" spans="1:14" s="360" customFormat="1" hidden="1" outlineLevel="2" x14ac:dyDescent="0.35">
      <c r="A4697" s="403" t="s">
        <v>7385</v>
      </c>
      <c r="B4697" s="397">
        <v>44047</v>
      </c>
      <c r="C4697" s="398" t="s">
        <v>4308</v>
      </c>
      <c r="D4697" s="399" t="s">
        <v>4309</v>
      </c>
      <c r="E4697" s="399" t="s">
        <v>4272</v>
      </c>
      <c r="F4697" s="400">
        <v>312500</v>
      </c>
      <c r="G4697" s="401" t="s">
        <v>3800</v>
      </c>
      <c r="H4697" s="402">
        <v>119.98642994960728</v>
      </c>
      <c r="I4697" s="402"/>
      <c r="J4697" s="400">
        <v>29.996607487401821</v>
      </c>
      <c r="K4697" s="400">
        <v>29.996607487401821</v>
      </c>
      <c r="L4697" s="400">
        <v>29.996607487401821</v>
      </c>
      <c r="M4697" s="400">
        <v>29.996607487401821</v>
      </c>
      <c r="N4697" s="400"/>
    </row>
    <row r="4698" spans="1:14" s="360" customFormat="1" hidden="1" outlineLevel="2" x14ac:dyDescent="0.35">
      <c r="A4698" s="403" t="s">
        <v>7385</v>
      </c>
      <c r="B4698" s="397">
        <v>44047</v>
      </c>
      <c r="C4698" s="398" t="s">
        <v>4305</v>
      </c>
      <c r="D4698" s="399" t="s">
        <v>4310</v>
      </c>
      <c r="E4698" s="399" t="s">
        <v>6202</v>
      </c>
      <c r="F4698" s="400">
        <v>125000</v>
      </c>
      <c r="G4698" s="401" t="s">
        <v>3800</v>
      </c>
      <c r="H4698" s="402">
        <v>47.99457197984291</v>
      </c>
      <c r="I4698" s="402"/>
      <c r="J4698" s="400">
        <v>11.998642994960727</v>
      </c>
      <c r="K4698" s="400">
        <v>11.998642994960727</v>
      </c>
      <c r="L4698" s="400">
        <v>11.998642994960727</v>
      </c>
      <c r="M4698" s="400">
        <v>11.998642994960727</v>
      </c>
      <c r="N4698" s="400"/>
    </row>
    <row r="4699" spans="1:14" s="360" customFormat="1" hidden="1" outlineLevel="2" x14ac:dyDescent="0.35">
      <c r="A4699" s="403" t="s">
        <v>7385</v>
      </c>
      <c r="B4699" s="397">
        <v>44047</v>
      </c>
      <c r="C4699" s="398" t="s">
        <v>4311</v>
      </c>
      <c r="D4699" s="399" t="s">
        <v>4312</v>
      </c>
      <c r="E4699" s="399" t="s">
        <v>4039</v>
      </c>
      <c r="F4699" s="400">
        <v>125000</v>
      </c>
      <c r="G4699" s="401" t="s">
        <v>3800</v>
      </c>
      <c r="H4699" s="402">
        <v>47.99457197984291</v>
      </c>
      <c r="I4699" s="402"/>
      <c r="J4699" s="400">
        <v>11.998642994960727</v>
      </c>
      <c r="K4699" s="400">
        <v>11.998642994960727</v>
      </c>
      <c r="L4699" s="400">
        <v>11.998642994960727</v>
      </c>
      <c r="M4699" s="400">
        <v>11.998642994960727</v>
      </c>
      <c r="N4699" s="400"/>
    </row>
    <row r="4700" spans="1:14" s="360" customFormat="1" hidden="1" outlineLevel="2" x14ac:dyDescent="0.35">
      <c r="A4700" s="403" t="s">
        <v>7385</v>
      </c>
      <c r="B4700" s="397">
        <v>44047</v>
      </c>
      <c r="C4700" s="398" t="s">
        <v>4313</v>
      </c>
      <c r="D4700" s="399" t="s">
        <v>4314</v>
      </c>
      <c r="E4700" s="399" t="s">
        <v>4042</v>
      </c>
      <c r="F4700" s="400">
        <v>31250</v>
      </c>
      <c r="G4700" s="401" t="s">
        <v>3800</v>
      </c>
      <c r="H4700" s="402">
        <v>11.998642994960727</v>
      </c>
      <c r="I4700" s="402"/>
      <c r="J4700" s="400">
        <v>2.9996607487401818</v>
      </c>
      <c r="K4700" s="400">
        <v>2.9996607487401818</v>
      </c>
      <c r="L4700" s="400">
        <v>2.9996607487401818</v>
      </c>
      <c r="M4700" s="400">
        <v>2.9996607487401818</v>
      </c>
      <c r="N4700" s="400"/>
    </row>
    <row r="4701" spans="1:14" s="360" customFormat="1" hidden="1" outlineLevel="2" x14ac:dyDescent="0.35">
      <c r="A4701" s="403" t="s">
        <v>7385</v>
      </c>
      <c r="B4701" s="397">
        <v>44070</v>
      </c>
      <c r="C4701" s="398" t="s">
        <v>4315</v>
      </c>
      <c r="D4701" s="399" t="s">
        <v>4316</v>
      </c>
      <c r="E4701" s="399" t="s">
        <v>6202</v>
      </c>
      <c r="F4701" s="400">
        <v>2500000</v>
      </c>
      <c r="G4701" s="401" t="s">
        <v>3800</v>
      </c>
      <c r="H4701" s="402">
        <v>959.89143959685828</v>
      </c>
      <c r="I4701" s="402"/>
      <c r="J4701" s="400">
        <v>239.97285989921457</v>
      </c>
      <c r="K4701" s="400">
        <v>239.97285989921457</v>
      </c>
      <c r="L4701" s="400">
        <v>239.97285989921457</v>
      </c>
      <c r="M4701" s="400">
        <v>239.97285989921457</v>
      </c>
      <c r="N4701" s="400"/>
    </row>
    <row r="4702" spans="1:14" s="360" customFormat="1" hidden="1" outlineLevel="2" x14ac:dyDescent="0.35">
      <c r="A4702" s="403" t="s">
        <v>7385</v>
      </c>
      <c r="B4702" s="397">
        <v>44070</v>
      </c>
      <c r="C4702" s="398" t="s">
        <v>4315</v>
      </c>
      <c r="D4702" s="399" t="s">
        <v>4317</v>
      </c>
      <c r="E4702" s="399" t="s">
        <v>6202</v>
      </c>
      <c r="F4702" s="400">
        <v>375000</v>
      </c>
      <c r="G4702" s="401" t="s">
        <v>3800</v>
      </c>
      <c r="H4702" s="402">
        <v>143.98371593952874</v>
      </c>
      <c r="I4702" s="402"/>
      <c r="J4702" s="400">
        <v>35.995928984882184</v>
      </c>
      <c r="K4702" s="400">
        <v>35.995928984882184</v>
      </c>
      <c r="L4702" s="400">
        <v>35.995928984882184</v>
      </c>
      <c r="M4702" s="400">
        <v>35.995928984882184</v>
      </c>
      <c r="N4702" s="400"/>
    </row>
    <row r="4703" spans="1:14" s="360" customFormat="1" hidden="1" outlineLevel="2" x14ac:dyDescent="0.35">
      <c r="A4703" s="403" t="s">
        <v>7385</v>
      </c>
      <c r="B4703" s="397">
        <v>44070</v>
      </c>
      <c r="C4703" s="398" t="s">
        <v>4318</v>
      </c>
      <c r="D4703" s="399" t="s">
        <v>4319</v>
      </c>
      <c r="E4703" s="399" t="s">
        <v>4272</v>
      </c>
      <c r="F4703" s="400">
        <v>312500</v>
      </c>
      <c r="G4703" s="401" t="s">
        <v>3800</v>
      </c>
      <c r="H4703" s="402">
        <v>119.98642994960728</v>
      </c>
      <c r="I4703" s="402"/>
      <c r="J4703" s="400">
        <v>29.996607487401821</v>
      </c>
      <c r="K4703" s="400">
        <v>29.996607487401821</v>
      </c>
      <c r="L4703" s="400">
        <v>29.996607487401821</v>
      </c>
      <c r="M4703" s="400">
        <v>29.996607487401821</v>
      </c>
      <c r="N4703" s="400"/>
    </row>
    <row r="4704" spans="1:14" s="360" customFormat="1" hidden="1" outlineLevel="2" x14ac:dyDescent="0.35">
      <c r="A4704" s="403" t="s">
        <v>7385</v>
      </c>
      <c r="B4704" s="397">
        <v>44070</v>
      </c>
      <c r="C4704" s="398" t="s">
        <v>4315</v>
      </c>
      <c r="D4704" s="399" t="s">
        <v>4320</v>
      </c>
      <c r="E4704" s="399" t="s">
        <v>6202</v>
      </c>
      <c r="F4704" s="400">
        <v>125000</v>
      </c>
      <c r="G4704" s="401" t="s">
        <v>3800</v>
      </c>
      <c r="H4704" s="402">
        <v>47.99457197984291</v>
      </c>
      <c r="I4704" s="402"/>
      <c r="J4704" s="400">
        <v>11.998642994960727</v>
      </c>
      <c r="K4704" s="400">
        <v>11.998642994960727</v>
      </c>
      <c r="L4704" s="400">
        <v>11.998642994960727</v>
      </c>
      <c r="M4704" s="400">
        <v>11.998642994960727</v>
      </c>
      <c r="N4704" s="400"/>
    </row>
    <row r="4705" spans="1:14" s="360" customFormat="1" hidden="1" outlineLevel="2" x14ac:dyDescent="0.35">
      <c r="A4705" s="403" t="s">
        <v>7385</v>
      </c>
      <c r="B4705" s="397">
        <v>44070</v>
      </c>
      <c r="C4705" s="398" t="s">
        <v>4321</v>
      </c>
      <c r="D4705" s="399" t="s">
        <v>4322</v>
      </c>
      <c r="E4705" s="399" t="s">
        <v>4039</v>
      </c>
      <c r="F4705" s="400">
        <v>125000</v>
      </c>
      <c r="G4705" s="401" t="s">
        <v>3800</v>
      </c>
      <c r="H4705" s="402">
        <v>47.99457197984291</v>
      </c>
      <c r="I4705" s="402"/>
      <c r="J4705" s="400">
        <v>11.998642994960727</v>
      </c>
      <c r="K4705" s="400">
        <v>11.998642994960727</v>
      </c>
      <c r="L4705" s="400">
        <v>11.998642994960727</v>
      </c>
      <c r="M4705" s="400">
        <v>11.998642994960727</v>
      </c>
      <c r="N4705" s="400"/>
    </row>
    <row r="4706" spans="1:14" s="360" customFormat="1" hidden="1" outlineLevel="2" x14ac:dyDescent="0.35">
      <c r="A4706" s="403" t="s">
        <v>7385</v>
      </c>
      <c r="B4706" s="397">
        <v>44070</v>
      </c>
      <c r="C4706" s="398" t="s">
        <v>4323</v>
      </c>
      <c r="D4706" s="399" t="s">
        <v>4324</v>
      </c>
      <c r="E4706" s="399" t="s">
        <v>4042</v>
      </c>
      <c r="F4706" s="400">
        <v>31250</v>
      </c>
      <c r="G4706" s="401" t="s">
        <v>3800</v>
      </c>
      <c r="H4706" s="402">
        <v>11.998642994960727</v>
      </c>
      <c r="I4706" s="402"/>
      <c r="J4706" s="400">
        <v>2.9996607487401818</v>
      </c>
      <c r="K4706" s="400">
        <v>2.9996607487401818</v>
      </c>
      <c r="L4706" s="400">
        <v>2.9996607487401818</v>
      </c>
      <c r="M4706" s="400">
        <v>2.9996607487401818</v>
      </c>
      <c r="N4706" s="400"/>
    </row>
    <row r="4707" spans="1:14" s="360" customFormat="1" hidden="1" outlineLevel="2" x14ac:dyDescent="0.35">
      <c r="A4707" s="403" t="s">
        <v>7385</v>
      </c>
      <c r="B4707" s="397">
        <v>44104</v>
      </c>
      <c r="C4707" s="398" t="s">
        <v>4325</v>
      </c>
      <c r="D4707" s="399" t="s">
        <v>4326</v>
      </c>
      <c r="E4707" s="399" t="s">
        <v>6202</v>
      </c>
      <c r="F4707" s="400">
        <v>2500000</v>
      </c>
      <c r="G4707" s="401" t="s">
        <v>3800</v>
      </c>
      <c r="H4707" s="402">
        <v>959.89143959685828</v>
      </c>
      <c r="I4707" s="402"/>
      <c r="J4707" s="400">
        <v>239.97285989921457</v>
      </c>
      <c r="K4707" s="400">
        <v>239.97285989921457</v>
      </c>
      <c r="L4707" s="400">
        <v>239.97285989921457</v>
      </c>
      <c r="M4707" s="400">
        <v>239.97285989921457</v>
      </c>
      <c r="N4707" s="400"/>
    </row>
    <row r="4708" spans="1:14" s="360" customFormat="1" hidden="1" outlineLevel="2" x14ac:dyDescent="0.35">
      <c r="A4708" s="403" t="s">
        <v>7385</v>
      </c>
      <c r="B4708" s="397">
        <v>44104</v>
      </c>
      <c r="C4708" s="398" t="s">
        <v>4325</v>
      </c>
      <c r="D4708" s="399" t="s">
        <v>4327</v>
      </c>
      <c r="E4708" s="399" t="s">
        <v>6202</v>
      </c>
      <c r="F4708" s="400">
        <v>375000</v>
      </c>
      <c r="G4708" s="401" t="s">
        <v>3800</v>
      </c>
      <c r="H4708" s="402">
        <v>143.98371593952874</v>
      </c>
      <c r="I4708" s="402"/>
      <c r="J4708" s="400">
        <v>35.995928984882184</v>
      </c>
      <c r="K4708" s="400">
        <v>35.995928984882184</v>
      </c>
      <c r="L4708" s="400">
        <v>35.995928984882184</v>
      </c>
      <c r="M4708" s="400">
        <v>35.995928984882184</v>
      </c>
      <c r="N4708" s="400"/>
    </row>
    <row r="4709" spans="1:14" s="360" customFormat="1" hidden="1" outlineLevel="2" x14ac:dyDescent="0.35">
      <c r="A4709" s="403" t="s">
        <v>7385</v>
      </c>
      <c r="B4709" s="397">
        <v>44104</v>
      </c>
      <c r="C4709" s="398" t="s">
        <v>4328</v>
      </c>
      <c r="D4709" s="399" t="s">
        <v>4329</v>
      </c>
      <c r="E4709" s="399" t="s">
        <v>4272</v>
      </c>
      <c r="F4709" s="400">
        <v>312500</v>
      </c>
      <c r="G4709" s="401" t="s">
        <v>3800</v>
      </c>
      <c r="H4709" s="402">
        <v>119.98642994960728</v>
      </c>
      <c r="I4709" s="402"/>
      <c r="J4709" s="400">
        <v>29.996607487401821</v>
      </c>
      <c r="K4709" s="400">
        <v>29.996607487401821</v>
      </c>
      <c r="L4709" s="400">
        <v>29.996607487401821</v>
      </c>
      <c r="M4709" s="400">
        <v>29.996607487401821</v>
      </c>
      <c r="N4709" s="400"/>
    </row>
    <row r="4710" spans="1:14" s="360" customFormat="1" hidden="1" outlineLevel="2" x14ac:dyDescent="0.35">
      <c r="A4710" s="403" t="s">
        <v>7385</v>
      </c>
      <c r="B4710" s="397">
        <v>44104</v>
      </c>
      <c r="C4710" s="398" t="s">
        <v>4325</v>
      </c>
      <c r="D4710" s="399" t="s">
        <v>4330</v>
      </c>
      <c r="E4710" s="399" t="s">
        <v>6202</v>
      </c>
      <c r="F4710" s="400">
        <v>125000</v>
      </c>
      <c r="G4710" s="401" t="s">
        <v>3800</v>
      </c>
      <c r="H4710" s="402">
        <v>47.99457197984291</v>
      </c>
      <c r="I4710" s="402"/>
      <c r="J4710" s="400">
        <v>11.998642994960727</v>
      </c>
      <c r="K4710" s="400">
        <v>11.998642994960727</v>
      </c>
      <c r="L4710" s="400">
        <v>11.998642994960727</v>
      </c>
      <c r="M4710" s="400">
        <v>11.998642994960727</v>
      </c>
      <c r="N4710" s="400"/>
    </row>
    <row r="4711" spans="1:14" s="360" customFormat="1" hidden="1" outlineLevel="2" x14ac:dyDescent="0.35">
      <c r="A4711" s="403" t="s">
        <v>7385</v>
      </c>
      <c r="B4711" s="397">
        <v>44104</v>
      </c>
      <c r="C4711" s="398" t="s">
        <v>4331</v>
      </c>
      <c r="D4711" s="399" t="s">
        <v>4332</v>
      </c>
      <c r="E4711" s="399" t="s">
        <v>4039</v>
      </c>
      <c r="F4711" s="400">
        <v>125000</v>
      </c>
      <c r="G4711" s="401" t="s">
        <v>3800</v>
      </c>
      <c r="H4711" s="402">
        <v>47.99457197984291</v>
      </c>
      <c r="I4711" s="402"/>
      <c r="J4711" s="400">
        <v>11.998642994960727</v>
      </c>
      <c r="K4711" s="400">
        <v>11.998642994960727</v>
      </c>
      <c r="L4711" s="400">
        <v>11.998642994960727</v>
      </c>
      <c r="M4711" s="400">
        <v>11.998642994960727</v>
      </c>
      <c r="N4711" s="400"/>
    </row>
    <row r="4712" spans="1:14" s="360" customFormat="1" hidden="1" outlineLevel="2" x14ac:dyDescent="0.35">
      <c r="A4712" s="403" t="s">
        <v>7385</v>
      </c>
      <c r="B4712" s="397">
        <v>44104</v>
      </c>
      <c r="C4712" s="398" t="s">
        <v>4333</v>
      </c>
      <c r="D4712" s="399" t="s">
        <v>4334</v>
      </c>
      <c r="E4712" s="399" t="s">
        <v>4042</v>
      </c>
      <c r="F4712" s="400">
        <v>31250</v>
      </c>
      <c r="G4712" s="401" t="s">
        <v>3800</v>
      </c>
      <c r="H4712" s="402">
        <v>11.998642994960727</v>
      </c>
      <c r="I4712" s="402"/>
      <c r="J4712" s="400">
        <v>2.9996607487401818</v>
      </c>
      <c r="K4712" s="400">
        <v>2.9996607487401818</v>
      </c>
      <c r="L4712" s="400">
        <v>2.9996607487401818</v>
      </c>
      <c r="M4712" s="400">
        <v>2.9996607487401818</v>
      </c>
      <c r="N4712" s="400"/>
    </row>
    <row r="4713" spans="1:14" s="360" customFormat="1" hidden="1" outlineLevel="2" x14ac:dyDescent="0.35">
      <c r="A4713" s="403" t="s">
        <v>7385</v>
      </c>
      <c r="B4713" s="397">
        <v>44131</v>
      </c>
      <c r="C4713" s="398" t="s">
        <v>4335</v>
      </c>
      <c r="D4713" s="399" t="s">
        <v>4336</v>
      </c>
      <c r="E4713" s="399" t="s">
        <v>6202</v>
      </c>
      <c r="F4713" s="400">
        <v>2500000</v>
      </c>
      <c r="G4713" s="401" t="s">
        <v>3800</v>
      </c>
      <c r="H4713" s="402">
        <v>959.89143959685828</v>
      </c>
      <c r="I4713" s="402"/>
      <c r="J4713" s="400">
        <v>239.97285989921457</v>
      </c>
      <c r="K4713" s="400">
        <v>239.97285989921457</v>
      </c>
      <c r="L4713" s="400">
        <v>239.97285989921457</v>
      </c>
      <c r="M4713" s="400">
        <v>239.97285989921457</v>
      </c>
      <c r="N4713" s="400"/>
    </row>
    <row r="4714" spans="1:14" s="360" customFormat="1" hidden="1" outlineLevel="2" x14ac:dyDescent="0.35">
      <c r="A4714" s="403" t="s">
        <v>7385</v>
      </c>
      <c r="B4714" s="397">
        <v>44131</v>
      </c>
      <c r="C4714" s="398" t="s">
        <v>4335</v>
      </c>
      <c r="D4714" s="399" t="s">
        <v>4337</v>
      </c>
      <c r="E4714" s="399" t="s">
        <v>6202</v>
      </c>
      <c r="F4714" s="400">
        <v>375000</v>
      </c>
      <c r="G4714" s="401" t="s">
        <v>3800</v>
      </c>
      <c r="H4714" s="402">
        <v>143.98371593952874</v>
      </c>
      <c r="I4714" s="402"/>
      <c r="J4714" s="400">
        <v>35.995928984882184</v>
      </c>
      <c r="K4714" s="400">
        <v>35.995928984882184</v>
      </c>
      <c r="L4714" s="400">
        <v>35.995928984882184</v>
      </c>
      <c r="M4714" s="400">
        <v>35.995928984882184</v>
      </c>
      <c r="N4714" s="400"/>
    </row>
    <row r="4715" spans="1:14" s="360" customFormat="1" hidden="1" outlineLevel="2" x14ac:dyDescent="0.35">
      <c r="A4715" s="403" t="s">
        <v>7385</v>
      </c>
      <c r="B4715" s="397">
        <v>44131</v>
      </c>
      <c r="C4715" s="398" t="s">
        <v>4338</v>
      </c>
      <c r="D4715" s="399" t="s">
        <v>4339</v>
      </c>
      <c r="E4715" s="399" t="s">
        <v>4272</v>
      </c>
      <c r="F4715" s="400">
        <v>312500</v>
      </c>
      <c r="G4715" s="401" t="s">
        <v>3800</v>
      </c>
      <c r="H4715" s="402">
        <v>119.98642994960728</v>
      </c>
      <c r="I4715" s="402"/>
      <c r="J4715" s="400">
        <v>29.996607487401821</v>
      </c>
      <c r="K4715" s="400">
        <v>29.996607487401821</v>
      </c>
      <c r="L4715" s="400">
        <v>29.996607487401821</v>
      </c>
      <c r="M4715" s="400">
        <v>29.996607487401821</v>
      </c>
      <c r="N4715" s="400"/>
    </row>
    <row r="4716" spans="1:14" s="360" customFormat="1" hidden="1" outlineLevel="2" x14ac:dyDescent="0.35">
      <c r="A4716" s="403" t="s">
        <v>7385</v>
      </c>
      <c r="B4716" s="397">
        <v>44131</v>
      </c>
      <c r="C4716" s="398" t="s">
        <v>4325</v>
      </c>
      <c r="D4716" s="399" t="s">
        <v>4340</v>
      </c>
      <c r="E4716" s="399" t="s">
        <v>6202</v>
      </c>
      <c r="F4716" s="400">
        <v>125000</v>
      </c>
      <c r="G4716" s="401" t="s">
        <v>3800</v>
      </c>
      <c r="H4716" s="402">
        <v>47.99457197984291</v>
      </c>
      <c r="I4716" s="402"/>
      <c r="J4716" s="400">
        <v>11.998642994960727</v>
      </c>
      <c r="K4716" s="400">
        <v>11.998642994960727</v>
      </c>
      <c r="L4716" s="400">
        <v>11.998642994960727</v>
      </c>
      <c r="M4716" s="400">
        <v>11.998642994960727</v>
      </c>
      <c r="N4716" s="400"/>
    </row>
    <row r="4717" spans="1:14" s="360" customFormat="1" hidden="1" outlineLevel="2" x14ac:dyDescent="0.35">
      <c r="A4717" s="403" t="s">
        <v>7385</v>
      </c>
      <c r="B4717" s="397">
        <v>44131</v>
      </c>
      <c r="C4717" s="398" t="s">
        <v>4341</v>
      </c>
      <c r="D4717" s="399" t="s">
        <v>4342</v>
      </c>
      <c r="E4717" s="399" t="s">
        <v>4039</v>
      </c>
      <c r="F4717" s="400">
        <v>125000</v>
      </c>
      <c r="G4717" s="401" t="s">
        <v>3800</v>
      </c>
      <c r="H4717" s="402">
        <v>47.99457197984291</v>
      </c>
      <c r="I4717" s="402"/>
      <c r="J4717" s="400">
        <v>11.998642994960727</v>
      </c>
      <c r="K4717" s="400">
        <v>11.998642994960727</v>
      </c>
      <c r="L4717" s="400">
        <v>11.998642994960727</v>
      </c>
      <c r="M4717" s="400">
        <v>11.998642994960727</v>
      </c>
      <c r="N4717" s="400"/>
    </row>
    <row r="4718" spans="1:14" s="360" customFormat="1" hidden="1" outlineLevel="2" x14ac:dyDescent="0.35">
      <c r="A4718" s="403" t="s">
        <v>7385</v>
      </c>
      <c r="B4718" s="397">
        <v>44131</v>
      </c>
      <c r="C4718" s="398" t="s">
        <v>4343</v>
      </c>
      <c r="D4718" s="399" t="s">
        <v>4344</v>
      </c>
      <c r="E4718" s="399" t="s">
        <v>4042</v>
      </c>
      <c r="F4718" s="400">
        <v>31250</v>
      </c>
      <c r="G4718" s="401" t="s">
        <v>3800</v>
      </c>
      <c r="H4718" s="402">
        <v>11.998642994960727</v>
      </c>
      <c r="I4718" s="402"/>
      <c r="J4718" s="400">
        <v>2.9996607487401818</v>
      </c>
      <c r="K4718" s="400">
        <v>2.9996607487401818</v>
      </c>
      <c r="L4718" s="400">
        <v>2.9996607487401818</v>
      </c>
      <c r="M4718" s="400">
        <v>2.9996607487401818</v>
      </c>
      <c r="N4718" s="400"/>
    </row>
    <row r="4719" spans="1:14" s="360" customFormat="1" hidden="1" outlineLevel="2" x14ac:dyDescent="0.35">
      <c r="A4719" s="403" t="s">
        <v>7385</v>
      </c>
      <c r="B4719" s="397">
        <v>44165</v>
      </c>
      <c r="C4719" s="398" t="s">
        <v>4345</v>
      </c>
      <c r="D4719" s="399" t="s">
        <v>4346</v>
      </c>
      <c r="E4719" s="399" t="s">
        <v>6202</v>
      </c>
      <c r="F4719" s="400">
        <v>2500000</v>
      </c>
      <c r="G4719" s="401" t="s">
        <v>3800</v>
      </c>
      <c r="H4719" s="402">
        <v>959.89143959685828</v>
      </c>
      <c r="I4719" s="402"/>
      <c r="J4719" s="400">
        <v>239.97285989921457</v>
      </c>
      <c r="K4719" s="400">
        <v>239.97285989921457</v>
      </c>
      <c r="L4719" s="400">
        <v>239.97285989921457</v>
      </c>
      <c r="M4719" s="400">
        <v>239.97285989921457</v>
      </c>
      <c r="N4719" s="400"/>
    </row>
    <row r="4720" spans="1:14" s="360" customFormat="1" hidden="1" outlineLevel="2" x14ac:dyDescent="0.35">
      <c r="A4720" s="403" t="s">
        <v>7385</v>
      </c>
      <c r="B4720" s="397">
        <v>44165</v>
      </c>
      <c r="C4720" s="398" t="s">
        <v>4345</v>
      </c>
      <c r="D4720" s="399" t="s">
        <v>4347</v>
      </c>
      <c r="E4720" s="399" t="s">
        <v>6202</v>
      </c>
      <c r="F4720" s="400">
        <v>375000</v>
      </c>
      <c r="G4720" s="401" t="s">
        <v>3800</v>
      </c>
      <c r="H4720" s="402">
        <v>143.98371593952874</v>
      </c>
      <c r="I4720" s="402"/>
      <c r="J4720" s="400">
        <v>35.995928984882184</v>
      </c>
      <c r="K4720" s="400">
        <v>35.995928984882184</v>
      </c>
      <c r="L4720" s="400">
        <v>35.995928984882184</v>
      </c>
      <c r="M4720" s="400">
        <v>35.995928984882184</v>
      </c>
      <c r="N4720" s="400"/>
    </row>
    <row r="4721" spans="1:14" s="360" customFormat="1" hidden="1" outlineLevel="2" x14ac:dyDescent="0.35">
      <c r="A4721" s="403" t="s">
        <v>7385</v>
      </c>
      <c r="B4721" s="397">
        <v>44165</v>
      </c>
      <c r="C4721" s="398" t="s">
        <v>4348</v>
      </c>
      <c r="D4721" s="399" t="s">
        <v>4349</v>
      </c>
      <c r="E4721" s="399" t="s">
        <v>4272</v>
      </c>
      <c r="F4721" s="400">
        <v>312500</v>
      </c>
      <c r="G4721" s="401" t="s">
        <v>3800</v>
      </c>
      <c r="H4721" s="402">
        <v>119.98642994960728</v>
      </c>
      <c r="I4721" s="402"/>
      <c r="J4721" s="400">
        <v>29.996607487401821</v>
      </c>
      <c r="K4721" s="400">
        <v>29.996607487401821</v>
      </c>
      <c r="L4721" s="400">
        <v>29.996607487401821</v>
      </c>
      <c r="M4721" s="400">
        <v>29.996607487401821</v>
      </c>
      <c r="N4721" s="400"/>
    </row>
    <row r="4722" spans="1:14" s="360" customFormat="1" hidden="1" outlineLevel="2" x14ac:dyDescent="0.35">
      <c r="A4722" s="403" t="s">
        <v>7385</v>
      </c>
      <c r="B4722" s="397">
        <v>44165</v>
      </c>
      <c r="C4722" s="398" t="s">
        <v>4345</v>
      </c>
      <c r="D4722" s="399" t="s">
        <v>4350</v>
      </c>
      <c r="E4722" s="399" t="s">
        <v>6202</v>
      </c>
      <c r="F4722" s="400">
        <v>125000</v>
      </c>
      <c r="G4722" s="401" t="s">
        <v>3800</v>
      </c>
      <c r="H4722" s="402">
        <v>47.99457197984291</v>
      </c>
      <c r="I4722" s="402"/>
      <c r="J4722" s="400">
        <v>11.998642994960727</v>
      </c>
      <c r="K4722" s="400">
        <v>11.998642994960727</v>
      </c>
      <c r="L4722" s="400">
        <v>11.998642994960727</v>
      </c>
      <c r="M4722" s="400">
        <v>11.998642994960727</v>
      </c>
      <c r="N4722" s="400"/>
    </row>
    <row r="4723" spans="1:14" s="360" customFormat="1" hidden="1" outlineLevel="2" x14ac:dyDescent="0.35">
      <c r="A4723" s="403" t="s">
        <v>7385</v>
      </c>
      <c r="B4723" s="397">
        <v>44165</v>
      </c>
      <c r="C4723" s="398" t="s">
        <v>4351</v>
      </c>
      <c r="D4723" s="399" t="s">
        <v>4352</v>
      </c>
      <c r="E4723" s="399" t="s">
        <v>4039</v>
      </c>
      <c r="F4723" s="400">
        <v>125000</v>
      </c>
      <c r="G4723" s="401" t="s">
        <v>3800</v>
      </c>
      <c r="H4723" s="402">
        <v>47.99457197984291</v>
      </c>
      <c r="I4723" s="402"/>
      <c r="J4723" s="400">
        <v>11.998642994960727</v>
      </c>
      <c r="K4723" s="400">
        <v>11.998642994960727</v>
      </c>
      <c r="L4723" s="400">
        <v>11.998642994960727</v>
      </c>
      <c r="M4723" s="400">
        <v>11.998642994960727</v>
      </c>
      <c r="N4723" s="400"/>
    </row>
    <row r="4724" spans="1:14" s="360" customFormat="1" hidden="1" outlineLevel="2" x14ac:dyDescent="0.35">
      <c r="A4724" s="403" t="s">
        <v>7385</v>
      </c>
      <c r="B4724" s="397">
        <v>44165</v>
      </c>
      <c r="C4724" s="398" t="s">
        <v>4353</v>
      </c>
      <c r="D4724" s="399" t="s">
        <v>4354</v>
      </c>
      <c r="E4724" s="399" t="s">
        <v>4042</v>
      </c>
      <c r="F4724" s="400">
        <v>31250</v>
      </c>
      <c r="G4724" s="401" t="s">
        <v>3800</v>
      </c>
      <c r="H4724" s="402">
        <v>11.998642994960727</v>
      </c>
      <c r="I4724" s="402"/>
      <c r="J4724" s="400">
        <v>2.9996607487401818</v>
      </c>
      <c r="K4724" s="400">
        <v>2.9996607487401818</v>
      </c>
      <c r="L4724" s="400">
        <v>2.9996607487401818</v>
      </c>
      <c r="M4724" s="400">
        <v>2.9996607487401818</v>
      </c>
      <c r="N4724" s="400"/>
    </row>
    <row r="4725" spans="1:14" s="360" customFormat="1" hidden="1" outlineLevel="2" x14ac:dyDescent="0.35">
      <c r="A4725" s="403" t="s">
        <v>7385</v>
      </c>
      <c r="B4725" s="397">
        <v>44187</v>
      </c>
      <c r="C4725" s="398" t="s">
        <v>4355</v>
      </c>
      <c r="D4725" s="399" t="s">
        <v>4356</v>
      </c>
      <c r="E4725" s="399" t="s">
        <v>6202</v>
      </c>
      <c r="F4725" s="400">
        <v>2500000</v>
      </c>
      <c r="G4725" s="401" t="s">
        <v>3800</v>
      </c>
      <c r="H4725" s="402">
        <v>959.89143959685828</v>
      </c>
      <c r="I4725" s="402"/>
      <c r="J4725" s="400">
        <v>239.97285989921457</v>
      </c>
      <c r="K4725" s="400">
        <v>239.97285989921457</v>
      </c>
      <c r="L4725" s="400">
        <v>239.97285989921457</v>
      </c>
      <c r="M4725" s="400">
        <v>239.97285989921457</v>
      </c>
      <c r="N4725" s="400"/>
    </row>
    <row r="4726" spans="1:14" s="360" customFormat="1" hidden="1" outlineLevel="2" x14ac:dyDescent="0.35">
      <c r="A4726" s="403" t="s">
        <v>7385</v>
      </c>
      <c r="B4726" s="397">
        <v>44187</v>
      </c>
      <c r="C4726" s="398" t="s">
        <v>4355</v>
      </c>
      <c r="D4726" s="399" t="s">
        <v>4357</v>
      </c>
      <c r="E4726" s="399" t="s">
        <v>6202</v>
      </c>
      <c r="F4726" s="400">
        <v>375000</v>
      </c>
      <c r="G4726" s="401" t="s">
        <v>3800</v>
      </c>
      <c r="H4726" s="402">
        <v>143.98371593952874</v>
      </c>
      <c r="I4726" s="402"/>
      <c r="J4726" s="400">
        <v>35.995928984882184</v>
      </c>
      <c r="K4726" s="400">
        <v>35.995928984882184</v>
      </c>
      <c r="L4726" s="400">
        <v>35.995928984882184</v>
      </c>
      <c r="M4726" s="400">
        <v>35.995928984882184</v>
      </c>
      <c r="N4726" s="400"/>
    </row>
    <row r="4727" spans="1:14" s="360" customFormat="1" hidden="1" outlineLevel="2" x14ac:dyDescent="0.35">
      <c r="A4727" s="403" t="s">
        <v>7385</v>
      </c>
      <c r="B4727" s="397">
        <v>44187</v>
      </c>
      <c r="C4727" s="398" t="s">
        <v>4358</v>
      </c>
      <c r="D4727" s="399" t="s">
        <v>4359</v>
      </c>
      <c r="E4727" s="399" t="s">
        <v>4272</v>
      </c>
      <c r="F4727" s="400">
        <v>312500</v>
      </c>
      <c r="G4727" s="401" t="s">
        <v>3800</v>
      </c>
      <c r="H4727" s="402">
        <v>119.98642994960728</v>
      </c>
      <c r="I4727" s="402"/>
      <c r="J4727" s="400">
        <v>29.996607487401821</v>
      </c>
      <c r="K4727" s="400">
        <v>29.996607487401821</v>
      </c>
      <c r="L4727" s="400">
        <v>29.996607487401821</v>
      </c>
      <c r="M4727" s="400">
        <v>29.996607487401821</v>
      </c>
      <c r="N4727" s="400"/>
    </row>
    <row r="4728" spans="1:14" s="360" customFormat="1" hidden="1" outlineLevel="2" x14ac:dyDescent="0.35">
      <c r="A4728" s="403" t="s">
        <v>7385</v>
      </c>
      <c r="B4728" s="397">
        <v>44187</v>
      </c>
      <c r="C4728" s="398" t="s">
        <v>4355</v>
      </c>
      <c r="D4728" s="399" t="s">
        <v>4360</v>
      </c>
      <c r="E4728" s="399" t="s">
        <v>6202</v>
      </c>
      <c r="F4728" s="400">
        <v>125000</v>
      </c>
      <c r="G4728" s="401" t="s">
        <v>3800</v>
      </c>
      <c r="H4728" s="402">
        <v>47.99457197984291</v>
      </c>
      <c r="I4728" s="402"/>
      <c r="J4728" s="400">
        <v>11.998642994960727</v>
      </c>
      <c r="K4728" s="400">
        <v>11.998642994960727</v>
      </c>
      <c r="L4728" s="400">
        <v>11.998642994960727</v>
      </c>
      <c r="M4728" s="400">
        <v>11.998642994960727</v>
      </c>
      <c r="N4728" s="400"/>
    </row>
    <row r="4729" spans="1:14" s="360" customFormat="1" hidden="1" outlineLevel="2" x14ac:dyDescent="0.35">
      <c r="A4729" s="403" t="s">
        <v>7385</v>
      </c>
      <c r="B4729" s="397">
        <v>44187</v>
      </c>
      <c r="C4729" s="398" t="s">
        <v>4361</v>
      </c>
      <c r="D4729" s="399" t="s">
        <v>4362</v>
      </c>
      <c r="E4729" s="399" t="s">
        <v>4039</v>
      </c>
      <c r="F4729" s="400">
        <v>125000</v>
      </c>
      <c r="G4729" s="401" t="s">
        <v>3800</v>
      </c>
      <c r="H4729" s="402">
        <v>47.99457197984291</v>
      </c>
      <c r="I4729" s="402"/>
      <c r="J4729" s="400">
        <v>11.998642994960727</v>
      </c>
      <c r="K4729" s="400">
        <v>11.998642994960727</v>
      </c>
      <c r="L4729" s="400">
        <v>11.998642994960727</v>
      </c>
      <c r="M4729" s="400">
        <v>11.998642994960727</v>
      </c>
      <c r="N4729" s="400"/>
    </row>
    <row r="4730" spans="1:14" s="360" customFormat="1" hidden="1" outlineLevel="2" x14ac:dyDescent="0.35">
      <c r="A4730" s="403" t="s">
        <v>7385</v>
      </c>
      <c r="B4730" s="397">
        <v>44187</v>
      </c>
      <c r="C4730" s="398" t="s">
        <v>4363</v>
      </c>
      <c r="D4730" s="399" t="s">
        <v>4364</v>
      </c>
      <c r="E4730" s="399" t="s">
        <v>4042</v>
      </c>
      <c r="F4730" s="400">
        <v>31250</v>
      </c>
      <c r="G4730" s="401" t="s">
        <v>3800</v>
      </c>
      <c r="H4730" s="402">
        <v>11.998642994960727</v>
      </c>
      <c r="I4730" s="402"/>
      <c r="J4730" s="400">
        <v>2.9996607487401818</v>
      </c>
      <c r="K4730" s="400">
        <v>2.9996607487401818</v>
      </c>
      <c r="L4730" s="400">
        <v>2.9996607487401818</v>
      </c>
      <c r="M4730" s="400">
        <v>2.9996607487401818</v>
      </c>
      <c r="N4730" s="400"/>
    </row>
    <row r="4731" spans="1:14" s="360" customFormat="1" outlineLevel="1" collapsed="1" x14ac:dyDescent="0.35">
      <c r="A4731" s="396" t="s">
        <v>7388</v>
      </c>
      <c r="B4731" s="397"/>
      <c r="C4731" s="398"/>
      <c r="D4731" s="399"/>
      <c r="E4731" s="399"/>
      <c r="F4731" s="400"/>
      <c r="G4731" s="401"/>
      <c r="H4731" s="402">
        <f t="shared" ref="H4731:N4731" si="247">SUBTOTAL(9,H4659:H4730)</f>
        <v>15982.192469287691</v>
      </c>
      <c r="I4731" s="402"/>
      <c r="J4731" s="400">
        <f t="shared" si="247"/>
        <v>3995.5481173219227</v>
      </c>
      <c r="K4731" s="400">
        <f t="shared" si="247"/>
        <v>3995.5481173219227</v>
      </c>
      <c r="L4731" s="400">
        <f t="shared" si="247"/>
        <v>3995.5481173219227</v>
      </c>
      <c r="M4731" s="400">
        <f t="shared" si="247"/>
        <v>3995.5481173219227</v>
      </c>
      <c r="N4731" s="400">
        <f t="shared" si="247"/>
        <v>0</v>
      </c>
    </row>
    <row r="4732" spans="1:14" s="360" customFormat="1" hidden="1" outlineLevel="2" x14ac:dyDescent="0.35">
      <c r="A4732" s="403" t="s">
        <v>7389</v>
      </c>
      <c r="B4732" s="397">
        <v>44266</v>
      </c>
      <c r="C4732" s="398" t="s">
        <v>4526</v>
      </c>
      <c r="D4732" s="399" t="s">
        <v>4527</v>
      </c>
      <c r="E4732" s="399" t="s">
        <v>6655</v>
      </c>
      <c r="F4732" s="400">
        <v>432882.89</v>
      </c>
      <c r="G4732" s="401" t="s">
        <v>3800</v>
      </c>
      <c r="H4732" s="402">
        <v>161.0724483386486</v>
      </c>
      <c r="I4732" s="402"/>
      <c r="J4732" s="400"/>
      <c r="K4732" s="400"/>
      <c r="L4732" s="400"/>
      <c r="M4732" s="400"/>
      <c r="N4732" s="400">
        <f t="shared" ref="N4732:N4795" si="248">H4732</f>
        <v>161.0724483386486</v>
      </c>
    </row>
    <row r="4733" spans="1:14" s="360" customFormat="1" hidden="1" outlineLevel="2" x14ac:dyDescent="0.35">
      <c r="A4733" s="403" t="s">
        <v>7389</v>
      </c>
      <c r="B4733" s="397">
        <v>44266</v>
      </c>
      <c r="C4733" s="398" t="s">
        <v>4529</v>
      </c>
      <c r="D4733" s="399" t="s">
        <v>4530</v>
      </c>
      <c r="E4733" s="399" t="s">
        <v>4272</v>
      </c>
      <c r="F4733" s="400">
        <v>43288.289000000004</v>
      </c>
      <c r="G4733" s="401" t="s">
        <v>3800</v>
      </c>
      <c r="H4733" s="402">
        <v>16.107244833864861</v>
      </c>
      <c r="I4733" s="402"/>
      <c r="J4733" s="400"/>
      <c r="K4733" s="400"/>
      <c r="L4733" s="400"/>
      <c r="M4733" s="400"/>
      <c r="N4733" s="400">
        <f t="shared" si="248"/>
        <v>16.107244833864861</v>
      </c>
    </row>
    <row r="4734" spans="1:14" s="360" customFormat="1" hidden="1" outlineLevel="2" x14ac:dyDescent="0.35">
      <c r="A4734" s="403" t="s">
        <v>7389</v>
      </c>
      <c r="B4734" s="397">
        <v>44266</v>
      </c>
      <c r="C4734" s="398" t="s">
        <v>4531</v>
      </c>
      <c r="D4734" s="399" t="s">
        <v>4051</v>
      </c>
      <c r="E4734" s="399" t="s">
        <v>4042</v>
      </c>
      <c r="F4734" s="400">
        <v>4328.8289000000004</v>
      </c>
      <c r="G4734" s="401" t="s">
        <v>3800</v>
      </c>
      <c r="H4734" s="402">
        <v>1.6107244833864862</v>
      </c>
      <c r="I4734" s="402"/>
      <c r="J4734" s="400"/>
      <c r="K4734" s="400"/>
      <c r="L4734" s="400"/>
      <c r="M4734" s="400"/>
      <c r="N4734" s="400">
        <f t="shared" si="248"/>
        <v>1.6107244833864862</v>
      </c>
    </row>
    <row r="4735" spans="1:14" s="360" customFormat="1" hidden="1" outlineLevel="2" x14ac:dyDescent="0.35">
      <c r="A4735" s="403" t="s">
        <v>7389</v>
      </c>
      <c r="B4735" s="397">
        <v>44284</v>
      </c>
      <c r="C4735" s="398" t="s">
        <v>4532</v>
      </c>
      <c r="D4735" s="399" t="s">
        <v>4533</v>
      </c>
      <c r="E4735" s="399" t="s">
        <v>6655</v>
      </c>
      <c r="F4735" s="400">
        <v>865765.77</v>
      </c>
      <c r="G4735" s="401" t="s">
        <v>3800</v>
      </c>
      <c r="H4735" s="402">
        <v>322.14489295637287</v>
      </c>
      <c r="I4735" s="402"/>
      <c r="J4735" s="400"/>
      <c r="K4735" s="400"/>
      <c r="L4735" s="400"/>
      <c r="M4735" s="400"/>
      <c r="N4735" s="400">
        <f t="shared" si="248"/>
        <v>322.14489295637287</v>
      </c>
    </row>
    <row r="4736" spans="1:14" s="360" customFormat="1" hidden="1" outlineLevel="2" x14ac:dyDescent="0.35">
      <c r="A4736" s="403" t="s">
        <v>7389</v>
      </c>
      <c r="B4736" s="397">
        <v>44284</v>
      </c>
      <c r="C4736" s="398" t="s">
        <v>4534</v>
      </c>
      <c r="D4736" s="399" t="s">
        <v>4535</v>
      </c>
      <c r="E4736" s="399" t="s">
        <v>4272</v>
      </c>
      <c r="F4736" s="400">
        <v>86576.577000000005</v>
      </c>
      <c r="G4736" s="401" t="s">
        <v>3800</v>
      </c>
      <c r="H4736" s="402">
        <v>32.214489295637286</v>
      </c>
      <c r="I4736" s="402"/>
      <c r="J4736" s="400"/>
      <c r="K4736" s="400"/>
      <c r="L4736" s="400"/>
      <c r="M4736" s="400"/>
      <c r="N4736" s="400">
        <f t="shared" si="248"/>
        <v>32.214489295637286</v>
      </c>
    </row>
    <row r="4737" spans="1:14" s="360" customFormat="1" hidden="1" outlineLevel="2" x14ac:dyDescent="0.35">
      <c r="A4737" s="403" t="s">
        <v>7389</v>
      </c>
      <c r="B4737" s="397">
        <v>44284</v>
      </c>
      <c r="C4737" s="398" t="s">
        <v>4536</v>
      </c>
      <c r="D4737" s="399" t="s">
        <v>4061</v>
      </c>
      <c r="E4737" s="399" t="s">
        <v>4042</v>
      </c>
      <c r="F4737" s="400">
        <v>8657.6576999999997</v>
      </c>
      <c r="G4737" s="401" t="s">
        <v>3800</v>
      </c>
      <c r="H4737" s="402">
        <v>3.2214489295637283</v>
      </c>
      <c r="I4737" s="402"/>
      <c r="J4737" s="400"/>
      <c r="K4737" s="400"/>
      <c r="L4737" s="400"/>
      <c r="M4737" s="400"/>
      <c r="N4737" s="400">
        <f t="shared" si="248"/>
        <v>3.2214489295637283</v>
      </c>
    </row>
    <row r="4738" spans="1:14" s="360" customFormat="1" hidden="1" outlineLevel="2" x14ac:dyDescent="0.35">
      <c r="A4738" s="403" t="s">
        <v>7389</v>
      </c>
      <c r="B4738" s="397">
        <v>44284</v>
      </c>
      <c r="C4738" s="398" t="s">
        <v>4532</v>
      </c>
      <c r="D4738" s="399" t="s">
        <v>4533</v>
      </c>
      <c r="E4738" s="399" t="s">
        <v>7390</v>
      </c>
      <c r="F4738" s="400">
        <v>363063.06483870966</v>
      </c>
      <c r="G4738" s="401" t="s">
        <v>3800</v>
      </c>
      <c r="H4738" s="402">
        <v>135.09301962686604</v>
      </c>
      <c r="I4738" s="402"/>
      <c r="J4738" s="400"/>
      <c r="K4738" s="400"/>
      <c r="L4738" s="400"/>
      <c r="M4738" s="400"/>
      <c r="N4738" s="400">
        <f t="shared" si="248"/>
        <v>135.09301962686604</v>
      </c>
    </row>
    <row r="4739" spans="1:14" s="360" customFormat="1" hidden="1" outlineLevel="2" x14ac:dyDescent="0.35">
      <c r="A4739" s="403" t="s">
        <v>7389</v>
      </c>
      <c r="B4739" s="397">
        <v>44284</v>
      </c>
      <c r="C4739" s="398" t="s">
        <v>4534</v>
      </c>
      <c r="D4739" s="399" t="s">
        <v>4535</v>
      </c>
      <c r="E4739" s="399" t="s">
        <v>4272</v>
      </c>
      <c r="F4739" s="400">
        <v>36306.306483870969</v>
      </c>
      <c r="G4739" s="401" t="s">
        <v>3800</v>
      </c>
      <c r="H4739" s="402">
        <v>13.509301962686603</v>
      </c>
      <c r="I4739" s="402"/>
      <c r="J4739" s="400"/>
      <c r="K4739" s="400"/>
      <c r="L4739" s="400"/>
      <c r="M4739" s="400"/>
      <c r="N4739" s="400">
        <f t="shared" si="248"/>
        <v>13.509301962686603</v>
      </c>
    </row>
    <row r="4740" spans="1:14" s="360" customFormat="1" hidden="1" outlineLevel="2" x14ac:dyDescent="0.35">
      <c r="A4740" s="403" t="s">
        <v>7389</v>
      </c>
      <c r="B4740" s="397">
        <v>44284</v>
      </c>
      <c r="C4740" s="398" t="s">
        <v>4536</v>
      </c>
      <c r="D4740" s="399" t="s">
        <v>4061</v>
      </c>
      <c r="E4740" s="399" t="s">
        <v>4042</v>
      </c>
      <c r="F4740" s="400">
        <v>3630.6306483870967</v>
      </c>
      <c r="G4740" s="401" t="s">
        <v>3800</v>
      </c>
      <c r="H4740" s="402">
        <v>1.3509301962686604</v>
      </c>
      <c r="I4740" s="402"/>
      <c r="J4740" s="400"/>
      <c r="K4740" s="400"/>
      <c r="L4740" s="400"/>
      <c r="M4740" s="400"/>
      <c r="N4740" s="400">
        <f t="shared" si="248"/>
        <v>1.3509301962686604</v>
      </c>
    </row>
    <row r="4741" spans="1:14" s="360" customFormat="1" hidden="1" outlineLevel="2" collapsed="1" x14ac:dyDescent="0.35">
      <c r="A4741" s="403" t="s">
        <v>7389</v>
      </c>
      <c r="B4741" s="397">
        <v>44284</v>
      </c>
      <c r="C4741" s="398" t="s">
        <v>4532</v>
      </c>
      <c r="D4741" s="399" t="s">
        <v>4533</v>
      </c>
      <c r="E4741" s="399" t="s">
        <v>7391</v>
      </c>
      <c r="F4741" s="400">
        <v>363063.06483870966</v>
      </c>
      <c r="G4741" s="401" t="s">
        <v>3800</v>
      </c>
      <c r="H4741" s="402">
        <v>135.09301962686604</v>
      </c>
      <c r="I4741" s="402"/>
      <c r="J4741" s="400"/>
      <c r="K4741" s="400"/>
      <c r="L4741" s="400"/>
      <c r="M4741" s="400"/>
      <c r="N4741" s="400">
        <f t="shared" si="248"/>
        <v>135.09301962686604</v>
      </c>
    </row>
    <row r="4742" spans="1:14" s="360" customFormat="1" hidden="1" outlineLevel="2" x14ac:dyDescent="0.35">
      <c r="A4742" s="403" t="s">
        <v>7389</v>
      </c>
      <c r="B4742" s="397">
        <v>44284</v>
      </c>
      <c r="C4742" s="398" t="s">
        <v>4534</v>
      </c>
      <c r="D4742" s="399" t="s">
        <v>4535</v>
      </c>
      <c r="E4742" s="399" t="s">
        <v>4272</v>
      </c>
      <c r="F4742" s="400">
        <v>36306.306483870969</v>
      </c>
      <c r="G4742" s="401" t="s">
        <v>3800</v>
      </c>
      <c r="H4742" s="402">
        <v>13.509301962686603</v>
      </c>
      <c r="I4742" s="402"/>
      <c r="J4742" s="400"/>
      <c r="K4742" s="400"/>
      <c r="L4742" s="400"/>
      <c r="M4742" s="400"/>
      <c r="N4742" s="400">
        <f t="shared" si="248"/>
        <v>13.509301962686603</v>
      </c>
    </row>
    <row r="4743" spans="1:14" s="360" customFormat="1" hidden="1" outlineLevel="2" x14ac:dyDescent="0.35">
      <c r="A4743" s="403" t="s">
        <v>7389</v>
      </c>
      <c r="B4743" s="397">
        <v>44284</v>
      </c>
      <c r="C4743" s="398" t="s">
        <v>4536</v>
      </c>
      <c r="D4743" s="399" t="s">
        <v>4061</v>
      </c>
      <c r="E4743" s="399" t="s">
        <v>4042</v>
      </c>
      <c r="F4743" s="400">
        <v>3630.6306483870967</v>
      </c>
      <c r="G4743" s="401" t="s">
        <v>3800</v>
      </c>
      <c r="H4743" s="402">
        <v>1.3509301962686604</v>
      </c>
      <c r="I4743" s="402"/>
      <c r="J4743" s="400"/>
      <c r="K4743" s="400"/>
      <c r="L4743" s="400"/>
      <c r="M4743" s="400"/>
      <c r="N4743" s="400">
        <f t="shared" si="248"/>
        <v>1.3509301962686604</v>
      </c>
    </row>
    <row r="4744" spans="1:14" s="360" customFormat="1" hidden="1" outlineLevel="2" x14ac:dyDescent="0.35">
      <c r="A4744" s="403" t="s">
        <v>7389</v>
      </c>
      <c r="B4744" s="397">
        <v>44284</v>
      </c>
      <c r="C4744" s="398" t="s">
        <v>4532</v>
      </c>
      <c r="D4744" s="399" t="s">
        <v>4533</v>
      </c>
      <c r="E4744" s="399" t="s">
        <v>7392</v>
      </c>
      <c r="F4744" s="400">
        <v>363063.06483870966</v>
      </c>
      <c r="G4744" s="401" t="s">
        <v>3800</v>
      </c>
      <c r="H4744" s="402">
        <v>135.09301962686604</v>
      </c>
      <c r="I4744" s="402"/>
      <c r="J4744" s="400"/>
      <c r="K4744" s="400"/>
      <c r="L4744" s="400"/>
      <c r="M4744" s="400"/>
      <c r="N4744" s="400">
        <f t="shared" si="248"/>
        <v>135.09301962686604</v>
      </c>
    </row>
    <row r="4745" spans="1:14" s="360" customFormat="1" hidden="1" outlineLevel="2" x14ac:dyDescent="0.35">
      <c r="A4745" s="403" t="s">
        <v>7389</v>
      </c>
      <c r="B4745" s="397">
        <v>44284</v>
      </c>
      <c r="C4745" s="398" t="s">
        <v>4534</v>
      </c>
      <c r="D4745" s="399" t="s">
        <v>4535</v>
      </c>
      <c r="E4745" s="399" t="s">
        <v>4272</v>
      </c>
      <c r="F4745" s="400">
        <v>36306.306483870969</v>
      </c>
      <c r="G4745" s="401" t="s">
        <v>3800</v>
      </c>
      <c r="H4745" s="402">
        <v>13.509301962686603</v>
      </c>
      <c r="I4745" s="402"/>
      <c r="J4745" s="400"/>
      <c r="K4745" s="400"/>
      <c r="L4745" s="400"/>
      <c r="M4745" s="400"/>
      <c r="N4745" s="400">
        <f t="shared" si="248"/>
        <v>13.509301962686603</v>
      </c>
    </row>
    <row r="4746" spans="1:14" s="360" customFormat="1" hidden="1" outlineLevel="2" x14ac:dyDescent="0.35">
      <c r="A4746" s="403" t="s">
        <v>7389</v>
      </c>
      <c r="B4746" s="397">
        <v>44284</v>
      </c>
      <c r="C4746" s="398" t="s">
        <v>4536</v>
      </c>
      <c r="D4746" s="399" t="s">
        <v>4061</v>
      </c>
      <c r="E4746" s="399" t="s">
        <v>4042</v>
      </c>
      <c r="F4746" s="400">
        <v>3630.6306483870967</v>
      </c>
      <c r="G4746" s="401" t="s">
        <v>3800</v>
      </c>
      <c r="H4746" s="402">
        <v>1.3509301962686604</v>
      </c>
      <c r="I4746" s="402"/>
      <c r="J4746" s="400"/>
      <c r="K4746" s="400"/>
      <c r="L4746" s="400"/>
      <c r="M4746" s="400"/>
      <c r="N4746" s="400">
        <f t="shared" si="248"/>
        <v>1.3509301962686604</v>
      </c>
    </row>
    <row r="4747" spans="1:14" s="360" customFormat="1" hidden="1" outlineLevel="2" x14ac:dyDescent="0.35">
      <c r="A4747" s="403" t="s">
        <v>7389</v>
      </c>
      <c r="B4747" s="397">
        <v>44316</v>
      </c>
      <c r="C4747" s="398" t="s">
        <v>4537</v>
      </c>
      <c r="D4747" s="399" t="s">
        <v>4538</v>
      </c>
      <c r="E4747" s="399" t="s">
        <v>7390</v>
      </c>
      <c r="F4747" s="400">
        <v>865765.77</v>
      </c>
      <c r="G4747" s="401" t="s">
        <v>3800</v>
      </c>
      <c r="H4747" s="402">
        <v>322.14489295637287</v>
      </c>
      <c r="I4747" s="402"/>
      <c r="J4747" s="400"/>
      <c r="K4747" s="400"/>
      <c r="L4747" s="400"/>
      <c r="M4747" s="400"/>
      <c r="N4747" s="400">
        <f t="shared" si="248"/>
        <v>322.14489295637287</v>
      </c>
    </row>
    <row r="4748" spans="1:14" s="360" customFormat="1" hidden="1" outlineLevel="2" x14ac:dyDescent="0.35">
      <c r="A4748" s="403" t="s">
        <v>7389</v>
      </c>
      <c r="B4748" s="397">
        <v>44316</v>
      </c>
      <c r="C4748" s="398" t="s">
        <v>4539</v>
      </c>
      <c r="D4748" s="399" t="s">
        <v>4540</v>
      </c>
      <c r="E4748" s="399" t="s">
        <v>4272</v>
      </c>
      <c r="F4748" s="400">
        <v>86576.577000000005</v>
      </c>
      <c r="G4748" s="401" t="s">
        <v>3800</v>
      </c>
      <c r="H4748" s="402">
        <v>32.214489295637286</v>
      </c>
      <c r="I4748" s="402"/>
      <c r="J4748" s="400"/>
      <c r="K4748" s="400"/>
      <c r="L4748" s="400"/>
      <c r="M4748" s="400"/>
      <c r="N4748" s="400">
        <f t="shared" si="248"/>
        <v>32.214489295637286</v>
      </c>
    </row>
    <row r="4749" spans="1:14" s="360" customFormat="1" hidden="1" outlineLevel="2" x14ac:dyDescent="0.35">
      <c r="A4749" s="403" t="s">
        <v>7389</v>
      </c>
      <c r="B4749" s="397">
        <v>44316</v>
      </c>
      <c r="C4749" s="398" t="s">
        <v>4541</v>
      </c>
      <c r="D4749" s="399" t="s">
        <v>4542</v>
      </c>
      <c r="E4749" s="399" t="s">
        <v>4042</v>
      </c>
      <c r="F4749" s="400">
        <v>8657.6576999999997</v>
      </c>
      <c r="G4749" s="401" t="s">
        <v>3800</v>
      </c>
      <c r="H4749" s="402">
        <v>3.2214489295637283</v>
      </c>
      <c r="I4749" s="402"/>
      <c r="J4749" s="400"/>
      <c r="K4749" s="400"/>
      <c r="L4749" s="400"/>
      <c r="M4749" s="400"/>
      <c r="N4749" s="400">
        <f t="shared" si="248"/>
        <v>3.2214489295637283</v>
      </c>
    </row>
    <row r="4750" spans="1:14" s="360" customFormat="1" hidden="1" outlineLevel="2" x14ac:dyDescent="0.35">
      <c r="A4750" s="403" t="s">
        <v>7389</v>
      </c>
      <c r="B4750" s="397">
        <v>44316</v>
      </c>
      <c r="C4750" s="398" t="s">
        <v>4537</v>
      </c>
      <c r="D4750" s="399" t="s">
        <v>4538</v>
      </c>
      <c r="E4750" s="399" t="s">
        <v>6655</v>
      </c>
      <c r="F4750" s="400">
        <v>865765.77</v>
      </c>
      <c r="G4750" s="401" t="s">
        <v>3800</v>
      </c>
      <c r="H4750" s="402">
        <v>322.14489295637287</v>
      </c>
      <c r="I4750" s="402"/>
      <c r="J4750" s="400"/>
      <c r="K4750" s="400"/>
      <c r="L4750" s="400"/>
      <c r="M4750" s="400"/>
      <c r="N4750" s="400">
        <f t="shared" si="248"/>
        <v>322.14489295637287</v>
      </c>
    </row>
    <row r="4751" spans="1:14" s="360" customFormat="1" hidden="1" outlineLevel="2" x14ac:dyDescent="0.35">
      <c r="A4751" s="403" t="s">
        <v>7389</v>
      </c>
      <c r="B4751" s="397">
        <v>44316</v>
      </c>
      <c r="C4751" s="398" t="s">
        <v>4539</v>
      </c>
      <c r="D4751" s="399" t="s">
        <v>4540</v>
      </c>
      <c r="E4751" s="399" t="s">
        <v>4272</v>
      </c>
      <c r="F4751" s="400">
        <v>86576.577000000005</v>
      </c>
      <c r="G4751" s="401" t="s">
        <v>3800</v>
      </c>
      <c r="H4751" s="402">
        <v>32.214489295637286</v>
      </c>
      <c r="I4751" s="402"/>
      <c r="J4751" s="400"/>
      <c r="K4751" s="400"/>
      <c r="L4751" s="400"/>
      <c r="M4751" s="400"/>
      <c r="N4751" s="400">
        <f t="shared" si="248"/>
        <v>32.214489295637286</v>
      </c>
    </row>
    <row r="4752" spans="1:14" s="360" customFormat="1" hidden="1" outlineLevel="2" x14ac:dyDescent="0.35">
      <c r="A4752" s="403" t="s">
        <v>7389</v>
      </c>
      <c r="B4752" s="397">
        <v>44316</v>
      </c>
      <c r="C4752" s="398" t="s">
        <v>4541</v>
      </c>
      <c r="D4752" s="399" t="s">
        <v>4542</v>
      </c>
      <c r="E4752" s="399" t="s">
        <v>4042</v>
      </c>
      <c r="F4752" s="400">
        <v>8657.6576999999997</v>
      </c>
      <c r="G4752" s="401" t="s">
        <v>3800</v>
      </c>
      <c r="H4752" s="402">
        <v>3.2214489295637283</v>
      </c>
      <c r="I4752" s="402"/>
      <c r="J4752" s="400"/>
      <c r="K4752" s="400"/>
      <c r="L4752" s="400"/>
      <c r="M4752" s="400"/>
      <c r="N4752" s="400">
        <f t="shared" si="248"/>
        <v>3.2214489295637283</v>
      </c>
    </row>
    <row r="4753" spans="1:14" s="360" customFormat="1" hidden="1" outlineLevel="2" x14ac:dyDescent="0.35">
      <c r="A4753" s="403" t="s">
        <v>7389</v>
      </c>
      <c r="B4753" s="397">
        <v>44316</v>
      </c>
      <c r="C4753" s="398" t="s">
        <v>4537</v>
      </c>
      <c r="D4753" s="399" t="s">
        <v>4538</v>
      </c>
      <c r="E4753" s="399" t="s">
        <v>7391</v>
      </c>
      <c r="F4753" s="400">
        <v>865765.77</v>
      </c>
      <c r="G4753" s="401" t="s">
        <v>3800</v>
      </c>
      <c r="H4753" s="402">
        <v>322.14489295637287</v>
      </c>
      <c r="I4753" s="402"/>
      <c r="J4753" s="400"/>
      <c r="K4753" s="400"/>
      <c r="L4753" s="400"/>
      <c r="M4753" s="400"/>
      <c r="N4753" s="400">
        <f t="shared" si="248"/>
        <v>322.14489295637287</v>
      </c>
    </row>
    <row r="4754" spans="1:14" s="360" customFormat="1" hidden="1" outlineLevel="2" x14ac:dyDescent="0.35">
      <c r="A4754" s="403" t="s">
        <v>7389</v>
      </c>
      <c r="B4754" s="397">
        <v>44316</v>
      </c>
      <c r="C4754" s="398" t="s">
        <v>4539</v>
      </c>
      <c r="D4754" s="399" t="s">
        <v>4540</v>
      </c>
      <c r="E4754" s="399" t="s">
        <v>4272</v>
      </c>
      <c r="F4754" s="400">
        <v>86576.577000000005</v>
      </c>
      <c r="G4754" s="401" t="s">
        <v>3800</v>
      </c>
      <c r="H4754" s="402">
        <v>32.214489295637286</v>
      </c>
      <c r="I4754" s="402"/>
      <c r="J4754" s="400"/>
      <c r="K4754" s="400"/>
      <c r="L4754" s="400"/>
      <c r="M4754" s="400"/>
      <c r="N4754" s="400">
        <f t="shared" si="248"/>
        <v>32.214489295637286</v>
      </c>
    </row>
    <row r="4755" spans="1:14" s="360" customFormat="1" hidden="1" outlineLevel="2" x14ac:dyDescent="0.35">
      <c r="A4755" s="403" t="s">
        <v>7389</v>
      </c>
      <c r="B4755" s="397">
        <v>44316</v>
      </c>
      <c r="C4755" s="398" t="s">
        <v>4541</v>
      </c>
      <c r="D4755" s="399" t="s">
        <v>4542</v>
      </c>
      <c r="E4755" s="399" t="s">
        <v>4042</v>
      </c>
      <c r="F4755" s="400">
        <v>8657.6576999999997</v>
      </c>
      <c r="G4755" s="401" t="s">
        <v>3800</v>
      </c>
      <c r="H4755" s="402">
        <v>3.2214489295637283</v>
      </c>
      <c r="I4755" s="402"/>
      <c r="J4755" s="400"/>
      <c r="K4755" s="400"/>
      <c r="L4755" s="400"/>
      <c r="M4755" s="400"/>
      <c r="N4755" s="400">
        <f t="shared" si="248"/>
        <v>3.2214489295637283</v>
      </c>
    </row>
    <row r="4756" spans="1:14" s="360" customFormat="1" hidden="1" outlineLevel="2" x14ac:dyDescent="0.35">
      <c r="A4756" s="403" t="s">
        <v>7389</v>
      </c>
      <c r="B4756" s="397">
        <v>44316</v>
      </c>
      <c r="C4756" s="398" t="s">
        <v>4537</v>
      </c>
      <c r="D4756" s="399" t="s">
        <v>4538</v>
      </c>
      <c r="E4756" s="399" t="s">
        <v>7392</v>
      </c>
      <c r="F4756" s="400">
        <v>865765.77</v>
      </c>
      <c r="G4756" s="401" t="s">
        <v>3800</v>
      </c>
      <c r="H4756" s="402">
        <v>322.14489295637287</v>
      </c>
      <c r="I4756" s="402"/>
      <c r="J4756" s="400"/>
      <c r="K4756" s="400"/>
      <c r="L4756" s="400"/>
      <c r="M4756" s="400"/>
      <c r="N4756" s="400">
        <f t="shared" si="248"/>
        <v>322.14489295637287</v>
      </c>
    </row>
    <row r="4757" spans="1:14" s="360" customFormat="1" hidden="1" outlineLevel="2" x14ac:dyDescent="0.35">
      <c r="A4757" s="403" t="s">
        <v>7389</v>
      </c>
      <c r="B4757" s="397">
        <v>44316</v>
      </c>
      <c r="C4757" s="398" t="s">
        <v>4539</v>
      </c>
      <c r="D4757" s="399" t="s">
        <v>4540</v>
      </c>
      <c r="E4757" s="399" t="s">
        <v>4272</v>
      </c>
      <c r="F4757" s="400">
        <v>86576.577000000005</v>
      </c>
      <c r="G4757" s="401" t="s">
        <v>3800</v>
      </c>
      <c r="H4757" s="402">
        <v>32.214489295637286</v>
      </c>
      <c r="I4757" s="402"/>
      <c r="J4757" s="400"/>
      <c r="K4757" s="400"/>
      <c r="L4757" s="400"/>
      <c r="M4757" s="400"/>
      <c r="N4757" s="400">
        <f t="shared" si="248"/>
        <v>32.214489295637286</v>
      </c>
    </row>
    <row r="4758" spans="1:14" s="360" customFormat="1" hidden="1" outlineLevel="2" x14ac:dyDescent="0.35">
      <c r="A4758" s="403" t="s">
        <v>7389</v>
      </c>
      <c r="B4758" s="397">
        <v>44316</v>
      </c>
      <c r="C4758" s="398" t="s">
        <v>4541</v>
      </c>
      <c r="D4758" s="399" t="s">
        <v>4542</v>
      </c>
      <c r="E4758" s="399" t="s">
        <v>4042</v>
      </c>
      <c r="F4758" s="400">
        <v>8657.6576999999997</v>
      </c>
      <c r="G4758" s="401" t="s">
        <v>3800</v>
      </c>
      <c r="H4758" s="402">
        <v>3.2214489295637283</v>
      </c>
      <c r="I4758" s="402"/>
      <c r="J4758" s="400"/>
      <c r="K4758" s="400"/>
      <c r="L4758" s="400"/>
      <c r="M4758" s="400"/>
      <c r="N4758" s="400">
        <f t="shared" si="248"/>
        <v>3.2214489295637283</v>
      </c>
    </row>
    <row r="4759" spans="1:14" s="360" customFormat="1" hidden="1" outlineLevel="2" x14ac:dyDescent="0.35">
      <c r="A4759" s="403" t="s">
        <v>7389</v>
      </c>
      <c r="B4759" s="397">
        <v>44343</v>
      </c>
      <c r="C4759" s="398" t="s">
        <v>4543</v>
      </c>
      <c r="D4759" s="399" t="s">
        <v>4544</v>
      </c>
      <c r="E4759" s="399" t="s">
        <v>7390</v>
      </c>
      <c r="F4759" s="400">
        <v>865765.77</v>
      </c>
      <c r="G4759" s="401" t="s">
        <v>3800</v>
      </c>
      <c r="H4759" s="402">
        <v>322.14489295637287</v>
      </c>
      <c r="I4759" s="402"/>
      <c r="J4759" s="400"/>
      <c r="K4759" s="400"/>
      <c r="L4759" s="400"/>
      <c r="M4759" s="400"/>
      <c r="N4759" s="400">
        <f t="shared" si="248"/>
        <v>322.14489295637287</v>
      </c>
    </row>
    <row r="4760" spans="1:14" s="360" customFormat="1" hidden="1" outlineLevel="2" x14ac:dyDescent="0.35">
      <c r="A4760" s="403" t="s">
        <v>7389</v>
      </c>
      <c r="B4760" s="397">
        <v>44343</v>
      </c>
      <c r="C4760" s="398" t="s">
        <v>4545</v>
      </c>
      <c r="D4760" s="399" t="s">
        <v>4546</v>
      </c>
      <c r="E4760" s="399" t="s">
        <v>4272</v>
      </c>
      <c r="F4760" s="400">
        <v>86576.577000000005</v>
      </c>
      <c r="G4760" s="401" t="s">
        <v>3800</v>
      </c>
      <c r="H4760" s="402">
        <v>32.214489295637286</v>
      </c>
      <c r="I4760" s="402"/>
      <c r="J4760" s="400"/>
      <c r="K4760" s="400"/>
      <c r="L4760" s="400"/>
      <c r="M4760" s="400"/>
      <c r="N4760" s="400">
        <f t="shared" si="248"/>
        <v>32.214489295637286</v>
      </c>
    </row>
    <row r="4761" spans="1:14" s="360" customFormat="1" hidden="1" outlineLevel="2" x14ac:dyDescent="0.35">
      <c r="A4761" s="403" t="s">
        <v>7389</v>
      </c>
      <c r="B4761" s="397">
        <v>44343</v>
      </c>
      <c r="C4761" s="398" t="s">
        <v>4547</v>
      </c>
      <c r="D4761" s="399" t="s">
        <v>4548</v>
      </c>
      <c r="E4761" s="399" t="s">
        <v>4042</v>
      </c>
      <c r="F4761" s="400">
        <v>8657.6576999999997</v>
      </c>
      <c r="G4761" s="401" t="s">
        <v>3800</v>
      </c>
      <c r="H4761" s="402">
        <v>3.2214489295637283</v>
      </c>
      <c r="I4761" s="402"/>
      <c r="J4761" s="400"/>
      <c r="K4761" s="400"/>
      <c r="L4761" s="400"/>
      <c r="M4761" s="400"/>
      <c r="N4761" s="400">
        <f t="shared" si="248"/>
        <v>3.2214489295637283</v>
      </c>
    </row>
    <row r="4762" spans="1:14" s="360" customFormat="1" hidden="1" outlineLevel="2" x14ac:dyDescent="0.35">
      <c r="A4762" s="403" t="s">
        <v>7389</v>
      </c>
      <c r="B4762" s="397">
        <v>44343</v>
      </c>
      <c r="C4762" s="398" t="s">
        <v>4543</v>
      </c>
      <c r="D4762" s="399" t="s">
        <v>4544</v>
      </c>
      <c r="E4762" s="399" t="s">
        <v>6655</v>
      </c>
      <c r="F4762" s="400">
        <v>865765.77</v>
      </c>
      <c r="G4762" s="401" t="s">
        <v>3800</v>
      </c>
      <c r="H4762" s="402">
        <v>322.14489295637287</v>
      </c>
      <c r="I4762" s="402"/>
      <c r="J4762" s="400"/>
      <c r="K4762" s="400"/>
      <c r="L4762" s="400"/>
      <c r="M4762" s="400"/>
      <c r="N4762" s="400">
        <f t="shared" si="248"/>
        <v>322.14489295637287</v>
      </c>
    </row>
    <row r="4763" spans="1:14" s="360" customFormat="1" hidden="1" outlineLevel="2" x14ac:dyDescent="0.35">
      <c r="A4763" s="403" t="s">
        <v>7389</v>
      </c>
      <c r="B4763" s="397">
        <v>44343</v>
      </c>
      <c r="C4763" s="398" t="s">
        <v>4545</v>
      </c>
      <c r="D4763" s="399" t="s">
        <v>4546</v>
      </c>
      <c r="E4763" s="399" t="s">
        <v>4272</v>
      </c>
      <c r="F4763" s="400">
        <v>86576.577000000005</v>
      </c>
      <c r="G4763" s="401" t="s">
        <v>3800</v>
      </c>
      <c r="H4763" s="402">
        <v>32.214489295637286</v>
      </c>
      <c r="I4763" s="402"/>
      <c r="J4763" s="400"/>
      <c r="K4763" s="400"/>
      <c r="L4763" s="400"/>
      <c r="M4763" s="400"/>
      <c r="N4763" s="400">
        <f t="shared" si="248"/>
        <v>32.214489295637286</v>
      </c>
    </row>
    <row r="4764" spans="1:14" s="360" customFormat="1" hidden="1" outlineLevel="2" x14ac:dyDescent="0.35">
      <c r="A4764" s="403" t="s">
        <v>7389</v>
      </c>
      <c r="B4764" s="397">
        <v>44343</v>
      </c>
      <c r="C4764" s="398" t="s">
        <v>4547</v>
      </c>
      <c r="D4764" s="399" t="s">
        <v>4548</v>
      </c>
      <c r="E4764" s="399" t="s">
        <v>4042</v>
      </c>
      <c r="F4764" s="400">
        <v>8657.6576999999997</v>
      </c>
      <c r="G4764" s="401" t="s">
        <v>3800</v>
      </c>
      <c r="H4764" s="402">
        <v>3.2214489295637283</v>
      </c>
      <c r="I4764" s="402"/>
      <c r="J4764" s="400"/>
      <c r="K4764" s="400"/>
      <c r="L4764" s="400"/>
      <c r="M4764" s="400"/>
      <c r="N4764" s="400">
        <f t="shared" si="248"/>
        <v>3.2214489295637283</v>
      </c>
    </row>
    <row r="4765" spans="1:14" s="360" customFormat="1" hidden="1" outlineLevel="2" x14ac:dyDescent="0.35">
      <c r="A4765" s="403" t="s">
        <v>7389</v>
      </c>
      <c r="B4765" s="397">
        <v>44343</v>
      </c>
      <c r="C4765" s="398" t="s">
        <v>4543</v>
      </c>
      <c r="D4765" s="399" t="s">
        <v>4544</v>
      </c>
      <c r="E4765" s="399" t="s">
        <v>7391</v>
      </c>
      <c r="F4765" s="400">
        <v>865765.77</v>
      </c>
      <c r="G4765" s="401" t="s">
        <v>3800</v>
      </c>
      <c r="H4765" s="402">
        <v>322.14489295637287</v>
      </c>
      <c r="I4765" s="402"/>
      <c r="J4765" s="400"/>
      <c r="K4765" s="400"/>
      <c r="L4765" s="400"/>
      <c r="M4765" s="400"/>
      <c r="N4765" s="400">
        <f t="shared" si="248"/>
        <v>322.14489295637287</v>
      </c>
    </row>
    <row r="4766" spans="1:14" s="360" customFormat="1" hidden="1" outlineLevel="2" x14ac:dyDescent="0.35">
      <c r="A4766" s="403" t="s">
        <v>7389</v>
      </c>
      <c r="B4766" s="397">
        <v>44343</v>
      </c>
      <c r="C4766" s="398" t="s">
        <v>4545</v>
      </c>
      <c r="D4766" s="399" t="s">
        <v>4546</v>
      </c>
      <c r="E4766" s="399" t="s">
        <v>4272</v>
      </c>
      <c r="F4766" s="400">
        <v>86576.577000000005</v>
      </c>
      <c r="G4766" s="401" t="s">
        <v>3800</v>
      </c>
      <c r="H4766" s="402">
        <v>32.214489295637286</v>
      </c>
      <c r="I4766" s="402"/>
      <c r="J4766" s="400"/>
      <c r="K4766" s="400"/>
      <c r="L4766" s="400"/>
      <c r="M4766" s="400"/>
      <c r="N4766" s="400">
        <f t="shared" si="248"/>
        <v>32.214489295637286</v>
      </c>
    </row>
    <row r="4767" spans="1:14" s="360" customFormat="1" hidden="1" outlineLevel="2" x14ac:dyDescent="0.35">
      <c r="A4767" s="403" t="s">
        <v>7389</v>
      </c>
      <c r="B4767" s="397">
        <v>44343</v>
      </c>
      <c r="C4767" s="398" t="s">
        <v>4547</v>
      </c>
      <c r="D4767" s="399" t="s">
        <v>4548</v>
      </c>
      <c r="E4767" s="399" t="s">
        <v>4042</v>
      </c>
      <c r="F4767" s="400">
        <v>8657.6576999999997</v>
      </c>
      <c r="G4767" s="401" t="s">
        <v>3800</v>
      </c>
      <c r="H4767" s="402">
        <v>3.2214489295637283</v>
      </c>
      <c r="I4767" s="402"/>
      <c r="J4767" s="400"/>
      <c r="K4767" s="400"/>
      <c r="L4767" s="400"/>
      <c r="M4767" s="400"/>
      <c r="N4767" s="400">
        <f t="shared" si="248"/>
        <v>3.2214489295637283</v>
      </c>
    </row>
    <row r="4768" spans="1:14" s="360" customFormat="1" hidden="1" outlineLevel="2" x14ac:dyDescent="0.35">
      <c r="A4768" s="403" t="s">
        <v>7389</v>
      </c>
      <c r="B4768" s="397">
        <v>44343</v>
      </c>
      <c r="C4768" s="398" t="s">
        <v>4543</v>
      </c>
      <c r="D4768" s="399" t="s">
        <v>4544</v>
      </c>
      <c r="E4768" s="399" t="s">
        <v>7392</v>
      </c>
      <c r="F4768" s="400">
        <v>865765.77</v>
      </c>
      <c r="G4768" s="401" t="s">
        <v>3800</v>
      </c>
      <c r="H4768" s="402">
        <v>322.14489295637287</v>
      </c>
      <c r="I4768" s="402"/>
      <c r="J4768" s="400"/>
      <c r="K4768" s="400"/>
      <c r="L4768" s="400"/>
      <c r="M4768" s="400"/>
      <c r="N4768" s="400">
        <f t="shared" si="248"/>
        <v>322.14489295637287</v>
      </c>
    </row>
    <row r="4769" spans="1:14" s="360" customFormat="1" hidden="1" outlineLevel="2" x14ac:dyDescent="0.35">
      <c r="A4769" s="403" t="s">
        <v>7389</v>
      </c>
      <c r="B4769" s="397">
        <v>44343</v>
      </c>
      <c r="C4769" s="398" t="s">
        <v>4545</v>
      </c>
      <c r="D4769" s="399" t="s">
        <v>4546</v>
      </c>
      <c r="E4769" s="399" t="s">
        <v>4272</v>
      </c>
      <c r="F4769" s="400">
        <v>86576.577000000005</v>
      </c>
      <c r="G4769" s="401" t="s">
        <v>3800</v>
      </c>
      <c r="H4769" s="402">
        <v>32.214489295637286</v>
      </c>
      <c r="I4769" s="402"/>
      <c r="J4769" s="400"/>
      <c r="K4769" s="400"/>
      <c r="L4769" s="400"/>
      <c r="M4769" s="400"/>
      <c r="N4769" s="400">
        <f t="shared" si="248"/>
        <v>32.214489295637286</v>
      </c>
    </row>
    <row r="4770" spans="1:14" s="360" customFormat="1" hidden="1" outlineLevel="2" x14ac:dyDescent="0.35">
      <c r="A4770" s="403" t="s">
        <v>7389</v>
      </c>
      <c r="B4770" s="397">
        <v>44343</v>
      </c>
      <c r="C4770" s="398" t="s">
        <v>4547</v>
      </c>
      <c r="D4770" s="399" t="s">
        <v>4548</v>
      </c>
      <c r="E4770" s="399" t="s">
        <v>4042</v>
      </c>
      <c r="F4770" s="400">
        <v>8657.6576999999997</v>
      </c>
      <c r="G4770" s="401" t="s">
        <v>3800</v>
      </c>
      <c r="H4770" s="402">
        <v>3.2214489295637283</v>
      </c>
      <c r="I4770" s="402"/>
      <c r="J4770" s="400"/>
      <c r="K4770" s="400"/>
      <c r="L4770" s="400"/>
      <c r="M4770" s="400"/>
      <c r="N4770" s="400">
        <f t="shared" si="248"/>
        <v>3.2214489295637283</v>
      </c>
    </row>
    <row r="4771" spans="1:14" s="360" customFormat="1" hidden="1" outlineLevel="2" x14ac:dyDescent="0.35">
      <c r="A4771" s="403" t="s">
        <v>7389</v>
      </c>
      <c r="B4771" s="397">
        <v>44376</v>
      </c>
      <c r="C4771" s="398" t="s">
        <v>4549</v>
      </c>
      <c r="D4771" s="399" t="s">
        <v>4550</v>
      </c>
      <c r="E4771" s="399" t="s">
        <v>6655</v>
      </c>
      <c r="F4771" s="400">
        <v>865765.77</v>
      </c>
      <c r="G4771" s="401" t="s">
        <v>3800</v>
      </c>
      <c r="H4771" s="402">
        <v>322.14489295637287</v>
      </c>
      <c r="I4771" s="402"/>
      <c r="J4771" s="400"/>
      <c r="K4771" s="400"/>
      <c r="L4771" s="400"/>
      <c r="M4771" s="400"/>
      <c r="N4771" s="400">
        <f t="shared" si="248"/>
        <v>322.14489295637287</v>
      </c>
    </row>
    <row r="4772" spans="1:14" s="360" customFormat="1" hidden="1" outlineLevel="2" x14ac:dyDescent="0.35">
      <c r="A4772" s="403" t="s">
        <v>7389</v>
      </c>
      <c r="B4772" s="397">
        <v>44376</v>
      </c>
      <c r="C4772" s="398" t="s">
        <v>4551</v>
      </c>
      <c r="D4772" s="399" t="s">
        <v>4552</v>
      </c>
      <c r="E4772" s="399" t="s">
        <v>4272</v>
      </c>
      <c r="F4772" s="400">
        <v>86576.577000000005</v>
      </c>
      <c r="G4772" s="401" t="s">
        <v>3800</v>
      </c>
      <c r="H4772" s="402">
        <v>32.214489295637286</v>
      </c>
      <c r="I4772" s="402"/>
      <c r="J4772" s="400"/>
      <c r="K4772" s="400"/>
      <c r="L4772" s="400"/>
      <c r="M4772" s="400"/>
      <c r="N4772" s="400">
        <f t="shared" si="248"/>
        <v>32.214489295637286</v>
      </c>
    </row>
    <row r="4773" spans="1:14" s="360" customFormat="1" hidden="1" outlineLevel="2" x14ac:dyDescent="0.35">
      <c r="A4773" s="403" t="s">
        <v>7389</v>
      </c>
      <c r="B4773" s="397">
        <v>44376</v>
      </c>
      <c r="C4773" s="398" t="s">
        <v>4553</v>
      </c>
      <c r="D4773" s="399" t="s">
        <v>4554</v>
      </c>
      <c r="E4773" s="399" t="s">
        <v>4042</v>
      </c>
      <c r="F4773" s="400">
        <v>8657.6576999999997</v>
      </c>
      <c r="G4773" s="401" t="s">
        <v>3800</v>
      </c>
      <c r="H4773" s="402">
        <v>3.2214489295637283</v>
      </c>
      <c r="I4773" s="402"/>
      <c r="J4773" s="400"/>
      <c r="K4773" s="400"/>
      <c r="L4773" s="400"/>
      <c r="M4773" s="400"/>
      <c r="N4773" s="400">
        <f t="shared" si="248"/>
        <v>3.2214489295637283</v>
      </c>
    </row>
    <row r="4774" spans="1:14" s="360" customFormat="1" hidden="1" outlineLevel="2" x14ac:dyDescent="0.35">
      <c r="A4774" s="403" t="s">
        <v>7389</v>
      </c>
      <c r="B4774" s="397">
        <v>44376</v>
      </c>
      <c r="C4774" s="398" t="s">
        <v>4549</v>
      </c>
      <c r="D4774" s="399" t="s">
        <v>4550</v>
      </c>
      <c r="E4774" s="399" t="s">
        <v>6655</v>
      </c>
      <c r="F4774" s="400">
        <v>865765.77</v>
      </c>
      <c r="G4774" s="401" t="s">
        <v>3800</v>
      </c>
      <c r="H4774" s="402">
        <v>322.14489295637287</v>
      </c>
      <c r="I4774" s="402"/>
      <c r="J4774" s="400"/>
      <c r="K4774" s="400"/>
      <c r="L4774" s="400"/>
      <c r="M4774" s="400"/>
      <c r="N4774" s="400">
        <f t="shared" si="248"/>
        <v>322.14489295637287</v>
      </c>
    </row>
    <row r="4775" spans="1:14" s="360" customFormat="1" hidden="1" outlineLevel="2" x14ac:dyDescent="0.35">
      <c r="A4775" s="403" t="s">
        <v>7389</v>
      </c>
      <c r="B4775" s="397">
        <v>44376</v>
      </c>
      <c r="C4775" s="398" t="s">
        <v>4551</v>
      </c>
      <c r="D4775" s="399" t="s">
        <v>4552</v>
      </c>
      <c r="E4775" s="399" t="s">
        <v>4272</v>
      </c>
      <c r="F4775" s="400">
        <v>86576.577000000005</v>
      </c>
      <c r="G4775" s="401" t="s">
        <v>3800</v>
      </c>
      <c r="H4775" s="402">
        <v>32.214489295637286</v>
      </c>
      <c r="I4775" s="402"/>
      <c r="J4775" s="400"/>
      <c r="K4775" s="400"/>
      <c r="L4775" s="400"/>
      <c r="M4775" s="400"/>
      <c r="N4775" s="400">
        <f t="shared" si="248"/>
        <v>32.214489295637286</v>
      </c>
    </row>
    <row r="4776" spans="1:14" s="360" customFormat="1" hidden="1" outlineLevel="2" x14ac:dyDescent="0.35">
      <c r="A4776" s="403" t="s">
        <v>7389</v>
      </c>
      <c r="B4776" s="397">
        <v>44376</v>
      </c>
      <c r="C4776" s="398" t="s">
        <v>4553</v>
      </c>
      <c r="D4776" s="399" t="s">
        <v>4554</v>
      </c>
      <c r="E4776" s="399" t="s">
        <v>4042</v>
      </c>
      <c r="F4776" s="400">
        <v>8657.6576999999997</v>
      </c>
      <c r="G4776" s="401" t="s">
        <v>3800</v>
      </c>
      <c r="H4776" s="402">
        <v>3.2214489295637283</v>
      </c>
      <c r="I4776" s="402"/>
      <c r="J4776" s="400"/>
      <c r="K4776" s="400"/>
      <c r="L4776" s="400"/>
      <c r="M4776" s="400"/>
      <c r="N4776" s="400">
        <f t="shared" si="248"/>
        <v>3.2214489295637283</v>
      </c>
    </row>
    <row r="4777" spans="1:14" s="360" customFormat="1" hidden="1" outlineLevel="2" x14ac:dyDescent="0.35">
      <c r="A4777" s="403" t="s">
        <v>7389</v>
      </c>
      <c r="B4777" s="397">
        <v>44376</v>
      </c>
      <c r="C4777" s="398" t="s">
        <v>4549</v>
      </c>
      <c r="D4777" s="399" t="s">
        <v>4550</v>
      </c>
      <c r="E4777" s="399" t="s">
        <v>7391</v>
      </c>
      <c r="F4777" s="400">
        <v>865765.77</v>
      </c>
      <c r="G4777" s="401" t="s">
        <v>3800</v>
      </c>
      <c r="H4777" s="402">
        <v>322.14489295637287</v>
      </c>
      <c r="I4777" s="402"/>
      <c r="J4777" s="400"/>
      <c r="K4777" s="400"/>
      <c r="L4777" s="400"/>
      <c r="M4777" s="400"/>
      <c r="N4777" s="400">
        <f t="shared" si="248"/>
        <v>322.14489295637287</v>
      </c>
    </row>
    <row r="4778" spans="1:14" s="360" customFormat="1" hidden="1" outlineLevel="2" x14ac:dyDescent="0.35">
      <c r="A4778" s="403" t="s">
        <v>7389</v>
      </c>
      <c r="B4778" s="397">
        <v>44376</v>
      </c>
      <c r="C4778" s="398" t="s">
        <v>4551</v>
      </c>
      <c r="D4778" s="399" t="s">
        <v>4552</v>
      </c>
      <c r="E4778" s="399" t="s">
        <v>4272</v>
      </c>
      <c r="F4778" s="400">
        <v>86576.577000000005</v>
      </c>
      <c r="G4778" s="401" t="s">
        <v>3800</v>
      </c>
      <c r="H4778" s="402">
        <v>32.214489295637286</v>
      </c>
      <c r="I4778" s="402"/>
      <c r="J4778" s="400"/>
      <c r="K4778" s="400"/>
      <c r="L4778" s="400"/>
      <c r="M4778" s="400"/>
      <c r="N4778" s="400">
        <f t="shared" si="248"/>
        <v>32.214489295637286</v>
      </c>
    </row>
    <row r="4779" spans="1:14" s="360" customFormat="1" hidden="1" outlineLevel="2" x14ac:dyDescent="0.35">
      <c r="A4779" s="403" t="s">
        <v>7389</v>
      </c>
      <c r="B4779" s="397">
        <v>44376</v>
      </c>
      <c r="C4779" s="398" t="s">
        <v>4553</v>
      </c>
      <c r="D4779" s="399" t="s">
        <v>4554</v>
      </c>
      <c r="E4779" s="399" t="s">
        <v>4042</v>
      </c>
      <c r="F4779" s="400">
        <v>8657.6576999999997</v>
      </c>
      <c r="G4779" s="401" t="s">
        <v>3800</v>
      </c>
      <c r="H4779" s="402">
        <v>3.2214489295637283</v>
      </c>
      <c r="I4779" s="402"/>
      <c r="J4779" s="400"/>
      <c r="K4779" s="400"/>
      <c r="L4779" s="400"/>
      <c r="M4779" s="400"/>
      <c r="N4779" s="400">
        <f t="shared" si="248"/>
        <v>3.2214489295637283</v>
      </c>
    </row>
    <row r="4780" spans="1:14" s="360" customFormat="1" hidden="1" outlineLevel="2" x14ac:dyDescent="0.35">
      <c r="A4780" s="403" t="s">
        <v>7389</v>
      </c>
      <c r="B4780" s="397">
        <v>44376</v>
      </c>
      <c r="C4780" s="398" t="s">
        <v>4549</v>
      </c>
      <c r="D4780" s="399" t="s">
        <v>4550</v>
      </c>
      <c r="E4780" s="399" t="s">
        <v>7392</v>
      </c>
      <c r="F4780" s="400">
        <v>865765.77</v>
      </c>
      <c r="G4780" s="401" t="s">
        <v>3800</v>
      </c>
      <c r="H4780" s="402">
        <v>322.14489295637287</v>
      </c>
      <c r="I4780" s="402"/>
      <c r="J4780" s="400"/>
      <c r="K4780" s="400"/>
      <c r="L4780" s="400"/>
      <c r="M4780" s="400"/>
      <c r="N4780" s="400">
        <f t="shared" si="248"/>
        <v>322.14489295637287</v>
      </c>
    </row>
    <row r="4781" spans="1:14" s="360" customFormat="1" hidden="1" outlineLevel="2" x14ac:dyDescent="0.35">
      <c r="A4781" s="403" t="s">
        <v>7389</v>
      </c>
      <c r="B4781" s="397">
        <v>44376</v>
      </c>
      <c r="C4781" s="398" t="s">
        <v>4551</v>
      </c>
      <c r="D4781" s="399" t="s">
        <v>4552</v>
      </c>
      <c r="E4781" s="399" t="s">
        <v>4272</v>
      </c>
      <c r="F4781" s="400">
        <v>86576.577000000005</v>
      </c>
      <c r="G4781" s="401" t="s">
        <v>3800</v>
      </c>
      <c r="H4781" s="402">
        <v>32.214489295637286</v>
      </c>
      <c r="I4781" s="402"/>
      <c r="J4781" s="400"/>
      <c r="K4781" s="400"/>
      <c r="L4781" s="400"/>
      <c r="M4781" s="400"/>
      <c r="N4781" s="400">
        <f t="shared" si="248"/>
        <v>32.214489295637286</v>
      </c>
    </row>
    <row r="4782" spans="1:14" s="360" customFormat="1" hidden="1" outlineLevel="2" x14ac:dyDescent="0.35">
      <c r="A4782" s="403" t="s">
        <v>7389</v>
      </c>
      <c r="B4782" s="397">
        <v>44376</v>
      </c>
      <c r="C4782" s="398" t="s">
        <v>4553</v>
      </c>
      <c r="D4782" s="399" t="s">
        <v>4554</v>
      </c>
      <c r="E4782" s="399" t="s">
        <v>4042</v>
      </c>
      <c r="F4782" s="400">
        <v>8657.6576999999997</v>
      </c>
      <c r="G4782" s="401" t="s">
        <v>3800</v>
      </c>
      <c r="H4782" s="402">
        <v>3.2214489295637283</v>
      </c>
      <c r="I4782" s="402"/>
      <c r="J4782" s="400"/>
      <c r="K4782" s="400"/>
      <c r="L4782" s="400"/>
      <c r="M4782" s="400"/>
      <c r="N4782" s="400">
        <f t="shared" si="248"/>
        <v>3.2214489295637283</v>
      </c>
    </row>
    <row r="4783" spans="1:14" s="360" customFormat="1" hidden="1" outlineLevel="2" x14ac:dyDescent="0.35">
      <c r="A4783" s="403" t="s">
        <v>7389</v>
      </c>
      <c r="B4783" s="397">
        <v>44407</v>
      </c>
      <c r="C4783" s="398" t="s">
        <v>4555</v>
      </c>
      <c r="D4783" s="399" t="s">
        <v>4556</v>
      </c>
      <c r="E4783" s="399" t="s">
        <v>6655</v>
      </c>
      <c r="F4783" s="400">
        <v>865765.77</v>
      </c>
      <c r="G4783" s="401" t="s">
        <v>3800</v>
      </c>
      <c r="H4783" s="402">
        <v>322.14489295637287</v>
      </c>
      <c r="I4783" s="402"/>
      <c r="J4783" s="400"/>
      <c r="K4783" s="400"/>
      <c r="L4783" s="400"/>
      <c r="M4783" s="400"/>
      <c r="N4783" s="400">
        <f t="shared" si="248"/>
        <v>322.14489295637287</v>
      </c>
    </row>
    <row r="4784" spans="1:14" s="360" customFormat="1" hidden="1" outlineLevel="2" x14ac:dyDescent="0.35">
      <c r="A4784" s="403" t="s">
        <v>7389</v>
      </c>
      <c r="B4784" s="397">
        <v>44407</v>
      </c>
      <c r="C4784" s="398" t="s">
        <v>4557</v>
      </c>
      <c r="D4784" s="399" t="s">
        <v>4558</v>
      </c>
      <c r="E4784" s="399" t="s">
        <v>4272</v>
      </c>
      <c r="F4784" s="400">
        <v>86576.577000000005</v>
      </c>
      <c r="G4784" s="401" t="s">
        <v>3800</v>
      </c>
      <c r="H4784" s="402">
        <v>32.214489295637286</v>
      </c>
      <c r="I4784" s="402"/>
      <c r="J4784" s="400"/>
      <c r="K4784" s="400"/>
      <c r="L4784" s="400"/>
      <c r="M4784" s="400"/>
      <c r="N4784" s="400">
        <f t="shared" si="248"/>
        <v>32.214489295637286</v>
      </c>
    </row>
    <row r="4785" spans="1:14" s="360" customFormat="1" hidden="1" outlineLevel="2" x14ac:dyDescent="0.35">
      <c r="A4785" s="403" t="s">
        <v>7389</v>
      </c>
      <c r="B4785" s="397">
        <v>44407</v>
      </c>
      <c r="C4785" s="398" t="s">
        <v>4559</v>
      </c>
      <c r="D4785" s="399" t="s">
        <v>4560</v>
      </c>
      <c r="E4785" s="399" t="s">
        <v>4042</v>
      </c>
      <c r="F4785" s="400">
        <v>5194.5946199999998</v>
      </c>
      <c r="G4785" s="401" t="s">
        <v>3800</v>
      </c>
      <c r="H4785" s="402">
        <v>1.932869357738237</v>
      </c>
      <c r="I4785" s="402"/>
      <c r="J4785" s="400"/>
      <c r="K4785" s="400"/>
      <c r="L4785" s="400"/>
      <c r="M4785" s="400"/>
      <c r="N4785" s="400">
        <f t="shared" si="248"/>
        <v>1.932869357738237</v>
      </c>
    </row>
    <row r="4786" spans="1:14" s="360" customFormat="1" hidden="1" outlineLevel="2" x14ac:dyDescent="0.35">
      <c r="A4786" s="403" t="s">
        <v>7389</v>
      </c>
      <c r="B4786" s="397">
        <v>44407</v>
      </c>
      <c r="C4786" s="398" t="s">
        <v>4555</v>
      </c>
      <c r="D4786" s="399" t="s">
        <v>4556</v>
      </c>
      <c r="E4786" s="399" t="s">
        <v>7390</v>
      </c>
      <c r="F4786" s="400">
        <v>865765.77</v>
      </c>
      <c r="G4786" s="401" t="s">
        <v>3800</v>
      </c>
      <c r="H4786" s="402">
        <v>322.14489295637287</v>
      </c>
      <c r="I4786" s="402"/>
      <c r="J4786" s="400"/>
      <c r="K4786" s="400"/>
      <c r="L4786" s="400"/>
      <c r="M4786" s="400"/>
      <c r="N4786" s="400">
        <f t="shared" si="248"/>
        <v>322.14489295637287</v>
      </c>
    </row>
    <row r="4787" spans="1:14" s="360" customFormat="1" hidden="1" outlineLevel="2" x14ac:dyDescent="0.35">
      <c r="A4787" s="403" t="s">
        <v>7389</v>
      </c>
      <c r="B4787" s="397">
        <v>44407</v>
      </c>
      <c r="C4787" s="398" t="s">
        <v>4557</v>
      </c>
      <c r="D4787" s="399" t="s">
        <v>4558</v>
      </c>
      <c r="E4787" s="399" t="s">
        <v>4272</v>
      </c>
      <c r="F4787" s="400">
        <v>86576.577000000005</v>
      </c>
      <c r="G4787" s="401" t="s">
        <v>3800</v>
      </c>
      <c r="H4787" s="402">
        <v>32.214489295637286</v>
      </c>
      <c r="I4787" s="402"/>
      <c r="J4787" s="400"/>
      <c r="K4787" s="400"/>
      <c r="L4787" s="400"/>
      <c r="M4787" s="400"/>
      <c r="N4787" s="400">
        <f t="shared" si="248"/>
        <v>32.214489295637286</v>
      </c>
    </row>
    <row r="4788" spans="1:14" s="360" customFormat="1" hidden="1" outlineLevel="2" x14ac:dyDescent="0.35">
      <c r="A4788" s="403" t="s">
        <v>7389</v>
      </c>
      <c r="B4788" s="397">
        <v>44407</v>
      </c>
      <c r="C4788" s="398" t="s">
        <v>4559</v>
      </c>
      <c r="D4788" s="399" t="s">
        <v>4560</v>
      </c>
      <c r="E4788" s="399" t="s">
        <v>4042</v>
      </c>
      <c r="F4788" s="400">
        <v>5194.5946199999998</v>
      </c>
      <c r="G4788" s="401" t="s">
        <v>3800</v>
      </c>
      <c r="H4788" s="402">
        <v>1.932869357738237</v>
      </c>
      <c r="I4788" s="402"/>
      <c r="J4788" s="400"/>
      <c r="K4788" s="400"/>
      <c r="L4788" s="400"/>
      <c r="M4788" s="400"/>
      <c r="N4788" s="400">
        <f t="shared" si="248"/>
        <v>1.932869357738237</v>
      </c>
    </row>
    <row r="4789" spans="1:14" s="360" customFormat="1" hidden="1" outlineLevel="2" x14ac:dyDescent="0.35">
      <c r="A4789" s="403" t="s">
        <v>7389</v>
      </c>
      <c r="B4789" s="397">
        <v>44407</v>
      </c>
      <c r="C4789" s="398" t="s">
        <v>4555</v>
      </c>
      <c r="D4789" s="399" t="s">
        <v>4556</v>
      </c>
      <c r="E4789" s="399" t="s">
        <v>7391</v>
      </c>
      <c r="F4789" s="400">
        <v>865765.77</v>
      </c>
      <c r="G4789" s="401" t="s">
        <v>3800</v>
      </c>
      <c r="H4789" s="402">
        <v>322.14489295637287</v>
      </c>
      <c r="I4789" s="402"/>
      <c r="J4789" s="400"/>
      <c r="K4789" s="400"/>
      <c r="L4789" s="400"/>
      <c r="M4789" s="400"/>
      <c r="N4789" s="400">
        <f t="shared" si="248"/>
        <v>322.14489295637287</v>
      </c>
    </row>
    <row r="4790" spans="1:14" s="360" customFormat="1" hidden="1" outlineLevel="2" x14ac:dyDescent="0.35">
      <c r="A4790" s="403" t="s">
        <v>7389</v>
      </c>
      <c r="B4790" s="397">
        <v>44407</v>
      </c>
      <c r="C4790" s="398" t="s">
        <v>4557</v>
      </c>
      <c r="D4790" s="399" t="s">
        <v>4558</v>
      </c>
      <c r="E4790" s="399" t="s">
        <v>4272</v>
      </c>
      <c r="F4790" s="400">
        <v>86576.577000000005</v>
      </c>
      <c r="G4790" s="401" t="s">
        <v>3800</v>
      </c>
      <c r="H4790" s="402">
        <v>32.214489295637286</v>
      </c>
      <c r="I4790" s="402"/>
      <c r="J4790" s="400"/>
      <c r="K4790" s="400"/>
      <c r="L4790" s="400"/>
      <c r="M4790" s="400"/>
      <c r="N4790" s="400">
        <f t="shared" si="248"/>
        <v>32.214489295637286</v>
      </c>
    </row>
    <row r="4791" spans="1:14" s="360" customFormat="1" hidden="1" outlineLevel="2" x14ac:dyDescent="0.35">
      <c r="A4791" s="403" t="s">
        <v>7389</v>
      </c>
      <c r="B4791" s="397">
        <v>44407</v>
      </c>
      <c r="C4791" s="398" t="s">
        <v>4559</v>
      </c>
      <c r="D4791" s="399" t="s">
        <v>4560</v>
      </c>
      <c r="E4791" s="399" t="s">
        <v>4042</v>
      </c>
      <c r="F4791" s="400">
        <v>5194.5946199999998</v>
      </c>
      <c r="G4791" s="401" t="s">
        <v>3800</v>
      </c>
      <c r="H4791" s="402">
        <v>1.932869357738237</v>
      </c>
      <c r="I4791" s="402"/>
      <c r="J4791" s="400"/>
      <c r="K4791" s="400"/>
      <c r="L4791" s="400"/>
      <c r="M4791" s="400"/>
      <c r="N4791" s="400">
        <f t="shared" si="248"/>
        <v>1.932869357738237</v>
      </c>
    </row>
    <row r="4792" spans="1:14" s="360" customFormat="1" hidden="1" outlineLevel="2" x14ac:dyDescent="0.35">
      <c r="A4792" s="403" t="s">
        <v>7389</v>
      </c>
      <c r="B4792" s="397">
        <v>44407</v>
      </c>
      <c r="C4792" s="398" t="s">
        <v>4555</v>
      </c>
      <c r="D4792" s="399" t="s">
        <v>4556</v>
      </c>
      <c r="E4792" s="399" t="s">
        <v>7392</v>
      </c>
      <c r="F4792" s="400">
        <v>865765.77</v>
      </c>
      <c r="G4792" s="401" t="s">
        <v>3800</v>
      </c>
      <c r="H4792" s="402">
        <v>322.14489295637287</v>
      </c>
      <c r="I4792" s="402"/>
      <c r="J4792" s="400"/>
      <c r="K4792" s="400"/>
      <c r="L4792" s="400"/>
      <c r="M4792" s="400"/>
      <c r="N4792" s="400">
        <f t="shared" si="248"/>
        <v>322.14489295637287</v>
      </c>
    </row>
    <row r="4793" spans="1:14" s="360" customFormat="1" hidden="1" outlineLevel="2" collapsed="1" x14ac:dyDescent="0.35">
      <c r="A4793" s="403" t="s">
        <v>7389</v>
      </c>
      <c r="B4793" s="397">
        <v>44407</v>
      </c>
      <c r="C4793" s="398" t="s">
        <v>4557</v>
      </c>
      <c r="D4793" s="399" t="s">
        <v>4558</v>
      </c>
      <c r="E4793" s="399" t="s">
        <v>4272</v>
      </c>
      <c r="F4793" s="400">
        <v>86576.577000000005</v>
      </c>
      <c r="G4793" s="401" t="s">
        <v>3800</v>
      </c>
      <c r="H4793" s="402">
        <v>32.214489295637286</v>
      </c>
      <c r="I4793" s="402"/>
      <c r="J4793" s="400"/>
      <c r="K4793" s="400"/>
      <c r="L4793" s="400"/>
      <c r="M4793" s="400"/>
      <c r="N4793" s="400">
        <f t="shared" si="248"/>
        <v>32.214489295637286</v>
      </c>
    </row>
    <row r="4794" spans="1:14" s="360" customFormat="1" hidden="1" outlineLevel="2" x14ac:dyDescent="0.35">
      <c r="A4794" s="403" t="s">
        <v>7389</v>
      </c>
      <c r="B4794" s="397">
        <v>44407</v>
      </c>
      <c r="C4794" s="398" t="s">
        <v>4559</v>
      </c>
      <c r="D4794" s="399" t="s">
        <v>4560</v>
      </c>
      <c r="E4794" s="399" t="s">
        <v>4042</v>
      </c>
      <c r="F4794" s="400">
        <v>5194.5946199999998</v>
      </c>
      <c r="G4794" s="401" t="s">
        <v>3800</v>
      </c>
      <c r="H4794" s="402">
        <v>1.932869357738237</v>
      </c>
      <c r="I4794" s="402"/>
      <c r="J4794" s="400"/>
      <c r="K4794" s="400"/>
      <c r="L4794" s="400"/>
      <c r="M4794" s="400"/>
      <c r="N4794" s="400">
        <f t="shared" si="248"/>
        <v>1.932869357738237</v>
      </c>
    </row>
    <row r="4795" spans="1:14" s="360" customFormat="1" hidden="1" outlineLevel="2" x14ac:dyDescent="0.35">
      <c r="A4795" s="403" t="s">
        <v>7389</v>
      </c>
      <c r="B4795" s="397">
        <v>44438</v>
      </c>
      <c r="C4795" s="398" t="s">
        <v>4561</v>
      </c>
      <c r="D4795" s="399" t="s">
        <v>4562</v>
      </c>
      <c r="E4795" s="399" t="s">
        <v>6655</v>
      </c>
      <c r="F4795" s="400">
        <v>865765.77</v>
      </c>
      <c r="G4795" s="401" t="s">
        <v>3800</v>
      </c>
      <c r="H4795" s="402">
        <v>322.14489295637287</v>
      </c>
      <c r="I4795" s="402"/>
      <c r="J4795" s="400"/>
      <c r="K4795" s="400"/>
      <c r="L4795" s="400"/>
      <c r="M4795" s="400"/>
      <c r="N4795" s="400">
        <f t="shared" si="248"/>
        <v>322.14489295637287</v>
      </c>
    </row>
    <row r="4796" spans="1:14" s="360" customFormat="1" hidden="1" outlineLevel="2" x14ac:dyDescent="0.35">
      <c r="A4796" s="403" t="s">
        <v>7389</v>
      </c>
      <c r="B4796" s="397">
        <v>44438</v>
      </c>
      <c r="C4796" s="398" t="s">
        <v>4564</v>
      </c>
      <c r="D4796" s="399" t="s">
        <v>4558</v>
      </c>
      <c r="E4796" s="399" t="s">
        <v>4272</v>
      </c>
      <c r="F4796" s="400">
        <v>86576.577000000005</v>
      </c>
      <c r="G4796" s="401" t="s">
        <v>3800</v>
      </c>
      <c r="H4796" s="402">
        <v>32.214489295637286</v>
      </c>
      <c r="I4796" s="402"/>
      <c r="J4796" s="400"/>
      <c r="K4796" s="400"/>
      <c r="L4796" s="400"/>
      <c r="M4796" s="400"/>
      <c r="N4796" s="400">
        <f t="shared" ref="N4796:N4854" si="249">H4796</f>
        <v>32.214489295637286</v>
      </c>
    </row>
    <row r="4797" spans="1:14" s="360" customFormat="1" hidden="1" outlineLevel="2" x14ac:dyDescent="0.35">
      <c r="A4797" s="403" t="s">
        <v>7389</v>
      </c>
      <c r="B4797" s="397">
        <v>44438</v>
      </c>
      <c r="C4797" s="398" t="s">
        <v>4566</v>
      </c>
      <c r="D4797" s="399" t="s">
        <v>4560</v>
      </c>
      <c r="E4797" s="399" t="s">
        <v>4042</v>
      </c>
      <c r="F4797" s="400">
        <v>5194.5946199999998</v>
      </c>
      <c r="G4797" s="401" t="s">
        <v>3800</v>
      </c>
      <c r="H4797" s="402">
        <v>1.932869357738237</v>
      </c>
      <c r="I4797" s="402"/>
      <c r="J4797" s="400"/>
      <c r="K4797" s="400"/>
      <c r="L4797" s="400"/>
      <c r="M4797" s="400"/>
      <c r="N4797" s="400">
        <f t="shared" si="249"/>
        <v>1.932869357738237</v>
      </c>
    </row>
    <row r="4798" spans="1:14" s="360" customFormat="1" hidden="1" outlineLevel="2" x14ac:dyDescent="0.35">
      <c r="A4798" s="403" t="s">
        <v>7389</v>
      </c>
      <c r="B4798" s="397">
        <v>44438</v>
      </c>
      <c r="C4798" s="398" t="s">
        <v>4561</v>
      </c>
      <c r="D4798" s="399" t="s">
        <v>4562</v>
      </c>
      <c r="E4798" s="399" t="s">
        <v>7390</v>
      </c>
      <c r="F4798" s="400">
        <v>865765.77</v>
      </c>
      <c r="G4798" s="401" t="s">
        <v>3800</v>
      </c>
      <c r="H4798" s="402">
        <v>322.14489295637287</v>
      </c>
      <c r="I4798" s="402"/>
      <c r="J4798" s="400"/>
      <c r="K4798" s="400"/>
      <c r="L4798" s="400"/>
      <c r="M4798" s="400"/>
      <c r="N4798" s="400">
        <f t="shared" si="249"/>
        <v>322.14489295637287</v>
      </c>
    </row>
    <row r="4799" spans="1:14" s="360" customFormat="1" hidden="1" outlineLevel="2" x14ac:dyDescent="0.35">
      <c r="A4799" s="403" t="s">
        <v>7389</v>
      </c>
      <c r="B4799" s="397">
        <v>44438</v>
      </c>
      <c r="C4799" s="398" t="s">
        <v>4564</v>
      </c>
      <c r="D4799" s="399" t="s">
        <v>4558</v>
      </c>
      <c r="E4799" s="399" t="s">
        <v>4272</v>
      </c>
      <c r="F4799" s="400">
        <v>86576.577000000005</v>
      </c>
      <c r="G4799" s="401" t="s">
        <v>3800</v>
      </c>
      <c r="H4799" s="402">
        <v>32.214489295637286</v>
      </c>
      <c r="I4799" s="402"/>
      <c r="J4799" s="400"/>
      <c r="K4799" s="400"/>
      <c r="L4799" s="400"/>
      <c r="M4799" s="400"/>
      <c r="N4799" s="400">
        <f t="shared" si="249"/>
        <v>32.214489295637286</v>
      </c>
    </row>
    <row r="4800" spans="1:14" s="360" customFormat="1" hidden="1" outlineLevel="2" x14ac:dyDescent="0.35">
      <c r="A4800" s="403" t="s">
        <v>7389</v>
      </c>
      <c r="B4800" s="397">
        <v>44438</v>
      </c>
      <c r="C4800" s="398" t="s">
        <v>4566</v>
      </c>
      <c r="D4800" s="399" t="s">
        <v>4560</v>
      </c>
      <c r="E4800" s="399" t="s">
        <v>4042</v>
      </c>
      <c r="F4800" s="400">
        <v>5194.5946199999998</v>
      </c>
      <c r="G4800" s="401" t="s">
        <v>3800</v>
      </c>
      <c r="H4800" s="402">
        <v>1.932869357738237</v>
      </c>
      <c r="I4800" s="402"/>
      <c r="J4800" s="400"/>
      <c r="K4800" s="400"/>
      <c r="L4800" s="400"/>
      <c r="M4800" s="400"/>
      <c r="N4800" s="400">
        <f t="shared" si="249"/>
        <v>1.932869357738237</v>
      </c>
    </row>
    <row r="4801" spans="1:14" s="360" customFormat="1" hidden="1" outlineLevel="2" x14ac:dyDescent="0.35">
      <c r="A4801" s="403" t="s">
        <v>7389</v>
      </c>
      <c r="B4801" s="397">
        <v>44438</v>
      </c>
      <c r="C4801" s="398" t="s">
        <v>4561</v>
      </c>
      <c r="D4801" s="399" t="s">
        <v>4562</v>
      </c>
      <c r="E4801" s="399" t="s">
        <v>7391</v>
      </c>
      <c r="F4801" s="400">
        <v>865765.77</v>
      </c>
      <c r="G4801" s="401" t="s">
        <v>3800</v>
      </c>
      <c r="H4801" s="402">
        <v>322.14489295637287</v>
      </c>
      <c r="I4801" s="402"/>
      <c r="J4801" s="400"/>
      <c r="K4801" s="400"/>
      <c r="L4801" s="400"/>
      <c r="M4801" s="400"/>
      <c r="N4801" s="400">
        <f t="shared" si="249"/>
        <v>322.14489295637287</v>
      </c>
    </row>
    <row r="4802" spans="1:14" s="360" customFormat="1" hidden="1" outlineLevel="2" x14ac:dyDescent="0.35">
      <c r="A4802" s="403" t="s">
        <v>7389</v>
      </c>
      <c r="B4802" s="397">
        <v>44438</v>
      </c>
      <c r="C4802" s="398" t="s">
        <v>4564</v>
      </c>
      <c r="D4802" s="399" t="s">
        <v>4558</v>
      </c>
      <c r="E4802" s="399" t="s">
        <v>4272</v>
      </c>
      <c r="F4802" s="400">
        <v>86576.577000000005</v>
      </c>
      <c r="G4802" s="401" t="s">
        <v>3800</v>
      </c>
      <c r="H4802" s="402">
        <v>32.214489295637286</v>
      </c>
      <c r="I4802" s="402"/>
      <c r="J4802" s="400"/>
      <c r="K4802" s="400"/>
      <c r="L4802" s="400"/>
      <c r="M4802" s="400"/>
      <c r="N4802" s="400">
        <f t="shared" si="249"/>
        <v>32.214489295637286</v>
      </c>
    </row>
    <row r="4803" spans="1:14" s="360" customFormat="1" hidden="1" outlineLevel="2" x14ac:dyDescent="0.35">
      <c r="A4803" s="403" t="s">
        <v>7389</v>
      </c>
      <c r="B4803" s="397">
        <v>44438</v>
      </c>
      <c r="C4803" s="398" t="s">
        <v>4566</v>
      </c>
      <c r="D4803" s="399" t="s">
        <v>4560</v>
      </c>
      <c r="E4803" s="399" t="s">
        <v>4042</v>
      </c>
      <c r="F4803" s="400">
        <v>5194.5946199999998</v>
      </c>
      <c r="G4803" s="401" t="s">
        <v>3800</v>
      </c>
      <c r="H4803" s="402">
        <v>1.932869357738237</v>
      </c>
      <c r="I4803" s="402"/>
      <c r="J4803" s="400"/>
      <c r="K4803" s="400"/>
      <c r="L4803" s="400"/>
      <c r="M4803" s="400"/>
      <c r="N4803" s="400">
        <f t="shared" si="249"/>
        <v>1.932869357738237</v>
      </c>
    </row>
    <row r="4804" spans="1:14" s="360" customFormat="1" hidden="1" outlineLevel="2" x14ac:dyDescent="0.35">
      <c r="A4804" s="403" t="s">
        <v>7389</v>
      </c>
      <c r="B4804" s="397">
        <v>44438</v>
      </c>
      <c r="C4804" s="398" t="s">
        <v>4561</v>
      </c>
      <c r="D4804" s="399" t="s">
        <v>4562</v>
      </c>
      <c r="E4804" s="399" t="s">
        <v>7392</v>
      </c>
      <c r="F4804" s="400">
        <v>865765.77</v>
      </c>
      <c r="G4804" s="401" t="s">
        <v>3800</v>
      </c>
      <c r="H4804" s="402">
        <v>322.14489295637287</v>
      </c>
      <c r="I4804" s="402"/>
      <c r="J4804" s="400"/>
      <c r="K4804" s="400"/>
      <c r="L4804" s="400"/>
      <c r="M4804" s="400"/>
      <c r="N4804" s="400">
        <f t="shared" si="249"/>
        <v>322.14489295637287</v>
      </c>
    </row>
    <row r="4805" spans="1:14" s="360" customFormat="1" hidden="1" outlineLevel="2" x14ac:dyDescent="0.35">
      <c r="A4805" s="403" t="s">
        <v>7389</v>
      </c>
      <c r="B4805" s="397">
        <v>44438</v>
      </c>
      <c r="C4805" s="398" t="s">
        <v>4564</v>
      </c>
      <c r="D4805" s="399" t="s">
        <v>4558</v>
      </c>
      <c r="E4805" s="399" t="s">
        <v>4272</v>
      </c>
      <c r="F4805" s="400">
        <v>86576.577000000005</v>
      </c>
      <c r="G4805" s="401" t="s">
        <v>3800</v>
      </c>
      <c r="H4805" s="402">
        <v>32.214489295637286</v>
      </c>
      <c r="I4805" s="402"/>
      <c r="J4805" s="400"/>
      <c r="K4805" s="400"/>
      <c r="L4805" s="400"/>
      <c r="M4805" s="400"/>
      <c r="N4805" s="400">
        <f t="shared" si="249"/>
        <v>32.214489295637286</v>
      </c>
    </row>
    <row r="4806" spans="1:14" s="360" customFormat="1" hidden="1" outlineLevel="2" x14ac:dyDescent="0.35">
      <c r="A4806" s="403" t="s">
        <v>7389</v>
      </c>
      <c r="B4806" s="397">
        <v>44438</v>
      </c>
      <c r="C4806" s="398" t="s">
        <v>4566</v>
      </c>
      <c r="D4806" s="399" t="s">
        <v>4560</v>
      </c>
      <c r="E4806" s="399" t="s">
        <v>4042</v>
      </c>
      <c r="F4806" s="400">
        <v>5194.5946199999998</v>
      </c>
      <c r="G4806" s="401" t="s">
        <v>3800</v>
      </c>
      <c r="H4806" s="402">
        <v>1.932869357738237</v>
      </c>
      <c r="I4806" s="402"/>
      <c r="J4806" s="400"/>
      <c r="K4806" s="400"/>
      <c r="L4806" s="400"/>
      <c r="M4806" s="400"/>
      <c r="N4806" s="400">
        <f t="shared" si="249"/>
        <v>1.932869357738237</v>
      </c>
    </row>
    <row r="4807" spans="1:14" s="360" customFormat="1" hidden="1" outlineLevel="2" collapsed="1" x14ac:dyDescent="0.35">
      <c r="A4807" s="403" t="s">
        <v>7389</v>
      </c>
      <c r="B4807" s="397">
        <v>44467</v>
      </c>
      <c r="C4807" s="398" t="s">
        <v>4568</v>
      </c>
      <c r="D4807" s="399" t="s">
        <v>4569</v>
      </c>
      <c r="E4807" s="399" t="s">
        <v>6655</v>
      </c>
      <c r="F4807" s="400">
        <v>865765.77</v>
      </c>
      <c r="G4807" s="401" t="s">
        <v>3800</v>
      </c>
      <c r="H4807" s="402">
        <v>322.14489295637287</v>
      </c>
      <c r="I4807" s="402"/>
      <c r="J4807" s="400"/>
      <c r="K4807" s="400"/>
      <c r="L4807" s="400"/>
      <c r="M4807" s="400"/>
      <c r="N4807" s="400">
        <f t="shared" si="249"/>
        <v>322.14489295637287</v>
      </c>
    </row>
    <row r="4808" spans="1:14" s="360" customFormat="1" hidden="1" outlineLevel="2" x14ac:dyDescent="0.35">
      <c r="A4808" s="403" t="s">
        <v>7389</v>
      </c>
      <c r="B4808" s="397">
        <v>44467</v>
      </c>
      <c r="C4808" s="398" t="s">
        <v>4570</v>
      </c>
      <c r="D4808" s="399" t="s">
        <v>4571</v>
      </c>
      <c r="E4808" s="399" t="s">
        <v>4272</v>
      </c>
      <c r="F4808" s="400">
        <v>86576.577000000005</v>
      </c>
      <c r="G4808" s="401" t="s">
        <v>3800</v>
      </c>
      <c r="H4808" s="402">
        <v>32.214489295637286</v>
      </c>
      <c r="I4808" s="402"/>
      <c r="J4808" s="400"/>
      <c r="K4808" s="400"/>
      <c r="L4808" s="400"/>
      <c r="M4808" s="400"/>
      <c r="N4808" s="400">
        <f t="shared" si="249"/>
        <v>32.214489295637286</v>
      </c>
    </row>
    <row r="4809" spans="1:14" s="360" customFormat="1" hidden="1" outlineLevel="2" x14ac:dyDescent="0.35">
      <c r="A4809" s="403" t="s">
        <v>7389</v>
      </c>
      <c r="B4809" s="397">
        <v>44467</v>
      </c>
      <c r="C4809" s="398" t="s">
        <v>4572</v>
      </c>
      <c r="D4809" s="399" t="s">
        <v>4573</v>
      </c>
      <c r="E4809" s="399" t="s">
        <v>4042</v>
      </c>
      <c r="F4809" s="400">
        <v>5194.5946199999998</v>
      </c>
      <c r="G4809" s="401" t="s">
        <v>3800</v>
      </c>
      <c r="H4809" s="402">
        <v>1.932869357738237</v>
      </c>
      <c r="I4809" s="402"/>
      <c r="J4809" s="400"/>
      <c r="K4809" s="400"/>
      <c r="L4809" s="400"/>
      <c r="M4809" s="400"/>
      <c r="N4809" s="400">
        <f t="shared" si="249"/>
        <v>1.932869357738237</v>
      </c>
    </row>
    <row r="4810" spans="1:14" s="360" customFormat="1" hidden="1" outlineLevel="2" x14ac:dyDescent="0.35">
      <c r="A4810" s="403" t="s">
        <v>7389</v>
      </c>
      <c r="B4810" s="397">
        <v>44467</v>
      </c>
      <c r="C4810" s="398" t="s">
        <v>4568</v>
      </c>
      <c r="D4810" s="399" t="s">
        <v>4569</v>
      </c>
      <c r="E4810" s="399" t="s">
        <v>7390</v>
      </c>
      <c r="F4810" s="400">
        <v>865765.77</v>
      </c>
      <c r="G4810" s="401" t="s">
        <v>3800</v>
      </c>
      <c r="H4810" s="402">
        <v>322.14489295637287</v>
      </c>
      <c r="I4810" s="402"/>
      <c r="J4810" s="400"/>
      <c r="K4810" s="400"/>
      <c r="L4810" s="400"/>
      <c r="M4810" s="400"/>
      <c r="N4810" s="400">
        <f t="shared" si="249"/>
        <v>322.14489295637287</v>
      </c>
    </row>
    <row r="4811" spans="1:14" s="360" customFormat="1" hidden="1" outlineLevel="2" x14ac:dyDescent="0.35">
      <c r="A4811" s="403" t="s">
        <v>7389</v>
      </c>
      <c r="B4811" s="397">
        <v>44467</v>
      </c>
      <c r="C4811" s="398" t="s">
        <v>4570</v>
      </c>
      <c r="D4811" s="399" t="s">
        <v>4571</v>
      </c>
      <c r="E4811" s="399" t="s">
        <v>4272</v>
      </c>
      <c r="F4811" s="400">
        <v>86576.577000000005</v>
      </c>
      <c r="G4811" s="401" t="s">
        <v>3800</v>
      </c>
      <c r="H4811" s="402">
        <v>32.214489295637286</v>
      </c>
      <c r="I4811" s="402"/>
      <c r="J4811" s="400"/>
      <c r="K4811" s="400"/>
      <c r="L4811" s="400"/>
      <c r="M4811" s="400"/>
      <c r="N4811" s="400">
        <f t="shared" si="249"/>
        <v>32.214489295637286</v>
      </c>
    </row>
    <row r="4812" spans="1:14" s="360" customFormat="1" hidden="1" outlineLevel="2" x14ac:dyDescent="0.35">
      <c r="A4812" s="403" t="s">
        <v>7389</v>
      </c>
      <c r="B4812" s="397">
        <v>44467</v>
      </c>
      <c r="C4812" s="398" t="s">
        <v>4572</v>
      </c>
      <c r="D4812" s="399" t="s">
        <v>4573</v>
      </c>
      <c r="E4812" s="399" t="s">
        <v>4042</v>
      </c>
      <c r="F4812" s="400">
        <v>5194.5946199999998</v>
      </c>
      <c r="G4812" s="401" t="s">
        <v>3800</v>
      </c>
      <c r="H4812" s="402">
        <v>1.932869357738237</v>
      </c>
      <c r="I4812" s="402"/>
      <c r="J4812" s="400"/>
      <c r="K4812" s="400"/>
      <c r="L4812" s="400"/>
      <c r="M4812" s="400"/>
      <c r="N4812" s="400">
        <f t="shared" si="249"/>
        <v>1.932869357738237</v>
      </c>
    </row>
    <row r="4813" spans="1:14" s="360" customFormat="1" hidden="1" outlineLevel="2" x14ac:dyDescent="0.35">
      <c r="A4813" s="403" t="s">
        <v>7389</v>
      </c>
      <c r="B4813" s="397">
        <v>44467</v>
      </c>
      <c r="C4813" s="398" t="s">
        <v>4568</v>
      </c>
      <c r="D4813" s="399" t="s">
        <v>4569</v>
      </c>
      <c r="E4813" s="399" t="s">
        <v>7391</v>
      </c>
      <c r="F4813" s="400">
        <v>865765.77</v>
      </c>
      <c r="G4813" s="401" t="s">
        <v>3800</v>
      </c>
      <c r="H4813" s="402">
        <v>322.14489295637287</v>
      </c>
      <c r="I4813" s="402"/>
      <c r="J4813" s="400"/>
      <c r="K4813" s="400"/>
      <c r="L4813" s="400"/>
      <c r="M4813" s="400"/>
      <c r="N4813" s="400">
        <f t="shared" si="249"/>
        <v>322.14489295637287</v>
      </c>
    </row>
    <row r="4814" spans="1:14" s="360" customFormat="1" hidden="1" outlineLevel="2" x14ac:dyDescent="0.35">
      <c r="A4814" s="403" t="s">
        <v>7389</v>
      </c>
      <c r="B4814" s="397">
        <v>44467</v>
      </c>
      <c r="C4814" s="398" t="s">
        <v>4570</v>
      </c>
      <c r="D4814" s="399" t="s">
        <v>4571</v>
      </c>
      <c r="E4814" s="399" t="s">
        <v>4272</v>
      </c>
      <c r="F4814" s="400">
        <v>86576.577000000005</v>
      </c>
      <c r="G4814" s="401" t="s">
        <v>3800</v>
      </c>
      <c r="H4814" s="402">
        <v>32.214489295637286</v>
      </c>
      <c r="I4814" s="402"/>
      <c r="J4814" s="400"/>
      <c r="K4814" s="400"/>
      <c r="L4814" s="400"/>
      <c r="M4814" s="400"/>
      <c r="N4814" s="400">
        <f t="shared" si="249"/>
        <v>32.214489295637286</v>
      </c>
    </row>
    <row r="4815" spans="1:14" s="360" customFormat="1" hidden="1" outlineLevel="2" x14ac:dyDescent="0.35">
      <c r="A4815" s="403" t="s">
        <v>7389</v>
      </c>
      <c r="B4815" s="397">
        <v>44467</v>
      </c>
      <c r="C4815" s="398" t="s">
        <v>4572</v>
      </c>
      <c r="D4815" s="399" t="s">
        <v>4573</v>
      </c>
      <c r="E4815" s="399" t="s">
        <v>4042</v>
      </c>
      <c r="F4815" s="400">
        <v>5194.5946199999998</v>
      </c>
      <c r="G4815" s="401" t="s">
        <v>3800</v>
      </c>
      <c r="H4815" s="402">
        <v>1.932869357738237</v>
      </c>
      <c r="I4815" s="402"/>
      <c r="J4815" s="400"/>
      <c r="K4815" s="400"/>
      <c r="L4815" s="400"/>
      <c r="M4815" s="400"/>
      <c r="N4815" s="400">
        <f t="shared" si="249"/>
        <v>1.932869357738237</v>
      </c>
    </row>
    <row r="4816" spans="1:14" s="360" customFormat="1" hidden="1" outlineLevel="2" x14ac:dyDescent="0.35">
      <c r="A4816" s="403" t="s">
        <v>7389</v>
      </c>
      <c r="B4816" s="397">
        <v>44467</v>
      </c>
      <c r="C4816" s="398" t="s">
        <v>4568</v>
      </c>
      <c r="D4816" s="399" t="s">
        <v>4569</v>
      </c>
      <c r="E4816" s="399" t="s">
        <v>7392</v>
      </c>
      <c r="F4816" s="400">
        <v>865765.77</v>
      </c>
      <c r="G4816" s="401" t="s">
        <v>3800</v>
      </c>
      <c r="H4816" s="402">
        <v>322.14489295637287</v>
      </c>
      <c r="I4816" s="402"/>
      <c r="J4816" s="400"/>
      <c r="K4816" s="400"/>
      <c r="L4816" s="400"/>
      <c r="M4816" s="400"/>
      <c r="N4816" s="400">
        <f t="shared" si="249"/>
        <v>322.14489295637287</v>
      </c>
    </row>
    <row r="4817" spans="1:14" s="360" customFormat="1" hidden="1" outlineLevel="2" collapsed="1" x14ac:dyDescent="0.35">
      <c r="A4817" s="403" t="s">
        <v>7389</v>
      </c>
      <c r="B4817" s="397">
        <v>44467</v>
      </c>
      <c r="C4817" s="398" t="s">
        <v>4570</v>
      </c>
      <c r="D4817" s="399" t="s">
        <v>4571</v>
      </c>
      <c r="E4817" s="399" t="s">
        <v>4272</v>
      </c>
      <c r="F4817" s="400">
        <v>86576.577000000005</v>
      </c>
      <c r="G4817" s="401" t="s">
        <v>3800</v>
      </c>
      <c r="H4817" s="402">
        <v>32.214489295637286</v>
      </c>
      <c r="I4817" s="402"/>
      <c r="J4817" s="400"/>
      <c r="K4817" s="400"/>
      <c r="L4817" s="400"/>
      <c r="M4817" s="400"/>
      <c r="N4817" s="400">
        <f t="shared" si="249"/>
        <v>32.214489295637286</v>
      </c>
    </row>
    <row r="4818" spans="1:14" s="360" customFormat="1" hidden="1" outlineLevel="2" x14ac:dyDescent="0.35">
      <c r="A4818" s="403" t="s">
        <v>7389</v>
      </c>
      <c r="B4818" s="397">
        <v>44467</v>
      </c>
      <c r="C4818" s="398" t="s">
        <v>4572</v>
      </c>
      <c r="D4818" s="399" t="s">
        <v>4573</v>
      </c>
      <c r="E4818" s="399" t="s">
        <v>4042</v>
      </c>
      <c r="F4818" s="400">
        <v>5194.5946199999998</v>
      </c>
      <c r="G4818" s="401" t="s">
        <v>3800</v>
      </c>
      <c r="H4818" s="402">
        <v>1.932869357738237</v>
      </c>
      <c r="I4818" s="402"/>
      <c r="J4818" s="400"/>
      <c r="K4818" s="400"/>
      <c r="L4818" s="400"/>
      <c r="M4818" s="400"/>
      <c r="N4818" s="400">
        <f t="shared" si="249"/>
        <v>1.932869357738237</v>
      </c>
    </row>
    <row r="4819" spans="1:14" s="360" customFormat="1" hidden="1" outlineLevel="2" x14ac:dyDescent="0.35">
      <c r="A4819" s="403" t="s">
        <v>7389</v>
      </c>
      <c r="B4819" s="397">
        <v>44497</v>
      </c>
      <c r="C4819" s="398" t="s">
        <v>4574</v>
      </c>
      <c r="D4819" s="399" t="s">
        <v>4575</v>
      </c>
      <c r="E4819" s="399" t="s">
        <v>6655</v>
      </c>
      <c r="F4819" s="400">
        <v>865765.77</v>
      </c>
      <c r="G4819" s="401" t="s">
        <v>3800</v>
      </c>
      <c r="H4819" s="402">
        <v>322.14489295637287</v>
      </c>
      <c r="I4819" s="402"/>
      <c r="J4819" s="400"/>
      <c r="K4819" s="400"/>
      <c r="L4819" s="400"/>
      <c r="M4819" s="400"/>
      <c r="N4819" s="400">
        <f t="shared" si="249"/>
        <v>322.14489295637287</v>
      </c>
    </row>
    <row r="4820" spans="1:14" s="360" customFormat="1" hidden="1" outlineLevel="2" x14ac:dyDescent="0.35">
      <c r="A4820" s="403" t="s">
        <v>7389</v>
      </c>
      <c r="B4820" s="397">
        <v>44497</v>
      </c>
      <c r="C4820" s="398" t="s">
        <v>4576</v>
      </c>
      <c r="D4820" s="399" t="s">
        <v>4577</v>
      </c>
      <c r="E4820" s="399" t="s">
        <v>4272</v>
      </c>
      <c r="F4820" s="400">
        <v>86576.577000000005</v>
      </c>
      <c r="G4820" s="401" t="s">
        <v>3800</v>
      </c>
      <c r="H4820" s="402">
        <v>32.214489295637286</v>
      </c>
      <c r="I4820" s="402"/>
      <c r="J4820" s="400"/>
      <c r="K4820" s="400"/>
      <c r="L4820" s="400"/>
      <c r="M4820" s="400"/>
      <c r="N4820" s="400">
        <f t="shared" si="249"/>
        <v>32.214489295637286</v>
      </c>
    </row>
    <row r="4821" spans="1:14" s="360" customFormat="1" hidden="1" outlineLevel="2" collapsed="1" x14ac:dyDescent="0.35">
      <c r="A4821" s="403" t="s">
        <v>7389</v>
      </c>
      <c r="B4821" s="397">
        <v>44497</v>
      </c>
      <c r="C4821" s="398" t="s">
        <v>4578</v>
      </c>
      <c r="D4821" s="399" t="s">
        <v>4579</v>
      </c>
      <c r="E4821" s="399" t="s">
        <v>4042</v>
      </c>
      <c r="F4821" s="400">
        <v>5194.5946199999998</v>
      </c>
      <c r="G4821" s="401" t="s">
        <v>3800</v>
      </c>
      <c r="H4821" s="402">
        <v>1.932869357738237</v>
      </c>
      <c r="I4821" s="402"/>
      <c r="J4821" s="400"/>
      <c r="K4821" s="400"/>
      <c r="L4821" s="400"/>
      <c r="M4821" s="400"/>
      <c r="N4821" s="400">
        <f t="shared" si="249"/>
        <v>1.932869357738237</v>
      </c>
    </row>
    <row r="4822" spans="1:14" s="360" customFormat="1" hidden="1" outlineLevel="2" x14ac:dyDescent="0.35">
      <c r="A4822" s="403" t="s">
        <v>7389</v>
      </c>
      <c r="B4822" s="397">
        <v>44497</v>
      </c>
      <c r="C4822" s="398" t="s">
        <v>4574</v>
      </c>
      <c r="D4822" s="399" t="s">
        <v>4575</v>
      </c>
      <c r="E4822" s="399" t="s">
        <v>7390</v>
      </c>
      <c r="F4822" s="400">
        <v>865765.77</v>
      </c>
      <c r="G4822" s="401" t="s">
        <v>3800</v>
      </c>
      <c r="H4822" s="402">
        <v>322.14489295637287</v>
      </c>
      <c r="I4822" s="402"/>
      <c r="J4822" s="400"/>
      <c r="K4822" s="400"/>
      <c r="L4822" s="400"/>
      <c r="M4822" s="400"/>
      <c r="N4822" s="400">
        <f t="shared" si="249"/>
        <v>322.14489295637287</v>
      </c>
    </row>
    <row r="4823" spans="1:14" s="360" customFormat="1" hidden="1" outlineLevel="2" x14ac:dyDescent="0.35">
      <c r="A4823" s="403" t="s">
        <v>7389</v>
      </c>
      <c r="B4823" s="397">
        <v>44497</v>
      </c>
      <c r="C4823" s="398" t="s">
        <v>4576</v>
      </c>
      <c r="D4823" s="399" t="s">
        <v>4577</v>
      </c>
      <c r="E4823" s="399" t="s">
        <v>4272</v>
      </c>
      <c r="F4823" s="400">
        <v>86576.577000000005</v>
      </c>
      <c r="G4823" s="401" t="s">
        <v>3800</v>
      </c>
      <c r="H4823" s="402">
        <v>32.214489295637286</v>
      </c>
      <c r="I4823" s="402"/>
      <c r="J4823" s="400"/>
      <c r="K4823" s="400"/>
      <c r="L4823" s="400"/>
      <c r="M4823" s="400"/>
      <c r="N4823" s="400">
        <f t="shared" si="249"/>
        <v>32.214489295637286</v>
      </c>
    </row>
    <row r="4824" spans="1:14" s="360" customFormat="1" hidden="1" outlineLevel="2" x14ac:dyDescent="0.35">
      <c r="A4824" s="403" t="s">
        <v>7389</v>
      </c>
      <c r="B4824" s="397">
        <v>44497</v>
      </c>
      <c r="C4824" s="398" t="s">
        <v>4578</v>
      </c>
      <c r="D4824" s="399" t="s">
        <v>4579</v>
      </c>
      <c r="E4824" s="399" t="s">
        <v>4042</v>
      </c>
      <c r="F4824" s="400">
        <v>5194.5946199999998</v>
      </c>
      <c r="G4824" s="401" t="s">
        <v>3800</v>
      </c>
      <c r="H4824" s="402">
        <v>1.932869357738237</v>
      </c>
      <c r="I4824" s="402"/>
      <c r="J4824" s="400"/>
      <c r="K4824" s="400"/>
      <c r="L4824" s="400"/>
      <c r="M4824" s="400"/>
      <c r="N4824" s="400">
        <f t="shared" si="249"/>
        <v>1.932869357738237</v>
      </c>
    </row>
    <row r="4825" spans="1:14" s="360" customFormat="1" hidden="1" outlineLevel="2" x14ac:dyDescent="0.35">
      <c r="A4825" s="403" t="s">
        <v>7389</v>
      </c>
      <c r="B4825" s="397">
        <v>44497</v>
      </c>
      <c r="C4825" s="398" t="s">
        <v>4574</v>
      </c>
      <c r="D4825" s="399" t="s">
        <v>4575</v>
      </c>
      <c r="E4825" s="399" t="s">
        <v>7391</v>
      </c>
      <c r="F4825" s="400">
        <v>865765.77</v>
      </c>
      <c r="G4825" s="401" t="s">
        <v>3800</v>
      </c>
      <c r="H4825" s="402">
        <v>322.14489295637287</v>
      </c>
      <c r="I4825" s="402"/>
      <c r="J4825" s="400"/>
      <c r="K4825" s="400"/>
      <c r="L4825" s="400"/>
      <c r="M4825" s="400"/>
      <c r="N4825" s="400">
        <f t="shared" si="249"/>
        <v>322.14489295637287</v>
      </c>
    </row>
    <row r="4826" spans="1:14" s="360" customFormat="1" hidden="1" outlineLevel="2" x14ac:dyDescent="0.35">
      <c r="A4826" s="403" t="s">
        <v>7389</v>
      </c>
      <c r="B4826" s="397">
        <v>44497</v>
      </c>
      <c r="C4826" s="398" t="s">
        <v>4576</v>
      </c>
      <c r="D4826" s="399" t="s">
        <v>4577</v>
      </c>
      <c r="E4826" s="399" t="s">
        <v>4272</v>
      </c>
      <c r="F4826" s="400">
        <v>86576.577000000005</v>
      </c>
      <c r="G4826" s="401" t="s">
        <v>3800</v>
      </c>
      <c r="H4826" s="402">
        <v>32.214489295637286</v>
      </c>
      <c r="I4826" s="402"/>
      <c r="J4826" s="400"/>
      <c r="K4826" s="400"/>
      <c r="L4826" s="400"/>
      <c r="M4826" s="400"/>
      <c r="N4826" s="400">
        <f t="shared" si="249"/>
        <v>32.214489295637286</v>
      </c>
    </row>
    <row r="4827" spans="1:14" s="360" customFormat="1" hidden="1" outlineLevel="2" x14ac:dyDescent="0.35">
      <c r="A4827" s="403" t="s">
        <v>7389</v>
      </c>
      <c r="B4827" s="397">
        <v>44497</v>
      </c>
      <c r="C4827" s="398" t="s">
        <v>4578</v>
      </c>
      <c r="D4827" s="399" t="s">
        <v>4579</v>
      </c>
      <c r="E4827" s="399" t="s">
        <v>4042</v>
      </c>
      <c r="F4827" s="400">
        <v>5194.5946199999998</v>
      </c>
      <c r="G4827" s="401" t="s">
        <v>3800</v>
      </c>
      <c r="H4827" s="402">
        <v>1.932869357738237</v>
      </c>
      <c r="I4827" s="402"/>
      <c r="J4827" s="400"/>
      <c r="K4827" s="400"/>
      <c r="L4827" s="400"/>
      <c r="M4827" s="400"/>
      <c r="N4827" s="400">
        <f t="shared" si="249"/>
        <v>1.932869357738237</v>
      </c>
    </row>
    <row r="4828" spans="1:14" s="360" customFormat="1" hidden="1" outlineLevel="2" x14ac:dyDescent="0.35">
      <c r="A4828" s="403" t="s">
        <v>7389</v>
      </c>
      <c r="B4828" s="397">
        <v>44497</v>
      </c>
      <c r="C4828" s="398" t="s">
        <v>4574</v>
      </c>
      <c r="D4828" s="399" t="s">
        <v>4575</v>
      </c>
      <c r="E4828" s="399" t="s">
        <v>7392</v>
      </c>
      <c r="F4828" s="400">
        <v>865765.77</v>
      </c>
      <c r="G4828" s="401" t="s">
        <v>3800</v>
      </c>
      <c r="H4828" s="402">
        <v>322.14489295637287</v>
      </c>
      <c r="I4828" s="402"/>
      <c r="J4828" s="400"/>
      <c r="K4828" s="400"/>
      <c r="L4828" s="400"/>
      <c r="M4828" s="400"/>
      <c r="N4828" s="400">
        <f t="shared" si="249"/>
        <v>322.14489295637287</v>
      </c>
    </row>
    <row r="4829" spans="1:14" s="360" customFormat="1" hidden="1" outlineLevel="2" x14ac:dyDescent="0.35">
      <c r="A4829" s="403" t="s">
        <v>7389</v>
      </c>
      <c r="B4829" s="397">
        <v>44497</v>
      </c>
      <c r="C4829" s="398" t="s">
        <v>4576</v>
      </c>
      <c r="D4829" s="399" t="s">
        <v>4577</v>
      </c>
      <c r="E4829" s="399" t="s">
        <v>4272</v>
      </c>
      <c r="F4829" s="400">
        <v>86576.577000000005</v>
      </c>
      <c r="G4829" s="401" t="s">
        <v>3800</v>
      </c>
      <c r="H4829" s="402">
        <v>32.214489295637286</v>
      </c>
      <c r="I4829" s="402"/>
      <c r="J4829" s="400"/>
      <c r="K4829" s="400"/>
      <c r="L4829" s="400"/>
      <c r="M4829" s="400"/>
      <c r="N4829" s="400">
        <f t="shared" si="249"/>
        <v>32.214489295637286</v>
      </c>
    </row>
    <row r="4830" spans="1:14" s="360" customFormat="1" hidden="1" outlineLevel="2" x14ac:dyDescent="0.35">
      <c r="A4830" s="403" t="s">
        <v>7389</v>
      </c>
      <c r="B4830" s="397">
        <v>44497</v>
      </c>
      <c r="C4830" s="398" t="s">
        <v>4578</v>
      </c>
      <c r="D4830" s="399" t="s">
        <v>4579</v>
      </c>
      <c r="E4830" s="399" t="s">
        <v>4042</v>
      </c>
      <c r="F4830" s="400">
        <v>5194.5946199999998</v>
      </c>
      <c r="G4830" s="401" t="s">
        <v>3800</v>
      </c>
      <c r="H4830" s="402">
        <v>1.932869357738237</v>
      </c>
      <c r="I4830" s="402"/>
      <c r="J4830" s="400"/>
      <c r="K4830" s="400"/>
      <c r="L4830" s="400"/>
      <c r="M4830" s="400"/>
      <c r="N4830" s="400">
        <f t="shared" si="249"/>
        <v>1.932869357738237</v>
      </c>
    </row>
    <row r="4831" spans="1:14" s="360" customFormat="1" hidden="1" outlineLevel="2" x14ac:dyDescent="0.35">
      <c r="A4831" s="403" t="s">
        <v>7389</v>
      </c>
      <c r="B4831" s="397">
        <v>44525</v>
      </c>
      <c r="C4831" s="398" t="s">
        <v>4580</v>
      </c>
      <c r="D4831" s="399" t="s">
        <v>4581</v>
      </c>
      <c r="E4831" s="399" t="s">
        <v>6655</v>
      </c>
      <c r="F4831" s="400">
        <v>865765.77</v>
      </c>
      <c r="G4831" s="401" t="s">
        <v>3800</v>
      </c>
      <c r="H4831" s="402">
        <v>322.14489295637287</v>
      </c>
      <c r="I4831" s="402"/>
      <c r="J4831" s="400"/>
      <c r="K4831" s="400"/>
      <c r="L4831" s="400"/>
      <c r="M4831" s="400"/>
      <c r="N4831" s="400">
        <f t="shared" si="249"/>
        <v>322.14489295637287</v>
      </c>
    </row>
    <row r="4832" spans="1:14" s="360" customFormat="1" hidden="1" outlineLevel="2" x14ac:dyDescent="0.35">
      <c r="A4832" s="403" t="s">
        <v>7389</v>
      </c>
      <c r="B4832" s="397">
        <v>44525</v>
      </c>
      <c r="C4832" s="398" t="s">
        <v>4582</v>
      </c>
      <c r="D4832" s="399" t="s">
        <v>4583</v>
      </c>
      <c r="E4832" s="399" t="s">
        <v>4272</v>
      </c>
      <c r="F4832" s="400">
        <v>86576.577000000005</v>
      </c>
      <c r="G4832" s="401" t="s">
        <v>3800</v>
      </c>
      <c r="H4832" s="402">
        <v>32.214489295637286</v>
      </c>
      <c r="I4832" s="402"/>
      <c r="J4832" s="400"/>
      <c r="K4832" s="400"/>
      <c r="L4832" s="400"/>
      <c r="M4832" s="400"/>
      <c r="N4832" s="400">
        <f t="shared" si="249"/>
        <v>32.214489295637286</v>
      </c>
    </row>
    <row r="4833" spans="1:14" s="360" customFormat="1" hidden="1" outlineLevel="2" x14ac:dyDescent="0.35">
      <c r="A4833" s="403" t="s">
        <v>7389</v>
      </c>
      <c r="B4833" s="397">
        <v>44525</v>
      </c>
      <c r="C4833" s="398" t="s">
        <v>4584</v>
      </c>
      <c r="D4833" s="399" t="s">
        <v>4585</v>
      </c>
      <c r="E4833" s="399" t="s">
        <v>4042</v>
      </c>
      <c r="F4833" s="400">
        <v>5194.5946199999998</v>
      </c>
      <c r="G4833" s="401" t="s">
        <v>3800</v>
      </c>
      <c r="H4833" s="402">
        <v>1.932869357738237</v>
      </c>
      <c r="I4833" s="402"/>
      <c r="J4833" s="400"/>
      <c r="K4833" s="400"/>
      <c r="L4833" s="400"/>
      <c r="M4833" s="400"/>
      <c r="N4833" s="400">
        <f t="shared" si="249"/>
        <v>1.932869357738237</v>
      </c>
    </row>
    <row r="4834" spans="1:14" s="360" customFormat="1" hidden="1" outlineLevel="2" x14ac:dyDescent="0.35">
      <c r="A4834" s="403" t="s">
        <v>7389</v>
      </c>
      <c r="B4834" s="397">
        <v>44525</v>
      </c>
      <c r="C4834" s="398" t="s">
        <v>4580</v>
      </c>
      <c r="D4834" s="399" t="s">
        <v>4581</v>
      </c>
      <c r="E4834" s="399" t="s">
        <v>7390</v>
      </c>
      <c r="F4834" s="400">
        <v>865765.77</v>
      </c>
      <c r="G4834" s="401" t="s">
        <v>3800</v>
      </c>
      <c r="H4834" s="402">
        <v>322.14489295637287</v>
      </c>
      <c r="I4834" s="402"/>
      <c r="J4834" s="400"/>
      <c r="K4834" s="400"/>
      <c r="L4834" s="400"/>
      <c r="M4834" s="400"/>
      <c r="N4834" s="400">
        <f t="shared" si="249"/>
        <v>322.14489295637287</v>
      </c>
    </row>
    <row r="4835" spans="1:14" s="360" customFormat="1" hidden="1" outlineLevel="2" x14ac:dyDescent="0.35">
      <c r="A4835" s="403" t="s">
        <v>7389</v>
      </c>
      <c r="B4835" s="397">
        <v>44525</v>
      </c>
      <c r="C4835" s="398" t="s">
        <v>4582</v>
      </c>
      <c r="D4835" s="399" t="s">
        <v>4583</v>
      </c>
      <c r="E4835" s="399" t="s">
        <v>4272</v>
      </c>
      <c r="F4835" s="400">
        <v>86576.577000000005</v>
      </c>
      <c r="G4835" s="401" t="s">
        <v>3800</v>
      </c>
      <c r="H4835" s="402">
        <v>32.214489295637286</v>
      </c>
      <c r="I4835" s="402"/>
      <c r="J4835" s="400"/>
      <c r="K4835" s="400"/>
      <c r="L4835" s="400"/>
      <c r="M4835" s="400"/>
      <c r="N4835" s="400">
        <f t="shared" si="249"/>
        <v>32.214489295637286</v>
      </c>
    </row>
    <row r="4836" spans="1:14" s="360" customFormat="1" hidden="1" outlineLevel="2" x14ac:dyDescent="0.35">
      <c r="A4836" s="403" t="s">
        <v>7389</v>
      </c>
      <c r="B4836" s="397">
        <v>44525</v>
      </c>
      <c r="C4836" s="398" t="s">
        <v>4584</v>
      </c>
      <c r="D4836" s="399" t="s">
        <v>4585</v>
      </c>
      <c r="E4836" s="399" t="s">
        <v>4042</v>
      </c>
      <c r="F4836" s="400">
        <v>5194.5946199999998</v>
      </c>
      <c r="G4836" s="401" t="s">
        <v>3800</v>
      </c>
      <c r="H4836" s="402">
        <v>1.932869357738237</v>
      </c>
      <c r="I4836" s="402"/>
      <c r="J4836" s="400"/>
      <c r="K4836" s="400"/>
      <c r="L4836" s="400"/>
      <c r="M4836" s="400"/>
      <c r="N4836" s="400">
        <f t="shared" si="249"/>
        <v>1.932869357738237</v>
      </c>
    </row>
    <row r="4837" spans="1:14" s="360" customFormat="1" hidden="1" outlineLevel="2" x14ac:dyDescent="0.35">
      <c r="A4837" s="403" t="s">
        <v>7389</v>
      </c>
      <c r="B4837" s="397">
        <v>44525</v>
      </c>
      <c r="C4837" s="398" t="s">
        <v>4580</v>
      </c>
      <c r="D4837" s="399" t="s">
        <v>4581</v>
      </c>
      <c r="E4837" s="399" t="s">
        <v>7391</v>
      </c>
      <c r="F4837" s="400">
        <v>865765.77</v>
      </c>
      <c r="G4837" s="401" t="s">
        <v>3800</v>
      </c>
      <c r="H4837" s="402">
        <v>322.14489295637287</v>
      </c>
      <c r="I4837" s="402"/>
      <c r="J4837" s="400"/>
      <c r="K4837" s="400"/>
      <c r="L4837" s="400"/>
      <c r="M4837" s="400"/>
      <c r="N4837" s="400">
        <f t="shared" si="249"/>
        <v>322.14489295637287</v>
      </c>
    </row>
    <row r="4838" spans="1:14" s="360" customFormat="1" hidden="1" outlineLevel="2" x14ac:dyDescent="0.35">
      <c r="A4838" s="403" t="s">
        <v>7389</v>
      </c>
      <c r="B4838" s="397">
        <v>44525</v>
      </c>
      <c r="C4838" s="398" t="s">
        <v>4582</v>
      </c>
      <c r="D4838" s="399" t="s">
        <v>4583</v>
      </c>
      <c r="E4838" s="399" t="s">
        <v>4272</v>
      </c>
      <c r="F4838" s="400">
        <v>86576.577000000005</v>
      </c>
      <c r="G4838" s="401" t="s">
        <v>3800</v>
      </c>
      <c r="H4838" s="402">
        <v>32.214489295637286</v>
      </c>
      <c r="I4838" s="402"/>
      <c r="J4838" s="400"/>
      <c r="K4838" s="400"/>
      <c r="L4838" s="400"/>
      <c r="M4838" s="400"/>
      <c r="N4838" s="400">
        <f t="shared" si="249"/>
        <v>32.214489295637286</v>
      </c>
    </row>
    <row r="4839" spans="1:14" s="360" customFormat="1" hidden="1" outlineLevel="2" x14ac:dyDescent="0.35">
      <c r="A4839" s="403" t="s">
        <v>7389</v>
      </c>
      <c r="B4839" s="397">
        <v>44525</v>
      </c>
      <c r="C4839" s="398" t="s">
        <v>4584</v>
      </c>
      <c r="D4839" s="399" t="s">
        <v>4585</v>
      </c>
      <c r="E4839" s="399" t="s">
        <v>4042</v>
      </c>
      <c r="F4839" s="400">
        <v>5194.5946199999998</v>
      </c>
      <c r="G4839" s="401" t="s">
        <v>3800</v>
      </c>
      <c r="H4839" s="402">
        <v>1.932869357738237</v>
      </c>
      <c r="I4839" s="402"/>
      <c r="J4839" s="400"/>
      <c r="K4839" s="400"/>
      <c r="L4839" s="400"/>
      <c r="M4839" s="400"/>
      <c r="N4839" s="400">
        <f t="shared" si="249"/>
        <v>1.932869357738237</v>
      </c>
    </row>
    <row r="4840" spans="1:14" s="360" customFormat="1" hidden="1" outlineLevel="2" x14ac:dyDescent="0.35">
      <c r="A4840" s="403" t="s">
        <v>7389</v>
      </c>
      <c r="B4840" s="397">
        <v>44525</v>
      </c>
      <c r="C4840" s="398" t="s">
        <v>4580</v>
      </c>
      <c r="D4840" s="399" t="s">
        <v>4581</v>
      </c>
      <c r="E4840" s="399" t="s">
        <v>7392</v>
      </c>
      <c r="F4840" s="400">
        <v>865765.77</v>
      </c>
      <c r="G4840" s="401" t="s">
        <v>3800</v>
      </c>
      <c r="H4840" s="402">
        <v>322.14489295637287</v>
      </c>
      <c r="I4840" s="402"/>
      <c r="J4840" s="400"/>
      <c r="K4840" s="400"/>
      <c r="L4840" s="400"/>
      <c r="M4840" s="400"/>
      <c r="N4840" s="400">
        <f t="shared" si="249"/>
        <v>322.14489295637287</v>
      </c>
    </row>
    <row r="4841" spans="1:14" s="360" customFormat="1" hidden="1" outlineLevel="2" x14ac:dyDescent="0.35">
      <c r="A4841" s="403" t="s">
        <v>7389</v>
      </c>
      <c r="B4841" s="397">
        <v>44525</v>
      </c>
      <c r="C4841" s="398" t="s">
        <v>4582</v>
      </c>
      <c r="D4841" s="399" t="s">
        <v>4583</v>
      </c>
      <c r="E4841" s="399" t="s">
        <v>4272</v>
      </c>
      <c r="F4841" s="400">
        <v>86576.577000000005</v>
      </c>
      <c r="G4841" s="401" t="s">
        <v>3800</v>
      </c>
      <c r="H4841" s="402">
        <v>32.214489295637286</v>
      </c>
      <c r="I4841" s="402"/>
      <c r="J4841" s="400"/>
      <c r="K4841" s="400"/>
      <c r="L4841" s="400"/>
      <c r="M4841" s="400"/>
      <c r="N4841" s="400">
        <f t="shared" si="249"/>
        <v>32.214489295637286</v>
      </c>
    </row>
    <row r="4842" spans="1:14" s="360" customFormat="1" hidden="1" outlineLevel="2" x14ac:dyDescent="0.35">
      <c r="A4842" s="403" t="s">
        <v>7389</v>
      </c>
      <c r="B4842" s="397">
        <v>44525</v>
      </c>
      <c r="C4842" s="398" t="s">
        <v>4584</v>
      </c>
      <c r="D4842" s="399" t="s">
        <v>4585</v>
      </c>
      <c r="E4842" s="399" t="s">
        <v>4042</v>
      </c>
      <c r="F4842" s="400">
        <v>5194.5946199999998</v>
      </c>
      <c r="G4842" s="401" t="s">
        <v>3800</v>
      </c>
      <c r="H4842" s="402">
        <v>1.932869357738237</v>
      </c>
      <c r="I4842" s="402"/>
      <c r="J4842" s="400"/>
      <c r="K4842" s="400"/>
      <c r="L4842" s="400"/>
      <c r="M4842" s="400"/>
      <c r="N4842" s="400">
        <f t="shared" si="249"/>
        <v>1.932869357738237</v>
      </c>
    </row>
    <row r="4843" spans="1:14" s="360" customFormat="1" hidden="1" outlineLevel="2" x14ac:dyDescent="0.35">
      <c r="A4843" s="403" t="s">
        <v>7389</v>
      </c>
      <c r="B4843" s="397">
        <v>44547</v>
      </c>
      <c r="C4843" s="398" t="s">
        <v>4586</v>
      </c>
      <c r="D4843" s="399" t="s">
        <v>4587</v>
      </c>
      <c r="E4843" s="399" t="s">
        <v>6655</v>
      </c>
      <c r="F4843" s="400">
        <v>865765.77</v>
      </c>
      <c r="G4843" s="401" t="s">
        <v>3800</v>
      </c>
      <c r="H4843" s="402">
        <v>322.14489295637287</v>
      </c>
      <c r="I4843" s="402"/>
      <c r="J4843" s="400"/>
      <c r="K4843" s="400"/>
      <c r="L4843" s="400"/>
      <c r="M4843" s="400"/>
      <c r="N4843" s="400">
        <f t="shared" si="249"/>
        <v>322.14489295637287</v>
      </c>
    </row>
    <row r="4844" spans="1:14" s="360" customFormat="1" hidden="1" outlineLevel="2" x14ac:dyDescent="0.35">
      <c r="A4844" s="403" t="s">
        <v>7389</v>
      </c>
      <c r="B4844" s="397">
        <v>44547</v>
      </c>
      <c r="C4844" s="398" t="s">
        <v>4588</v>
      </c>
      <c r="D4844" s="399" t="s">
        <v>4589</v>
      </c>
      <c r="E4844" s="399" t="s">
        <v>4272</v>
      </c>
      <c r="F4844" s="400">
        <v>86576.577000000005</v>
      </c>
      <c r="G4844" s="401" t="s">
        <v>3800</v>
      </c>
      <c r="H4844" s="402">
        <v>32.214489295637286</v>
      </c>
      <c r="I4844" s="402"/>
      <c r="J4844" s="400"/>
      <c r="K4844" s="400"/>
      <c r="L4844" s="400"/>
      <c r="M4844" s="400"/>
      <c r="N4844" s="400">
        <f t="shared" si="249"/>
        <v>32.214489295637286</v>
      </c>
    </row>
    <row r="4845" spans="1:14" s="360" customFormat="1" hidden="1" outlineLevel="2" x14ac:dyDescent="0.35">
      <c r="A4845" s="403" t="s">
        <v>7389</v>
      </c>
      <c r="B4845" s="397">
        <v>44547</v>
      </c>
      <c r="C4845" s="398" t="s">
        <v>4590</v>
      </c>
      <c r="D4845" s="399" t="s">
        <v>4591</v>
      </c>
      <c r="E4845" s="399" t="s">
        <v>4042</v>
      </c>
      <c r="F4845" s="400">
        <v>5194.5946199999998</v>
      </c>
      <c r="G4845" s="401" t="s">
        <v>3800</v>
      </c>
      <c r="H4845" s="402">
        <v>1.932869357738237</v>
      </c>
      <c r="I4845" s="402"/>
      <c r="J4845" s="400"/>
      <c r="K4845" s="400"/>
      <c r="L4845" s="400"/>
      <c r="M4845" s="400"/>
      <c r="N4845" s="400">
        <f t="shared" si="249"/>
        <v>1.932869357738237</v>
      </c>
    </row>
    <row r="4846" spans="1:14" s="360" customFormat="1" hidden="1" outlineLevel="2" x14ac:dyDescent="0.35">
      <c r="A4846" s="403" t="s">
        <v>7389</v>
      </c>
      <c r="B4846" s="397">
        <v>44547</v>
      </c>
      <c r="C4846" s="398" t="s">
        <v>4586</v>
      </c>
      <c r="D4846" s="399" t="s">
        <v>4587</v>
      </c>
      <c r="E4846" s="399" t="s">
        <v>7390</v>
      </c>
      <c r="F4846" s="400">
        <v>865765.77</v>
      </c>
      <c r="G4846" s="401" t="s">
        <v>3800</v>
      </c>
      <c r="H4846" s="402">
        <v>322.14489295637287</v>
      </c>
      <c r="I4846" s="402"/>
      <c r="J4846" s="400"/>
      <c r="K4846" s="400"/>
      <c r="L4846" s="400"/>
      <c r="M4846" s="400"/>
      <c r="N4846" s="400">
        <f t="shared" si="249"/>
        <v>322.14489295637287</v>
      </c>
    </row>
    <row r="4847" spans="1:14" s="360" customFormat="1" hidden="1" outlineLevel="2" x14ac:dyDescent="0.35">
      <c r="A4847" s="403" t="s">
        <v>7389</v>
      </c>
      <c r="B4847" s="397">
        <v>44547</v>
      </c>
      <c r="C4847" s="398" t="s">
        <v>4588</v>
      </c>
      <c r="D4847" s="399" t="s">
        <v>4589</v>
      </c>
      <c r="E4847" s="399" t="s">
        <v>4272</v>
      </c>
      <c r="F4847" s="400">
        <v>86576.577000000005</v>
      </c>
      <c r="G4847" s="401" t="s">
        <v>3800</v>
      </c>
      <c r="H4847" s="402">
        <v>32.214489295637286</v>
      </c>
      <c r="I4847" s="402"/>
      <c r="J4847" s="400"/>
      <c r="K4847" s="400"/>
      <c r="L4847" s="400"/>
      <c r="M4847" s="400"/>
      <c r="N4847" s="400">
        <f t="shared" si="249"/>
        <v>32.214489295637286</v>
      </c>
    </row>
    <row r="4848" spans="1:14" s="360" customFormat="1" hidden="1" outlineLevel="2" x14ac:dyDescent="0.35">
      <c r="A4848" s="403" t="s">
        <v>7389</v>
      </c>
      <c r="B4848" s="397">
        <v>44547</v>
      </c>
      <c r="C4848" s="398" t="s">
        <v>4590</v>
      </c>
      <c r="D4848" s="399" t="s">
        <v>4591</v>
      </c>
      <c r="E4848" s="399" t="s">
        <v>4042</v>
      </c>
      <c r="F4848" s="400">
        <v>5194.5946199999998</v>
      </c>
      <c r="G4848" s="401" t="s">
        <v>3800</v>
      </c>
      <c r="H4848" s="402">
        <v>1.932869357738237</v>
      </c>
      <c r="I4848" s="402"/>
      <c r="J4848" s="400"/>
      <c r="K4848" s="400"/>
      <c r="L4848" s="400"/>
      <c r="M4848" s="400"/>
      <c r="N4848" s="400">
        <f t="shared" si="249"/>
        <v>1.932869357738237</v>
      </c>
    </row>
    <row r="4849" spans="1:14" s="360" customFormat="1" hidden="1" outlineLevel="2" x14ac:dyDescent="0.35">
      <c r="A4849" s="403" t="s">
        <v>7389</v>
      </c>
      <c r="B4849" s="397">
        <v>44547</v>
      </c>
      <c r="C4849" s="398" t="s">
        <v>4586</v>
      </c>
      <c r="D4849" s="399" t="s">
        <v>4587</v>
      </c>
      <c r="E4849" s="399" t="s">
        <v>7391</v>
      </c>
      <c r="F4849" s="400">
        <v>865765.77</v>
      </c>
      <c r="G4849" s="401" t="s">
        <v>3800</v>
      </c>
      <c r="H4849" s="402">
        <v>322.14489295637287</v>
      </c>
      <c r="I4849" s="402"/>
      <c r="J4849" s="400"/>
      <c r="K4849" s="400"/>
      <c r="L4849" s="400"/>
      <c r="M4849" s="400"/>
      <c r="N4849" s="400">
        <f t="shared" si="249"/>
        <v>322.14489295637287</v>
      </c>
    </row>
    <row r="4850" spans="1:14" s="360" customFormat="1" hidden="1" outlineLevel="2" x14ac:dyDescent="0.35">
      <c r="A4850" s="403" t="s">
        <v>7389</v>
      </c>
      <c r="B4850" s="397">
        <v>44547</v>
      </c>
      <c r="C4850" s="398" t="s">
        <v>4588</v>
      </c>
      <c r="D4850" s="399" t="s">
        <v>4589</v>
      </c>
      <c r="E4850" s="399" t="s">
        <v>4272</v>
      </c>
      <c r="F4850" s="400">
        <v>86576.577000000005</v>
      </c>
      <c r="G4850" s="401" t="s">
        <v>3800</v>
      </c>
      <c r="H4850" s="402">
        <v>32.214489295637286</v>
      </c>
      <c r="I4850" s="402"/>
      <c r="J4850" s="400"/>
      <c r="K4850" s="400"/>
      <c r="L4850" s="400"/>
      <c r="M4850" s="400"/>
      <c r="N4850" s="400">
        <f t="shared" si="249"/>
        <v>32.214489295637286</v>
      </c>
    </row>
    <row r="4851" spans="1:14" s="360" customFormat="1" hidden="1" outlineLevel="2" x14ac:dyDescent="0.35">
      <c r="A4851" s="403" t="s">
        <v>7389</v>
      </c>
      <c r="B4851" s="397">
        <v>44547</v>
      </c>
      <c r="C4851" s="398" t="s">
        <v>4590</v>
      </c>
      <c r="D4851" s="399" t="s">
        <v>4591</v>
      </c>
      <c r="E4851" s="399" t="s">
        <v>4042</v>
      </c>
      <c r="F4851" s="400">
        <v>5194.5946199999998</v>
      </c>
      <c r="G4851" s="401" t="s">
        <v>3800</v>
      </c>
      <c r="H4851" s="402">
        <v>1.932869357738237</v>
      </c>
      <c r="I4851" s="402"/>
      <c r="J4851" s="400"/>
      <c r="K4851" s="400"/>
      <c r="L4851" s="400"/>
      <c r="M4851" s="400"/>
      <c r="N4851" s="400">
        <f t="shared" si="249"/>
        <v>1.932869357738237</v>
      </c>
    </row>
    <row r="4852" spans="1:14" s="360" customFormat="1" hidden="1" outlineLevel="2" x14ac:dyDescent="0.35">
      <c r="A4852" s="403" t="s">
        <v>7389</v>
      </c>
      <c r="B4852" s="397">
        <v>44547</v>
      </c>
      <c r="C4852" s="398" t="s">
        <v>4586</v>
      </c>
      <c r="D4852" s="399" t="s">
        <v>4587</v>
      </c>
      <c r="E4852" s="399" t="s">
        <v>7392</v>
      </c>
      <c r="F4852" s="400">
        <v>865765.77</v>
      </c>
      <c r="G4852" s="401" t="s">
        <v>3800</v>
      </c>
      <c r="H4852" s="402">
        <v>322.14489295637287</v>
      </c>
      <c r="I4852" s="402"/>
      <c r="J4852" s="400"/>
      <c r="K4852" s="400"/>
      <c r="L4852" s="400"/>
      <c r="M4852" s="400"/>
      <c r="N4852" s="400">
        <f t="shared" si="249"/>
        <v>322.14489295637287</v>
      </c>
    </row>
    <row r="4853" spans="1:14" s="360" customFormat="1" hidden="1" outlineLevel="2" x14ac:dyDescent="0.35">
      <c r="A4853" s="403" t="s">
        <v>7389</v>
      </c>
      <c r="B4853" s="397">
        <v>44547</v>
      </c>
      <c r="C4853" s="398" t="s">
        <v>4588</v>
      </c>
      <c r="D4853" s="399" t="s">
        <v>4589</v>
      </c>
      <c r="E4853" s="399" t="s">
        <v>4272</v>
      </c>
      <c r="F4853" s="400">
        <v>86576.577000000005</v>
      </c>
      <c r="G4853" s="401" t="s">
        <v>3800</v>
      </c>
      <c r="H4853" s="402">
        <v>32.214489295637286</v>
      </c>
      <c r="I4853" s="402"/>
      <c r="J4853" s="400"/>
      <c r="K4853" s="400"/>
      <c r="L4853" s="400"/>
      <c r="M4853" s="400"/>
      <c r="N4853" s="400">
        <f t="shared" si="249"/>
        <v>32.214489295637286</v>
      </c>
    </row>
    <row r="4854" spans="1:14" s="360" customFormat="1" hidden="1" outlineLevel="2" x14ac:dyDescent="0.35">
      <c r="A4854" s="403" t="s">
        <v>7389</v>
      </c>
      <c r="B4854" s="397">
        <v>44547</v>
      </c>
      <c r="C4854" s="398" t="s">
        <v>4590</v>
      </c>
      <c r="D4854" s="399" t="s">
        <v>4591</v>
      </c>
      <c r="E4854" s="399" t="s">
        <v>4042</v>
      </c>
      <c r="F4854" s="400">
        <v>5194.5946199999998</v>
      </c>
      <c r="G4854" s="401" t="s">
        <v>3800</v>
      </c>
      <c r="H4854" s="402">
        <v>1.932869357738237</v>
      </c>
      <c r="I4854" s="402"/>
      <c r="J4854" s="400"/>
      <c r="K4854" s="400"/>
      <c r="L4854" s="400"/>
      <c r="M4854" s="400"/>
      <c r="N4854" s="400">
        <f t="shared" si="249"/>
        <v>1.932869357738237</v>
      </c>
    </row>
    <row r="4855" spans="1:14" s="360" customFormat="1" hidden="1" outlineLevel="2" x14ac:dyDescent="0.35">
      <c r="A4855" s="403" t="s">
        <v>7389</v>
      </c>
      <c r="B4855" s="397">
        <v>44587</v>
      </c>
      <c r="C4855" s="398" t="s">
        <v>4592</v>
      </c>
      <c r="D4855" s="399" t="s">
        <v>4593</v>
      </c>
      <c r="E4855" s="399" t="s">
        <v>6655</v>
      </c>
      <c r="F4855" s="400">
        <v>865765.77</v>
      </c>
      <c r="G4855" s="401" t="s">
        <v>3800</v>
      </c>
      <c r="H4855" s="402">
        <v>322.14489295637287</v>
      </c>
      <c r="I4855" s="402"/>
      <c r="J4855" s="400"/>
      <c r="K4855" s="400"/>
      <c r="L4855" s="400"/>
      <c r="M4855" s="400"/>
      <c r="N4855" s="400">
        <v>322.14489295637287</v>
      </c>
    </row>
    <row r="4856" spans="1:14" s="360" customFormat="1" hidden="1" outlineLevel="2" x14ac:dyDescent="0.35">
      <c r="A4856" s="403" t="s">
        <v>7389</v>
      </c>
      <c r="B4856" s="397">
        <v>44587</v>
      </c>
      <c r="C4856" s="398" t="s">
        <v>4594</v>
      </c>
      <c r="D4856" s="399" t="s">
        <v>4595</v>
      </c>
      <c r="E4856" s="399" t="s">
        <v>4272</v>
      </c>
      <c r="F4856" s="400">
        <v>86576.577000000005</v>
      </c>
      <c r="G4856" s="401" t="s">
        <v>3800</v>
      </c>
      <c r="H4856" s="402">
        <v>32.214489295637286</v>
      </c>
      <c r="I4856" s="402"/>
      <c r="J4856" s="400"/>
      <c r="K4856" s="400"/>
      <c r="L4856" s="400"/>
      <c r="M4856" s="400"/>
      <c r="N4856" s="400">
        <v>32.214489295637286</v>
      </c>
    </row>
    <row r="4857" spans="1:14" s="360" customFormat="1" hidden="1" outlineLevel="2" x14ac:dyDescent="0.35">
      <c r="A4857" s="403" t="s">
        <v>7389</v>
      </c>
      <c r="B4857" s="397">
        <v>44587</v>
      </c>
      <c r="C4857" s="398" t="s">
        <v>4596</v>
      </c>
      <c r="D4857" s="399" t="s">
        <v>4597</v>
      </c>
      <c r="E4857" s="399" t="s">
        <v>4042</v>
      </c>
      <c r="F4857" s="400">
        <v>5194.5946199999998</v>
      </c>
      <c r="G4857" s="401" t="s">
        <v>3800</v>
      </c>
      <c r="H4857" s="402">
        <v>1.932869357738237</v>
      </c>
      <c r="I4857" s="402"/>
      <c r="J4857" s="400"/>
      <c r="K4857" s="400"/>
      <c r="L4857" s="400"/>
      <c r="M4857" s="400"/>
      <c r="N4857" s="400">
        <v>1.932869357738237</v>
      </c>
    </row>
    <row r="4858" spans="1:14" s="360" customFormat="1" hidden="1" outlineLevel="2" x14ac:dyDescent="0.35">
      <c r="A4858" s="403" t="s">
        <v>7389</v>
      </c>
      <c r="B4858" s="397">
        <v>44587</v>
      </c>
      <c r="C4858" s="398" t="s">
        <v>4592</v>
      </c>
      <c r="D4858" s="399" t="s">
        <v>4593</v>
      </c>
      <c r="E4858" s="399" t="s">
        <v>7390</v>
      </c>
      <c r="F4858" s="400">
        <v>865765.77</v>
      </c>
      <c r="G4858" s="401" t="s">
        <v>3800</v>
      </c>
      <c r="H4858" s="402">
        <v>322.14489295637287</v>
      </c>
      <c r="I4858" s="402"/>
      <c r="J4858" s="400"/>
      <c r="K4858" s="400"/>
      <c r="L4858" s="400"/>
      <c r="M4858" s="400"/>
      <c r="N4858" s="400">
        <v>322.14489295637287</v>
      </c>
    </row>
    <row r="4859" spans="1:14" s="360" customFormat="1" hidden="1" outlineLevel="2" x14ac:dyDescent="0.35">
      <c r="A4859" s="403" t="s">
        <v>7389</v>
      </c>
      <c r="B4859" s="397">
        <v>44587</v>
      </c>
      <c r="C4859" s="398" t="s">
        <v>4594</v>
      </c>
      <c r="D4859" s="399" t="s">
        <v>4595</v>
      </c>
      <c r="E4859" s="399" t="s">
        <v>4272</v>
      </c>
      <c r="F4859" s="400">
        <v>86576.577000000005</v>
      </c>
      <c r="G4859" s="401" t="s">
        <v>3800</v>
      </c>
      <c r="H4859" s="402">
        <v>32.214489295637286</v>
      </c>
      <c r="I4859" s="402"/>
      <c r="J4859" s="400"/>
      <c r="K4859" s="400"/>
      <c r="L4859" s="400"/>
      <c r="M4859" s="400"/>
      <c r="N4859" s="400">
        <v>32.214489295637286</v>
      </c>
    </row>
    <row r="4860" spans="1:14" s="360" customFormat="1" hidden="1" outlineLevel="2" x14ac:dyDescent="0.35">
      <c r="A4860" s="403" t="s">
        <v>7389</v>
      </c>
      <c r="B4860" s="397">
        <v>44587</v>
      </c>
      <c r="C4860" s="398" t="s">
        <v>4596</v>
      </c>
      <c r="D4860" s="399" t="s">
        <v>4597</v>
      </c>
      <c r="E4860" s="399" t="s">
        <v>4042</v>
      </c>
      <c r="F4860" s="400">
        <v>5194.5946199999998</v>
      </c>
      <c r="G4860" s="401" t="s">
        <v>3800</v>
      </c>
      <c r="H4860" s="402">
        <v>1.932869357738237</v>
      </c>
      <c r="I4860" s="402"/>
      <c r="J4860" s="400"/>
      <c r="K4860" s="400"/>
      <c r="L4860" s="400"/>
      <c r="M4860" s="400"/>
      <c r="N4860" s="400">
        <v>1.932869357738237</v>
      </c>
    </row>
    <row r="4861" spans="1:14" s="360" customFormat="1" hidden="1" outlineLevel="2" x14ac:dyDescent="0.35">
      <c r="A4861" s="403" t="s">
        <v>7389</v>
      </c>
      <c r="B4861" s="397">
        <v>44587</v>
      </c>
      <c r="C4861" s="398" t="s">
        <v>4592</v>
      </c>
      <c r="D4861" s="399" t="s">
        <v>4593</v>
      </c>
      <c r="E4861" s="399" t="s">
        <v>7391</v>
      </c>
      <c r="F4861" s="400">
        <v>865765.77</v>
      </c>
      <c r="G4861" s="401" t="s">
        <v>3800</v>
      </c>
      <c r="H4861" s="402">
        <v>322.14489295637287</v>
      </c>
      <c r="I4861" s="402"/>
      <c r="J4861" s="400"/>
      <c r="K4861" s="400"/>
      <c r="L4861" s="400"/>
      <c r="M4861" s="400"/>
      <c r="N4861" s="400">
        <v>322.14489295637287</v>
      </c>
    </row>
    <row r="4862" spans="1:14" s="360" customFormat="1" hidden="1" outlineLevel="2" x14ac:dyDescent="0.35">
      <c r="A4862" s="403" t="s">
        <v>7389</v>
      </c>
      <c r="B4862" s="397">
        <v>44587</v>
      </c>
      <c r="C4862" s="398" t="s">
        <v>4594</v>
      </c>
      <c r="D4862" s="399" t="s">
        <v>4595</v>
      </c>
      <c r="E4862" s="399" t="s">
        <v>4272</v>
      </c>
      <c r="F4862" s="400">
        <v>86576.577000000005</v>
      </c>
      <c r="G4862" s="401" t="s">
        <v>3800</v>
      </c>
      <c r="H4862" s="402">
        <v>32.214489295637286</v>
      </c>
      <c r="I4862" s="402"/>
      <c r="J4862" s="400"/>
      <c r="K4862" s="400"/>
      <c r="L4862" s="400"/>
      <c r="M4862" s="400"/>
      <c r="N4862" s="400">
        <v>32.214489295637286</v>
      </c>
    </row>
    <row r="4863" spans="1:14" s="360" customFormat="1" hidden="1" outlineLevel="2" x14ac:dyDescent="0.35">
      <c r="A4863" s="403" t="s">
        <v>7389</v>
      </c>
      <c r="B4863" s="397">
        <v>44587</v>
      </c>
      <c r="C4863" s="398" t="s">
        <v>4596</v>
      </c>
      <c r="D4863" s="399" t="s">
        <v>4597</v>
      </c>
      <c r="E4863" s="399" t="s">
        <v>4042</v>
      </c>
      <c r="F4863" s="400">
        <v>5194.5946199999998</v>
      </c>
      <c r="G4863" s="401" t="s">
        <v>3800</v>
      </c>
      <c r="H4863" s="402">
        <v>1.932869357738237</v>
      </c>
      <c r="I4863" s="402"/>
      <c r="J4863" s="400"/>
      <c r="K4863" s="400"/>
      <c r="L4863" s="400"/>
      <c r="M4863" s="400"/>
      <c r="N4863" s="400">
        <v>1.932869357738237</v>
      </c>
    </row>
    <row r="4864" spans="1:14" s="360" customFormat="1" hidden="1" outlineLevel="2" x14ac:dyDescent="0.35">
      <c r="A4864" s="403" t="s">
        <v>7389</v>
      </c>
      <c r="B4864" s="397">
        <v>44587</v>
      </c>
      <c r="C4864" s="398" t="s">
        <v>4592</v>
      </c>
      <c r="D4864" s="399" t="s">
        <v>4593</v>
      </c>
      <c r="E4864" s="399" t="s">
        <v>7392</v>
      </c>
      <c r="F4864" s="400">
        <v>865765.77</v>
      </c>
      <c r="G4864" s="401" t="s">
        <v>3800</v>
      </c>
      <c r="H4864" s="402">
        <v>322.14489295637287</v>
      </c>
      <c r="I4864" s="402"/>
      <c r="J4864" s="400"/>
      <c r="K4864" s="400"/>
      <c r="L4864" s="400"/>
      <c r="M4864" s="400"/>
      <c r="N4864" s="400">
        <v>322.14489295637287</v>
      </c>
    </row>
    <row r="4865" spans="1:14" s="360" customFormat="1" hidden="1" outlineLevel="2" x14ac:dyDescent="0.35">
      <c r="A4865" s="403" t="s">
        <v>7389</v>
      </c>
      <c r="B4865" s="397">
        <v>44587</v>
      </c>
      <c r="C4865" s="398" t="s">
        <v>4594</v>
      </c>
      <c r="D4865" s="399" t="s">
        <v>4595</v>
      </c>
      <c r="E4865" s="399" t="s">
        <v>4272</v>
      </c>
      <c r="F4865" s="400">
        <v>86576.577000000005</v>
      </c>
      <c r="G4865" s="401" t="s">
        <v>3800</v>
      </c>
      <c r="H4865" s="402">
        <v>32.214489295637286</v>
      </c>
      <c r="I4865" s="402"/>
      <c r="J4865" s="400"/>
      <c r="K4865" s="400"/>
      <c r="L4865" s="400"/>
      <c r="M4865" s="400"/>
      <c r="N4865" s="400">
        <v>32.214489295637286</v>
      </c>
    </row>
    <row r="4866" spans="1:14" s="360" customFormat="1" hidden="1" outlineLevel="2" x14ac:dyDescent="0.35">
      <c r="A4866" s="403" t="s">
        <v>7389</v>
      </c>
      <c r="B4866" s="397">
        <v>44587</v>
      </c>
      <c r="C4866" s="398" t="s">
        <v>4596</v>
      </c>
      <c r="D4866" s="399" t="s">
        <v>4597</v>
      </c>
      <c r="E4866" s="399" t="s">
        <v>4042</v>
      </c>
      <c r="F4866" s="400">
        <v>5194.5946199999998</v>
      </c>
      <c r="G4866" s="401" t="s">
        <v>3800</v>
      </c>
      <c r="H4866" s="402">
        <v>1.932869357738237</v>
      </c>
      <c r="I4866" s="402"/>
      <c r="J4866" s="400"/>
      <c r="K4866" s="400"/>
      <c r="L4866" s="400"/>
      <c r="M4866" s="400"/>
      <c r="N4866" s="400">
        <v>1.932869357738237</v>
      </c>
    </row>
    <row r="4867" spans="1:14" s="360" customFormat="1" outlineLevel="1" collapsed="1" x14ac:dyDescent="0.35">
      <c r="A4867" s="396" t="s">
        <v>7393</v>
      </c>
      <c r="B4867" s="397"/>
      <c r="C4867" s="398"/>
      <c r="D4867" s="399"/>
      <c r="E4867" s="399"/>
      <c r="F4867" s="400"/>
      <c r="G4867" s="401"/>
      <c r="H4867" s="402">
        <f t="shared" ref="H4867:N4867" si="250">SUBTOTAL(9,H4732:H4866)</f>
        <v>15253.384023446773</v>
      </c>
      <c r="I4867" s="402"/>
      <c r="J4867" s="400">
        <f t="shared" si="250"/>
        <v>0</v>
      </c>
      <c r="K4867" s="400">
        <f t="shared" si="250"/>
        <v>0</v>
      </c>
      <c r="L4867" s="400">
        <f t="shared" si="250"/>
        <v>0</v>
      </c>
      <c r="M4867" s="400">
        <f t="shared" si="250"/>
        <v>0</v>
      </c>
      <c r="N4867" s="400">
        <f t="shared" si="250"/>
        <v>15253.384023446773</v>
      </c>
    </row>
    <row r="4868" spans="1:14" s="360" customFormat="1" hidden="1" outlineLevel="2" x14ac:dyDescent="0.35">
      <c r="A4868" s="403" t="s">
        <v>3846</v>
      </c>
      <c r="B4868" s="397">
        <v>44180</v>
      </c>
      <c r="C4868" s="398" t="s">
        <v>7394</v>
      </c>
      <c r="D4868" s="399" t="s">
        <v>6620</v>
      </c>
      <c r="E4868" s="399" t="s">
        <v>4268</v>
      </c>
      <c r="F4868" s="400">
        <v>427500</v>
      </c>
      <c r="G4868" s="401" t="s">
        <v>3800</v>
      </c>
      <c r="H4868" s="402">
        <v>164.14143617106276</v>
      </c>
      <c r="I4868" s="402"/>
      <c r="J4868" s="400">
        <v>41.035359042765691</v>
      </c>
      <c r="K4868" s="400">
        <v>41.035359042765691</v>
      </c>
      <c r="L4868" s="400">
        <v>41.035359042765691</v>
      </c>
      <c r="M4868" s="400">
        <v>41.035359042765691</v>
      </c>
      <c r="N4868" s="400"/>
    </row>
    <row r="4869" spans="1:14" s="360" customFormat="1" hidden="1" outlineLevel="2" x14ac:dyDescent="0.35">
      <c r="A4869" s="403" t="s">
        <v>3846</v>
      </c>
      <c r="B4869" s="397">
        <v>44180</v>
      </c>
      <c r="C4869" s="398" t="s">
        <v>7394</v>
      </c>
      <c r="D4869" s="399" t="s">
        <v>6171</v>
      </c>
      <c r="E4869" s="399" t="s">
        <v>7395</v>
      </c>
      <c r="F4869" s="400">
        <v>102000</v>
      </c>
      <c r="G4869" s="401" t="s">
        <v>3800</v>
      </c>
      <c r="H4869" s="402">
        <v>39.163570735551815</v>
      </c>
      <c r="I4869" s="402"/>
      <c r="J4869" s="400">
        <v>9.7908926838879538</v>
      </c>
      <c r="K4869" s="400">
        <v>9.7908926838879538</v>
      </c>
      <c r="L4869" s="400">
        <v>9.7908926838879538</v>
      </c>
      <c r="M4869" s="400">
        <v>9.7908926838879538</v>
      </c>
      <c r="N4869" s="400"/>
    </row>
    <row r="4870" spans="1:14" s="360" customFormat="1" hidden="1" outlineLevel="2" x14ac:dyDescent="0.35">
      <c r="A4870" s="403" t="s">
        <v>3846</v>
      </c>
      <c r="B4870" s="397">
        <v>44180</v>
      </c>
      <c r="C4870" s="398" t="s">
        <v>7394</v>
      </c>
      <c r="D4870" s="399" t="s">
        <v>7396</v>
      </c>
      <c r="E4870" s="399" t="s">
        <v>2812</v>
      </c>
      <c r="F4870" s="400">
        <v>543400</v>
      </c>
      <c r="G4870" s="401" t="s">
        <v>3800</v>
      </c>
      <c r="H4870" s="402">
        <v>208.64200331077311</v>
      </c>
      <c r="I4870" s="402"/>
      <c r="J4870" s="400">
        <v>52.160500827693276</v>
      </c>
      <c r="K4870" s="400">
        <v>52.160500827693276</v>
      </c>
      <c r="L4870" s="400">
        <v>52.160500827693276</v>
      </c>
      <c r="M4870" s="400">
        <v>52.160500827693276</v>
      </c>
      <c r="N4870" s="400"/>
    </row>
    <row r="4871" spans="1:14" s="360" customFormat="1" hidden="1" outlineLevel="2" x14ac:dyDescent="0.35">
      <c r="A4871" s="403" t="s">
        <v>3846</v>
      </c>
      <c r="B4871" s="397">
        <v>44179</v>
      </c>
      <c r="C4871" s="398" t="s">
        <v>7397</v>
      </c>
      <c r="D4871" s="399" t="s">
        <v>7398</v>
      </c>
      <c r="E4871" s="399" t="s">
        <v>4848</v>
      </c>
      <c r="F4871" s="400">
        <v>2400000</v>
      </c>
      <c r="G4871" s="401" t="s">
        <v>3800</v>
      </c>
      <c r="H4871" s="402">
        <v>921.49578201298391</v>
      </c>
      <c r="I4871" s="402"/>
      <c r="J4871" s="400">
        <v>230.37394550324598</v>
      </c>
      <c r="K4871" s="400">
        <v>230.37394550324598</v>
      </c>
      <c r="L4871" s="400">
        <v>230.37394550324598</v>
      </c>
      <c r="M4871" s="400">
        <v>230.37394550324598</v>
      </c>
      <c r="N4871" s="400"/>
    </row>
    <row r="4872" spans="1:14" s="360" customFormat="1" hidden="1" outlineLevel="2" x14ac:dyDescent="0.35">
      <c r="A4872" s="403" t="s">
        <v>3846</v>
      </c>
      <c r="B4872" s="397">
        <v>44179</v>
      </c>
      <c r="C4872" s="398" t="s">
        <v>7397</v>
      </c>
      <c r="D4872" s="399" t="s">
        <v>7399</v>
      </c>
      <c r="E4872" s="399" t="s">
        <v>4813</v>
      </c>
      <c r="F4872" s="400">
        <v>267000</v>
      </c>
      <c r="G4872" s="401" t="s">
        <v>3800</v>
      </c>
      <c r="H4872" s="402">
        <v>102.51640574894446</v>
      </c>
      <c r="I4872" s="402"/>
      <c r="J4872" s="400">
        <v>25.629101437236116</v>
      </c>
      <c r="K4872" s="400">
        <v>25.629101437236116</v>
      </c>
      <c r="L4872" s="400">
        <v>25.629101437236116</v>
      </c>
      <c r="M4872" s="400">
        <v>25.629101437236116</v>
      </c>
      <c r="N4872" s="400"/>
    </row>
    <row r="4873" spans="1:14" s="360" customFormat="1" hidden="1" outlineLevel="2" x14ac:dyDescent="0.35">
      <c r="A4873" s="403" t="s">
        <v>3846</v>
      </c>
      <c r="B4873" s="397">
        <v>44179</v>
      </c>
      <c r="C4873" s="398" t="s">
        <v>7400</v>
      </c>
      <c r="D4873" s="399" t="s">
        <v>7401</v>
      </c>
      <c r="E4873" s="399" t="s">
        <v>7402</v>
      </c>
      <c r="F4873" s="400">
        <v>2125000</v>
      </c>
      <c r="G4873" s="401" t="s">
        <v>3800</v>
      </c>
      <c r="H4873" s="402">
        <v>815.90772365732948</v>
      </c>
      <c r="I4873" s="402"/>
      <c r="J4873" s="400">
        <v>203.97693091433237</v>
      </c>
      <c r="K4873" s="400">
        <v>203.97693091433237</v>
      </c>
      <c r="L4873" s="400">
        <v>203.97693091433237</v>
      </c>
      <c r="M4873" s="400">
        <v>203.97693091433237</v>
      </c>
      <c r="N4873" s="400"/>
    </row>
    <row r="4874" spans="1:14" s="360" customFormat="1" hidden="1" outlineLevel="2" x14ac:dyDescent="0.35">
      <c r="A4874" s="403" t="s">
        <v>3846</v>
      </c>
      <c r="B4874" s="397">
        <v>44179</v>
      </c>
      <c r="C4874" s="398" t="s">
        <v>7403</v>
      </c>
      <c r="D4874" s="399" t="s">
        <v>7404</v>
      </c>
      <c r="E4874" s="399" t="s">
        <v>7405</v>
      </c>
      <c r="F4874" s="400">
        <v>300000</v>
      </c>
      <c r="G4874" s="401" t="s">
        <v>3800</v>
      </c>
      <c r="H4874" s="402">
        <v>115.18697275162299</v>
      </c>
      <c r="I4874" s="402"/>
      <c r="J4874" s="400">
        <v>28.796743187905747</v>
      </c>
      <c r="K4874" s="400">
        <v>28.796743187905747</v>
      </c>
      <c r="L4874" s="400">
        <v>28.796743187905747</v>
      </c>
      <c r="M4874" s="400">
        <v>28.796743187905747</v>
      </c>
      <c r="N4874" s="400"/>
    </row>
    <row r="4875" spans="1:14" s="360" customFormat="1" hidden="1" outlineLevel="2" x14ac:dyDescent="0.35">
      <c r="A4875" s="403" t="s">
        <v>3846</v>
      </c>
      <c r="B4875" s="397">
        <v>44573</v>
      </c>
      <c r="C4875" s="398" t="s">
        <v>7406</v>
      </c>
      <c r="D4875" s="399" t="s">
        <v>7407</v>
      </c>
      <c r="E4875" s="399" t="s">
        <v>7201</v>
      </c>
      <c r="F4875" s="400">
        <v>300000</v>
      </c>
      <c r="G4875" s="401" t="s">
        <v>3800</v>
      </c>
      <c r="H4875" s="402">
        <v>111.62773031198941</v>
      </c>
      <c r="I4875" s="402"/>
      <c r="J4875" s="400">
        <v>27.906932577997352</v>
      </c>
      <c r="K4875" s="400">
        <v>27.906932577997352</v>
      </c>
      <c r="L4875" s="400">
        <v>27.906932577997352</v>
      </c>
      <c r="M4875" s="400">
        <v>27.906932577997352</v>
      </c>
      <c r="N4875" s="400"/>
    </row>
    <row r="4876" spans="1:14" s="360" customFormat="1" hidden="1" outlineLevel="2" x14ac:dyDescent="0.35">
      <c r="A4876" s="403" t="s">
        <v>3846</v>
      </c>
      <c r="B4876" s="397">
        <v>44573</v>
      </c>
      <c r="C4876" s="398" t="s">
        <v>7408</v>
      </c>
      <c r="D4876" s="399" t="s">
        <v>7407</v>
      </c>
      <c r="E4876" s="399" t="s">
        <v>7409</v>
      </c>
      <c r="F4876" s="400">
        <v>300000</v>
      </c>
      <c r="G4876" s="401" t="s">
        <v>3800</v>
      </c>
      <c r="H4876" s="402">
        <v>111.62773031198941</v>
      </c>
      <c r="I4876" s="402"/>
      <c r="J4876" s="400">
        <v>27.906932577997352</v>
      </c>
      <c r="K4876" s="400">
        <v>27.906932577997352</v>
      </c>
      <c r="L4876" s="400">
        <v>27.906932577997352</v>
      </c>
      <c r="M4876" s="400">
        <v>27.906932577997352</v>
      </c>
      <c r="N4876" s="400"/>
    </row>
    <row r="4877" spans="1:14" s="360" customFormat="1" hidden="1" outlineLevel="2" x14ac:dyDescent="0.35">
      <c r="A4877" s="403" t="s">
        <v>3846</v>
      </c>
      <c r="B4877" s="397">
        <v>44573</v>
      </c>
      <c r="C4877" s="398" t="s">
        <v>7410</v>
      </c>
      <c r="D4877" s="399" t="s">
        <v>7407</v>
      </c>
      <c r="E4877" s="399" t="s">
        <v>4446</v>
      </c>
      <c r="F4877" s="400">
        <v>300000</v>
      </c>
      <c r="G4877" s="401" t="s">
        <v>3800</v>
      </c>
      <c r="H4877" s="402">
        <v>111.62773031198941</v>
      </c>
      <c r="I4877" s="402"/>
      <c r="J4877" s="400">
        <v>27.906932577997352</v>
      </c>
      <c r="K4877" s="400">
        <v>27.906932577997352</v>
      </c>
      <c r="L4877" s="400">
        <v>27.906932577997352</v>
      </c>
      <c r="M4877" s="400">
        <v>27.906932577997352</v>
      </c>
      <c r="N4877" s="400"/>
    </row>
    <row r="4878" spans="1:14" s="360" customFormat="1" hidden="1" outlineLevel="2" x14ac:dyDescent="0.35">
      <c r="A4878" s="403" t="s">
        <v>3846</v>
      </c>
      <c r="B4878" s="397">
        <v>44573</v>
      </c>
      <c r="C4878" s="398" t="s">
        <v>7411</v>
      </c>
      <c r="D4878" s="399" t="s">
        <v>7407</v>
      </c>
      <c r="E4878" s="399" t="s">
        <v>7412</v>
      </c>
      <c r="F4878" s="400">
        <v>300000</v>
      </c>
      <c r="G4878" s="401" t="s">
        <v>3800</v>
      </c>
      <c r="H4878" s="402">
        <v>111.62773031198941</v>
      </c>
      <c r="I4878" s="402"/>
      <c r="J4878" s="400">
        <v>27.906932577997352</v>
      </c>
      <c r="K4878" s="400">
        <v>27.906932577997352</v>
      </c>
      <c r="L4878" s="400">
        <v>27.906932577997352</v>
      </c>
      <c r="M4878" s="400">
        <v>27.906932577997352</v>
      </c>
      <c r="N4878" s="400"/>
    </row>
    <row r="4879" spans="1:14" s="360" customFormat="1" hidden="1" outlineLevel="2" x14ac:dyDescent="0.35">
      <c r="A4879" s="403" t="s">
        <v>3846</v>
      </c>
      <c r="B4879" s="397">
        <v>44573</v>
      </c>
      <c r="C4879" s="398" t="s">
        <v>7413</v>
      </c>
      <c r="D4879" s="399" t="s">
        <v>7407</v>
      </c>
      <c r="E4879" s="399" t="s">
        <v>7414</v>
      </c>
      <c r="F4879" s="400">
        <v>300000</v>
      </c>
      <c r="G4879" s="401" t="s">
        <v>3800</v>
      </c>
      <c r="H4879" s="402">
        <v>111.62773031198941</v>
      </c>
      <c r="I4879" s="402"/>
      <c r="J4879" s="400">
        <v>27.906932577997352</v>
      </c>
      <c r="K4879" s="400">
        <v>27.906932577997352</v>
      </c>
      <c r="L4879" s="400">
        <v>27.906932577997352</v>
      </c>
      <c r="M4879" s="400">
        <v>27.906932577997352</v>
      </c>
      <c r="N4879" s="400"/>
    </row>
    <row r="4880" spans="1:14" s="360" customFormat="1" hidden="1" outlineLevel="2" x14ac:dyDescent="0.35">
      <c r="A4880" s="403" t="s">
        <v>3846</v>
      </c>
      <c r="B4880" s="397">
        <v>44573</v>
      </c>
      <c r="C4880" s="398" t="s">
        <v>7415</v>
      </c>
      <c r="D4880" s="399" t="s">
        <v>7407</v>
      </c>
      <c r="E4880" s="399" t="s">
        <v>6547</v>
      </c>
      <c r="F4880" s="400">
        <v>300000</v>
      </c>
      <c r="G4880" s="401" t="s">
        <v>3800</v>
      </c>
      <c r="H4880" s="402">
        <v>111.62773031198941</v>
      </c>
      <c r="I4880" s="402"/>
      <c r="J4880" s="400">
        <v>27.906932577997352</v>
      </c>
      <c r="K4880" s="400">
        <v>27.906932577997352</v>
      </c>
      <c r="L4880" s="400">
        <v>27.906932577997352</v>
      </c>
      <c r="M4880" s="400">
        <v>27.906932577997352</v>
      </c>
      <c r="N4880" s="400"/>
    </row>
    <row r="4881" spans="1:14" s="360" customFormat="1" hidden="1" outlineLevel="2" x14ac:dyDescent="0.35">
      <c r="A4881" s="403" t="s">
        <v>3846</v>
      </c>
      <c r="B4881" s="397">
        <v>44573</v>
      </c>
      <c r="C4881" s="398" t="s">
        <v>7416</v>
      </c>
      <c r="D4881" s="399" t="s">
        <v>7417</v>
      </c>
      <c r="E4881" s="399" t="s">
        <v>7418</v>
      </c>
      <c r="F4881" s="400">
        <v>600000</v>
      </c>
      <c r="G4881" s="401" t="s">
        <v>3800</v>
      </c>
      <c r="H4881" s="402">
        <v>223.25546062397882</v>
      </c>
      <c r="I4881" s="402"/>
      <c r="J4881" s="400">
        <v>55.813865155994705</v>
      </c>
      <c r="K4881" s="400">
        <v>55.813865155994705</v>
      </c>
      <c r="L4881" s="400">
        <v>55.813865155994705</v>
      </c>
      <c r="M4881" s="400">
        <v>55.813865155994705</v>
      </c>
      <c r="N4881" s="400"/>
    </row>
    <row r="4882" spans="1:14" s="360" customFormat="1" hidden="1" outlineLevel="2" x14ac:dyDescent="0.35">
      <c r="A4882" s="403" t="s">
        <v>3846</v>
      </c>
      <c r="B4882" s="397">
        <v>44573</v>
      </c>
      <c r="C4882" s="398" t="s">
        <v>7419</v>
      </c>
      <c r="D4882" s="399" t="s">
        <v>7420</v>
      </c>
      <c r="E4882" s="399" t="s">
        <v>7421</v>
      </c>
      <c r="F4882" s="400">
        <v>320000</v>
      </c>
      <c r="G4882" s="401" t="s">
        <v>3800</v>
      </c>
      <c r="H4882" s="402">
        <v>119.06957899945537</v>
      </c>
      <c r="I4882" s="402"/>
      <c r="J4882" s="400">
        <v>29.767394749863843</v>
      </c>
      <c r="K4882" s="400">
        <v>29.767394749863843</v>
      </c>
      <c r="L4882" s="400">
        <v>29.767394749863843</v>
      </c>
      <c r="M4882" s="400">
        <v>29.767394749863843</v>
      </c>
      <c r="N4882" s="400"/>
    </row>
    <row r="4883" spans="1:14" s="360" customFormat="1" hidden="1" outlineLevel="2" x14ac:dyDescent="0.35">
      <c r="A4883" s="403" t="s">
        <v>3846</v>
      </c>
      <c r="B4883" s="397">
        <v>44567</v>
      </c>
      <c r="C4883" s="398" t="s">
        <v>7422</v>
      </c>
      <c r="D4883" s="399" t="s">
        <v>7423</v>
      </c>
      <c r="E4883" s="399" t="s">
        <v>4500</v>
      </c>
      <c r="F4883" s="400">
        <v>2600600</v>
      </c>
      <c r="G4883" s="401" t="s">
        <v>3800</v>
      </c>
      <c r="H4883" s="402">
        <v>967.66358483119893</v>
      </c>
      <c r="I4883" s="402"/>
      <c r="J4883" s="400">
        <v>241.91589620779973</v>
      </c>
      <c r="K4883" s="400">
        <v>241.91589620779973</v>
      </c>
      <c r="L4883" s="400">
        <v>241.91589620779973</v>
      </c>
      <c r="M4883" s="400">
        <v>241.91589620779973</v>
      </c>
      <c r="N4883" s="400"/>
    </row>
    <row r="4884" spans="1:14" s="360" customFormat="1" hidden="1" outlineLevel="2" x14ac:dyDescent="0.35">
      <c r="A4884" s="403" t="s">
        <v>3846</v>
      </c>
      <c r="B4884" s="397">
        <v>44568</v>
      </c>
      <c r="C4884" s="398" t="s">
        <v>7424</v>
      </c>
      <c r="D4884" s="399" t="s">
        <v>7425</v>
      </c>
      <c r="E4884" s="399" t="s">
        <v>4500</v>
      </c>
      <c r="F4884" s="400">
        <v>36322</v>
      </c>
      <c r="G4884" s="401" t="s">
        <v>3800</v>
      </c>
      <c r="H4884" s="402">
        <v>13.515141401306932</v>
      </c>
      <c r="I4884" s="402"/>
      <c r="J4884" s="400">
        <v>3.3787853503267331</v>
      </c>
      <c r="K4884" s="400">
        <v>3.3787853503267331</v>
      </c>
      <c r="L4884" s="400">
        <v>3.3787853503267331</v>
      </c>
      <c r="M4884" s="400">
        <v>3.3787853503267331</v>
      </c>
      <c r="N4884" s="400"/>
    </row>
    <row r="4885" spans="1:14" s="360" customFormat="1" hidden="1" outlineLevel="2" x14ac:dyDescent="0.35">
      <c r="A4885" s="403" t="s">
        <v>3846</v>
      </c>
      <c r="B4885" s="397">
        <v>44575</v>
      </c>
      <c r="C4885" s="398" t="s">
        <v>7426</v>
      </c>
      <c r="D4885" s="399" t="s">
        <v>7427</v>
      </c>
      <c r="E4885" s="399" t="s">
        <v>7428</v>
      </c>
      <c r="F4885" s="400">
        <v>960500</v>
      </c>
      <c r="G4885" s="401" t="s">
        <v>3800</v>
      </c>
      <c r="H4885" s="402">
        <v>357.39478321555276</v>
      </c>
      <c r="I4885" s="402"/>
      <c r="J4885" s="400">
        <v>89.348695803888191</v>
      </c>
      <c r="K4885" s="400">
        <v>89.348695803888191</v>
      </c>
      <c r="L4885" s="400">
        <v>89.348695803888191</v>
      </c>
      <c r="M4885" s="400">
        <v>89.348695803888191</v>
      </c>
      <c r="N4885" s="400"/>
    </row>
    <row r="4886" spans="1:14" s="360" customFormat="1" hidden="1" outlineLevel="2" x14ac:dyDescent="0.35">
      <c r="A4886" s="403" t="s">
        <v>3846</v>
      </c>
      <c r="B4886" s="397">
        <v>44563</v>
      </c>
      <c r="C4886" s="398" t="s">
        <v>7429</v>
      </c>
      <c r="D4886" s="399" t="s">
        <v>7430</v>
      </c>
      <c r="E4886" s="399" t="s">
        <v>6560</v>
      </c>
      <c r="F4886" s="400">
        <v>300000</v>
      </c>
      <c r="G4886" s="401" t="s">
        <v>3800</v>
      </c>
      <c r="H4886" s="402">
        <v>111.62773031198941</v>
      </c>
      <c r="I4886" s="402"/>
      <c r="J4886" s="400">
        <v>27.906932577997352</v>
      </c>
      <c r="K4886" s="400">
        <v>27.906932577997352</v>
      </c>
      <c r="L4886" s="400">
        <v>27.906932577997352</v>
      </c>
      <c r="M4886" s="400">
        <v>27.906932577997352</v>
      </c>
      <c r="N4886" s="400"/>
    </row>
    <row r="4887" spans="1:14" s="360" customFormat="1" hidden="1" outlineLevel="2" x14ac:dyDescent="0.35">
      <c r="A4887" s="403" t="s">
        <v>3846</v>
      </c>
      <c r="B4887" s="397">
        <v>44563</v>
      </c>
      <c r="C4887" s="398" t="s">
        <v>7429</v>
      </c>
      <c r="D4887" s="399" t="s">
        <v>7431</v>
      </c>
      <c r="E4887" s="399" t="s">
        <v>2812</v>
      </c>
      <c r="F4887" s="400">
        <v>432900</v>
      </c>
      <c r="G4887" s="401" t="s">
        <v>3800</v>
      </c>
      <c r="H4887" s="402">
        <v>161.07881484020072</v>
      </c>
      <c r="I4887" s="402"/>
      <c r="J4887" s="400">
        <v>40.26970371005018</v>
      </c>
      <c r="K4887" s="400">
        <v>40.26970371005018</v>
      </c>
      <c r="L4887" s="400">
        <v>40.26970371005018</v>
      </c>
      <c r="M4887" s="400">
        <v>40.26970371005018</v>
      </c>
      <c r="N4887" s="400"/>
    </row>
    <row r="4888" spans="1:14" s="360" customFormat="1" hidden="1" outlineLevel="2" x14ac:dyDescent="0.35">
      <c r="A4888" s="403" t="s">
        <v>3846</v>
      </c>
      <c r="B4888" s="397">
        <v>44563</v>
      </c>
      <c r="C4888" s="398" t="s">
        <v>7429</v>
      </c>
      <c r="D4888" s="399" t="s">
        <v>7432</v>
      </c>
      <c r="E4888" s="399" t="s">
        <v>7196</v>
      </c>
      <c r="F4888" s="400">
        <v>160000</v>
      </c>
      <c r="G4888" s="401" t="s">
        <v>3800</v>
      </c>
      <c r="H4888" s="402">
        <v>59.534789499727687</v>
      </c>
      <c r="I4888" s="402"/>
      <c r="J4888" s="400">
        <v>14.883697374931922</v>
      </c>
      <c r="K4888" s="400">
        <v>14.883697374931922</v>
      </c>
      <c r="L4888" s="400">
        <v>14.883697374931922</v>
      </c>
      <c r="M4888" s="400">
        <v>14.883697374931922</v>
      </c>
      <c r="N4888" s="400"/>
    </row>
    <row r="4889" spans="1:14" s="360" customFormat="1" hidden="1" outlineLevel="2" x14ac:dyDescent="0.35">
      <c r="A4889" s="403" t="s">
        <v>3846</v>
      </c>
      <c r="B4889" s="397">
        <v>44563</v>
      </c>
      <c r="C4889" s="398" t="s">
        <v>7429</v>
      </c>
      <c r="D4889" s="399" t="s">
        <v>7433</v>
      </c>
      <c r="E4889" s="399" t="s">
        <v>7434</v>
      </c>
      <c r="F4889" s="400">
        <v>250000</v>
      </c>
      <c r="G4889" s="401" t="s">
        <v>3800</v>
      </c>
      <c r="H4889" s="402">
        <v>93.023108593324508</v>
      </c>
      <c r="I4889" s="402"/>
      <c r="J4889" s="400">
        <v>23.255777148331127</v>
      </c>
      <c r="K4889" s="400">
        <v>23.255777148331127</v>
      </c>
      <c r="L4889" s="400">
        <v>23.255777148331127</v>
      </c>
      <c r="M4889" s="400">
        <v>23.255777148331127</v>
      </c>
      <c r="N4889" s="400"/>
    </row>
    <row r="4890" spans="1:14" s="360" customFormat="1" ht="30" hidden="1" outlineLevel="2" x14ac:dyDescent="0.35">
      <c r="A4890" s="403" t="s">
        <v>3846</v>
      </c>
      <c r="B4890" s="397">
        <v>44582</v>
      </c>
      <c r="C4890" s="398" t="s">
        <v>7435</v>
      </c>
      <c r="D4890" s="399" t="s">
        <v>7436</v>
      </c>
      <c r="E4890" s="399" t="s">
        <v>7437</v>
      </c>
      <c r="F4890" s="400">
        <v>780000</v>
      </c>
      <c r="G4890" s="401" t="s">
        <v>3800</v>
      </c>
      <c r="H4890" s="402">
        <v>290.23209881117248</v>
      </c>
      <c r="I4890" s="402"/>
      <c r="J4890" s="400">
        <v>72.558024702793119</v>
      </c>
      <c r="K4890" s="400">
        <v>72.558024702793119</v>
      </c>
      <c r="L4890" s="400">
        <v>72.558024702793119</v>
      </c>
      <c r="M4890" s="400">
        <v>72.558024702793119</v>
      </c>
      <c r="N4890" s="400"/>
    </row>
    <row r="4891" spans="1:14" s="360" customFormat="1" hidden="1" outlineLevel="2" x14ac:dyDescent="0.35">
      <c r="A4891" s="403" t="s">
        <v>3846</v>
      </c>
      <c r="B4891" s="397">
        <v>44582</v>
      </c>
      <c r="C4891" s="398" t="s">
        <v>7438</v>
      </c>
      <c r="D4891" s="399" t="s">
        <v>7439</v>
      </c>
      <c r="E4891" s="399" t="s">
        <v>7440</v>
      </c>
      <c r="F4891" s="400">
        <v>601800</v>
      </c>
      <c r="G4891" s="401" t="s">
        <v>3800</v>
      </c>
      <c r="H4891" s="402">
        <v>223.92522700585076</v>
      </c>
      <c r="I4891" s="402"/>
      <c r="J4891" s="400">
        <v>55.981306751462689</v>
      </c>
      <c r="K4891" s="400">
        <v>55.981306751462689</v>
      </c>
      <c r="L4891" s="400">
        <v>55.981306751462689</v>
      </c>
      <c r="M4891" s="400">
        <v>55.981306751462689</v>
      </c>
      <c r="N4891" s="400"/>
    </row>
    <row r="4892" spans="1:14" s="360" customFormat="1" hidden="1" outlineLevel="2" x14ac:dyDescent="0.35">
      <c r="A4892" s="403" t="s">
        <v>3846</v>
      </c>
      <c r="B4892" s="397">
        <v>44575</v>
      </c>
      <c r="C4892" s="398" t="s">
        <v>7441</v>
      </c>
      <c r="D4892" s="399" t="s">
        <v>7442</v>
      </c>
      <c r="E4892" s="399" t="s">
        <v>7443</v>
      </c>
      <c r="F4892" s="400">
        <v>50000</v>
      </c>
      <c r="G4892" s="401" t="s">
        <v>3800</v>
      </c>
      <c r="H4892" s="402">
        <v>18.604621718664902</v>
      </c>
      <c r="I4892" s="402"/>
      <c r="J4892" s="400">
        <v>4.6511554296662254</v>
      </c>
      <c r="K4892" s="400">
        <v>4.6511554296662254</v>
      </c>
      <c r="L4892" s="400">
        <v>4.6511554296662254</v>
      </c>
      <c r="M4892" s="400">
        <v>4.6511554296662254</v>
      </c>
      <c r="N4892" s="400"/>
    </row>
    <row r="4893" spans="1:14" s="360" customFormat="1" hidden="1" outlineLevel="2" x14ac:dyDescent="0.35">
      <c r="A4893" s="403" t="s">
        <v>3846</v>
      </c>
      <c r="B4893" s="397">
        <v>44574</v>
      </c>
      <c r="C4893" s="398" t="s">
        <v>7441</v>
      </c>
      <c r="D4893" s="399" t="s">
        <v>7442</v>
      </c>
      <c r="E4893" s="399" t="s">
        <v>7444</v>
      </c>
      <c r="F4893" s="400">
        <v>150000</v>
      </c>
      <c r="G4893" s="401" t="s">
        <v>3800</v>
      </c>
      <c r="H4893" s="402">
        <v>55.813865155994705</v>
      </c>
      <c r="I4893" s="402"/>
      <c r="J4893" s="400">
        <v>13.953466288998676</v>
      </c>
      <c r="K4893" s="400">
        <v>13.953466288998676</v>
      </c>
      <c r="L4893" s="400">
        <v>13.953466288998676</v>
      </c>
      <c r="M4893" s="400">
        <v>13.953466288998676</v>
      </c>
      <c r="N4893" s="400"/>
    </row>
    <row r="4894" spans="1:14" s="360" customFormat="1" hidden="1" outlineLevel="2" x14ac:dyDescent="0.35">
      <c r="A4894" s="403" t="s">
        <v>3846</v>
      </c>
      <c r="B4894" s="397">
        <v>44576</v>
      </c>
      <c r="C4894" s="398" t="s">
        <v>7441</v>
      </c>
      <c r="D4894" s="399" t="s">
        <v>7442</v>
      </c>
      <c r="E4894" s="399" t="s">
        <v>7445</v>
      </c>
      <c r="F4894" s="400">
        <v>100000</v>
      </c>
      <c r="G4894" s="401" t="s">
        <v>3800</v>
      </c>
      <c r="H4894" s="402">
        <v>37.209243437329803</v>
      </c>
      <c r="I4894" s="402"/>
      <c r="J4894" s="400">
        <v>9.3023108593324508</v>
      </c>
      <c r="K4894" s="400">
        <v>9.3023108593324508</v>
      </c>
      <c r="L4894" s="400">
        <v>9.3023108593324508</v>
      </c>
      <c r="M4894" s="400">
        <v>9.3023108593324508</v>
      </c>
      <c r="N4894" s="400"/>
    </row>
    <row r="4895" spans="1:14" s="360" customFormat="1" hidden="1" outlineLevel="2" x14ac:dyDescent="0.35">
      <c r="A4895" s="403" t="s">
        <v>3846</v>
      </c>
      <c r="B4895" s="397">
        <v>44575</v>
      </c>
      <c r="C4895" s="398" t="s">
        <v>7441</v>
      </c>
      <c r="D4895" s="399" t="s">
        <v>7442</v>
      </c>
      <c r="E4895" s="399" t="s">
        <v>7445</v>
      </c>
      <c r="F4895" s="400">
        <v>20000</v>
      </c>
      <c r="G4895" s="401" t="s">
        <v>3800</v>
      </c>
      <c r="H4895" s="402">
        <v>7.4418486874659608</v>
      </c>
      <c r="I4895" s="402"/>
      <c r="J4895" s="400">
        <v>1.8604621718664902</v>
      </c>
      <c r="K4895" s="400">
        <v>1.8604621718664902</v>
      </c>
      <c r="L4895" s="400">
        <v>1.8604621718664902</v>
      </c>
      <c r="M4895" s="400">
        <v>1.8604621718664902</v>
      </c>
      <c r="N4895" s="400"/>
    </row>
    <row r="4896" spans="1:14" s="360" customFormat="1" hidden="1" outlineLevel="2" x14ac:dyDescent="0.35">
      <c r="A4896" s="403" t="s">
        <v>3846</v>
      </c>
      <c r="B4896" s="397">
        <v>44575</v>
      </c>
      <c r="C4896" s="398" t="s">
        <v>7441</v>
      </c>
      <c r="D4896" s="399" t="s">
        <v>7442</v>
      </c>
      <c r="E4896" s="399" t="s">
        <v>7445</v>
      </c>
      <c r="F4896" s="400">
        <v>80000</v>
      </c>
      <c r="G4896" s="401" t="s">
        <v>3800</v>
      </c>
      <c r="H4896" s="402">
        <v>29.767394749863843</v>
      </c>
      <c r="I4896" s="402"/>
      <c r="J4896" s="400">
        <v>7.4418486874659608</v>
      </c>
      <c r="K4896" s="400">
        <v>7.4418486874659608</v>
      </c>
      <c r="L4896" s="400">
        <v>7.4418486874659608</v>
      </c>
      <c r="M4896" s="400">
        <v>7.4418486874659608</v>
      </c>
      <c r="N4896" s="400"/>
    </row>
    <row r="4897" spans="1:14" s="360" customFormat="1" hidden="1" outlineLevel="2" x14ac:dyDescent="0.35">
      <c r="A4897" s="403" t="s">
        <v>3846</v>
      </c>
      <c r="B4897" s="397">
        <v>44573</v>
      </c>
      <c r="C4897" s="398" t="s">
        <v>7441</v>
      </c>
      <c r="D4897" s="399" t="s">
        <v>7442</v>
      </c>
      <c r="E4897" s="399" t="s">
        <v>7446</v>
      </c>
      <c r="F4897" s="400">
        <v>200000</v>
      </c>
      <c r="G4897" s="401" t="s">
        <v>3800</v>
      </c>
      <c r="H4897" s="402">
        <v>74.418486874659607</v>
      </c>
      <c r="I4897" s="402"/>
      <c r="J4897" s="400">
        <v>18.604621718664902</v>
      </c>
      <c r="K4897" s="400">
        <v>18.604621718664902</v>
      </c>
      <c r="L4897" s="400">
        <v>18.604621718664902</v>
      </c>
      <c r="M4897" s="400">
        <v>18.604621718664902</v>
      </c>
      <c r="N4897" s="400"/>
    </row>
    <row r="4898" spans="1:14" s="360" customFormat="1" hidden="1" outlineLevel="2" x14ac:dyDescent="0.35">
      <c r="A4898" s="403" t="s">
        <v>3846</v>
      </c>
      <c r="B4898" s="397">
        <v>44576</v>
      </c>
      <c r="C4898" s="398" t="s">
        <v>7441</v>
      </c>
      <c r="D4898" s="399" t="s">
        <v>7442</v>
      </c>
      <c r="E4898" s="399" t="s">
        <v>7445</v>
      </c>
      <c r="F4898" s="400">
        <v>100000</v>
      </c>
      <c r="G4898" s="401" t="s">
        <v>3800</v>
      </c>
      <c r="H4898" s="402">
        <v>37.209243437329803</v>
      </c>
      <c r="I4898" s="402"/>
      <c r="J4898" s="400">
        <v>9.3023108593324508</v>
      </c>
      <c r="K4898" s="400">
        <v>9.3023108593324508</v>
      </c>
      <c r="L4898" s="400">
        <v>9.3023108593324508</v>
      </c>
      <c r="M4898" s="400">
        <v>9.3023108593324508</v>
      </c>
      <c r="N4898" s="400"/>
    </row>
    <row r="4899" spans="1:14" s="360" customFormat="1" hidden="1" outlineLevel="2" x14ac:dyDescent="0.35">
      <c r="A4899" s="403" t="s">
        <v>3846</v>
      </c>
      <c r="B4899" s="397">
        <v>44574</v>
      </c>
      <c r="C4899" s="398" t="s">
        <v>7441</v>
      </c>
      <c r="D4899" s="399" t="s">
        <v>7442</v>
      </c>
      <c r="E4899" s="399" t="s">
        <v>7443</v>
      </c>
      <c r="F4899" s="400">
        <v>50000</v>
      </c>
      <c r="G4899" s="401" t="s">
        <v>3800</v>
      </c>
      <c r="H4899" s="402">
        <v>18.604621718664902</v>
      </c>
      <c r="I4899" s="402"/>
      <c r="J4899" s="400">
        <v>4.6511554296662254</v>
      </c>
      <c r="K4899" s="400">
        <v>4.6511554296662254</v>
      </c>
      <c r="L4899" s="400">
        <v>4.6511554296662254</v>
      </c>
      <c r="M4899" s="400">
        <v>4.6511554296662254</v>
      </c>
      <c r="N4899" s="400"/>
    </row>
    <row r="4900" spans="1:14" s="360" customFormat="1" hidden="1" outlineLevel="2" x14ac:dyDescent="0.35">
      <c r="A4900" s="403" t="s">
        <v>3846</v>
      </c>
      <c r="B4900" s="397">
        <v>44579</v>
      </c>
      <c r="C4900" s="398" t="s">
        <v>7441</v>
      </c>
      <c r="D4900" s="399" t="s">
        <v>7447</v>
      </c>
      <c r="E4900" s="399" t="s">
        <v>7448</v>
      </c>
      <c r="F4900" s="400">
        <v>56000</v>
      </c>
      <c r="G4900" s="401" t="s">
        <v>3800</v>
      </c>
      <c r="H4900" s="402">
        <v>20.837176324904689</v>
      </c>
      <c r="I4900" s="402"/>
      <c r="J4900" s="400">
        <v>5.2092940812261723</v>
      </c>
      <c r="K4900" s="400">
        <v>5.2092940812261723</v>
      </c>
      <c r="L4900" s="400">
        <v>5.2092940812261723</v>
      </c>
      <c r="M4900" s="400">
        <v>5.2092940812261723</v>
      </c>
      <c r="N4900" s="400"/>
    </row>
    <row r="4901" spans="1:14" s="360" customFormat="1" outlineLevel="1" collapsed="1" x14ac:dyDescent="0.35">
      <c r="A4901" s="396" t="s">
        <v>7449</v>
      </c>
      <c r="B4901" s="397"/>
      <c r="C4901" s="398"/>
      <c r="D4901" s="399"/>
      <c r="E4901" s="399"/>
      <c r="F4901" s="400"/>
      <c r="G4901" s="401"/>
      <c r="H4901" s="402">
        <f t="shared" ref="H4901:N4901" si="251">SUBTOTAL(9,H4868:H4900)</f>
        <v>5957.0470964988426</v>
      </c>
      <c r="I4901" s="402"/>
      <c r="J4901" s="400">
        <f t="shared" si="251"/>
        <v>1489.2617741247107</v>
      </c>
      <c r="K4901" s="400">
        <f t="shared" si="251"/>
        <v>1489.2617741247107</v>
      </c>
      <c r="L4901" s="400">
        <f t="shared" si="251"/>
        <v>1489.2617741247107</v>
      </c>
      <c r="M4901" s="400">
        <f t="shared" si="251"/>
        <v>1489.2617741247107</v>
      </c>
      <c r="N4901" s="400">
        <f t="shared" si="251"/>
        <v>0</v>
      </c>
    </row>
    <row r="4902" spans="1:14" s="360" customFormat="1" hidden="1" outlineLevel="2" x14ac:dyDescent="0.35">
      <c r="A4902" s="403" t="s">
        <v>3972</v>
      </c>
      <c r="B4902" s="397">
        <v>44222</v>
      </c>
      <c r="C4902" s="398" t="s">
        <v>4029</v>
      </c>
      <c r="D4902" s="399" t="s">
        <v>4030</v>
      </c>
      <c r="E4902" s="399" t="s">
        <v>6117</v>
      </c>
      <c r="F4902" s="400">
        <v>1239000</v>
      </c>
      <c r="G4902" s="401" t="s">
        <v>3800</v>
      </c>
      <c r="H4902" s="402">
        <v>461.02252618851628</v>
      </c>
      <c r="I4902" s="402"/>
      <c r="J4902" s="400">
        <v>115.25563154712907</v>
      </c>
      <c r="K4902" s="400">
        <v>115.25563154712907</v>
      </c>
      <c r="L4902" s="400">
        <v>115.25563154712907</v>
      </c>
      <c r="M4902" s="400">
        <v>115.25563154712907</v>
      </c>
      <c r="N4902" s="400"/>
    </row>
    <row r="4903" spans="1:14" s="360" customFormat="1" hidden="1" outlineLevel="2" x14ac:dyDescent="0.35">
      <c r="A4903" s="403" t="s">
        <v>3972</v>
      </c>
      <c r="B4903" s="397">
        <v>44222</v>
      </c>
      <c r="C4903" s="398" t="s">
        <v>4029</v>
      </c>
      <c r="D4903" s="399" t="s">
        <v>4032</v>
      </c>
      <c r="E4903" s="399" t="s">
        <v>6117</v>
      </c>
      <c r="F4903" s="400">
        <v>185850</v>
      </c>
      <c r="G4903" s="401" t="s">
        <v>3800</v>
      </c>
      <c r="H4903" s="402">
        <v>69.153378928277448</v>
      </c>
      <c r="I4903" s="402"/>
      <c r="J4903" s="400">
        <v>17.288344732069362</v>
      </c>
      <c r="K4903" s="400">
        <v>17.288344732069362</v>
      </c>
      <c r="L4903" s="400">
        <v>17.288344732069362</v>
      </c>
      <c r="M4903" s="400">
        <v>17.288344732069362</v>
      </c>
      <c r="N4903" s="400"/>
    </row>
    <row r="4904" spans="1:14" s="360" customFormat="1" hidden="1" outlineLevel="2" x14ac:dyDescent="0.35">
      <c r="A4904" s="403" t="s">
        <v>3972</v>
      </c>
      <c r="B4904" s="397">
        <v>44222</v>
      </c>
      <c r="C4904" s="398" t="s">
        <v>4033</v>
      </c>
      <c r="D4904" s="399" t="s">
        <v>4034</v>
      </c>
      <c r="E4904" s="399" t="s">
        <v>4272</v>
      </c>
      <c r="F4904" s="400">
        <v>154875</v>
      </c>
      <c r="G4904" s="401" t="s">
        <v>3800</v>
      </c>
      <c r="H4904" s="402">
        <v>57.627815773564535</v>
      </c>
      <c r="I4904" s="402"/>
      <c r="J4904" s="400">
        <v>14.406953943391134</v>
      </c>
      <c r="K4904" s="400">
        <v>14.406953943391134</v>
      </c>
      <c r="L4904" s="400">
        <v>14.406953943391134</v>
      </c>
      <c r="M4904" s="400">
        <v>14.406953943391134</v>
      </c>
      <c r="N4904" s="400"/>
    </row>
    <row r="4905" spans="1:14" s="360" customFormat="1" hidden="1" outlineLevel="2" x14ac:dyDescent="0.35">
      <c r="A4905" s="403" t="s">
        <v>3972</v>
      </c>
      <c r="B4905" s="397">
        <v>44222</v>
      </c>
      <c r="C4905" s="398" t="s">
        <v>4029</v>
      </c>
      <c r="D4905" s="399" t="s">
        <v>4036</v>
      </c>
      <c r="E4905" s="399" t="s">
        <v>6117</v>
      </c>
      <c r="F4905" s="400">
        <v>61950</v>
      </c>
      <c r="G4905" s="401" t="s">
        <v>3800</v>
      </c>
      <c r="H4905" s="402">
        <v>23.051126309425815</v>
      </c>
      <c r="I4905" s="402"/>
      <c r="J4905" s="400">
        <v>5.7627815773564537</v>
      </c>
      <c r="K4905" s="400">
        <v>5.7627815773564537</v>
      </c>
      <c r="L4905" s="400">
        <v>5.7627815773564537</v>
      </c>
      <c r="M4905" s="400">
        <v>5.7627815773564537</v>
      </c>
      <c r="N4905" s="400"/>
    </row>
    <row r="4906" spans="1:14" s="360" customFormat="1" hidden="1" outlineLevel="2" x14ac:dyDescent="0.35">
      <c r="A4906" s="403" t="s">
        <v>3972</v>
      </c>
      <c r="B4906" s="397">
        <v>44222</v>
      </c>
      <c r="C4906" s="398" t="s">
        <v>4037</v>
      </c>
      <c r="D4906" s="399" t="s">
        <v>4038</v>
      </c>
      <c r="E4906" s="399" t="s">
        <v>4039</v>
      </c>
      <c r="F4906" s="400">
        <v>61950</v>
      </c>
      <c r="G4906" s="401" t="s">
        <v>3800</v>
      </c>
      <c r="H4906" s="402">
        <v>23.051126309425815</v>
      </c>
      <c r="I4906" s="402"/>
      <c r="J4906" s="400">
        <v>5.7627815773564537</v>
      </c>
      <c r="K4906" s="400">
        <v>5.7627815773564537</v>
      </c>
      <c r="L4906" s="400">
        <v>5.7627815773564537</v>
      </c>
      <c r="M4906" s="400">
        <v>5.7627815773564537</v>
      </c>
      <c r="N4906" s="400"/>
    </row>
    <row r="4907" spans="1:14" s="360" customFormat="1" hidden="1" outlineLevel="2" x14ac:dyDescent="0.35">
      <c r="A4907" s="403" t="s">
        <v>3972</v>
      </c>
      <c r="B4907" s="397">
        <v>44222</v>
      </c>
      <c r="C4907" s="398" t="s">
        <v>4040</v>
      </c>
      <c r="D4907" s="399" t="s">
        <v>4041</v>
      </c>
      <c r="E4907" s="399" t="s">
        <v>4042</v>
      </c>
      <c r="F4907" s="400">
        <v>15487.5</v>
      </c>
      <c r="G4907" s="401" t="s">
        <v>3800</v>
      </c>
      <c r="H4907" s="402">
        <v>5.7627815773564537</v>
      </c>
      <c r="I4907" s="402"/>
      <c r="J4907" s="400">
        <v>1.4406953943391134</v>
      </c>
      <c r="K4907" s="400">
        <v>1.4406953943391134</v>
      </c>
      <c r="L4907" s="400">
        <v>1.4406953943391134</v>
      </c>
      <c r="M4907" s="400">
        <v>1.4406953943391134</v>
      </c>
      <c r="N4907" s="400"/>
    </row>
    <row r="4908" spans="1:14" s="360" customFormat="1" hidden="1" outlineLevel="2" x14ac:dyDescent="0.35">
      <c r="A4908" s="403" t="s">
        <v>3972</v>
      </c>
      <c r="B4908" s="397">
        <v>44259</v>
      </c>
      <c r="C4908" s="398" t="s">
        <v>4043</v>
      </c>
      <c r="D4908" s="399" t="s">
        <v>4044</v>
      </c>
      <c r="E4908" s="399" t="s">
        <v>6117</v>
      </c>
      <c r="F4908" s="400">
        <v>1239000</v>
      </c>
      <c r="G4908" s="401" t="s">
        <v>3800</v>
      </c>
      <c r="H4908" s="402">
        <v>461.02252618851628</v>
      </c>
      <c r="I4908" s="402"/>
      <c r="J4908" s="400">
        <v>115.25563154712907</v>
      </c>
      <c r="K4908" s="400">
        <v>115.25563154712907</v>
      </c>
      <c r="L4908" s="400">
        <v>115.25563154712907</v>
      </c>
      <c r="M4908" s="400">
        <v>115.25563154712907</v>
      </c>
      <c r="N4908" s="400"/>
    </row>
    <row r="4909" spans="1:14" s="360" customFormat="1" hidden="1" outlineLevel="2" x14ac:dyDescent="0.35">
      <c r="A4909" s="403" t="s">
        <v>3972</v>
      </c>
      <c r="B4909" s="397">
        <v>44259</v>
      </c>
      <c r="C4909" s="398" t="s">
        <v>4043</v>
      </c>
      <c r="D4909" s="399" t="s">
        <v>4045</v>
      </c>
      <c r="E4909" s="399" t="s">
        <v>6117</v>
      </c>
      <c r="F4909" s="400">
        <v>185850</v>
      </c>
      <c r="G4909" s="401" t="s">
        <v>3800</v>
      </c>
      <c r="H4909" s="402">
        <v>69.153378928277448</v>
      </c>
      <c r="I4909" s="402"/>
      <c r="J4909" s="400">
        <v>17.288344732069362</v>
      </c>
      <c r="K4909" s="400">
        <v>17.288344732069362</v>
      </c>
      <c r="L4909" s="400">
        <v>17.288344732069362</v>
      </c>
      <c r="M4909" s="400">
        <v>17.288344732069362</v>
      </c>
      <c r="N4909" s="400"/>
    </row>
    <row r="4910" spans="1:14" s="360" customFormat="1" hidden="1" outlineLevel="2" x14ac:dyDescent="0.35">
      <c r="A4910" s="403" t="s">
        <v>3972</v>
      </c>
      <c r="B4910" s="397">
        <v>44259</v>
      </c>
      <c r="C4910" s="398" t="s">
        <v>4043</v>
      </c>
      <c r="D4910" s="399" t="s">
        <v>4046</v>
      </c>
      <c r="E4910" s="399" t="s">
        <v>4272</v>
      </c>
      <c r="F4910" s="400">
        <v>154875</v>
      </c>
      <c r="G4910" s="401" t="s">
        <v>3800</v>
      </c>
      <c r="H4910" s="402">
        <v>57.627815773564535</v>
      </c>
      <c r="I4910" s="402"/>
      <c r="J4910" s="400">
        <v>14.406953943391134</v>
      </c>
      <c r="K4910" s="400">
        <v>14.406953943391134</v>
      </c>
      <c r="L4910" s="400">
        <v>14.406953943391134</v>
      </c>
      <c r="M4910" s="400">
        <v>14.406953943391134</v>
      </c>
      <c r="N4910" s="400"/>
    </row>
    <row r="4911" spans="1:14" s="360" customFormat="1" hidden="1" outlineLevel="2" x14ac:dyDescent="0.35">
      <c r="A4911" s="403" t="s">
        <v>3972</v>
      </c>
      <c r="B4911" s="397">
        <v>44259</v>
      </c>
      <c r="C4911" s="398" t="s">
        <v>4043</v>
      </c>
      <c r="D4911" s="399" t="s">
        <v>4047</v>
      </c>
      <c r="E4911" s="399" t="s">
        <v>6117</v>
      </c>
      <c r="F4911" s="400">
        <v>61950</v>
      </c>
      <c r="G4911" s="401" t="s">
        <v>3800</v>
      </c>
      <c r="H4911" s="402">
        <v>23.051126309425815</v>
      </c>
      <c r="I4911" s="402"/>
      <c r="J4911" s="400">
        <v>5.7627815773564537</v>
      </c>
      <c r="K4911" s="400">
        <v>5.7627815773564537</v>
      </c>
      <c r="L4911" s="400">
        <v>5.7627815773564537</v>
      </c>
      <c r="M4911" s="400">
        <v>5.7627815773564537</v>
      </c>
      <c r="N4911" s="400"/>
    </row>
    <row r="4912" spans="1:14" s="360" customFormat="1" hidden="1" outlineLevel="2" x14ac:dyDescent="0.35">
      <c r="A4912" s="403" t="s">
        <v>3972</v>
      </c>
      <c r="B4912" s="397">
        <v>44259</v>
      </c>
      <c r="C4912" s="398" t="s">
        <v>4048</v>
      </c>
      <c r="D4912" s="399" t="s">
        <v>4049</v>
      </c>
      <c r="E4912" s="399" t="s">
        <v>4039</v>
      </c>
      <c r="F4912" s="400">
        <v>61950</v>
      </c>
      <c r="G4912" s="401" t="s">
        <v>3800</v>
      </c>
      <c r="H4912" s="402">
        <v>23.051126309425815</v>
      </c>
      <c r="I4912" s="402"/>
      <c r="J4912" s="400">
        <v>5.7627815773564537</v>
      </c>
      <c r="K4912" s="400">
        <v>5.7627815773564537</v>
      </c>
      <c r="L4912" s="400">
        <v>5.7627815773564537</v>
      </c>
      <c r="M4912" s="400">
        <v>5.7627815773564537</v>
      </c>
      <c r="N4912" s="400"/>
    </row>
    <row r="4913" spans="1:14" s="360" customFormat="1" hidden="1" outlineLevel="2" collapsed="1" x14ac:dyDescent="0.35">
      <c r="A4913" s="403" t="s">
        <v>3972</v>
      </c>
      <c r="B4913" s="397">
        <v>44259</v>
      </c>
      <c r="C4913" s="398" t="s">
        <v>4050</v>
      </c>
      <c r="D4913" s="399" t="s">
        <v>4051</v>
      </c>
      <c r="E4913" s="399" t="s">
        <v>4042</v>
      </c>
      <c r="F4913" s="400">
        <v>15487.5</v>
      </c>
      <c r="G4913" s="401" t="s">
        <v>3800</v>
      </c>
      <c r="H4913" s="402">
        <v>5.7627815773564537</v>
      </c>
      <c r="I4913" s="402"/>
      <c r="J4913" s="400">
        <v>1.4406953943391134</v>
      </c>
      <c r="K4913" s="400">
        <v>1.4406953943391134</v>
      </c>
      <c r="L4913" s="400">
        <v>1.4406953943391134</v>
      </c>
      <c r="M4913" s="400">
        <v>1.4406953943391134</v>
      </c>
      <c r="N4913" s="400"/>
    </row>
    <row r="4914" spans="1:14" s="360" customFormat="1" hidden="1" outlineLevel="2" x14ac:dyDescent="0.35">
      <c r="A4914" s="403" t="s">
        <v>3972</v>
      </c>
      <c r="B4914" s="397">
        <v>44284</v>
      </c>
      <c r="C4914" s="398" t="s">
        <v>4052</v>
      </c>
      <c r="D4914" s="399" t="s">
        <v>4053</v>
      </c>
      <c r="E4914" s="399" t="s">
        <v>6117</v>
      </c>
      <c r="F4914" s="400">
        <v>1239000</v>
      </c>
      <c r="G4914" s="401" t="s">
        <v>3800</v>
      </c>
      <c r="H4914" s="402">
        <v>461.02252618851628</v>
      </c>
      <c r="I4914" s="402"/>
      <c r="J4914" s="400">
        <v>115.25563154712907</v>
      </c>
      <c r="K4914" s="400">
        <v>115.25563154712907</v>
      </c>
      <c r="L4914" s="400">
        <v>115.25563154712907</v>
      </c>
      <c r="M4914" s="400">
        <v>115.25563154712907</v>
      </c>
      <c r="N4914" s="400"/>
    </row>
    <row r="4915" spans="1:14" s="360" customFormat="1" hidden="1" outlineLevel="2" x14ac:dyDescent="0.35">
      <c r="A4915" s="403" t="s">
        <v>3972</v>
      </c>
      <c r="B4915" s="397">
        <v>44284</v>
      </c>
      <c r="C4915" s="398" t="s">
        <v>4052</v>
      </c>
      <c r="D4915" s="399" t="s">
        <v>4054</v>
      </c>
      <c r="E4915" s="399" t="s">
        <v>6117</v>
      </c>
      <c r="F4915" s="400">
        <v>185850</v>
      </c>
      <c r="G4915" s="401" t="s">
        <v>3800</v>
      </c>
      <c r="H4915" s="402">
        <v>69.153378928277448</v>
      </c>
      <c r="I4915" s="402"/>
      <c r="J4915" s="400">
        <v>17.288344732069362</v>
      </c>
      <c r="K4915" s="400">
        <v>17.288344732069362</v>
      </c>
      <c r="L4915" s="400">
        <v>17.288344732069362</v>
      </c>
      <c r="M4915" s="400">
        <v>17.288344732069362</v>
      </c>
      <c r="N4915" s="400"/>
    </row>
    <row r="4916" spans="1:14" s="360" customFormat="1" hidden="1" outlineLevel="2" x14ac:dyDescent="0.35">
      <c r="A4916" s="403" t="s">
        <v>3972</v>
      </c>
      <c r="B4916" s="397">
        <v>44284</v>
      </c>
      <c r="C4916" s="398" t="s">
        <v>4055</v>
      </c>
      <c r="D4916" s="399" t="s">
        <v>4056</v>
      </c>
      <c r="E4916" s="399" t="s">
        <v>4272</v>
      </c>
      <c r="F4916" s="400">
        <v>154875</v>
      </c>
      <c r="G4916" s="401" t="s">
        <v>3800</v>
      </c>
      <c r="H4916" s="402">
        <v>57.627815773564535</v>
      </c>
      <c r="I4916" s="402"/>
      <c r="J4916" s="400">
        <v>14.406953943391134</v>
      </c>
      <c r="K4916" s="400">
        <v>14.406953943391134</v>
      </c>
      <c r="L4916" s="400">
        <v>14.406953943391134</v>
      </c>
      <c r="M4916" s="400">
        <v>14.406953943391134</v>
      </c>
      <c r="N4916" s="400"/>
    </row>
    <row r="4917" spans="1:14" s="360" customFormat="1" hidden="1" outlineLevel="2" x14ac:dyDescent="0.35">
      <c r="A4917" s="403" t="s">
        <v>3972</v>
      </c>
      <c r="B4917" s="397">
        <v>44284</v>
      </c>
      <c r="C4917" s="398" t="s">
        <v>4052</v>
      </c>
      <c r="D4917" s="399" t="s">
        <v>4057</v>
      </c>
      <c r="E4917" s="399" t="s">
        <v>6117</v>
      </c>
      <c r="F4917" s="400">
        <v>61950</v>
      </c>
      <c r="G4917" s="401" t="s">
        <v>3800</v>
      </c>
      <c r="H4917" s="402">
        <v>23.051126309425815</v>
      </c>
      <c r="I4917" s="402"/>
      <c r="J4917" s="400">
        <v>5.7627815773564537</v>
      </c>
      <c r="K4917" s="400">
        <v>5.7627815773564537</v>
      </c>
      <c r="L4917" s="400">
        <v>5.7627815773564537</v>
      </c>
      <c r="M4917" s="400">
        <v>5.7627815773564537</v>
      </c>
      <c r="N4917" s="400"/>
    </row>
    <row r="4918" spans="1:14" s="360" customFormat="1" hidden="1" outlineLevel="2" x14ac:dyDescent="0.35">
      <c r="A4918" s="403" t="s">
        <v>3972</v>
      </c>
      <c r="B4918" s="397">
        <v>44284</v>
      </c>
      <c r="C4918" s="398" t="s">
        <v>4058</v>
      </c>
      <c r="D4918" s="399" t="s">
        <v>4059</v>
      </c>
      <c r="E4918" s="399" t="s">
        <v>4039</v>
      </c>
      <c r="F4918" s="400">
        <v>61950</v>
      </c>
      <c r="G4918" s="401" t="s">
        <v>3800</v>
      </c>
      <c r="H4918" s="402">
        <v>23.051126309425815</v>
      </c>
      <c r="I4918" s="402"/>
      <c r="J4918" s="400">
        <v>5.7627815773564537</v>
      </c>
      <c r="K4918" s="400">
        <v>5.7627815773564537</v>
      </c>
      <c r="L4918" s="400">
        <v>5.7627815773564537</v>
      </c>
      <c r="M4918" s="400">
        <v>5.7627815773564537</v>
      </c>
      <c r="N4918" s="400"/>
    </row>
    <row r="4919" spans="1:14" s="360" customFormat="1" hidden="1" outlineLevel="2" x14ac:dyDescent="0.35">
      <c r="A4919" s="403" t="s">
        <v>3972</v>
      </c>
      <c r="B4919" s="397">
        <v>44284</v>
      </c>
      <c r="C4919" s="398" t="s">
        <v>4060</v>
      </c>
      <c r="D4919" s="399" t="s">
        <v>4061</v>
      </c>
      <c r="E4919" s="399" t="s">
        <v>4042</v>
      </c>
      <c r="F4919" s="400">
        <v>15487.5</v>
      </c>
      <c r="G4919" s="401" t="s">
        <v>3800</v>
      </c>
      <c r="H4919" s="402">
        <v>5.7627815773564537</v>
      </c>
      <c r="I4919" s="402"/>
      <c r="J4919" s="400">
        <v>1.4406953943391134</v>
      </c>
      <c r="K4919" s="400">
        <v>1.4406953943391134</v>
      </c>
      <c r="L4919" s="400">
        <v>1.4406953943391134</v>
      </c>
      <c r="M4919" s="400">
        <v>1.4406953943391134</v>
      </c>
      <c r="N4919" s="400"/>
    </row>
    <row r="4920" spans="1:14" s="360" customFormat="1" hidden="1" outlineLevel="2" x14ac:dyDescent="0.35">
      <c r="A4920" s="403" t="s">
        <v>3972</v>
      </c>
      <c r="B4920" s="397">
        <v>44315</v>
      </c>
      <c r="C4920" s="398" t="s">
        <v>4062</v>
      </c>
      <c r="D4920" s="399" t="s">
        <v>4063</v>
      </c>
      <c r="E4920" s="399" t="s">
        <v>6117</v>
      </c>
      <c r="F4920" s="400">
        <v>1239000</v>
      </c>
      <c r="G4920" s="401" t="s">
        <v>3800</v>
      </c>
      <c r="H4920" s="402">
        <v>461.02252618851628</v>
      </c>
      <c r="I4920" s="402"/>
      <c r="J4920" s="400">
        <v>115.25563154712907</v>
      </c>
      <c r="K4920" s="400">
        <v>115.25563154712907</v>
      </c>
      <c r="L4920" s="400">
        <v>115.25563154712907</v>
      </c>
      <c r="M4920" s="400">
        <v>115.25563154712907</v>
      </c>
      <c r="N4920" s="400"/>
    </row>
    <row r="4921" spans="1:14" s="360" customFormat="1" hidden="1" outlineLevel="2" x14ac:dyDescent="0.35">
      <c r="A4921" s="403" t="s">
        <v>3972</v>
      </c>
      <c r="B4921" s="397">
        <v>44315</v>
      </c>
      <c r="C4921" s="398" t="s">
        <v>4062</v>
      </c>
      <c r="D4921" s="399" t="s">
        <v>4064</v>
      </c>
      <c r="E4921" s="399" t="s">
        <v>6117</v>
      </c>
      <c r="F4921" s="400">
        <v>185850</v>
      </c>
      <c r="G4921" s="401" t="s">
        <v>3800</v>
      </c>
      <c r="H4921" s="402">
        <v>69.153378928277448</v>
      </c>
      <c r="I4921" s="402"/>
      <c r="J4921" s="400">
        <v>17.288344732069362</v>
      </c>
      <c r="K4921" s="400">
        <v>17.288344732069362</v>
      </c>
      <c r="L4921" s="400">
        <v>17.288344732069362</v>
      </c>
      <c r="M4921" s="400">
        <v>17.288344732069362</v>
      </c>
      <c r="N4921" s="400"/>
    </row>
    <row r="4922" spans="1:14" s="360" customFormat="1" hidden="1" outlineLevel="2" x14ac:dyDescent="0.35">
      <c r="A4922" s="403" t="s">
        <v>3972</v>
      </c>
      <c r="B4922" s="397">
        <v>44315</v>
      </c>
      <c r="C4922" s="398" t="s">
        <v>4065</v>
      </c>
      <c r="D4922" s="399" t="s">
        <v>4066</v>
      </c>
      <c r="E4922" s="399" t="s">
        <v>4272</v>
      </c>
      <c r="F4922" s="400">
        <v>154875</v>
      </c>
      <c r="G4922" s="401" t="s">
        <v>3800</v>
      </c>
      <c r="H4922" s="402">
        <v>57.627815773564535</v>
      </c>
      <c r="I4922" s="402"/>
      <c r="J4922" s="400">
        <v>14.406953943391134</v>
      </c>
      <c r="K4922" s="400">
        <v>14.406953943391134</v>
      </c>
      <c r="L4922" s="400">
        <v>14.406953943391134</v>
      </c>
      <c r="M4922" s="400">
        <v>14.406953943391134</v>
      </c>
      <c r="N4922" s="400"/>
    </row>
    <row r="4923" spans="1:14" s="360" customFormat="1" hidden="1" outlineLevel="2" x14ac:dyDescent="0.35">
      <c r="A4923" s="403" t="s">
        <v>3972</v>
      </c>
      <c r="B4923" s="397">
        <v>44315</v>
      </c>
      <c r="C4923" s="398" t="s">
        <v>4062</v>
      </c>
      <c r="D4923" s="399" t="s">
        <v>4067</v>
      </c>
      <c r="E4923" s="399" t="s">
        <v>6117</v>
      </c>
      <c r="F4923" s="400">
        <v>61950</v>
      </c>
      <c r="G4923" s="401" t="s">
        <v>3800</v>
      </c>
      <c r="H4923" s="402">
        <v>23.051126309425815</v>
      </c>
      <c r="I4923" s="402"/>
      <c r="J4923" s="400">
        <v>5.7627815773564537</v>
      </c>
      <c r="K4923" s="400">
        <v>5.7627815773564537</v>
      </c>
      <c r="L4923" s="400">
        <v>5.7627815773564537</v>
      </c>
      <c r="M4923" s="400">
        <v>5.7627815773564537</v>
      </c>
      <c r="N4923" s="400"/>
    </row>
    <row r="4924" spans="1:14" s="360" customFormat="1" hidden="1" outlineLevel="2" x14ac:dyDescent="0.35">
      <c r="A4924" s="403" t="s">
        <v>3972</v>
      </c>
      <c r="B4924" s="397">
        <v>44315</v>
      </c>
      <c r="C4924" s="398" t="s">
        <v>4068</v>
      </c>
      <c r="D4924" s="399" t="s">
        <v>4069</v>
      </c>
      <c r="E4924" s="399" t="s">
        <v>4039</v>
      </c>
      <c r="F4924" s="400">
        <v>61950</v>
      </c>
      <c r="G4924" s="401" t="s">
        <v>3800</v>
      </c>
      <c r="H4924" s="402">
        <v>23.051126309425815</v>
      </c>
      <c r="I4924" s="402"/>
      <c r="J4924" s="400">
        <v>5.7627815773564537</v>
      </c>
      <c r="K4924" s="400">
        <v>5.7627815773564537</v>
      </c>
      <c r="L4924" s="400">
        <v>5.7627815773564537</v>
      </c>
      <c r="M4924" s="400">
        <v>5.7627815773564537</v>
      </c>
      <c r="N4924" s="400"/>
    </row>
    <row r="4925" spans="1:14" s="360" customFormat="1" hidden="1" outlineLevel="2" x14ac:dyDescent="0.35">
      <c r="A4925" s="403" t="s">
        <v>3972</v>
      </c>
      <c r="B4925" s="397">
        <v>44315</v>
      </c>
      <c r="C4925" s="398" t="s">
        <v>4070</v>
      </c>
      <c r="D4925" s="399" t="s">
        <v>4071</v>
      </c>
      <c r="E4925" s="399" t="s">
        <v>4042</v>
      </c>
      <c r="F4925" s="400">
        <v>15487.5</v>
      </c>
      <c r="G4925" s="401" t="s">
        <v>3800</v>
      </c>
      <c r="H4925" s="402">
        <v>5.7627815773564537</v>
      </c>
      <c r="I4925" s="402"/>
      <c r="J4925" s="400">
        <v>1.4406953943391134</v>
      </c>
      <c r="K4925" s="400">
        <v>1.4406953943391134</v>
      </c>
      <c r="L4925" s="400">
        <v>1.4406953943391134</v>
      </c>
      <c r="M4925" s="400">
        <v>1.4406953943391134</v>
      </c>
      <c r="N4925" s="400"/>
    </row>
    <row r="4926" spans="1:14" s="360" customFormat="1" hidden="1" outlineLevel="2" x14ac:dyDescent="0.35">
      <c r="A4926" s="403" t="s">
        <v>3972</v>
      </c>
      <c r="B4926" s="397">
        <v>44342</v>
      </c>
      <c r="C4926" s="398" t="s">
        <v>4072</v>
      </c>
      <c r="D4926" s="399" t="s">
        <v>4073</v>
      </c>
      <c r="E4926" s="399" t="s">
        <v>6117</v>
      </c>
      <c r="F4926" s="400">
        <v>1239000</v>
      </c>
      <c r="G4926" s="401" t="s">
        <v>3800</v>
      </c>
      <c r="H4926" s="402">
        <v>461.02252618851628</v>
      </c>
      <c r="I4926" s="402"/>
      <c r="J4926" s="400">
        <v>115.25563154712907</v>
      </c>
      <c r="K4926" s="400">
        <v>115.25563154712907</v>
      </c>
      <c r="L4926" s="400">
        <v>115.25563154712907</v>
      </c>
      <c r="M4926" s="400">
        <v>115.25563154712907</v>
      </c>
      <c r="N4926" s="400"/>
    </row>
    <row r="4927" spans="1:14" s="360" customFormat="1" hidden="1" outlineLevel="2" x14ac:dyDescent="0.35">
      <c r="A4927" s="403" t="s">
        <v>3972</v>
      </c>
      <c r="B4927" s="397">
        <v>44342</v>
      </c>
      <c r="C4927" s="398" t="s">
        <v>4072</v>
      </c>
      <c r="D4927" s="399" t="s">
        <v>4074</v>
      </c>
      <c r="E4927" s="399" t="s">
        <v>6117</v>
      </c>
      <c r="F4927" s="400">
        <v>185850</v>
      </c>
      <c r="G4927" s="401" t="s">
        <v>3800</v>
      </c>
      <c r="H4927" s="402">
        <v>69.153378928277448</v>
      </c>
      <c r="I4927" s="402"/>
      <c r="J4927" s="400">
        <v>17.288344732069362</v>
      </c>
      <c r="K4927" s="400">
        <v>17.288344732069362</v>
      </c>
      <c r="L4927" s="400">
        <v>17.288344732069362</v>
      </c>
      <c r="M4927" s="400">
        <v>17.288344732069362</v>
      </c>
      <c r="N4927" s="400"/>
    </row>
    <row r="4928" spans="1:14" s="360" customFormat="1" hidden="1" outlineLevel="2" x14ac:dyDescent="0.35">
      <c r="A4928" s="403" t="s">
        <v>3972</v>
      </c>
      <c r="B4928" s="397">
        <v>44342</v>
      </c>
      <c r="C4928" s="398" t="s">
        <v>4075</v>
      </c>
      <c r="D4928" s="399" t="s">
        <v>4076</v>
      </c>
      <c r="E4928" s="399" t="s">
        <v>4272</v>
      </c>
      <c r="F4928" s="400">
        <v>154875</v>
      </c>
      <c r="G4928" s="401" t="s">
        <v>3800</v>
      </c>
      <c r="H4928" s="402">
        <v>57.627815773564535</v>
      </c>
      <c r="I4928" s="402"/>
      <c r="J4928" s="400">
        <v>14.406953943391134</v>
      </c>
      <c r="K4928" s="400">
        <v>14.406953943391134</v>
      </c>
      <c r="L4928" s="400">
        <v>14.406953943391134</v>
      </c>
      <c r="M4928" s="400">
        <v>14.406953943391134</v>
      </c>
      <c r="N4928" s="400"/>
    </row>
    <row r="4929" spans="1:14" s="360" customFormat="1" hidden="1" outlineLevel="2" x14ac:dyDescent="0.35">
      <c r="A4929" s="403" t="s">
        <v>3972</v>
      </c>
      <c r="B4929" s="397">
        <v>44342</v>
      </c>
      <c r="C4929" s="398" t="s">
        <v>4072</v>
      </c>
      <c r="D4929" s="399" t="s">
        <v>4077</v>
      </c>
      <c r="E4929" s="399" t="s">
        <v>6117</v>
      </c>
      <c r="F4929" s="400">
        <v>61950</v>
      </c>
      <c r="G4929" s="401" t="s">
        <v>3800</v>
      </c>
      <c r="H4929" s="402">
        <v>23.051126309425815</v>
      </c>
      <c r="I4929" s="402"/>
      <c r="J4929" s="400">
        <v>5.7627815773564537</v>
      </c>
      <c r="K4929" s="400">
        <v>5.7627815773564537</v>
      </c>
      <c r="L4929" s="400">
        <v>5.7627815773564537</v>
      </c>
      <c r="M4929" s="400">
        <v>5.7627815773564537</v>
      </c>
      <c r="N4929" s="400"/>
    </row>
    <row r="4930" spans="1:14" s="360" customFormat="1" hidden="1" outlineLevel="2" x14ac:dyDescent="0.35">
      <c r="A4930" s="403" t="s">
        <v>3972</v>
      </c>
      <c r="B4930" s="397">
        <v>44342</v>
      </c>
      <c r="C4930" s="398" t="s">
        <v>4078</v>
      </c>
      <c r="D4930" s="399" t="s">
        <v>4079</v>
      </c>
      <c r="E4930" s="399" t="s">
        <v>4039</v>
      </c>
      <c r="F4930" s="400">
        <v>61950</v>
      </c>
      <c r="G4930" s="401" t="s">
        <v>3800</v>
      </c>
      <c r="H4930" s="402">
        <v>23.051126309425815</v>
      </c>
      <c r="I4930" s="402"/>
      <c r="J4930" s="400">
        <v>5.7627815773564537</v>
      </c>
      <c r="K4930" s="400">
        <v>5.7627815773564537</v>
      </c>
      <c r="L4930" s="400">
        <v>5.7627815773564537</v>
      </c>
      <c r="M4930" s="400">
        <v>5.7627815773564537</v>
      </c>
      <c r="N4930" s="400"/>
    </row>
    <row r="4931" spans="1:14" s="360" customFormat="1" hidden="1" outlineLevel="2" x14ac:dyDescent="0.35">
      <c r="A4931" s="403" t="s">
        <v>3972</v>
      </c>
      <c r="B4931" s="397">
        <v>44342</v>
      </c>
      <c r="C4931" s="398" t="s">
        <v>4080</v>
      </c>
      <c r="D4931" s="399" t="s">
        <v>4081</v>
      </c>
      <c r="E4931" s="399" t="s">
        <v>4042</v>
      </c>
      <c r="F4931" s="400">
        <v>15487.5</v>
      </c>
      <c r="G4931" s="401" t="s">
        <v>3800</v>
      </c>
      <c r="H4931" s="402">
        <v>5.7627815773564537</v>
      </c>
      <c r="I4931" s="402"/>
      <c r="J4931" s="400">
        <v>1.4406953943391134</v>
      </c>
      <c r="K4931" s="400">
        <v>1.4406953943391134</v>
      </c>
      <c r="L4931" s="400">
        <v>1.4406953943391134</v>
      </c>
      <c r="M4931" s="400">
        <v>1.4406953943391134</v>
      </c>
      <c r="N4931" s="400"/>
    </row>
    <row r="4932" spans="1:14" s="360" customFormat="1" hidden="1" outlineLevel="2" collapsed="1" x14ac:dyDescent="0.35">
      <c r="A4932" s="403" t="s">
        <v>3972</v>
      </c>
      <c r="B4932" s="397">
        <v>44376</v>
      </c>
      <c r="C4932" s="398" t="s">
        <v>4082</v>
      </c>
      <c r="D4932" s="399" t="s">
        <v>4083</v>
      </c>
      <c r="E4932" s="399" t="s">
        <v>6117</v>
      </c>
      <c r="F4932" s="400">
        <v>1239000</v>
      </c>
      <c r="G4932" s="401" t="s">
        <v>3800</v>
      </c>
      <c r="H4932" s="402">
        <v>461.02252618851628</v>
      </c>
      <c r="I4932" s="402"/>
      <c r="J4932" s="400">
        <v>115.25563154712907</v>
      </c>
      <c r="K4932" s="400">
        <v>115.25563154712907</v>
      </c>
      <c r="L4932" s="400">
        <v>115.25563154712907</v>
      </c>
      <c r="M4932" s="400">
        <v>115.25563154712907</v>
      </c>
      <c r="N4932" s="400"/>
    </row>
    <row r="4933" spans="1:14" s="360" customFormat="1" hidden="1" outlineLevel="2" x14ac:dyDescent="0.35">
      <c r="A4933" s="403" t="s">
        <v>3972</v>
      </c>
      <c r="B4933" s="397">
        <v>44376</v>
      </c>
      <c r="C4933" s="398" t="s">
        <v>4082</v>
      </c>
      <c r="D4933" s="399" t="s">
        <v>4084</v>
      </c>
      <c r="E4933" s="399" t="s">
        <v>6117</v>
      </c>
      <c r="F4933" s="400">
        <v>185850</v>
      </c>
      <c r="G4933" s="401" t="s">
        <v>3800</v>
      </c>
      <c r="H4933" s="402">
        <v>69.153378928277448</v>
      </c>
      <c r="I4933" s="402"/>
      <c r="J4933" s="400">
        <v>17.288344732069362</v>
      </c>
      <c r="K4933" s="400">
        <v>17.288344732069362</v>
      </c>
      <c r="L4933" s="400">
        <v>17.288344732069362</v>
      </c>
      <c r="M4933" s="400">
        <v>17.288344732069362</v>
      </c>
      <c r="N4933" s="400"/>
    </row>
    <row r="4934" spans="1:14" s="360" customFormat="1" hidden="1" outlineLevel="2" x14ac:dyDescent="0.35">
      <c r="A4934" s="403" t="s">
        <v>3972</v>
      </c>
      <c r="B4934" s="397">
        <v>44376</v>
      </c>
      <c r="C4934" s="398" t="s">
        <v>4085</v>
      </c>
      <c r="D4934" s="399" t="s">
        <v>4086</v>
      </c>
      <c r="E4934" s="399" t="s">
        <v>4272</v>
      </c>
      <c r="F4934" s="400">
        <v>154875</v>
      </c>
      <c r="G4934" s="401" t="s">
        <v>3800</v>
      </c>
      <c r="H4934" s="402">
        <v>57.627815773564535</v>
      </c>
      <c r="I4934" s="402"/>
      <c r="J4934" s="400">
        <v>14.406953943391134</v>
      </c>
      <c r="K4934" s="400">
        <v>14.406953943391134</v>
      </c>
      <c r="L4934" s="400">
        <v>14.406953943391134</v>
      </c>
      <c r="M4934" s="400">
        <v>14.406953943391134</v>
      </c>
      <c r="N4934" s="400"/>
    </row>
    <row r="4935" spans="1:14" s="360" customFormat="1" hidden="1" outlineLevel="2" x14ac:dyDescent="0.35">
      <c r="A4935" s="403" t="s">
        <v>3972</v>
      </c>
      <c r="B4935" s="397">
        <v>44376</v>
      </c>
      <c r="C4935" s="398" t="s">
        <v>4082</v>
      </c>
      <c r="D4935" s="399" t="s">
        <v>4087</v>
      </c>
      <c r="E4935" s="399" t="s">
        <v>6117</v>
      </c>
      <c r="F4935" s="400">
        <v>61950</v>
      </c>
      <c r="G4935" s="401" t="s">
        <v>3800</v>
      </c>
      <c r="H4935" s="402">
        <v>23.051126309425815</v>
      </c>
      <c r="I4935" s="402"/>
      <c r="J4935" s="400">
        <v>5.7627815773564537</v>
      </c>
      <c r="K4935" s="400">
        <v>5.7627815773564537</v>
      </c>
      <c r="L4935" s="400">
        <v>5.7627815773564537</v>
      </c>
      <c r="M4935" s="400">
        <v>5.7627815773564537</v>
      </c>
      <c r="N4935" s="400"/>
    </row>
    <row r="4936" spans="1:14" s="360" customFormat="1" hidden="1" outlineLevel="2" x14ac:dyDescent="0.35">
      <c r="A4936" s="403" t="s">
        <v>3972</v>
      </c>
      <c r="B4936" s="397">
        <v>44376</v>
      </c>
      <c r="C4936" s="398" t="s">
        <v>4088</v>
      </c>
      <c r="D4936" s="399" t="s">
        <v>4089</v>
      </c>
      <c r="E4936" s="399" t="s">
        <v>4039</v>
      </c>
      <c r="F4936" s="400">
        <v>61950</v>
      </c>
      <c r="G4936" s="401" t="s">
        <v>3800</v>
      </c>
      <c r="H4936" s="402">
        <v>23.051126309425815</v>
      </c>
      <c r="I4936" s="402"/>
      <c r="J4936" s="400">
        <v>5.7627815773564537</v>
      </c>
      <c r="K4936" s="400">
        <v>5.7627815773564537</v>
      </c>
      <c r="L4936" s="400">
        <v>5.7627815773564537</v>
      </c>
      <c r="M4936" s="400">
        <v>5.7627815773564537</v>
      </c>
      <c r="N4936" s="400"/>
    </row>
    <row r="4937" spans="1:14" s="360" customFormat="1" hidden="1" outlineLevel="2" x14ac:dyDescent="0.35">
      <c r="A4937" s="403" t="s">
        <v>3972</v>
      </c>
      <c r="B4937" s="397">
        <v>44376</v>
      </c>
      <c r="C4937" s="398" t="s">
        <v>4090</v>
      </c>
      <c r="D4937" s="399" t="s">
        <v>4091</v>
      </c>
      <c r="E4937" s="399" t="s">
        <v>4042</v>
      </c>
      <c r="F4937" s="400">
        <v>15487.5</v>
      </c>
      <c r="G4937" s="401" t="s">
        <v>3800</v>
      </c>
      <c r="H4937" s="402">
        <v>5.7627815773564537</v>
      </c>
      <c r="I4937" s="402"/>
      <c r="J4937" s="400">
        <v>1.4406953943391134</v>
      </c>
      <c r="K4937" s="400">
        <v>1.4406953943391134</v>
      </c>
      <c r="L4937" s="400">
        <v>1.4406953943391134</v>
      </c>
      <c r="M4937" s="400">
        <v>1.4406953943391134</v>
      </c>
      <c r="N4937" s="400"/>
    </row>
    <row r="4938" spans="1:14" s="360" customFormat="1" hidden="1" outlineLevel="2" x14ac:dyDescent="0.35">
      <c r="A4938" s="403" t="s">
        <v>3972</v>
      </c>
      <c r="B4938" s="397">
        <v>44407</v>
      </c>
      <c r="C4938" s="398" t="s">
        <v>4092</v>
      </c>
      <c r="D4938" s="399" t="s">
        <v>4093</v>
      </c>
      <c r="E4938" s="399" t="s">
        <v>6117</v>
      </c>
      <c r="F4938" s="400">
        <v>1239000</v>
      </c>
      <c r="G4938" s="401" t="s">
        <v>3800</v>
      </c>
      <c r="H4938" s="402">
        <v>461.02252618851628</v>
      </c>
      <c r="I4938" s="402"/>
      <c r="J4938" s="400">
        <v>115.25563154712907</v>
      </c>
      <c r="K4938" s="400">
        <v>115.25563154712907</v>
      </c>
      <c r="L4938" s="400">
        <v>115.25563154712907</v>
      </c>
      <c r="M4938" s="400">
        <v>115.25563154712907</v>
      </c>
      <c r="N4938" s="400"/>
    </row>
    <row r="4939" spans="1:14" s="360" customFormat="1" hidden="1" outlineLevel="2" x14ac:dyDescent="0.35">
      <c r="A4939" s="403" t="s">
        <v>3972</v>
      </c>
      <c r="B4939" s="397">
        <v>44407</v>
      </c>
      <c r="C4939" s="398" t="s">
        <v>4092</v>
      </c>
      <c r="D4939" s="399" t="s">
        <v>4094</v>
      </c>
      <c r="E4939" s="399" t="s">
        <v>6117</v>
      </c>
      <c r="F4939" s="400">
        <v>185850</v>
      </c>
      <c r="G4939" s="401" t="s">
        <v>3800</v>
      </c>
      <c r="H4939" s="402">
        <v>69.153378928277448</v>
      </c>
      <c r="I4939" s="402"/>
      <c r="J4939" s="400">
        <v>17.288344732069362</v>
      </c>
      <c r="K4939" s="400">
        <v>17.288344732069362</v>
      </c>
      <c r="L4939" s="400">
        <v>17.288344732069362</v>
      </c>
      <c r="M4939" s="400">
        <v>17.288344732069362</v>
      </c>
      <c r="N4939" s="400"/>
    </row>
    <row r="4940" spans="1:14" s="360" customFormat="1" hidden="1" outlineLevel="2" x14ac:dyDescent="0.35">
      <c r="A4940" s="403" t="s">
        <v>3972</v>
      </c>
      <c r="B4940" s="397">
        <v>44407</v>
      </c>
      <c r="C4940" s="398" t="s">
        <v>4095</v>
      </c>
      <c r="D4940" s="399" t="s">
        <v>4096</v>
      </c>
      <c r="E4940" s="399" t="s">
        <v>4272</v>
      </c>
      <c r="F4940" s="400">
        <v>154875</v>
      </c>
      <c r="G4940" s="401" t="s">
        <v>3800</v>
      </c>
      <c r="H4940" s="402">
        <v>57.627815773564535</v>
      </c>
      <c r="I4940" s="402"/>
      <c r="J4940" s="400">
        <v>14.406953943391134</v>
      </c>
      <c r="K4940" s="400">
        <v>14.406953943391134</v>
      </c>
      <c r="L4940" s="400">
        <v>14.406953943391134</v>
      </c>
      <c r="M4940" s="400">
        <v>14.406953943391134</v>
      </c>
      <c r="N4940" s="400"/>
    </row>
    <row r="4941" spans="1:14" s="360" customFormat="1" hidden="1" outlineLevel="2" x14ac:dyDescent="0.35">
      <c r="A4941" s="403" t="s">
        <v>3972</v>
      </c>
      <c r="B4941" s="397">
        <v>44407</v>
      </c>
      <c r="C4941" s="398" t="s">
        <v>4062</v>
      </c>
      <c r="D4941" s="399" t="s">
        <v>4097</v>
      </c>
      <c r="E4941" s="399" t="s">
        <v>6117</v>
      </c>
      <c r="F4941" s="400">
        <v>61950</v>
      </c>
      <c r="G4941" s="401" t="s">
        <v>3800</v>
      </c>
      <c r="H4941" s="402">
        <v>23.051126309425815</v>
      </c>
      <c r="I4941" s="402"/>
      <c r="J4941" s="400">
        <v>5.7627815773564537</v>
      </c>
      <c r="K4941" s="400">
        <v>5.7627815773564537</v>
      </c>
      <c r="L4941" s="400">
        <v>5.7627815773564537</v>
      </c>
      <c r="M4941" s="400">
        <v>5.7627815773564537</v>
      </c>
      <c r="N4941" s="400"/>
    </row>
    <row r="4942" spans="1:14" s="360" customFormat="1" hidden="1" outlineLevel="2" x14ac:dyDescent="0.35">
      <c r="A4942" s="403" t="s">
        <v>3972</v>
      </c>
      <c r="B4942" s="397">
        <v>44407</v>
      </c>
      <c r="C4942" s="398" t="s">
        <v>4092</v>
      </c>
      <c r="D4942" s="399" t="s">
        <v>4098</v>
      </c>
      <c r="E4942" s="399" t="s">
        <v>4039</v>
      </c>
      <c r="F4942" s="400">
        <v>61950</v>
      </c>
      <c r="G4942" s="401" t="s">
        <v>3800</v>
      </c>
      <c r="H4942" s="402">
        <v>23.051126309425815</v>
      </c>
      <c r="I4942" s="402"/>
      <c r="J4942" s="400">
        <v>5.7627815773564537</v>
      </c>
      <c r="K4942" s="400">
        <v>5.7627815773564537</v>
      </c>
      <c r="L4942" s="400">
        <v>5.7627815773564537</v>
      </c>
      <c r="M4942" s="400">
        <v>5.7627815773564537</v>
      </c>
      <c r="N4942" s="400"/>
    </row>
    <row r="4943" spans="1:14" s="360" customFormat="1" hidden="1" outlineLevel="2" x14ac:dyDescent="0.35">
      <c r="A4943" s="403" t="s">
        <v>3972</v>
      </c>
      <c r="B4943" s="397">
        <v>44407</v>
      </c>
      <c r="C4943" s="398" t="s">
        <v>4099</v>
      </c>
      <c r="D4943" s="399" t="s">
        <v>4100</v>
      </c>
      <c r="E4943" s="399" t="s">
        <v>4042</v>
      </c>
      <c r="F4943" s="400">
        <v>9292.5</v>
      </c>
      <c r="G4943" s="401" t="s">
        <v>3800</v>
      </c>
      <c r="H4943" s="402">
        <v>3.4576689464138721</v>
      </c>
      <c r="I4943" s="402"/>
      <c r="J4943" s="400">
        <v>0.86441723660346803</v>
      </c>
      <c r="K4943" s="400">
        <v>0.86441723660346803</v>
      </c>
      <c r="L4943" s="400">
        <v>0.86441723660346803</v>
      </c>
      <c r="M4943" s="400">
        <v>0.86441723660346803</v>
      </c>
      <c r="N4943" s="400"/>
    </row>
    <row r="4944" spans="1:14" s="360" customFormat="1" outlineLevel="1" collapsed="1" x14ac:dyDescent="0.35">
      <c r="A4944" s="396" t="s">
        <v>7450</v>
      </c>
      <c r="B4944" s="397"/>
      <c r="C4944" s="398"/>
      <c r="D4944" s="399"/>
      <c r="E4944" s="399"/>
      <c r="F4944" s="400"/>
      <c r="G4944" s="401"/>
      <c r="H4944" s="402">
        <f t="shared" ref="H4944:N4944" si="252">SUBTOTAL(9,H4902:H4943)</f>
        <v>4475.3761729750222</v>
      </c>
      <c r="I4944" s="402"/>
      <c r="J4944" s="400">
        <f t="shared" si="252"/>
        <v>1118.8440432437556</v>
      </c>
      <c r="K4944" s="400">
        <f t="shared" si="252"/>
        <v>1118.8440432437556</v>
      </c>
      <c r="L4944" s="400">
        <f t="shared" si="252"/>
        <v>1118.8440432437556</v>
      </c>
      <c r="M4944" s="400">
        <f t="shared" si="252"/>
        <v>1118.8440432437556</v>
      </c>
      <c r="N4944" s="400">
        <f t="shared" si="252"/>
        <v>0</v>
      </c>
    </row>
    <row r="4945" spans="1:14" s="360" customFormat="1" hidden="1" outlineLevel="2" x14ac:dyDescent="0.35">
      <c r="A4945" s="403" t="s">
        <v>7451</v>
      </c>
      <c r="B4945" s="397">
        <v>44407</v>
      </c>
      <c r="C4945" s="398" t="s">
        <v>4555</v>
      </c>
      <c r="D4945" s="399" t="s">
        <v>4556</v>
      </c>
      <c r="E4945" s="399" t="s">
        <v>7452</v>
      </c>
      <c r="F4945" s="400">
        <v>243243.25</v>
      </c>
      <c r="G4945" s="401" t="s">
        <v>3800</v>
      </c>
      <c r="H4945" s="402">
        <v>90.508973037372726</v>
      </c>
      <c r="I4945" s="402"/>
      <c r="J4945" s="400"/>
      <c r="K4945" s="400"/>
      <c r="L4945" s="400"/>
      <c r="M4945" s="400"/>
      <c r="N4945" s="400">
        <f t="shared" ref="N4945:N5008" si="253">H4945</f>
        <v>90.508973037372726</v>
      </c>
    </row>
    <row r="4946" spans="1:14" s="360" customFormat="1" hidden="1" outlineLevel="2" x14ac:dyDescent="0.35">
      <c r="A4946" s="403" t="s">
        <v>7451</v>
      </c>
      <c r="B4946" s="397">
        <v>44407</v>
      </c>
      <c r="C4946" s="398" t="s">
        <v>4557</v>
      </c>
      <c r="D4946" s="399" t="s">
        <v>4558</v>
      </c>
      <c r="E4946" s="399" t="s">
        <v>4272</v>
      </c>
      <c r="F4946" s="400">
        <v>24324.325000000001</v>
      </c>
      <c r="G4946" s="401" t="s">
        <v>3800</v>
      </c>
      <c r="H4946" s="402">
        <v>9.0508973037372726</v>
      </c>
      <c r="I4946" s="402"/>
      <c r="J4946" s="400"/>
      <c r="K4946" s="400"/>
      <c r="L4946" s="400"/>
      <c r="M4946" s="400"/>
      <c r="N4946" s="400">
        <f t="shared" si="253"/>
        <v>9.0508973037372726</v>
      </c>
    </row>
    <row r="4947" spans="1:14" s="360" customFormat="1" hidden="1" outlineLevel="2" x14ac:dyDescent="0.35">
      <c r="A4947" s="403" t="s">
        <v>7451</v>
      </c>
      <c r="B4947" s="397">
        <v>44407</v>
      </c>
      <c r="C4947" s="398" t="s">
        <v>4559</v>
      </c>
      <c r="D4947" s="399" t="s">
        <v>4560</v>
      </c>
      <c r="E4947" s="399" t="s">
        <v>4042</v>
      </c>
      <c r="F4947" s="400">
        <v>1459.4594999999999</v>
      </c>
      <c r="G4947" s="401" t="s">
        <v>3800</v>
      </c>
      <c r="H4947" s="402">
        <v>0.54305383822423636</v>
      </c>
      <c r="I4947" s="402"/>
      <c r="J4947" s="400"/>
      <c r="K4947" s="400"/>
      <c r="L4947" s="400"/>
      <c r="M4947" s="400"/>
      <c r="N4947" s="400">
        <f t="shared" si="253"/>
        <v>0.54305383822423636</v>
      </c>
    </row>
    <row r="4948" spans="1:14" s="360" customFormat="1" hidden="1" outlineLevel="2" collapsed="1" x14ac:dyDescent="0.35">
      <c r="A4948" s="403" t="s">
        <v>7451</v>
      </c>
      <c r="B4948" s="397">
        <v>44438</v>
      </c>
      <c r="C4948" s="398" t="s">
        <v>4561</v>
      </c>
      <c r="D4948" s="399" t="s">
        <v>4562</v>
      </c>
      <c r="E4948" s="399" t="s">
        <v>7452</v>
      </c>
      <c r="F4948" s="400">
        <v>486486.49</v>
      </c>
      <c r="G4948" s="401" t="s">
        <v>3800</v>
      </c>
      <c r="H4948" s="402">
        <v>181.01794235382113</v>
      </c>
      <c r="I4948" s="402"/>
      <c r="J4948" s="400"/>
      <c r="K4948" s="400"/>
      <c r="L4948" s="400"/>
      <c r="M4948" s="400"/>
      <c r="N4948" s="400">
        <f t="shared" si="253"/>
        <v>181.01794235382113</v>
      </c>
    </row>
    <row r="4949" spans="1:14" s="360" customFormat="1" hidden="1" outlineLevel="2" x14ac:dyDescent="0.35">
      <c r="A4949" s="403" t="s">
        <v>7451</v>
      </c>
      <c r="B4949" s="397">
        <v>44438</v>
      </c>
      <c r="C4949" s="398" t="s">
        <v>4564</v>
      </c>
      <c r="D4949" s="399" t="s">
        <v>4565</v>
      </c>
      <c r="E4949" s="399" t="s">
        <v>4272</v>
      </c>
      <c r="F4949" s="400">
        <v>48648.649000000005</v>
      </c>
      <c r="G4949" s="401" t="s">
        <v>3800</v>
      </c>
      <c r="H4949" s="402">
        <v>18.101794235382112</v>
      </c>
      <c r="I4949" s="402"/>
      <c r="J4949" s="400"/>
      <c r="K4949" s="400"/>
      <c r="L4949" s="400"/>
      <c r="M4949" s="400"/>
      <c r="N4949" s="400">
        <f t="shared" si="253"/>
        <v>18.101794235382112</v>
      </c>
    </row>
    <row r="4950" spans="1:14" s="360" customFormat="1" hidden="1" outlineLevel="2" x14ac:dyDescent="0.35">
      <c r="A4950" s="403" t="s">
        <v>7451</v>
      </c>
      <c r="B4950" s="397">
        <v>44438</v>
      </c>
      <c r="C4950" s="398" t="s">
        <v>4566</v>
      </c>
      <c r="D4950" s="399" t="s">
        <v>4567</v>
      </c>
      <c r="E4950" s="399" t="s">
        <v>4042</v>
      </c>
      <c r="F4950" s="400">
        <v>2918.91894</v>
      </c>
      <c r="G4950" s="401" t="s">
        <v>3800</v>
      </c>
      <c r="H4950" s="402">
        <v>1.0861076541229266</v>
      </c>
      <c r="I4950" s="402"/>
      <c r="J4950" s="400"/>
      <c r="K4950" s="400"/>
      <c r="L4950" s="400"/>
      <c r="M4950" s="400"/>
      <c r="N4950" s="400">
        <f t="shared" si="253"/>
        <v>1.0861076541229266</v>
      </c>
    </row>
    <row r="4951" spans="1:14" s="360" customFormat="1" hidden="1" outlineLevel="2" x14ac:dyDescent="0.35">
      <c r="A4951" s="403" t="s">
        <v>7451</v>
      </c>
      <c r="B4951" s="397">
        <v>44438</v>
      </c>
      <c r="C4951" s="398" t="s">
        <v>4561</v>
      </c>
      <c r="D4951" s="399" t="s">
        <v>4562</v>
      </c>
      <c r="E4951" s="399" t="s">
        <v>7453</v>
      </c>
      <c r="F4951" s="400">
        <v>162162.13</v>
      </c>
      <c r="G4951" s="401" t="s">
        <v>3800</v>
      </c>
      <c r="H4951" s="402">
        <v>60.339301714859232</v>
      </c>
      <c r="I4951" s="402"/>
      <c r="J4951" s="400"/>
      <c r="K4951" s="400"/>
      <c r="L4951" s="400"/>
      <c r="M4951" s="400"/>
      <c r="N4951" s="400">
        <f t="shared" si="253"/>
        <v>60.339301714859232</v>
      </c>
    </row>
    <row r="4952" spans="1:14" s="360" customFormat="1" hidden="1" outlineLevel="2" x14ac:dyDescent="0.35">
      <c r="A4952" s="403" t="s">
        <v>7451</v>
      </c>
      <c r="B4952" s="397">
        <v>44438</v>
      </c>
      <c r="C4952" s="398" t="s">
        <v>4564</v>
      </c>
      <c r="D4952" s="399" t="s">
        <v>4565</v>
      </c>
      <c r="E4952" s="399" t="s">
        <v>4272</v>
      </c>
      <c r="F4952" s="400">
        <v>16216.213000000002</v>
      </c>
      <c r="G4952" s="401" t="s">
        <v>3800</v>
      </c>
      <c r="H4952" s="402">
        <v>6.033930171485923</v>
      </c>
      <c r="I4952" s="402"/>
      <c r="J4952" s="400"/>
      <c r="K4952" s="400"/>
      <c r="L4952" s="400"/>
      <c r="M4952" s="400"/>
      <c r="N4952" s="400">
        <f t="shared" si="253"/>
        <v>6.033930171485923</v>
      </c>
    </row>
    <row r="4953" spans="1:14" s="360" customFormat="1" hidden="1" outlineLevel="2" x14ac:dyDescent="0.35">
      <c r="A4953" s="403" t="s">
        <v>7451</v>
      </c>
      <c r="B4953" s="397">
        <v>44438</v>
      </c>
      <c r="C4953" s="398" t="s">
        <v>4566</v>
      </c>
      <c r="D4953" s="399" t="s">
        <v>4567</v>
      </c>
      <c r="E4953" s="399" t="s">
        <v>4042</v>
      </c>
      <c r="F4953" s="400">
        <v>972.97278000000006</v>
      </c>
      <c r="G4953" s="401" t="s">
        <v>3800</v>
      </c>
      <c r="H4953" s="402">
        <v>0.36203581028915538</v>
      </c>
      <c r="I4953" s="402"/>
      <c r="J4953" s="400"/>
      <c r="K4953" s="400"/>
      <c r="L4953" s="400"/>
      <c r="M4953" s="400"/>
      <c r="N4953" s="400">
        <f t="shared" si="253"/>
        <v>0.36203581028915538</v>
      </c>
    </row>
    <row r="4954" spans="1:14" s="360" customFormat="1" hidden="1" outlineLevel="2" x14ac:dyDescent="0.35">
      <c r="A4954" s="403" t="s">
        <v>7451</v>
      </c>
      <c r="B4954" s="397">
        <v>44438</v>
      </c>
      <c r="C4954" s="398" t="s">
        <v>4561</v>
      </c>
      <c r="D4954" s="399" t="s">
        <v>4562</v>
      </c>
      <c r="E4954" s="399" t="s">
        <v>7454</v>
      </c>
      <c r="F4954" s="400">
        <v>162162.13</v>
      </c>
      <c r="G4954" s="401" t="s">
        <v>3800</v>
      </c>
      <c r="H4954" s="402">
        <v>60.339301714859232</v>
      </c>
      <c r="I4954" s="402"/>
      <c r="J4954" s="400"/>
      <c r="K4954" s="400"/>
      <c r="L4954" s="400"/>
      <c r="M4954" s="400"/>
      <c r="N4954" s="400">
        <f t="shared" si="253"/>
        <v>60.339301714859232</v>
      </c>
    </row>
    <row r="4955" spans="1:14" s="360" customFormat="1" hidden="1" outlineLevel="2" x14ac:dyDescent="0.35">
      <c r="A4955" s="403" t="s">
        <v>7451</v>
      </c>
      <c r="B4955" s="397">
        <v>44438</v>
      </c>
      <c r="C4955" s="398" t="s">
        <v>4564</v>
      </c>
      <c r="D4955" s="399" t="s">
        <v>4565</v>
      </c>
      <c r="E4955" s="399" t="s">
        <v>4272</v>
      </c>
      <c r="F4955" s="400">
        <v>16216.213000000002</v>
      </c>
      <c r="G4955" s="401" t="s">
        <v>3800</v>
      </c>
      <c r="H4955" s="402">
        <v>6.033930171485923</v>
      </c>
      <c r="I4955" s="402"/>
      <c r="J4955" s="400"/>
      <c r="K4955" s="400"/>
      <c r="L4955" s="400"/>
      <c r="M4955" s="400"/>
      <c r="N4955" s="400">
        <f t="shared" si="253"/>
        <v>6.033930171485923</v>
      </c>
    </row>
    <row r="4956" spans="1:14" s="360" customFormat="1" hidden="1" outlineLevel="2" x14ac:dyDescent="0.35">
      <c r="A4956" s="403" t="s">
        <v>7451</v>
      </c>
      <c r="B4956" s="397">
        <v>44438</v>
      </c>
      <c r="C4956" s="398" t="s">
        <v>4566</v>
      </c>
      <c r="D4956" s="399" t="s">
        <v>4567</v>
      </c>
      <c r="E4956" s="399" t="s">
        <v>4042</v>
      </c>
      <c r="F4956" s="400">
        <v>972.97278000000006</v>
      </c>
      <c r="G4956" s="401" t="s">
        <v>3800</v>
      </c>
      <c r="H4956" s="402">
        <v>0.36203581028915538</v>
      </c>
      <c r="I4956" s="402"/>
      <c r="J4956" s="400"/>
      <c r="K4956" s="400"/>
      <c r="L4956" s="400"/>
      <c r="M4956" s="400"/>
      <c r="N4956" s="400">
        <f t="shared" si="253"/>
        <v>0.36203581028915538</v>
      </c>
    </row>
    <row r="4957" spans="1:14" s="360" customFormat="1" hidden="1" outlineLevel="2" x14ac:dyDescent="0.35">
      <c r="A4957" s="403" t="s">
        <v>7451</v>
      </c>
      <c r="B4957" s="397">
        <v>44438</v>
      </c>
      <c r="C4957" s="398" t="s">
        <v>4561</v>
      </c>
      <c r="D4957" s="399" t="s">
        <v>4562</v>
      </c>
      <c r="E4957" s="399" t="s">
        <v>7455</v>
      </c>
      <c r="F4957" s="400">
        <v>162162.13</v>
      </c>
      <c r="G4957" s="401" t="s">
        <v>3800</v>
      </c>
      <c r="H4957" s="402">
        <v>60.339301714859232</v>
      </c>
      <c r="I4957" s="402"/>
      <c r="J4957" s="400"/>
      <c r="K4957" s="400"/>
      <c r="L4957" s="400"/>
      <c r="M4957" s="400"/>
      <c r="N4957" s="400">
        <f t="shared" si="253"/>
        <v>60.339301714859232</v>
      </c>
    </row>
    <row r="4958" spans="1:14" s="360" customFormat="1" hidden="1" outlineLevel="2" x14ac:dyDescent="0.35">
      <c r="A4958" s="403" t="s">
        <v>7451</v>
      </c>
      <c r="B4958" s="397">
        <v>44438</v>
      </c>
      <c r="C4958" s="398" t="s">
        <v>4564</v>
      </c>
      <c r="D4958" s="399" t="s">
        <v>4565</v>
      </c>
      <c r="E4958" s="399" t="s">
        <v>4272</v>
      </c>
      <c r="F4958" s="400">
        <v>16216.213000000002</v>
      </c>
      <c r="G4958" s="401" t="s">
        <v>3800</v>
      </c>
      <c r="H4958" s="402">
        <v>6.033930171485923</v>
      </c>
      <c r="I4958" s="402"/>
      <c r="J4958" s="400"/>
      <c r="K4958" s="400"/>
      <c r="L4958" s="400"/>
      <c r="M4958" s="400"/>
      <c r="N4958" s="400">
        <f t="shared" si="253"/>
        <v>6.033930171485923</v>
      </c>
    </row>
    <row r="4959" spans="1:14" s="360" customFormat="1" hidden="1" outlineLevel="2" x14ac:dyDescent="0.35">
      <c r="A4959" s="403" t="s">
        <v>7451</v>
      </c>
      <c r="B4959" s="397">
        <v>44438</v>
      </c>
      <c r="C4959" s="398" t="s">
        <v>4566</v>
      </c>
      <c r="D4959" s="399" t="s">
        <v>4567</v>
      </c>
      <c r="E4959" s="399" t="s">
        <v>4042</v>
      </c>
      <c r="F4959" s="400">
        <v>972.97278000000006</v>
      </c>
      <c r="G4959" s="401" t="s">
        <v>3800</v>
      </c>
      <c r="H4959" s="402">
        <v>0.36203581028915538</v>
      </c>
      <c r="I4959" s="402"/>
      <c r="J4959" s="400"/>
      <c r="K4959" s="400"/>
      <c r="L4959" s="400"/>
      <c r="M4959" s="400"/>
      <c r="N4959" s="400">
        <f t="shared" si="253"/>
        <v>0.36203581028915538</v>
      </c>
    </row>
    <row r="4960" spans="1:14" s="360" customFormat="1" hidden="1" outlineLevel="2" x14ac:dyDescent="0.35">
      <c r="A4960" s="403" t="s">
        <v>7451</v>
      </c>
      <c r="B4960" s="397">
        <v>44438</v>
      </c>
      <c r="C4960" s="398" t="s">
        <v>4561</v>
      </c>
      <c r="D4960" s="399" t="s">
        <v>7456</v>
      </c>
      <c r="E4960" s="399" t="s">
        <v>7455</v>
      </c>
      <c r="F4960" s="400">
        <v>486486.49</v>
      </c>
      <c r="G4960" s="401" t="s">
        <v>3800</v>
      </c>
      <c r="H4960" s="402">
        <v>181.01794235382113</v>
      </c>
      <c r="I4960" s="402"/>
      <c r="J4960" s="400"/>
      <c r="K4960" s="400"/>
      <c r="L4960" s="400"/>
      <c r="M4960" s="400"/>
      <c r="N4960" s="400">
        <f t="shared" si="253"/>
        <v>181.01794235382113</v>
      </c>
    </row>
    <row r="4961" spans="1:14" s="360" customFormat="1" hidden="1" outlineLevel="2" x14ac:dyDescent="0.35">
      <c r="A4961" s="403" t="s">
        <v>7451</v>
      </c>
      <c r="B4961" s="397">
        <v>44438</v>
      </c>
      <c r="C4961" s="398" t="s">
        <v>4564</v>
      </c>
      <c r="D4961" s="399" t="s">
        <v>4565</v>
      </c>
      <c r="E4961" s="399" t="s">
        <v>4272</v>
      </c>
      <c r="F4961" s="400">
        <v>48648.649000000005</v>
      </c>
      <c r="G4961" s="401" t="s">
        <v>3800</v>
      </c>
      <c r="H4961" s="402">
        <v>18.101794235382112</v>
      </c>
      <c r="I4961" s="402"/>
      <c r="J4961" s="400"/>
      <c r="K4961" s="400"/>
      <c r="L4961" s="400"/>
      <c r="M4961" s="400"/>
      <c r="N4961" s="400">
        <f t="shared" si="253"/>
        <v>18.101794235382112</v>
      </c>
    </row>
    <row r="4962" spans="1:14" s="360" customFormat="1" hidden="1" outlineLevel="2" x14ac:dyDescent="0.35">
      <c r="A4962" s="403" t="s">
        <v>7451</v>
      </c>
      <c r="B4962" s="397">
        <v>44438</v>
      </c>
      <c r="C4962" s="398" t="s">
        <v>4566</v>
      </c>
      <c r="D4962" s="399" t="s">
        <v>4567</v>
      </c>
      <c r="E4962" s="399" t="s">
        <v>4042</v>
      </c>
      <c r="F4962" s="400">
        <v>2918.91894</v>
      </c>
      <c r="G4962" s="401" t="s">
        <v>3800</v>
      </c>
      <c r="H4962" s="402">
        <v>1.0861076541229266</v>
      </c>
      <c r="I4962" s="402"/>
      <c r="J4962" s="400"/>
      <c r="K4962" s="400"/>
      <c r="L4962" s="400"/>
      <c r="M4962" s="400"/>
      <c r="N4962" s="400">
        <f t="shared" si="253"/>
        <v>1.0861076541229266</v>
      </c>
    </row>
    <row r="4963" spans="1:14" s="360" customFormat="1" hidden="1" outlineLevel="2" x14ac:dyDescent="0.35">
      <c r="A4963" s="403" t="s">
        <v>7451</v>
      </c>
      <c r="B4963" s="397">
        <v>44438</v>
      </c>
      <c r="C4963" s="398" t="s">
        <v>4561</v>
      </c>
      <c r="D4963" s="399" t="s">
        <v>4562</v>
      </c>
      <c r="E4963" s="399" t="s">
        <v>7457</v>
      </c>
      <c r="F4963" s="400">
        <v>162162.13</v>
      </c>
      <c r="G4963" s="401" t="s">
        <v>3800</v>
      </c>
      <c r="H4963" s="402">
        <v>60.339301714859232</v>
      </c>
      <c r="I4963" s="402"/>
      <c r="J4963" s="400"/>
      <c r="K4963" s="400"/>
      <c r="L4963" s="400"/>
      <c r="M4963" s="400"/>
      <c r="N4963" s="400">
        <f t="shared" si="253"/>
        <v>60.339301714859232</v>
      </c>
    </row>
    <row r="4964" spans="1:14" s="360" customFormat="1" hidden="1" outlineLevel="2" x14ac:dyDescent="0.35">
      <c r="A4964" s="403" t="s">
        <v>7451</v>
      </c>
      <c r="B4964" s="397">
        <v>44438</v>
      </c>
      <c r="C4964" s="398" t="s">
        <v>4564</v>
      </c>
      <c r="D4964" s="399" t="s">
        <v>4565</v>
      </c>
      <c r="E4964" s="399" t="s">
        <v>4272</v>
      </c>
      <c r="F4964" s="400">
        <v>16216.213000000002</v>
      </c>
      <c r="G4964" s="401" t="s">
        <v>3800</v>
      </c>
      <c r="H4964" s="402">
        <v>6.033930171485923</v>
      </c>
      <c r="I4964" s="402"/>
      <c r="J4964" s="400"/>
      <c r="K4964" s="400"/>
      <c r="L4964" s="400"/>
      <c r="M4964" s="400"/>
      <c r="N4964" s="400">
        <f t="shared" si="253"/>
        <v>6.033930171485923</v>
      </c>
    </row>
    <row r="4965" spans="1:14" s="360" customFormat="1" hidden="1" outlineLevel="2" x14ac:dyDescent="0.35">
      <c r="A4965" s="403" t="s">
        <v>7451</v>
      </c>
      <c r="B4965" s="397">
        <v>44438</v>
      </c>
      <c r="C4965" s="398" t="s">
        <v>4566</v>
      </c>
      <c r="D4965" s="399" t="s">
        <v>4567</v>
      </c>
      <c r="E4965" s="399" t="s">
        <v>4042</v>
      </c>
      <c r="F4965" s="400">
        <v>972.97278000000006</v>
      </c>
      <c r="G4965" s="401" t="s">
        <v>3800</v>
      </c>
      <c r="H4965" s="402">
        <v>0.36203581028915538</v>
      </c>
      <c r="I4965" s="402"/>
      <c r="J4965" s="400"/>
      <c r="K4965" s="400"/>
      <c r="L4965" s="400"/>
      <c r="M4965" s="400"/>
      <c r="N4965" s="400">
        <f t="shared" si="253"/>
        <v>0.36203581028915538</v>
      </c>
    </row>
    <row r="4966" spans="1:14" s="360" customFormat="1" hidden="1" outlineLevel="2" x14ac:dyDescent="0.35">
      <c r="A4966" s="403" t="s">
        <v>7451</v>
      </c>
      <c r="B4966" s="397">
        <v>44467</v>
      </c>
      <c r="C4966" s="398" t="s">
        <v>4568</v>
      </c>
      <c r="D4966" s="399" t="s">
        <v>4569</v>
      </c>
      <c r="E4966" s="399" t="s">
        <v>7452</v>
      </c>
      <c r="F4966" s="400">
        <v>486486.49</v>
      </c>
      <c r="G4966" s="401" t="s">
        <v>3800</v>
      </c>
      <c r="H4966" s="402">
        <v>181.01794235382113</v>
      </c>
      <c r="I4966" s="402"/>
      <c r="J4966" s="400"/>
      <c r="K4966" s="400"/>
      <c r="L4966" s="400"/>
      <c r="M4966" s="400"/>
      <c r="N4966" s="400">
        <f t="shared" si="253"/>
        <v>181.01794235382113</v>
      </c>
    </row>
    <row r="4967" spans="1:14" s="360" customFormat="1" hidden="1" outlineLevel="2" x14ac:dyDescent="0.35">
      <c r="A4967" s="403" t="s">
        <v>7451</v>
      </c>
      <c r="B4967" s="397">
        <v>44467</v>
      </c>
      <c r="C4967" s="398" t="s">
        <v>4570</v>
      </c>
      <c r="D4967" s="399" t="s">
        <v>4571</v>
      </c>
      <c r="E4967" s="399" t="s">
        <v>4272</v>
      </c>
      <c r="F4967" s="400">
        <v>48648.649000000005</v>
      </c>
      <c r="G4967" s="401" t="s">
        <v>3800</v>
      </c>
      <c r="H4967" s="402">
        <v>18.101794235382112</v>
      </c>
      <c r="I4967" s="402"/>
      <c r="J4967" s="400"/>
      <c r="K4967" s="400"/>
      <c r="L4967" s="400"/>
      <c r="M4967" s="400"/>
      <c r="N4967" s="400">
        <f t="shared" si="253"/>
        <v>18.101794235382112</v>
      </c>
    </row>
    <row r="4968" spans="1:14" s="360" customFormat="1" hidden="1" outlineLevel="2" x14ac:dyDescent="0.35">
      <c r="A4968" s="403" t="s">
        <v>7451</v>
      </c>
      <c r="B4968" s="397">
        <v>44467</v>
      </c>
      <c r="C4968" s="398" t="s">
        <v>4572</v>
      </c>
      <c r="D4968" s="399" t="s">
        <v>4573</v>
      </c>
      <c r="E4968" s="399" t="s">
        <v>4042</v>
      </c>
      <c r="F4968" s="400">
        <v>2918.91894</v>
      </c>
      <c r="G4968" s="401" t="s">
        <v>3800</v>
      </c>
      <c r="H4968" s="402">
        <v>1.0861076541229266</v>
      </c>
      <c r="I4968" s="402"/>
      <c r="J4968" s="400"/>
      <c r="K4968" s="400"/>
      <c r="L4968" s="400"/>
      <c r="M4968" s="400"/>
      <c r="N4968" s="400">
        <f t="shared" si="253"/>
        <v>1.0861076541229266</v>
      </c>
    </row>
    <row r="4969" spans="1:14" s="360" customFormat="1" hidden="1" outlineLevel="2" collapsed="1" x14ac:dyDescent="0.35">
      <c r="A4969" s="403" t="s">
        <v>7451</v>
      </c>
      <c r="B4969" s="397">
        <v>44467</v>
      </c>
      <c r="C4969" s="398" t="s">
        <v>4568</v>
      </c>
      <c r="D4969" s="399" t="s">
        <v>4569</v>
      </c>
      <c r="E4969" s="399" t="s">
        <v>7453</v>
      </c>
      <c r="F4969" s="400">
        <v>486486.49</v>
      </c>
      <c r="G4969" s="401" t="s">
        <v>3800</v>
      </c>
      <c r="H4969" s="402">
        <v>181.01794235382113</v>
      </c>
      <c r="I4969" s="402"/>
      <c r="J4969" s="400"/>
      <c r="K4969" s="400"/>
      <c r="L4969" s="400"/>
      <c r="M4969" s="400"/>
      <c r="N4969" s="400">
        <f t="shared" si="253"/>
        <v>181.01794235382113</v>
      </c>
    </row>
    <row r="4970" spans="1:14" s="360" customFormat="1" hidden="1" outlineLevel="2" x14ac:dyDescent="0.35">
      <c r="A4970" s="403" t="s">
        <v>7451</v>
      </c>
      <c r="B4970" s="397">
        <v>44467</v>
      </c>
      <c r="C4970" s="398" t="s">
        <v>4570</v>
      </c>
      <c r="D4970" s="399" t="s">
        <v>4571</v>
      </c>
      <c r="E4970" s="399" t="s">
        <v>4272</v>
      </c>
      <c r="F4970" s="400">
        <v>48648.649000000005</v>
      </c>
      <c r="G4970" s="401" t="s">
        <v>3800</v>
      </c>
      <c r="H4970" s="402">
        <v>18.101794235382112</v>
      </c>
      <c r="I4970" s="402"/>
      <c r="J4970" s="400"/>
      <c r="K4970" s="400"/>
      <c r="L4970" s="400"/>
      <c r="M4970" s="400"/>
      <c r="N4970" s="400">
        <f t="shared" si="253"/>
        <v>18.101794235382112</v>
      </c>
    </row>
    <row r="4971" spans="1:14" s="360" customFormat="1" hidden="1" outlineLevel="2" x14ac:dyDescent="0.35">
      <c r="A4971" s="403" t="s">
        <v>7451</v>
      </c>
      <c r="B4971" s="397">
        <v>44467</v>
      </c>
      <c r="C4971" s="398" t="s">
        <v>4572</v>
      </c>
      <c r="D4971" s="399" t="s">
        <v>4573</v>
      </c>
      <c r="E4971" s="399" t="s">
        <v>4042</v>
      </c>
      <c r="F4971" s="400">
        <v>2918.91894</v>
      </c>
      <c r="G4971" s="401" t="s">
        <v>3800</v>
      </c>
      <c r="H4971" s="402">
        <v>1.0861076541229266</v>
      </c>
      <c r="I4971" s="402"/>
      <c r="J4971" s="400"/>
      <c r="K4971" s="400"/>
      <c r="L4971" s="400"/>
      <c r="M4971" s="400"/>
      <c r="N4971" s="400">
        <f t="shared" si="253"/>
        <v>1.0861076541229266</v>
      </c>
    </row>
    <row r="4972" spans="1:14" s="360" customFormat="1" hidden="1" outlineLevel="2" x14ac:dyDescent="0.35">
      <c r="A4972" s="403" t="s">
        <v>7451</v>
      </c>
      <c r="B4972" s="397">
        <v>44467</v>
      </c>
      <c r="C4972" s="398" t="s">
        <v>4568</v>
      </c>
      <c r="D4972" s="399" t="s">
        <v>4569</v>
      </c>
      <c r="E4972" s="399" t="s">
        <v>7454</v>
      </c>
      <c r="F4972" s="400">
        <v>486486.49</v>
      </c>
      <c r="G4972" s="401" t="s">
        <v>3800</v>
      </c>
      <c r="H4972" s="402">
        <v>181.01794235382113</v>
      </c>
      <c r="I4972" s="402"/>
      <c r="J4972" s="400"/>
      <c r="K4972" s="400"/>
      <c r="L4972" s="400"/>
      <c r="M4972" s="400"/>
      <c r="N4972" s="400">
        <f t="shared" si="253"/>
        <v>181.01794235382113</v>
      </c>
    </row>
    <row r="4973" spans="1:14" s="360" customFormat="1" hidden="1" outlineLevel="2" x14ac:dyDescent="0.35">
      <c r="A4973" s="403" t="s">
        <v>7451</v>
      </c>
      <c r="B4973" s="397">
        <v>44467</v>
      </c>
      <c r="C4973" s="398" t="s">
        <v>4570</v>
      </c>
      <c r="D4973" s="399" t="s">
        <v>4571</v>
      </c>
      <c r="E4973" s="399" t="s">
        <v>4272</v>
      </c>
      <c r="F4973" s="400">
        <v>48648.649000000005</v>
      </c>
      <c r="G4973" s="401" t="s">
        <v>3800</v>
      </c>
      <c r="H4973" s="402">
        <v>18.101794235382112</v>
      </c>
      <c r="I4973" s="402"/>
      <c r="J4973" s="400"/>
      <c r="K4973" s="400"/>
      <c r="L4973" s="400"/>
      <c r="M4973" s="400"/>
      <c r="N4973" s="400">
        <f t="shared" si="253"/>
        <v>18.101794235382112</v>
      </c>
    </row>
    <row r="4974" spans="1:14" s="360" customFormat="1" hidden="1" outlineLevel="2" x14ac:dyDescent="0.35">
      <c r="A4974" s="403" t="s">
        <v>7451</v>
      </c>
      <c r="B4974" s="397">
        <v>44467</v>
      </c>
      <c r="C4974" s="398" t="s">
        <v>4572</v>
      </c>
      <c r="D4974" s="399" t="s">
        <v>4573</v>
      </c>
      <c r="E4974" s="399" t="s">
        <v>4042</v>
      </c>
      <c r="F4974" s="400">
        <v>2918.91894</v>
      </c>
      <c r="G4974" s="401" t="s">
        <v>3800</v>
      </c>
      <c r="H4974" s="402">
        <v>1.0861076541229266</v>
      </c>
      <c r="I4974" s="402"/>
      <c r="J4974" s="400"/>
      <c r="K4974" s="400"/>
      <c r="L4974" s="400"/>
      <c r="M4974" s="400"/>
      <c r="N4974" s="400">
        <f t="shared" si="253"/>
        <v>1.0861076541229266</v>
      </c>
    </row>
    <row r="4975" spans="1:14" s="360" customFormat="1" hidden="1" outlineLevel="2" x14ac:dyDescent="0.35">
      <c r="A4975" s="403" t="s">
        <v>7451</v>
      </c>
      <c r="B4975" s="397">
        <v>44467</v>
      </c>
      <c r="C4975" s="398" t="s">
        <v>4568</v>
      </c>
      <c r="D4975" s="399" t="s">
        <v>4569</v>
      </c>
      <c r="E4975" s="399" t="s">
        <v>7457</v>
      </c>
      <c r="F4975" s="400">
        <v>486486.49</v>
      </c>
      <c r="G4975" s="401" t="s">
        <v>3800</v>
      </c>
      <c r="H4975" s="402">
        <v>181.01794235382113</v>
      </c>
      <c r="I4975" s="402"/>
      <c r="J4975" s="400"/>
      <c r="K4975" s="400"/>
      <c r="L4975" s="400"/>
      <c r="M4975" s="400"/>
      <c r="N4975" s="400">
        <f t="shared" si="253"/>
        <v>181.01794235382113</v>
      </c>
    </row>
    <row r="4976" spans="1:14" s="360" customFormat="1" hidden="1" outlineLevel="2" x14ac:dyDescent="0.35">
      <c r="A4976" s="403" t="s">
        <v>7451</v>
      </c>
      <c r="B4976" s="397">
        <v>44467</v>
      </c>
      <c r="C4976" s="398" t="s">
        <v>4570</v>
      </c>
      <c r="D4976" s="399" t="s">
        <v>4571</v>
      </c>
      <c r="E4976" s="399" t="s">
        <v>4272</v>
      </c>
      <c r="F4976" s="400">
        <v>48648.649000000005</v>
      </c>
      <c r="G4976" s="401" t="s">
        <v>3800</v>
      </c>
      <c r="H4976" s="402">
        <v>18.101794235382112</v>
      </c>
      <c r="I4976" s="402"/>
      <c r="J4976" s="400"/>
      <c r="K4976" s="400"/>
      <c r="L4976" s="400"/>
      <c r="M4976" s="400"/>
      <c r="N4976" s="400">
        <f t="shared" si="253"/>
        <v>18.101794235382112</v>
      </c>
    </row>
    <row r="4977" spans="1:14" s="360" customFormat="1" hidden="1" outlineLevel="2" x14ac:dyDescent="0.35">
      <c r="A4977" s="403" t="s">
        <v>7451</v>
      </c>
      <c r="B4977" s="397">
        <v>44467</v>
      </c>
      <c r="C4977" s="398" t="s">
        <v>4572</v>
      </c>
      <c r="D4977" s="399" t="s">
        <v>4573</v>
      </c>
      <c r="E4977" s="399" t="s">
        <v>4042</v>
      </c>
      <c r="F4977" s="400">
        <v>2918.91894</v>
      </c>
      <c r="G4977" s="401" t="s">
        <v>3800</v>
      </c>
      <c r="H4977" s="402">
        <v>1.0861076541229266</v>
      </c>
      <c r="I4977" s="402"/>
      <c r="J4977" s="400"/>
      <c r="K4977" s="400"/>
      <c r="L4977" s="400"/>
      <c r="M4977" s="400"/>
      <c r="N4977" s="400">
        <f t="shared" si="253"/>
        <v>1.0861076541229266</v>
      </c>
    </row>
    <row r="4978" spans="1:14" s="360" customFormat="1" hidden="1" outlineLevel="2" collapsed="1" x14ac:dyDescent="0.35">
      <c r="A4978" s="403" t="s">
        <v>7451</v>
      </c>
      <c r="B4978" s="397">
        <v>44467</v>
      </c>
      <c r="C4978" s="398" t="s">
        <v>4568</v>
      </c>
      <c r="D4978" s="399" t="s">
        <v>4569</v>
      </c>
      <c r="E4978" s="399" t="s">
        <v>7458</v>
      </c>
      <c r="F4978" s="400">
        <v>486486.49</v>
      </c>
      <c r="G4978" s="401" t="s">
        <v>3800</v>
      </c>
      <c r="H4978" s="402">
        <v>181.01794235382113</v>
      </c>
      <c r="I4978" s="402"/>
      <c r="J4978" s="400"/>
      <c r="K4978" s="400"/>
      <c r="L4978" s="400"/>
      <c r="M4978" s="400"/>
      <c r="N4978" s="400">
        <f t="shared" si="253"/>
        <v>181.01794235382113</v>
      </c>
    </row>
    <row r="4979" spans="1:14" s="360" customFormat="1" hidden="1" outlineLevel="2" x14ac:dyDescent="0.35">
      <c r="A4979" s="403" t="s">
        <v>7451</v>
      </c>
      <c r="B4979" s="397">
        <v>44467</v>
      </c>
      <c r="C4979" s="398" t="s">
        <v>4570</v>
      </c>
      <c r="D4979" s="399" t="s">
        <v>4571</v>
      </c>
      <c r="E4979" s="399" t="s">
        <v>4272</v>
      </c>
      <c r="F4979" s="400">
        <v>48648.649000000005</v>
      </c>
      <c r="G4979" s="401" t="s">
        <v>3800</v>
      </c>
      <c r="H4979" s="402">
        <v>18.101794235382112</v>
      </c>
      <c r="I4979" s="402"/>
      <c r="J4979" s="400"/>
      <c r="K4979" s="400"/>
      <c r="L4979" s="400"/>
      <c r="M4979" s="400"/>
      <c r="N4979" s="400">
        <f t="shared" si="253"/>
        <v>18.101794235382112</v>
      </c>
    </row>
    <row r="4980" spans="1:14" s="360" customFormat="1" hidden="1" outlineLevel="2" x14ac:dyDescent="0.35">
      <c r="A4980" s="403" t="s">
        <v>7451</v>
      </c>
      <c r="B4980" s="397">
        <v>44467</v>
      </c>
      <c r="C4980" s="398" t="s">
        <v>4572</v>
      </c>
      <c r="D4980" s="399" t="s">
        <v>4573</v>
      </c>
      <c r="E4980" s="399" t="s">
        <v>4042</v>
      </c>
      <c r="F4980" s="400">
        <v>2918.91894</v>
      </c>
      <c r="G4980" s="401" t="s">
        <v>3800</v>
      </c>
      <c r="H4980" s="402">
        <v>1.0861076541229266</v>
      </c>
      <c r="I4980" s="402"/>
      <c r="J4980" s="400"/>
      <c r="K4980" s="400"/>
      <c r="L4980" s="400"/>
      <c r="M4980" s="400"/>
      <c r="N4980" s="400">
        <f t="shared" si="253"/>
        <v>1.0861076541229266</v>
      </c>
    </row>
    <row r="4981" spans="1:14" s="360" customFormat="1" hidden="1" outlineLevel="2" x14ac:dyDescent="0.35">
      <c r="A4981" s="403" t="s">
        <v>7451</v>
      </c>
      <c r="B4981" s="397">
        <v>44467</v>
      </c>
      <c r="C4981" s="398" t="s">
        <v>4568</v>
      </c>
      <c r="D4981" s="399" t="s">
        <v>4569</v>
      </c>
      <c r="E4981" s="399" t="s">
        <v>7459</v>
      </c>
      <c r="F4981" s="400">
        <v>648648.65</v>
      </c>
      <c r="G4981" s="401" t="s">
        <v>3800</v>
      </c>
      <c r="H4981" s="402">
        <v>241.35725523145339</v>
      </c>
      <c r="I4981" s="402"/>
      <c r="J4981" s="400"/>
      <c r="K4981" s="400"/>
      <c r="L4981" s="400"/>
      <c r="M4981" s="400"/>
      <c r="N4981" s="400">
        <f t="shared" si="253"/>
        <v>241.35725523145339</v>
      </c>
    </row>
    <row r="4982" spans="1:14" s="360" customFormat="1" hidden="1" outlineLevel="2" x14ac:dyDescent="0.35">
      <c r="A4982" s="403" t="s">
        <v>7451</v>
      </c>
      <c r="B4982" s="397">
        <v>44467</v>
      </c>
      <c r="C4982" s="398" t="s">
        <v>4570</v>
      </c>
      <c r="D4982" s="399" t="s">
        <v>4571</v>
      </c>
      <c r="E4982" s="399" t="s">
        <v>4272</v>
      </c>
      <c r="F4982" s="400">
        <v>64864.865000000005</v>
      </c>
      <c r="G4982" s="401" t="s">
        <v>3800</v>
      </c>
      <c r="H4982" s="402">
        <v>24.135725523145339</v>
      </c>
      <c r="I4982" s="402"/>
      <c r="J4982" s="400"/>
      <c r="K4982" s="400"/>
      <c r="L4982" s="400"/>
      <c r="M4982" s="400"/>
      <c r="N4982" s="400">
        <f t="shared" si="253"/>
        <v>24.135725523145339</v>
      </c>
    </row>
    <row r="4983" spans="1:14" s="360" customFormat="1" hidden="1" outlineLevel="2" x14ac:dyDescent="0.35">
      <c r="A4983" s="403" t="s">
        <v>7451</v>
      </c>
      <c r="B4983" s="397">
        <v>44467</v>
      </c>
      <c r="C4983" s="398" t="s">
        <v>4572</v>
      </c>
      <c r="D4983" s="399" t="s">
        <v>4573</v>
      </c>
      <c r="E4983" s="399" t="s">
        <v>4042</v>
      </c>
      <c r="F4983" s="400">
        <v>3891.8919000000001</v>
      </c>
      <c r="G4983" s="401" t="s">
        <v>3800</v>
      </c>
      <c r="H4983" s="402">
        <v>1.4481435313887203</v>
      </c>
      <c r="I4983" s="402"/>
      <c r="J4983" s="400"/>
      <c r="K4983" s="400"/>
      <c r="L4983" s="400"/>
      <c r="M4983" s="400"/>
      <c r="N4983" s="400">
        <f t="shared" si="253"/>
        <v>1.4481435313887203</v>
      </c>
    </row>
    <row r="4984" spans="1:14" s="360" customFormat="1" hidden="1" outlineLevel="2" x14ac:dyDescent="0.35">
      <c r="A4984" s="403" t="s">
        <v>7451</v>
      </c>
      <c r="B4984" s="397">
        <v>44497</v>
      </c>
      <c r="C4984" s="398" t="s">
        <v>4574</v>
      </c>
      <c r="D4984" s="399" t="s">
        <v>4575</v>
      </c>
      <c r="E4984" s="399" t="s">
        <v>7452</v>
      </c>
      <c r="F4984" s="400">
        <v>486486.49</v>
      </c>
      <c r="G4984" s="401" t="s">
        <v>3800</v>
      </c>
      <c r="H4984" s="402">
        <v>181.01794235382113</v>
      </c>
      <c r="I4984" s="402"/>
      <c r="J4984" s="400"/>
      <c r="K4984" s="400"/>
      <c r="L4984" s="400"/>
      <c r="M4984" s="400"/>
      <c r="N4984" s="400">
        <f t="shared" si="253"/>
        <v>181.01794235382113</v>
      </c>
    </row>
    <row r="4985" spans="1:14" s="360" customFormat="1" hidden="1" outlineLevel="2" x14ac:dyDescent="0.35">
      <c r="A4985" s="403" t="s">
        <v>7451</v>
      </c>
      <c r="B4985" s="397">
        <v>44497</v>
      </c>
      <c r="C4985" s="398" t="s">
        <v>4576</v>
      </c>
      <c r="D4985" s="399" t="s">
        <v>4577</v>
      </c>
      <c r="E4985" s="399" t="s">
        <v>4272</v>
      </c>
      <c r="F4985" s="400">
        <v>48648.649000000005</v>
      </c>
      <c r="G4985" s="401" t="s">
        <v>3800</v>
      </c>
      <c r="H4985" s="402">
        <v>18.101794235382112</v>
      </c>
      <c r="I4985" s="402"/>
      <c r="J4985" s="400"/>
      <c r="K4985" s="400"/>
      <c r="L4985" s="400"/>
      <c r="M4985" s="400"/>
      <c r="N4985" s="400">
        <f t="shared" si="253"/>
        <v>18.101794235382112</v>
      </c>
    </row>
    <row r="4986" spans="1:14" s="360" customFormat="1" hidden="1" outlineLevel="2" x14ac:dyDescent="0.35">
      <c r="A4986" s="403" t="s">
        <v>7451</v>
      </c>
      <c r="B4986" s="397">
        <v>44497</v>
      </c>
      <c r="C4986" s="398" t="s">
        <v>4578</v>
      </c>
      <c r="D4986" s="399" t="s">
        <v>4579</v>
      </c>
      <c r="E4986" s="399" t="s">
        <v>4042</v>
      </c>
      <c r="F4986" s="400">
        <v>2918.91894</v>
      </c>
      <c r="G4986" s="401" t="s">
        <v>3800</v>
      </c>
      <c r="H4986" s="402">
        <v>1.0861076541229266</v>
      </c>
      <c r="I4986" s="402"/>
      <c r="J4986" s="400"/>
      <c r="K4986" s="400"/>
      <c r="L4986" s="400"/>
      <c r="M4986" s="400"/>
      <c r="N4986" s="400">
        <f t="shared" si="253"/>
        <v>1.0861076541229266</v>
      </c>
    </row>
    <row r="4987" spans="1:14" s="360" customFormat="1" hidden="1" outlineLevel="2" x14ac:dyDescent="0.35">
      <c r="A4987" s="403" t="s">
        <v>7451</v>
      </c>
      <c r="B4987" s="397">
        <v>44497</v>
      </c>
      <c r="C4987" s="398" t="s">
        <v>4574</v>
      </c>
      <c r="D4987" s="399" t="s">
        <v>4575</v>
      </c>
      <c r="E4987" s="399" t="s">
        <v>7453</v>
      </c>
      <c r="F4987" s="400">
        <v>486486.49</v>
      </c>
      <c r="G4987" s="401" t="s">
        <v>3800</v>
      </c>
      <c r="H4987" s="402">
        <v>181.01794235382113</v>
      </c>
      <c r="I4987" s="402"/>
      <c r="J4987" s="400"/>
      <c r="K4987" s="400"/>
      <c r="L4987" s="400"/>
      <c r="M4987" s="400"/>
      <c r="N4987" s="400">
        <f t="shared" si="253"/>
        <v>181.01794235382113</v>
      </c>
    </row>
    <row r="4988" spans="1:14" s="360" customFormat="1" hidden="1" outlineLevel="2" x14ac:dyDescent="0.35">
      <c r="A4988" s="403" t="s">
        <v>7451</v>
      </c>
      <c r="B4988" s="397">
        <v>44497</v>
      </c>
      <c r="C4988" s="398" t="s">
        <v>4576</v>
      </c>
      <c r="D4988" s="399" t="s">
        <v>4577</v>
      </c>
      <c r="E4988" s="399" t="s">
        <v>4272</v>
      </c>
      <c r="F4988" s="400">
        <v>48648.649000000005</v>
      </c>
      <c r="G4988" s="401" t="s">
        <v>3800</v>
      </c>
      <c r="H4988" s="402">
        <v>18.101794235382112</v>
      </c>
      <c r="I4988" s="402"/>
      <c r="J4988" s="400"/>
      <c r="K4988" s="400"/>
      <c r="L4988" s="400"/>
      <c r="M4988" s="400"/>
      <c r="N4988" s="400">
        <f t="shared" si="253"/>
        <v>18.101794235382112</v>
      </c>
    </row>
    <row r="4989" spans="1:14" s="360" customFormat="1" hidden="1" outlineLevel="2" collapsed="1" x14ac:dyDescent="0.35">
      <c r="A4989" s="403" t="s">
        <v>7451</v>
      </c>
      <c r="B4989" s="397">
        <v>44497</v>
      </c>
      <c r="C4989" s="398" t="s">
        <v>4578</v>
      </c>
      <c r="D4989" s="399" t="s">
        <v>4579</v>
      </c>
      <c r="E4989" s="399" t="s">
        <v>4042</v>
      </c>
      <c r="F4989" s="400">
        <v>2918.91894</v>
      </c>
      <c r="G4989" s="401" t="s">
        <v>3800</v>
      </c>
      <c r="H4989" s="402">
        <v>1.0861076541229266</v>
      </c>
      <c r="I4989" s="402"/>
      <c r="J4989" s="400"/>
      <c r="K4989" s="400"/>
      <c r="L4989" s="400"/>
      <c r="M4989" s="400"/>
      <c r="N4989" s="400">
        <f t="shared" si="253"/>
        <v>1.0861076541229266</v>
      </c>
    </row>
    <row r="4990" spans="1:14" s="360" customFormat="1" hidden="1" outlineLevel="2" x14ac:dyDescent="0.35">
      <c r="A4990" s="403" t="s">
        <v>7451</v>
      </c>
      <c r="B4990" s="397">
        <v>44497</v>
      </c>
      <c r="C4990" s="398" t="s">
        <v>4574</v>
      </c>
      <c r="D4990" s="399" t="s">
        <v>4575</v>
      </c>
      <c r="E4990" s="399" t="s">
        <v>7454</v>
      </c>
      <c r="F4990" s="400">
        <v>486486.49</v>
      </c>
      <c r="G4990" s="401" t="s">
        <v>3800</v>
      </c>
      <c r="H4990" s="402">
        <v>181.01794235382113</v>
      </c>
      <c r="I4990" s="402"/>
      <c r="J4990" s="400"/>
      <c r="K4990" s="400"/>
      <c r="L4990" s="400"/>
      <c r="M4990" s="400"/>
      <c r="N4990" s="400">
        <f t="shared" si="253"/>
        <v>181.01794235382113</v>
      </c>
    </row>
    <row r="4991" spans="1:14" s="360" customFormat="1" hidden="1" outlineLevel="2" x14ac:dyDescent="0.35">
      <c r="A4991" s="403" t="s">
        <v>7451</v>
      </c>
      <c r="B4991" s="397">
        <v>44497</v>
      </c>
      <c r="C4991" s="398" t="s">
        <v>4576</v>
      </c>
      <c r="D4991" s="399" t="s">
        <v>4577</v>
      </c>
      <c r="E4991" s="399" t="s">
        <v>4272</v>
      </c>
      <c r="F4991" s="400">
        <v>48648.649000000005</v>
      </c>
      <c r="G4991" s="401" t="s">
        <v>3800</v>
      </c>
      <c r="H4991" s="402">
        <v>18.101794235382112</v>
      </c>
      <c r="I4991" s="402"/>
      <c r="J4991" s="400"/>
      <c r="K4991" s="400"/>
      <c r="L4991" s="400"/>
      <c r="M4991" s="400"/>
      <c r="N4991" s="400">
        <f t="shared" si="253"/>
        <v>18.101794235382112</v>
      </c>
    </row>
    <row r="4992" spans="1:14" s="360" customFormat="1" hidden="1" outlineLevel="2" x14ac:dyDescent="0.35">
      <c r="A4992" s="403" t="s">
        <v>7451</v>
      </c>
      <c r="B4992" s="397">
        <v>44497</v>
      </c>
      <c r="C4992" s="398" t="s">
        <v>4578</v>
      </c>
      <c r="D4992" s="399" t="s">
        <v>4579</v>
      </c>
      <c r="E4992" s="399" t="s">
        <v>4042</v>
      </c>
      <c r="F4992" s="400">
        <v>2918.91894</v>
      </c>
      <c r="G4992" s="401" t="s">
        <v>3800</v>
      </c>
      <c r="H4992" s="402">
        <v>1.0861076541229266</v>
      </c>
      <c r="I4992" s="402"/>
      <c r="J4992" s="400"/>
      <c r="K4992" s="400"/>
      <c r="L4992" s="400"/>
      <c r="M4992" s="400"/>
      <c r="N4992" s="400">
        <f t="shared" si="253"/>
        <v>1.0861076541229266</v>
      </c>
    </row>
    <row r="4993" spans="1:14" s="360" customFormat="1" hidden="1" outlineLevel="2" x14ac:dyDescent="0.35">
      <c r="A4993" s="403" t="s">
        <v>7451</v>
      </c>
      <c r="B4993" s="397">
        <v>44497</v>
      </c>
      <c r="C4993" s="398" t="s">
        <v>4574</v>
      </c>
      <c r="D4993" s="399" t="s">
        <v>7460</v>
      </c>
      <c r="E4993" s="399" t="s">
        <v>7455</v>
      </c>
      <c r="F4993" s="400">
        <v>486486.49</v>
      </c>
      <c r="G4993" s="401" t="s">
        <v>3800</v>
      </c>
      <c r="H4993" s="402">
        <v>181.01794235382113</v>
      </c>
      <c r="I4993" s="402"/>
      <c r="J4993" s="400"/>
      <c r="K4993" s="400"/>
      <c r="L4993" s="400"/>
      <c r="M4993" s="400"/>
      <c r="N4993" s="400">
        <f t="shared" si="253"/>
        <v>181.01794235382113</v>
      </c>
    </row>
    <row r="4994" spans="1:14" s="360" customFormat="1" hidden="1" outlineLevel="2" x14ac:dyDescent="0.35">
      <c r="A4994" s="403" t="s">
        <v>7451</v>
      </c>
      <c r="B4994" s="397">
        <v>44497</v>
      </c>
      <c r="C4994" s="398" t="s">
        <v>4576</v>
      </c>
      <c r="D4994" s="399" t="s">
        <v>7461</v>
      </c>
      <c r="E4994" s="399" t="s">
        <v>4272</v>
      </c>
      <c r="F4994" s="400">
        <v>48648.649000000005</v>
      </c>
      <c r="G4994" s="401" t="s">
        <v>3800</v>
      </c>
      <c r="H4994" s="402">
        <v>18.101794235382112</v>
      </c>
      <c r="I4994" s="402"/>
      <c r="J4994" s="400"/>
      <c r="K4994" s="400"/>
      <c r="L4994" s="400"/>
      <c r="M4994" s="400"/>
      <c r="N4994" s="400">
        <f t="shared" si="253"/>
        <v>18.101794235382112</v>
      </c>
    </row>
    <row r="4995" spans="1:14" s="360" customFormat="1" hidden="1" outlineLevel="2" x14ac:dyDescent="0.35">
      <c r="A4995" s="403" t="s">
        <v>7451</v>
      </c>
      <c r="B4995" s="397">
        <v>44497</v>
      </c>
      <c r="C4995" s="398" t="s">
        <v>4578</v>
      </c>
      <c r="D4995" s="399" t="s">
        <v>7462</v>
      </c>
      <c r="E4995" s="399" t="s">
        <v>4042</v>
      </c>
      <c r="F4995" s="400">
        <v>2918.91894</v>
      </c>
      <c r="G4995" s="401" t="s">
        <v>3800</v>
      </c>
      <c r="H4995" s="402">
        <v>1.0861076541229266</v>
      </c>
      <c r="I4995" s="402"/>
      <c r="J4995" s="400"/>
      <c r="K4995" s="400"/>
      <c r="L4995" s="400"/>
      <c r="M4995" s="400"/>
      <c r="N4995" s="400">
        <f t="shared" si="253"/>
        <v>1.0861076541229266</v>
      </c>
    </row>
    <row r="4996" spans="1:14" s="360" customFormat="1" hidden="1" outlineLevel="2" x14ac:dyDescent="0.35">
      <c r="A4996" s="403" t="s">
        <v>7451</v>
      </c>
      <c r="B4996" s="397">
        <v>44497</v>
      </c>
      <c r="C4996" s="398" t="s">
        <v>4578</v>
      </c>
      <c r="D4996" s="399" t="s">
        <v>7462</v>
      </c>
      <c r="E4996" s="399" t="s">
        <v>4042</v>
      </c>
      <c r="F4996" s="400">
        <v>291.89189400000004</v>
      </c>
      <c r="G4996" s="401" t="s">
        <v>3800</v>
      </c>
      <c r="H4996" s="402">
        <v>0.10861076541229268</v>
      </c>
      <c r="I4996" s="402"/>
      <c r="J4996" s="400"/>
      <c r="K4996" s="400"/>
      <c r="L4996" s="400"/>
      <c r="M4996" s="400"/>
      <c r="N4996" s="400">
        <f t="shared" si="253"/>
        <v>0.10861076541229268</v>
      </c>
    </row>
    <row r="4997" spans="1:14" s="360" customFormat="1" hidden="1" outlineLevel="2" collapsed="1" x14ac:dyDescent="0.35">
      <c r="A4997" s="403" t="s">
        <v>7451</v>
      </c>
      <c r="B4997" s="397">
        <v>44497</v>
      </c>
      <c r="C4997" s="398" t="s">
        <v>4574</v>
      </c>
      <c r="D4997" s="399" t="s">
        <v>4575</v>
      </c>
      <c r="E4997" s="399" t="s">
        <v>7457</v>
      </c>
      <c r="F4997" s="400">
        <v>486486.49</v>
      </c>
      <c r="G4997" s="401" t="s">
        <v>3800</v>
      </c>
      <c r="H4997" s="402">
        <v>181.01794235382113</v>
      </c>
      <c r="I4997" s="402"/>
      <c r="J4997" s="400"/>
      <c r="K4997" s="400"/>
      <c r="L4997" s="400"/>
      <c r="M4997" s="400"/>
      <c r="N4997" s="400">
        <f t="shared" si="253"/>
        <v>181.01794235382113</v>
      </c>
    </row>
    <row r="4998" spans="1:14" s="360" customFormat="1" hidden="1" outlineLevel="2" x14ac:dyDescent="0.35">
      <c r="A4998" s="403" t="s">
        <v>7451</v>
      </c>
      <c r="B4998" s="397">
        <v>44497</v>
      </c>
      <c r="C4998" s="398" t="s">
        <v>4576</v>
      </c>
      <c r="D4998" s="399" t="s">
        <v>4577</v>
      </c>
      <c r="E4998" s="399" t="s">
        <v>4272</v>
      </c>
      <c r="F4998" s="400">
        <v>48648.649000000005</v>
      </c>
      <c r="G4998" s="401" t="s">
        <v>3800</v>
      </c>
      <c r="H4998" s="402">
        <v>18.101794235382112</v>
      </c>
      <c r="I4998" s="402"/>
      <c r="J4998" s="400"/>
      <c r="K4998" s="400"/>
      <c r="L4998" s="400"/>
      <c r="M4998" s="400"/>
      <c r="N4998" s="400">
        <f t="shared" si="253"/>
        <v>18.101794235382112</v>
      </c>
    </row>
    <row r="4999" spans="1:14" s="360" customFormat="1" hidden="1" outlineLevel="2" x14ac:dyDescent="0.35">
      <c r="A4999" s="403" t="s">
        <v>7451</v>
      </c>
      <c r="B4999" s="397">
        <v>44497</v>
      </c>
      <c r="C4999" s="398" t="s">
        <v>4578</v>
      </c>
      <c r="D4999" s="399" t="s">
        <v>4579</v>
      </c>
      <c r="E4999" s="399" t="s">
        <v>4042</v>
      </c>
      <c r="F4999" s="400">
        <v>2918.91894</v>
      </c>
      <c r="G4999" s="401" t="s">
        <v>3800</v>
      </c>
      <c r="H4999" s="402">
        <v>1.0861076541229266</v>
      </c>
      <c r="I4999" s="402"/>
      <c r="J4999" s="400"/>
      <c r="K4999" s="400"/>
      <c r="L4999" s="400"/>
      <c r="M4999" s="400"/>
      <c r="N4999" s="400">
        <f t="shared" si="253"/>
        <v>1.0861076541229266</v>
      </c>
    </row>
    <row r="5000" spans="1:14" s="360" customFormat="1" hidden="1" outlineLevel="2" x14ac:dyDescent="0.35">
      <c r="A5000" s="403" t="s">
        <v>7451</v>
      </c>
      <c r="B5000" s="397">
        <v>44497</v>
      </c>
      <c r="C5000" s="398" t="s">
        <v>4574</v>
      </c>
      <c r="D5000" s="399" t="s">
        <v>4575</v>
      </c>
      <c r="E5000" s="399" t="s">
        <v>7458</v>
      </c>
      <c r="F5000" s="400">
        <v>486486.49</v>
      </c>
      <c r="G5000" s="401" t="s">
        <v>3800</v>
      </c>
      <c r="H5000" s="402">
        <v>181.01794235382113</v>
      </c>
      <c r="I5000" s="402"/>
      <c r="J5000" s="400"/>
      <c r="K5000" s="400"/>
      <c r="L5000" s="400"/>
      <c r="M5000" s="400"/>
      <c r="N5000" s="400">
        <f t="shared" si="253"/>
        <v>181.01794235382113</v>
      </c>
    </row>
    <row r="5001" spans="1:14" s="360" customFormat="1" hidden="1" outlineLevel="2" x14ac:dyDescent="0.35">
      <c r="A5001" s="403" t="s">
        <v>7451</v>
      </c>
      <c r="B5001" s="397">
        <v>44497</v>
      </c>
      <c r="C5001" s="398" t="s">
        <v>4576</v>
      </c>
      <c r="D5001" s="399" t="s">
        <v>4577</v>
      </c>
      <c r="E5001" s="399" t="s">
        <v>4272</v>
      </c>
      <c r="F5001" s="400">
        <v>48648.649000000005</v>
      </c>
      <c r="G5001" s="401" t="s">
        <v>3800</v>
      </c>
      <c r="H5001" s="402">
        <v>18.101794235382112</v>
      </c>
      <c r="I5001" s="402"/>
      <c r="J5001" s="400"/>
      <c r="K5001" s="400"/>
      <c r="L5001" s="400"/>
      <c r="M5001" s="400"/>
      <c r="N5001" s="400">
        <f t="shared" si="253"/>
        <v>18.101794235382112</v>
      </c>
    </row>
    <row r="5002" spans="1:14" s="360" customFormat="1" hidden="1" outlineLevel="2" x14ac:dyDescent="0.35">
      <c r="A5002" s="403" t="s">
        <v>7451</v>
      </c>
      <c r="B5002" s="397">
        <v>44497</v>
      </c>
      <c r="C5002" s="398" t="s">
        <v>4578</v>
      </c>
      <c r="D5002" s="399" t="s">
        <v>4579</v>
      </c>
      <c r="E5002" s="399" t="s">
        <v>4042</v>
      </c>
      <c r="F5002" s="400">
        <v>2918.91894</v>
      </c>
      <c r="G5002" s="401" t="s">
        <v>3800</v>
      </c>
      <c r="H5002" s="402">
        <v>1.0861076541229266</v>
      </c>
      <c r="I5002" s="402"/>
      <c r="J5002" s="400"/>
      <c r="K5002" s="400"/>
      <c r="L5002" s="400"/>
      <c r="M5002" s="400"/>
      <c r="N5002" s="400">
        <f t="shared" si="253"/>
        <v>1.0861076541229266</v>
      </c>
    </row>
    <row r="5003" spans="1:14" s="360" customFormat="1" hidden="1" outlineLevel="2" x14ac:dyDescent="0.35">
      <c r="A5003" s="403" t="s">
        <v>7451</v>
      </c>
      <c r="B5003" s="397">
        <v>44497</v>
      </c>
      <c r="C5003" s="398" t="s">
        <v>4574</v>
      </c>
      <c r="D5003" s="399" t="s">
        <v>4575</v>
      </c>
      <c r="E5003" s="399" t="s">
        <v>7459</v>
      </c>
      <c r="F5003" s="400">
        <v>486486.49</v>
      </c>
      <c r="G5003" s="401" t="s">
        <v>3800</v>
      </c>
      <c r="H5003" s="402">
        <v>181.01794235382113</v>
      </c>
      <c r="I5003" s="402"/>
      <c r="J5003" s="400"/>
      <c r="K5003" s="400"/>
      <c r="L5003" s="400"/>
      <c r="M5003" s="400"/>
      <c r="N5003" s="400">
        <f t="shared" si="253"/>
        <v>181.01794235382113</v>
      </c>
    </row>
    <row r="5004" spans="1:14" s="360" customFormat="1" hidden="1" outlineLevel="2" x14ac:dyDescent="0.35">
      <c r="A5004" s="403" t="s">
        <v>7451</v>
      </c>
      <c r="B5004" s="397">
        <v>44497</v>
      </c>
      <c r="C5004" s="398" t="s">
        <v>4576</v>
      </c>
      <c r="D5004" s="399" t="s">
        <v>4577</v>
      </c>
      <c r="E5004" s="399" t="s">
        <v>4272</v>
      </c>
      <c r="F5004" s="400">
        <v>48648.649000000005</v>
      </c>
      <c r="G5004" s="401" t="s">
        <v>3800</v>
      </c>
      <c r="H5004" s="402">
        <v>18.101794235382112</v>
      </c>
      <c r="I5004" s="402"/>
      <c r="J5004" s="400"/>
      <c r="K5004" s="400"/>
      <c r="L5004" s="400"/>
      <c r="M5004" s="400"/>
      <c r="N5004" s="400">
        <f t="shared" si="253"/>
        <v>18.101794235382112</v>
      </c>
    </row>
    <row r="5005" spans="1:14" s="360" customFormat="1" hidden="1" outlineLevel="2" x14ac:dyDescent="0.35">
      <c r="A5005" s="403" t="s">
        <v>7451</v>
      </c>
      <c r="B5005" s="397">
        <v>44497</v>
      </c>
      <c r="C5005" s="398" t="s">
        <v>4578</v>
      </c>
      <c r="D5005" s="399" t="s">
        <v>4579</v>
      </c>
      <c r="E5005" s="399" t="s">
        <v>4042</v>
      </c>
      <c r="F5005" s="400">
        <v>2918.91894</v>
      </c>
      <c r="G5005" s="401" t="s">
        <v>3800</v>
      </c>
      <c r="H5005" s="402">
        <v>1.0861076541229266</v>
      </c>
      <c r="I5005" s="402"/>
      <c r="J5005" s="400"/>
      <c r="K5005" s="400"/>
      <c r="L5005" s="400"/>
      <c r="M5005" s="400"/>
      <c r="N5005" s="400">
        <f t="shared" si="253"/>
        <v>1.0861076541229266</v>
      </c>
    </row>
    <row r="5006" spans="1:14" s="360" customFormat="1" hidden="1" outlineLevel="2" x14ac:dyDescent="0.35">
      <c r="A5006" s="403" t="s">
        <v>7451</v>
      </c>
      <c r="B5006" s="397">
        <v>44497</v>
      </c>
      <c r="C5006" s="398" t="s">
        <v>4574</v>
      </c>
      <c r="D5006" s="399" t="s">
        <v>4575</v>
      </c>
      <c r="E5006" s="399" t="s">
        <v>7463</v>
      </c>
      <c r="F5006" s="400">
        <v>486486.49</v>
      </c>
      <c r="G5006" s="401" t="s">
        <v>3800</v>
      </c>
      <c r="H5006" s="402">
        <v>181.01794235382113</v>
      </c>
      <c r="I5006" s="402"/>
      <c r="J5006" s="400"/>
      <c r="K5006" s="400"/>
      <c r="L5006" s="400"/>
      <c r="M5006" s="400"/>
      <c r="N5006" s="400">
        <f t="shared" si="253"/>
        <v>181.01794235382113</v>
      </c>
    </row>
    <row r="5007" spans="1:14" s="360" customFormat="1" hidden="1" outlineLevel="2" x14ac:dyDescent="0.35">
      <c r="A5007" s="403" t="s">
        <v>7451</v>
      </c>
      <c r="B5007" s="397">
        <v>44497</v>
      </c>
      <c r="C5007" s="398" t="s">
        <v>4576</v>
      </c>
      <c r="D5007" s="399" t="s">
        <v>4577</v>
      </c>
      <c r="E5007" s="399" t="s">
        <v>4272</v>
      </c>
      <c r="F5007" s="400">
        <v>48648.649000000005</v>
      </c>
      <c r="G5007" s="401" t="s">
        <v>3800</v>
      </c>
      <c r="H5007" s="402">
        <v>18.101794235382112</v>
      </c>
      <c r="I5007" s="402"/>
      <c r="J5007" s="400"/>
      <c r="K5007" s="400"/>
      <c r="L5007" s="400"/>
      <c r="M5007" s="400"/>
      <c r="N5007" s="400">
        <f t="shared" si="253"/>
        <v>18.101794235382112</v>
      </c>
    </row>
    <row r="5008" spans="1:14" s="360" customFormat="1" hidden="1" outlineLevel="2" x14ac:dyDescent="0.35">
      <c r="A5008" s="403" t="s">
        <v>7451</v>
      </c>
      <c r="B5008" s="397">
        <v>44497</v>
      </c>
      <c r="C5008" s="398" t="s">
        <v>4578</v>
      </c>
      <c r="D5008" s="399" t="s">
        <v>4579</v>
      </c>
      <c r="E5008" s="399" t="s">
        <v>4042</v>
      </c>
      <c r="F5008" s="400">
        <v>2918.91894</v>
      </c>
      <c r="G5008" s="401" t="s">
        <v>3800</v>
      </c>
      <c r="H5008" s="402">
        <v>1.0861076541229266</v>
      </c>
      <c r="I5008" s="402"/>
      <c r="J5008" s="400"/>
      <c r="K5008" s="400"/>
      <c r="L5008" s="400"/>
      <c r="M5008" s="400"/>
      <c r="N5008" s="400">
        <f t="shared" si="253"/>
        <v>1.0861076541229266</v>
      </c>
    </row>
    <row r="5009" spans="1:14" s="360" customFormat="1" hidden="1" outlineLevel="2" x14ac:dyDescent="0.35">
      <c r="A5009" s="403" t="s">
        <v>7451</v>
      </c>
      <c r="B5009" s="397">
        <v>44525</v>
      </c>
      <c r="C5009" s="398" t="s">
        <v>4586</v>
      </c>
      <c r="D5009" s="399" t="s">
        <v>4581</v>
      </c>
      <c r="E5009" s="399" t="s">
        <v>7452</v>
      </c>
      <c r="F5009" s="400">
        <v>486486.49</v>
      </c>
      <c r="G5009" s="401" t="s">
        <v>3800</v>
      </c>
      <c r="H5009" s="402">
        <v>181.01794235382113</v>
      </c>
      <c r="I5009" s="402"/>
      <c r="J5009" s="400"/>
      <c r="K5009" s="400"/>
      <c r="L5009" s="400"/>
      <c r="M5009" s="400"/>
      <c r="N5009" s="400">
        <f t="shared" ref="N5009:N5053" si="254">H5009</f>
        <v>181.01794235382113</v>
      </c>
    </row>
    <row r="5010" spans="1:14" s="360" customFormat="1" hidden="1" outlineLevel="2" x14ac:dyDescent="0.35">
      <c r="A5010" s="403" t="s">
        <v>7451</v>
      </c>
      <c r="B5010" s="397">
        <v>44525</v>
      </c>
      <c r="C5010" s="398" t="s">
        <v>4588</v>
      </c>
      <c r="D5010" s="399" t="s">
        <v>4583</v>
      </c>
      <c r="E5010" s="399" t="s">
        <v>4272</v>
      </c>
      <c r="F5010" s="400">
        <v>48648.649000000005</v>
      </c>
      <c r="G5010" s="401" t="s">
        <v>3800</v>
      </c>
      <c r="H5010" s="402">
        <v>18.101794235382112</v>
      </c>
      <c r="I5010" s="402"/>
      <c r="J5010" s="400"/>
      <c r="K5010" s="400"/>
      <c r="L5010" s="400"/>
      <c r="M5010" s="400"/>
      <c r="N5010" s="400">
        <f t="shared" si="254"/>
        <v>18.101794235382112</v>
      </c>
    </row>
    <row r="5011" spans="1:14" s="360" customFormat="1" hidden="1" outlineLevel="2" x14ac:dyDescent="0.35">
      <c r="A5011" s="403" t="s">
        <v>7451</v>
      </c>
      <c r="B5011" s="397">
        <v>44525</v>
      </c>
      <c r="C5011" s="398" t="s">
        <v>4590</v>
      </c>
      <c r="D5011" s="399" t="s">
        <v>4585</v>
      </c>
      <c r="E5011" s="399" t="s">
        <v>4042</v>
      </c>
      <c r="F5011" s="400">
        <v>2918.91894</v>
      </c>
      <c r="G5011" s="401" t="s">
        <v>3800</v>
      </c>
      <c r="H5011" s="402">
        <v>1.0861076541229266</v>
      </c>
      <c r="I5011" s="402"/>
      <c r="J5011" s="400"/>
      <c r="K5011" s="400"/>
      <c r="L5011" s="400"/>
      <c r="M5011" s="400"/>
      <c r="N5011" s="400">
        <f t="shared" si="254"/>
        <v>1.0861076541229266</v>
      </c>
    </row>
    <row r="5012" spans="1:14" s="360" customFormat="1" hidden="1" outlineLevel="2" x14ac:dyDescent="0.35">
      <c r="A5012" s="403" t="s">
        <v>7451</v>
      </c>
      <c r="B5012" s="397">
        <v>44525</v>
      </c>
      <c r="C5012" s="398" t="s">
        <v>4580</v>
      </c>
      <c r="D5012" s="399" t="s">
        <v>4581</v>
      </c>
      <c r="E5012" s="399" t="s">
        <v>7453</v>
      </c>
      <c r="F5012" s="400">
        <v>486486.49</v>
      </c>
      <c r="G5012" s="401" t="s">
        <v>3800</v>
      </c>
      <c r="H5012" s="402">
        <v>181.01794235382113</v>
      </c>
      <c r="I5012" s="402"/>
      <c r="J5012" s="400"/>
      <c r="K5012" s="400"/>
      <c r="L5012" s="400"/>
      <c r="M5012" s="400"/>
      <c r="N5012" s="400">
        <f t="shared" si="254"/>
        <v>181.01794235382113</v>
      </c>
    </row>
    <row r="5013" spans="1:14" s="360" customFormat="1" hidden="1" outlineLevel="2" x14ac:dyDescent="0.35">
      <c r="A5013" s="403" t="s">
        <v>7451</v>
      </c>
      <c r="B5013" s="397">
        <v>44525</v>
      </c>
      <c r="C5013" s="398" t="s">
        <v>4582</v>
      </c>
      <c r="D5013" s="399" t="s">
        <v>4583</v>
      </c>
      <c r="E5013" s="399" t="s">
        <v>4272</v>
      </c>
      <c r="F5013" s="400">
        <v>48648.649000000005</v>
      </c>
      <c r="G5013" s="401" t="s">
        <v>3800</v>
      </c>
      <c r="H5013" s="402">
        <v>18.101794235382112</v>
      </c>
      <c r="I5013" s="402"/>
      <c r="J5013" s="400"/>
      <c r="K5013" s="400"/>
      <c r="L5013" s="400"/>
      <c r="M5013" s="400"/>
      <c r="N5013" s="400">
        <f t="shared" si="254"/>
        <v>18.101794235382112</v>
      </c>
    </row>
    <row r="5014" spans="1:14" s="360" customFormat="1" hidden="1" outlineLevel="2" x14ac:dyDescent="0.35">
      <c r="A5014" s="403" t="s">
        <v>7451</v>
      </c>
      <c r="B5014" s="397">
        <v>44525</v>
      </c>
      <c r="C5014" s="398" t="s">
        <v>4584</v>
      </c>
      <c r="D5014" s="399" t="s">
        <v>4585</v>
      </c>
      <c r="E5014" s="399" t="s">
        <v>4042</v>
      </c>
      <c r="F5014" s="400">
        <v>2918.91894</v>
      </c>
      <c r="G5014" s="401" t="s">
        <v>3800</v>
      </c>
      <c r="H5014" s="402">
        <v>1.0861076541229266</v>
      </c>
      <c r="I5014" s="402"/>
      <c r="J5014" s="400"/>
      <c r="K5014" s="400"/>
      <c r="L5014" s="400"/>
      <c r="M5014" s="400"/>
      <c r="N5014" s="400">
        <f t="shared" si="254"/>
        <v>1.0861076541229266</v>
      </c>
    </row>
    <row r="5015" spans="1:14" s="360" customFormat="1" hidden="1" outlineLevel="2" x14ac:dyDescent="0.35">
      <c r="A5015" s="403" t="s">
        <v>7451</v>
      </c>
      <c r="B5015" s="397">
        <v>44525</v>
      </c>
      <c r="C5015" s="398" t="s">
        <v>4580</v>
      </c>
      <c r="D5015" s="399" t="s">
        <v>4581</v>
      </c>
      <c r="E5015" s="399" t="s">
        <v>7454</v>
      </c>
      <c r="F5015" s="400">
        <v>486486.49</v>
      </c>
      <c r="G5015" s="401" t="s">
        <v>3800</v>
      </c>
      <c r="H5015" s="402">
        <v>181.01794235382113</v>
      </c>
      <c r="I5015" s="402"/>
      <c r="J5015" s="400"/>
      <c r="K5015" s="400"/>
      <c r="L5015" s="400"/>
      <c r="M5015" s="400"/>
      <c r="N5015" s="400">
        <f t="shared" si="254"/>
        <v>181.01794235382113</v>
      </c>
    </row>
    <row r="5016" spans="1:14" s="360" customFormat="1" hidden="1" outlineLevel="2" x14ac:dyDescent="0.35">
      <c r="A5016" s="403" t="s">
        <v>7451</v>
      </c>
      <c r="B5016" s="397">
        <v>44525</v>
      </c>
      <c r="C5016" s="398" t="s">
        <v>4582</v>
      </c>
      <c r="D5016" s="399" t="s">
        <v>4583</v>
      </c>
      <c r="E5016" s="399" t="s">
        <v>4272</v>
      </c>
      <c r="F5016" s="400">
        <v>48648.649000000005</v>
      </c>
      <c r="G5016" s="401" t="s">
        <v>3800</v>
      </c>
      <c r="H5016" s="402">
        <v>18.101794235382112</v>
      </c>
      <c r="I5016" s="402"/>
      <c r="J5016" s="400"/>
      <c r="K5016" s="400"/>
      <c r="L5016" s="400"/>
      <c r="M5016" s="400"/>
      <c r="N5016" s="400">
        <f t="shared" si="254"/>
        <v>18.101794235382112</v>
      </c>
    </row>
    <row r="5017" spans="1:14" s="360" customFormat="1" hidden="1" outlineLevel="2" x14ac:dyDescent="0.35">
      <c r="A5017" s="403" t="s">
        <v>7451</v>
      </c>
      <c r="B5017" s="397">
        <v>44525</v>
      </c>
      <c r="C5017" s="398" t="s">
        <v>4584</v>
      </c>
      <c r="D5017" s="399" t="s">
        <v>4585</v>
      </c>
      <c r="E5017" s="399" t="s">
        <v>4042</v>
      </c>
      <c r="F5017" s="400">
        <v>2918.91894</v>
      </c>
      <c r="G5017" s="401" t="s">
        <v>3800</v>
      </c>
      <c r="H5017" s="402">
        <v>1.0861076541229266</v>
      </c>
      <c r="I5017" s="402"/>
      <c r="J5017" s="400"/>
      <c r="K5017" s="400"/>
      <c r="L5017" s="400"/>
      <c r="M5017" s="400"/>
      <c r="N5017" s="400">
        <f t="shared" si="254"/>
        <v>1.0861076541229266</v>
      </c>
    </row>
    <row r="5018" spans="1:14" s="360" customFormat="1" hidden="1" outlineLevel="2" x14ac:dyDescent="0.35">
      <c r="A5018" s="403" t="s">
        <v>7451</v>
      </c>
      <c r="B5018" s="397">
        <v>44525</v>
      </c>
      <c r="C5018" s="398" t="s">
        <v>4580</v>
      </c>
      <c r="D5018" s="399" t="s">
        <v>4581</v>
      </c>
      <c r="E5018" s="399" t="s">
        <v>7455</v>
      </c>
      <c r="F5018" s="400">
        <v>486486.49</v>
      </c>
      <c r="G5018" s="401" t="s">
        <v>3800</v>
      </c>
      <c r="H5018" s="402">
        <v>181.01794235382113</v>
      </c>
      <c r="I5018" s="402"/>
      <c r="J5018" s="400"/>
      <c r="K5018" s="400"/>
      <c r="L5018" s="400"/>
      <c r="M5018" s="400"/>
      <c r="N5018" s="400">
        <f t="shared" si="254"/>
        <v>181.01794235382113</v>
      </c>
    </row>
    <row r="5019" spans="1:14" s="360" customFormat="1" hidden="1" outlineLevel="2" x14ac:dyDescent="0.35">
      <c r="A5019" s="403" t="s">
        <v>7451</v>
      </c>
      <c r="B5019" s="397">
        <v>44525</v>
      </c>
      <c r="C5019" s="398" t="s">
        <v>4582</v>
      </c>
      <c r="D5019" s="399" t="s">
        <v>4583</v>
      </c>
      <c r="E5019" s="399" t="s">
        <v>4272</v>
      </c>
      <c r="F5019" s="400">
        <v>48648.649000000005</v>
      </c>
      <c r="G5019" s="401" t="s">
        <v>3800</v>
      </c>
      <c r="H5019" s="402">
        <v>18.101794235382112</v>
      </c>
      <c r="I5019" s="402"/>
      <c r="J5019" s="400"/>
      <c r="K5019" s="400"/>
      <c r="L5019" s="400"/>
      <c r="M5019" s="400"/>
      <c r="N5019" s="400">
        <f t="shared" si="254"/>
        <v>18.101794235382112</v>
      </c>
    </row>
    <row r="5020" spans="1:14" s="360" customFormat="1" hidden="1" outlineLevel="2" x14ac:dyDescent="0.35">
      <c r="A5020" s="403" t="s">
        <v>7451</v>
      </c>
      <c r="B5020" s="397">
        <v>44525</v>
      </c>
      <c r="C5020" s="398" t="s">
        <v>4584</v>
      </c>
      <c r="D5020" s="399" t="s">
        <v>4585</v>
      </c>
      <c r="E5020" s="399" t="s">
        <v>4042</v>
      </c>
      <c r="F5020" s="400">
        <v>2918.91894</v>
      </c>
      <c r="G5020" s="401" t="s">
        <v>3800</v>
      </c>
      <c r="H5020" s="402">
        <v>1.0861076541229266</v>
      </c>
      <c r="I5020" s="402"/>
      <c r="J5020" s="400"/>
      <c r="K5020" s="400"/>
      <c r="L5020" s="400"/>
      <c r="M5020" s="400"/>
      <c r="N5020" s="400">
        <f t="shared" si="254"/>
        <v>1.0861076541229266</v>
      </c>
    </row>
    <row r="5021" spans="1:14" s="360" customFormat="1" hidden="1" outlineLevel="2" x14ac:dyDescent="0.35">
      <c r="A5021" s="403" t="s">
        <v>7451</v>
      </c>
      <c r="B5021" s="397">
        <v>44525</v>
      </c>
      <c r="C5021" s="398" t="s">
        <v>4580</v>
      </c>
      <c r="D5021" s="399" t="s">
        <v>4581</v>
      </c>
      <c r="E5021" s="399" t="s">
        <v>7457</v>
      </c>
      <c r="F5021" s="400">
        <v>486486.49</v>
      </c>
      <c r="G5021" s="401" t="s">
        <v>3800</v>
      </c>
      <c r="H5021" s="402">
        <v>181.01794235382113</v>
      </c>
      <c r="I5021" s="402"/>
      <c r="J5021" s="400"/>
      <c r="K5021" s="400"/>
      <c r="L5021" s="400"/>
      <c r="M5021" s="400"/>
      <c r="N5021" s="400">
        <f t="shared" si="254"/>
        <v>181.01794235382113</v>
      </c>
    </row>
    <row r="5022" spans="1:14" s="360" customFormat="1" hidden="1" outlineLevel="2" collapsed="1" x14ac:dyDescent="0.35">
      <c r="A5022" s="403" t="s">
        <v>7451</v>
      </c>
      <c r="B5022" s="397">
        <v>44525</v>
      </c>
      <c r="C5022" s="398" t="s">
        <v>4582</v>
      </c>
      <c r="D5022" s="399" t="s">
        <v>4583</v>
      </c>
      <c r="E5022" s="399" t="s">
        <v>4272</v>
      </c>
      <c r="F5022" s="400">
        <v>48648.649000000005</v>
      </c>
      <c r="G5022" s="401" t="s">
        <v>3800</v>
      </c>
      <c r="H5022" s="402">
        <v>18.101794235382112</v>
      </c>
      <c r="I5022" s="402"/>
      <c r="J5022" s="400"/>
      <c r="K5022" s="400"/>
      <c r="L5022" s="400"/>
      <c r="M5022" s="400"/>
      <c r="N5022" s="400">
        <f t="shared" si="254"/>
        <v>18.101794235382112</v>
      </c>
    </row>
    <row r="5023" spans="1:14" s="360" customFormat="1" hidden="1" outlineLevel="2" x14ac:dyDescent="0.35">
      <c r="A5023" s="403" t="s">
        <v>7451</v>
      </c>
      <c r="B5023" s="397">
        <v>44525</v>
      </c>
      <c r="C5023" s="398" t="s">
        <v>4584</v>
      </c>
      <c r="D5023" s="399" t="s">
        <v>4585</v>
      </c>
      <c r="E5023" s="399" t="s">
        <v>4042</v>
      </c>
      <c r="F5023" s="400">
        <v>2918.91894</v>
      </c>
      <c r="G5023" s="401" t="s">
        <v>3800</v>
      </c>
      <c r="H5023" s="402">
        <v>1.0861076541229266</v>
      </c>
      <c r="I5023" s="402"/>
      <c r="J5023" s="400"/>
      <c r="K5023" s="400"/>
      <c r="L5023" s="400"/>
      <c r="M5023" s="400"/>
      <c r="N5023" s="400">
        <f t="shared" si="254"/>
        <v>1.0861076541229266</v>
      </c>
    </row>
    <row r="5024" spans="1:14" s="360" customFormat="1" hidden="1" outlineLevel="2" x14ac:dyDescent="0.35">
      <c r="A5024" s="403" t="s">
        <v>7451</v>
      </c>
      <c r="B5024" s="397">
        <v>44525</v>
      </c>
      <c r="C5024" s="398" t="s">
        <v>4586</v>
      </c>
      <c r="D5024" s="399" t="s">
        <v>4581</v>
      </c>
      <c r="E5024" s="399" t="s">
        <v>7458</v>
      </c>
      <c r="F5024" s="400">
        <v>486486.49</v>
      </c>
      <c r="G5024" s="401" t="s">
        <v>3800</v>
      </c>
      <c r="H5024" s="402">
        <v>181.01794235382113</v>
      </c>
      <c r="I5024" s="402"/>
      <c r="J5024" s="400"/>
      <c r="K5024" s="400"/>
      <c r="L5024" s="400"/>
      <c r="M5024" s="400"/>
      <c r="N5024" s="400">
        <f t="shared" si="254"/>
        <v>181.01794235382113</v>
      </c>
    </row>
    <row r="5025" spans="1:14" s="360" customFormat="1" hidden="1" outlineLevel="2" x14ac:dyDescent="0.35">
      <c r="A5025" s="403" t="s">
        <v>7451</v>
      </c>
      <c r="B5025" s="397">
        <v>44525</v>
      </c>
      <c r="C5025" s="398" t="s">
        <v>4588</v>
      </c>
      <c r="D5025" s="399" t="s">
        <v>4583</v>
      </c>
      <c r="E5025" s="399" t="s">
        <v>4272</v>
      </c>
      <c r="F5025" s="400">
        <v>48648.649000000005</v>
      </c>
      <c r="G5025" s="401" t="s">
        <v>3800</v>
      </c>
      <c r="H5025" s="402">
        <v>18.101794235382112</v>
      </c>
      <c r="I5025" s="402"/>
      <c r="J5025" s="400"/>
      <c r="K5025" s="400"/>
      <c r="L5025" s="400"/>
      <c r="M5025" s="400"/>
      <c r="N5025" s="400">
        <f t="shared" si="254"/>
        <v>18.101794235382112</v>
      </c>
    </row>
    <row r="5026" spans="1:14" s="360" customFormat="1" hidden="1" outlineLevel="2" x14ac:dyDescent="0.35">
      <c r="A5026" s="403" t="s">
        <v>7451</v>
      </c>
      <c r="B5026" s="397">
        <v>44525</v>
      </c>
      <c r="C5026" s="398" t="s">
        <v>7464</v>
      </c>
      <c r="D5026" s="399" t="s">
        <v>4585</v>
      </c>
      <c r="E5026" s="399" t="s">
        <v>4042</v>
      </c>
      <c r="F5026" s="400">
        <v>2918.91894</v>
      </c>
      <c r="G5026" s="401" t="s">
        <v>3800</v>
      </c>
      <c r="H5026" s="402">
        <v>1.0861076541229266</v>
      </c>
      <c r="I5026" s="402"/>
      <c r="J5026" s="400"/>
      <c r="K5026" s="400"/>
      <c r="L5026" s="400"/>
      <c r="M5026" s="400"/>
      <c r="N5026" s="400">
        <f t="shared" si="254"/>
        <v>1.0861076541229266</v>
      </c>
    </row>
    <row r="5027" spans="1:14" s="360" customFormat="1" hidden="1" outlineLevel="2" x14ac:dyDescent="0.35">
      <c r="A5027" s="403" t="s">
        <v>7451</v>
      </c>
      <c r="B5027" s="397">
        <v>44525</v>
      </c>
      <c r="C5027" s="398" t="s">
        <v>4580</v>
      </c>
      <c r="D5027" s="399" t="s">
        <v>4581</v>
      </c>
      <c r="E5027" s="399" t="s">
        <v>7459</v>
      </c>
      <c r="F5027" s="400">
        <v>486486.49</v>
      </c>
      <c r="G5027" s="401" t="s">
        <v>3800</v>
      </c>
      <c r="H5027" s="402">
        <v>181.01794235382113</v>
      </c>
      <c r="I5027" s="402"/>
      <c r="J5027" s="400"/>
      <c r="K5027" s="400"/>
      <c r="L5027" s="400"/>
      <c r="M5027" s="400"/>
      <c r="N5027" s="400">
        <f t="shared" si="254"/>
        <v>181.01794235382113</v>
      </c>
    </row>
    <row r="5028" spans="1:14" s="360" customFormat="1" hidden="1" outlineLevel="2" x14ac:dyDescent="0.35">
      <c r="A5028" s="403" t="s">
        <v>7451</v>
      </c>
      <c r="B5028" s="397">
        <v>44525</v>
      </c>
      <c r="C5028" s="398" t="s">
        <v>4582</v>
      </c>
      <c r="D5028" s="399" t="s">
        <v>4583</v>
      </c>
      <c r="E5028" s="399" t="s">
        <v>4272</v>
      </c>
      <c r="F5028" s="400">
        <v>48648.649000000005</v>
      </c>
      <c r="G5028" s="401" t="s">
        <v>3800</v>
      </c>
      <c r="H5028" s="402">
        <v>18.101794235382112</v>
      </c>
      <c r="I5028" s="402"/>
      <c r="J5028" s="400"/>
      <c r="K5028" s="400"/>
      <c r="L5028" s="400"/>
      <c r="M5028" s="400"/>
      <c r="N5028" s="400">
        <f t="shared" si="254"/>
        <v>18.101794235382112</v>
      </c>
    </row>
    <row r="5029" spans="1:14" s="360" customFormat="1" hidden="1" outlineLevel="2" x14ac:dyDescent="0.35">
      <c r="A5029" s="403" t="s">
        <v>7451</v>
      </c>
      <c r="B5029" s="397">
        <v>44525</v>
      </c>
      <c r="C5029" s="398" t="s">
        <v>4584</v>
      </c>
      <c r="D5029" s="399" t="s">
        <v>4585</v>
      </c>
      <c r="E5029" s="399" t="s">
        <v>4042</v>
      </c>
      <c r="F5029" s="400">
        <v>2918.91894</v>
      </c>
      <c r="G5029" s="401" t="s">
        <v>3800</v>
      </c>
      <c r="H5029" s="402">
        <v>1.0861076541229266</v>
      </c>
      <c r="I5029" s="402"/>
      <c r="J5029" s="400"/>
      <c r="K5029" s="400"/>
      <c r="L5029" s="400"/>
      <c r="M5029" s="400"/>
      <c r="N5029" s="400">
        <f t="shared" si="254"/>
        <v>1.0861076541229266</v>
      </c>
    </row>
    <row r="5030" spans="1:14" s="360" customFormat="1" hidden="1" outlineLevel="2" x14ac:dyDescent="0.35">
      <c r="A5030" s="403" t="s">
        <v>7451</v>
      </c>
      <c r="B5030" s="397">
        <v>44525</v>
      </c>
      <c r="C5030" s="398" t="s">
        <v>4580</v>
      </c>
      <c r="D5030" s="399" t="s">
        <v>4581</v>
      </c>
      <c r="E5030" s="399" t="s">
        <v>7463</v>
      </c>
      <c r="F5030" s="400">
        <v>486486.49</v>
      </c>
      <c r="G5030" s="401" t="s">
        <v>3800</v>
      </c>
      <c r="H5030" s="402">
        <v>181.01794235382113</v>
      </c>
      <c r="I5030" s="402"/>
      <c r="J5030" s="400"/>
      <c r="K5030" s="400"/>
      <c r="L5030" s="400"/>
      <c r="M5030" s="400"/>
      <c r="N5030" s="400">
        <f t="shared" si="254"/>
        <v>181.01794235382113</v>
      </c>
    </row>
    <row r="5031" spans="1:14" s="360" customFormat="1" hidden="1" outlineLevel="2" x14ac:dyDescent="0.35">
      <c r="A5031" s="403" t="s">
        <v>7451</v>
      </c>
      <c r="B5031" s="397">
        <v>44525</v>
      </c>
      <c r="C5031" s="398" t="s">
        <v>4582</v>
      </c>
      <c r="D5031" s="399" t="s">
        <v>4583</v>
      </c>
      <c r="E5031" s="399" t="s">
        <v>4272</v>
      </c>
      <c r="F5031" s="400">
        <v>48648.649000000005</v>
      </c>
      <c r="G5031" s="401" t="s">
        <v>3800</v>
      </c>
      <c r="H5031" s="402">
        <v>18.101794235382112</v>
      </c>
      <c r="I5031" s="402"/>
      <c r="J5031" s="400"/>
      <c r="K5031" s="400"/>
      <c r="L5031" s="400"/>
      <c r="M5031" s="400"/>
      <c r="N5031" s="400">
        <f t="shared" si="254"/>
        <v>18.101794235382112</v>
      </c>
    </row>
    <row r="5032" spans="1:14" s="360" customFormat="1" hidden="1" outlineLevel="2" x14ac:dyDescent="0.35">
      <c r="A5032" s="403" t="s">
        <v>7451</v>
      </c>
      <c r="B5032" s="397">
        <v>44525</v>
      </c>
      <c r="C5032" s="398" t="s">
        <v>4584</v>
      </c>
      <c r="D5032" s="399" t="s">
        <v>4585</v>
      </c>
      <c r="E5032" s="399" t="s">
        <v>4042</v>
      </c>
      <c r="F5032" s="400">
        <v>2918.91894</v>
      </c>
      <c r="G5032" s="401" t="s">
        <v>3800</v>
      </c>
      <c r="H5032" s="402">
        <v>1.0861076541229266</v>
      </c>
      <c r="I5032" s="402"/>
      <c r="J5032" s="400"/>
      <c r="K5032" s="400"/>
      <c r="L5032" s="400"/>
      <c r="M5032" s="400"/>
      <c r="N5032" s="400">
        <f t="shared" si="254"/>
        <v>1.0861076541229266</v>
      </c>
    </row>
    <row r="5033" spans="1:14" s="360" customFormat="1" hidden="1" outlineLevel="2" collapsed="1" x14ac:dyDescent="0.35">
      <c r="A5033" s="403" t="s">
        <v>7451</v>
      </c>
      <c r="B5033" s="397">
        <v>44547</v>
      </c>
      <c r="C5033" s="398" t="s">
        <v>4580</v>
      </c>
      <c r="D5033" s="399" t="s">
        <v>4587</v>
      </c>
      <c r="E5033" s="399" t="s">
        <v>7452</v>
      </c>
      <c r="F5033" s="400">
        <v>486486.49</v>
      </c>
      <c r="G5033" s="401" t="s">
        <v>3800</v>
      </c>
      <c r="H5033" s="402">
        <v>181.01794235382113</v>
      </c>
      <c r="I5033" s="402"/>
      <c r="J5033" s="400"/>
      <c r="K5033" s="400"/>
      <c r="L5033" s="400"/>
      <c r="M5033" s="400"/>
      <c r="N5033" s="400">
        <f t="shared" si="254"/>
        <v>181.01794235382113</v>
      </c>
    </row>
    <row r="5034" spans="1:14" s="360" customFormat="1" hidden="1" outlineLevel="2" x14ac:dyDescent="0.35">
      <c r="A5034" s="403" t="s">
        <v>7451</v>
      </c>
      <c r="B5034" s="397">
        <v>44547</v>
      </c>
      <c r="C5034" s="398" t="s">
        <v>4582</v>
      </c>
      <c r="D5034" s="399" t="s">
        <v>4589</v>
      </c>
      <c r="E5034" s="399" t="s">
        <v>4272</v>
      </c>
      <c r="F5034" s="400">
        <v>48648.649000000005</v>
      </c>
      <c r="G5034" s="401" t="s">
        <v>3800</v>
      </c>
      <c r="H5034" s="402">
        <v>18.101794235382112</v>
      </c>
      <c r="I5034" s="402"/>
      <c r="J5034" s="400"/>
      <c r="K5034" s="400"/>
      <c r="L5034" s="400"/>
      <c r="M5034" s="400"/>
      <c r="N5034" s="400">
        <f t="shared" si="254"/>
        <v>18.101794235382112</v>
      </c>
    </row>
    <row r="5035" spans="1:14" s="360" customFormat="1" hidden="1" outlineLevel="2" x14ac:dyDescent="0.35">
      <c r="A5035" s="403" t="s">
        <v>7451</v>
      </c>
      <c r="B5035" s="397">
        <v>44547</v>
      </c>
      <c r="C5035" s="398" t="s">
        <v>4590</v>
      </c>
      <c r="D5035" s="399" t="s">
        <v>4591</v>
      </c>
      <c r="E5035" s="399" t="s">
        <v>4042</v>
      </c>
      <c r="F5035" s="400">
        <v>2918.91894</v>
      </c>
      <c r="G5035" s="401" t="s">
        <v>3800</v>
      </c>
      <c r="H5035" s="402">
        <v>1.0861076541229266</v>
      </c>
      <c r="I5035" s="402"/>
      <c r="J5035" s="400"/>
      <c r="K5035" s="400"/>
      <c r="L5035" s="400"/>
      <c r="M5035" s="400"/>
      <c r="N5035" s="400">
        <f t="shared" si="254"/>
        <v>1.0861076541229266</v>
      </c>
    </row>
    <row r="5036" spans="1:14" s="360" customFormat="1" hidden="1" outlineLevel="2" x14ac:dyDescent="0.35">
      <c r="A5036" s="403" t="s">
        <v>7451</v>
      </c>
      <c r="B5036" s="397">
        <v>44547</v>
      </c>
      <c r="C5036" s="398" t="s">
        <v>4586</v>
      </c>
      <c r="D5036" s="399" t="s">
        <v>4587</v>
      </c>
      <c r="E5036" s="399" t="s">
        <v>7453</v>
      </c>
      <c r="F5036" s="400">
        <v>486486.49</v>
      </c>
      <c r="G5036" s="401" t="s">
        <v>3800</v>
      </c>
      <c r="H5036" s="402">
        <v>181.01794235382113</v>
      </c>
      <c r="I5036" s="402"/>
      <c r="J5036" s="400"/>
      <c r="K5036" s="400"/>
      <c r="L5036" s="400"/>
      <c r="M5036" s="400"/>
      <c r="N5036" s="400">
        <f t="shared" si="254"/>
        <v>181.01794235382113</v>
      </c>
    </row>
    <row r="5037" spans="1:14" s="360" customFormat="1" hidden="1" outlineLevel="2" x14ac:dyDescent="0.35">
      <c r="A5037" s="403" t="s">
        <v>7451</v>
      </c>
      <c r="B5037" s="397">
        <v>44547</v>
      </c>
      <c r="C5037" s="398" t="s">
        <v>4588</v>
      </c>
      <c r="D5037" s="399" t="s">
        <v>4589</v>
      </c>
      <c r="E5037" s="399" t="s">
        <v>4272</v>
      </c>
      <c r="F5037" s="400">
        <v>48648.649000000005</v>
      </c>
      <c r="G5037" s="401" t="s">
        <v>3800</v>
      </c>
      <c r="H5037" s="402">
        <v>18.101794235382112</v>
      </c>
      <c r="I5037" s="402"/>
      <c r="J5037" s="400"/>
      <c r="K5037" s="400"/>
      <c r="L5037" s="400"/>
      <c r="M5037" s="400"/>
      <c r="N5037" s="400">
        <f t="shared" si="254"/>
        <v>18.101794235382112</v>
      </c>
    </row>
    <row r="5038" spans="1:14" s="360" customFormat="1" hidden="1" outlineLevel="2" x14ac:dyDescent="0.35">
      <c r="A5038" s="403" t="s">
        <v>7451</v>
      </c>
      <c r="B5038" s="397">
        <v>44547</v>
      </c>
      <c r="C5038" s="398" t="s">
        <v>4590</v>
      </c>
      <c r="D5038" s="399" t="s">
        <v>4725</v>
      </c>
      <c r="E5038" s="399" t="s">
        <v>4042</v>
      </c>
      <c r="F5038" s="400">
        <v>2918.91894</v>
      </c>
      <c r="G5038" s="401" t="s">
        <v>3800</v>
      </c>
      <c r="H5038" s="402">
        <v>1.0861076541229266</v>
      </c>
      <c r="I5038" s="402"/>
      <c r="J5038" s="400"/>
      <c r="K5038" s="400"/>
      <c r="L5038" s="400"/>
      <c r="M5038" s="400"/>
      <c r="N5038" s="400">
        <f t="shared" si="254"/>
        <v>1.0861076541229266</v>
      </c>
    </row>
    <row r="5039" spans="1:14" s="360" customFormat="1" hidden="1" outlineLevel="2" x14ac:dyDescent="0.35">
      <c r="A5039" s="403" t="s">
        <v>7451</v>
      </c>
      <c r="B5039" s="397">
        <v>44547</v>
      </c>
      <c r="C5039" s="398" t="s">
        <v>4586</v>
      </c>
      <c r="D5039" s="399" t="s">
        <v>4587</v>
      </c>
      <c r="E5039" s="399" t="s">
        <v>7454</v>
      </c>
      <c r="F5039" s="400">
        <v>486486.49</v>
      </c>
      <c r="G5039" s="401" t="s">
        <v>3800</v>
      </c>
      <c r="H5039" s="402">
        <v>181.01794235382113</v>
      </c>
      <c r="I5039" s="402"/>
      <c r="J5039" s="400"/>
      <c r="K5039" s="400"/>
      <c r="L5039" s="400"/>
      <c r="M5039" s="400"/>
      <c r="N5039" s="400">
        <f t="shared" si="254"/>
        <v>181.01794235382113</v>
      </c>
    </row>
    <row r="5040" spans="1:14" s="360" customFormat="1" hidden="1" outlineLevel="2" x14ac:dyDescent="0.35">
      <c r="A5040" s="403" t="s">
        <v>7451</v>
      </c>
      <c r="B5040" s="397">
        <v>44547</v>
      </c>
      <c r="C5040" s="398" t="s">
        <v>4588</v>
      </c>
      <c r="D5040" s="399" t="s">
        <v>4589</v>
      </c>
      <c r="E5040" s="399" t="s">
        <v>4272</v>
      </c>
      <c r="F5040" s="400">
        <v>48648.649000000005</v>
      </c>
      <c r="G5040" s="401" t="s">
        <v>3800</v>
      </c>
      <c r="H5040" s="402">
        <v>18.101794235382112</v>
      </c>
      <c r="I5040" s="402"/>
      <c r="J5040" s="400"/>
      <c r="K5040" s="400"/>
      <c r="L5040" s="400"/>
      <c r="M5040" s="400"/>
      <c r="N5040" s="400">
        <f t="shared" si="254"/>
        <v>18.101794235382112</v>
      </c>
    </row>
    <row r="5041" spans="1:14" s="360" customFormat="1" hidden="1" outlineLevel="2" x14ac:dyDescent="0.35">
      <c r="A5041" s="403" t="s">
        <v>7451</v>
      </c>
      <c r="B5041" s="397">
        <v>44547</v>
      </c>
      <c r="C5041" s="398" t="s">
        <v>4590</v>
      </c>
      <c r="D5041" s="399" t="s">
        <v>4591</v>
      </c>
      <c r="E5041" s="399" t="s">
        <v>4042</v>
      </c>
      <c r="F5041" s="400">
        <v>2918.91894</v>
      </c>
      <c r="G5041" s="401" t="s">
        <v>3800</v>
      </c>
      <c r="H5041" s="402">
        <v>1.0861076541229266</v>
      </c>
      <c r="I5041" s="402"/>
      <c r="J5041" s="400"/>
      <c r="K5041" s="400"/>
      <c r="L5041" s="400"/>
      <c r="M5041" s="400"/>
      <c r="N5041" s="400">
        <f t="shared" si="254"/>
        <v>1.0861076541229266</v>
      </c>
    </row>
    <row r="5042" spans="1:14" s="360" customFormat="1" hidden="1" outlineLevel="2" collapsed="1" x14ac:dyDescent="0.35">
      <c r="A5042" s="403" t="s">
        <v>7451</v>
      </c>
      <c r="B5042" s="397">
        <v>44547</v>
      </c>
      <c r="C5042" s="398" t="s">
        <v>4586</v>
      </c>
      <c r="D5042" s="399" t="s">
        <v>4587</v>
      </c>
      <c r="E5042" s="399" t="s">
        <v>7455</v>
      </c>
      <c r="F5042" s="400">
        <v>486486.49</v>
      </c>
      <c r="G5042" s="401" t="s">
        <v>3800</v>
      </c>
      <c r="H5042" s="402">
        <v>181.01794235382113</v>
      </c>
      <c r="I5042" s="402"/>
      <c r="J5042" s="400"/>
      <c r="K5042" s="400"/>
      <c r="L5042" s="400"/>
      <c r="M5042" s="400"/>
      <c r="N5042" s="400">
        <f t="shared" si="254"/>
        <v>181.01794235382113</v>
      </c>
    </row>
    <row r="5043" spans="1:14" s="360" customFormat="1" hidden="1" outlineLevel="2" x14ac:dyDescent="0.35">
      <c r="A5043" s="403" t="s">
        <v>7451</v>
      </c>
      <c r="B5043" s="397">
        <v>44547</v>
      </c>
      <c r="C5043" s="398" t="s">
        <v>4588</v>
      </c>
      <c r="D5043" s="399" t="s">
        <v>4589</v>
      </c>
      <c r="E5043" s="399" t="s">
        <v>4272</v>
      </c>
      <c r="F5043" s="400">
        <v>48648.649000000005</v>
      </c>
      <c r="G5043" s="401" t="s">
        <v>3800</v>
      </c>
      <c r="H5043" s="402">
        <v>18.101794235382112</v>
      </c>
      <c r="I5043" s="402"/>
      <c r="J5043" s="400"/>
      <c r="K5043" s="400"/>
      <c r="L5043" s="400"/>
      <c r="M5043" s="400"/>
      <c r="N5043" s="400">
        <f t="shared" si="254"/>
        <v>18.101794235382112</v>
      </c>
    </row>
    <row r="5044" spans="1:14" s="360" customFormat="1" hidden="1" outlineLevel="2" x14ac:dyDescent="0.35">
      <c r="A5044" s="403" t="s">
        <v>7451</v>
      </c>
      <c r="B5044" s="397">
        <v>44547</v>
      </c>
      <c r="C5044" s="398" t="s">
        <v>4590</v>
      </c>
      <c r="D5044" s="399" t="s">
        <v>4591</v>
      </c>
      <c r="E5044" s="399" t="s">
        <v>4042</v>
      </c>
      <c r="F5044" s="400">
        <v>2918.91894</v>
      </c>
      <c r="G5044" s="401" t="s">
        <v>3800</v>
      </c>
      <c r="H5044" s="402">
        <v>1.0861076541229266</v>
      </c>
      <c r="I5044" s="402"/>
      <c r="J5044" s="400"/>
      <c r="K5044" s="400"/>
      <c r="L5044" s="400"/>
      <c r="M5044" s="400"/>
      <c r="N5044" s="400">
        <f t="shared" si="254"/>
        <v>1.0861076541229266</v>
      </c>
    </row>
    <row r="5045" spans="1:14" s="360" customFormat="1" hidden="1" outlineLevel="2" x14ac:dyDescent="0.35">
      <c r="A5045" s="403" t="s">
        <v>7451</v>
      </c>
      <c r="B5045" s="397">
        <v>44547</v>
      </c>
      <c r="C5045" s="398" t="s">
        <v>4586</v>
      </c>
      <c r="D5045" s="399" t="s">
        <v>4587</v>
      </c>
      <c r="E5045" s="399" t="s">
        <v>7457</v>
      </c>
      <c r="F5045" s="400">
        <v>486486.49</v>
      </c>
      <c r="G5045" s="401" t="s">
        <v>3800</v>
      </c>
      <c r="H5045" s="402">
        <v>181.01794235382113</v>
      </c>
      <c r="I5045" s="402"/>
      <c r="J5045" s="400"/>
      <c r="K5045" s="400"/>
      <c r="L5045" s="400"/>
      <c r="M5045" s="400"/>
      <c r="N5045" s="400">
        <f t="shared" si="254"/>
        <v>181.01794235382113</v>
      </c>
    </row>
    <row r="5046" spans="1:14" s="360" customFormat="1" hidden="1" outlineLevel="2" x14ac:dyDescent="0.35">
      <c r="A5046" s="403" t="s">
        <v>7451</v>
      </c>
      <c r="B5046" s="397">
        <v>44547</v>
      </c>
      <c r="C5046" s="398" t="s">
        <v>4588</v>
      </c>
      <c r="D5046" s="399" t="s">
        <v>4589</v>
      </c>
      <c r="E5046" s="399" t="s">
        <v>4272</v>
      </c>
      <c r="F5046" s="400">
        <v>48648.649000000005</v>
      </c>
      <c r="G5046" s="401" t="s">
        <v>3800</v>
      </c>
      <c r="H5046" s="402">
        <v>18.101794235382112</v>
      </c>
      <c r="I5046" s="402"/>
      <c r="J5046" s="400"/>
      <c r="K5046" s="400"/>
      <c r="L5046" s="400"/>
      <c r="M5046" s="400"/>
      <c r="N5046" s="400">
        <f t="shared" si="254"/>
        <v>18.101794235382112</v>
      </c>
    </row>
    <row r="5047" spans="1:14" s="360" customFormat="1" hidden="1" outlineLevel="2" x14ac:dyDescent="0.35">
      <c r="A5047" s="403" t="s">
        <v>7451</v>
      </c>
      <c r="B5047" s="397">
        <v>44547</v>
      </c>
      <c r="C5047" s="398" t="s">
        <v>4590</v>
      </c>
      <c r="D5047" s="399" t="s">
        <v>4591</v>
      </c>
      <c r="E5047" s="399" t="s">
        <v>4042</v>
      </c>
      <c r="F5047" s="400">
        <v>2918.91894</v>
      </c>
      <c r="G5047" s="401" t="s">
        <v>3800</v>
      </c>
      <c r="H5047" s="402">
        <v>1.0861076541229266</v>
      </c>
      <c r="I5047" s="402"/>
      <c r="J5047" s="400"/>
      <c r="K5047" s="400"/>
      <c r="L5047" s="400"/>
      <c r="M5047" s="400"/>
      <c r="N5047" s="400">
        <f t="shared" si="254"/>
        <v>1.0861076541229266</v>
      </c>
    </row>
    <row r="5048" spans="1:14" s="360" customFormat="1" hidden="1" outlineLevel="2" x14ac:dyDescent="0.35">
      <c r="A5048" s="403" t="s">
        <v>7451</v>
      </c>
      <c r="B5048" s="397">
        <v>44547</v>
      </c>
      <c r="C5048" s="398" t="s">
        <v>4586</v>
      </c>
      <c r="D5048" s="399" t="s">
        <v>4587</v>
      </c>
      <c r="E5048" s="399" t="s">
        <v>7459</v>
      </c>
      <c r="F5048" s="400">
        <v>486486.49</v>
      </c>
      <c r="G5048" s="401" t="s">
        <v>3800</v>
      </c>
      <c r="H5048" s="402">
        <v>181.01794235382113</v>
      </c>
      <c r="I5048" s="402"/>
      <c r="J5048" s="400"/>
      <c r="K5048" s="400"/>
      <c r="L5048" s="400"/>
      <c r="M5048" s="400"/>
      <c r="N5048" s="400">
        <f t="shared" si="254"/>
        <v>181.01794235382113</v>
      </c>
    </row>
    <row r="5049" spans="1:14" s="360" customFormat="1" hidden="1" outlineLevel="2" x14ac:dyDescent="0.35">
      <c r="A5049" s="403" t="s">
        <v>7451</v>
      </c>
      <c r="B5049" s="397">
        <v>44547</v>
      </c>
      <c r="C5049" s="398" t="s">
        <v>4588</v>
      </c>
      <c r="D5049" s="399" t="s">
        <v>4589</v>
      </c>
      <c r="E5049" s="399" t="s">
        <v>4272</v>
      </c>
      <c r="F5049" s="400">
        <v>48648.649000000005</v>
      </c>
      <c r="G5049" s="401" t="s">
        <v>3800</v>
      </c>
      <c r="H5049" s="402">
        <v>18.101794235382112</v>
      </c>
      <c r="I5049" s="402"/>
      <c r="J5049" s="400"/>
      <c r="K5049" s="400"/>
      <c r="L5049" s="400"/>
      <c r="M5049" s="400"/>
      <c r="N5049" s="400">
        <f t="shared" si="254"/>
        <v>18.101794235382112</v>
      </c>
    </row>
    <row r="5050" spans="1:14" s="360" customFormat="1" hidden="1" outlineLevel="2" x14ac:dyDescent="0.35">
      <c r="A5050" s="403" t="s">
        <v>7451</v>
      </c>
      <c r="B5050" s="397">
        <v>44547</v>
      </c>
      <c r="C5050" s="398" t="s">
        <v>4590</v>
      </c>
      <c r="D5050" s="399" t="s">
        <v>4591</v>
      </c>
      <c r="E5050" s="399" t="s">
        <v>4042</v>
      </c>
      <c r="F5050" s="400">
        <v>2918.91894</v>
      </c>
      <c r="G5050" s="401" t="s">
        <v>3800</v>
      </c>
      <c r="H5050" s="402">
        <v>1.0861076541229266</v>
      </c>
      <c r="I5050" s="402"/>
      <c r="J5050" s="400"/>
      <c r="K5050" s="400"/>
      <c r="L5050" s="400"/>
      <c r="M5050" s="400"/>
      <c r="N5050" s="400">
        <f t="shared" si="254"/>
        <v>1.0861076541229266</v>
      </c>
    </row>
    <row r="5051" spans="1:14" s="360" customFormat="1" hidden="1" outlineLevel="2" x14ac:dyDescent="0.35">
      <c r="A5051" s="403" t="s">
        <v>7451</v>
      </c>
      <c r="B5051" s="397">
        <v>44547</v>
      </c>
      <c r="C5051" s="398" t="s">
        <v>4586</v>
      </c>
      <c r="D5051" s="399" t="s">
        <v>4587</v>
      </c>
      <c r="E5051" s="399" t="s">
        <v>7463</v>
      </c>
      <c r="F5051" s="400">
        <v>486486.49</v>
      </c>
      <c r="G5051" s="401" t="s">
        <v>3800</v>
      </c>
      <c r="H5051" s="402">
        <v>181.01794235382113</v>
      </c>
      <c r="I5051" s="402"/>
      <c r="J5051" s="400"/>
      <c r="K5051" s="400"/>
      <c r="L5051" s="400"/>
      <c r="M5051" s="400"/>
      <c r="N5051" s="400">
        <f t="shared" si="254"/>
        <v>181.01794235382113</v>
      </c>
    </row>
    <row r="5052" spans="1:14" s="360" customFormat="1" hidden="1" outlineLevel="2" x14ac:dyDescent="0.35">
      <c r="A5052" s="403" t="s">
        <v>7451</v>
      </c>
      <c r="B5052" s="397">
        <v>44547</v>
      </c>
      <c r="C5052" s="398" t="s">
        <v>4588</v>
      </c>
      <c r="D5052" s="399" t="s">
        <v>4589</v>
      </c>
      <c r="E5052" s="399" t="s">
        <v>4272</v>
      </c>
      <c r="F5052" s="400">
        <v>48648.649000000005</v>
      </c>
      <c r="G5052" s="401" t="s">
        <v>3800</v>
      </c>
      <c r="H5052" s="402">
        <v>18.101794235382112</v>
      </c>
      <c r="I5052" s="402"/>
      <c r="J5052" s="400"/>
      <c r="K5052" s="400"/>
      <c r="L5052" s="400"/>
      <c r="M5052" s="400"/>
      <c r="N5052" s="400">
        <f t="shared" si="254"/>
        <v>18.101794235382112</v>
      </c>
    </row>
    <row r="5053" spans="1:14" s="360" customFormat="1" hidden="1" outlineLevel="2" x14ac:dyDescent="0.35">
      <c r="A5053" s="403" t="s">
        <v>7451</v>
      </c>
      <c r="B5053" s="397">
        <v>44547</v>
      </c>
      <c r="C5053" s="398" t="s">
        <v>4590</v>
      </c>
      <c r="D5053" s="399" t="s">
        <v>4591</v>
      </c>
      <c r="E5053" s="399" t="s">
        <v>4042</v>
      </c>
      <c r="F5053" s="400">
        <v>2918.91894</v>
      </c>
      <c r="G5053" s="401" t="s">
        <v>3800</v>
      </c>
      <c r="H5053" s="402">
        <v>1.0861076541229266</v>
      </c>
      <c r="I5053" s="402"/>
      <c r="J5053" s="400"/>
      <c r="K5053" s="400"/>
      <c r="L5053" s="400"/>
      <c r="M5053" s="400"/>
      <c r="N5053" s="400">
        <f t="shared" si="254"/>
        <v>1.0861076541229266</v>
      </c>
    </row>
    <row r="5054" spans="1:14" s="360" customFormat="1" hidden="1" outlineLevel="2" x14ac:dyDescent="0.35">
      <c r="A5054" s="403" t="s">
        <v>7451</v>
      </c>
      <c r="B5054" s="397">
        <v>44587</v>
      </c>
      <c r="C5054" s="398" t="s">
        <v>4592</v>
      </c>
      <c r="D5054" s="399" t="s">
        <v>4593</v>
      </c>
      <c r="E5054" s="399" t="s">
        <v>7452</v>
      </c>
      <c r="F5054" s="400">
        <v>486486.49</v>
      </c>
      <c r="G5054" s="401" t="s">
        <v>3800</v>
      </c>
      <c r="H5054" s="402">
        <v>181.01794235382113</v>
      </c>
      <c r="I5054" s="402"/>
      <c r="J5054" s="400"/>
      <c r="K5054" s="400"/>
      <c r="L5054" s="400"/>
      <c r="M5054" s="400"/>
      <c r="N5054" s="400">
        <v>181.01794235382113</v>
      </c>
    </row>
    <row r="5055" spans="1:14" s="360" customFormat="1" hidden="1" outlineLevel="2" x14ac:dyDescent="0.35">
      <c r="A5055" s="403" t="s">
        <v>7451</v>
      </c>
      <c r="B5055" s="397">
        <v>44587</v>
      </c>
      <c r="C5055" s="398" t="s">
        <v>4594</v>
      </c>
      <c r="D5055" s="399" t="s">
        <v>4595</v>
      </c>
      <c r="E5055" s="399" t="s">
        <v>4272</v>
      </c>
      <c r="F5055" s="400">
        <v>48648.649000000005</v>
      </c>
      <c r="G5055" s="401" t="s">
        <v>3800</v>
      </c>
      <c r="H5055" s="402">
        <v>18.101794235382112</v>
      </c>
      <c r="I5055" s="402"/>
      <c r="J5055" s="400"/>
      <c r="K5055" s="400"/>
      <c r="L5055" s="400"/>
      <c r="M5055" s="400"/>
      <c r="N5055" s="400">
        <v>18.101794235382112</v>
      </c>
    </row>
    <row r="5056" spans="1:14" s="360" customFormat="1" hidden="1" outlineLevel="2" x14ac:dyDescent="0.35">
      <c r="A5056" s="403" t="s">
        <v>7451</v>
      </c>
      <c r="B5056" s="397">
        <v>44587</v>
      </c>
      <c r="C5056" s="398" t="s">
        <v>4596</v>
      </c>
      <c r="D5056" s="399" t="s">
        <v>4597</v>
      </c>
      <c r="E5056" s="399" t="s">
        <v>4042</v>
      </c>
      <c r="F5056" s="400">
        <v>2918.91894</v>
      </c>
      <c r="G5056" s="401" t="s">
        <v>3800</v>
      </c>
      <c r="H5056" s="402">
        <v>1.0861076541229266</v>
      </c>
      <c r="I5056" s="402"/>
      <c r="J5056" s="400"/>
      <c r="K5056" s="400"/>
      <c r="L5056" s="400"/>
      <c r="M5056" s="400"/>
      <c r="N5056" s="400">
        <v>1.0861076541229266</v>
      </c>
    </row>
    <row r="5057" spans="1:14" s="360" customFormat="1" hidden="1" outlineLevel="2" x14ac:dyDescent="0.35">
      <c r="A5057" s="403" t="s">
        <v>7451</v>
      </c>
      <c r="B5057" s="397">
        <v>44587</v>
      </c>
      <c r="C5057" s="398" t="s">
        <v>4592</v>
      </c>
      <c r="D5057" s="399" t="s">
        <v>4593</v>
      </c>
      <c r="E5057" s="399" t="s">
        <v>7453</v>
      </c>
      <c r="F5057" s="400">
        <v>486486.49</v>
      </c>
      <c r="G5057" s="401" t="s">
        <v>3800</v>
      </c>
      <c r="H5057" s="402">
        <v>181.01794235382113</v>
      </c>
      <c r="I5057" s="402"/>
      <c r="J5057" s="400"/>
      <c r="K5057" s="400"/>
      <c r="L5057" s="400"/>
      <c r="M5057" s="400"/>
      <c r="N5057" s="400">
        <v>181.01794235382113</v>
      </c>
    </row>
    <row r="5058" spans="1:14" s="360" customFormat="1" hidden="1" outlineLevel="2" x14ac:dyDescent="0.35">
      <c r="A5058" s="403" t="s">
        <v>7451</v>
      </c>
      <c r="B5058" s="397">
        <v>44587</v>
      </c>
      <c r="C5058" s="398" t="s">
        <v>4594</v>
      </c>
      <c r="D5058" s="399" t="s">
        <v>4595</v>
      </c>
      <c r="E5058" s="399" t="s">
        <v>4272</v>
      </c>
      <c r="F5058" s="400">
        <v>48648.649000000005</v>
      </c>
      <c r="G5058" s="401" t="s">
        <v>3800</v>
      </c>
      <c r="H5058" s="402">
        <v>18.101794235382112</v>
      </c>
      <c r="I5058" s="402"/>
      <c r="J5058" s="400"/>
      <c r="K5058" s="400"/>
      <c r="L5058" s="400"/>
      <c r="M5058" s="400"/>
      <c r="N5058" s="400">
        <v>18.101794235382112</v>
      </c>
    </row>
    <row r="5059" spans="1:14" s="360" customFormat="1" hidden="1" outlineLevel="2" x14ac:dyDescent="0.35">
      <c r="A5059" s="403" t="s">
        <v>7451</v>
      </c>
      <c r="B5059" s="397">
        <v>44587</v>
      </c>
      <c r="C5059" s="398" t="s">
        <v>4596</v>
      </c>
      <c r="D5059" s="399" t="s">
        <v>4597</v>
      </c>
      <c r="E5059" s="399" t="s">
        <v>4042</v>
      </c>
      <c r="F5059" s="400">
        <v>2918.91894</v>
      </c>
      <c r="G5059" s="401" t="s">
        <v>3800</v>
      </c>
      <c r="H5059" s="402">
        <v>1.0861076541229266</v>
      </c>
      <c r="I5059" s="402"/>
      <c r="J5059" s="400"/>
      <c r="K5059" s="400"/>
      <c r="L5059" s="400"/>
      <c r="M5059" s="400"/>
      <c r="N5059" s="400">
        <v>1.0861076541229266</v>
      </c>
    </row>
    <row r="5060" spans="1:14" s="360" customFormat="1" hidden="1" outlineLevel="2" x14ac:dyDescent="0.35">
      <c r="A5060" s="403" t="s">
        <v>7451</v>
      </c>
      <c r="B5060" s="397">
        <v>44587</v>
      </c>
      <c r="C5060" s="398" t="s">
        <v>4592</v>
      </c>
      <c r="D5060" s="399" t="s">
        <v>4593</v>
      </c>
      <c r="E5060" s="399" t="s">
        <v>7454</v>
      </c>
      <c r="F5060" s="400">
        <v>486486.49</v>
      </c>
      <c r="G5060" s="401" t="s">
        <v>3800</v>
      </c>
      <c r="H5060" s="402">
        <v>181.01794235382113</v>
      </c>
      <c r="I5060" s="402"/>
      <c r="J5060" s="400"/>
      <c r="K5060" s="400"/>
      <c r="L5060" s="400"/>
      <c r="M5060" s="400"/>
      <c r="N5060" s="400">
        <v>181.01794235382113</v>
      </c>
    </row>
    <row r="5061" spans="1:14" s="360" customFormat="1" hidden="1" outlineLevel="2" x14ac:dyDescent="0.35">
      <c r="A5061" s="403" t="s">
        <v>7451</v>
      </c>
      <c r="B5061" s="397">
        <v>44587</v>
      </c>
      <c r="C5061" s="398" t="s">
        <v>4594</v>
      </c>
      <c r="D5061" s="399" t="s">
        <v>4595</v>
      </c>
      <c r="E5061" s="399" t="s">
        <v>4272</v>
      </c>
      <c r="F5061" s="400">
        <v>48648.649000000005</v>
      </c>
      <c r="G5061" s="401" t="s">
        <v>3800</v>
      </c>
      <c r="H5061" s="402">
        <v>18.101794235382112</v>
      </c>
      <c r="I5061" s="402"/>
      <c r="J5061" s="400"/>
      <c r="K5061" s="400"/>
      <c r="L5061" s="400"/>
      <c r="M5061" s="400"/>
      <c r="N5061" s="400">
        <v>18.101794235382112</v>
      </c>
    </row>
    <row r="5062" spans="1:14" s="360" customFormat="1" hidden="1" outlineLevel="2" x14ac:dyDescent="0.35">
      <c r="A5062" s="403" t="s">
        <v>7451</v>
      </c>
      <c r="B5062" s="397">
        <v>44587</v>
      </c>
      <c r="C5062" s="398" t="s">
        <v>4596</v>
      </c>
      <c r="D5062" s="399" t="s">
        <v>4597</v>
      </c>
      <c r="E5062" s="399" t="s">
        <v>4042</v>
      </c>
      <c r="F5062" s="400">
        <v>2918.91894</v>
      </c>
      <c r="G5062" s="401" t="s">
        <v>3800</v>
      </c>
      <c r="H5062" s="402">
        <v>1.0861076541229266</v>
      </c>
      <c r="I5062" s="402"/>
      <c r="J5062" s="400"/>
      <c r="K5062" s="400"/>
      <c r="L5062" s="400"/>
      <c r="M5062" s="400"/>
      <c r="N5062" s="400">
        <v>1.0861076541229266</v>
      </c>
    </row>
    <row r="5063" spans="1:14" s="360" customFormat="1" hidden="1" outlineLevel="2" x14ac:dyDescent="0.35">
      <c r="A5063" s="403" t="s">
        <v>7451</v>
      </c>
      <c r="B5063" s="397">
        <v>44587</v>
      </c>
      <c r="C5063" s="398" t="s">
        <v>4592</v>
      </c>
      <c r="D5063" s="399" t="s">
        <v>4593</v>
      </c>
      <c r="E5063" s="399" t="s">
        <v>7455</v>
      </c>
      <c r="F5063" s="400">
        <v>486486.49</v>
      </c>
      <c r="G5063" s="401" t="s">
        <v>3800</v>
      </c>
      <c r="H5063" s="402">
        <v>181.01794235382113</v>
      </c>
      <c r="I5063" s="402"/>
      <c r="J5063" s="400"/>
      <c r="K5063" s="400"/>
      <c r="L5063" s="400"/>
      <c r="M5063" s="400"/>
      <c r="N5063" s="400">
        <v>181.01794235382113</v>
      </c>
    </row>
    <row r="5064" spans="1:14" s="360" customFormat="1" hidden="1" outlineLevel="2" x14ac:dyDescent="0.35">
      <c r="A5064" s="403" t="s">
        <v>7451</v>
      </c>
      <c r="B5064" s="397">
        <v>44587</v>
      </c>
      <c r="C5064" s="398" t="s">
        <v>4594</v>
      </c>
      <c r="D5064" s="399" t="s">
        <v>4595</v>
      </c>
      <c r="E5064" s="399" t="s">
        <v>4272</v>
      </c>
      <c r="F5064" s="400">
        <v>48648.649000000005</v>
      </c>
      <c r="G5064" s="401" t="s">
        <v>3800</v>
      </c>
      <c r="H5064" s="402">
        <v>18.101794235382112</v>
      </c>
      <c r="I5064" s="402"/>
      <c r="J5064" s="400"/>
      <c r="K5064" s="400"/>
      <c r="L5064" s="400"/>
      <c r="M5064" s="400"/>
      <c r="N5064" s="400">
        <v>18.101794235382112</v>
      </c>
    </row>
    <row r="5065" spans="1:14" s="360" customFormat="1" hidden="1" outlineLevel="2" x14ac:dyDescent="0.35">
      <c r="A5065" s="403" t="s">
        <v>7451</v>
      </c>
      <c r="B5065" s="397">
        <v>44587</v>
      </c>
      <c r="C5065" s="398" t="s">
        <v>4596</v>
      </c>
      <c r="D5065" s="399" t="s">
        <v>4597</v>
      </c>
      <c r="E5065" s="399" t="s">
        <v>4042</v>
      </c>
      <c r="F5065" s="400">
        <v>2918.91894</v>
      </c>
      <c r="G5065" s="401" t="s">
        <v>3800</v>
      </c>
      <c r="H5065" s="402">
        <v>1.0861076541229266</v>
      </c>
      <c r="I5065" s="402"/>
      <c r="J5065" s="400"/>
      <c r="K5065" s="400"/>
      <c r="L5065" s="400"/>
      <c r="M5065" s="400"/>
      <c r="N5065" s="400">
        <v>1.0861076541229266</v>
      </c>
    </row>
    <row r="5066" spans="1:14" s="360" customFormat="1" hidden="1" outlineLevel="2" x14ac:dyDescent="0.35">
      <c r="A5066" s="403" t="s">
        <v>7451</v>
      </c>
      <c r="B5066" s="397">
        <v>44587</v>
      </c>
      <c r="C5066" s="398" t="s">
        <v>4592</v>
      </c>
      <c r="D5066" s="399" t="s">
        <v>4593</v>
      </c>
      <c r="E5066" s="399" t="s">
        <v>7457</v>
      </c>
      <c r="F5066" s="400">
        <v>486486.49</v>
      </c>
      <c r="G5066" s="401" t="s">
        <v>3800</v>
      </c>
      <c r="H5066" s="402">
        <v>181.01794235382113</v>
      </c>
      <c r="I5066" s="402"/>
      <c r="J5066" s="400"/>
      <c r="K5066" s="400"/>
      <c r="L5066" s="400"/>
      <c r="M5066" s="400"/>
      <c r="N5066" s="400">
        <v>181.01794235382113</v>
      </c>
    </row>
    <row r="5067" spans="1:14" s="360" customFormat="1" hidden="1" outlineLevel="2" x14ac:dyDescent="0.35">
      <c r="A5067" s="403" t="s">
        <v>7451</v>
      </c>
      <c r="B5067" s="397">
        <v>44587</v>
      </c>
      <c r="C5067" s="398" t="s">
        <v>4594</v>
      </c>
      <c r="D5067" s="399" t="s">
        <v>4595</v>
      </c>
      <c r="E5067" s="399" t="s">
        <v>4272</v>
      </c>
      <c r="F5067" s="400">
        <v>48648.649000000005</v>
      </c>
      <c r="G5067" s="401" t="s">
        <v>3800</v>
      </c>
      <c r="H5067" s="402">
        <v>18.101794235382112</v>
      </c>
      <c r="I5067" s="402"/>
      <c r="J5067" s="400"/>
      <c r="K5067" s="400"/>
      <c r="L5067" s="400"/>
      <c r="M5067" s="400"/>
      <c r="N5067" s="400">
        <v>18.101794235382112</v>
      </c>
    </row>
    <row r="5068" spans="1:14" s="360" customFormat="1" hidden="1" outlineLevel="2" x14ac:dyDescent="0.35">
      <c r="A5068" s="403" t="s">
        <v>7451</v>
      </c>
      <c r="B5068" s="397">
        <v>44587</v>
      </c>
      <c r="C5068" s="398" t="s">
        <v>4596</v>
      </c>
      <c r="D5068" s="399" t="s">
        <v>4597</v>
      </c>
      <c r="E5068" s="399" t="s">
        <v>4042</v>
      </c>
      <c r="F5068" s="400">
        <v>2918.91894</v>
      </c>
      <c r="G5068" s="401" t="s">
        <v>3800</v>
      </c>
      <c r="H5068" s="402">
        <v>1.0861076541229266</v>
      </c>
      <c r="I5068" s="402"/>
      <c r="J5068" s="400"/>
      <c r="K5068" s="400"/>
      <c r="L5068" s="400"/>
      <c r="M5068" s="400"/>
      <c r="N5068" s="400">
        <v>1.0861076541229266</v>
      </c>
    </row>
    <row r="5069" spans="1:14" s="360" customFormat="1" hidden="1" outlineLevel="2" x14ac:dyDescent="0.35">
      <c r="A5069" s="403" t="s">
        <v>7451</v>
      </c>
      <c r="B5069" s="397">
        <v>44587</v>
      </c>
      <c r="C5069" s="398" t="s">
        <v>4592</v>
      </c>
      <c r="D5069" s="399" t="s">
        <v>4593</v>
      </c>
      <c r="E5069" s="399" t="s">
        <v>7458</v>
      </c>
      <c r="F5069" s="400">
        <v>486486.49</v>
      </c>
      <c r="G5069" s="401" t="s">
        <v>3800</v>
      </c>
      <c r="H5069" s="402">
        <v>181.01794235382113</v>
      </c>
      <c r="I5069" s="402"/>
      <c r="J5069" s="400"/>
      <c r="K5069" s="400"/>
      <c r="L5069" s="400"/>
      <c r="M5069" s="400"/>
      <c r="N5069" s="400">
        <v>181.01794235382113</v>
      </c>
    </row>
    <row r="5070" spans="1:14" s="360" customFormat="1" hidden="1" outlineLevel="2" x14ac:dyDescent="0.35">
      <c r="A5070" s="403" t="s">
        <v>7451</v>
      </c>
      <c r="B5070" s="397">
        <v>44587</v>
      </c>
      <c r="C5070" s="398" t="s">
        <v>4594</v>
      </c>
      <c r="D5070" s="399" t="s">
        <v>4595</v>
      </c>
      <c r="E5070" s="399" t="s">
        <v>4272</v>
      </c>
      <c r="F5070" s="400">
        <v>48648.649000000005</v>
      </c>
      <c r="G5070" s="401" t="s">
        <v>3800</v>
      </c>
      <c r="H5070" s="402">
        <v>18.101794235382112</v>
      </c>
      <c r="I5070" s="402"/>
      <c r="J5070" s="400"/>
      <c r="K5070" s="400"/>
      <c r="L5070" s="400"/>
      <c r="M5070" s="400"/>
      <c r="N5070" s="400">
        <v>18.101794235382112</v>
      </c>
    </row>
    <row r="5071" spans="1:14" s="360" customFormat="1" hidden="1" outlineLevel="2" x14ac:dyDescent="0.35">
      <c r="A5071" s="403" t="s">
        <v>7451</v>
      </c>
      <c r="B5071" s="397">
        <v>44587</v>
      </c>
      <c r="C5071" s="398" t="s">
        <v>4596</v>
      </c>
      <c r="D5071" s="399" t="s">
        <v>4597</v>
      </c>
      <c r="E5071" s="399" t="s">
        <v>4042</v>
      </c>
      <c r="F5071" s="400">
        <v>2918.91894</v>
      </c>
      <c r="G5071" s="401" t="s">
        <v>3800</v>
      </c>
      <c r="H5071" s="402">
        <v>1.0861076541229266</v>
      </c>
      <c r="I5071" s="402"/>
      <c r="J5071" s="400"/>
      <c r="K5071" s="400"/>
      <c r="L5071" s="400"/>
      <c r="M5071" s="400"/>
      <c r="N5071" s="400">
        <v>1.0861076541229266</v>
      </c>
    </row>
    <row r="5072" spans="1:14" s="360" customFormat="1" hidden="1" outlineLevel="2" x14ac:dyDescent="0.35">
      <c r="A5072" s="403" t="s">
        <v>7451</v>
      </c>
      <c r="B5072" s="397">
        <v>44587</v>
      </c>
      <c r="C5072" s="398" t="s">
        <v>4592</v>
      </c>
      <c r="D5072" s="399" t="s">
        <v>4593</v>
      </c>
      <c r="E5072" s="399" t="s">
        <v>7459</v>
      </c>
      <c r="F5072" s="400">
        <v>486486.49</v>
      </c>
      <c r="G5072" s="401" t="s">
        <v>3800</v>
      </c>
      <c r="H5072" s="402">
        <v>181.01794235382113</v>
      </c>
      <c r="I5072" s="402"/>
      <c r="J5072" s="400"/>
      <c r="K5072" s="400"/>
      <c r="L5072" s="400"/>
      <c r="M5072" s="400"/>
      <c r="N5072" s="400">
        <v>181.01794235382113</v>
      </c>
    </row>
    <row r="5073" spans="1:14" s="360" customFormat="1" hidden="1" outlineLevel="2" x14ac:dyDescent="0.35">
      <c r="A5073" s="403" t="s">
        <v>7451</v>
      </c>
      <c r="B5073" s="397">
        <v>44587</v>
      </c>
      <c r="C5073" s="398" t="s">
        <v>4594</v>
      </c>
      <c r="D5073" s="399" t="s">
        <v>4595</v>
      </c>
      <c r="E5073" s="399" t="s">
        <v>4272</v>
      </c>
      <c r="F5073" s="400">
        <v>48648.649000000005</v>
      </c>
      <c r="G5073" s="401" t="s">
        <v>3800</v>
      </c>
      <c r="H5073" s="402">
        <v>18.101794235382112</v>
      </c>
      <c r="I5073" s="402"/>
      <c r="J5073" s="400"/>
      <c r="K5073" s="400"/>
      <c r="L5073" s="400"/>
      <c r="M5073" s="400"/>
      <c r="N5073" s="400">
        <v>18.101794235382112</v>
      </c>
    </row>
    <row r="5074" spans="1:14" s="360" customFormat="1" hidden="1" outlineLevel="2" x14ac:dyDescent="0.35">
      <c r="A5074" s="403" t="s">
        <v>7451</v>
      </c>
      <c r="B5074" s="397">
        <v>44587</v>
      </c>
      <c r="C5074" s="398" t="s">
        <v>4596</v>
      </c>
      <c r="D5074" s="399" t="s">
        <v>4597</v>
      </c>
      <c r="E5074" s="399" t="s">
        <v>4042</v>
      </c>
      <c r="F5074" s="400">
        <v>2918.91894</v>
      </c>
      <c r="G5074" s="401" t="s">
        <v>3800</v>
      </c>
      <c r="H5074" s="402">
        <v>1.0861076541229266</v>
      </c>
      <c r="I5074" s="402"/>
      <c r="J5074" s="400"/>
      <c r="K5074" s="400"/>
      <c r="L5074" s="400"/>
      <c r="M5074" s="400"/>
      <c r="N5074" s="400">
        <v>1.0861076541229266</v>
      </c>
    </row>
    <row r="5075" spans="1:14" s="360" customFormat="1" hidden="1" outlineLevel="2" x14ac:dyDescent="0.35">
      <c r="A5075" s="403" t="s">
        <v>7451</v>
      </c>
      <c r="B5075" s="397">
        <v>44587</v>
      </c>
      <c r="C5075" s="398" t="s">
        <v>4592</v>
      </c>
      <c r="D5075" s="399" t="s">
        <v>4593</v>
      </c>
      <c r="E5075" s="399" t="s">
        <v>7463</v>
      </c>
      <c r="F5075" s="400">
        <v>486486.49</v>
      </c>
      <c r="G5075" s="401" t="s">
        <v>3800</v>
      </c>
      <c r="H5075" s="402">
        <v>181.01794235382113</v>
      </c>
      <c r="I5075" s="402"/>
      <c r="J5075" s="400"/>
      <c r="K5075" s="400"/>
      <c r="L5075" s="400"/>
      <c r="M5075" s="400"/>
      <c r="N5075" s="400">
        <v>181.01794235382113</v>
      </c>
    </row>
    <row r="5076" spans="1:14" s="360" customFormat="1" hidden="1" outlineLevel="2" x14ac:dyDescent="0.35">
      <c r="A5076" s="403" t="s">
        <v>7451</v>
      </c>
      <c r="B5076" s="397">
        <v>44587</v>
      </c>
      <c r="C5076" s="398" t="s">
        <v>4594</v>
      </c>
      <c r="D5076" s="399" t="s">
        <v>4595</v>
      </c>
      <c r="E5076" s="399" t="s">
        <v>4272</v>
      </c>
      <c r="F5076" s="400">
        <v>48648.649000000005</v>
      </c>
      <c r="G5076" s="401" t="s">
        <v>3800</v>
      </c>
      <c r="H5076" s="402">
        <v>18.101794235382112</v>
      </c>
      <c r="I5076" s="402"/>
      <c r="J5076" s="400"/>
      <c r="K5076" s="400"/>
      <c r="L5076" s="400"/>
      <c r="M5076" s="400"/>
      <c r="N5076" s="400">
        <v>18.101794235382112</v>
      </c>
    </row>
    <row r="5077" spans="1:14" s="360" customFormat="1" hidden="1" outlineLevel="2" x14ac:dyDescent="0.35">
      <c r="A5077" s="403" t="s">
        <v>7451</v>
      </c>
      <c r="B5077" s="397">
        <v>44587</v>
      </c>
      <c r="C5077" s="398" t="s">
        <v>4596</v>
      </c>
      <c r="D5077" s="399" t="s">
        <v>4597</v>
      </c>
      <c r="E5077" s="399" t="s">
        <v>4042</v>
      </c>
      <c r="F5077" s="400">
        <v>2918.91894</v>
      </c>
      <c r="G5077" s="401" t="s">
        <v>3800</v>
      </c>
      <c r="H5077" s="402">
        <v>1.0861076541229266</v>
      </c>
      <c r="I5077" s="402"/>
      <c r="J5077" s="400"/>
      <c r="K5077" s="400"/>
      <c r="L5077" s="400"/>
      <c r="M5077" s="400"/>
      <c r="N5077" s="400">
        <v>1.0861076541229266</v>
      </c>
    </row>
    <row r="5078" spans="1:14" s="360" customFormat="1" outlineLevel="1" collapsed="1" x14ac:dyDescent="0.35">
      <c r="A5078" s="396" t="s">
        <v>7465</v>
      </c>
      <c r="B5078" s="397"/>
      <c r="C5078" s="398"/>
      <c r="D5078" s="399"/>
      <c r="E5078" s="399"/>
      <c r="F5078" s="400"/>
      <c r="G5078" s="401"/>
      <c r="H5078" s="402">
        <f t="shared" ref="H5078:N5078" si="255">SUBTOTAL(9,H4945:H5077)</f>
        <v>8241.9158112636651</v>
      </c>
      <c r="I5078" s="402"/>
      <c r="J5078" s="400">
        <f t="shared" si="255"/>
        <v>0</v>
      </c>
      <c r="K5078" s="400">
        <f t="shared" si="255"/>
        <v>0</v>
      </c>
      <c r="L5078" s="400">
        <f t="shared" si="255"/>
        <v>0</v>
      </c>
      <c r="M5078" s="400">
        <f t="shared" si="255"/>
        <v>0</v>
      </c>
      <c r="N5078" s="400">
        <f t="shared" si="255"/>
        <v>8241.9158112636651</v>
      </c>
    </row>
    <row r="5079" spans="1:14" s="360" customFormat="1" hidden="1" outlineLevel="2" x14ac:dyDescent="0.35">
      <c r="A5079" s="403" t="s">
        <v>7466</v>
      </c>
      <c r="B5079" s="397">
        <v>44302</v>
      </c>
      <c r="C5079" s="398" t="s">
        <v>7467</v>
      </c>
      <c r="D5079" s="399" t="s">
        <v>7468</v>
      </c>
      <c r="E5079" s="399" t="s">
        <v>7469</v>
      </c>
      <c r="F5079" s="400">
        <v>5263500</v>
      </c>
      <c r="G5079" s="401" t="s">
        <v>3800</v>
      </c>
      <c r="H5079" s="402">
        <v>1958.5085283238543</v>
      </c>
      <c r="I5079" s="402"/>
      <c r="J5079" s="400"/>
      <c r="K5079" s="400"/>
      <c r="L5079" s="400"/>
      <c r="M5079" s="400"/>
      <c r="N5079" s="400">
        <f>H5079</f>
        <v>1958.5085283238543</v>
      </c>
    </row>
    <row r="5080" spans="1:14" s="360" customFormat="1" outlineLevel="1" collapsed="1" x14ac:dyDescent="0.35">
      <c r="A5080" s="396" t="s">
        <v>7470</v>
      </c>
      <c r="B5080" s="397"/>
      <c r="C5080" s="398"/>
      <c r="D5080" s="399"/>
      <c r="E5080" s="399"/>
      <c r="F5080" s="400"/>
      <c r="G5080" s="401"/>
      <c r="H5080" s="402">
        <f t="shared" ref="H5080:N5080" si="256">SUBTOTAL(9,H5079:H5079)</f>
        <v>1958.5085283238543</v>
      </c>
      <c r="I5080" s="402"/>
      <c r="J5080" s="400">
        <f t="shared" si="256"/>
        <v>0</v>
      </c>
      <c r="K5080" s="400">
        <f t="shared" si="256"/>
        <v>0</v>
      </c>
      <c r="L5080" s="400">
        <f t="shared" si="256"/>
        <v>0</v>
      </c>
      <c r="M5080" s="400">
        <f t="shared" si="256"/>
        <v>0</v>
      </c>
      <c r="N5080" s="400">
        <f t="shared" si="256"/>
        <v>1958.5085283238543</v>
      </c>
    </row>
    <row r="5081" spans="1:14" s="360" customFormat="1" hidden="1" outlineLevel="2" x14ac:dyDescent="0.35">
      <c r="A5081" s="403" t="s">
        <v>7471</v>
      </c>
      <c r="B5081" s="397">
        <v>44286</v>
      </c>
      <c r="C5081" s="398" t="s">
        <v>7472</v>
      </c>
      <c r="D5081" s="399" t="s">
        <v>7473</v>
      </c>
      <c r="E5081" s="399" t="s">
        <v>7474</v>
      </c>
      <c r="F5081" s="400">
        <v>14175000</v>
      </c>
      <c r="G5081" s="401" t="s">
        <v>3800</v>
      </c>
      <c r="H5081" s="402">
        <v>5274.4102572414995</v>
      </c>
      <c r="I5081" s="402"/>
      <c r="J5081" s="400"/>
      <c r="K5081" s="400"/>
      <c r="L5081" s="400"/>
      <c r="M5081" s="400"/>
      <c r="N5081" s="400">
        <f>H5081</f>
        <v>5274.4102572414995</v>
      </c>
    </row>
    <row r="5082" spans="1:14" s="360" customFormat="1" hidden="1" outlineLevel="2" x14ac:dyDescent="0.35">
      <c r="A5082" s="403" t="s">
        <v>7471</v>
      </c>
      <c r="B5082" s="397">
        <v>44540</v>
      </c>
      <c r="C5082" s="398" t="s">
        <v>7475</v>
      </c>
      <c r="D5082" s="399" t="s">
        <v>7476</v>
      </c>
      <c r="E5082" s="399" t="s">
        <v>7477</v>
      </c>
      <c r="F5082" s="400">
        <v>1350000</v>
      </c>
      <c r="G5082" s="401" t="s">
        <v>3800</v>
      </c>
      <c r="H5082" s="402">
        <v>502.32478640395237</v>
      </c>
      <c r="I5082" s="402"/>
      <c r="J5082" s="400"/>
      <c r="K5082" s="400"/>
      <c r="L5082" s="400"/>
      <c r="M5082" s="400"/>
      <c r="N5082" s="400">
        <f>H5082</f>
        <v>502.32478640395237</v>
      </c>
    </row>
    <row r="5083" spans="1:14" s="360" customFormat="1" hidden="1" outlineLevel="2" x14ac:dyDescent="0.35">
      <c r="A5083" s="403" t="s">
        <v>7471</v>
      </c>
      <c r="B5083" s="397">
        <v>44542</v>
      </c>
      <c r="C5083" s="398" t="s">
        <v>7478</v>
      </c>
      <c r="D5083" s="399" t="s">
        <v>7479</v>
      </c>
      <c r="E5083" s="399" t="s">
        <v>4251</v>
      </c>
      <c r="F5083" s="400">
        <v>150000</v>
      </c>
      <c r="G5083" s="401" t="s">
        <v>3800</v>
      </c>
      <c r="H5083" s="402">
        <v>55.813865155994705</v>
      </c>
      <c r="I5083" s="402"/>
      <c r="J5083" s="400"/>
      <c r="K5083" s="400"/>
      <c r="L5083" s="400"/>
      <c r="M5083" s="400"/>
      <c r="N5083" s="400">
        <f>H5083</f>
        <v>55.813865155994705</v>
      </c>
    </row>
    <row r="5084" spans="1:14" s="360" customFormat="1" hidden="1" outlineLevel="2" x14ac:dyDescent="0.35">
      <c r="A5084" s="403" t="s">
        <v>7471</v>
      </c>
      <c r="B5084" s="397">
        <v>44551</v>
      </c>
      <c r="C5084" s="398" t="s">
        <v>7480</v>
      </c>
      <c r="D5084" s="399" t="s">
        <v>7481</v>
      </c>
      <c r="E5084" s="399" t="s">
        <v>7482</v>
      </c>
      <c r="F5084" s="400">
        <v>1350000</v>
      </c>
      <c r="G5084" s="401" t="s">
        <v>3800</v>
      </c>
      <c r="H5084" s="402">
        <v>502.32478640395237</v>
      </c>
      <c r="I5084" s="402"/>
      <c r="J5084" s="400"/>
      <c r="K5084" s="400"/>
      <c r="L5084" s="400"/>
      <c r="M5084" s="400"/>
      <c r="N5084" s="400">
        <f>H5084</f>
        <v>502.32478640395237</v>
      </c>
    </row>
    <row r="5085" spans="1:14" s="360" customFormat="1" hidden="1" outlineLevel="2" x14ac:dyDescent="0.35">
      <c r="A5085" s="403" t="s">
        <v>7471</v>
      </c>
      <c r="B5085" s="397">
        <v>44551</v>
      </c>
      <c r="C5085" s="398" t="s">
        <v>7483</v>
      </c>
      <c r="D5085" s="399" t="s">
        <v>7484</v>
      </c>
      <c r="E5085" s="399" t="s">
        <v>7485</v>
      </c>
      <c r="F5085" s="400">
        <v>150000</v>
      </c>
      <c r="G5085" s="401" t="s">
        <v>3800</v>
      </c>
      <c r="H5085" s="402">
        <v>55.813865155994705</v>
      </c>
      <c r="I5085" s="402"/>
      <c r="J5085" s="400"/>
      <c r="K5085" s="400"/>
      <c r="L5085" s="400"/>
      <c r="M5085" s="400"/>
      <c r="N5085" s="400">
        <f>H5085</f>
        <v>55.813865155994705</v>
      </c>
    </row>
    <row r="5086" spans="1:14" s="360" customFormat="1" outlineLevel="1" collapsed="1" x14ac:dyDescent="0.35">
      <c r="A5086" s="396" t="s">
        <v>7486</v>
      </c>
      <c r="B5086" s="397"/>
      <c r="C5086" s="398"/>
      <c r="D5086" s="399"/>
      <c r="E5086" s="399"/>
      <c r="F5086" s="400"/>
      <c r="G5086" s="401"/>
      <c r="H5086" s="402">
        <f t="shared" ref="H5086:N5086" si="257">SUBTOTAL(9,H5081:H5085)</f>
        <v>6390.6875603613935</v>
      </c>
      <c r="I5086" s="402"/>
      <c r="J5086" s="400">
        <f t="shared" si="257"/>
        <v>0</v>
      </c>
      <c r="K5086" s="400">
        <f t="shared" si="257"/>
        <v>0</v>
      </c>
      <c r="L5086" s="400">
        <f t="shared" si="257"/>
        <v>0</v>
      </c>
      <c r="M5086" s="400">
        <f t="shared" si="257"/>
        <v>0</v>
      </c>
      <c r="N5086" s="400">
        <f t="shared" si="257"/>
        <v>6390.6875603613935</v>
      </c>
    </row>
    <row r="5087" spans="1:14" s="360" customFormat="1" hidden="1" outlineLevel="2" x14ac:dyDescent="0.35">
      <c r="A5087" s="403" t="s">
        <v>7487</v>
      </c>
      <c r="B5087" s="397">
        <v>44286</v>
      </c>
      <c r="C5087" s="398" t="s">
        <v>7488</v>
      </c>
      <c r="D5087" s="399" t="s">
        <v>7489</v>
      </c>
      <c r="E5087" s="399" t="s">
        <v>4251</v>
      </c>
      <c r="F5087" s="400">
        <v>1575000</v>
      </c>
      <c r="G5087" s="401" t="s">
        <v>3800</v>
      </c>
      <c r="H5087" s="402">
        <v>586.04558413794439</v>
      </c>
      <c r="I5087" s="402"/>
      <c r="J5087" s="400"/>
      <c r="K5087" s="400"/>
      <c r="L5087" s="400"/>
      <c r="M5087" s="400"/>
      <c r="N5087" s="400">
        <f>H5087</f>
        <v>586.04558413794439</v>
      </c>
    </row>
    <row r="5088" spans="1:14" s="360" customFormat="1" hidden="1" outlineLevel="2" x14ac:dyDescent="0.35">
      <c r="A5088" s="403" t="s">
        <v>7487</v>
      </c>
      <c r="B5088" s="397">
        <v>44495</v>
      </c>
      <c r="C5088" s="398" t="s">
        <v>7490</v>
      </c>
      <c r="D5088" s="399" t="s">
        <v>7491</v>
      </c>
      <c r="E5088" s="399" t="s">
        <v>7492</v>
      </c>
      <c r="F5088" s="400">
        <v>4050000</v>
      </c>
      <c r="G5088" s="401" t="s">
        <v>3800</v>
      </c>
      <c r="H5088" s="402">
        <v>1506.9743592118571</v>
      </c>
      <c r="I5088" s="402"/>
      <c r="J5088" s="400"/>
      <c r="K5088" s="400"/>
      <c r="L5088" s="400"/>
      <c r="M5088" s="400"/>
      <c r="N5088" s="400">
        <f>H5088</f>
        <v>1506.9743592118571</v>
      </c>
    </row>
    <row r="5089" spans="1:14" s="360" customFormat="1" hidden="1" outlineLevel="2" x14ac:dyDescent="0.35">
      <c r="A5089" s="403" t="s">
        <v>7487</v>
      </c>
      <c r="B5089" s="397">
        <v>44495</v>
      </c>
      <c r="C5089" s="398" t="s">
        <v>7493</v>
      </c>
      <c r="D5089" s="399" t="s">
        <v>7494</v>
      </c>
      <c r="E5089" s="399" t="s">
        <v>4251</v>
      </c>
      <c r="F5089" s="400">
        <v>450000</v>
      </c>
      <c r="G5089" s="401" t="s">
        <v>3800</v>
      </c>
      <c r="H5089" s="402">
        <v>167.44159546798411</v>
      </c>
      <c r="I5089" s="402"/>
      <c r="J5089" s="400"/>
      <c r="K5089" s="400"/>
      <c r="L5089" s="400"/>
      <c r="M5089" s="400"/>
      <c r="N5089" s="400">
        <f>H5089</f>
        <v>167.44159546798411</v>
      </c>
    </row>
    <row r="5090" spans="1:14" s="360" customFormat="1" outlineLevel="1" collapsed="1" x14ac:dyDescent="0.35">
      <c r="A5090" s="396" t="s">
        <v>7495</v>
      </c>
      <c r="B5090" s="397"/>
      <c r="C5090" s="398"/>
      <c r="D5090" s="399"/>
      <c r="E5090" s="399"/>
      <c r="F5090" s="400"/>
      <c r="G5090" s="401"/>
      <c r="H5090" s="402">
        <f t="shared" ref="H5090:N5090" si="258">SUBTOTAL(9,H5087:H5089)</f>
        <v>2260.4615388177854</v>
      </c>
      <c r="I5090" s="402"/>
      <c r="J5090" s="400">
        <f t="shared" si="258"/>
        <v>0</v>
      </c>
      <c r="K5090" s="400">
        <f t="shared" si="258"/>
        <v>0</v>
      </c>
      <c r="L5090" s="400">
        <f t="shared" si="258"/>
        <v>0</v>
      </c>
      <c r="M5090" s="400">
        <f t="shared" si="258"/>
        <v>0</v>
      </c>
      <c r="N5090" s="400">
        <f t="shared" si="258"/>
        <v>2260.4615388177854</v>
      </c>
    </row>
    <row r="5091" spans="1:14" s="360" customFormat="1" hidden="1" outlineLevel="2" x14ac:dyDescent="0.35">
      <c r="A5091" s="403" t="s">
        <v>214</v>
      </c>
      <c r="B5091" s="397">
        <v>43921</v>
      </c>
      <c r="C5091" s="398" t="s">
        <v>1092</v>
      </c>
      <c r="D5091" s="399" t="s">
        <v>3498</v>
      </c>
      <c r="E5091" s="399" t="s">
        <v>1116</v>
      </c>
      <c r="F5091" s="400">
        <v>2612.5500000000002</v>
      </c>
      <c r="G5091" s="401" t="s">
        <v>56</v>
      </c>
      <c r="H5091" s="402">
        <v>2612.5500000000002</v>
      </c>
      <c r="I5091" s="402"/>
      <c r="J5091" s="400">
        <f t="shared" ref="J5091:N5099" si="259">$H5091/5</f>
        <v>522.51</v>
      </c>
      <c r="K5091" s="400">
        <f t="shared" si="259"/>
        <v>522.51</v>
      </c>
      <c r="L5091" s="400">
        <f t="shared" si="259"/>
        <v>522.51</v>
      </c>
      <c r="M5091" s="400">
        <f t="shared" si="259"/>
        <v>522.51</v>
      </c>
      <c r="N5091" s="400">
        <f t="shared" si="259"/>
        <v>522.51</v>
      </c>
    </row>
    <row r="5092" spans="1:14" s="360" customFormat="1" hidden="1" outlineLevel="2" x14ac:dyDescent="0.35">
      <c r="A5092" s="403" t="s">
        <v>214</v>
      </c>
      <c r="B5092" s="397">
        <v>44012</v>
      </c>
      <c r="C5092" s="398" t="s">
        <v>1094</v>
      </c>
      <c r="D5092" s="399" t="s">
        <v>3499</v>
      </c>
      <c r="E5092" s="399" t="s">
        <v>1116</v>
      </c>
      <c r="F5092" s="400">
        <v>2612.5500000000002</v>
      </c>
      <c r="G5092" s="401" t="s">
        <v>56</v>
      </c>
      <c r="H5092" s="402">
        <v>2612.5500000000002</v>
      </c>
      <c r="I5092" s="402"/>
      <c r="J5092" s="400">
        <f t="shared" si="259"/>
        <v>522.51</v>
      </c>
      <c r="K5092" s="400">
        <f t="shared" si="259"/>
        <v>522.51</v>
      </c>
      <c r="L5092" s="400">
        <f t="shared" si="259"/>
        <v>522.51</v>
      </c>
      <c r="M5092" s="400">
        <f t="shared" si="259"/>
        <v>522.51</v>
      </c>
      <c r="N5092" s="400">
        <f t="shared" si="259"/>
        <v>522.51</v>
      </c>
    </row>
    <row r="5093" spans="1:14" s="360" customFormat="1" hidden="1" outlineLevel="2" x14ac:dyDescent="0.35">
      <c r="A5093" s="403" t="s">
        <v>214</v>
      </c>
      <c r="B5093" s="397">
        <v>44104</v>
      </c>
      <c r="C5093" s="398" t="s">
        <v>1096</v>
      </c>
      <c r="D5093" s="399" t="s">
        <v>3500</v>
      </c>
      <c r="E5093" s="399" t="s">
        <v>1116</v>
      </c>
      <c r="F5093" s="400">
        <v>2612.5500000000002</v>
      </c>
      <c r="G5093" s="401" t="s">
        <v>56</v>
      </c>
      <c r="H5093" s="402">
        <v>2612.5500000000002</v>
      </c>
      <c r="I5093" s="402"/>
      <c r="J5093" s="400">
        <f t="shared" si="259"/>
        <v>522.51</v>
      </c>
      <c r="K5093" s="400">
        <f t="shared" si="259"/>
        <v>522.51</v>
      </c>
      <c r="L5093" s="400">
        <f t="shared" si="259"/>
        <v>522.51</v>
      </c>
      <c r="M5093" s="400">
        <f t="shared" si="259"/>
        <v>522.51</v>
      </c>
      <c r="N5093" s="400">
        <f t="shared" si="259"/>
        <v>522.51</v>
      </c>
    </row>
    <row r="5094" spans="1:14" s="360" customFormat="1" hidden="1" outlineLevel="2" x14ac:dyDescent="0.35">
      <c r="A5094" s="403" t="s">
        <v>214</v>
      </c>
      <c r="B5094" s="397">
        <v>44196</v>
      </c>
      <c r="C5094" s="398" t="s">
        <v>1099</v>
      </c>
      <c r="D5094" s="399" t="s">
        <v>3501</v>
      </c>
      <c r="E5094" s="399" t="s">
        <v>1116</v>
      </c>
      <c r="F5094" s="400">
        <v>2612.5500000000002</v>
      </c>
      <c r="G5094" s="401" t="s">
        <v>56</v>
      </c>
      <c r="H5094" s="402">
        <v>2612.5500000000002</v>
      </c>
      <c r="I5094" s="402"/>
      <c r="J5094" s="400">
        <f t="shared" si="259"/>
        <v>522.51</v>
      </c>
      <c r="K5094" s="400">
        <f t="shared" si="259"/>
        <v>522.51</v>
      </c>
      <c r="L5094" s="400">
        <f t="shared" si="259"/>
        <v>522.51</v>
      </c>
      <c r="M5094" s="400">
        <f t="shared" si="259"/>
        <v>522.51</v>
      </c>
      <c r="N5094" s="400">
        <f t="shared" si="259"/>
        <v>522.51</v>
      </c>
    </row>
    <row r="5095" spans="1:14" s="360" customFormat="1" hidden="1" outlineLevel="2" x14ac:dyDescent="0.35">
      <c r="A5095" s="403" t="s">
        <v>214</v>
      </c>
      <c r="B5095" s="397">
        <v>44286</v>
      </c>
      <c r="C5095" s="398" t="s">
        <v>1101</v>
      </c>
      <c r="D5095" s="399" t="s">
        <v>7496</v>
      </c>
      <c r="E5095" s="399" t="s">
        <v>1116</v>
      </c>
      <c r="F5095" s="400">
        <v>2612.5500000000002</v>
      </c>
      <c r="G5095" s="401" t="s">
        <v>56</v>
      </c>
      <c r="H5095" s="402">
        <v>2612.5500000000002</v>
      </c>
      <c r="I5095" s="402"/>
      <c r="J5095" s="400">
        <f t="shared" si="259"/>
        <v>522.51</v>
      </c>
      <c r="K5095" s="400">
        <f t="shared" si="259"/>
        <v>522.51</v>
      </c>
      <c r="L5095" s="400">
        <f t="shared" si="259"/>
        <v>522.51</v>
      </c>
      <c r="M5095" s="400">
        <f t="shared" si="259"/>
        <v>522.51</v>
      </c>
      <c r="N5095" s="400">
        <f t="shared" si="259"/>
        <v>522.51</v>
      </c>
    </row>
    <row r="5096" spans="1:14" s="360" customFormat="1" hidden="1" outlineLevel="2" x14ac:dyDescent="0.35">
      <c r="A5096" s="403" t="s">
        <v>214</v>
      </c>
      <c r="B5096" s="397">
        <v>44377</v>
      </c>
      <c r="C5096" s="398" t="s">
        <v>1103</v>
      </c>
      <c r="D5096" s="399" t="s">
        <v>7497</v>
      </c>
      <c r="E5096" s="399" t="s">
        <v>1116</v>
      </c>
      <c r="F5096" s="400">
        <v>2612.5500000000002</v>
      </c>
      <c r="G5096" s="401" t="s">
        <v>56</v>
      </c>
      <c r="H5096" s="402">
        <v>2612.5500000000002</v>
      </c>
      <c r="I5096" s="402"/>
      <c r="J5096" s="400">
        <f t="shared" si="259"/>
        <v>522.51</v>
      </c>
      <c r="K5096" s="400">
        <f t="shared" si="259"/>
        <v>522.51</v>
      </c>
      <c r="L5096" s="400">
        <f t="shared" si="259"/>
        <v>522.51</v>
      </c>
      <c r="M5096" s="400">
        <f t="shared" si="259"/>
        <v>522.51</v>
      </c>
      <c r="N5096" s="400">
        <f t="shared" si="259"/>
        <v>522.51</v>
      </c>
    </row>
    <row r="5097" spans="1:14" s="360" customFormat="1" hidden="1" outlineLevel="2" x14ac:dyDescent="0.35">
      <c r="A5097" s="403" t="s">
        <v>214</v>
      </c>
      <c r="B5097" s="397">
        <v>44469</v>
      </c>
      <c r="C5097" s="398" t="s">
        <v>7498</v>
      </c>
      <c r="D5097" s="399" t="s">
        <v>7499</v>
      </c>
      <c r="E5097" s="399" t="s">
        <v>1116</v>
      </c>
      <c r="F5097" s="400">
        <v>2210.62</v>
      </c>
      <c r="G5097" s="401" t="s">
        <v>56</v>
      </c>
      <c r="H5097" s="402">
        <v>2210.62</v>
      </c>
      <c r="I5097" s="402"/>
      <c r="J5097" s="400">
        <f t="shared" si="259"/>
        <v>442.12399999999997</v>
      </c>
      <c r="K5097" s="400">
        <f t="shared" si="259"/>
        <v>442.12399999999997</v>
      </c>
      <c r="L5097" s="400">
        <f t="shared" si="259"/>
        <v>442.12399999999997</v>
      </c>
      <c r="M5097" s="400">
        <f t="shared" si="259"/>
        <v>442.12399999999997</v>
      </c>
      <c r="N5097" s="400">
        <f t="shared" si="259"/>
        <v>442.12399999999997</v>
      </c>
    </row>
    <row r="5098" spans="1:14" s="360" customFormat="1" hidden="1" outlineLevel="2" x14ac:dyDescent="0.35">
      <c r="A5098" s="403" t="s">
        <v>214</v>
      </c>
      <c r="B5098" s="397">
        <v>44561</v>
      </c>
      <c r="C5098" s="398" t="s">
        <v>7500</v>
      </c>
      <c r="D5098" s="399" t="s">
        <v>7501</v>
      </c>
      <c r="E5098" s="399" t="s">
        <v>1116</v>
      </c>
      <c r="F5098" s="400">
        <v>1105.31</v>
      </c>
      <c r="G5098" s="401" t="s">
        <v>56</v>
      </c>
      <c r="H5098" s="402">
        <v>1105.31</v>
      </c>
      <c r="I5098" s="402"/>
      <c r="J5098" s="400">
        <f t="shared" si="259"/>
        <v>221.06199999999998</v>
      </c>
      <c r="K5098" s="400">
        <f t="shared" si="259"/>
        <v>221.06199999999998</v>
      </c>
      <c r="L5098" s="400">
        <f t="shared" si="259"/>
        <v>221.06199999999998</v>
      </c>
      <c r="M5098" s="400">
        <f t="shared" si="259"/>
        <v>221.06199999999998</v>
      </c>
      <c r="N5098" s="400">
        <f t="shared" si="259"/>
        <v>221.06199999999998</v>
      </c>
    </row>
    <row r="5099" spans="1:14" s="360" customFormat="1" hidden="1" outlineLevel="2" x14ac:dyDescent="0.35">
      <c r="A5099" s="403" t="s">
        <v>214</v>
      </c>
      <c r="B5099" s="397">
        <v>44561</v>
      </c>
      <c r="C5099" s="398" t="s">
        <v>7502</v>
      </c>
      <c r="D5099" s="399" t="s">
        <v>7503</v>
      </c>
      <c r="E5099" s="399" t="s">
        <v>1116</v>
      </c>
      <c r="F5099" s="400">
        <v>1105.31</v>
      </c>
      <c r="G5099" s="401" t="s">
        <v>56</v>
      </c>
      <c r="H5099" s="402">
        <v>1105.31</v>
      </c>
      <c r="I5099" s="402"/>
      <c r="J5099" s="400">
        <f t="shared" si="259"/>
        <v>221.06199999999998</v>
      </c>
      <c r="K5099" s="400">
        <f t="shared" si="259"/>
        <v>221.06199999999998</v>
      </c>
      <c r="L5099" s="400">
        <f t="shared" si="259"/>
        <v>221.06199999999998</v>
      </c>
      <c r="M5099" s="400">
        <f t="shared" si="259"/>
        <v>221.06199999999998</v>
      </c>
      <c r="N5099" s="400">
        <f t="shared" si="259"/>
        <v>221.06199999999998</v>
      </c>
    </row>
    <row r="5100" spans="1:14" s="360" customFormat="1" outlineLevel="1" collapsed="1" x14ac:dyDescent="0.35">
      <c r="A5100" s="396" t="s">
        <v>3510</v>
      </c>
      <c r="B5100" s="397"/>
      <c r="C5100" s="398"/>
      <c r="D5100" s="399"/>
      <c r="E5100" s="399"/>
      <c r="F5100" s="400"/>
      <c r="G5100" s="401"/>
      <c r="H5100" s="402">
        <f t="shared" ref="H5100:N5100" si="260">SUBTOTAL(9,H5091:H5099)</f>
        <v>20096.54</v>
      </c>
      <c r="I5100" s="402"/>
      <c r="J5100" s="400">
        <f t="shared" si="260"/>
        <v>4019.308</v>
      </c>
      <c r="K5100" s="400">
        <f t="shared" si="260"/>
        <v>4019.308</v>
      </c>
      <c r="L5100" s="400">
        <f t="shared" si="260"/>
        <v>4019.308</v>
      </c>
      <c r="M5100" s="400">
        <f t="shared" si="260"/>
        <v>4019.308</v>
      </c>
      <c r="N5100" s="400">
        <f t="shared" si="260"/>
        <v>4019.308</v>
      </c>
    </row>
    <row r="5101" spans="1:14" s="360" customFormat="1" hidden="1" outlineLevel="2" x14ac:dyDescent="0.35">
      <c r="A5101" s="403" t="s">
        <v>7504</v>
      </c>
      <c r="B5101" s="397">
        <v>44298</v>
      </c>
      <c r="C5101" s="398" t="s">
        <v>6745</v>
      </c>
      <c r="D5101" s="399" t="s">
        <v>7505</v>
      </c>
      <c r="E5101" s="399" t="s">
        <v>7506</v>
      </c>
      <c r="F5101" s="400">
        <v>100000</v>
      </c>
      <c r="G5101" s="401" t="s">
        <v>3800</v>
      </c>
      <c r="H5101" s="402">
        <v>37.209243437329803</v>
      </c>
      <c r="I5101" s="402"/>
      <c r="J5101" s="400"/>
      <c r="K5101" s="400"/>
      <c r="L5101" s="400"/>
      <c r="M5101" s="400"/>
      <c r="N5101" s="400">
        <f t="shared" ref="N5101:N5154" si="261">H5101</f>
        <v>37.209243437329803</v>
      </c>
    </row>
    <row r="5102" spans="1:14" s="360" customFormat="1" hidden="1" outlineLevel="2" x14ac:dyDescent="0.35">
      <c r="A5102" s="403" t="s">
        <v>7504</v>
      </c>
      <c r="B5102" s="397">
        <v>44316</v>
      </c>
      <c r="C5102" s="398" t="s">
        <v>7507</v>
      </c>
      <c r="D5102" s="399" t="s">
        <v>7508</v>
      </c>
      <c r="E5102" s="399" t="s">
        <v>7509</v>
      </c>
      <c r="F5102" s="400">
        <v>100000</v>
      </c>
      <c r="G5102" s="401" t="s">
        <v>3800</v>
      </c>
      <c r="H5102" s="402">
        <v>37.209243437329803</v>
      </c>
      <c r="I5102" s="402"/>
      <c r="J5102" s="400"/>
      <c r="K5102" s="400"/>
      <c r="L5102" s="400"/>
      <c r="M5102" s="400"/>
      <c r="N5102" s="400">
        <f t="shared" si="261"/>
        <v>37.209243437329803</v>
      </c>
    </row>
    <row r="5103" spans="1:14" s="360" customFormat="1" hidden="1" outlineLevel="2" x14ac:dyDescent="0.35">
      <c r="A5103" s="403" t="s">
        <v>7504</v>
      </c>
      <c r="B5103" s="397">
        <v>44347</v>
      </c>
      <c r="C5103" s="398" t="s">
        <v>7510</v>
      </c>
      <c r="D5103" s="399" t="s">
        <v>7511</v>
      </c>
      <c r="E5103" s="399" t="s">
        <v>7509</v>
      </c>
      <c r="F5103" s="400">
        <v>100000</v>
      </c>
      <c r="G5103" s="401" t="s">
        <v>3800</v>
      </c>
      <c r="H5103" s="402">
        <v>37.209243437329803</v>
      </c>
      <c r="I5103" s="402"/>
      <c r="J5103" s="400"/>
      <c r="K5103" s="400"/>
      <c r="L5103" s="400"/>
      <c r="M5103" s="400"/>
      <c r="N5103" s="400">
        <f t="shared" si="261"/>
        <v>37.209243437329803</v>
      </c>
    </row>
    <row r="5104" spans="1:14" s="360" customFormat="1" hidden="1" outlineLevel="2" x14ac:dyDescent="0.35">
      <c r="A5104" s="403" t="s">
        <v>7504</v>
      </c>
      <c r="B5104" s="397">
        <v>44377</v>
      </c>
      <c r="C5104" s="398" t="s">
        <v>7512</v>
      </c>
      <c r="D5104" s="399" t="s">
        <v>7513</v>
      </c>
      <c r="E5104" s="399" t="s">
        <v>7514</v>
      </c>
      <c r="F5104" s="400">
        <v>100000</v>
      </c>
      <c r="G5104" s="401" t="s">
        <v>3800</v>
      </c>
      <c r="H5104" s="402">
        <v>37.209243437329803</v>
      </c>
      <c r="I5104" s="402"/>
      <c r="J5104" s="400"/>
      <c r="K5104" s="400"/>
      <c r="L5104" s="400"/>
      <c r="M5104" s="400"/>
      <c r="N5104" s="400">
        <f t="shared" si="261"/>
        <v>37.209243437329803</v>
      </c>
    </row>
    <row r="5105" spans="1:14" s="360" customFormat="1" hidden="1" outlineLevel="2" x14ac:dyDescent="0.35">
      <c r="A5105" s="403" t="s">
        <v>7504</v>
      </c>
      <c r="B5105" s="397">
        <v>44298</v>
      </c>
      <c r="C5105" s="398" t="s">
        <v>6745</v>
      </c>
      <c r="D5105" s="399" t="s">
        <v>7515</v>
      </c>
      <c r="E5105" s="399" t="s">
        <v>7509</v>
      </c>
      <c r="F5105" s="400">
        <v>150000</v>
      </c>
      <c r="G5105" s="401" t="s">
        <v>3800</v>
      </c>
      <c r="H5105" s="402">
        <v>55.813865155994705</v>
      </c>
      <c r="I5105" s="402"/>
      <c r="J5105" s="400"/>
      <c r="K5105" s="400"/>
      <c r="L5105" s="400"/>
      <c r="M5105" s="400"/>
      <c r="N5105" s="400">
        <f t="shared" si="261"/>
        <v>55.813865155994705</v>
      </c>
    </row>
    <row r="5106" spans="1:14" s="360" customFormat="1" hidden="1" outlineLevel="2" collapsed="1" x14ac:dyDescent="0.35">
      <c r="A5106" s="403" t="s">
        <v>7504</v>
      </c>
      <c r="B5106" s="397">
        <v>44298</v>
      </c>
      <c r="C5106" s="398" t="s">
        <v>6745</v>
      </c>
      <c r="D5106" s="399" t="s">
        <v>7515</v>
      </c>
      <c r="E5106" s="399" t="s">
        <v>7514</v>
      </c>
      <c r="F5106" s="400">
        <v>150000</v>
      </c>
      <c r="G5106" s="401" t="s">
        <v>3800</v>
      </c>
      <c r="H5106" s="402">
        <v>55.813865155994705</v>
      </c>
      <c r="I5106" s="402"/>
      <c r="J5106" s="400"/>
      <c r="K5106" s="400"/>
      <c r="L5106" s="400"/>
      <c r="M5106" s="400"/>
      <c r="N5106" s="400">
        <f t="shared" si="261"/>
        <v>55.813865155994705</v>
      </c>
    </row>
    <row r="5107" spans="1:14" s="360" customFormat="1" hidden="1" outlineLevel="2" x14ac:dyDescent="0.35">
      <c r="A5107" s="403" t="s">
        <v>7504</v>
      </c>
      <c r="B5107" s="397">
        <v>44308</v>
      </c>
      <c r="C5107" s="398" t="s">
        <v>7507</v>
      </c>
      <c r="D5107" s="399" t="s">
        <v>7508</v>
      </c>
      <c r="E5107" s="399" t="s">
        <v>7514</v>
      </c>
      <c r="F5107" s="400">
        <v>100000</v>
      </c>
      <c r="G5107" s="401" t="s">
        <v>3800</v>
      </c>
      <c r="H5107" s="402">
        <v>37.209243437329803</v>
      </c>
      <c r="I5107" s="402"/>
      <c r="J5107" s="400"/>
      <c r="K5107" s="400"/>
      <c r="L5107" s="400"/>
      <c r="M5107" s="400"/>
      <c r="N5107" s="400">
        <f t="shared" si="261"/>
        <v>37.209243437329803</v>
      </c>
    </row>
    <row r="5108" spans="1:14" s="360" customFormat="1" hidden="1" outlineLevel="2" x14ac:dyDescent="0.35">
      <c r="A5108" s="403" t="s">
        <v>7504</v>
      </c>
      <c r="B5108" s="397">
        <v>44308</v>
      </c>
      <c r="C5108" s="398" t="s">
        <v>7507</v>
      </c>
      <c r="D5108" s="399" t="s">
        <v>7508</v>
      </c>
      <c r="E5108" s="399" t="s">
        <v>7506</v>
      </c>
      <c r="F5108" s="400">
        <v>100000</v>
      </c>
      <c r="G5108" s="401" t="s">
        <v>3800</v>
      </c>
      <c r="H5108" s="402">
        <v>37.209243437329803</v>
      </c>
      <c r="I5108" s="402"/>
      <c r="J5108" s="400"/>
      <c r="K5108" s="400"/>
      <c r="L5108" s="400"/>
      <c r="M5108" s="400"/>
      <c r="N5108" s="400">
        <f t="shared" si="261"/>
        <v>37.209243437329803</v>
      </c>
    </row>
    <row r="5109" spans="1:14" s="360" customFormat="1" hidden="1" outlineLevel="2" collapsed="1" x14ac:dyDescent="0.35">
      <c r="A5109" s="403" t="s">
        <v>7504</v>
      </c>
      <c r="B5109" s="397">
        <v>44712</v>
      </c>
      <c r="C5109" s="398" t="s">
        <v>7510</v>
      </c>
      <c r="D5109" s="399" t="s">
        <v>7511</v>
      </c>
      <c r="E5109" s="399" t="s">
        <v>7514</v>
      </c>
      <c r="F5109" s="400">
        <v>100000</v>
      </c>
      <c r="G5109" s="401" t="s">
        <v>3800</v>
      </c>
      <c r="H5109" s="402">
        <v>37.209243437329803</v>
      </c>
      <c r="I5109" s="402"/>
      <c r="J5109" s="400"/>
      <c r="K5109" s="400"/>
      <c r="L5109" s="400"/>
      <c r="M5109" s="400"/>
      <c r="N5109" s="400">
        <f t="shared" si="261"/>
        <v>37.209243437329803</v>
      </c>
    </row>
    <row r="5110" spans="1:14" s="360" customFormat="1" hidden="1" outlineLevel="2" x14ac:dyDescent="0.35">
      <c r="A5110" s="403" t="s">
        <v>7504</v>
      </c>
      <c r="B5110" s="397">
        <v>44347</v>
      </c>
      <c r="C5110" s="398" t="s">
        <v>7510</v>
      </c>
      <c r="D5110" s="399" t="s">
        <v>7516</v>
      </c>
      <c r="E5110" s="399" t="s">
        <v>7506</v>
      </c>
      <c r="F5110" s="400">
        <v>100000</v>
      </c>
      <c r="G5110" s="401" t="s">
        <v>3800</v>
      </c>
      <c r="H5110" s="402">
        <v>37.209243437329803</v>
      </c>
      <c r="I5110" s="402"/>
      <c r="J5110" s="400"/>
      <c r="K5110" s="400"/>
      <c r="L5110" s="400"/>
      <c r="M5110" s="400"/>
      <c r="N5110" s="400">
        <f t="shared" si="261"/>
        <v>37.209243437329803</v>
      </c>
    </row>
    <row r="5111" spans="1:14" s="360" customFormat="1" hidden="1" outlineLevel="2" x14ac:dyDescent="0.35">
      <c r="A5111" s="403" t="s">
        <v>7504</v>
      </c>
      <c r="B5111" s="397">
        <v>44377</v>
      </c>
      <c r="C5111" s="398" t="s">
        <v>7512</v>
      </c>
      <c r="D5111" s="399" t="s">
        <v>7513</v>
      </c>
      <c r="E5111" s="399" t="s">
        <v>7509</v>
      </c>
      <c r="F5111" s="400">
        <v>100000</v>
      </c>
      <c r="G5111" s="401" t="s">
        <v>3800</v>
      </c>
      <c r="H5111" s="402">
        <v>37.209243437329803</v>
      </c>
      <c r="I5111" s="402"/>
      <c r="J5111" s="400"/>
      <c r="K5111" s="400"/>
      <c r="L5111" s="400"/>
      <c r="M5111" s="400"/>
      <c r="N5111" s="400">
        <f t="shared" si="261"/>
        <v>37.209243437329803</v>
      </c>
    </row>
    <row r="5112" spans="1:14" s="360" customFormat="1" hidden="1" outlineLevel="2" x14ac:dyDescent="0.35">
      <c r="A5112" s="403" t="s">
        <v>7504</v>
      </c>
      <c r="B5112" s="397">
        <v>44377</v>
      </c>
      <c r="C5112" s="398" t="s">
        <v>7512</v>
      </c>
      <c r="D5112" s="399" t="s">
        <v>7517</v>
      </c>
      <c r="E5112" s="399" t="s">
        <v>7506</v>
      </c>
      <c r="F5112" s="400">
        <v>100000</v>
      </c>
      <c r="G5112" s="401" t="s">
        <v>3800</v>
      </c>
      <c r="H5112" s="402">
        <v>37.209243437329803</v>
      </c>
      <c r="I5112" s="402"/>
      <c r="J5112" s="400"/>
      <c r="K5112" s="400"/>
      <c r="L5112" s="400"/>
      <c r="M5112" s="400"/>
      <c r="N5112" s="400">
        <f t="shared" si="261"/>
        <v>37.209243437329803</v>
      </c>
    </row>
    <row r="5113" spans="1:14" s="360" customFormat="1" hidden="1" outlineLevel="2" x14ac:dyDescent="0.35">
      <c r="A5113" s="403" t="s">
        <v>7504</v>
      </c>
      <c r="B5113" s="397">
        <v>44411</v>
      </c>
      <c r="C5113" s="398" t="s">
        <v>7518</v>
      </c>
      <c r="D5113" s="399" t="s">
        <v>7519</v>
      </c>
      <c r="E5113" s="399" t="s">
        <v>7520</v>
      </c>
      <c r="F5113" s="400">
        <v>300000</v>
      </c>
      <c r="G5113" s="401" t="s">
        <v>3800</v>
      </c>
      <c r="H5113" s="402">
        <v>111.62773031198941</v>
      </c>
      <c r="I5113" s="402"/>
      <c r="J5113" s="400"/>
      <c r="K5113" s="400"/>
      <c r="L5113" s="400"/>
      <c r="M5113" s="400"/>
      <c r="N5113" s="400">
        <f t="shared" si="261"/>
        <v>111.62773031198941</v>
      </c>
    </row>
    <row r="5114" spans="1:14" s="360" customFormat="1" hidden="1" outlineLevel="2" x14ac:dyDescent="0.35">
      <c r="A5114" s="403" t="s">
        <v>7504</v>
      </c>
      <c r="B5114" s="397">
        <v>44433</v>
      </c>
      <c r="C5114" s="398" t="s">
        <v>7521</v>
      </c>
      <c r="D5114" s="399" t="s">
        <v>7522</v>
      </c>
      <c r="E5114" s="399" t="s">
        <v>7520</v>
      </c>
      <c r="F5114" s="400">
        <v>300000</v>
      </c>
      <c r="G5114" s="401" t="s">
        <v>3800</v>
      </c>
      <c r="H5114" s="402">
        <v>111.62773031198941</v>
      </c>
      <c r="I5114" s="402"/>
      <c r="J5114" s="400"/>
      <c r="K5114" s="400"/>
      <c r="L5114" s="400"/>
      <c r="M5114" s="400"/>
      <c r="N5114" s="400">
        <f t="shared" si="261"/>
        <v>111.62773031198941</v>
      </c>
    </row>
    <row r="5115" spans="1:14" s="360" customFormat="1" hidden="1" outlineLevel="2" x14ac:dyDescent="0.35">
      <c r="A5115" s="403" t="s">
        <v>7504</v>
      </c>
      <c r="B5115" s="397">
        <v>44467</v>
      </c>
      <c r="C5115" s="398" t="s">
        <v>7523</v>
      </c>
      <c r="D5115" s="399" t="s">
        <v>7524</v>
      </c>
      <c r="E5115" s="399" t="s">
        <v>7520</v>
      </c>
      <c r="F5115" s="400">
        <v>300000</v>
      </c>
      <c r="G5115" s="401" t="s">
        <v>3800</v>
      </c>
      <c r="H5115" s="402">
        <v>111.62773031198941</v>
      </c>
      <c r="I5115" s="402"/>
      <c r="J5115" s="400"/>
      <c r="K5115" s="400"/>
      <c r="L5115" s="400"/>
      <c r="M5115" s="400"/>
      <c r="N5115" s="400">
        <f t="shared" si="261"/>
        <v>111.62773031198941</v>
      </c>
    </row>
    <row r="5116" spans="1:14" s="360" customFormat="1" hidden="1" outlineLevel="2" x14ac:dyDescent="0.35">
      <c r="A5116" s="403" t="s">
        <v>7525</v>
      </c>
      <c r="B5116" s="397">
        <v>44497</v>
      </c>
      <c r="C5116" s="398" t="s">
        <v>4574</v>
      </c>
      <c r="D5116" s="399" t="s">
        <v>4575</v>
      </c>
      <c r="E5116" s="399" t="s">
        <v>7526</v>
      </c>
      <c r="F5116" s="400">
        <v>297297.3</v>
      </c>
      <c r="G5116" s="401" t="s">
        <v>3800</v>
      </c>
      <c r="H5116" s="402">
        <v>110.6220760896087</v>
      </c>
      <c r="I5116" s="402"/>
      <c r="J5116" s="400"/>
      <c r="K5116" s="400"/>
      <c r="L5116" s="400"/>
      <c r="M5116" s="400"/>
      <c r="N5116" s="400">
        <f t="shared" si="261"/>
        <v>110.6220760896087</v>
      </c>
    </row>
    <row r="5117" spans="1:14" s="360" customFormat="1" hidden="1" outlineLevel="2" x14ac:dyDescent="0.35">
      <c r="A5117" s="403" t="s">
        <v>7525</v>
      </c>
      <c r="B5117" s="397">
        <v>44497</v>
      </c>
      <c r="C5117" s="398" t="s">
        <v>4576</v>
      </c>
      <c r="D5117" s="399" t="s">
        <v>4604</v>
      </c>
      <c r="E5117" s="399" t="s">
        <v>4272</v>
      </c>
      <c r="F5117" s="400">
        <v>29729.73</v>
      </c>
      <c r="G5117" s="401" t="s">
        <v>3800</v>
      </c>
      <c r="H5117" s="402">
        <v>11.06220760896087</v>
      </c>
      <c r="I5117" s="402"/>
      <c r="J5117" s="400"/>
      <c r="K5117" s="400"/>
      <c r="L5117" s="400"/>
      <c r="M5117" s="400"/>
      <c r="N5117" s="400">
        <f t="shared" si="261"/>
        <v>11.06220760896087</v>
      </c>
    </row>
    <row r="5118" spans="1:14" s="360" customFormat="1" hidden="1" outlineLevel="2" x14ac:dyDescent="0.35">
      <c r="A5118" s="403" t="s">
        <v>7525</v>
      </c>
      <c r="B5118" s="397">
        <v>44497</v>
      </c>
      <c r="C5118" s="398" t="s">
        <v>4578</v>
      </c>
      <c r="D5118" s="399" t="s">
        <v>4605</v>
      </c>
      <c r="E5118" s="399" t="s">
        <v>4042</v>
      </c>
      <c r="F5118" s="400">
        <v>1783.7837999999999</v>
      </c>
      <c r="G5118" s="401" t="s">
        <v>3800</v>
      </c>
      <c r="H5118" s="402">
        <v>0.66373245653765223</v>
      </c>
      <c r="I5118" s="402"/>
      <c r="J5118" s="400"/>
      <c r="K5118" s="400"/>
      <c r="L5118" s="400"/>
      <c r="M5118" s="400"/>
      <c r="N5118" s="400">
        <f t="shared" si="261"/>
        <v>0.66373245653765223</v>
      </c>
    </row>
    <row r="5119" spans="1:14" s="360" customFormat="1" hidden="1" outlineLevel="2" collapsed="1" x14ac:dyDescent="0.35">
      <c r="A5119" s="403" t="s">
        <v>7525</v>
      </c>
      <c r="B5119" s="397">
        <v>44497</v>
      </c>
      <c r="C5119" s="398" t="s">
        <v>4574</v>
      </c>
      <c r="D5119" s="399" t="s">
        <v>4575</v>
      </c>
      <c r="E5119" s="399" t="s">
        <v>7527</v>
      </c>
      <c r="F5119" s="400">
        <v>297297.3</v>
      </c>
      <c r="G5119" s="401" t="s">
        <v>3800</v>
      </c>
      <c r="H5119" s="402">
        <v>110.6220760896087</v>
      </c>
      <c r="I5119" s="402"/>
      <c r="J5119" s="400"/>
      <c r="K5119" s="400"/>
      <c r="L5119" s="400"/>
      <c r="M5119" s="400"/>
      <c r="N5119" s="400">
        <f t="shared" si="261"/>
        <v>110.6220760896087</v>
      </c>
    </row>
    <row r="5120" spans="1:14" s="360" customFormat="1" hidden="1" outlineLevel="2" x14ac:dyDescent="0.35">
      <c r="A5120" s="403" t="s">
        <v>7525</v>
      </c>
      <c r="B5120" s="397">
        <v>44497</v>
      </c>
      <c r="C5120" s="398" t="s">
        <v>4576</v>
      </c>
      <c r="D5120" s="399" t="s">
        <v>4604</v>
      </c>
      <c r="E5120" s="399" t="s">
        <v>4272</v>
      </c>
      <c r="F5120" s="400">
        <v>29729.73</v>
      </c>
      <c r="G5120" s="401" t="s">
        <v>3800</v>
      </c>
      <c r="H5120" s="402">
        <v>11.06220760896087</v>
      </c>
      <c r="I5120" s="402"/>
      <c r="J5120" s="400"/>
      <c r="K5120" s="400"/>
      <c r="L5120" s="400"/>
      <c r="M5120" s="400"/>
      <c r="N5120" s="400">
        <f t="shared" si="261"/>
        <v>11.06220760896087</v>
      </c>
    </row>
    <row r="5121" spans="1:14" s="360" customFormat="1" hidden="1" outlineLevel="2" x14ac:dyDescent="0.35">
      <c r="A5121" s="403" t="s">
        <v>7525</v>
      </c>
      <c r="B5121" s="397">
        <v>44497</v>
      </c>
      <c r="C5121" s="398" t="s">
        <v>4578</v>
      </c>
      <c r="D5121" s="399" t="s">
        <v>4605</v>
      </c>
      <c r="E5121" s="399" t="s">
        <v>4042</v>
      </c>
      <c r="F5121" s="400">
        <v>1783.7837999999999</v>
      </c>
      <c r="G5121" s="401" t="s">
        <v>3800</v>
      </c>
      <c r="H5121" s="402">
        <v>0.66373245653765223</v>
      </c>
      <c r="I5121" s="402"/>
      <c r="J5121" s="400"/>
      <c r="K5121" s="400"/>
      <c r="L5121" s="400"/>
      <c r="M5121" s="400"/>
      <c r="N5121" s="400">
        <f t="shared" si="261"/>
        <v>0.66373245653765223</v>
      </c>
    </row>
    <row r="5122" spans="1:14" s="360" customFormat="1" hidden="1" outlineLevel="2" x14ac:dyDescent="0.35">
      <c r="A5122" s="403" t="s">
        <v>7525</v>
      </c>
      <c r="B5122" s="397">
        <v>44497</v>
      </c>
      <c r="C5122" s="398" t="s">
        <v>4574</v>
      </c>
      <c r="D5122" s="399" t="s">
        <v>4575</v>
      </c>
      <c r="E5122" s="399" t="s">
        <v>7528</v>
      </c>
      <c r="F5122" s="400">
        <v>257657.66</v>
      </c>
      <c r="G5122" s="401" t="s">
        <v>3800</v>
      </c>
      <c r="H5122" s="402">
        <v>95.872465944327544</v>
      </c>
      <c r="I5122" s="402"/>
      <c r="J5122" s="400"/>
      <c r="K5122" s="400"/>
      <c r="L5122" s="400"/>
      <c r="M5122" s="400"/>
      <c r="N5122" s="400">
        <f t="shared" si="261"/>
        <v>95.872465944327544</v>
      </c>
    </row>
    <row r="5123" spans="1:14" s="360" customFormat="1" hidden="1" outlineLevel="2" x14ac:dyDescent="0.35">
      <c r="A5123" s="403" t="s">
        <v>7525</v>
      </c>
      <c r="B5123" s="397">
        <v>44497</v>
      </c>
      <c r="C5123" s="398" t="s">
        <v>4576</v>
      </c>
      <c r="D5123" s="399" t="s">
        <v>4604</v>
      </c>
      <c r="E5123" s="399" t="s">
        <v>4272</v>
      </c>
      <c r="F5123" s="400">
        <v>25765.766000000003</v>
      </c>
      <c r="G5123" s="401" t="s">
        <v>3800</v>
      </c>
      <c r="H5123" s="402">
        <v>9.5872465944327558</v>
      </c>
      <c r="I5123" s="402"/>
      <c r="J5123" s="400"/>
      <c r="K5123" s="400"/>
      <c r="L5123" s="400"/>
      <c r="M5123" s="400"/>
      <c r="N5123" s="400">
        <f t="shared" si="261"/>
        <v>9.5872465944327558</v>
      </c>
    </row>
    <row r="5124" spans="1:14" s="360" customFormat="1" hidden="1" outlineLevel="2" x14ac:dyDescent="0.35">
      <c r="A5124" s="403" t="s">
        <v>7525</v>
      </c>
      <c r="B5124" s="397">
        <v>44497</v>
      </c>
      <c r="C5124" s="398" t="s">
        <v>4578</v>
      </c>
      <c r="D5124" s="399" t="s">
        <v>4605</v>
      </c>
      <c r="E5124" s="399" t="s">
        <v>4042</v>
      </c>
      <c r="F5124" s="400">
        <v>1545.94596</v>
      </c>
      <c r="G5124" s="401" t="s">
        <v>3800</v>
      </c>
      <c r="H5124" s="402">
        <v>0.57523479566596525</v>
      </c>
      <c r="I5124" s="402"/>
      <c r="J5124" s="400"/>
      <c r="K5124" s="400"/>
      <c r="L5124" s="400"/>
      <c r="M5124" s="400"/>
      <c r="N5124" s="400">
        <f t="shared" si="261"/>
        <v>0.57523479566596525</v>
      </c>
    </row>
    <row r="5125" spans="1:14" s="360" customFormat="1" hidden="1" outlineLevel="2" x14ac:dyDescent="0.35">
      <c r="A5125" s="403" t="s">
        <v>7504</v>
      </c>
      <c r="B5125" s="397">
        <v>44497</v>
      </c>
      <c r="C5125" s="398" t="s">
        <v>4574</v>
      </c>
      <c r="D5125" s="399" t="s">
        <v>4575</v>
      </c>
      <c r="E5125" s="399" t="s">
        <v>7529</v>
      </c>
      <c r="F5125" s="400">
        <v>257657.66</v>
      </c>
      <c r="G5125" s="401" t="s">
        <v>3800</v>
      </c>
      <c r="H5125" s="402">
        <v>95.872465944327544</v>
      </c>
      <c r="I5125" s="402"/>
      <c r="J5125" s="400"/>
      <c r="K5125" s="400"/>
      <c r="L5125" s="400"/>
      <c r="M5125" s="400"/>
      <c r="N5125" s="400">
        <f t="shared" si="261"/>
        <v>95.872465944327544</v>
      </c>
    </row>
    <row r="5126" spans="1:14" s="360" customFormat="1" hidden="1" outlineLevel="2" x14ac:dyDescent="0.35">
      <c r="A5126" s="403" t="s">
        <v>7504</v>
      </c>
      <c r="B5126" s="397">
        <v>44497</v>
      </c>
      <c r="C5126" s="398" t="s">
        <v>4576</v>
      </c>
      <c r="D5126" s="399" t="s">
        <v>4604</v>
      </c>
      <c r="E5126" s="399" t="s">
        <v>4272</v>
      </c>
      <c r="F5126" s="400">
        <v>25765.766000000003</v>
      </c>
      <c r="G5126" s="401" t="s">
        <v>3800</v>
      </c>
      <c r="H5126" s="402">
        <v>9.5872465944327558</v>
      </c>
      <c r="I5126" s="402"/>
      <c r="J5126" s="400"/>
      <c r="K5126" s="400"/>
      <c r="L5126" s="400"/>
      <c r="M5126" s="400"/>
      <c r="N5126" s="400">
        <f t="shared" si="261"/>
        <v>9.5872465944327558</v>
      </c>
    </row>
    <row r="5127" spans="1:14" s="360" customFormat="1" hidden="1" outlineLevel="2" x14ac:dyDescent="0.35">
      <c r="A5127" s="403" t="s">
        <v>7504</v>
      </c>
      <c r="B5127" s="397">
        <v>44497</v>
      </c>
      <c r="C5127" s="398" t="s">
        <v>4578</v>
      </c>
      <c r="D5127" s="399" t="s">
        <v>4605</v>
      </c>
      <c r="E5127" s="399" t="s">
        <v>4042</v>
      </c>
      <c r="F5127" s="400">
        <v>1545.94596</v>
      </c>
      <c r="G5127" s="401" t="s">
        <v>3800</v>
      </c>
      <c r="H5127" s="402">
        <v>0.57523479566596525</v>
      </c>
      <c r="I5127" s="402"/>
      <c r="J5127" s="400"/>
      <c r="K5127" s="400"/>
      <c r="L5127" s="400"/>
      <c r="M5127" s="400"/>
      <c r="N5127" s="400">
        <f t="shared" si="261"/>
        <v>0.57523479566596525</v>
      </c>
    </row>
    <row r="5128" spans="1:14" s="360" customFormat="1" hidden="1" outlineLevel="2" x14ac:dyDescent="0.35">
      <c r="A5128" s="403" t="s">
        <v>7504</v>
      </c>
      <c r="B5128" s="397">
        <v>44498</v>
      </c>
      <c r="C5128" s="398" t="s">
        <v>7530</v>
      </c>
      <c r="D5128" s="399" t="s">
        <v>7531</v>
      </c>
      <c r="E5128" s="399" t="s">
        <v>7532</v>
      </c>
      <c r="F5128" s="400">
        <v>300000</v>
      </c>
      <c r="G5128" s="401" t="s">
        <v>3800</v>
      </c>
      <c r="H5128" s="402">
        <v>111.62773031198941</v>
      </c>
      <c r="I5128" s="402"/>
      <c r="J5128" s="400"/>
      <c r="K5128" s="400"/>
      <c r="L5128" s="400"/>
      <c r="M5128" s="400"/>
      <c r="N5128" s="400">
        <f t="shared" si="261"/>
        <v>111.62773031198941</v>
      </c>
    </row>
    <row r="5129" spans="1:14" s="360" customFormat="1" hidden="1" outlineLevel="2" x14ac:dyDescent="0.35">
      <c r="A5129" s="403" t="s">
        <v>7504</v>
      </c>
      <c r="B5129" s="397">
        <v>44498</v>
      </c>
      <c r="C5129" s="398" t="s">
        <v>7533</v>
      </c>
      <c r="D5129" s="399" t="s">
        <v>7534</v>
      </c>
      <c r="E5129" s="399" t="s">
        <v>7532</v>
      </c>
      <c r="F5129" s="400">
        <v>300000</v>
      </c>
      <c r="G5129" s="401" t="s">
        <v>3800</v>
      </c>
      <c r="H5129" s="402">
        <v>111.62773031198941</v>
      </c>
      <c r="I5129" s="402"/>
      <c r="J5129" s="400"/>
      <c r="K5129" s="400"/>
      <c r="L5129" s="400"/>
      <c r="M5129" s="400"/>
      <c r="N5129" s="400">
        <f t="shared" si="261"/>
        <v>111.62773031198941</v>
      </c>
    </row>
    <row r="5130" spans="1:14" s="360" customFormat="1" hidden="1" outlineLevel="2" x14ac:dyDescent="0.35">
      <c r="A5130" s="403" t="s">
        <v>7525</v>
      </c>
      <c r="B5130" s="397">
        <v>44525</v>
      </c>
      <c r="C5130" s="398" t="s">
        <v>4574</v>
      </c>
      <c r="D5130" s="399" t="s">
        <v>4608</v>
      </c>
      <c r="E5130" s="399" t="s">
        <v>7526</v>
      </c>
      <c r="F5130" s="400">
        <v>297297.3</v>
      </c>
      <c r="G5130" s="401" t="s">
        <v>3800</v>
      </c>
      <c r="H5130" s="402">
        <v>110.6220760896087</v>
      </c>
      <c r="I5130" s="402"/>
      <c r="J5130" s="400"/>
      <c r="K5130" s="400"/>
      <c r="L5130" s="400"/>
      <c r="M5130" s="400"/>
      <c r="N5130" s="400">
        <f t="shared" si="261"/>
        <v>110.6220760896087</v>
      </c>
    </row>
    <row r="5131" spans="1:14" s="360" customFormat="1" hidden="1" outlineLevel="2" x14ac:dyDescent="0.35">
      <c r="A5131" s="403" t="s">
        <v>7525</v>
      </c>
      <c r="B5131" s="397">
        <v>44525</v>
      </c>
      <c r="C5131" s="398" t="s">
        <v>4576</v>
      </c>
      <c r="D5131" s="399" t="s">
        <v>4609</v>
      </c>
      <c r="E5131" s="399" t="s">
        <v>4272</v>
      </c>
      <c r="F5131" s="400">
        <v>29729.73</v>
      </c>
      <c r="G5131" s="401" t="s">
        <v>3800</v>
      </c>
      <c r="H5131" s="402">
        <v>11.06220760896087</v>
      </c>
      <c r="I5131" s="402"/>
      <c r="J5131" s="400"/>
      <c r="K5131" s="400"/>
      <c r="L5131" s="400"/>
      <c r="M5131" s="400"/>
      <c r="N5131" s="400">
        <f t="shared" si="261"/>
        <v>11.06220760896087</v>
      </c>
    </row>
    <row r="5132" spans="1:14" s="360" customFormat="1" hidden="1" outlineLevel="2" x14ac:dyDescent="0.35">
      <c r="A5132" s="403" t="s">
        <v>7525</v>
      </c>
      <c r="B5132" s="397">
        <v>44525</v>
      </c>
      <c r="C5132" s="398" t="s">
        <v>4578</v>
      </c>
      <c r="D5132" s="399" t="s">
        <v>4610</v>
      </c>
      <c r="E5132" s="399" t="s">
        <v>4042</v>
      </c>
      <c r="F5132" s="400">
        <v>1783.7837999999999</v>
      </c>
      <c r="G5132" s="401" t="s">
        <v>3800</v>
      </c>
      <c r="H5132" s="402">
        <v>0.66373245653765223</v>
      </c>
      <c r="I5132" s="402"/>
      <c r="J5132" s="400"/>
      <c r="K5132" s="400"/>
      <c r="L5132" s="400"/>
      <c r="M5132" s="400"/>
      <c r="N5132" s="400">
        <f t="shared" si="261"/>
        <v>0.66373245653765223</v>
      </c>
    </row>
    <row r="5133" spans="1:14" s="360" customFormat="1" hidden="1" outlineLevel="2" x14ac:dyDescent="0.35">
      <c r="A5133" s="403" t="s">
        <v>7525</v>
      </c>
      <c r="B5133" s="397">
        <v>44525</v>
      </c>
      <c r="C5133" s="398" t="s">
        <v>4574</v>
      </c>
      <c r="D5133" s="399" t="s">
        <v>4608</v>
      </c>
      <c r="E5133" s="399" t="s">
        <v>7527</v>
      </c>
      <c r="F5133" s="400">
        <v>297297.3</v>
      </c>
      <c r="G5133" s="401" t="s">
        <v>3800</v>
      </c>
      <c r="H5133" s="402">
        <v>110.6220760896087</v>
      </c>
      <c r="I5133" s="402"/>
      <c r="J5133" s="400"/>
      <c r="K5133" s="400"/>
      <c r="L5133" s="400"/>
      <c r="M5133" s="400"/>
      <c r="N5133" s="400">
        <f t="shared" si="261"/>
        <v>110.6220760896087</v>
      </c>
    </row>
    <row r="5134" spans="1:14" s="360" customFormat="1" hidden="1" outlineLevel="2" x14ac:dyDescent="0.35">
      <c r="A5134" s="403" t="s">
        <v>7525</v>
      </c>
      <c r="B5134" s="397">
        <v>44525</v>
      </c>
      <c r="C5134" s="398" t="s">
        <v>4576</v>
      </c>
      <c r="D5134" s="399" t="s">
        <v>4609</v>
      </c>
      <c r="E5134" s="399" t="s">
        <v>4272</v>
      </c>
      <c r="F5134" s="400">
        <v>29729.73</v>
      </c>
      <c r="G5134" s="401" t="s">
        <v>3800</v>
      </c>
      <c r="H5134" s="402">
        <v>11.06220760896087</v>
      </c>
      <c r="I5134" s="402"/>
      <c r="J5134" s="400"/>
      <c r="K5134" s="400"/>
      <c r="L5134" s="400"/>
      <c r="M5134" s="400"/>
      <c r="N5134" s="400">
        <f t="shared" si="261"/>
        <v>11.06220760896087</v>
      </c>
    </row>
    <row r="5135" spans="1:14" s="360" customFormat="1" hidden="1" outlineLevel="2" x14ac:dyDescent="0.35">
      <c r="A5135" s="403" t="s">
        <v>7525</v>
      </c>
      <c r="B5135" s="397">
        <v>44525</v>
      </c>
      <c r="C5135" s="398" t="s">
        <v>4578</v>
      </c>
      <c r="D5135" s="399" t="s">
        <v>4610</v>
      </c>
      <c r="E5135" s="399" t="s">
        <v>4042</v>
      </c>
      <c r="F5135" s="400">
        <v>1783.7837999999999</v>
      </c>
      <c r="G5135" s="401" t="s">
        <v>3800</v>
      </c>
      <c r="H5135" s="402">
        <v>0.66373245653765223</v>
      </c>
      <c r="I5135" s="402"/>
      <c r="J5135" s="400"/>
      <c r="K5135" s="400"/>
      <c r="L5135" s="400"/>
      <c r="M5135" s="400"/>
      <c r="N5135" s="400">
        <f t="shared" si="261"/>
        <v>0.66373245653765223</v>
      </c>
    </row>
    <row r="5136" spans="1:14" s="360" customFormat="1" hidden="1" outlineLevel="2" x14ac:dyDescent="0.35">
      <c r="A5136" s="403" t="s">
        <v>7525</v>
      </c>
      <c r="B5136" s="397">
        <v>44525</v>
      </c>
      <c r="C5136" s="398" t="s">
        <v>4574</v>
      </c>
      <c r="D5136" s="399" t="s">
        <v>4608</v>
      </c>
      <c r="E5136" s="399" t="s">
        <v>7528</v>
      </c>
      <c r="F5136" s="400">
        <v>297297.3</v>
      </c>
      <c r="G5136" s="401" t="s">
        <v>3800</v>
      </c>
      <c r="H5136" s="402">
        <v>110.6220760896087</v>
      </c>
      <c r="I5136" s="402"/>
      <c r="J5136" s="400"/>
      <c r="K5136" s="400"/>
      <c r="L5136" s="400"/>
      <c r="M5136" s="400"/>
      <c r="N5136" s="400">
        <f t="shared" si="261"/>
        <v>110.6220760896087</v>
      </c>
    </row>
    <row r="5137" spans="1:14" s="360" customFormat="1" hidden="1" outlineLevel="2" x14ac:dyDescent="0.35">
      <c r="A5137" s="403" t="s">
        <v>7525</v>
      </c>
      <c r="B5137" s="397">
        <v>44525</v>
      </c>
      <c r="C5137" s="398" t="s">
        <v>4576</v>
      </c>
      <c r="D5137" s="399" t="s">
        <v>4609</v>
      </c>
      <c r="E5137" s="399" t="s">
        <v>4272</v>
      </c>
      <c r="F5137" s="400">
        <v>29729.73</v>
      </c>
      <c r="G5137" s="401" t="s">
        <v>3800</v>
      </c>
      <c r="H5137" s="402">
        <v>11.06220760896087</v>
      </c>
      <c r="I5137" s="402"/>
      <c r="J5137" s="400"/>
      <c r="K5137" s="400"/>
      <c r="L5137" s="400"/>
      <c r="M5137" s="400"/>
      <c r="N5137" s="400">
        <f t="shared" si="261"/>
        <v>11.06220760896087</v>
      </c>
    </row>
    <row r="5138" spans="1:14" s="360" customFormat="1" hidden="1" outlineLevel="2" x14ac:dyDescent="0.35">
      <c r="A5138" s="403" t="s">
        <v>7525</v>
      </c>
      <c r="B5138" s="397">
        <v>44525</v>
      </c>
      <c r="C5138" s="398" t="s">
        <v>4578</v>
      </c>
      <c r="D5138" s="399" t="s">
        <v>4610</v>
      </c>
      <c r="E5138" s="399" t="s">
        <v>4042</v>
      </c>
      <c r="F5138" s="400">
        <v>1783.7837999999999</v>
      </c>
      <c r="G5138" s="401" t="s">
        <v>3800</v>
      </c>
      <c r="H5138" s="402">
        <v>0.66373245653765223</v>
      </c>
      <c r="I5138" s="402"/>
      <c r="J5138" s="400"/>
      <c r="K5138" s="400"/>
      <c r="L5138" s="400"/>
      <c r="M5138" s="400"/>
      <c r="N5138" s="400">
        <f t="shared" si="261"/>
        <v>0.66373245653765223</v>
      </c>
    </row>
    <row r="5139" spans="1:14" s="360" customFormat="1" hidden="1" outlineLevel="2" x14ac:dyDescent="0.35">
      <c r="A5139" s="403" t="s">
        <v>7504</v>
      </c>
      <c r="B5139" s="397">
        <v>44525</v>
      </c>
      <c r="C5139" s="398" t="s">
        <v>4574</v>
      </c>
      <c r="D5139" s="399" t="s">
        <v>4608</v>
      </c>
      <c r="E5139" s="399" t="s">
        <v>7529</v>
      </c>
      <c r="F5139" s="400">
        <v>297297.3</v>
      </c>
      <c r="G5139" s="401" t="s">
        <v>3800</v>
      </c>
      <c r="H5139" s="402">
        <v>110.6220760896087</v>
      </c>
      <c r="I5139" s="402"/>
      <c r="J5139" s="400"/>
      <c r="K5139" s="400"/>
      <c r="L5139" s="400"/>
      <c r="M5139" s="400"/>
      <c r="N5139" s="400">
        <f t="shared" si="261"/>
        <v>110.6220760896087</v>
      </c>
    </row>
    <row r="5140" spans="1:14" s="360" customFormat="1" hidden="1" outlineLevel="2" x14ac:dyDescent="0.35">
      <c r="A5140" s="403" t="s">
        <v>7504</v>
      </c>
      <c r="B5140" s="397">
        <v>44525</v>
      </c>
      <c r="C5140" s="398" t="s">
        <v>4576</v>
      </c>
      <c r="D5140" s="399" t="s">
        <v>4609</v>
      </c>
      <c r="E5140" s="399" t="s">
        <v>4272</v>
      </c>
      <c r="F5140" s="400">
        <v>29729.73</v>
      </c>
      <c r="G5140" s="401" t="s">
        <v>3800</v>
      </c>
      <c r="H5140" s="402">
        <v>11.06220760896087</v>
      </c>
      <c r="I5140" s="402"/>
      <c r="J5140" s="400"/>
      <c r="K5140" s="400"/>
      <c r="L5140" s="400"/>
      <c r="M5140" s="400"/>
      <c r="N5140" s="400">
        <f t="shared" si="261"/>
        <v>11.06220760896087</v>
      </c>
    </row>
    <row r="5141" spans="1:14" s="360" customFormat="1" hidden="1" outlineLevel="2" x14ac:dyDescent="0.35">
      <c r="A5141" s="403" t="s">
        <v>7504</v>
      </c>
      <c r="B5141" s="397">
        <v>44525</v>
      </c>
      <c r="C5141" s="398" t="s">
        <v>4578</v>
      </c>
      <c r="D5141" s="399" t="s">
        <v>4610</v>
      </c>
      <c r="E5141" s="399" t="s">
        <v>4042</v>
      </c>
      <c r="F5141" s="400">
        <v>1783.7837999999999</v>
      </c>
      <c r="G5141" s="401" t="s">
        <v>3800</v>
      </c>
      <c r="H5141" s="402">
        <v>0.66373245653765223</v>
      </c>
      <c r="I5141" s="402"/>
      <c r="J5141" s="400"/>
      <c r="K5141" s="400"/>
      <c r="L5141" s="400"/>
      <c r="M5141" s="400"/>
      <c r="N5141" s="400">
        <f t="shared" si="261"/>
        <v>0.66373245653765223</v>
      </c>
    </row>
    <row r="5142" spans="1:14" s="360" customFormat="1" hidden="1" outlineLevel="2" x14ac:dyDescent="0.35">
      <c r="A5142" s="403" t="s">
        <v>7525</v>
      </c>
      <c r="B5142" s="397">
        <v>44547</v>
      </c>
      <c r="C5142" s="398" t="s">
        <v>4586</v>
      </c>
      <c r="D5142" s="399" t="s">
        <v>4611</v>
      </c>
      <c r="E5142" s="399" t="s">
        <v>7526</v>
      </c>
      <c r="F5142" s="400">
        <v>297297.3</v>
      </c>
      <c r="G5142" s="401" t="s">
        <v>3800</v>
      </c>
      <c r="H5142" s="402">
        <v>110.6220760896087</v>
      </c>
      <c r="I5142" s="402"/>
      <c r="J5142" s="400"/>
      <c r="K5142" s="400"/>
      <c r="L5142" s="400"/>
      <c r="M5142" s="400"/>
      <c r="N5142" s="400">
        <f t="shared" si="261"/>
        <v>110.6220760896087</v>
      </c>
    </row>
    <row r="5143" spans="1:14" s="360" customFormat="1" hidden="1" outlineLevel="2" x14ac:dyDescent="0.35">
      <c r="A5143" s="403" t="s">
        <v>7525</v>
      </c>
      <c r="B5143" s="397">
        <v>44547</v>
      </c>
      <c r="C5143" s="398" t="s">
        <v>4588</v>
      </c>
      <c r="D5143" s="399" t="s">
        <v>4612</v>
      </c>
      <c r="E5143" s="399" t="s">
        <v>4272</v>
      </c>
      <c r="F5143" s="400">
        <v>29729.73</v>
      </c>
      <c r="G5143" s="401" t="s">
        <v>3800</v>
      </c>
      <c r="H5143" s="402">
        <v>11.06220760896087</v>
      </c>
      <c r="I5143" s="402"/>
      <c r="J5143" s="400"/>
      <c r="K5143" s="400"/>
      <c r="L5143" s="400"/>
      <c r="M5143" s="400"/>
      <c r="N5143" s="400">
        <f t="shared" si="261"/>
        <v>11.06220760896087</v>
      </c>
    </row>
    <row r="5144" spans="1:14" s="360" customFormat="1" hidden="1" outlineLevel="2" x14ac:dyDescent="0.35">
      <c r="A5144" s="403" t="s">
        <v>7525</v>
      </c>
      <c r="B5144" s="397">
        <v>44547</v>
      </c>
      <c r="C5144" s="398" t="s">
        <v>4590</v>
      </c>
      <c r="D5144" s="399" t="s">
        <v>4613</v>
      </c>
      <c r="E5144" s="399" t="s">
        <v>4042</v>
      </c>
      <c r="F5144" s="400">
        <v>1783.7837999999999</v>
      </c>
      <c r="G5144" s="401" t="s">
        <v>3800</v>
      </c>
      <c r="H5144" s="402">
        <v>0.66373245653765223</v>
      </c>
      <c r="I5144" s="402"/>
      <c r="J5144" s="400"/>
      <c r="K5144" s="400"/>
      <c r="L5144" s="400"/>
      <c r="M5144" s="400"/>
      <c r="N5144" s="400">
        <f t="shared" si="261"/>
        <v>0.66373245653765223</v>
      </c>
    </row>
    <row r="5145" spans="1:14" s="360" customFormat="1" hidden="1" outlineLevel="2" x14ac:dyDescent="0.35">
      <c r="A5145" s="403" t="s">
        <v>7525</v>
      </c>
      <c r="B5145" s="397">
        <v>44547</v>
      </c>
      <c r="C5145" s="398" t="s">
        <v>4586</v>
      </c>
      <c r="D5145" s="399" t="s">
        <v>4611</v>
      </c>
      <c r="E5145" s="399" t="s">
        <v>7527</v>
      </c>
      <c r="F5145" s="400">
        <v>297297.3</v>
      </c>
      <c r="G5145" s="401" t="s">
        <v>3800</v>
      </c>
      <c r="H5145" s="402">
        <v>110.6220760896087</v>
      </c>
      <c r="I5145" s="402"/>
      <c r="J5145" s="400"/>
      <c r="K5145" s="400"/>
      <c r="L5145" s="400"/>
      <c r="M5145" s="400"/>
      <c r="N5145" s="400">
        <f t="shared" si="261"/>
        <v>110.6220760896087</v>
      </c>
    </row>
    <row r="5146" spans="1:14" s="360" customFormat="1" hidden="1" outlineLevel="2" x14ac:dyDescent="0.35">
      <c r="A5146" s="403" t="s">
        <v>7525</v>
      </c>
      <c r="B5146" s="397">
        <v>44547</v>
      </c>
      <c r="C5146" s="398" t="s">
        <v>4588</v>
      </c>
      <c r="D5146" s="399" t="s">
        <v>4612</v>
      </c>
      <c r="E5146" s="399" t="s">
        <v>4272</v>
      </c>
      <c r="F5146" s="400">
        <v>29729.73</v>
      </c>
      <c r="G5146" s="401" t="s">
        <v>3800</v>
      </c>
      <c r="H5146" s="402">
        <v>11.06220760896087</v>
      </c>
      <c r="I5146" s="402"/>
      <c r="J5146" s="400"/>
      <c r="K5146" s="400"/>
      <c r="L5146" s="400"/>
      <c r="M5146" s="400"/>
      <c r="N5146" s="400">
        <f t="shared" si="261"/>
        <v>11.06220760896087</v>
      </c>
    </row>
    <row r="5147" spans="1:14" s="360" customFormat="1" hidden="1" outlineLevel="2" x14ac:dyDescent="0.35">
      <c r="A5147" s="403" t="s">
        <v>7525</v>
      </c>
      <c r="B5147" s="397">
        <v>44547</v>
      </c>
      <c r="C5147" s="398" t="s">
        <v>4590</v>
      </c>
      <c r="D5147" s="399" t="s">
        <v>4613</v>
      </c>
      <c r="E5147" s="399" t="s">
        <v>4042</v>
      </c>
      <c r="F5147" s="400">
        <v>1783.7837999999999</v>
      </c>
      <c r="G5147" s="401" t="s">
        <v>3800</v>
      </c>
      <c r="H5147" s="402">
        <v>0.66373245653765223</v>
      </c>
      <c r="I5147" s="402"/>
      <c r="J5147" s="400"/>
      <c r="K5147" s="400"/>
      <c r="L5147" s="400"/>
      <c r="M5147" s="400"/>
      <c r="N5147" s="400">
        <f t="shared" si="261"/>
        <v>0.66373245653765223</v>
      </c>
    </row>
    <row r="5148" spans="1:14" s="360" customFormat="1" hidden="1" outlineLevel="2" x14ac:dyDescent="0.35">
      <c r="A5148" s="403" t="s">
        <v>7525</v>
      </c>
      <c r="B5148" s="397">
        <v>44547</v>
      </c>
      <c r="C5148" s="398" t="s">
        <v>4586</v>
      </c>
      <c r="D5148" s="399" t="s">
        <v>4611</v>
      </c>
      <c r="E5148" s="399" t="s">
        <v>7528</v>
      </c>
      <c r="F5148" s="400">
        <v>297297.3</v>
      </c>
      <c r="G5148" s="401" t="s">
        <v>3800</v>
      </c>
      <c r="H5148" s="402">
        <v>110.6220760896087</v>
      </c>
      <c r="I5148" s="402"/>
      <c r="J5148" s="400"/>
      <c r="K5148" s="400"/>
      <c r="L5148" s="400"/>
      <c r="M5148" s="400"/>
      <c r="N5148" s="400">
        <f t="shared" si="261"/>
        <v>110.6220760896087</v>
      </c>
    </row>
    <row r="5149" spans="1:14" s="360" customFormat="1" hidden="1" outlineLevel="2" x14ac:dyDescent="0.35">
      <c r="A5149" s="403" t="s">
        <v>7525</v>
      </c>
      <c r="B5149" s="397">
        <v>44547</v>
      </c>
      <c r="C5149" s="398" t="s">
        <v>4588</v>
      </c>
      <c r="D5149" s="399" t="s">
        <v>4612</v>
      </c>
      <c r="E5149" s="399" t="s">
        <v>4272</v>
      </c>
      <c r="F5149" s="400">
        <v>29729.73</v>
      </c>
      <c r="G5149" s="401" t="s">
        <v>3800</v>
      </c>
      <c r="H5149" s="402">
        <v>11.06220760896087</v>
      </c>
      <c r="I5149" s="402"/>
      <c r="J5149" s="400"/>
      <c r="K5149" s="400"/>
      <c r="L5149" s="400"/>
      <c r="M5149" s="400"/>
      <c r="N5149" s="400">
        <f t="shared" si="261"/>
        <v>11.06220760896087</v>
      </c>
    </row>
    <row r="5150" spans="1:14" s="360" customFormat="1" hidden="1" outlineLevel="2" x14ac:dyDescent="0.35">
      <c r="A5150" s="403" t="s">
        <v>7525</v>
      </c>
      <c r="B5150" s="397">
        <v>44547</v>
      </c>
      <c r="C5150" s="398" t="s">
        <v>4590</v>
      </c>
      <c r="D5150" s="399" t="s">
        <v>7535</v>
      </c>
      <c r="E5150" s="399" t="s">
        <v>4042</v>
      </c>
      <c r="F5150" s="400">
        <v>1783.7837999999999</v>
      </c>
      <c r="G5150" s="401" t="s">
        <v>3800</v>
      </c>
      <c r="H5150" s="402">
        <v>0.66373245653765223</v>
      </c>
      <c r="I5150" s="402"/>
      <c r="J5150" s="400"/>
      <c r="K5150" s="400"/>
      <c r="L5150" s="400"/>
      <c r="M5150" s="400"/>
      <c r="N5150" s="400">
        <f t="shared" si="261"/>
        <v>0.66373245653765223</v>
      </c>
    </row>
    <row r="5151" spans="1:14" s="360" customFormat="1" hidden="1" outlineLevel="2" x14ac:dyDescent="0.35">
      <c r="A5151" s="403" t="s">
        <v>7504</v>
      </c>
      <c r="B5151" s="397">
        <v>44547</v>
      </c>
      <c r="C5151" s="398" t="s">
        <v>4586</v>
      </c>
      <c r="D5151" s="399" t="s">
        <v>4611</v>
      </c>
      <c r="E5151" s="399" t="s">
        <v>7529</v>
      </c>
      <c r="F5151" s="400">
        <v>297297.3</v>
      </c>
      <c r="G5151" s="401" t="s">
        <v>3800</v>
      </c>
      <c r="H5151" s="402">
        <v>110.6220760896087</v>
      </c>
      <c r="I5151" s="402"/>
      <c r="J5151" s="400"/>
      <c r="K5151" s="400"/>
      <c r="L5151" s="400"/>
      <c r="M5151" s="400"/>
      <c r="N5151" s="400">
        <f t="shared" si="261"/>
        <v>110.6220760896087</v>
      </c>
    </row>
    <row r="5152" spans="1:14" s="360" customFormat="1" hidden="1" outlineLevel="2" x14ac:dyDescent="0.35">
      <c r="A5152" s="403" t="s">
        <v>7504</v>
      </c>
      <c r="B5152" s="397">
        <v>44547</v>
      </c>
      <c r="C5152" s="398" t="s">
        <v>4588</v>
      </c>
      <c r="D5152" s="399" t="s">
        <v>4612</v>
      </c>
      <c r="E5152" s="399" t="s">
        <v>4272</v>
      </c>
      <c r="F5152" s="400">
        <v>29729.73</v>
      </c>
      <c r="G5152" s="401" t="s">
        <v>3800</v>
      </c>
      <c r="H5152" s="402">
        <v>11.06220760896087</v>
      </c>
      <c r="I5152" s="402"/>
      <c r="J5152" s="400"/>
      <c r="K5152" s="400"/>
      <c r="L5152" s="400"/>
      <c r="M5152" s="400"/>
      <c r="N5152" s="400">
        <f t="shared" si="261"/>
        <v>11.06220760896087</v>
      </c>
    </row>
    <row r="5153" spans="1:14" s="360" customFormat="1" hidden="1" outlineLevel="2" x14ac:dyDescent="0.35">
      <c r="A5153" s="403" t="s">
        <v>7504</v>
      </c>
      <c r="B5153" s="397">
        <v>44547</v>
      </c>
      <c r="C5153" s="398" t="s">
        <v>4590</v>
      </c>
      <c r="D5153" s="399" t="s">
        <v>4613</v>
      </c>
      <c r="E5153" s="399" t="s">
        <v>4042</v>
      </c>
      <c r="F5153" s="400">
        <v>1783.7837999999999</v>
      </c>
      <c r="G5153" s="401" t="s">
        <v>3800</v>
      </c>
      <c r="H5153" s="402">
        <v>0.66373245653765223</v>
      </c>
      <c r="I5153" s="402"/>
      <c r="J5153" s="400"/>
      <c r="K5153" s="400"/>
      <c r="L5153" s="400"/>
      <c r="M5153" s="400"/>
      <c r="N5153" s="400">
        <f t="shared" si="261"/>
        <v>0.66373245653765223</v>
      </c>
    </row>
    <row r="5154" spans="1:14" s="360" customFormat="1" hidden="1" outlineLevel="2" x14ac:dyDescent="0.35">
      <c r="A5154" s="403" t="s">
        <v>7504</v>
      </c>
      <c r="B5154" s="397">
        <v>44550</v>
      </c>
      <c r="C5154" s="398" t="s">
        <v>7536</v>
      </c>
      <c r="D5154" s="399" t="s">
        <v>7537</v>
      </c>
      <c r="E5154" s="399" t="s">
        <v>7532</v>
      </c>
      <c r="F5154" s="400">
        <v>300000</v>
      </c>
      <c r="G5154" s="401" t="s">
        <v>3800</v>
      </c>
      <c r="H5154" s="402">
        <v>111.62773031198941</v>
      </c>
      <c r="I5154" s="402"/>
      <c r="J5154" s="400"/>
      <c r="K5154" s="400"/>
      <c r="L5154" s="400"/>
      <c r="M5154" s="400"/>
      <c r="N5154" s="400">
        <f t="shared" si="261"/>
        <v>111.62773031198941</v>
      </c>
    </row>
    <row r="5155" spans="1:14" s="360" customFormat="1" hidden="1" outlineLevel="2" x14ac:dyDescent="0.35">
      <c r="A5155" s="403" t="s">
        <v>7525</v>
      </c>
      <c r="B5155" s="397">
        <v>44587</v>
      </c>
      <c r="C5155" s="398" t="s">
        <v>4592</v>
      </c>
      <c r="D5155" s="399" t="s">
        <v>4593</v>
      </c>
      <c r="E5155" s="399" t="s">
        <v>7526</v>
      </c>
      <c r="F5155" s="400">
        <v>297297.3</v>
      </c>
      <c r="G5155" s="401" t="s">
        <v>3800</v>
      </c>
      <c r="H5155" s="402">
        <v>110.6220760896087</v>
      </c>
      <c r="I5155" s="402"/>
      <c r="J5155" s="400"/>
      <c r="K5155" s="400"/>
      <c r="L5155" s="400"/>
      <c r="M5155" s="400"/>
      <c r="N5155" s="400">
        <v>110.6220760896087</v>
      </c>
    </row>
    <row r="5156" spans="1:14" s="360" customFormat="1" hidden="1" outlineLevel="2" collapsed="1" x14ac:dyDescent="0.35">
      <c r="A5156" s="403" t="s">
        <v>7525</v>
      </c>
      <c r="B5156" s="397">
        <v>44587</v>
      </c>
      <c r="C5156" s="398" t="s">
        <v>4594</v>
      </c>
      <c r="D5156" s="399" t="s">
        <v>4595</v>
      </c>
      <c r="E5156" s="399" t="s">
        <v>4272</v>
      </c>
      <c r="F5156" s="400">
        <v>29729.73</v>
      </c>
      <c r="G5156" s="401" t="s">
        <v>3800</v>
      </c>
      <c r="H5156" s="402">
        <v>11.06220760896087</v>
      </c>
      <c r="I5156" s="402"/>
      <c r="J5156" s="400"/>
      <c r="K5156" s="400"/>
      <c r="L5156" s="400"/>
      <c r="M5156" s="400"/>
      <c r="N5156" s="400">
        <v>11.06220760896087</v>
      </c>
    </row>
    <row r="5157" spans="1:14" s="360" customFormat="1" hidden="1" outlineLevel="2" x14ac:dyDescent="0.35">
      <c r="A5157" s="403" t="s">
        <v>7525</v>
      </c>
      <c r="B5157" s="397">
        <v>44587</v>
      </c>
      <c r="C5157" s="398" t="s">
        <v>4596</v>
      </c>
      <c r="D5157" s="399" t="s">
        <v>4597</v>
      </c>
      <c r="E5157" s="399" t="s">
        <v>4042</v>
      </c>
      <c r="F5157" s="400">
        <v>1783.7837999999999</v>
      </c>
      <c r="G5157" s="401" t="s">
        <v>3800</v>
      </c>
      <c r="H5157" s="402">
        <v>0.66373245653765223</v>
      </c>
      <c r="I5157" s="402"/>
      <c r="J5157" s="400"/>
      <c r="K5157" s="400"/>
      <c r="L5157" s="400"/>
      <c r="M5157" s="400"/>
      <c r="N5157" s="400">
        <v>0.66373245653765223</v>
      </c>
    </row>
    <row r="5158" spans="1:14" s="360" customFormat="1" hidden="1" outlineLevel="2" x14ac:dyDescent="0.35">
      <c r="A5158" s="403" t="s">
        <v>7525</v>
      </c>
      <c r="B5158" s="397">
        <v>44587</v>
      </c>
      <c r="C5158" s="398" t="s">
        <v>4592</v>
      </c>
      <c r="D5158" s="399" t="s">
        <v>4593</v>
      </c>
      <c r="E5158" s="399" t="s">
        <v>7527</v>
      </c>
      <c r="F5158" s="400">
        <v>297297.3</v>
      </c>
      <c r="G5158" s="401" t="s">
        <v>3800</v>
      </c>
      <c r="H5158" s="402">
        <v>110.6220760896087</v>
      </c>
      <c r="I5158" s="402"/>
      <c r="J5158" s="400"/>
      <c r="K5158" s="400"/>
      <c r="L5158" s="400"/>
      <c r="M5158" s="400"/>
      <c r="N5158" s="400">
        <v>110.6220760896087</v>
      </c>
    </row>
    <row r="5159" spans="1:14" s="360" customFormat="1" hidden="1" outlineLevel="2" x14ac:dyDescent="0.35">
      <c r="A5159" s="403" t="s">
        <v>7525</v>
      </c>
      <c r="B5159" s="397">
        <v>44587</v>
      </c>
      <c r="C5159" s="398" t="s">
        <v>4594</v>
      </c>
      <c r="D5159" s="399" t="s">
        <v>4595</v>
      </c>
      <c r="E5159" s="399" t="s">
        <v>4272</v>
      </c>
      <c r="F5159" s="400">
        <v>29729.73</v>
      </c>
      <c r="G5159" s="401" t="s">
        <v>3800</v>
      </c>
      <c r="H5159" s="402">
        <v>11.06220760896087</v>
      </c>
      <c r="I5159" s="402"/>
      <c r="J5159" s="400"/>
      <c r="K5159" s="400"/>
      <c r="L5159" s="400"/>
      <c r="M5159" s="400"/>
      <c r="N5159" s="400">
        <v>11.06220760896087</v>
      </c>
    </row>
    <row r="5160" spans="1:14" s="360" customFormat="1" hidden="1" outlineLevel="2" x14ac:dyDescent="0.35">
      <c r="A5160" s="403" t="s">
        <v>7525</v>
      </c>
      <c r="B5160" s="397">
        <v>44587</v>
      </c>
      <c r="C5160" s="398" t="s">
        <v>4596</v>
      </c>
      <c r="D5160" s="399" t="s">
        <v>4597</v>
      </c>
      <c r="E5160" s="399" t="s">
        <v>4042</v>
      </c>
      <c r="F5160" s="400">
        <v>1783.7837999999999</v>
      </c>
      <c r="G5160" s="401" t="s">
        <v>3800</v>
      </c>
      <c r="H5160" s="402">
        <v>0.66373245653765223</v>
      </c>
      <c r="I5160" s="402"/>
      <c r="J5160" s="400"/>
      <c r="K5160" s="400"/>
      <c r="L5160" s="400"/>
      <c r="M5160" s="400"/>
      <c r="N5160" s="400">
        <v>0.66373245653765223</v>
      </c>
    </row>
    <row r="5161" spans="1:14" s="360" customFormat="1" hidden="1" outlineLevel="2" collapsed="1" x14ac:dyDescent="0.35">
      <c r="A5161" s="403" t="s">
        <v>7525</v>
      </c>
      <c r="B5161" s="397">
        <v>44587</v>
      </c>
      <c r="C5161" s="398" t="s">
        <v>4592</v>
      </c>
      <c r="D5161" s="399" t="s">
        <v>4593</v>
      </c>
      <c r="E5161" s="399" t="s">
        <v>7528</v>
      </c>
      <c r="F5161" s="400">
        <v>297297.3</v>
      </c>
      <c r="G5161" s="401" t="s">
        <v>3800</v>
      </c>
      <c r="H5161" s="402">
        <v>110.6220760896087</v>
      </c>
      <c r="I5161" s="402"/>
      <c r="J5161" s="400"/>
      <c r="K5161" s="400"/>
      <c r="L5161" s="400"/>
      <c r="M5161" s="400"/>
      <c r="N5161" s="400">
        <v>110.6220760896087</v>
      </c>
    </row>
    <row r="5162" spans="1:14" s="360" customFormat="1" hidden="1" outlineLevel="2" x14ac:dyDescent="0.35">
      <c r="A5162" s="403" t="s">
        <v>7525</v>
      </c>
      <c r="B5162" s="397">
        <v>44587</v>
      </c>
      <c r="C5162" s="398" t="s">
        <v>4594</v>
      </c>
      <c r="D5162" s="399" t="s">
        <v>4595</v>
      </c>
      <c r="E5162" s="399" t="s">
        <v>4272</v>
      </c>
      <c r="F5162" s="400">
        <v>29729.73</v>
      </c>
      <c r="G5162" s="401" t="s">
        <v>3800</v>
      </c>
      <c r="H5162" s="402">
        <v>11.06220760896087</v>
      </c>
      <c r="I5162" s="402"/>
      <c r="J5162" s="400"/>
      <c r="K5162" s="400"/>
      <c r="L5162" s="400"/>
      <c r="M5162" s="400"/>
      <c r="N5162" s="400">
        <v>11.06220760896087</v>
      </c>
    </row>
    <row r="5163" spans="1:14" s="360" customFormat="1" hidden="1" outlineLevel="2" collapsed="1" x14ac:dyDescent="0.35">
      <c r="A5163" s="403" t="s">
        <v>7525</v>
      </c>
      <c r="B5163" s="397">
        <v>44587</v>
      </c>
      <c r="C5163" s="398" t="s">
        <v>4596</v>
      </c>
      <c r="D5163" s="399" t="s">
        <v>4597</v>
      </c>
      <c r="E5163" s="399" t="s">
        <v>4042</v>
      </c>
      <c r="F5163" s="400">
        <v>1783.7837999999999</v>
      </c>
      <c r="G5163" s="401" t="s">
        <v>3800</v>
      </c>
      <c r="H5163" s="402">
        <v>0.66373245653765223</v>
      </c>
      <c r="I5163" s="402"/>
      <c r="J5163" s="400"/>
      <c r="K5163" s="400"/>
      <c r="L5163" s="400"/>
      <c r="M5163" s="400"/>
      <c r="N5163" s="400">
        <v>0.66373245653765223</v>
      </c>
    </row>
    <row r="5164" spans="1:14" s="360" customFormat="1" hidden="1" outlineLevel="2" x14ac:dyDescent="0.35">
      <c r="A5164" s="403" t="s">
        <v>7525</v>
      </c>
      <c r="B5164" s="397">
        <v>44587</v>
      </c>
      <c r="C5164" s="398" t="s">
        <v>4592</v>
      </c>
      <c r="D5164" s="399" t="s">
        <v>4593</v>
      </c>
      <c r="E5164" s="399" t="s">
        <v>7529</v>
      </c>
      <c r="F5164" s="400">
        <v>297297.3</v>
      </c>
      <c r="G5164" s="401" t="s">
        <v>3800</v>
      </c>
      <c r="H5164" s="402">
        <v>110.6220760896087</v>
      </c>
      <c r="I5164" s="402"/>
      <c r="J5164" s="400"/>
      <c r="K5164" s="400"/>
      <c r="L5164" s="400"/>
      <c r="M5164" s="400"/>
      <c r="N5164" s="400">
        <v>110.6220760896087</v>
      </c>
    </row>
    <row r="5165" spans="1:14" s="360" customFormat="1" hidden="1" outlineLevel="2" collapsed="1" x14ac:dyDescent="0.35">
      <c r="A5165" s="403" t="s">
        <v>7525</v>
      </c>
      <c r="B5165" s="397">
        <v>44587</v>
      </c>
      <c r="C5165" s="398" t="s">
        <v>4594</v>
      </c>
      <c r="D5165" s="399" t="s">
        <v>4595</v>
      </c>
      <c r="E5165" s="399" t="s">
        <v>4272</v>
      </c>
      <c r="F5165" s="400">
        <v>29729.73</v>
      </c>
      <c r="G5165" s="401" t="s">
        <v>3800</v>
      </c>
      <c r="H5165" s="402">
        <v>11.06220760896087</v>
      </c>
      <c r="I5165" s="402"/>
      <c r="J5165" s="400"/>
      <c r="K5165" s="400"/>
      <c r="L5165" s="400"/>
      <c r="M5165" s="400"/>
      <c r="N5165" s="400">
        <v>11.06220760896087</v>
      </c>
    </row>
    <row r="5166" spans="1:14" s="360" customFormat="1" hidden="1" outlineLevel="2" x14ac:dyDescent="0.35">
      <c r="A5166" s="403" t="s">
        <v>7525</v>
      </c>
      <c r="B5166" s="397">
        <v>44587</v>
      </c>
      <c r="C5166" s="398" t="s">
        <v>4596</v>
      </c>
      <c r="D5166" s="399" t="s">
        <v>4597</v>
      </c>
      <c r="E5166" s="399" t="s">
        <v>4042</v>
      </c>
      <c r="F5166" s="400">
        <v>1783.7837999999999</v>
      </c>
      <c r="G5166" s="401" t="s">
        <v>3800</v>
      </c>
      <c r="H5166" s="402">
        <v>0.66373245653765223</v>
      </c>
      <c r="I5166" s="402"/>
      <c r="J5166" s="400"/>
      <c r="K5166" s="400"/>
      <c r="L5166" s="400"/>
      <c r="M5166" s="400"/>
      <c r="N5166" s="400">
        <v>0.66373245653765223</v>
      </c>
    </row>
    <row r="5167" spans="1:14" s="360" customFormat="1" hidden="1" outlineLevel="2" collapsed="1" x14ac:dyDescent="0.35">
      <c r="A5167" s="403" t="s">
        <v>7504</v>
      </c>
      <c r="B5167" s="397">
        <v>44585</v>
      </c>
      <c r="C5167" s="398" t="s">
        <v>7538</v>
      </c>
      <c r="D5167" s="399" t="s">
        <v>7539</v>
      </c>
      <c r="E5167" s="399" t="s">
        <v>7532</v>
      </c>
      <c r="F5167" s="400">
        <v>300000</v>
      </c>
      <c r="G5167" s="401" t="s">
        <v>3800</v>
      </c>
      <c r="H5167" s="402">
        <v>111.62773031198941</v>
      </c>
      <c r="I5167" s="402"/>
      <c r="J5167" s="400"/>
      <c r="K5167" s="400"/>
      <c r="L5167" s="400"/>
      <c r="M5167" s="400"/>
      <c r="N5167" s="400">
        <v>111.62773031198941</v>
      </c>
    </row>
    <row r="5168" spans="1:14" s="360" customFormat="1" outlineLevel="1" collapsed="1" x14ac:dyDescent="0.35">
      <c r="A5168" s="396" t="s">
        <v>7540</v>
      </c>
      <c r="B5168" s="397"/>
      <c r="C5168" s="398"/>
      <c r="D5168" s="399"/>
      <c r="E5168" s="399"/>
      <c r="F5168" s="400"/>
      <c r="G5168" s="401"/>
      <c r="H5168" s="402">
        <f t="shared" ref="H5168:N5168" si="262">SUBTOTAL(9,H5101:H5167)</f>
        <v>3190.0563977095649</v>
      </c>
      <c r="I5168" s="402"/>
      <c r="J5168" s="400">
        <f t="shared" si="262"/>
        <v>0</v>
      </c>
      <c r="K5168" s="400">
        <f t="shared" si="262"/>
        <v>0</v>
      </c>
      <c r="L5168" s="400">
        <f t="shared" si="262"/>
        <v>0</v>
      </c>
      <c r="M5168" s="400">
        <f t="shared" si="262"/>
        <v>0</v>
      </c>
      <c r="N5168" s="400">
        <f t="shared" si="262"/>
        <v>3190.0563977095649</v>
      </c>
    </row>
    <row r="5169" spans="1:14" s="360" customFormat="1" ht="30" hidden="1" outlineLevel="2" x14ac:dyDescent="0.35">
      <c r="A5169" s="403" t="s">
        <v>3917</v>
      </c>
      <c r="B5169" s="397">
        <v>44286</v>
      </c>
      <c r="C5169" s="398" t="s">
        <v>7541</v>
      </c>
      <c r="D5169" s="399" t="s">
        <v>7542</v>
      </c>
      <c r="E5169" s="399" t="s">
        <v>7543</v>
      </c>
      <c r="F5169" s="400">
        <v>8787000</v>
      </c>
      <c r="G5169" s="401" t="s">
        <v>3800</v>
      </c>
      <c r="H5169" s="402">
        <v>3269.5762208381698</v>
      </c>
      <c r="I5169" s="402"/>
      <c r="J5169" s="400"/>
      <c r="K5169" s="400"/>
      <c r="L5169" s="400"/>
      <c r="M5169" s="400">
        <v>3269.5762208381698</v>
      </c>
      <c r="N5169" s="400"/>
    </row>
    <row r="5170" spans="1:14" s="360" customFormat="1" hidden="1" outlineLevel="2" x14ac:dyDescent="0.35">
      <c r="A5170" s="403" t="s">
        <v>3917</v>
      </c>
      <c r="B5170" s="397">
        <v>44286</v>
      </c>
      <c r="C5170" s="398" t="s">
        <v>7225</v>
      </c>
      <c r="D5170" s="399" t="s">
        <v>7544</v>
      </c>
      <c r="E5170" s="399" t="s">
        <v>7545</v>
      </c>
      <c r="F5170" s="400">
        <v>705000</v>
      </c>
      <c r="G5170" s="401" t="s">
        <v>3800</v>
      </c>
      <c r="H5170" s="402">
        <v>262.32516623317514</v>
      </c>
      <c r="I5170" s="402"/>
      <c r="J5170" s="400"/>
      <c r="K5170" s="400"/>
      <c r="L5170" s="400"/>
      <c r="M5170" s="400">
        <v>262.32516623317514</v>
      </c>
      <c r="N5170" s="400"/>
    </row>
    <row r="5171" spans="1:14" s="360" customFormat="1" hidden="1" outlineLevel="2" x14ac:dyDescent="0.35">
      <c r="A5171" s="403" t="s">
        <v>3917</v>
      </c>
      <c r="B5171" s="397">
        <v>44286</v>
      </c>
      <c r="C5171" s="398" t="s">
        <v>7546</v>
      </c>
      <c r="D5171" s="399" t="s">
        <v>7547</v>
      </c>
      <c r="E5171" s="399" t="s">
        <v>7548</v>
      </c>
      <c r="F5171" s="400">
        <v>436800</v>
      </c>
      <c r="G5171" s="401" t="s">
        <v>3800</v>
      </c>
      <c r="H5171" s="402">
        <v>162.52997533425659</v>
      </c>
      <c r="I5171" s="402"/>
      <c r="J5171" s="400"/>
      <c r="K5171" s="400"/>
      <c r="L5171" s="400"/>
      <c r="M5171" s="400">
        <v>162.52997533425659</v>
      </c>
      <c r="N5171" s="400"/>
    </row>
    <row r="5172" spans="1:14" s="360" customFormat="1" hidden="1" outlineLevel="2" x14ac:dyDescent="0.35">
      <c r="A5172" s="403" t="s">
        <v>3917</v>
      </c>
      <c r="B5172" s="397">
        <v>44285</v>
      </c>
      <c r="C5172" s="398" t="s">
        <v>7546</v>
      </c>
      <c r="D5172" s="399" t="s">
        <v>7231</v>
      </c>
      <c r="E5172" s="399" t="s">
        <v>4786</v>
      </c>
      <c r="F5172" s="400">
        <v>300000</v>
      </c>
      <c r="G5172" s="401" t="s">
        <v>3800</v>
      </c>
      <c r="H5172" s="402">
        <v>111.62773031198941</v>
      </c>
      <c r="I5172" s="402"/>
      <c r="J5172" s="400"/>
      <c r="K5172" s="400"/>
      <c r="L5172" s="400"/>
      <c r="M5172" s="400">
        <v>111.62773031198941</v>
      </c>
      <c r="N5172" s="400"/>
    </row>
    <row r="5173" spans="1:14" s="360" customFormat="1" hidden="1" outlineLevel="2" x14ac:dyDescent="0.35">
      <c r="A5173" s="403" t="s">
        <v>3917</v>
      </c>
      <c r="B5173" s="397">
        <v>44286</v>
      </c>
      <c r="C5173" s="398" t="s">
        <v>7549</v>
      </c>
      <c r="D5173" s="399" t="s">
        <v>7544</v>
      </c>
      <c r="E5173" s="399" t="s">
        <v>7550</v>
      </c>
      <c r="F5173" s="400">
        <v>150000</v>
      </c>
      <c r="G5173" s="401" t="s">
        <v>3800</v>
      </c>
      <c r="H5173" s="402">
        <v>55.813865155994705</v>
      </c>
      <c r="I5173" s="402"/>
      <c r="J5173" s="400"/>
      <c r="K5173" s="400"/>
      <c r="L5173" s="400"/>
      <c r="M5173" s="400">
        <v>55.813865155994705</v>
      </c>
      <c r="N5173" s="400"/>
    </row>
    <row r="5174" spans="1:14" s="360" customFormat="1" hidden="1" outlineLevel="2" x14ac:dyDescent="0.35">
      <c r="A5174" s="403" t="s">
        <v>3917</v>
      </c>
      <c r="B5174" s="397">
        <v>44316</v>
      </c>
      <c r="C5174" s="398" t="s">
        <v>7551</v>
      </c>
      <c r="D5174" s="399" t="s">
        <v>7552</v>
      </c>
      <c r="E5174" s="399" t="s">
        <v>7553</v>
      </c>
      <c r="F5174" s="400">
        <v>83000</v>
      </c>
      <c r="G5174" s="401" t="s">
        <v>3800</v>
      </c>
      <c r="H5174" s="402">
        <v>30.883672052983737</v>
      </c>
      <c r="I5174" s="402"/>
      <c r="J5174" s="400"/>
      <c r="K5174" s="400"/>
      <c r="L5174" s="400"/>
      <c r="M5174" s="400">
        <v>30.883672052983737</v>
      </c>
      <c r="N5174" s="400"/>
    </row>
    <row r="5175" spans="1:14" s="360" customFormat="1" hidden="1" outlineLevel="2" x14ac:dyDescent="0.35">
      <c r="A5175" s="403" t="s">
        <v>3917</v>
      </c>
      <c r="B5175" s="397">
        <v>44305</v>
      </c>
      <c r="C5175" s="398" t="s">
        <v>4772</v>
      </c>
      <c r="D5175" s="399" t="s">
        <v>7554</v>
      </c>
      <c r="E5175" s="399" t="s">
        <v>7555</v>
      </c>
      <c r="F5175" s="400">
        <v>3080000</v>
      </c>
      <c r="G5175" s="401" t="s">
        <v>3800</v>
      </c>
      <c r="H5175" s="402">
        <v>1146.044697869758</v>
      </c>
      <c r="I5175" s="402"/>
      <c r="J5175" s="400"/>
      <c r="K5175" s="400"/>
      <c r="L5175" s="400"/>
      <c r="M5175" s="400">
        <v>1146.044697869758</v>
      </c>
      <c r="N5175" s="400"/>
    </row>
    <row r="5176" spans="1:14" s="360" customFormat="1" outlineLevel="1" collapsed="1" x14ac:dyDescent="0.35">
      <c r="A5176" s="396" t="s">
        <v>7556</v>
      </c>
      <c r="B5176" s="397"/>
      <c r="C5176" s="398"/>
      <c r="D5176" s="399"/>
      <c r="E5176" s="399"/>
      <c r="F5176" s="400"/>
      <c r="G5176" s="401"/>
      <c r="H5176" s="402">
        <f t="shared" ref="H5176:N5176" si="263">SUBTOTAL(9,H5169:H5175)</f>
        <v>5038.8013277963273</v>
      </c>
      <c r="I5176" s="402"/>
      <c r="J5176" s="400">
        <f t="shared" si="263"/>
        <v>0</v>
      </c>
      <c r="K5176" s="400">
        <f t="shared" si="263"/>
        <v>0</v>
      </c>
      <c r="L5176" s="400">
        <f t="shared" si="263"/>
        <v>0</v>
      </c>
      <c r="M5176" s="400">
        <f t="shared" si="263"/>
        <v>5038.8013277963273</v>
      </c>
      <c r="N5176" s="400">
        <f t="shared" si="263"/>
        <v>0</v>
      </c>
    </row>
    <row r="5177" spans="1:14" s="360" customFormat="1" hidden="1" outlineLevel="2" x14ac:dyDescent="0.35">
      <c r="A5177" s="403" t="s">
        <v>3844</v>
      </c>
      <c r="B5177" s="397">
        <v>43875</v>
      </c>
      <c r="C5177" s="398" t="s">
        <v>7557</v>
      </c>
      <c r="D5177" s="399" t="s">
        <v>7558</v>
      </c>
      <c r="E5177" s="399" t="s">
        <v>7559</v>
      </c>
      <c r="F5177" s="400">
        <v>21240</v>
      </c>
      <c r="G5177" s="401" t="s">
        <v>3800</v>
      </c>
      <c r="H5177" s="402">
        <v>8.1552376708149072</v>
      </c>
      <c r="I5177" s="402"/>
      <c r="J5177" s="400">
        <v>2.0388094177037268</v>
      </c>
      <c r="K5177" s="400">
        <v>2.0388094177037268</v>
      </c>
      <c r="L5177" s="400">
        <v>2.0388094177037268</v>
      </c>
      <c r="M5177" s="400">
        <v>2.0388094177037268</v>
      </c>
      <c r="N5177" s="400"/>
    </row>
    <row r="5178" spans="1:14" s="360" customFormat="1" hidden="1" outlineLevel="2" x14ac:dyDescent="0.35">
      <c r="A5178" s="403" t="s">
        <v>3844</v>
      </c>
      <c r="B5178" s="397">
        <v>43895</v>
      </c>
      <c r="C5178" s="398" t="s">
        <v>7560</v>
      </c>
      <c r="D5178" s="399" t="s">
        <v>7561</v>
      </c>
      <c r="E5178" s="399" t="s">
        <v>7562</v>
      </c>
      <c r="F5178" s="400">
        <v>1443702</v>
      </c>
      <c r="G5178" s="401" t="s">
        <v>3800</v>
      </c>
      <c r="H5178" s="402">
        <v>554.31887645154541</v>
      </c>
      <c r="I5178" s="402"/>
      <c r="J5178" s="400">
        <v>138.57971911288635</v>
      </c>
      <c r="K5178" s="400">
        <v>138.57971911288635</v>
      </c>
      <c r="L5178" s="400">
        <v>138.57971911288635</v>
      </c>
      <c r="M5178" s="400">
        <v>138.57971911288635</v>
      </c>
      <c r="N5178" s="400"/>
    </row>
    <row r="5179" spans="1:14" s="360" customFormat="1" hidden="1" outlineLevel="2" x14ac:dyDescent="0.35">
      <c r="A5179" s="403" t="s">
        <v>3844</v>
      </c>
      <c r="B5179" s="397">
        <v>43921</v>
      </c>
      <c r="C5179" s="398" t="s">
        <v>7563</v>
      </c>
      <c r="D5179" s="399" t="s">
        <v>7564</v>
      </c>
      <c r="E5179" s="399" t="s">
        <v>4203</v>
      </c>
      <c r="F5179" s="400">
        <v>300000</v>
      </c>
      <c r="G5179" s="401" t="s">
        <v>3800</v>
      </c>
      <c r="H5179" s="402">
        <v>115.18697275162299</v>
      </c>
      <c r="I5179" s="402"/>
      <c r="J5179" s="400">
        <v>28.796743187905747</v>
      </c>
      <c r="K5179" s="400">
        <v>28.796743187905747</v>
      </c>
      <c r="L5179" s="400">
        <v>28.796743187905747</v>
      </c>
      <c r="M5179" s="400">
        <v>28.796743187905747</v>
      </c>
      <c r="N5179" s="400"/>
    </row>
    <row r="5180" spans="1:14" s="360" customFormat="1" hidden="1" outlineLevel="2" x14ac:dyDescent="0.35">
      <c r="A5180" s="403" t="s">
        <v>3844</v>
      </c>
      <c r="B5180" s="397">
        <v>43923</v>
      </c>
      <c r="C5180" s="398" t="s">
        <v>4744</v>
      </c>
      <c r="D5180" s="399" t="s">
        <v>7565</v>
      </c>
      <c r="E5180" s="399" t="s">
        <v>4464</v>
      </c>
      <c r="F5180" s="400">
        <v>174000</v>
      </c>
      <c r="G5180" s="401" t="s">
        <v>3800</v>
      </c>
      <c r="H5180" s="402">
        <v>66.808444195941334</v>
      </c>
      <c r="I5180" s="402"/>
      <c r="J5180" s="400">
        <v>16.702111048985333</v>
      </c>
      <c r="K5180" s="400">
        <v>16.702111048985333</v>
      </c>
      <c r="L5180" s="400">
        <v>16.702111048985333</v>
      </c>
      <c r="M5180" s="400">
        <v>16.702111048985333</v>
      </c>
      <c r="N5180" s="400"/>
    </row>
    <row r="5181" spans="1:14" s="360" customFormat="1" hidden="1" outlineLevel="2" x14ac:dyDescent="0.35">
      <c r="A5181" s="403" t="s">
        <v>3844</v>
      </c>
      <c r="B5181" s="397">
        <v>43999</v>
      </c>
      <c r="C5181" s="398" t="s">
        <v>4921</v>
      </c>
      <c r="D5181" s="399" t="s">
        <v>7561</v>
      </c>
      <c r="E5181" s="399" t="s">
        <v>7566</v>
      </c>
      <c r="F5181" s="400">
        <v>519572.88</v>
      </c>
      <c r="G5181" s="401" t="s">
        <v>3800</v>
      </c>
      <c r="H5181" s="402">
        <v>199.49342390347428</v>
      </c>
      <c r="I5181" s="402"/>
      <c r="J5181" s="400">
        <v>49.87335597586857</v>
      </c>
      <c r="K5181" s="400">
        <v>49.87335597586857</v>
      </c>
      <c r="L5181" s="400">
        <v>49.87335597586857</v>
      </c>
      <c r="M5181" s="400">
        <v>49.87335597586857</v>
      </c>
      <c r="N5181" s="400"/>
    </row>
    <row r="5182" spans="1:14" s="360" customFormat="1" hidden="1" outlineLevel="2" x14ac:dyDescent="0.35">
      <c r="A5182" s="403" t="s">
        <v>3844</v>
      </c>
      <c r="B5182" s="397">
        <v>44300</v>
      </c>
      <c r="C5182" s="398" t="s">
        <v>7567</v>
      </c>
      <c r="D5182" s="399" t="s">
        <v>7568</v>
      </c>
      <c r="E5182" s="399" t="s">
        <v>4830</v>
      </c>
      <c r="F5182" s="400">
        <v>2659720</v>
      </c>
      <c r="G5182" s="401" t="s">
        <v>3800</v>
      </c>
      <c r="H5182" s="402">
        <v>989.66168955134833</v>
      </c>
      <c r="I5182" s="402"/>
      <c r="J5182" s="400">
        <v>247.41542238783708</v>
      </c>
      <c r="K5182" s="400">
        <v>247.41542238783708</v>
      </c>
      <c r="L5182" s="400">
        <v>247.41542238783708</v>
      </c>
      <c r="M5182" s="400">
        <v>247.41542238783708</v>
      </c>
      <c r="N5182" s="400"/>
    </row>
    <row r="5183" spans="1:14" s="360" customFormat="1" hidden="1" outlineLevel="2" x14ac:dyDescent="0.35">
      <c r="A5183" s="403" t="s">
        <v>3844</v>
      </c>
      <c r="B5183" s="397">
        <v>44334</v>
      </c>
      <c r="C5183" s="398" t="s">
        <v>7569</v>
      </c>
      <c r="D5183" s="399" t="s">
        <v>7561</v>
      </c>
      <c r="E5183" s="399" t="s">
        <v>6163</v>
      </c>
      <c r="F5183" s="400">
        <v>250000</v>
      </c>
      <c r="G5183" s="401" t="s">
        <v>3800</v>
      </c>
      <c r="H5183" s="402">
        <v>93.023108593324508</v>
      </c>
      <c r="I5183" s="402"/>
      <c r="J5183" s="400">
        <v>23.255777148331127</v>
      </c>
      <c r="K5183" s="400">
        <v>23.255777148331127</v>
      </c>
      <c r="L5183" s="400">
        <v>23.255777148331127</v>
      </c>
      <c r="M5183" s="400">
        <v>23.255777148331127</v>
      </c>
      <c r="N5183" s="400"/>
    </row>
    <row r="5184" spans="1:14" s="360" customFormat="1" outlineLevel="1" collapsed="1" x14ac:dyDescent="0.35">
      <c r="A5184" s="396" t="s">
        <v>7570</v>
      </c>
      <c r="B5184" s="397"/>
      <c r="C5184" s="398"/>
      <c r="D5184" s="399"/>
      <c r="E5184" s="399"/>
      <c r="F5184" s="400"/>
      <c r="G5184" s="401"/>
      <c r="H5184" s="402">
        <f t="shared" ref="H5184:N5184" si="264">SUBTOTAL(9,H5177:H5183)</f>
        <v>2026.6477531180717</v>
      </c>
      <c r="I5184" s="402"/>
      <c r="J5184" s="400">
        <f t="shared" si="264"/>
        <v>506.66193827951793</v>
      </c>
      <c r="K5184" s="400">
        <f t="shared" si="264"/>
        <v>506.66193827951793</v>
      </c>
      <c r="L5184" s="400">
        <f t="shared" si="264"/>
        <v>506.66193827951793</v>
      </c>
      <c r="M5184" s="400">
        <f t="shared" si="264"/>
        <v>506.66193827951793</v>
      </c>
      <c r="N5184" s="400">
        <f t="shared" si="264"/>
        <v>0</v>
      </c>
    </row>
    <row r="5185" spans="1:14" s="360" customFormat="1" hidden="1" outlineLevel="2" x14ac:dyDescent="0.35">
      <c r="A5185" s="403" t="s">
        <v>3845</v>
      </c>
      <c r="B5185" s="397">
        <v>43913</v>
      </c>
      <c r="C5185" s="398" t="s">
        <v>7571</v>
      </c>
      <c r="D5185" s="399" t="s">
        <v>7572</v>
      </c>
      <c r="E5185" s="399" t="s">
        <v>4741</v>
      </c>
      <c r="F5185" s="400">
        <v>2000000</v>
      </c>
      <c r="G5185" s="401" t="s">
        <v>3800</v>
      </c>
      <c r="H5185" s="402">
        <v>767.91315167748655</v>
      </c>
      <c r="I5185" s="402"/>
      <c r="J5185" s="400">
        <v>191.97828791937164</v>
      </c>
      <c r="K5185" s="400">
        <v>191.97828791937164</v>
      </c>
      <c r="L5185" s="400">
        <v>191.97828791937164</v>
      </c>
      <c r="M5185" s="400">
        <v>191.97828791937164</v>
      </c>
      <c r="N5185" s="400"/>
    </row>
    <row r="5186" spans="1:14" s="360" customFormat="1" hidden="1" outlineLevel="2" collapsed="1" x14ac:dyDescent="0.35">
      <c r="A5186" s="403" t="s">
        <v>3845</v>
      </c>
      <c r="B5186" s="397">
        <v>44104</v>
      </c>
      <c r="C5186" s="398" t="s">
        <v>6292</v>
      </c>
      <c r="D5186" s="399" t="s">
        <v>7573</v>
      </c>
      <c r="E5186" s="399" t="s">
        <v>7405</v>
      </c>
      <c r="F5186" s="400">
        <v>500000</v>
      </c>
      <c r="G5186" s="401" t="s">
        <v>3800</v>
      </c>
      <c r="H5186" s="402">
        <v>191.97828791937164</v>
      </c>
      <c r="I5186" s="402"/>
      <c r="J5186" s="400">
        <v>47.99457197984291</v>
      </c>
      <c r="K5186" s="400">
        <v>47.99457197984291</v>
      </c>
      <c r="L5186" s="400">
        <v>47.99457197984291</v>
      </c>
      <c r="M5186" s="400">
        <v>47.99457197984291</v>
      </c>
      <c r="N5186" s="400"/>
    </row>
    <row r="5187" spans="1:14" s="360" customFormat="1" hidden="1" outlineLevel="2" x14ac:dyDescent="0.35">
      <c r="A5187" s="403" t="s">
        <v>3845</v>
      </c>
      <c r="B5187" s="397">
        <v>44551</v>
      </c>
      <c r="C5187" s="398" t="s">
        <v>7574</v>
      </c>
      <c r="D5187" s="399" t="s">
        <v>7575</v>
      </c>
      <c r="E5187" s="399" t="s">
        <v>7576</v>
      </c>
      <c r="F5187" s="400">
        <v>966066</v>
      </c>
      <c r="G5187" s="401" t="s">
        <v>3800</v>
      </c>
      <c r="H5187" s="402">
        <v>359.46584970527454</v>
      </c>
      <c r="I5187" s="402"/>
      <c r="J5187" s="400">
        <v>89.866462426318634</v>
      </c>
      <c r="K5187" s="400">
        <v>89.866462426318634</v>
      </c>
      <c r="L5187" s="400">
        <v>89.866462426318634</v>
      </c>
      <c r="M5187" s="400">
        <v>89.866462426318634</v>
      </c>
      <c r="N5187" s="400"/>
    </row>
    <row r="5188" spans="1:14" s="360" customFormat="1" hidden="1" outlineLevel="2" x14ac:dyDescent="0.35">
      <c r="A5188" s="403" t="s">
        <v>7577</v>
      </c>
      <c r="B5188" s="397">
        <v>44169</v>
      </c>
      <c r="C5188" s="398" t="s">
        <v>7578</v>
      </c>
      <c r="D5188" s="399" t="s">
        <v>7404</v>
      </c>
      <c r="E5188" s="399" t="s">
        <v>7405</v>
      </c>
      <c r="F5188" s="400">
        <v>300000</v>
      </c>
      <c r="G5188" s="401" t="s">
        <v>3800</v>
      </c>
      <c r="H5188" s="402">
        <v>115.18697275162299</v>
      </c>
      <c r="I5188" s="402"/>
      <c r="J5188" s="400">
        <v>28.796743187905747</v>
      </c>
      <c r="K5188" s="400">
        <v>28.796743187905747</v>
      </c>
      <c r="L5188" s="400">
        <v>28.796743187905747</v>
      </c>
      <c r="M5188" s="400">
        <v>28.796743187905747</v>
      </c>
      <c r="N5188" s="400"/>
    </row>
    <row r="5189" spans="1:14" s="360" customFormat="1" outlineLevel="1" collapsed="1" x14ac:dyDescent="0.35">
      <c r="A5189" s="396" t="s">
        <v>7579</v>
      </c>
      <c r="B5189" s="397"/>
      <c r="C5189" s="398"/>
      <c r="D5189" s="399"/>
      <c r="E5189" s="399"/>
      <c r="F5189" s="400"/>
      <c r="G5189" s="401"/>
      <c r="H5189" s="402">
        <f t="shared" ref="H5189:N5189" si="265">SUBTOTAL(9,H5185:H5188)</f>
        <v>1434.5442620537558</v>
      </c>
      <c r="I5189" s="402"/>
      <c r="J5189" s="400">
        <f t="shared" si="265"/>
        <v>358.63606551343895</v>
      </c>
      <c r="K5189" s="400">
        <f t="shared" si="265"/>
        <v>358.63606551343895</v>
      </c>
      <c r="L5189" s="400">
        <f t="shared" si="265"/>
        <v>358.63606551343895</v>
      </c>
      <c r="M5189" s="400">
        <f t="shared" si="265"/>
        <v>358.63606551343895</v>
      </c>
      <c r="N5189" s="400">
        <f t="shared" si="265"/>
        <v>0</v>
      </c>
    </row>
    <row r="5190" spans="1:14" s="360" customFormat="1" hidden="1" outlineLevel="2" x14ac:dyDescent="0.35">
      <c r="A5190" s="403" t="s">
        <v>3897</v>
      </c>
      <c r="B5190" s="397">
        <v>44056</v>
      </c>
      <c r="C5190" s="398" t="s">
        <v>7580</v>
      </c>
      <c r="D5190" s="399" t="s">
        <v>7581</v>
      </c>
      <c r="E5190" s="399" t="s">
        <v>7582</v>
      </c>
      <c r="F5190" s="400">
        <v>1170000</v>
      </c>
      <c r="G5190" s="401" t="s">
        <v>3800</v>
      </c>
      <c r="H5190" s="402">
        <v>449.22919373132964</v>
      </c>
      <c r="I5190" s="402"/>
      <c r="J5190" s="400"/>
      <c r="K5190" s="400"/>
      <c r="L5190" s="400">
        <v>449.22919373132964</v>
      </c>
      <c r="M5190" s="400"/>
      <c r="N5190" s="400"/>
    </row>
    <row r="5191" spans="1:14" s="360" customFormat="1" hidden="1" outlineLevel="2" x14ac:dyDescent="0.35">
      <c r="A5191" s="403" t="s">
        <v>3897</v>
      </c>
      <c r="B5191" s="397">
        <v>44056</v>
      </c>
      <c r="C5191" s="398" t="s">
        <v>7580</v>
      </c>
      <c r="D5191" s="399" t="s">
        <v>7581</v>
      </c>
      <c r="E5191" s="399" t="s">
        <v>7583</v>
      </c>
      <c r="F5191" s="400">
        <v>1170000</v>
      </c>
      <c r="G5191" s="401" t="s">
        <v>3800</v>
      </c>
      <c r="H5191" s="402">
        <v>449.22919373132964</v>
      </c>
      <c r="I5191" s="402"/>
      <c r="J5191" s="400"/>
      <c r="K5191" s="400"/>
      <c r="L5191" s="400">
        <v>449.22919373132964</v>
      </c>
      <c r="M5191" s="400"/>
      <c r="N5191" s="400"/>
    </row>
    <row r="5192" spans="1:14" s="360" customFormat="1" hidden="1" outlineLevel="2" x14ac:dyDescent="0.35">
      <c r="A5192" s="403" t="s">
        <v>3897</v>
      </c>
      <c r="B5192" s="397">
        <v>44056</v>
      </c>
      <c r="C5192" s="398" t="s">
        <v>7580</v>
      </c>
      <c r="D5192" s="399" t="s">
        <v>7581</v>
      </c>
      <c r="E5192" s="399" t="s">
        <v>7584</v>
      </c>
      <c r="F5192" s="400">
        <v>1170000</v>
      </c>
      <c r="G5192" s="401" t="s">
        <v>3800</v>
      </c>
      <c r="H5192" s="402">
        <v>449.22919373132964</v>
      </c>
      <c r="I5192" s="402"/>
      <c r="J5192" s="400"/>
      <c r="K5192" s="400"/>
      <c r="L5192" s="400">
        <v>449.22919373132964</v>
      </c>
      <c r="M5192" s="400"/>
      <c r="N5192" s="400"/>
    </row>
    <row r="5193" spans="1:14" s="360" customFormat="1" hidden="1" outlineLevel="2" x14ac:dyDescent="0.35">
      <c r="A5193" s="403" t="s">
        <v>3897</v>
      </c>
      <c r="B5193" s="397">
        <v>44056</v>
      </c>
      <c r="C5193" s="398" t="s">
        <v>7580</v>
      </c>
      <c r="D5193" s="399" t="s">
        <v>7581</v>
      </c>
      <c r="E5193" s="399" t="s">
        <v>7585</v>
      </c>
      <c r="F5193" s="400">
        <v>1170000</v>
      </c>
      <c r="G5193" s="401" t="s">
        <v>3800</v>
      </c>
      <c r="H5193" s="402">
        <v>449.22919373132964</v>
      </c>
      <c r="I5193" s="402"/>
      <c r="J5193" s="400"/>
      <c r="K5193" s="400"/>
      <c r="L5193" s="400">
        <v>449.22919373132964</v>
      </c>
      <c r="M5193" s="400"/>
      <c r="N5193" s="400"/>
    </row>
    <row r="5194" spans="1:14" s="360" customFormat="1" hidden="1" outlineLevel="2" x14ac:dyDescent="0.35">
      <c r="A5194" s="403" t="s">
        <v>3897</v>
      </c>
      <c r="B5194" s="397">
        <v>44056</v>
      </c>
      <c r="C5194" s="398" t="s">
        <v>7580</v>
      </c>
      <c r="D5194" s="399" t="s">
        <v>7586</v>
      </c>
      <c r="E5194" s="399" t="s">
        <v>7587</v>
      </c>
      <c r="F5194" s="400">
        <v>400000</v>
      </c>
      <c r="G5194" s="401" t="s">
        <v>3800</v>
      </c>
      <c r="H5194" s="402">
        <v>153.58263033549733</v>
      </c>
      <c r="I5194" s="402"/>
      <c r="J5194" s="400"/>
      <c r="K5194" s="400"/>
      <c r="L5194" s="400">
        <v>153.58263033549733</v>
      </c>
      <c r="M5194" s="400"/>
      <c r="N5194" s="400"/>
    </row>
    <row r="5195" spans="1:14" s="360" customFormat="1" hidden="1" outlineLevel="2" x14ac:dyDescent="0.35">
      <c r="A5195" s="403" t="s">
        <v>3897</v>
      </c>
      <c r="B5195" s="397">
        <v>44104</v>
      </c>
      <c r="C5195" s="398" t="s">
        <v>7588</v>
      </c>
      <c r="D5195" s="399" t="s">
        <v>7589</v>
      </c>
      <c r="E5195" s="399" t="s">
        <v>7224</v>
      </c>
      <c r="F5195" s="400">
        <v>6120000</v>
      </c>
      <c r="G5195" s="401" t="s">
        <v>3800</v>
      </c>
      <c r="H5195" s="402">
        <v>2349.8142441331088</v>
      </c>
      <c r="I5195" s="402"/>
      <c r="J5195" s="400"/>
      <c r="K5195" s="400"/>
      <c r="L5195" s="400">
        <v>2349.8142441331088</v>
      </c>
      <c r="M5195" s="400"/>
      <c r="N5195" s="400"/>
    </row>
    <row r="5196" spans="1:14" s="360" customFormat="1" hidden="1" outlineLevel="2" x14ac:dyDescent="0.35">
      <c r="A5196" s="403" t="s">
        <v>3897</v>
      </c>
      <c r="B5196" s="397">
        <v>44104</v>
      </c>
      <c r="C5196" s="398" t="s">
        <v>7588</v>
      </c>
      <c r="D5196" s="399" t="s">
        <v>7590</v>
      </c>
      <c r="E5196" s="399" t="s">
        <v>7405</v>
      </c>
      <c r="F5196" s="400">
        <v>1194500</v>
      </c>
      <c r="G5196" s="401" t="s">
        <v>3800</v>
      </c>
      <c r="H5196" s="402">
        <v>458.63612983937884</v>
      </c>
      <c r="I5196" s="402"/>
      <c r="J5196" s="400"/>
      <c r="K5196" s="400"/>
      <c r="L5196" s="400">
        <v>458.63612983937884</v>
      </c>
      <c r="M5196" s="400"/>
      <c r="N5196" s="400"/>
    </row>
    <row r="5197" spans="1:14" s="360" customFormat="1" hidden="1" outlineLevel="2" x14ac:dyDescent="0.35">
      <c r="A5197" s="403" t="s">
        <v>3897</v>
      </c>
      <c r="B5197" s="397">
        <v>44104</v>
      </c>
      <c r="C5197" s="398" t="s">
        <v>7588</v>
      </c>
      <c r="D5197" s="399" t="s">
        <v>7591</v>
      </c>
      <c r="E5197" s="399" t="s">
        <v>4848</v>
      </c>
      <c r="F5197" s="400">
        <v>5980000</v>
      </c>
      <c r="G5197" s="401" t="s">
        <v>3800</v>
      </c>
      <c r="H5197" s="402">
        <v>2296.060323515685</v>
      </c>
      <c r="I5197" s="402"/>
      <c r="J5197" s="400"/>
      <c r="K5197" s="400"/>
      <c r="L5197" s="400">
        <v>2296.060323515685</v>
      </c>
      <c r="M5197" s="400"/>
      <c r="N5197" s="400"/>
    </row>
    <row r="5198" spans="1:14" s="360" customFormat="1" hidden="1" outlineLevel="2" x14ac:dyDescent="0.35">
      <c r="A5198" s="403" t="s">
        <v>3897</v>
      </c>
      <c r="B5198" s="397">
        <v>44104</v>
      </c>
      <c r="C5198" s="398" t="s">
        <v>7588</v>
      </c>
      <c r="D5198" s="399" t="s">
        <v>7592</v>
      </c>
      <c r="E5198" s="399" t="s">
        <v>4813</v>
      </c>
      <c r="F5198" s="400">
        <v>557000</v>
      </c>
      <c r="G5198" s="401" t="s">
        <v>3800</v>
      </c>
      <c r="H5198" s="402">
        <v>213.86381274218002</v>
      </c>
      <c r="I5198" s="402"/>
      <c r="J5198" s="400"/>
      <c r="K5198" s="400"/>
      <c r="L5198" s="400">
        <v>213.86381274218002</v>
      </c>
      <c r="M5198" s="400"/>
      <c r="N5198" s="400"/>
    </row>
    <row r="5199" spans="1:14" s="360" customFormat="1" hidden="1" outlineLevel="2" x14ac:dyDescent="0.35">
      <c r="A5199" s="403" t="s">
        <v>3897</v>
      </c>
      <c r="B5199" s="397">
        <v>44104</v>
      </c>
      <c r="C5199" s="398" t="s">
        <v>7588</v>
      </c>
      <c r="D5199" s="399" t="s">
        <v>7593</v>
      </c>
      <c r="E5199" s="399" t="s">
        <v>7594</v>
      </c>
      <c r="F5199" s="400">
        <v>380000</v>
      </c>
      <c r="G5199" s="401" t="s">
        <v>3800</v>
      </c>
      <c r="H5199" s="402">
        <v>145.90349881872245</v>
      </c>
      <c r="I5199" s="402"/>
      <c r="J5199" s="400"/>
      <c r="K5199" s="400"/>
      <c r="L5199" s="400">
        <v>145.90349881872245</v>
      </c>
      <c r="M5199" s="400"/>
      <c r="N5199" s="400"/>
    </row>
    <row r="5200" spans="1:14" s="360" customFormat="1" hidden="1" outlineLevel="2" x14ac:dyDescent="0.35">
      <c r="A5200" s="403" t="s">
        <v>3897</v>
      </c>
      <c r="B5200" s="397">
        <v>44104</v>
      </c>
      <c r="C5200" s="398" t="s">
        <v>7588</v>
      </c>
      <c r="D5200" s="399" t="s">
        <v>4791</v>
      </c>
      <c r="E5200" s="399" t="s">
        <v>4792</v>
      </c>
      <c r="F5200" s="400">
        <v>15000</v>
      </c>
      <c r="G5200" s="401" t="s">
        <v>3800</v>
      </c>
      <c r="H5200" s="402">
        <v>5.7593486375811489</v>
      </c>
      <c r="I5200" s="402"/>
      <c r="J5200" s="400"/>
      <c r="K5200" s="400"/>
      <c r="L5200" s="400">
        <v>5.7593486375811489</v>
      </c>
      <c r="M5200" s="400"/>
      <c r="N5200" s="400"/>
    </row>
    <row r="5201" spans="1:14" s="360" customFormat="1" outlineLevel="1" collapsed="1" x14ac:dyDescent="0.35">
      <c r="A5201" s="396" t="s">
        <v>7595</v>
      </c>
      <c r="B5201" s="397"/>
      <c r="C5201" s="398"/>
      <c r="D5201" s="399"/>
      <c r="E5201" s="399"/>
      <c r="F5201" s="400"/>
      <c r="G5201" s="401"/>
      <c r="H5201" s="402">
        <f t="shared" ref="H5201:N5201" si="266">SUBTOTAL(9,H5190:H5200)</f>
        <v>7420.5367629474713</v>
      </c>
      <c r="I5201" s="402"/>
      <c r="J5201" s="400">
        <f t="shared" si="266"/>
        <v>0</v>
      </c>
      <c r="K5201" s="400">
        <f t="shared" si="266"/>
        <v>0</v>
      </c>
      <c r="L5201" s="400">
        <f t="shared" si="266"/>
        <v>7420.5367629474713</v>
      </c>
      <c r="M5201" s="400">
        <f t="shared" si="266"/>
        <v>0</v>
      </c>
      <c r="N5201" s="400">
        <f t="shared" si="266"/>
        <v>0</v>
      </c>
    </row>
    <row r="5202" spans="1:14" s="360" customFormat="1" hidden="1" outlineLevel="2" x14ac:dyDescent="0.35">
      <c r="A5202" s="403" t="s">
        <v>7596</v>
      </c>
      <c r="B5202" s="397">
        <v>43789</v>
      </c>
      <c r="C5202" s="398" t="s">
        <v>7597</v>
      </c>
      <c r="D5202" s="399" t="s">
        <v>7598</v>
      </c>
      <c r="E5202" s="399" t="s">
        <v>7599</v>
      </c>
      <c r="F5202" s="400">
        <v>5546000</v>
      </c>
      <c r="G5202" s="401" t="s">
        <v>3800</v>
      </c>
      <c r="H5202" s="402">
        <v>2206.9069171438705</v>
      </c>
      <c r="I5202" s="402"/>
      <c r="J5202" s="400">
        <f>H5202/4</f>
        <v>551.72672928596762</v>
      </c>
      <c r="K5202" s="400">
        <f>H5202/4</f>
        <v>551.72672928596762</v>
      </c>
      <c r="L5202" s="400">
        <f>H5202/4</f>
        <v>551.72672928596762</v>
      </c>
      <c r="M5202" s="400">
        <f>H5202/4</f>
        <v>551.72672928596762</v>
      </c>
      <c r="N5202" s="400"/>
    </row>
    <row r="5203" spans="1:14" s="360" customFormat="1" outlineLevel="1" collapsed="1" x14ac:dyDescent="0.35">
      <c r="A5203" s="396" t="s">
        <v>7600</v>
      </c>
      <c r="B5203" s="397"/>
      <c r="C5203" s="398"/>
      <c r="D5203" s="399"/>
      <c r="E5203" s="399"/>
      <c r="F5203" s="400"/>
      <c r="G5203" s="401"/>
      <c r="H5203" s="402">
        <f t="shared" ref="H5203:N5203" si="267">SUBTOTAL(9,H5202:H5202)</f>
        <v>2206.9069171438705</v>
      </c>
      <c r="I5203" s="402"/>
      <c r="J5203" s="400">
        <f t="shared" si="267"/>
        <v>551.72672928596762</v>
      </c>
      <c r="K5203" s="400">
        <f t="shared" si="267"/>
        <v>551.72672928596762</v>
      </c>
      <c r="L5203" s="400">
        <f t="shared" si="267"/>
        <v>551.72672928596762</v>
      </c>
      <c r="M5203" s="400">
        <f t="shared" si="267"/>
        <v>551.72672928596762</v>
      </c>
      <c r="N5203" s="400">
        <f t="shared" si="267"/>
        <v>0</v>
      </c>
    </row>
    <row r="5204" spans="1:14" s="360" customFormat="1" hidden="1" outlineLevel="2" x14ac:dyDescent="0.35">
      <c r="A5204" s="403" t="s">
        <v>7601</v>
      </c>
      <c r="B5204" s="397">
        <v>43773</v>
      </c>
      <c r="C5204" s="398" t="s">
        <v>7602</v>
      </c>
      <c r="D5204" s="399" t="s">
        <v>7603</v>
      </c>
      <c r="E5204" s="399" t="s">
        <v>7604</v>
      </c>
      <c r="F5204" s="400">
        <v>2596000</v>
      </c>
      <c r="G5204" s="401" t="s">
        <v>3800</v>
      </c>
      <c r="H5204" s="402">
        <v>1033.0202590886202</v>
      </c>
      <c r="I5204" s="402"/>
      <c r="J5204" s="400">
        <f>H5204/4</f>
        <v>258.25506477215504</v>
      </c>
      <c r="K5204" s="400">
        <f>H5204/4</f>
        <v>258.25506477215504</v>
      </c>
      <c r="L5204" s="400">
        <f>H5204/4</f>
        <v>258.25506477215504</v>
      </c>
      <c r="M5204" s="400">
        <f>H5204/4</f>
        <v>258.25506477215504</v>
      </c>
      <c r="N5204" s="400"/>
    </row>
    <row r="5205" spans="1:14" s="360" customFormat="1" outlineLevel="1" collapsed="1" x14ac:dyDescent="0.35">
      <c r="A5205" s="396" t="s">
        <v>7605</v>
      </c>
      <c r="B5205" s="397"/>
      <c r="C5205" s="398"/>
      <c r="D5205" s="399"/>
      <c r="E5205" s="399"/>
      <c r="F5205" s="400"/>
      <c r="G5205" s="401"/>
      <c r="H5205" s="402">
        <f t="shared" ref="H5205:N5205" si="268">SUBTOTAL(9,H5204:H5204)</f>
        <v>1033.0202590886202</v>
      </c>
      <c r="I5205" s="402"/>
      <c r="J5205" s="400">
        <f t="shared" si="268"/>
        <v>258.25506477215504</v>
      </c>
      <c r="K5205" s="400">
        <f t="shared" si="268"/>
        <v>258.25506477215504</v>
      </c>
      <c r="L5205" s="400">
        <f t="shared" si="268"/>
        <v>258.25506477215504</v>
      </c>
      <c r="M5205" s="400">
        <f t="shared" si="268"/>
        <v>258.25506477215504</v>
      </c>
      <c r="N5205" s="400">
        <f t="shared" si="268"/>
        <v>0</v>
      </c>
    </row>
    <row r="5206" spans="1:14" s="360" customFormat="1" hidden="1" outlineLevel="2" x14ac:dyDescent="0.35">
      <c r="A5206" s="403" t="s">
        <v>7606</v>
      </c>
      <c r="B5206" s="397">
        <v>43753</v>
      </c>
      <c r="C5206" s="398" t="s">
        <v>7597</v>
      </c>
      <c r="D5206" s="399" t="s">
        <v>7607</v>
      </c>
      <c r="E5206" s="399" t="s">
        <v>7599</v>
      </c>
      <c r="F5206" s="400">
        <v>4548900</v>
      </c>
      <c r="G5206" s="401" t="s">
        <v>3800</v>
      </c>
      <c r="H5206" s="402">
        <v>1810.1332267211958</v>
      </c>
      <c r="I5206" s="402"/>
      <c r="J5206" s="400">
        <f>H5206/4</f>
        <v>452.53330668029895</v>
      </c>
      <c r="K5206" s="400">
        <f>H5206/4</f>
        <v>452.53330668029895</v>
      </c>
      <c r="L5206" s="400">
        <f>H5206/4</f>
        <v>452.53330668029895</v>
      </c>
      <c r="M5206" s="400">
        <f>H5206/4</f>
        <v>452.53330668029895</v>
      </c>
      <c r="N5206" s="400"/>
    </row>
    <row r="5207" spans="1:14" s="360" customFormat="1" outlineLevel="1" collapsed="1" x14ac:dyDescent="0.35">
      <c r="A5207" s="396" t="s">
        <v>7608</v>
      </c>
      <c r="B5207" s="397"/>
      <c r="C5207" s="398"/>
      <c r="D5207" s="399"/>
      <c r="E5207" s="399"/>
      <c r="F5207" s="400"/>
      <c r="G5207" s="401"/>
      <c r="H5207" s="402">
        <f t="shared" ref="H5207:N5207" si="269">SUBTOTAL(9,H5206:H5206)</f>
        <v>1810.1332267211958</v>
      </c>
      <c r="I5207" s="402"/>
      <c r="J5207" s="400">
        <f t="shared" si="269"/>
        <v>452.53330668029895</v>
      </c>
      <c r="K5207" s="400">
        <f t="shared" si="269"/>
        <v>452.53330668029895</v>
      </c>
      <c r="L5207" s="400">
        <f t="shared" si="269"/>
        <v>452.53330668029895</v>
      </c>
      <c r="M5207" s="400">
        <f t="shared" si="269"/>
        <v>452.53330668029895</v>
      </c>
      <c r="N5207" s="400">
        <f t="shared" si="269"/>
        <v>0</v>
      </c>
    </row>
    <row r="5208" spans="1:14" s="360" customFormat="1" hidden="1" outlineLevel="2" x14ac:dyDescent="0.35">
      <c r="A5208" s="403" t="s">
        <v>7609</v>
      </c>
      <c r="B5208" s="397">
        <v>43734</v>
      </c>
      <c r="C5208" s="398" t="s">
        <v>7610</v>
      </c>
      <c r="D5208" s="399" t="s">
        <v>7611</v>
      </c>
      <c r="E5208" s="399" t="s">
        <v>4931</v>
      </c>
      <c r="F5208" s="400">
        <v>193500</v>
      </c>
      <c r="G5208" s="401" t="s">
        <v>3800</v>
      </c>
      <c r="H5208" s="402">
        <v>76.999006214810478</v>
      </c>
      <c r="I5208" s="402"/>
      <c r="J5208" s="400">
        <f>H5208/4</f>
        <v>19.24975155370262</v>
      </c>
      <c r="K5208" s="400">
        <f>H5208/4</f>
        <v>19.24975155370262</v>
      </c>
      <c r="L5208" s="400">
        <f>H5208/4</f>
        <v>19.24975155370262</v>
      </c>
      <c r="M5208" s="400">
        <f>H5208/4</f>
        <v>19.24975155370262</v>
      </c>
      <c r="N5208" s="400"/>
    </row>
    <row r="5209" spans="1:14" s="360" customFormat="1" outlineLevel="1" collapsed="1" x14ac:dyDescent="0.35">
      <c r="A5209" s="396" t="s">
        <v>7612</v>
      </c>
      <c r="B5209" s="397"/>
      <c r="C5209" s="398"/>
      <c r="D5209" s="399"/>
      <c r="E5209" s="399"/>
      <c r="F5209" s="400"/>
      <c r="G5209" s="401"/>
      <c r="H5209" s="402">
        <f t="shared" ref="H5209:N5209" si="270">SUBTOTAL(9,H5208:H5208)</f>
        <v>76.999006214810478</v>
      </c>
      <c r="I5209" s="402"/>
      <c r="J5209" s="400">
        <f t="shared" si="270"/>
        <v>19.24975155370262</v>
      </c>
      <c r="K5209" s="400">
        <f t="shared" si="270"/>
        <v>19.24975155370262</v>
      </c>
      <c r="L5209" s="400">
        <f t="shared" si="270"/>
        <v>19.24975155370262</v>
      </c>
      <c r="M5209" s="400">
        <f t="shared" si="270"/>
        <v>19.24975155370262</v>
      </c>
      <c r="N5209" s="400">
        <f t="shared" si="270"/>
        <v>0</v>
      </c>
    </row>
    <row r="5210" spans="1:14" s="360" customFormat="1" hidden="1" outlineLevel="2" x14ac:dyDescent="0.35">
      <c r="A5210" s="403" t="s">
        <v>7613</v>
      </c>
      <c r="B5210" s="397">
        <v>43738</v>
      </c>
      <c r="C5210" s="398" t="s">
        <v>7614</v>
      </c>
      <c r="D5210" s="399" t="s">
        <v>7615</v>
      </c>
      <c r="E5210" s="399" t="s">
        <v>7616</v>
      </c>
      <c r="F5210" s="400">
        <v>100000</v>
      </c>
      <c r="G5210" s="401" t="s">
        <v>3800</v>
      </c>
      <c r="H5210" s="402">
        <v>39.792768069669499</v>
      </c>
      <c r="I5210" s="402"/>
      <c r="J5210" s="400">
        <f t="shared" ref="J5210:J5225" si="271">H5210/4</f>
        <v>9.9481920174173748</v>
      </c>
      <c r="K5210" s="400">
        <f t="shared" ref="K5210:K5225" si="272">H5210/4</f>
        <v>9.9481920174173748</v>
      </c>
      <c r="L5210" s="400">
        <f t="shared" ref="L5210:L5225" si="273">H5210/4</f>
        <v>9.9481920174173748</v>
      </c>
      <c r="M5210" s="400">
        <f t="shared" ref="M5210:M5225" si="274">H5210/4</f>
        <v>9.9481920174173748</v>
      </c>
      <c r="N5210" s="400"/>
    </row>
    <row r="5211" spans="1:14" s="360" customFormat="1" hidden="1" outlineLevel="2" x14ac:dyDescent="0.35">
      <c r="A5211" s="403" t="s">
        <v>7613</v>
      </c>
      <c r="B5211" s="397">
        <v>43738</v>
      </c>
      <c r="C5211" s="398" t="s">
        <v>7617</v>
      </c>
      <c r="D5211" s="399" t="s">
        <v>7618</v>
      </c>
      <c r="E5211" s="399" t="s">
        <v>7616</v>
      </c>
      <c r="F5211" s="400">
        <v>180000</v>
      </c>
      <c r="G5211" s="401" t="s">
        <v>3800</v>
      </c>
      <c r="H5211" s="402">
        <v>71.626982525405097</v>
      </c>
      <c r="I5211" s="402"/>
      <c r="J5211" s="400">
        <f t="shared" si="271"/>
        <v>17.906745631351274</v>
      </c>
      <c r="K5211" s="400">
        <f t="shared" si="272"/>
        <v>17.906745631351274</v>
      </c>
      <c r="L5211" s="400">
        <f t="shared" si="273"/>
        <v>17.906745631351274</v>
      </c>
      <c r="M5211" s="400">
        <f t="shared" si="274"/>
        <v>17.906745631351274</v>
      </c>
      <c r="N5211" s="400"/>
    </row>
    <row r="5212" spans="1:14" s="360" customFormat="1" hidden="1" outlineLevel="2" x14ac:dyDescent="0.35">
      <c r="A5212" s="403" t="s">
        <v>7613</v>
      </c>
      <c r="B5212" s="397">
        <v>43738</v>
      </c>
      <c r="C5212" s="398" t="s">
        <v>7619</v>
      </c>
      <c r="D5212" s="399" t="s">
        <v>7620</v>
      </c>
      <c r="E5212" s="399" t="s">
        <v>7616</v>
      </c>
      <c r="F5212" s="400">
        <v>420000</v>
      </c>
      <c r="G5212" s="401" t="s">
        <v>3800</v>
      </c>
      <c r="H5212" s="402">
        <v>167.1296258926119</v>
      </c>
      <c r="I5212" s="402"/>
      <c r="J5212" s="400">
        <f t="shared" si="271"/>
        <v>41.782406473152975</v>
      </c>
      <c r="K5212" s="400">
        <f t="shared" si="272"/>
        <v>41.782406473152975</v>
      </c>
      <c r="L5212" s="400">
        <f t="shared" si="273"/>
        <v>41.782406473152975</v>
      </c>
      <c r="M5212" s="400">
        <f t="shared" si="274"/>
        <v>41.782406473152975</v>
      </c>
      <c r="N5212" s="400"/>
    </row>
    <row r="5213" spans="1:14" s="360" customFormat="1" hidden="1" outlineLevel="2" x14ac:dyDescent="0.35">
      <c r="A5213" s="403" t="s">
        <v>7613</v>
      </c>
      <c r="B5213" s="397">
        <v>43738</v>
      </c>
      <c r="C5213" s="398" t="s">
        <v>7621</v>
      </c>
      <c r="D5213" s="399" t="s">
        <v>4785</v>
      </c>
      <c r="E5213" s="399" t="s">
        <v>7616</v>
      </c>
      <c r="F5213" s="400">
        <v>470000</v>
      </c>
      <c r="G5213" s="401" t="s">
        <v>3800</v>
      </c>
      <c r="H5213" s="402">
        <v>187.02600992744664</v>
      </c>
      <c r="I5213" s="402"/>
      <c r="J5213" s="400">
        <f t="shared" si="271"/>
        <v>46.756502481861659</v>
      </c>
      <c r="K5213" s="400">
        <f t="shared" si="272"/>
        <v>46.756502481861659</v>
      </c>
      <c r="L5213" s="400">
        <f t="shared" si="273"/>
        <v>46.756502481861659</v>
      </c>
      <c r="M5213" s="400">
        <f t="shared" si="274"/>
        <v>46.756502481861659</v>
      </c>
      <c r="N5213" s="400"/>
    </row>
    <row r="5214" spans="1:14" s="360" customFormat="1" hidden="1" outlineLevel="2" x14ac:dyDescent="0.35">
      <c r="A5214" s="403" t="s">
        <v>7613</v>
      </c>
      <c r="B5214" s="397">
        <v>43738</v>
      </c>
      <c r="C5214" s="398" t="s">
        <v>7622</v>
      </c>
      <c r="D5214" s="399" t="s">
        <v>4891</v>
      </c>
      <c r="E5214" s="399" t="s">
        <v>7616</v>
      </c>
      <c r="F5214" s="400">
        <v>19000</v>
      </c>
      <c r="G5214" s="401" t="s">
        <v>3800</v>
      </c>
      <c r="H5214" s="402">
        <v>7.5606259332372048</v>
      </c>
      <c r="I5214" s="402"/>
      <c r="J5214" s="400">
        <f t="shared" si="271"/>
        <v>1.8901564833093012</v>
      </c>
      <c r="K5214" s="400">
        <f t="shared" si="272"/>
        <v>1.8901564833093012</v>
      </c>
      <c r="L5214" s="400">
        <f t="shared" si="273"/>
        <v>1.8901564833093012</v>
      </c>
      <c r="M5214" s="400">
        <f t="shared" si="274"/>
        <v>1.8901564833093012</v>
      </c>
      <c r="N5214" s="400"/>
    </row>
    <row r="5215" spans="1:14" s="360" customFormat="1" hidden="1" outlineLevel="2" x14ac:dyDescent="0.35">
      <c r="A5215" s="403" t="s">
        <v>7613</v>
      </c>
      <c r="B5215" s="397">
        <v>43761</v>
      </c>
      <c r="C5215" s="398" t="s">
        <v>7623</v>
      </c>
      <c r="D5215" s="399" t="s">
        <v>7624</v>
      </c>
      <c r="E5215" s="399" t="s">
        <v>7625</v>
      </c>
      <c r="F5215" s="400">
        <v>3730000</v>
      </c>
      <c r="G5215" s="401" t="s">
        <v>3800</v>
      </c>
      <c r="H5215" s="402">
        <v>1484.2702489986723</v>
      </c>
      <c r="I5215" s="402"/>
      <c r="J5215" s="400">
        <f t="shared" si="271"/>
        <v>371.06756224966807</v>
      </c>
      <c r="K5215" s="400">
        <f t="shared" si="272"/>
        <v>371.06756224966807</v>
      </c>
      <c r="L5215" s="400">
        <f t="shared" si="273"/>
        <v>371.06756224966807</v>
      </c>
      <c r="M5215" s="400">
        <f t="shared" si="274"/>
        <v>371.06756224966807</v>
      </c>
      <c r="N5215" s="400"/>
    </row>
    <row r="5216" spans="1:14" s="360" customFormat="1" hidden="1" outlineLevel="2" x14ac:dyDescent="0.35">
      <c r="A5216" s="403" t="s">
        <v>7613</v>
      </c>
      <c r="B5216" s="397">
        <v>43766</v>
      </c>
      <c r="C5216" s="398" t="s">
        <v>7626</v>
      </c>
      <c r="D5216" s="399" t="s">
        <v>7627</v>
      </c>
      <c r="E5216" s="399" t="s">
        <v>7628</v>
      </c>
      <c r="F5216" s="400">
        <v>450000</v>
      </c>
      <c r="G5216" s="401" t="s">
        <v>3800</v>
      </c>
      <c r="H5216" s="402">
        <v>179.06745631351274</v>
      </c>
      <c r="I5216" s="402"/>
      <c r="J5216" s="400">
        <f t="shared" si="271"/>
        <v>44.766864078378184</v>
      </c>
      <c r="K5216" s="400">
        <f t="shared" si="272"/>
        <v>44.766864078378184</v>
      </c>
      <c r="L5216" s="400">
        <f t="shared" si="273"/>
        <v>44.766864078378184</v>
      </c>
      <c r="M5216" s="400">
        <f t="shared" si="274"/>
        <v>44.766864078378184</v>
      </c>
      <c r="N5216" s="400"/>
    </row>
    <row r="5217" spans="1:14" s="360" customFormat="1" hidden="1" outlineLevel="2" x14ac:dyDescent="0.35">
      <c r="A5217" s="403" t="s">
        <v>7613</v>
      </c>
      <c r="B5217" s="397">
        <v>43766</v>
      </c>
      <c r="C5217" s="398" t="s">
        <v>7629</v>
      </c>
      <c r="D5217" s="399" t="s">
        <v>7627</v>
      </c>
      <c r="E5217" s="399" t="s">
        <v>7630</v>
      </c>
      <c r="F5217" s="400">
        <v>450000</v>
      </c>
      <c r="G5217" s="401" t="s">
        <v>3800</v>
      </c>
      <c r="H5217" s="402">
        <v>179.06745631351274</v>
      </c>
      <c r="I5217" s="402"/>
      <c r="J5217" s="400">
        <f t="shared" si="271"/>
        <v>44.766864078378184</v>
      </c>
      <c r="K5217" s="400">
        <f t="shared" si="272"/>
        <v>44.766864078378184</v>
      </c>
      <c r="L5217" s="400">
        <f t="shared" si="273"/>
        <v>44.766864078378184</v>
      </c>
      <c r="M5217" s="400">
        <f t="shared" si="274"/>
        <v>44.766864078378184</v>
      </c>
      <c r="N5217" s="400"/>
    </row>
    <row r="5218" spans="1:14" s="360" customFormat="1" hidden="1" outlineLevel="2" x14ac:dyDescent="0.35">
      <c r="A5218" s="403" t="s">
        <v>7613</v>
      </c>
      <c r="B5218" s="397">
        <v>43766</v>
      </c>
      <c r="C5218" s="398" t="s">
        <v>7631</v>
      </c>
      <c r="D5218" s="399" t="s">
        <v>7627</v>
      </c>
      <c r="E5218" s="399" t="s">
        <v>7632</v>
      </c>
      <c r="F5218" s="400">
        <v>450000</v>
      </c>
      <c r="G5218" s="401" t="s">
        <v>3800</v>
      </c>
      <c r="H5218" s="402">
        <v>179.06745631351274</v>
      </c>
      <c r="I5218" s="402"/>
      <c r="J5218" s="400">
        <f t="shared" si="271"/>
        <v>44.766864078378184</v>
      </c>
      <c r="K5218" s="400">
        <f t="shared" si="272"/>
        <v>44.766864078378184</v>
      </c>
      <c r="L5218" s="400">
        <f t="shared" si="273"/>
        <v>44.766864078378184</v>
      </c>
      <c r="M5218" s="400">
        <f t="shared" si="274"/>
        <v>44.766864078378184</v>
      </c>
      <c r="N5218" s="400"/>
    </row>
    <row r="5219" spans="1:14" s="360" customFormat="1" hidden="1" outlineLevel="2" x14ac:dyDescent="0.35">
      <c r="A5219" s="403" t="s">
        <v>7613</v>
      </c>
      <c r="B5219" s="397">
        <v>43766</v>
      </c>
      <c r="C5219" s="398" t="s">
        <v>7633</v>
      </c>
      <c r="D5219" s="399" t="s">
        <v>7627</v>
      </c>
      <c r="E5219" s="399" t="s">
        <v>7634</v>
      </c>
      <c r="F5219" s="400">
        <v>450000</v>
      </c>
      <c r="G5219" s="401" t="s">
        <v>3800</v>
      </c>
      <c r="H5219" s="402">
        <v>179.06745631351274</v>
      </c>
      <c r="I5219" s="402"/>
      <c r="J5219" s="400">
        <f t="shared" si="271"/>
        <v>44.766864078378184</v>
      </c>
      <c r="K5219" s="400">
        <f t="shared" si="272"/>
        <v>44.766864078378184</v>
      </c>
      <c r="L5219" s="400">
        <f t="shared" si="273"/>
        <v>44.766864078378184</v>
      </c>
      <c r="M5219" s="400">
        <f t="shared" si="274"/>
        <v>44.766864078378184</v>
      </c>
      <c r="N5219" s="400"/>
    </row>
    <row r="5220" spans="1:14" s="360" customFormat="1" hidden="1" outlineLevel="2" x14ac:dyDescent="0.35">
      <c r="A5220" s="403" t="s">
        <v>7613</v>
      </c>
      <c r="B5220" s="397">
        <v>43766</v>
      </c>
      <c r="C5220" s="398" t="s">
        <v>7635</v>
      </c>
      <c r="D5220" s="399" t="s">
        <v>7627</v>
      </c>
      <c r="E5220" s="399" t="s">
        <v>7330</v>
      </c>
      <c r="F5220" s="400">
        <v>450000</v>
      </c>
      <c r="G5220" s="401" t="s">
        <v>3800</v>
      </c>
      <c r="H5220" s="402">
        <v>179.06745631351274</v>
      </c>
      <c r="I5220" s="402"/>
      <c r="J5220" s="400">
        <f t="shared" si="271"/>
        <v>44.766864078378184</v>
      </c>
      <c r="K5220" s="400">
        <f t="shared" si="272"/>
        <v>44.766864078378184</v>
      </c>
      <c r="L5220" s="400">
        <f t="shared" si="273"/>
        <v>44.766864078378184</v>
      </c>
      <c r="M5220" s="400">
        <f t="shared" si="274"/>
        <v>44.766864078378184</v>
      </c>
      <c r="N5220" s="400"/>
    </row>
    <row r="5221" spans="1:14" s="360" customFormat="1" hidden="1" outlineLevel="2" x14ac:dyDescent="0.35">
      <c r="A5221" s="403" t="s">
        <v>7613</v>
      </c>
      <c r="B5221" s="397">
        <v>43766</v>
      </c>
      <c r="C5221" s="398" t="s">
        <v>7636</v>
      </c>
      <c r="D5221" s="399" t="s">
        <v>7627</v>
      </c>
      <c r="E5221" s="399" t="s">
        <v>4844</v>
      </c>
      <c r="F5221" s="400">
        <v>450000</v>
      </c>
      <c r="G5221" s="401" t="s">
        <v>3800</v>
      </c>
      <c r="H5221" s="402">
        <v>179.06745631351274</v>
      </c>
      <c r="I5221" s="402"/>
      <c r="J5221" s="400">
        <f t="shared" si="271"/>
        <v>44.766864078378184</v>
      </c>
      <c r="K5221" s="400">
        <f t="shared" si="272"/>
        <v>44.766864078378184</v>
      </c>
      <c r="L5221" s="400">
        <f t="shared" si="273"/>
        <v>44.766864078378184</v>
      </c>
      <c r="M5221" s="400">
        <f t="shared" si="274"/>
        <v>44.766864078378184</v>
      </c>
      <c r="N5221" s="400"/>
    </row>
    <row r="5222" spans="1:14" s="360" customFormat="1" hidden="1" outlineLevel="2" x14ac:dyDescent="0.35">
      <c r="A5222" s="403" t="s">
        <v>7613</v>
      </c>
      <c r="B5222" s="397">
        <v>43766</v>
      </c>
      <c r="C5222" s="398" t="s">
        <v>7636</v>
      </c>
      <c r="D5222" s="399" t="s">
        <v>7627</v>
      </c>
      <c r="E5222" s="399" t="s">
        <v>7637</v>
      </c>
      <c r="F5222" s="400">
        <v>450000</v>
      </c>
      <c r="G5222" s="401" t="s">
        <v>3800</v>
      </c>
      <c r="H5222" s="402">
        <v>179.06745631351274</v>
      </c>
      <c r="I5222" s="402"/>
      <c r="J5222" s="400">
        <f t="shared" si="271"/>
        <v>44.766864078378184</v>
      </c>
      <c r="K5222" s="400">
        <f t="shared" si="272"/>
        <v>44.766864078378184</v>
      </c>
      <c r="L5222" s="400">
        <f t="shared" si="273"/>
        <v>44.766864078378184</v>
      </c>
      <c r="M5222" s="400">
        <f t="shared" si="274"/>
        <v>44.766864078378184</v>
      </c>
      <c r="N5222" s="400"/>
    </row>
    <row r="5223" spans="1:14" s="360" customFormat="1" hidden="1" outlineLevel="2" x14ac:dyDescent="0.35">
      <c r="A5223" s="403" t="s">
        <v>7613</v>
      </c>
      <c r="B5223" s="397">
        <v>43830</v>
      </c>
      <c r="C5223" s="398" t="s">
        <v>7638</v>
      </c>
      <c r="D5223" s="399" t="s">
        <v>7639</v>
      </c>
      <c r="E5223" s="399" t="s">
        <v>7640</v>
      </c>
      <c r="F5223" s="400">
        <v>480000</v>
      </c>
      <c r="G5223" s="401" t="s">
        <v>3800</v>
      </c>
      <c r="H5223" s="402">
        <v>191.00528673441357</v>
      </c>
      <c r="I5223" s="402"/>
      <c r="J5223" s="400">
        <f t="shared" si="271"/>
        <v>47.751321683603393</v>
      </c>
      <c r="K5223" s="400">
        <f t="shared" si="272"/>
        <v>47.751321683603393</v>
      </c>
      <c r="L5223" s="400">
        <f t="shared" si="273"/>
        <v>47.751321683603393</v>
      </c>
      <c r="M5223" s="400">
        <f t="shared" si="274"/>
        <v>47.751321683603393</v>
      </c>
      <c r="N5223" s="400"/>
    </row>
    <row r="5224" spans="1:14" s="360" customFormat="1" hidden="1" outlineLevel="2" x14ac:dyDescent="0.35">
      <c r="A5224" s="403" t="s">
        <v>7613</v>
      </c>
      <c r="B5224" s="397">
        <v>43830</v>
      </c>
      <c r="C5224" s="398" t="s">
        <v>7638</v>
      </c>
      <c r="D5224" s="399" t="s">
        <v>7641</v>
      </c>
      <c r="E5224" s="399" t="s">
        <v>7640</v>
      </c>
      <c r="F5224" s="400">
        <v>133450</v>
      </c>
      <c r="G5224" s="401" t="s">
        <v>3800</v>
      </c>
      <c r="H5224" s="402">
        <v>53.103448988973945</v>
      </c>
      <c r="I5224" s="402"/>
      <c r="J5224" s="400">
        <f t="shared" si="271"/>
        <v>13.275862247243486</v>
      </c>
      <c r="K5224" s="400">
        <f t="shared" si="272"/>
        <v>13.275862247243486</v>
      </c>
      <c r="L5224" s="400">
        <f t="shared" si="273"/>
        <v>13.275862247243486</v>
      </c>
      <c r="M5224" s="400">
        <f t="shared" si="274"/>
        <v>13.275862247243486</v>
      </c>
      <c r="N5224" s="400"/>
    </row>
    <row r="5225" spans="1:14" s="360" customFormat="1" hidden="1" outlineLevel="2" x14ac:dyDescent="0.35">
      <c r="A5225" s="403" t="s">
        <v>7613</v>
      </c>
      <c r="B5225" s="397">
        <v>43830</v>
      </c>
      <c r="C5225" s="398" t="s">
        <v>7638</v>
      </c>
      <c r="D5225" s="399" t="s">
        <v>4791</v>
      </c>
      <c r="E5225" s="399" t="s">
        <v>4792</v>
      </c>
      <c r="F5225" s="400">
        <v>15000</v>
      </c>
      <c r="G5225" s="401" t="s">
        <v>3800</v>
      </c>
      <c r="H5225" s="402">
        <v>5.9689152104504242</v>
      </c>
      <c r="I5225" s="402"/>
      <c r="J5225" s="400">
        <f t="shared" si="271"/>
        <v>1.492228802612606</v>
      </c>
      <c r="K5225" s="400">
        <f t="shared" si="272"/>
        <v>1.492228802612606</v>
      </c>
      <c r="L5225" s="400">
        <f t="shared" si="273"/>
        <v>1.492228802612606</v>
      </c>
      <c r="M5225" s="400">
        <f t="shared" si="274"/>
        <v>1.492228802612606</v>
      </c>
      <c r="N5225" s="400"/>
    </row>
    <row r="5226" spans="1:14" s="360" customFormat="1" outlineLevel="1" collapsed="1" x14ac:dyDescent="0.35">
      <c r="A5226" s="396" t="s">
        <v>7642</v>
      </c>
      <c r="B5226" s="397"/>
      <c r="C5226" s="398"/>
      <c r="D5226" s="399"/>
      <c r="E5226" s="399"/>
      <c r="F5226" s="400"/>
      <c r="G5226" s="401"/>
      <c r="H5226" s="402">
        <f t="shared" ref="H5226:N5226" si="275">SUBTOTAL(9,H5210:H5225)</f>
        <v>3460.9561064754689</v>
      </c>
      <c r="I5226" s="402"/>
      <c r="J5226" s="400">
        <f t="shared" si="275"/>
        <v>865.23902661886723</v>
      </c>
      <c r="K5226" s="400">
        <f t="shared" si="275"/>
        <v>865.23902661886723</v>
      </c>
      <c r="L5226" s="400">
        <f t="shared" si="275"/>
        <v>865.23902661886723</v>
      </c>
      <c r="M5226" s="400">
        <f t="shared" si="275"/>
        <v>865.23902661886723</v>
      </c>
      <c r="N5226" s="400">
        <f t="shared" si="275"/>
        <v>0</v>
      </c>
    </row>
    <row r="5227" spans="1:14" s="360" customFormat="1" hidden="1" outlineLevel="2" x14ac:dyDescent="0.35">
      <c r="A5227" s="403" t="s">
        <v>7643</v>
      </c>
      <c r="B5227" s="397">
        <v>43738</v>
      </c>
      <c r="C5227" s="398" t="s">
        <v>7644</v>
      </c>
      <c r="D5227" s="399" t="s">
        <v>7645</v>
      </c>
      <c r="E5227" s="399" t="s">
        <v>4158</v>
      </c>
      <c r="F5227" s="400">
        <v>125965.5</v>
      </c>
      <c r="G5227" s="401" t="s">
        <v>3800</v>
      </c>
      <c r="H5227" s="402">
        <v>50.125159262799528</v>
      </c>
      <c r="I5227" s="402"/>
      <c r="J5227" s="400">
        <f>H5227/4</f>
        <v>12.531289815699882</v>
      </c>
      <c r="K5227" s="400">
        <f>H5227/4</f>
        <v>12.531289815699882</v>
      </c>
      <c r="L5227" s="400">
        <f>H5227/4</f>
        <v>12.531289815699882</v>
      </c>
      <c r="M5227" s="400">
        <f>H5227/4</f>
        <v>12.531289815699882</v>
      </c>
      <c r="N5227" s="400"/>
    </row>
    <row r="5228" spans="1:14" s="360" customFormat="1" hidden="1" outlineLevel="2" x14ac:dyDescent="0.35">
      <c r="A5228" s="403" t="s">
        <v>7643</v>
      </c>
      <c r="B5228" s="397">
        <v>43769</v>
      </c>
      <c r="C5228" s="398" t="s">
        <v>7646</v>
      </c>
      <c r="D5228" s="399" t="s">
        <v>7647</v>
      </c>
      <c r="E5228" s="399" t="s">
        <v>4158</v>
      </c>
      <c r="F5228" s="400">
        <v>121536</v>
      </c>
      <c r="G5228" s="401" t="s">
        <v>3800</v>
      </c>
      <c r="H5228" s="402">
        <v>48.362538601153517</v>
      </c>
      <c r="I5228" s="402"/>
      <c r="J5228" s="400">
        <f>H5228/4</f>
        <v>12.090634650288379</v>
      </c>
      <c r="K5228" s="400">
        <f>H5228/4</f>
        <v>12.090634650288379</v>
      </c>
      <c r="L5228" s="400">
        <f>H5228/4</f>
        <v>12.090634650288379</v>
      </c>
      <c r="M5228" s="400">
        <f>H5228/4</f>
        <v>12.090634650288379</v>
      </c>
      <c r="N5228" s="400"/>
    </row>
    <row r="5229" spans="1:14" s="360" customFormat="1" hidden="1" outlineLevel="2" x14ac:dyDescent="0.35">
      <c r="A5229" s="403" t="s">
        <v>7643</v>
      </c>
      <c r="B5229" s="397">
        <v>43799</v>
      </c>
      <c r="C5229" s="398" t="s">
        <v>7648</v>
      </c>
      <c r="D5229" s="399" t="s">
        <v>7649</v>
      </c>
      <c r="E5229" s="399" t="s">
        <v>4158</v>
      </c>
      <c r="F5229" s="400">
        <v>71363.5</v>
      </c>
      <c r="G5229" s="401" t="s">
        <v>3800</v>
      </c>
      <c r="H5229" s="402">
        <v>28.397512041398592</v>
      </c>
      <c r="I5229" s="402"/>
      <c r="J5229" s="400">
        <f>H5229/4</f>
        <v>7.099378010349648</v>
      </c>
      <c r="K5229" s="400">
        <f>H5229/4</f>
        <v>7.099378010349648</v>
      </c>
      <c r="L5229" s="400">
        <f>H5229/4</f>
        <v>7.099378010349648</v>
      </c>
      <c r="M5229" s="400">
        <f>H5229/4</f>
        <v>7.099378010349648</v>
      </c>
      <c r="N5229" s="400"/>
    </row>
    <row r="5230" spans="1:14" s="360" customFormat="1" hidden="1" outlineLevel="2" x14ac:dyDescent="0.35">
      <c r="A5230" s="403" t="s">
        <v>7643</v>
      </c>
      <c r="B5230" s="397">
        <v>43830</v>
      </c>
      <c r="C5230" s="398" t="s">
        <v>7650</v>
      </c>
      <c r="D5230" s="399" t="s">
        <v>7651</v>
      </c>
      <c r="E5230" s="399" t="s">
        <v>4411</v>
      </c>
      <c r="F5230" s="400">
        <v>15297.5</v>
      </c>
      <c r="G5230" s="401" t="s">
        <v>3800</v>
      </c>
      <c r="H5230" s="402">
        <v>6.0872986954576911</v>
      </c>
      <c r="I5230" s="402"/>
      <c r="J5230" s="400">
        <f>H5230/4</f>
        <v>1.5218246738644228</v>
      </c>
      <c r="K5230" s="400">
        <f>H5230/4</f>
        <v>1.5218246738644228</v>
      </c>
      <c r="L5230" s="400">
        <f>H5230/4</f>
        <v>1.5218246738644228</v>
      </c>
      <c r="M5230" s="400">
        <f>H5230/4</f>
        <v>1.5218246738644228</v>
      </c>
      <c r="N5230" s="400"/>
    </row>
    <row r="5231" spans="1:14" s="360" customFormat="1" outlineLevel="1" collapsed="1" x14ac:dyDescent="0.35">
      <c r="A5231" s="396" t="s">
        <v>7652</v>
      </c>
      <c r="B5231" s="397"/>
      <c r="C5231" s="398"/>
      <c r="D5231" s="399"/>
      <c r="E5231" s="399"/>
      <c r="F5231" s="400"/>
      <c r="G5231" s="401"/>
      <c r="H5231" s="402">
        <f t="shared" ref="H5231:N5231" si="276">SUBTOTAL(9,H5227:H5230)</f>
        <v>132.97250860080933</v>
      </c>
      <c r="I5231" s="402"/>
      <c r="J5231" s="400">
        <f t="shared" si="276"/>
        <v>33.243127150202334</v>
      </c>
      <c r="K5231" s="400">
        <f t="shared" si="276"/>
        <v>33.243127150202334</v>
      </c>
      <c r="L5231" s="400">
        <f t="shared" si="276"/>
        <v>33.243127150202334</v>
      </c>
      <c r="M5231" s="400">
        <f t="shared" si="276"/>
        <v>33.243127150202334</v>
      </c>
      <c r="N5231" s="400">
        <f t="shared" si="276"/>
        <v>0</v>
      </c>
    </row>
    <row r="5232" spans="1:14" s="360" customFormat="1" hidden="1" outlineLevel="2" x14ac:dyDescent="0.35">
      <c r="A5232" s="403" t="s">
        <v>7653</v>
      </c>
      <c r="B5232" s="397">
        <v>43753</v>
      </c>
      <c r="C5232" s="398" t="s">
        <v>7654</v>
      </c>
      <c r="D5232" s="399" t="s">
        <v>7655</v>
      </c>
      <c r="E5232" s="399" t="s">
        <v>7656</v>
      </c>
      <c r="F5232" s="400">
        <v>600000</v>
      </c>
      <c r="G5232" s="401" t="s">
        <v>3800</v>
      </c>
      <c r="H5232" s="402">
        <v>238.75660841801698</v>
      </c>
      <c r="I5232" s="402"/>
      <c r="J5232" s="400">
        <f>H5232/4</f>
        <v>59.689152104504245</v>
      </c>
      <c r="K5232" s="400">
        <f>H5232/4</f>
        <v>59.689152104504245</v>
      </c>
      <c r="L5232" s="400">
        <f>H5232/4</f>
        <v>59.689152104504245</v>
      </c>
      <c r="M5232" s="400">
        <f>H5232/4</f>
        <v>59.689152104504245</v>
      </c>
      <c r="N5232" s="400"/>
    </row>
    <row r="5233" spans="1:14" s="360" customFormat="1" hidden="1" outlineLevel="2" x14ac:dyDescent="0.35">
      <c r="A5233" s="403" t="s">
        <v>7653</v>
      </c>
      <c r="B5233" s="397" t="s">
        <v>7657</v>
      </c>
      <c r="C5233" s="398" t="s">
        <v>7658</v>
      </c>
      <c r="D5233" s="399" t="s">
        <v>7659</v>
      </c>
      <c r="E5233" s="399" t="s">
        <v>7660</v>
      </c>
      <c r="F5233" s="400">
        <v>200000</v>
      </c>
      <c r="G5233" s="401" t="s">
        <v>3800</v>
      </c>
      <c r="H5233" s="402">
        <v>79.585536139338998</v>
      </c>
      <c r="I5233" s="402"/>
      <c r="J5233" s="400">
        <f>H5233/4</f>
        <v>19.89638403483475</v>
      </c>
      <c r="K5233" s="400">
        <f>H5233/4</f>
        <v>19.89638403483475</v>
      </c>
      <c r="L5233" s="400">
        <f>H5233/4</f>
        <v>19.89638403483475</v>
      </c>
      <c r="M5233" s="400">
        <f>H5233/4</f>
        <v>19.89638403483475</v>
      </c>
      <c r="N5233" s="400"/>
    </row>
    <row r="5234" spans="1:14" s="360" customFormat="1" hidden="1" outlineLevel="2" x14ac:dyDescent="0.35">
      <c r="A5234" s="403" t="s">
        <v>7653</v>
      </c>
      <c r="B5234" s="397">
        <v>43810</v>
      </c>
      <c r="C5234" s="398" t="s">
        <v>7661</v>
      </c>
      <c r="D5234" s="399" t="s">
        <v>7662</v>
      </c>
      <c r="E5234" s="399" t="s">
        <v>4734</v>
      </c>
      <c r="F5234" s="400">
        <v>250000</v>
      </c>
      <c r="G5234" s="401" t="s">
        <v>3800</v>
      </c>
      <c r="H5234" s="402">
        <v>99.481920174173737</v>
      </c>
      <c r="I5234" s="402"/>
      <c r="J5234" s="400">
        <f>H5234/4</f>
        <v>24.870480043543434</v>
      </c>
      <c r="K5234" s="400">
        <f>H5234/4</f>
        <v>24.870480043543434</v>
      </c>
      <c r="L5234" s="400">
        <f>H5234/4</f>
        <v>24.870480043543434</v>
      </c>
      <c r="M5234" s="400">
        <f>H5234/4</f>
        <v>24.870480043543434</v>
      </c>
      <c r="N5234" s="400"/>
    </row>
    <row r="5235" spans="1:14" s="360" customFormat="1" outlineLevel="1" collapsed="1" x14ac:dyDescent="0.35">
      <c r="A5235" s="396" t="s">
        <v>7663</v>
      </c>
      <c r="B5235" s="397"/>
      <c r="C5235" s="398"/>
      <c r="D5235" s="399"/>
      <c r="E5235" s="399"/>
      <c r="F5235" s="400"/>
      <c r="G5235" s="401"/>
      <c r="H5235" s="402">
        <f t="shared" ref="H5235:N5235" si="277">SUBTOTAL(9,H5232:H5234)</f>
        <v>417.82406473152975</v>
      </c>
      <c r="I5235" s="402"/>
      <c r="J5235" s="400">
        <f t="shared" si="277"/>
        <v>104.45601618288244</v>
      </c>
      <c r="K5235" s="400">
        <f t="shared" si="277"/>
        <v>104.45601618288244</v>
      </c>
      <c r="L5235" s="400">
        <f t="shared" si="277"/>
        <v>104.45601618288244</v>
      </c>
      <c r="M5235" s="400">
        <f t="shared" si="277"/>
        <v>104.45601618288244</v>
      </c>
      <c r="N5235" s="400">
        <f t="shared" si="277"/>
        <v>0</v>
      </c>
    </row>
    <row r="5236" spans="1:14" s="360" customFormat="1" hidden="1" outlineLevel="2" x14ac:dyDescent="0.35">
      <c r="A5236" s="403" t="s">
        <v>7664</v>
      </c>
      <c r="B5236" s="397">
        <v>43812</v>
      </c>
      <c r="C5236" s="398" t="s">
        <v>7665</v>
      </c>
      <c r="D5236" s="399" t="s">
        <v>7666</v>
      </c>
      <c r="E5236" s="399" t="s">
        <v>6342</v>
      </c>
      <c r="F5236" s="400">
        <v>3273383.22</v>
      </c>
      <c r="G5236" s="401" t="s">
        <v>3800</v>
      </c>
      <c r="H5236" s="402">
        <v>1302.5697927660792</v>
      </c>
      <c r="I5236" s="402"/>
      <c r="J5236" s="400">
        <f>H5236/4</f>
        <v>325.6424481915198</v>
      </c>
      <c r="K5236" s="400">
        <f>H5236/4</f>
        <v>325.6424481915198</v>
      </c>
      <c r="L5236" s="400">
        <f>H5236/4</f>
        <v>325.6424481915198</v>
      </c>
      <c r="M5236" s="400">
        <f>H5236/4</f>
        <v>325.6424481915198</v>
      </c>
      <c r="N5236" s="400"/>
    </row>
    <row r="5237" spans="1:14" s="360" customFormat="1" outlineLevel="1" collapsed="1" x14ac:dyDescent="0.35">
      <c r="A5237" s="396" t="s">
        <v>7667</v>
      </c>
      <c r="B5237" s="397"/>
      <c r="C5237" s="398"/>
      <c r="D5237" s="399"/>
      <c r="E5237" s="399"/>
      <c r="F5237" s="400"/>
      <c r="G5237" s="401"/>
      <c r="H5237" s="402">
        <f t="shared" ref="H5237:N5237" si="278">SUBTOTAL(9,H5236:H5236)</f>
        <v>1302.5697927660792</v>
      </c>
      <c r="I5237" s="402"/>
      <c r="J5237" s="400">
        <f t="shared" si="278"/>
        <v>325.6424481915198</v>
      </c>
      <c r="K5237" s="400">
        <f t="shared" si="278"/>
        <v>325.6424481915198</v>
      </c>
      <c r="L5237" s="400">
        <f t="shared" si="278"/>
        <v>325.6424481915198</v>
      </c>
      <c r="M5237" s="400">
        <f t="shared" si="278"/>
        <v>325.6424481915198</v>
      </c>
      <c r="N5237" s="400">
        <f t="shared" si="278"/>
        <v>0</v>
      </c>
    </row>
    <row r="5238" spans="1:14" s="360" customFormat="1" hidden="1" outlineLevel="2" x14ac:dyDescent="0.35">
      <c r="A5238" s="403" t="s">
        <v>7668</v>
      </c>
      <c r="B5238" s="397">
        <v>43753</v>
      </c>
      <c r="C5238" s="398" t="s">
        <v>7669</v>
      </c>
      <c r="D5238" s="399" t="s">
        <v>7670</v>
      </c>
      <c r="E5238" s="399" t="s">
        <v>7637</v>
      </c>
      <c r="F5238" s="400">
        <v>374597.29</v>
      </c>
      <c r="G5238" s="401" t="s">
        <v>3800</v>
      </c>
      <c r="H5238" s="402">
        <v>149.06263080496723</v>
      </c>
      <c r="I5238" s="402"/>
      <c r="J5238" s="400">
        <f t="shared" ref="J5238:J5243" si="279">H5238/4</f>
        <v>37.265657701241807</v>
      </c>
      <c r="K5238" s="400">
        <f t="shared" ref="K5238:K5243" si="280">H5238/4</f>
        <v>37.265657701241807</v>
      </c>
      <c r="L5238" s="400">
        <f t="shared" ref="L5238:L5243" si="281">H5238/4</f>
        <v>37.265657701241807</v>
      </c>
      <c r="M5238" s="400">
        <f t="shared" ref="M5238:M5243" si="282">H5238/4</f>
        <v>37.265657701241807</v>
      </c>
      <c r="N5238" s="400"/>
    </row>
    <row r="5239" spans="1:14" s="360" customFormat="1" hidden="1" outlineLevel="2" x14ac:dyDescent="0.35">
      <c r="A5239" s="403" t="s">
        <v>7668</v>
      </c>
      <c r="B5239" s="397">
        <v>43753</v>
      </c>
      <c r="C5239" s="398" t="s">
        <v>7669</v>
      </c>
      <c r="D5239" s="399" t="s">
        <v>7671</v>
      </c>
      <c r="E5239" s="399" t="s">
        <v>7672</v>
      </c>
      <c r="F5239" s="400">
        <v>159464.15</v>
      </c>
      <c r="G5239" s="401" t="s">
        <v>3800</v>
      </c>
      <c r="H5239" s="402">
        <v>63.455199363769871</v>
      </c>
      <c r="I5239" s="402"/>
      <c r="J5239" s="400">
        <f t="shared" si="279"/>
        <v>15.863799840942468</v>
      </c>
      <c r="K5239" s="400">
        <f t="shared" si="280"/>
        <v>15.863799840942468</v>
      </c>
      <c r="L5239" s="400">
        <f t="shared" si="281"/>
        <v>15.863799840942468</v>
      </c>
      <c r="M5239" s="400">
        <f t="shared" si="282"/>
        <v>15.863799840942468</v>
      </c>
      <c r="N5239" s="400"/>
    </row>
    <row r="5240" spans="1:14" s="360" customFormat="1" hidden="1" outlineLevel="2" x14ac:dyDescent="0.35">
      <c r="A5240" s="403" t="s">
        <v>7668</v>
      </c>
      <c r="B5240" s="397">
        <v>43753</v>
      </c>
      <c r="C5240" s="398" t="s">
        <v>7669</v>
      </c>
      <c r="D5240" s="399" t="s">
        <v>7673</v>
      </c>
      <c r="E5240" s="399" t="s">
        <v>7637</v>
      </c>
      <c r="F5240" s="400">
        <v>1366834.95</v>
      </c>
      <c r="G5240" s="401" t="s">
        <v>3800</v>
      </c>
      <c r="H5240" s="402">
        <v>543.90146154868296</v>
      </c>
      <c r="I5240" s="402"/>
      <c r="J5240" s="400">
        <f t="shared" si="279"/>
        <v>135.97536538717074</v>
      </c>
      <c r="K5240" s="400">
        <f t="shared" si="280"/>
        <v>135.97536538717074</v>
      </c>
      <c r="L5240" s="400">
        <f t="shared" si="281"/>
        <v>135.97536538717074</v>
      </c>
      <c r="M5240" s="400">
        <f t="shared" si="282"/>
        <v>135.97536538717074</v>
      </c>
      <c r="N5240" s="400"/>
    </row>
    <row r="5241" spans="1:14" s="360" customFormat="1" hidden="1" outlineLevel="2" x14ac:dyDescent="0.35">
      <c r="A5241" s="403" t="s">
        <v>7668</v>
      </c>
      <c r="B5241" s="397">
        <v>43789</v>
      </c>
      <c r="C5241" s="398" t="s">
        <v>7674</v>
      </c>
      <c r="D5241" s="399" t="s">
        <v>7675</v>
      </c>
      <c r="E5241" s="399" t="s">
        <v>4844</v>
      </c>
      <c r="F5241" s="400">
        <v>748344</v>
      </c>
      <c r="G5241" s="401" t="s">
        <v>3800</v>
      </c>
      <c r="H5241" s="402">
        <v>297.78679228328753</v>
      </c>
      <c r="I5241" s="402"/>
      <c r="J5241" s="400">
        <f t="shared" si="279"/>
        <v>74.446698070821881</v>
      </c>
      <c r="K5241" s="400">
        <f t="shared" si="280"/>
        <v>74.446698070821881</v>
      </c>
      <c r="L5241" s="400">
        <f t="shared" si="281"/>
        <v>74.446698070821881</v>
      </c>
      <c r="M5241" s="400">
        <f t="shared" si="282"/>
        <v>74.446698070821881</v>
      </c>
      <c r="N5241" s="400"/>
    </row>
    <row r="5242" spans="1:14" s="360" customFormat="1" hidden="1" outlineLevel="2" x14ac:dyDescent="0.35">
      <c r="A5242" s="403" t="s">
        <v>7668</v>
      </c>
      <c r="B5242" s="397">
        <v>43789</v>
      </c>
      <c r="C5242" s="398" t="s">
        <v>7676</v>
      </c>
      <c r="D5242" s="399" t="s">
        <v>7677</v>
      </c>
      <c r="E5242" s="399" t="s">
        <v>4844</v>
      </c>
      <c r="F5242" s="400">
        <v>1621200</v>
      </c>
      <c r="G5242" s="401" t="s">
        <v>3800</v>
      </c>
      <c r="H5242" s="402">
        <v>645.12035594548183</v>
      </c>
      <c r="I5242" s="402"/>
      <c r="J5242" s="400">
        <f t="shared" si="279"/>
        <v>161.28008898637046</v>
      </c>
      <c r="K5242" s="400">
        <f t="shared" si="280"/>
        <v>161.28008898637046</v>
      </c>
      <c r="L5242" s="400">
        <f t="shared" si="281"/>
        <v>161.28008898637046</v>
      </c>
      <c r="M5242" s="400">
        <f t="shared" si="282"/>
        <v>161.28008898637046</v>
      </c>
      <c r="N5242" s="400"/>
    </row>
    <row r="5243" spans="1:14" s="360" customFormat="1" hidden="1" outlineLevel="2" x14ac:dyDescent="0.35">
      <c r="A5243" s="403" t="s">
        <v>7668</v>
      </c>
      <c r="B5243" s="397">
        <v>43789</v>
      </c>
      <c r="C5243" s="398" t="s">
        <v>7678</v>
      </c>
      <c r="D5243" s="399" t="s">
        <v>7679</v>
      </c>
      <c r="E5243" s="399" t="s">
        <v>7625</v>
      </c>
      <c r="F5243" s="400">
        <v>734000</v>
      </c>
      <c r="G5243" s="401" t="s">
        <v>3800</v>
      </c>
      <c r="H5243" s="402">
        <v>292.07891763137411</v>
      </c>
      <c r="I5243" s="402"/>
      <c r="J5243" s="400">
        <f t="shared" si="279"/>
        <v>73.019729407843528</v>
      </c>
      <c r="K5243" s="400">
        <f t="shared" si="280"/>
        <v>73.019729407843528</v>
      </c>
      <c r="L5243" s="400">
        <f t="shared" si="281"/>
        <v>73.019729407843528</v>
      </c>
      <c r="M5243" s="400">
        <f t="shared" si="282"/>
        <v>73.019729407843528</v>
      </c>
      <c r="N5243" s="400"/>
    </row>
    <row r="5244" spans="1:14" s="360" customFormat="1" outlineLevel="1" collapsed="1" x14ac:dyDescent="0.35">
      <c r="A5244" s="396" t="s">
        <v>7680</v>
      </c>
      <c r="B5244" s="397"/>
      <c r="C5244" s="398"/>
      <c r="D5244" s="399"/>
      <c r="E5244" s="399"/>
      <c r="F5244" s="400"/>
      <c r="G5244" s="401"/>
      <c r="H5244" s="402">
        <f t="shared" ref="H5244:N5244" si="283">SUBTOTAL(9,H5238:H5243)</f>
        <v>1991.4053575775633</v>
      </c>
      <c r="I5244" s="402"/>
      <c r="J5244" s="400">
        <f t="shared" si="283"/>
        <v>497.85133939439083</v>
      </c>
      <c r="K5244" s="400">
        <f t="shared" si="283"/>
        <v>497.85133939439083</v>
      </c>
      <c r="L5244" s="400">
        <f t="shared" si="283"/>
        <v>497.85133939439083</v>
      </c>
      <c r="M5244" s="400">
        <f t="shared" si="283"/>
        <v>497.85133939439083</v>
      </c>
      <c r="N5244" s="400">
        <f t="shared" si="283"/>
        <v>0</v>
      </c>
    </row>
    <row r="5245" spans="1:14" s="360" customFormat="1" hidden="1" outlineLevel="2" x14ac:dyDescent="0.35">
      <c r="A5245" s="403" t="s">
        <v>7681</v>
      </c>
      <c r="B5245" s="397">
        <v>43759</v>
      </c>
      <c r="C5245" s="398" t="s">
        <v>7682</v>
      </c>
      <c r="D5245" s="399" t="s">
        <v>7683</v>
      </c>
      <c r="E5245" s="399" t="s">
        <v>5986</v>
      </c>
      <c r="F5245" s="400">
        <v>7788000</v>
      </c>
      <c r="G5245" s="401" t="s">
        <v>3800</v>
      </c>
      <c r="H5245" s="402">
        <v>3099.0607772658605</v>
      </c>
      <c r="I5245" s="402"/>
      <c r="J5245" s="400"/>
      <c r="K5245" s="400"/>
      <c r="L5245" s="400">
        <f t="shared" ref="L5245:L5253" si="284">H5245</f>
        <v>3099.0607772658605</v>
      </c>
      <c r="M5245" s="400"/>
      <c r="N5245" s="400"/>
    </row>
    <row r="5246" spans="1:14" s="360" customFormat="1" hidden="1" outlineLevel="2" x14ac:dyDescent="0.35">
      <c r="A5246" s="403" t="s">
        <v>7681</v>
      </c>
      <c r="B5246" s="397">
        <v>43759</v>
      </c>
      <c r="C5246" s="398" t="s">
        <v>7684</v>
      </c>
      <c r="D5246" s="399" t="s">
        <v>7685</v>
      </c>
      <c r="E5246" s="399" t="s">
        <v>5986</v>
      </c>
      <c r="F5246" s="400">
        <v>5475200</v>
      </c>
      <c r="G5246" s="401" t="s">
        <v>3800</v>
      </c>
      <c r="H5246" s="402">
        <v>2178.7336373505441</v>
      </c>
      <c r="I5246" s="402"/>
      <c r="J5246" s="400"/>
      <c r="K5246" s="400"/>
      <c r="L5246" s="400">
        <f t="shared" si="284"/>
        <v>2178.7336373505441</v>
      </c>
      <c r="M5246" s="400"/>
      <c r="N5246" s="400"/>
    </row>
    <row r="5247" spans="1:14" s="360" customFormat="1" hidden="1" outlineLevel="2" x14ac:dyDescent="0.35">
      <c r="A5247" s="403" t="s">
        <v>7681</v>
      </c>
      <c r="B5247" s="397">
        <v>43769</v>
      </c>
      <c r="C5247" s="398" t="s">
        <v>7686</v>
      </c>
      <c r="D5247" s="399" t="s">
        <v>7687</v>
      </c>
      <c r="E5247" s="399" t="s">
        <v>4848</v>
      </c>
      <c r="F5247" s="400">
        <v>2790000</v>
      </c>
      <c r="G5247" s="401" t="s">
        <v>3800</v>
      </c>
      <c r="H5247" s="402">
        <v>1110.2182291437789</v>
      </c>
      <c r="I5247" s="402"/>
      <c r="J5247" s="400"/>
      <c r="K5247" s="400"/>
      <c r="L5247" s="400">
        <f t="shared" si="284"/>
        <v>1110.2182291437789</v>
      </c>
      <c r="M5247" s="400"/>
      <c r="N5247" s="400"/>
    </row>
    <row r="5248" spans="1:14" s="360" customFormat="1" hidden="1" outlineLevel="2" x14ac:dyDescent="0.35">
      <c r="A5248" s="403" t="s">
        <v>7681</v>
      </c>
      <c r="B5248" s="397">
        <v>43769</v>
      </c>
      <c r="C5248" s="398" t="s">
        <v>7686</v>
      </c>
      <c r="D5248" s="399" t="s">
        <v>7688</v>
      </c>
      <c r="E5248" s="399" t="s">
        <v>7689</v>
      </c>
      <c r="F5248" s="400">
        <v>980000</v>
      </c>
      <c r="G5248" s="401" t="s">
        <v>3800</v>
      </c>
      <c r="H5248" s="402">
        <v>389.96912708276108</v>
      </c>
      <c r="I5248" s="402"/>
      <c r="J5248" s="400"/>
      <c r="K5248" s="400"/>
      <c r="L5248" s="400">
        <f t="shared" si="284"/>
        <v>389.96912708276108</v>
      </c>
      <c r="M5248" s="400"/>
      <c r="N5248" s="400"/>
    </row>
    <row r="5249" spans="1:14" s="360" customFormat="1" hidden="1" outlineLevel="2" x14ac:dyDescent="0.35">
      <c r="A5249" s="403" t="s">
        <v>7681</v>
      </c>
      <c r="B5249" s="397">
        <v>43769</v>
      </c>
      <c r="C5249" s="398" t="s">
        <v>7686</v>
      </c>
      <c r="D5249" s="399" t="s">
        <v>7690</v>
      </c>
      <c r="E5249" s="399" t="s">
        <v>7689</v>
      </c>
      <c r="F5249" s="400">
        <v>260000</v>
      </c>
      <c r="G5249" s="401" t="s">
        <v>3800</v>
      </c>
      <c r="H5249" s="402">
        <v>103.46119698114069</v>
      </c>
      <c r="I5249" s="402"/>
      <c r="J5249" s="400"/>
      <c r="K5249" s="400"/>
      <c r="L5249" s="400">
        <f t="shared" si="284"/>
        <v>103.46119698114069</v>
      </c>
      <c r="M5249" s="400"/>
      <c r="N5249" s="400"/>
    </row>
    <row r="5250" spans="1:14" s="360" customFormat="1" hidden="1" outlineLevel="2" x14ac:dyDescent="0.35">
      <c r="A5250" s="403" t="s">
        <v>7681</v>
      </c>
      <c r="B5250" s="397">
        <v>43769</v>
      </c>
      <c r="C5250" s="398" t="s">
        <v>7686</v>
      </c>
      <c r="D5250" s="399" t="s">
        <v>7691</v>
      </c>
      <c r="E5250" s="399" t="s">
        <v>7689</v>
      </c>
      <c r="F5250" s="400">
        <v>390000</v>
      </c>
      <c r="G5250" s="401" t="s">
        <v>3800</v>
      </c>
      <c r="H5250" s="402">
        <v>155.19179547171103</v>
      </c>
      <c r="I5250" s="402"/>
      <c r="J5250" s="400"/>
      <c r="K5250" s="400"/>
      <c r="L5250" s="400">
        <f t="shared" si="284"/>
        <v>155.19179547171103</v>
      </c>
      <c r="M5250" s="400"/>
      <c r="N5250" s="400"/>
    </row>
    <row r="5251" spans="1:14" s="360" customFormat="1" hidden="1" outlineLevel="2" x14ac:dyDescent="0.35">
      <c r="A5251" s="403" t="s">
        <v>7681</v>
      </c>
      <c r="B5251" s="397">
        <v>43769</v>
      </c>
      <c r="C5251" s="398" t="s">
        <v>7686</v>
      </c>
      <c r="D5251" s="399" t="s">
        <v>7692</v>
      </c>
      <c r="E5251" s="399" t="s">
        <v>7693</v>
      </c>
      <c r="F5251" s="400">
        <v>60000</v>
      </c>
      <c r="G5251" s="401" t="s">
        <v>3800</v>
      </c>
      <c r="H5251" s="402">
        <v>23.875660841801697</v>
      </c>
      <c r="I5251" s="402"/>
      <c r="J5251" s="400"/>
      <c r="K5251" s="400"/>
      <c r="L5251" s="400">
        <f t="shared" si="284"/>
        <v>23.875660841801697</v>
      </c>
      <c r="M5251" s="400"/>
      <c r="N5251" s="400"/>
    </row>
    <row r="5252" spans="1:14" s="360" customFormat="1" hidden="1" outlineLevel="2" x14ac:dyDescent="0.35">
      <c r="A5252" s="403" t="s">
        <v>7681</v>
      </c>
      <c r="B5252" s="397">
        <v>43769</v>
      </c>
      <c r="C5252" s="398" t="s">
        <v>7686</v>
      </c>
      <c r="D5252" s="399" t="s">
        <v>7694</v>
      </c>
      <c r="E5252" s="399" t="s">
        <v>7695</v>
      </c>
      <c r="F5252" s="400">
        <v>250000</v>
      </c>
      <c r="G5252" s="401" t="s">
        <v>3800</v>
      </c>
      <c r="H5252" s="402">
        <v>99.481920174173737</v>
      </c>
      <c r="I5252" s="402"/>
      <c r="J5252" s="400"/>
      <c r="K5252" s="400"/>
      <c r="L5252" s="400">
        <f t="shared" si="284"/>
        <v>99.481920174173737</v>
      </c>
      <c r="M5252" s="400"/>
      <c r="N5252" s="400"/>
    </row>
    <row r="5253" spans="1:14" s="360" customFormat="1" hidden="1" outlineLevel="2" x14ac:dyDescent="0.35">
      <c r="A5253" s="403" t="s">
        <v>7681</v>
      </c>
      <c r="B5253" s="397">
        <v>43769</v>
      </c>
      <c r="C5253" s="398" t="s">
        <v>7686</v>
      </c>
      <c r="D5253" s="399" t="s">
        <v>7696</v>
      </c>
      <c r="E5253" s="399" t="s">
        <v>7689</v>
      </c>
      <c r="F5253" s="400">
        <v>193400</v>
      </c>
      <c r="G5253" s="401" t="s">
        <v>3800</v>
      </c>
      <c r="H5253" s="402">
        <v>76.959213446740804</v>
      </c>
      <c r="I5253" s="402"/>
      <c r="J5253" s="400"/>
      <c r="K5253" s="400"/>
      <c r="L5253" s="400">
        <f t="shared" si="284"/>
        <v>76.959213446740804</v>
      </c>
      <c r="M5253" s="400"/>
      <c r="N5253" s="400"/>
    </row>
    <row r="5254" spans="1:14" s="360" customFormat="1" outlineLevel="1" collapsed="1" x14ac:dyDescent="0.35">
      <c r="A5254" s="396" t="s">
        <v>7697</v>
      </c>
      <c r="B5254" s="397"/>
      <c r="C5254" s="398"/>
      <c r="D5254" s="399"/>
      <c r="E5254" s="399"/>
      <c r="F5254" s="400"/>
      <c r="G5254" s="401"/>
      <c r="H5254" s="402">
        <f t="shared" ref="H5254:N5254" si="285">SUBTOTAL(9,H5245:H5253)</f>
        <v>7236.9515577585116</v>
      </c>
      <c r="I5254" s="402"/>
      <c r="J5254" s="400">
        <f t="shared" si="285"/>
        <v>0</v>
      </c>
      <c r="K5254" s="400">
        <f t="shared" si="285"/>
        <v>0</v>
      </c>
      <c r="L5254" s="400">
        <f t="shared" si="285"/>
        <v>7236.9515577585116</v>
      </c>
      <c r="M5254" s="400">
        <f t="shared" si="285"/>
        <v>0</v>
      </c>
      <c r="N5254" s="400">
        <f t="shared" si="285"/>
        <v>0</v>
      </c>
    </row>
    <row r="5255" spans="1:14" s="360" customFormat="1" hidden="1" outlineLevel="2" x14ac:dyDescent="0.35">
      <c r="A5255" s="403" t="s">
        <v>7698</v>
      </c>
      <c r="B5255" s="397">
        <v>43830</v>
      </c>
      <c r="C5255" s="398" t="s">
        <v>7699</v>
      </c>
      <c r="D5255" s="399" t="s">
        <v>7700</v>
      </c>
      <c r="E5255" s="399" t="s">
        <v>7640</v>
      </c>
      <c r="F5255" s="400">
        <v>6980000</v>
      </c>
      <c r="G5255" s="401" t="s">
        <v>3800</v>
      </c>
      <c r="H5255" s="402">
        <v>2777.5352112629307</v>
      </c>
      <c r="I5255" s="402"/>
      <c r="J5255" s="400"/>
      <c r="K5255" s="400"/>
      <c r="L5255" s="400">
        <f t="shared" ref="L5255:L5260" si="286">H5255</f>
        <v>2777.5352112629307</v>
      </c>
      <c r="M5255" s="400"/>
      <c r="N5255" s="400"/>
    </row>
    <row r="5256" spans="1:14" s="360" customFormat="1" hidden="1" outlineLevel="2" x14ac:dyDescent="0.35">
      <c r="A5256" s="403" t="s">
        <v>7698</v>
      </c>
      <c r="B5256" s="397">
        <v>43830</v>
      </c>
      <c r="C5256" s="398" t="s">
        <v>7699</v>
      </c>
      <c r="D5256" s="399" t="s">
        <v>7701</v>
      </c>
      <c r="E5256" s="399" t="s">
        <v>7640</v>
      </c>
      <c r="F5256" s="400">
        <v>626000</v>
      </c>
      <c r="G5256" s="401" t="s">
        <v>3800</v>
      </c>
      <c r="H5256" s="402">
        <v>249.10272811613106</v>
      </c>
      <c r="I5256" s="402"/>
      <c r="J5256" s="400"/>
      <c r="K5256" s="400"/>
      <c r="L5256" s="400">
        <f t="shared" si="286"/>
        <v>249.10272811613106</v>
      </c>
      <c r="M5256" s="400"/>
      <c r="N5256" s="400"/>
    </row>
    <row r="5257" spans="1:14" s="360" customFormat="1" hidden="1" outlineLevel="2" x14ac:dyDescent="0.35">
      <c r="A5257" s="403" t="s">
        <v>7698</v>
      </c>
      <c r="B5257" s="397">
        <v>43830</v>
      </c>
      <c r="C5257" s="398" t="s">
        <v>7699</v>
      </c>
      <c r="D5257" s="399" t="s">
        <v>7223</v>
      </c>
      <c r="E5257" s="399" t="s">
        <v>7702</v>
      </c>
      <c r="F5257" s="400">
        <v>3800000</v>
      </c>
      <c r="G5257" s="401" t="s">
        <v>3800</v>
      </c>
      <c r="H5257" s="402">
        <v>1512.1251866474408</v>
      </c>
      <c r="I5257" s="402"/>
      <c r="J5257" s="400"/>
      <c r="K5257" s="400"/>
      <c r="L5257" s="400">
        <f t="shared" si="286"/>
        <v>1512.1251866474408</v>
      </c>
      <c r="M5257" s="400"/>
      <c r="N5257" s="400"/>
    </row>
    <row r="5258" spans="1:14" s="360" customFormat="1" hidden="1" outlineLevel="2" x14ac:dyDescent="0.35">
      <c r="A5258" s="403" t="s">
        <v>7698</v>
      </c>
      <c r="B5258" s="397">
        <v>43830</v>
      </c>
      <c r="C5258" s="398" t="s">
        <v>7699</v>
      </c>
      <c r="D5258" s="399" t="s">
        <v>7703</v>
      </c>
      <c r="E5258" s="399" t="s">
        <v>7640</v>
      </c>
      <c r="F5258" s="400">
        <v>330000</v>
      </c>
      <c r="G5258" s="401" t="s">
        <v>3800</v>
      </c>
      <c r="H5258" s="402">
        <v>131.31613462990933</v>
      </c>
      <c r="I5258" s="402"/>
      <c r="J5258" s="400"/>
      <c r="K5258" s="400"/>
      <c r="L5258" s="400">
        <f t="shared" si="286"/>
        <v>131.31613462990933</v>
      </c>
      <c r="M5258" s="400"/>
      <c r="N5258" s="400"/>
    </row>
    <row r="5259" spans="1:14" s="360" customFormat="1" hidden="1" outlineLevel="2" x14ac:dyDescent="0.35">
      <c r="A5259" s="403" t="s">
        <v>7698</v>
      </c>
      <c r="B5259" s="397">
        <v>43830</v>
      </c>
      <c r="C5259" s="398" t="s">
        <v>7699</v>
      </c>
      <c r="D5259" s="399" t="s">
        <v>4891</v>
      </c>
      <c r="E5259" s="399" t="s">
        <v>4811</v>
      </c>
      <c r="F5259" s="400">
        <v>290000</v>
      </c>
      <c r="G5259" s="401" t="s">
        <v>3800</v>
      </c>
      <c r="H5259" s="402">
        <v>115.39902740204154</v>
      </c>
      <c r="I5259" s="402"/>
      <c r="J5259" s="400"/>
      <c r="K5259" s="400"/>
      <c r="L5259" s="400">
        <f t="shared" si="286"/>
        <v>115.39902740204154</v>
      </c>
      <c r="M5259" s="400"/>
      <c r="N5259" s="400"/>
    </row>
    <row r="5260" spans="1:14" s="360" customFormat="1" hidden="1" outlineLevel="2" x14ac:dyDescent="0.35">
      <c r="A5260" s="403" t="s">
        <v>7698</v>
      </c>
      <c r="B5260" s="397">
        <v>43830</v>
      </c>
      <c r="C5260" s="398" t="s">
        <v>7699</v>
      </c>
      <c r="D5260" s="399" t="s">
        <v>7704</v>
      </c>
      <c r="E5260" s="399" t="s">
        <v>7446</v>
      </c>
      <c r="F5260" s="400">
        <v>130000</v>
      </c>
      <c r="G5260" s="401" t="s">
        <v>3800</v>
      </c>
      <c r="H5260" s="402">
        <v>51.730598490570344</v>
      </c>
      <c r="I5260" s="402"/>
      <c r="J5260" s="400"/>
      <c r="K5260" s="400"/>
      <c r="L5260" s="400">
        <f t="shared" si="286"/>
        <v>51.730598490570344</v>
      </c>
      <c r="M5260" s="400"/>
      <c r="N5260" s="400"/>
    </row>
    <row r="5261" spans="1:14" s="360" customFormat="1" outlineLevel="1" collapsed="1" x14ac:dyDescent="0.35">
      <c r="A5261" s="396" t="s">
        <v>7705</v>
      </c>
      <c r="B5261" s="397"/>
      <c r="C5261" s="398"/>
      <c r="D5261" s="399"/>
      <c r="E5261" s="399"/>
      <c r="F5261" s="400"/>
      <c r="G5261" s="401"/>
      <c r="H5261" s="402">
        <f t="shared" ref="H5261:N5261" si="287">SUBTOTAL(9,H5255:H5260)</f>
        <v>4837.2088865490241</v>
      </c>
      <c r="I5261" s="402"/>
      <c r="J5261" s="400">
        <f t="shared" si="287"/>
        <v>0</v>
      </c>
      <c r="K5261" s="400">
        <f t="shared" si="287"/>
        <v>0</v>
      </c>
      <c r="L5261" s="400">
        <f t="shared" si="287"/>
        <v>4837.2088865490241</v>
      </c>
      <c r="M5261" s="400">
        <f t="shared" si="287"/>
        <v>0</v>
      </c>
      <c r="N5261" s="400">
        <f t="shared" si="287"/>
        <v>0</v>
      </c>
    </row>
    <row r="5262" spans="1:14" s="360" customFormat="1" hidden="1" outlineLevel="2" x14ac:dyDescent="0.35">
      <c r="A5262" s="403" t="s">
        <v>7706</v>
      </c>
      <c r="B5262" s="397">
        <v>43795</v>
      </c>
      <c r="C5262" s="398" t="s">
        <v>7707</v>
      </c>
      <c r="D5262" s="399" t="s">
        <v>7708</v>
      </c>
      <c r="E5262" s="399" t="s">
        <v>7709</v>
      </c>
      <c r="F5262" s="400">
        <v>15768000</v>
      </c>
      <c r="G5262" s="401" t="s">
        <v>3800</v>
      </c>
      <c r="H5262" s="402">
        <v>6274.5236692254866</v>
      </c>
      <c r="I5262" s="402"/>
      <c r="J5262" s="400"/>
      <c r="K5262" s="400"/>
      <c r="L5262" s="400"/>
      <c r="M5262" s="400">
        <f>H5262</f>
        <v>6274.5236692254866</v>
      </c>
      <c r="N5262" s="400"/>
    </row>
    <row r="5263" spans="1:14" s="360" customFormat="1" hidden="1" outlineLevel="2" x14ac:dyDescent="0.35">
      <c r="A5263" s="403" t="s">
        <v>7706</v>
      </c>
      <c r="B5263" s="397">
        <v>43795</v>
      </c>
      <c r="C5263" s="398" t="s">
        <v>7707</v>
      </c>
      <c r="D5263" s="399" t="s">
        <v>6111</v>
      </c>
      <c r="E5263" s="399" t="s">
        <v>7709</v>
      </c>
      <c r="F5263" s="400">
        <v>1964000</v>
      </c>
      <c r="G5263" s="401" t="s">
        <v>3800</v>
      </c>
      <c r="H5263" s="402">
        <v>781.52996488830888</v>
      </c>
      <c r="I5263" s="402"/>
      <c r="J5263" s="400"/>
      <c r="K5263" s="400"/>
      <c r="L5263" s="400"/>
      <c r="M5263" s="400">
        <f>H5263</f>
        <v>781.52996488830888</v>
      </c>
      <c r="N5263" s="400"/>
    </row>
    <row r="5264" spans="1:14" s="360" customFormat="1" hidden="1" outlineLevel="2" x14ac:dyDescent="0.35">
      <c r="A5264" s="403" t="s">
        <v>7706</v>
      </c>
      <c r="B5264" s="397">
        <v>43795</v>
      </c>
      <c r="C5264" s="398" t="s">
        <v>7707</v>
      </c>
      <c r="D5264" s="399" t="s">
        <v>4891</v>
      </c>
      <c r="E5264" s="399" t="s">
        <v>7709</v>
      </c>
      <c r="F5264" s="400">
        <v>84000</v>
      </c>
      <c r="G5264" s="401" t="s">
        <v>3800</v>
      </c>
      <c r="H5264" s="402">
        <v>33.425925178522377</v>
      </c>
      <c r="I5264" s="402"/>
      <c r="J5264" s="400"/>
      <c r="K5264" s="400"/>
      <c r="L5264" s="400"/>
      <c r="M5264" s="400">
        <f>H5264</f>
        <v>33.425925178522377</v>
      </c>
      <c r="N5264" s="400"/>
    </row>
    <row r="5265" spans="1:14" s="360" customFormat="1" hidden="1" outlineLevel="2" x14ac:dyDescent="0.35">
      <c r="A5265" s="403" t="s">
        <v>7706</v>
      </c>
      <c r="B5265" s="397">
        <v>43795</v>
      </c>
      <c r="C5265" s="398" t="s">
        <v>7707</v>
      </c>
      <c r="D5265" s="399" t="s">
        <v>6171</v>
      </c>
      <c r="E5265" s="399" t="s">
        <v>7710</v>
      </c>
      <c r="F5265" s="400">
        <v>30000</v>
      </c>
      <c r="G5265" s="401" t="s">
        <v>3800</v>
      </c>
      <c r="H5265" s="402">
        <v>11.937830420900848</v>
      </c>
      <c r="I5265" s="402"/>
      <c r="J5265" s="400"/>
      <c r="K5265" s="400"/>
      <c r="L5265" s="400"/>
      <c r="M5265" s="400">
        <f>H5265</f>
        <v>11.937830420900848</v>
      </c>
      <c r="N5265" s="400"/>
    </row>
    <row r="5266" spans="1:14" s="360" customFormat="1" hidden="1" outlineLevel="2" x14ac:dyDescent="0.35">
      <c r="A5266" s="403" t="s">
        <v>7706</v>
      </c>
      <c r="B5266" s="397">
        <v>43789</v>
      </c>
      <c r="C5266" s="398" t="s">
        <v>7711</v>
      </c>
      <c r="D5266" s="399" t="s">
        <v>7712</v>
      </c>
      <c r="E5266" s="399" t="s">
        <v>7710</v>
      </c>
      <c r="F5266" s="400">
        <v>3395000</v>
      </c>
      <c r="G5266" s="401" t="s">
        <v>3800</v>
      </c>
      <c r="H5266" s="402">
        <v>1350.9644759652795</v>
      </c>
      <c r="I5266" s="402"/>
      <c r="J5266" s="400"/>
      <c r="K5266" s="400"/>
      <c r="L5266" s="400"/>
      <c r="M5266" s="400">
        <f>H5266</f>
        <v>1350.9644759652795</v>
      </c>
      <c r="N5266" s="400"/>
    </row>
    <row r="5267" spans="1:14" s="360" customFormat="1" outlineLevel="1" collapsed="1" x14ac:dyDescent="0.35">
      <c r="A5267" s="396" t="s">
        <v>7713</v>
      </c>
      <c r="B5267" s="397"/>
      <c r="C5267" s="398"/>
      <c r="D5267" s="399"/>
      <c r="E5267" s="399"/>
      <c r="F5267" s="400"/>
      <c r="G5267" s="401"/>
      <c r="H5267" s="402">
        <f t="shared" ref="H5267:N5267" si="288">SUBTOTAL(9,H5262:H5266)</f>
        <v>8452.3818656784988</v>
      </c>
      <c r="I5267" s="402"/>
      <c r="J5267" s="400">
        <f t="shared" si="288"/>
        <v>0</v>
      </c>
      <c r="K5267" s="400">
        <f t="shared" si="288"/>
        <v>0</v>
      </c>
      <c r="L5267" s="400">
        <f t="shared" si="288"/>
        <v>0</v>
      </c>
      <c r="M5267" s="400">
        <f t="shared" si="288"/>
        <v>8452.3818656784988</v>
      </c>
      <c r="N5267" s="400">
        <f t="shared" si="288"/>
        <v>0</v>
      </c>
    </row>
    <row r="5268" spans="1:14" s="360" customFormat="1" hidden="1" outlineLevel="2" x14ac:dyDescent="0.35">
      <c r="A5268" s="403" t="s">
        <v>7714</v>
      </c>
      <c r="B5268" s="397">
        <v>43721</v>
      </c>
      <c r="C5268" s="398" t="s">
        <v>7715</v>
      </c>
      <c r="D5268" s="399" t="s">
        <v>7716</v>
      </c>
      <c r="E5268" s="399" t="s">
        <v>6202</v>
      </c>
      <c r="F5268" s="400">
        <v>2500000</v>
      </c>
      <c r="G5268" s="401" t="s">
        <v>3800</v>
      </c>
      <c r="H5268" s="402">
        <v>994.8192017417374</v>
      </c>
      <c r="I5268" s="402"/>
      <c r="J5268" s="400">
        <f t="shared" ref="J5268:J5297" si="289">H5268/4</f>
        <v>248.70480043543435</v>
      </c>
      <c r="K5268" s="400">
        <f t="shared" ref="K5268:K5297" si="290">H5268/4</f>
        <v>248.70480043543435</v>
      </c>
      <c r="L5268" s="400">
        <f t="shared" ref="L5268:L5297" si="291">H5268/4</f>
        <v>248.70480043543435</v>
      </c>
      <c r="M5268" s="400">
        <f t="shared" ref="M5268:M5297" si="292">H5268/4</f>
        <v>248.70480043543435</v>
      </c>
      <c r="N5268" s="400"/>
    </row>
    <row r="5269" spans="1:14" s="360" customFormat="1" hidden="1" outlineLevel="2" x14ac:dyDescent="0.35">
      <c r="A5269" s="403" t="s">
        <v>7714</v>
      </c>
      <c r="B5269" s="397">
        <v>43721</v>
      </c>
      <c r="C5269" s="398" t="s">
        <v>7715</v>
      </c>
      <c r="D5269" s="399" t="s">
        <v>7717</v>
      </c>
      <c r="E5269" s="399" t="s">
        <v>6202</v>
      </c>
      <c r="F5269" s="400">
        <v>375000</v>
      </c>
      <c r="G5269" s="401" t="s">
        <v>3800</v>
      </c>
      <c r="H5269" s="402">
        <v>149.2228802612606</v>
      </c>
      <c r="I5269" s="402"/>
      <c r="J5269" s="400">
        <f t="shared" si="289"/>
        <v>37.30572006531515</v>
      </c>
      <c r="K5269" s="400">
        <f t="shared" si="290"/>
        <v>37.30572006531515</v>
      </c>
      <c r="L5269" s="400">
        <f t="shared" si="291"/>
        <v>37.30572006531515</v>
      </c>
      <c r="M5269" s="400">
        <f t="shared" si="292"/>
        <v>37.30572006531515</v>
      </c>
      <c r="N5269" s="400"/>
    </row>
    <row r="5270" spans="1:14" s="360" customFormat="1" hidden="1" outlineLevel="2" x14ac:dyDescent="0.35">
      <c r="A5270" s="403" t="s">
        <v>7714</v>
      </c>
      <c r="B5270" s="397">
        <v>43725</v>
      </c>
      <c r="C5270" s="398" t="s">
        <v>7718</v>
      </c>
      <c r="D5270" s="399" t="s">
        <v>7719</v>
      </c>
      <c r="E5270" s="399" t="s">
        <v>4272</v>
      </c>
      <c r="F5270" s="400">
        <v>312500</v>
      </c>
      <c r="G5270" s="401" t="s">
        <v>3800</v>
      </c>
      <c r="H5270" s="402">
        <v>124.35240021771718</v>
      </c>
      <c r="I5270" s="402"/>
      <c r="J5270" s="400">
        <f t="shared" si="289"/>
        <v>31.088100054429294</v>
      </c>
      <c r="K5270" s="400">
        <f t="shared" si="290"/>
        <v>31.088100054429294</v>
      </c>
      <c r="L5270" s="400">
        <f t="shared" si="291"/>
        <v>31.088100054429294</v>
      </c>
      <c r="M5270" s="400">
        <f t="shared" si="292"/>
        <v>31.088100054429294</v>
      </c>
      <c r="N5270" s="400"/>
    </row>
    <row r="5271" spans="1:14" s="360" customFormat="1" hidden="1" outlineLevel="2" x14ac:dyDescent="0.35">
      <c r="A5271" s="403" t="s">
        <v>7714</v>
      </c>
      <c r="B5271" s="397">
        <v>43721</v>
      </c>
      <c r="C5271" s="398" t="s">
        <v>7715</v>
      </c>
      <c r="D5271" s="399" t="s">
        <v>7720</v>
      </c>
      <c r="E5271" s="399" t="s">
        <v>6202</v>
      </c>
      <c r="F5271" s="400">
        <v>125000</v>
      </c>
      <c r="G5271" s="401" t="s">
        <v>3800</v>
      </c>
      <c r="H5271" s="402">
        <v>49.740960087086869</v>
      </c>
      <c r="I5271" s="402"/>
      <c r="J5271" s="400">
        <f t="shared" si="289"/>
        <v>12.435240021771717</v>
      </c>
      <c r="K5271" s="400">
        <f t="shared" si="290"/>
        <v>12.435240021771717</v>
      </c>
      <c r="L5271" s="400">
        <f t="shared" si="291"/>
        <v>12.435240021771717</v>
      </c>
      <c r="M5271" s="400">
        <f t="shared" si="292"/>
        <v>12.435240021771717</v>
      </c>
      <c r="N5271" s="400"/>
    </row>
    <row r="5272" spans="1:14" s="360" customFormat="1" hidden="1" outlineLevel="2" x14ac:dyDescent="0.35">
      <c r="A5272" s="403" t="s">
        <v>7714</v>
      </c>
      <c r="B5272" s="397">
        <v>43725</v>
      </c>
      <c r="C5272" s="398" t="s">
        <v>7721</v>
      </c>
      <c r="D5272" s="399" t="s">
        <v>7722</v>
      </c>
      <c r="E5272" s="399" t="s">
        <v>4039</v>
      </c>
      <c r="F5272" s="400">
        <v>125000</v>
      </c>
      <c r="G5272" s="401" t="s">
        <v>3800</v>
      </c>
      <c r="H5272" s="402">
        <v>49.740960087086869</v>
      </c>
      <c r="I5272" s="402"/>
      <c r="J5272" s="400">
        <f t="shared" si="289"/>
        <v>12.435240021771717</v>
      </c>
      <c r="K5272" s="400">
        <f t="shared" si="290"/>
        <v>12.435240021771717</v>
      </c>
      <c r="L5272" s="400">
        <f t="shared" si="291"/>
        <v>12.435240021771717</v>
      </c>
      <c r="M5272" s="400">
        <f t="shared" si="292"/>
        <v>12.435240021771717</v>
      </c>
      <c r="N5272" s="400"/>
    </row>
    <row r="5273" spans="1:14" s="360" customFormat="1" hidden="1" outlineLevel="2" x14ac:dyDescent="0.35">
      <c r="A5273" s="403" t="s">
        <v>7714</v>
      </c>
      <c r="B5273" s="397">
        <v>43725</v>
      </c>
      <c r="C5273" s="398" t="s">
        <v>7723</v>
      </c>
      <c r="D5273" s="399" t="s">
        <v>7724</v>
      </c>
      <c r="E5273" s="399" t="s">
        <v>4042</v>
      </c>
      <c r="F5273" s="400">
        <v>31250</v>
      </c>
      <c r="G5273" s="401" t="s">
        <v>3800</v>
      </c>
      <c r="H5273" s="402">
        <v>12.435240021771717</v>
      </c>
      <c r="I5273" s="402"/>
      <c r="J5273" s="400">
        <f t="shared" si="289"/>
        <v>3.1088100054429293</v>
      </c>
      <c r="K5273" s="400">
        <f t="shared" si="290"/>
        <v>3.1088100054429293</v>
      </c>
      <c r="L5273" s="400">
        <f t="shared" si="291"/>
        <v>3.1088100054429293</v>
      </c>
      <c r="M5273" s="400">
        <f t="shared" si="292"/>
        <v>3.1088100054429293</v>
      </c>
      <c r="N5273" s="400"/>
    </row>
    <row r="5274" spans="1:14" s="360" customFormat="1" hidden="1" outlineLevel="2" x14ac:dyDescent="0.35">
      <c r="A5274" s="403" t="s">
        <v>7714</v>
      </c>
      <c r="B5274" s="397">
        <v>43735</v>
      </c>
      <c r="C5274" s="398" t="s">
        <v>7725</v>
      </c>
      <c r="D5274" s="399" t="s">
        <v>7726</v>
      </c>
      <c r="E5274" s="399" t="s">
        <v>6202</v>
      </c>
      <c r="F5274" s="400">
        <v>2500000</v>
      </c>
      <c r="G5274" s="401" t="s">
        <v>3800</v>
      </c>
      <c r="H5274" s="402">
        <v>994.8192017417374</v>
      </c>
      <c r="I5274" s="402"/>
      <c r="J5274" s="400">
        <f t="shared" si="289"/>
        <v>248.70480043543435</v>
      </c>
      <c r="K5274" s="400">
        <f t="shared" si="290"/>
        <v>248.70480043543435</v>
      </c>
      <c r="L5274" s="400">
        <f t="shared" si="291"/>
        <v>248.70480043543435</v>
      </c>
      <c r="M5274" s="400">
        <f t="shared" si="292"/>
        <v>248.70480043543435</v>
      </c>
      <c r="N5274" s="400"/>
    </row>
    <row r="5275" spans="1:14" s="360" customFormat="1" hidden="1" outlineLevel="2" x14ac:dyDescent="0.35">
      <c r="A5275" s="403" t="s">
        <v>7714</v>
      </c>
      <c r="B5275" s="397">
        <v>43735</v>
      </c>
      <c r="C5275" s="398" t="s">
        <v>7725</v>
      </c>
      <c r="D5275" s="399" t="s">
        <v>7727</v>
      </c>
      <c r="E5275" s="399" t="s">
        <v>6202</v>
      </c>
      <c r="F5275" s="400">
        <v>375000</v>
      </c>
      <c r="G5275" s="401" t="s">
        <v>3800</v>
      </c>
      <c r="H5275" s="402">
        <v>149.2228802612606</v>
      </c>
      <c r="I5275" s="402"/>
      <c r="J5275" s="400">
        <f t="shared" si="289"/>
        <v>37.30572006531515</v>
      </c>
      <c r="K5275" s="400">
        <f t="shared" si="290"/>
        <v>37.30572006531515</v>
      </c>
      <c r="L5275" s="400">
        <f t="shared" si="291"/>
        <v>37.30572006531515</v>
      </c>
      <c r="M5275" s="400">
        <f t="shared" si="292"/>
        <v>37.30572006531515</v>
      </c>
      <c r="N5275" s="400"/>
    </row>
    <row r="5276" spans="1:14" s="360" customFormat="1" hidden="1" outlineLevel="2" x14ac:dyDescent="0.35">
      <c r="A5276" s="403" t="s">
        <v>7714</v>
      </c>
      <c r="B5276" s="397">
        <v>43736</v>
      </c>
      <c r="C5276" s="398" t="s">
        <v>7728</v>
      </c>
      <c r="D5276" s="399" t="s">
        <v>7729</v>
      </c>
      <c r="E5276" s="399" t="s">
        <v>4272</v>
      </c>
      <c r="F5276" s="400">
        <v>312500</v>
      </c>
      <c r="G5276" s="401" t="s">
        <v>3800</v>
      </c>
      <c r="H5276" s="402">
        <v>124.35240021771718</v>
      </c>
      <c r="I5276" s="402"/>
      <c r="J5276" s="400">
        <f t="shared" si="289"/>
        <v>31.088100054429294</v>
      </c>
      <c r="K5276" s="400">
        <f t="shared" si="290"/>
        <v>31.088100054429294</v>
      </c>
      <c r="L5276" s="400">
        <f t="shared" si="291"/>
        <v>31.088100054429294</v>
      </c>
      <c r="M5276" s="400">
        <f t="shared" si="292"/>
        <v>31.088100054429294</v>
      </c>
      <c r="N5276" s="400"/>
    </row>
    <row r="5277" spans="1:14" s="360" customFormat="1" hidden="1" outlineLevel="2" x14ac:dyDescent="0.35">
      <c r="A5277" s="403" t="s">
        <v>7714</v>
      </c>
      <c r="B5277" s="397">
        <v>43735</v>
      </c>
      <c r="C5277" s="398" t="s">
        <v>7725</v>
      </c>
      <c r="D5277" s="399" t="s">
        <v>7730</v>
      </c>
      <c r="E5277" s="399" t="s">
        <v>6202</v>
      </c>
      <c r="F5277" s="400">
        <v>125000</v>
      </c>
      <c r="G5277" s="401" t="s">
        <v>3800</v>
      </c>
      <c r="H5277" s="402">
        <v>49.740960087086869</v>
      </c>
      <c r="I5277" s="402"/>
      <c r="J5277" s="400">
        <f t="shared" si="289"/>
        <v>12.435240021771717</v>
      </c>
      <c r="K5277" s="400">
        <f t="shared" si="290"/>
        <v>12.435240021771717</v>
      </c>
      <c r="L5277" s="400">
        <f t="shared" si="291"/>
        <v>12.435240021771717</v>
      </c>
      <c r="M5277" s="400">
        <f t="shared" si="292"/>
        <v>12.435240021771717</v>
      </c>
      <c r="N5277" s="400"/>
    </row>
    <row r="5278" spans="1:14" s="360" customFormat="1" hidden="1" outlineLevel="2" x14ac:dyDescent="0.35">
      <c r="A5278" s="403" t="s">
        <v>7714</v>
      </c>
      <c r="B5278" s="397">
        <v>43736</v>
      </c>
      <c r="C5278" s="398" t="s">
        <v>7731</v>
      </c>
      <c r="D5278" s="399" t="s">
        <v>7732</v>
      </c>
      <c r="E5278" s="399" t="s">
        <v>4039</v>
      </c>
      <c r="F5278" s="400">
        <v>125000</v>
      </c>
      <c r="G5278" s="401" t="s">
        <v>3800</v>
      </c>
      <c r="H5278" s="402">
        <v>49.740960087086869</v>
      </c>
      <c r="I5278" s="402"/>
      <c r="J5278" s="400">
        <f t="shared" si="289"/>
        <v>12.435240021771717</v>
      </c>
      <c r="K5278" s="400">
        <f t="shared" si="290"/>
        <v>12.435240021771717</v>
      </c>
      <c r="L5278" s="400">
        <f t="shared" si="291"/>
        <v>12.435240021771717</v>
      </c>
      <c r="M5278" s="400">
        <f t="shared" si="292"/>
        <v>12.435240021771717</v>
      </c>
      <c r="N5278" s="400"/>
    </row>
    <row r="5279" spans="1:14" s="360" customFormat="1" hidden="1" outlineLevel="2" x14ac:dyDescent="0.35">
      <c r="A5279" s="403" t="s">
        <v>7714</v>
      </c>
      <c r="B5279" s="397">
        <v>43736</v>
      </c>
      <c r="C5279" s="398" t="s">
        <v>7733</v>
      </c>
      <c r="D5279" s="399" t="s">
        <v>7734</v>
      </c>
      <c r="E5279" s="399" t="s">
        <v>4042</v>
      </c>
      <c r="F5279" s="400">
        <v>31250</v>
      </c>
      <c r="G5279" s="401" t="s">
        <v>3800</v>
      </c>
      <c r="H5279" s="402">
        <v>12.435240021771717</v>
      </c>
      <c r="I5279" s="402"/>
      <c r="J5279" s="400">
        <f t="shared" si="289"/>
        <v>3.1088100054429293</v>
      </c>
      <c r="K5279" s="400">
        <f t="shared" si="290"/>
        <v>3.1088100054429293</v>
      </c>
      <c r="L5279" s="400">
        <f t="shared" si="291"/>
        <v>3.1088100054429293</v>
      </c>
      <c r="M5279" s="400">
        <f t="shared" si="292"/>
        <v>3.1088100054429293</v>
      </c>
      <c r="N5279" s="400"/>
    </row>
    <row r="5280" spans="1:14" s="360" customFormat="1" hidden="1" outlineLevel="2" x14ac:dyDescent="0.35">
      <c r="A5280" s="403" t="s">
        <v>7714</v>
      </c>
      <c r="B5280" s="397">
        <v>43767</v>
      </c>
      <c r="C5280" s="398" t="s">
        <v>7735</v>
      </c>
      <c r="D5280" s="399" t="s">
        <v>7736</v>
      </c>
      <c r="E5280" s="399" t="s">
        <v>6202</v>
      </c>
      <c r="F5280" s="400">
        <v>2500000</v>
      </c>
      <c r="G5280" s="401" t="s">
        <v>3800</v>
      </c>
      <c r="H5280" s="402">
        <v>994.8192017417374</v>
      </c>
      <c r="I5280" s="402"/>
      <c r="J5280" s="400">
        <f t="shared" si="289"/>
        <v>248.70480043543435</v>
      </c>
      <c r="K5280" s="400">
        <f t="shared" si="290"/>
        <v>248.70480043543435</v>
      </c>
      <c r="L5280" s="400">
        <f t="shared" si="291"/>
        <v>248.70480043543435</v>
      </c>
      <c r="M5280" s="400">
        <f t="shared" si="292"/>
        <v>248.70480043543435</v>
      </c>
      <c r="N5280" s="400"/>
    </row>
    <row r="5281" spans="1:14" s="360" customFormat="1" hidden="1" outlineLevel="2" x14ac:dyDescent="0.35">
      <c r="A5281" s="403" t="s">
        <v>7714</v>
      </c>
      <c r="B5281" s="397">
        <v>43767</v>
      </c>
      <c r="C5281" s="398" t="s">
        <v>7735</v>
      </c>
      <c r="D5281" s="399" t="s">
        <v>7737</v>
      </c>
      <c r="E5281" s="399" t="s">
        <v>6202</v>
      </c>
      <c r="F5281" s="400">
        <v>375000</v>
      </c>
      <c r="G5281" s="401" t="s">
        <v>3800</v>
      </c>
      <c r="H5281" s="402">
        <v>149.2228802612606</v>
      </c>
      <c r="I5281" s="402"/>
      <c r="J5281" s="400">
        <f t="shared" si="289"/>
        <v>37.30572006531515</v>
      </c>
      <c r="K5281" s="400">
        <f t="shared" si="290"/>
        <v>37.30572006531515</v>
      </c>
      <c r="L5281" s="400">
        <f t="shared" si="291"/>
        <v>37.30572006531515</v>
      </c>
      <c r="M5281" s="400">
        <f t="shared" si="292"/>
        <v>37.30572006531515</v>
      </c>
      <c r="N5281" s="400"/>
    </row>
    <row r="5282" spans="1:14" s="360" customFormat="1" hidden="1" outlineLevel="2" x14ac:dyDescent="0.35">
      <c r="A5282" s="403" t="s">
        <v>7714</v>
      </c>
      <c r="B5282" s="397">
        <v>43767</v>
      </c>
      <c r="C5282" s="398" t="s">
        <v>7738</v>
      </c>
      <c r="D5282" s="399" t="s">
        <v>7739</v>
      </c>
      <c r="E5282" s="399" t="s">
        <v>4272</v>
      </c>
      <c r="F5282" s="400">
        <v>312500</v>
      </c>
      <c r="G5282" s="401" t="s">
        <v>3800</v>
      </c>
      <c r="H5282" s="402">
        <v>124.35240021771718</v>
      </c>
      <c r="I5282" s="402"/>
      <c r="J5282" s="400">
        <f t="shared" si="289"/>
        <v>31.088100054429294</v>
      </c>
      <c r="K5282" s="400">
        <f t="shared" si="290"/>
        <v>31.088100054429294</v>
      </c>
      <c r="L5282" s="400">
        <f t="shared" si="291"/>
        <v>31.088100054429294</v>
      </c>
      <c r="M5282" s="400">
        <f t="shared" si="292"/>
        <v>31.088100054429294</v>
      </c>
      <c r="N5282" s="400"/>
    </row>
    <row r="5283" spans="1:14" s="360" customFormat="1" hidden="1" outlineLevel="2" x14ac:dyDescent="0.35">
      <c r="A5283" s="403" t="s">
        <v>7714</v>
      </c>
      <c r="B5283" s="397">
        <v>43767</v>
      </c>
      <c r="C5283" s="398" t="s">
        <v>7735</v>
      </c>
      <c r="D5283" s="399" t="s">
        <v>7740</v>
      </c>
      <c r="E5283" s="399" t="s">
        <v>6202</v>
      </c>
      <c r="F5283" s="400">
        <v>125000</v>
      </c>
      <c r="G5283" s="401" t="s">
        <v>3800</v>
      </c>
      <c r="H5283" s="402">
        <v>49.740960087086869</v>
      </c>
      <c r="I5283" s="402"/>
      <c r="J5283" s="400">
        <f t="shared" si="289"/>
        <v>12.435240021771717</v>
      </c>
      <c r="K5283" s="400">
        <f t="shared" si="290"/>
        <v>12.435240021771717</v>
      </c>
      <c r="L5283" s="400">
        <f t="shared" si="291"/>
        <v>12.435240021771717</v>
      </c>
      <c r="M5283" s="400">
        <f t="shared" si="292"/>
        <v>12.435240021771717</v>
      </c>
      <c r="N5283" s="400"/>
    </row>
    <row r="5284" spans="1:14" s="360" customFormat="1" hidden="1" outlineLevel="2" x14ac:dyDescent="0.35">
      <c r="A5284" s="403" t="s">
        <v>7714</v>
      </c>
      <c r="B5284" s="397">
        <v>43767</v>
      </c>
      <c r="C5284" s="398" t="s">
        <v>7741</v>
      </c>
      <c r="D5284" s="399" t="s">
        <v>7742</v>
      </c>
      <c r="E5284" s="399" t="s">
        <v>4039</v>
      </c>
      <c r="F5284" s="400">
        <v>125000</v>
      </c>
      <c r="G5284" s="401" t="s">
        <v>3800</v>
      </c>
      <c r="H5284" s="402">
        <v>49.740960087086869</v>
      </c>
      <c r="I5284" s="402"/>
      <c r="J5284" s="400">
        <f t="shared" si="289"/>
        <v>12.435240021771717</v>
      </c>
      <c r="K5284" s="400">
        <f t="shared" si="290"/>
        <v>12.435240021771717</v>
      </c>
      <c r="L5284" s="400">
        <f t="shared" si="291"/>
        <v>12.435240021771717</v>
      </c>
      <c r="M5284" s="400">
        <f t="shared" si="292"/>
        <v>12.435240021771717</v>
      </c>
      <c r="N5284" s="400"/>
    </row>
    <row r="5285" spans="1:14" s="360" customFormat="1" hidden="1" outlineLevel="2" x14ac:dyDescent="0.35">
      <c r="A5285" s="403" t="s">
        <v>7714</v>
      </c>
      <c r="B5285" s="397">
        <v>43767</v>
      </c>
      <c r="C5285" s="398" t="s">
        <v>7743</v>
      </c>
      <c r="D5285" s="399" t="s">
        <v>7744</v>
      </c>
      <c r="E5285" s="399" t="s">
        <v>4042</v>
      </c>
      <c r="F5285" s="400">
        <v>31250</v>
      </c>
      <c r="G5285" s="401" t="s">
        <v>3800</v>
      </c>
      <c r="H5285" s="402">
        <v>12.435240021771717</v>
      </c>
      <c r="I5285" s="402"/>
      <c r="J5285" s="400">
        <f t="shared" si="289"/>
        <v>3.1088100054429293</v>
      </c>
      <c r="K5285" s="400">
        <f t="shared" si="290"/>
        <v>3.1088100054429293</v>
      </c>
      <c r="L5285" s="400">
        <f t="shared" si="291"/>
        <v>3.1088100054429293</v>
      </c>
      <c r="M5285" s="400">
        <f t="shared" si="292"/>
        <v>3.1088100054429293</v>
      </c>
      <c r="N5285" s="400"/>
    </row>
    <row r="5286" spans="1:14" s="360" customFormat="1" hidden="1" outlineLevel="2" x14ac:dyDescent="0.35">
      <c r="A5286" s="403" t="s">
        <v>7714</v>
      </c>
      <c r="B5286" s="397">
        <v>43797</v>
      </c>
      <c r="C5286" s="398" t="s">
        <v>7745</v>
      </c>
      <c r="D5286" s="399" t="s">
        <v>7746</v>
      </c>
      <c r="E5286" s="399" t="s">
        <v>6202</v>
      </c>
      <c r="F5286" s="400">
        <v>2500000</v>
      </c>
      <c r="G5286" s="401" t="s">
        <v>3800</v>
      </c>
      <c r="H5286" s="402">
        <v>994.8192017417374</v>
      </c>
      <c r="I5286" s="402"/>
      <c r="J5286" s="400">
        <f t="shared" si="289"/>
        <v>248.70480043543435</v>
      </c>
      <c r="K5286" s="400">
        <f t="shared" si="290"/>
        <v>248.70480043543435</v>
      </c>
      <c r="L5286" s="400">
        <f t="shared" si="291"/>
        <v>248.70480043543435</v>
      </c>
      <c r="M5286" s="400">
        <f t="shared" si="292"/>
        <v>248.70480043543435</v>
      </c>
      <c r="N5286" s="400"/>
    </row>
    <row r="5287" spans="1:14" s="360" customFormat="1" hidden="1" outlineLevel="2" x14ac:dyDescent="0.35">
      <c r="A5287" s="403" t="s">
        <v>7714</v>
      </c>
      <c r="B5287" s="397">
        <v>43797</v>
      </c>
      <c r="C5287" s="398" t="s">
        <v>7745</v>
      </c>
      <c r="D5287" s="399" t="s">
        <v>7747</v>
      </c>
      <c r="E5287" s="399" t="s">
        <v>6202</v>
      </c>
      <c r="F5287" s="400">
        <v>375000</v>
      </c>
      <c r="G5287" s="401" t="s">
        <v>3800</v>
      </c>
      <c r="H5287" s="402">
        <v>149.2228802612606</v>
      </c>
      <c r="I5287" s="402"/>
      <c r="J5287" s="400">
        <f t="shared" si="289"/>
        <v>37.30572006531515</v>
      </c>
      <c r="K5287" s="400">
        <f t="shared" si="290"/>
        <v>37.30572006531515</v>
      </c>
      <c r="L5287" s="400">
        <f t="shared" si="291"/>
        <v>37.30572006531515</v>
      </c>
      <c r="M5287" s="400">
        <f t="shared" si="292"/>
        <v>37.30572006531515</v>
      </c>
      <c r="N5287" s="400"/>
    </row>
    <row r="5288" spans="1:14" s="360" customFormat="1" hidden="1" outlineLevel="2" x14ac:dyDescent="0.35">
      <c r="A5288" s="403" t="s">
        <v>7714</v>
      </c>
      <c r="B5288" s="397">
        <v>43797</v>
      </c>
      <c r="C5288" s="398" t="s">
        <v>7748</v>
      </c>
      <c r="D5288" s="399" t="s">
        <v>7749</v>
      </c>
      <c r="E5288" s="399" t="s">
        <v>4272</v>
      </c>
      <c r="F5288" s="400">
        <v>312500</v>
      </c>
      <c r="G5288" s="401" t="s">
        <v>3800</v>
      </c>
      <c r="H5288" s="402">
        <v>124.35240021771718</v>
      </c>
      <c r="I5288" s="402"/>
      <c r="J5288" s="400">
        <f t="shared" si="289"/>
        <v>31.088100054429294</v>
      </c>
      <c r="K5288" s="400">
        <f t="shared" si="290"/>
        <v>31.088100054429294</v>
      </c>
      <c r="L5288" s="400">
        <f t="shared" si="291"/>
        <v>31.088100054429294</v>
      </c>
      <c r="M5288" s="400">
        <f t="shared" si="292"/>
        <v>31.088100054429294</v>
      </c>
      <c r="N5288" s="400"/>
    </row>
    <row r="5289" spans="1:14" s="360" customFormat="1" hidden="1" outlineLevel="2" x14ac:dyDescent="0.35">
      <c r="A5289" s="403" t="s">
        <v>7714</v>
      </c>
      <c r="B5289" s="397">
        <v>43797</v>
      </c>
      <c r="C5289" s="398" t="s">
        <v>7745</v>
      </c>
      <c r="D5289" s="399" t="s">
        <v>7750</v>
      </c>
      <c r="E5289" s="399" t="s">
        <v>6202</v>
      </c>
      <c r="F5289" s="400">
        <v>125000</v>
      </c>
      <c r="G5289" s="401" t="s">
        <v>3800</v>
      </c>
      <c r="H5289" s="402">
        <v>49.740960087086869</v>
      </c>
      <c r="I5289" s="402"/>
      <c r="J5289" s="400">
        <f t="shared" si="289"/>
        <v>12.435240021771717</v>
      </c>
      <c r="K5289" s="400">
        <f t="shared" si="290"/>
        <v>12.435240021771717</v>
      </c>
      <c r="L5289" s="400">
        <f t="shared" si="291"/>
        <v>12.435240021771717</v>
      </c>
      <c r="M5289" s="400">
        <f t="shared" si="292"/>
        <v>12.435240021771717</v>
      </c>
      <c r="N5289" s="400"/>
    </row>
    <row r="5290" spans="1:14" s="360" customFormat="1" hidden="1" outlineLevel="2" x14ac:dyDescent="0.35">
      <c r="A5290" s="403" t="s">
        <v>7714</v>
      </c>
      <c r="B5290" s="397">
        <v>43797</v>
      </c>
      <c r="C5290" s="398" t="s">
        <v>7751</v>
      </c>
      <c r="D5290" s="399" t="s">
        <v>7752</v>
      </c>
      <c r="E5290" s="399" t="s">
        <v>4039</v>
      </c>
      <c r="F5290" s="400">
        <v>125000</v>
      </c>
      <c r="G5290" s="401" t="s">
        <v>3800</v>
      </c>
      <c r="H5290" s="402">
        <v>49.740960087086869</v>
      </c>
      <c r="I5290" s="402"/>
      <c r="J5290" s="400">
        <f t="shared" si="289"/>
        <v>12.435240021771717</v>
      </c>
      <c r="K5290" s="400">
        <f t="shared" si="290"/>
        <v>12.435240021771717</v>
      </c>
      <c r="L5290" s="400">
        <f t="shared" si="291"/>
        <v>12.435240021771717</v>
      </c>
      <c r="M5290" s="400">
        <f t="shared" si="292"/>
        <v>12.435240021771717</v>
      </c>
      <c r="N5290" s="400"/>
    </row>
    <row r="5291" spans="1:14" s="360" customFormat="1" hidden="1" outlineLevel="2" x14ac:dyDescent="0.35">
      <c r="A5291" s="403" t="s">
        <v>7714</v>
      </c>
      <c r="B5291" s="397">
        <v>43797</v>
      </c>
      <c r="C5291" s="398" t="s">
        <v>7753</v>
      </c>
      <c r="D5291" s="399" t="s">
        <v>7754</v>
      </c>
      <c r="E5291" s="399" t="s">
        <v>4042</v>
      </c>
      <c r="F5291" s="400">
        <v>31250</v>
      </c>
      <c r="G5291" s="401" t="s">
        <v>3800</v>
      </c>
      <c r="H5291" s="402">
        <v>12.435240021771717</v>
      </c>
      <c r="I5291" s="402"/>
      <c r="J5291" s="400">
        <f t="shared" si="289"/>
        <v>3.1088100054429293</v>
      </c>
      <c r="K5291" s="400">
        <f t="shared" si="290"/>
        <v>3.1088100054429293</v>
      </c>
      <c r="L5291" s="400">
        <f t="shared" si="291"/>
        <v>3.1088100054429293</v>
      </c>
      <c r="M5291" s="400">
        <f t="shared" si="292"/>
        <v>3.1088100054429293</v>
      </c>
      <c r="N5291" s="400"/>
    </row>
    <row r="5292" spans="1:14" s="360" customFormat="1" hidden="1" outlineLevel="2" x14ac:dyDescent="0.35">
      <c r="A5292" s="403" t="s">
        <v>7714</v>
      </c>
      <c r="B5292" s="397">
        <v>43818</v>
      </c>
      <c r="C5292" s="398" t="s">
        <v>7755</v>
      </c>
      <c r="D5292" s="399" t="s">
        <v>7756</v>
      </c>
      <c r="E5292" s="399" t="s">
        <v>6202</v>
      </c>
      <c r="F5292" s="400">
        <v>2500000</v>
      </c>
      <c r="G5292" s="401" t="s">
        <v>3800</v>
      </c>
      <c r="H5292" s="402">
        <v>994.8192017417374</v>
      </c>
      <c r="I5292" s="402"/>
      <c r="J5292" s="400">
        <f t="shared" si="289"/>
        <v>248.70480043543435</v>
      </c>
      <c r="K5292" s="400">
        <f t="shared" si="290"/>
        <v>248.70480043543435</v>
      </c>
      <c r="L5292" s="400">
        <f t="shared" si="291"/>
        <v>248.70480043543435</v>
      </c>
      <c r="M5292" s="400">
        <f t="shared" si="292"/>
        <v>248.70480043543435</v>
      </c>
      <c r="N5292" s="400"/>
    </row>
    <row r="5293" spans="1:14" s="360" customFormat="1" hidden="1" outlineLevel="2" x14ac:dyDescent="0.35">
      <c r="A5293" s="403" t="s">
        <v>7714</v>
      </c>
      <c r="B5293" s="397">
        <v>43818</v>
      </c>
      <c r="C5293" s="398" t="s">
        <v>7755</v>
      </c>
      <c r="D5293" s="399" t="s">
        <v>7757</v>
      </c>
      <c r="E5293" s="399" t="s">
        <v>6202</v>
      </c>
      <c r="F5293" s="400">
        <v>375000</v>
      </c>
      <c r="G5293" s="401" t="s">
        <v>3800</v>
      </c>
      <c r="H5293" s="402">
        <v>149.2228802612606</v>
      </c>
      <c r="I5293" s="402"/>
      <c r="J5293" s="400">
        <f t="shared" si="289"/>
        <v>37.30572006531515</v>
      </c>
      <c r="K5293" s="400">
        <f t="shared" si="290"/>
        <v>37.30572006531515</v>
      </c>
      <c r="L5293" s="400">
        <f t="shared" si="291"/>
        <v>37.30572006531515</v>
      </c>
      <c r="M5293" s="400">
        <f t="shared" si="292"/>
        <v>37.30572006531515</v>
      </c>
      <c r="N5293" s="400"/>
    </row>
    <row r="5294" spans="1:14" s="360" customFormat="1" hidden="1" outlineLevel="2" x14ac:dyDescent="0.35">
      <c r="A5294" s="403" t="s">
        <v>7714</v>
      </c>
      <c r="B5294" s="397">
        <v>43818</v>
      </c>
      <c r="C5294" s="398" t="s">
        <v>7758</v>
      </c>
      <c r="D5294" s="399" t="s">
        <v>7759</v>
      </c>
      <c r="E5294" s="399" t="s">
        <v>4272</v>
      </c>
      <c r="F5294" s="400">
        <v>312500</v>
      </c>
      <c r="G5294" s="401" t="s">
        <v>3800</v>
      </c>
      <c r="H5294" s="402">
        <v>124.35240021771718</v>
      </c>
      <c r="I5294" s="402"/>
      <c r="J5294" s="400">
        <f t="shared" si="289"/>
        <v>31.088100054429294</v>
      </c>
      <c r="K5294" s="400">
        <f t="shared" si="290"/>
        <v>31.088100054429294</v>
      </c>
      <c r="L5294" s="400">
        <f t="shared" si="291"/>
        <v>31.088100054429294</v>
      </c>
      <c r="M5294" s="400">
        <f t="shared" si="292"/>
        <v>31.088100054429294</v>
      </c>
      <c r="N5294" s="400"/>
    </row>
    <row r="5295" spans="1:14" s="360" customFormat="1" hidden="1" outlineLevel="2" x14ac:dyDescent="0.35">
      <c r="A5295" s="403" t="s">
        <v>7714</v>
      </c>
      <c r="B5295" s="397">
        <v>43818</v>
      </c>
      <c r="C5295" s="398" t="s">
        <v>7755</v>
      </c>
      <c r="D5295" s="399" t="s">
        <v>7760</v>
      </c>
      <c r="E5295" s="399" t="s">
        <v>6202</v>
      </c>
      <c r="F5295" s="400">
        <v>125000</v>
      </c>
      <c r="G5295" s="401" t="s">
        <v>3800</v>
      </c>
      <c r="H5295" s="402">
        <v>49.740960087086869</v>
      </c>
      <c r="I5295" s="402"/>
      <c r="J5295" s="400">
        <f t="shared" si="289"/>
        <v>12.435240021771717</v>
      </c>
      <c r="K5295" s="400">
        <f t="shared" si="290"/>
        <v>12.435240021771717</v>
      </c>
      <c r="L5295" s="400">
        <f t="shared" si="291"/>
        <v>12.435240021771717</v>
      </c>
      <c r="M5295" s="400">
        <f t="shared" si="292"/>
        <v>12.435240021771717</v>
      </c>
      <c r="N5295" s="400"/>
    </row>
    <row r="5296" spans="1:14" s="360" customFormat="1" hidden="1" outlineLevel="2" x14ac:dyDescent="0.35">
      <c r="A5296" s="403" t="s">
        <v>7714</v>
      </c>
      <c r="B5296" s="397">
        <v>43818</v>
      </c>
      <c r="C5296" s="398" t="s">
        <v>7761</v>
      </c>
      <c r="D5296" s="399" t="s">
        <v>6130</v>
      </c>
      <c r="E5296" s="399" t="s">
        <v>4039</v>
      </c>
      <c r="F5296" s="400">
        <v>125000</v>
      </c>
      <c r="G5296" s="401" t="s">
        <v>3800</v>
      </c>
      <c r="H5296" s="402">
        <v>49.740960087086869</v>
      </c>
      <c r="I5296" s="402"/>
      <c r="J5296" s="400">
        <f t="shared" si="289"/>
        <v>12.435240021771717</v>
      </c>
      <c r="K5296" s="400">
        <f t="shared" si="290"/>
        <v>12.435240021771717</v>
      </c>
      <c r="L5296" s="400">
        <f t="shared" si="291"/>
        <v>12.435240021771717</v>
      </c>
      <c r="M5296" s="400">
        <f t="shared" si="292"/>
        <v>12.435240021771717</v>
      </c>
      <c r="N5296" s="400"/>
    </row>
    <row r="5297" spans="1:14" s="360" customFormat="1" hidden="1" outlineLevel="2" x14ac:dyDescent="0.35">
      <c r="A5297" s="403" t="s">
        <v>7714</v>
      </c>
      <c r="B5297" s="397">
        <v>43818</v>
      </c>
      <c r="C5297" s="398" t="s">
        <v>7762</v>
      </c>
      <c r="D5297" s="399" t="s">
        <v>7763</v>
      </c>
      <c r="E5297" s="399" t="s">
        <v>4042</v>
      </c>
      <c r="F5297" s="400">
        <v>31250</v>
      </c>
      <c r="G5297" s="401" t="s">
        <v>3800</v>
      </c>
      <c r="H5297" s="402">
        <v>12.435240021771717</v>
      </c>
      <c r="I5297" s="402"/>
      <c r="J5297" s="400">
        <f t="shared" si="289"/>
        <v>3.1088100054429293</v>
      </c>
      <c r="K5297" s="400">
        <f t="shared" si="290"/>
        <v>3.1088100054429293</v>
      </c>
      <c r="L5297" s="400">
        <f t="shared" si="291"/>
        <v>3.1088100054429293</v>
      </c>
      <c r="M5297" s="400">
        <f t="shared" si="292"/>
        <v>3.1088100054429293</v>
      </c>
      <c r="N5297" s="400"/>
    </row>
    <row r="5298" spans="1:14" s="360" customFormat="1" outlineLevel="1" collapsed="1" x14ac:dyDescent="0.35">
      <c r="A5298" s="396" t="s">
        <v>7764</v>
      </c>
      <c r="B5298" s="397"/>
      <c r="C5298" s="398"/>
      <c r="D5298" s="399"/>
      <c r="E5298" s="399"/>
      <c r="F5298" s="400"/>
      <c r="G5298" s="401"/>
      <c r="H5298" s="402">
        <f t="shared" ref="H5298:N5298" si="293">SUBTOTAL(9,H5268:H5297)</f>
        <v>6901.5582120833042</v>
      </c>
      <c r="I5298" s="402"/>
      <c r="J5298" s="400">
        <f t="shared" si="293"/>
        <v>1725.389553020826</v>
      </c>
      <c r="K5298" s="400">
        <f t="shared" si="293"/>
        <v>1725.389553020826</v>
      </c>
      <c r="L5298" s="400">
        <f t="shared" si="293"/>
        <v>1725.389553020826</v>
      </c>
      <c r="M5298" s="400">
        <f t="shared" si="293"/>
        <v>1725.389553020826</v>
      </c>
      <c r="N5298" s="400">
        <f t="shared" si="293"/>
        <v>0</v>
      </c>
    </row>
    <row r="5299" spans="1:14" s="360" customFormat="1" hidden="1" outlineLevel="2" x14ac:dyDescent="0.35">
      <c r="A5299" s="403" t="s">
        <v>7765</v>
      </c>
      <c r="B5299" s="397">
        <v>43767</v>
      </c>
      <c r="C5299" s="398" t="s">
        <v>7735</v>
      </c>
      <c r="D5299" s="399" t="s">
        <v>7736</v>
      </c>
      <c r="E5299" s="399" t="s">
        <v>6182</v>
      </c>
      <c r="F5299" s="400">
        <v>413833</v>
      </c>
      <c r="G5299" s="401" t="s">
        <v>3800</v>
      </c>
      <c r="H5299" s="402">
        <v>164.67560588575537</v>
      </c>
      <c r="I5299" s="402"/>
      <c r="J5299" s="400">
        <f t="shared" ref="J5299:J5334" si="294">H5299/4</f>
        <v>41.168901471438843</v>
      </c>
      <c r="K5299" s="400">
        <f t="shared" ref="K5299:K5334" si="295">H5299/4</f>
        <v>41.168901471438843</v>
      </c>
      <c r="L5299" s="400">
        <f t="shared" ref="L5299:L5334" si="296">H5299/4</f>
        <v>41.168901471438843</v>
      </c>
      <c r="M5299" s="400">
        <f t="shared" ref="M5299:M5334" si="297">H5299/4</f>
        <v>41.168901471438843</v>
      </c>
      <c r="N5299" s="400"/>
    </row>
    <row r="5300" spans="1:14" s="360" customFormat="1" hidden="1" outlineLevel="2" x14ac:dyDescent="0.35">
      <c r="A5300" s="403" t="s">
        <v>7765</v>
      </c>
      <c r="B5300" s="397">
        <v>43767</v>
      </c>
      <c r="C5300" s="398" t="s">
        <v>7735</v>
      </c>
      <c r="D5300" s="399" t="s">
        <v>7737</v>
      </c>
      <c r="E5300" s="399" t="s">
        <v>6182</v>
      </c>
      <c r="F5300" s="400">
        <v>62074.95</v>
      </c>
      <c r="G5300" s="401" t="s">
        <v>3800</v>
      </c>
      <c r="H5300" s="402">
        <v>24.701340882863303</v>
      </c>
      <c r="I5300" s="402"/>
      <c r="J5300" s="400">
        <f t="shared" si="294"/>
        <v>6.1753352207158256</v>
      </c>
      <c r="K5300" s="400">
        <f t="shared" si="295"/>
        <v>6.1753352207158256</v>
      </c>
      <c r="L5300" s="400">
        <f t="shared" si="296"/>
        <v>6.1753352207158256</v>
      </c>
      <c r="M5300" s="400">
        <f t="shared" si="297"/>
        <v>6.1753352207158256</v>
      </c>
      <c r="N5300" s="400"/>
    </row>
    <row r="5301" spans="1:14" s="360" customFormat="1" hidden="1" outlineLevel="2" x14ac:dyDescent="0.35">
      <c r="A5301" s="403" t="s">
        <v>7765</v>
      </c>
      <c r="B5301" s="397">
        <v>43767</v>
      </c>
      <c r="C5301" s="398" t="s">
        <v>7738</v>
      </c>
      <c r="D5301" s="399" t="s">
        <v>7739</v>
      </c>
      <c r="E5301" s="399" t="s">
        <v>6183</v>
      </c>
      <c r="F5301" s="400">
        <v>51729.13</v>
      </c>
      <c r="G5301" s="401" t="s">
        <v>3800</v>
      </c>
      <c r="H5301" s="402">
        <v>20.584452725357824</v>
      </c>
      <c r="I5301" s="402"/>
      <c r="J5301" s="400">
        <f t="shared" si="294"/>
        <v>5.1461131813394561</v>
      </c>
      <c r="K5301" s="400">
        <f t="shared" si="295"/>
        <v>5.1461131813394561</v>
      </c>
      <c r="L5301" s="400">
        <f t="shared" si="296"/>
        <v>5.1461131813394561</v>
      </c>
      <c r="M5301" s="400">
        <f t="shared" si="297"/>
        <v>5.1461131813394561</v>
      </c>
      <c r="N5301" s="400"/>
    </row>
    <row r="5302" spans="1:14" s="360" customFormat="1" hidden="1" outlineLevel="2" x14ac:dyDescent="0.35">
      <c r="A5302" s="403" t="s">
        <v>7765</v>
      </c>
      <c r="B5302" s="397">
        <v>43767</v>
      </c>
      <c r="C5302" s="398" t="s">
        <v>7735</v>
      </c>
      <c r="D5302" s="399" t="s">
        <v>7740</v>
      </c>
      <c r="E5302" s="399" t="s">
        <v>6182</v>
      </c>
      <c r="F5302" s="400">
        <v>20691.650000000001</v>
      </c>
      <c r="G5302" s="401" t="s">
        <v>3800</v>
      </c>
      <c r="H5302" s="402">
        <v>8.2337802942877687</v>
      </c>
      <c r="I5302" s="402"/>
      <c r="J5302" s="400">
        <f t="shared" si="294"/>
        <v>2.0584450735719422</v>
      </c>
      <c r="K5302" s="400">
        <f t="shared" si="295"/>
        <v>2.0584450735719422</v>
      </c>
      <c r="L5302" s="400">
        <f t="shared" si="296"/>
        <v>2.0584450735719422</v>
      </c>
      <c r="M5302" s="400">
        <f t="shared" si="297"/>
        <v>2.0584450735719422</v>
      </c>
      <c r="N5302" s="400"/>
    </row>
    <row r="5303" spans="1:14" s="360" customFormat="1" hidden="1" outlineLevel="2" x14ac:dyDescent="0.35">
      <c r="A5303" s="403" t="s">
        <v>7765</v>
      </c>
      <c r="B5303" s="397">
        <v>43767</v>
      </c>
      <c r="C5303" s="398" t="s">
        <v>7741</v>
      </c>
      <c r="D5303" s="399" t="s">
        <v>7742</v>
      </c>
      <c r="E5303" s="399" t="s">
        <v>4376</v>
      </c>
      <c r="F5303" s="400">
        <v>20691.650000000001</v>
      </c>
      <c r="G5303" s="401" t="s">
        <v>3800</v>
      </c>
      <c r="H5303" s="402">
        <v>8.2337802942877687</v>
      </c>
      <c r="I5303" s="402"/>
      <c r="J5303" s="400">
        <f t="shared" si="294"/>
        <v>2.0584450735719422</v>
      </c>
      <c r="K5303" s="400">
        <f t="shared" si="295"/>
        <v>2.0584450735719422</v>
      </c>
      <c r="L5303" s="400">
        <f t="shared" si="296"/>
        <v>2.0584450735719422</v>
      </c>
      <c r="M5303" s="400">
        <f t="shared" si="297"/>
        <v>2.0584450735719422</v>
      </c>
      <c r="N5303" s="400"/>
    </row>
    <row r="5304" spans="1:14" s="360" customFormat="1" hidden="1" outlineLevel="2" x14ac:dyDescent="0.35">
      <c r="A5304" s="403" t="s">
        <v>7765</v>
      </c>
      <c r="B5304" s="397">
        <v>43767</v>
      </c>
      <c r="C5304" s="398" t="s">
        <v>7743</v>
      </c>
      <c r="D5304" s="399" t="s">
        <v>7744</v>
      </c>
      <c r="E5304" s="399" t="s">
        <v>4042</v>
      </c>
      <c r="F5304" s="400">
        <v>5172.91</v>
      </c>
      <c r="G5304" s="401" t="s">
        <v>3800</v>
      </c>
      <c r="H5304" s="402">
        <v>2.0584440787527405</v>
      </c>
      <c r="I5304" s="402"/>
      <c r="J5304" s="400">
        <f t="shared" si="294"/>
        <v>0.51461101968818512</v>
      </c>
      <c r="K5304" s="400">
        <f t="shared" si="295"/>
        <v>0.51461101968818512</v>
      </c>
      <c r="L5304" s="400">
        <f t="shared" si="296"/>
        <v>0.51461101968818512</v>
      </c>
      <c r="M5304" s="400">
        <f t="shared" si="297"/>
        <v>0.51461101968818512</v>
      </c>
      <c r="N5304" s="400"/>
    </row>
    <row r="5305" spans="1:14" s="360" customFormat="1" hidden="1" outlineLevel="2" x14ac:dyDescent="0.35">
      <c r="A5305" s="403" t="s">
        <v>7765</v>
      </c>
      <c r="B5305" s="397">
        <v>43797</v>
      </c>
      <c r="C5305" s="398" t="s">
        <v>7745</v>
      </c>
      <c r="D5305" s="399" t="s">
        <v>7746</v>
      </c>
      <c r="E5305" s="399" t="s">
        <v>6182</v>
      </c>
      <c r="F5305" s="400">
        <v>955000</v>
      </c>
      <c r="G5305" s="401" t="s">
        <v>3800</v>
      </c>
      <c r="H5305" s="402">
        <v>380.02093506534368</v>
      </c>
      <c r="I5305" s="402"/>
      <c r="J5305" s="400">
        <f t="shared" si="294"/>
        <v>95.00523376633592</v>
      </c>
      <c r="K5305" s="400">
        <f t="shared" si="295"/>
        <v>95.00523376633592</v>
      </c>
      <c r="L5305" s="400">
        <f t="shared" si="296"/>
        <v>95.00523376633592</v>
      </c>
      <c r="M5305" s="400">
        <f t="shared" si="297"/>
        <v>95.00523376633592</v>
      </c>
      <c r="N5305" s="400"/>
    </row>
    <row r="5306" spans="1:14" s="360" customFormat="1" hidden="1" outlineLevel="2" x14ac:dyDescent="0.35">
      <c r="A5306" s="403" t="s">
        <v>7765</v>
      </c>
      <c r="B5306" s="397">
        <v>43797</v>
      </c>
      <c r="C5306" s="398" t="s">
        <v>7745</v>
      </c>
      <c r="D5306" s="399" t="s">
        <v>7747</v>
      </c>
      <c r="E5306" s="399" t="s">
        <v>6182</v>
      </c>
      <c r="F5306" s="400">
        <v>143250</v>
      </c>
      <c r="G5306" s="401" t="s">
        <v>3800</v>
      </c>
      <c r="H5306" s="402">
        <v>57.003140259801555</v>
      </c>
      <c r="I5306" s="402"/>
      <c r="J5306" s="400">
        <f t="shared" si="294"/>
        <v>14.250785064950389</v>
      </c>
      <c r="K5306" s="400">
        <f t="shared" si="295"/>
        <v>14.250785064950389</v>
      </c>
      <c r="L5306" s="400">
        <f t="shared" si="296"/>
        <v>14.250785064950389</v>
      </c>
      <c r="M5306" s="400">
        <f t="shared" si="297"/>
        <v>14.250785064950389</v>
      </c>
      <c r="N5306" s="400"/>
    </row>
    <row r="5307" spans="1:14" s="360" customFormat="1" hidden="1" outlineLevel="2" x14ac:dyDescent="0.35">
      <c r="A5307" s="403" t="s">
        <v>7765</v>
      </c>
      <c r="B5307" s="397">
        <v>43797</v>
      </c>
      <c r="C5307" s="398" t="s">
        <v>7748</v>
      </c>
      <c r="D5307" s="399" t="s">
        <v>7749</v>
      </c>
      <c r="E5307" s="399" t="s">
        <v>6183</v>
      </c>
      <c r="F5307" s="400">
        <v>119375</v>
      </c>
      <c r="G5307" s="401" t="s">
        <v>3800</v>
      </c>
      <c r="H5307" s="402">
        <v>47.50261688316796</v>
      </c>
      <c r="I5307" s="402"/>
      <c r="J5307" s="400">
        <f t="shared" si="294"/>
        <v>11.87565422079199</v>
      </c>
      <c r="K5307" s="400">
        <f t="shared" si="295"/>
        <v>11.87565422079199</v>
      </c>
      <c r="L5307" s="400">
        <f t="shared" si="296"/>
        <v>11.87565422079199</v>
      </c>
      <c r="M5307" s="400">
        <f t="shared" si="297"/>
        <v>11.87565422079199</v>
      </c>
      <c r="N5307" s="400"/>
    </row>
    <row r="5308" spans="1:14" s="360" customFormat="1" hidden="1" outlineLevel="2" x14ac:dyDescent="0.35">
      <c r="A5308" s="403" t="s">
        <v>7765</v>
      </c>
      <c r="B5308" s="397">
        <v>43797</v>
      </c>
      <c r="C5308" s="398" t="s">
        <v>7745</v>
      </c>
      <c r="D5308" s="399" t="s">
        <v>7750</v>
      </c>
      <c r="E5308" s="399" t="s">
        <v>6182</v>
      </c>
      <c r="F5308" s="400">
        <v>47750</v>
      </c>
      <c r="G5308" s="401" t="s">
        <v>3800</v>
      </c>
      <c r="H5308" s="402">
        <v>19.001046753267186</v>
      </c>
      <c r="I5308" s="402"/>
      <c r="J5308" s="400">
        <f t="shared" si="294"/>
        <v>4.7502616883167965</v>
      </c>
      <c r="K5308" s="400">
        <f t="shared" si="295"/>
        <v>4.7502616883167965</v>
      </c>
      <c r="L5308" s="400">
        <f t="shared" si="296"/>
        <v>4.7502616883167965</v>
      </c>
      <c r="M5308" s="400">
        <f t="shared" si="297"/>
        <v>4.7502616883167965</v>
      </c>
      <c r="N5308" s="400"/>
    </row>
    <row r="5309" spans="1:14" s="360" customFormat="1" hidden="1" outlineLevel="2" x14ac:dyDescent="0.35">
      <c r="A5309" s="403" t="s">
        <v>7765</v>
      </c>
      <c r="B5309" s="397">
        <v>43797</v>
      </c>
      <c r="C5309" s="398" t="s">
        <v>7751</v>
      </c>
      <c r="D5309" s="399" t="s">
        <v>7752</v>
      </c>
      <c r="E5309" s="399" t="s">
        <v>4376</v>
      </c>
      <c r="F5309" s="400">
        <v>47750</v>
      </c>
      <c r="G5309" s="401" t="s">
        <v>3800</v>
      </c>
      <c r="H5309" s="402">
        <v>19.001046753267186</v>
      </c>
      <c r="I5309" s="402"/>
      <c r="J5309" s="400">
        <f t="shared" si="294"/>
        <v>4.7502616883167965</v>
      </c>
      <c r="K5309" s="400">
        <f t="shared" si="295"/>
        <v>4.7502616883167965</v>
      </c>
      <c r="L5309" s="400">
        <f t="shared" si="296"/>
        <v>4.7502616883167965</v>
      </c>
      <c r="M5309" s="400">
        <f t="shared" si="297"/>
        <v>4.7502616883167965</v>
      </c>
      <c r="N5309" s="400"/>
    </row>
    <row r="5310" spans="1:14" s="360" customFormat="1" hidden="1" outlineLevel="2" x14ac:dyDescent="0.35">
      <c r="A5310" s="403" t="s">
        <v>7765</v>
      </c>
      <c r="B5310" s="397">
        <v>43797</v>
      </c>
      <c r="C5310" s="398" t="s">
        <v>7753</v>
      </c>
      <c r="D5310" s="399" t="s">
        <v>7754</v>
      </c>
      <c r="E5310" s="399" t="s">
        <v>4042</v>
      </c>
      <c r="F5310" s="400">
        <v>11937.5</v>
      </c>
      <c r="G5310" s="401" t="s">
        <v>3800</v>
      </c>
      <c r="H5310" s="402">
        <v>4.7502616883167965</v>
      </c>
      <c r="I5310" s="402"/>
      <c r="J5310" s="400">
        <f t="shared" si="294"/>
        <v>1.1875654220791991</v>
      </c>
      <c r="K5310" s="400">
        <f t="shared" si="295"/>
        <v>1.1875654220791991</v>
      </c>
      <c r="L5310" s="400">
        <f t="shared" si="296"/>
        <v>1.1875654220791991</v>
      </c>
      <c r="M5310" s="400">
        <f t="shared" si="297"/>
        <v>1.1875654220791991</v>
      </c>
      <c r="N5310" s="400"/>
    </row>
    <row r="5311" spans="1:14" s="360" customFormat="1" hidden="1" outlineLevel="2" x14ac:dyDescent="0.35">
      <c r="A5311" s="403" t="s">
        <v>7765</v>
      </c>
      <c r="B5311" s="397">
        <v>43818</v>
      </c>
      <c r="C5311" s="398" t="s">
        <v>7755</v>
      </c>
      <c r="D5311" s="399" t="s">
        <v>7766</v>
      </c>
      <c r="E5311" s="399" t="s">
        <v>6182</v>
      </c>
      <c r="F5311" s="400">
        <v>955000</v>
      </c>
      <c r="G5311" s="401" t="s">
        <v>3800</v>
      </c>
      <c r="H5311" s="402">
        <v>380.02093506534368</v>
      </c>
      <c r="I5311" s="402"/>
      <c r="J5311" s="400">
        <f t="shared" si="294"/>
        <v>95.00523376633592</v>
      </c>
      <c r="K5311" s="400">
        <f t="shared" si="295"/>
        <v>95.00523376633592</v>
      </c>
      <c r="L5311" s="400">
        <f t="shared" si="296"/>
        <v>95.00523376633592</v>
      </c>
      <c r="M5311" s="400">
        <f t="shared" si="297"/>
        <v>95.00523376633592</v>
      </c>
      <c r="N5311" s="400"/>
    </row>
    <row r="5312" spans="1:14" s="360" customFormat="1" hidden="1" outlineLevel="2" x14ac:dyDescent="0.35">
      <c r="A5312" s="403" t="s">
        <v>7765</v>
      </c>
      <c r="B5312" s="397">
        <v>43818</v>
      </c>
      <c r="C5312" s="398" t="s">
        <v>7755</v>
      </c>
      <c r="D5312" s="399" t="s">
        <v>7757</v>
      </c>
      <c r="E5312" s="399" t="s">
        <v>6182</v>
      </c>
      <c r="F5312" s="400">
        <v>143250</v>
      </c>
      <c r="G5312" s="401" t="s">
        <v>3800</v>
      </c>
      <c r="H5312" s="402">
        <v>57.003140259801555</v>
      </c>
      <c r="I5312" s="402"/>
      <c r="J5312" s="400">
        <f t="shared" si="294"/>
        <v>14.250785064950389</v>
      </c>
      <c r="K5312" s="400">
        <f t="shared" si="295"/>
        <v>14.250785064950389</v>
      </c>
      <c r="L5312" s="400">
        <f t="shared" si="296"/>
        <v>14.250785064950389</v>
      </c>
      <c r="M5312" s="400">
        <f t="shared" si="297"/>
        <v>14.250785064950389</v>
      </c>
      <c r="N5312" s="400"/>
    </row>
    <row r="5313" spans="1:14" s="360" customFormat="1" hidden="1" outlineLevel="2" x14ac:dyDescent="0.35">
      <c r="A5313" s="403" t="s">
        <v>7765</v>
      </c>
      <c r="B5313" s="397">
        <v>43818</v>
      </c>
      <c r="C5313" s="398" t="s">
        <v>7758</v>
      </c>
      <c r="D5313" s="399" t="s">
        <v>7759</v>
      </c>
      <c r="E5313" s="399" t="s">
        <v>6183</v>
      </c>
      <c r="F5313" s="400">
        <v>119375</v>
      </c>
      <c r="G5313" s="401" t="s">
        <v>3800</v>
      </c>
      <c r="H5313" s="402">
        <v>47.50261688316796</v>
      </c>
      <c r="I5313" s="402"/>
      <c r="J5313" s="400">
        <f t="shared" si="294"/>
        <v>11.87565422079199</v>
      </c>
      <c r="K5313" s="400">
        <f t="shared" si="295"/>
        <v>11.87565422079199</v>
      </c>
      <c r="L5313" s="400">
        <f t="shared" si="296"/>
        <v>11.87565422079199</v>
      </c>
      <c r="M5313" s="400">
        <f t="shared" si="297"/>
        <v>11.87565422079199</v>
      </c>
      <c r="N5313" s="400"/>
    </row>
    <row r="5314" spans="1:14" s="360" customFormat="1" hidden="1" outlineLevel="2" x14ac:dyDescent="0.35">
      <c r="A5314" s="403" t="s">
        <v>7765</v>
      </c>
      <c r="B5314" s="397">
        <v>43818</v>
      </c>
      <c r="C5314" s="398" t="s">
        <v>7755</v>
      </c>
      <c r="D5314" s="399" t="s">
        <v>7760</v>
      </c>
      <c r="E5314" s="399" t="s">
        <v>6182</v>
      </c>
      <c r="F5314" s="400">
        <v>47750</v>
      </c>
      <c r="G5314" s="401" t="s">
        <v>3800</v>
      </c>
      <c r="H5314" s="402">
        <v>19.001046753267186</v>
      </c>
      <c r="I5314" s="402"/>
      <c r="J5314" s="400">
        <f t="shared" si="294"/>
        <v>4.7502616883167965</v>
      </c>
      <c r="K5314" s="400">
        <f t="shared" si="295"/>
        <v>4.7502616883167965</v>
      </c>
      <c r="L5314" s="400">
        <f t="shared" si="296"/>
        <v>4.7502616883167965</v>
      </c>
      <c r="M5314" s="400">
        <f t="shared" si="297"/>
        <v>4.7502616883167965</v>
      </c>
      <c r="N5314" s="400"/>
    </row>
    <row r="5315" spans="1:14" s="360" customFormat="1" hidden="1" outlineLevel="2" x14ac:dyDescent="0.35">
      <c r="A5315" s="403" t="s">
        <v>7765</v>
      </c>
      <c r="B5315" s="397">
        <v>43818</v>
      </c>
      <c r="C5315" s="398" t="s">
        <v>7761</v>
      </c>
      <c r="D5315" s="399" t="s">
        <v>6130</v>
      </c>
      <c r="E5315" s="399" t="s">
        <v>4376</v>
      </c>
      <c r="F5315" s="400">
        <v>47750</v>
      </c>
      <c r="G5315" s="401" t="s">
        <v>3800</v>
      </c>
      <c r="H5315" s="402">
        <v>19.001046753267186</v>
      </c>
      <c r="I5315" s="402"/>
      <c r="J5315" s="400">
        <f t="shared" si="294"/>
        <v>4.7502616883167965</v>
      </c>
      <c r="K5315" s="400">
        <f t="shared" si="295"/>
        <v>4.7502616883167965</v>
      </c>
      <c r="L5315" s="400">
        <f t="shared" si="296"/>
        <v>4.7502616883167965</v>
      </c>
      <c r="M5315" s="400">
        <f t="shared" si="297"/>
        <v>4.7502616883167965</v>
      </c>
      <c r="N5315" s="400"/>
    </row>
    <row r="5316" spans="1:14" s="360" customFormat="1" hidden="1" outlineLevel="2" x14ac:dyDescent="0.35">
      <c r="A5316" s="403" t="s">
        <v>7765</v>
      </c>
      <c r="B5316" s="397">
        <v>43818</v>
      </c>
      <c r="C5316" s="398" t="s">
        <v>7762</v>
      </c>
      <c r="D5316" s="399" t="s">
        <v>7763</v>
      </c>
      <c r="E5316" s="399" t="s">
        <v>4042</v>
      </c>
      <c r="F5316" s="400">
        <v>11937.5</v>
      </c>
      <c r="G5316" s="401" t="s">
        <v>3800</v>
      </c>
      <c r="H5316" s="402">
        <v>4.7502616883167965</v>
      </c>
      <c r="I5316" s="402"/>
      <c r="J5316" s="400">
        <f t="shared" si="294"/>
        <v>1.1875654220791991</v>
      </c>
      <c r="K5316" s="400">
        <f t="shared" si="295"/>
        <v>1.1875654220791991</v>
      </c>
      <c r="L5316" s="400">
        <f t="shared" si="296"/>
        <v>1.1875654220791991</v>
      </c>
      <c r="M5316" s="400">
        <f t="shared" si="297"/>
        <v>1.1875654220791991</v>
      </c>
      <c r="N5316" s="400"/>
    </row>
    <row r="5317" spans="1:14" s="360" customFormat="1" hidden="1" outlineLevel="2" x14ac:dyDescent="0.35">
      <c r="A5317" s="403" t="s">
        <v>7765</v>
      </c>
      <c r="B5317" s="397">
        <v>43767</v>
      </c>
      <c r="C5317" s="398" t="s">
        <v>7735</v>
      </c>
      <c r="D5317" s="399" t="s">
        <v>7736</v>
      </c>
      <c r="E5317" s="399" t="s">
        <v>6184</v>
      </c>
      <c r="F5317" s="400">
        <v>955000</v>
      </c>
      <c r="G5317" s="401" t="s">
        <v>3800</v>
      </c>
      <c r="H5317" s="402">
        <v>380.02093506534368</v>
      </c>
      <c r="I5317" s="402"/>
      <c r="J5317" s="400">
        <f t="shared" si="294"/>
        <v>95.00523376633592</v>
      </c>
      <c r="K5317" s="400">
        <f t="shared" si="295"/>
        <v>95.00523376633592</v>
      </c>
      <c r="L5317" s="400">
        <f t="shared" si="296"/>
        <v>95.00523376633592</v>
      </c>
      <c r="M5317" s="400">
        <f t="shared" si="297"/>
        <v>95.00523376633592</v>
      </c>
      <c r="N5317" s="400"/>
    </row>
    <row r="5318" spans="1:14" s="360" customFormat="1" hidden="1" outlineLevel="2" x14ac:dyDescent="0.35">
      <c r="A5318" s="403" t="s">
        <v>7765</v>
      </c>
      <c r="B5318" s="397">
        <v>43767</v>
      </c>
      <c r="C5318" s="398" t="s">
        <v>7735</v>
      </c>
      <c r="D5318" s="399" t="s">
        <v>7737</v>
      </c>
      <c r="E5318" s="399" t="s">
        <v>6184</v>
      </c>
      <c r="F5318" s="400">
        <v>143250</v>
      </c>
      <c r="G5318" s="401" t="s">
        <v>3800</v>
      </c>
      <c r="H5318" s="402">
        <v>57.003140259801555</v>
      </c>
      <c r="I5318" s="402"/>
      <c r="J5318" s="400">
        <f t="shared" si="294"/>
        <v>14.250785064950389</v>
      </c>
      <c r="K5318" s="400">
        <f t="shared" si="295"/>
        <v>14.250785064950389</v>
      </c>
      <c r="L5318" s="400">
        <f t="shared" si="296"/>
        <v>14.250785064950389</v>
      </c>
      <c r="M5318" s="400">
        <f t="shared" si="297"/>
        <v>14.250785064950389</v>
      </c>
      <c r="N5318" s="400"/>
    </row>
    <row r="5319" spans="1:14" s="360" customFormat="1" hidden="1" outlineLevel="2" x14ac:dyDescent="0.35">
      <c r="A5319" s="403" t="s">
        <v>7765</v>
      </c>
      <c r="B5319" s="397">
        <v>43767</v>
      </c>
      <c r="C5319" s="398" t="s">
        <v>7738</v>
      </c>
      <c r="D5319" s="399" t="s">
        <v>7739</v>
      </c>
      <c r="E5319" s="399" t="s">
        <v>4272</v>
      </c>
      <c r="F5319" s="400">
        <v>119375</v>
      </c>
      <c r="G5319" s="401" t="s">
        <v>3800</v>
      </c>
      <c r="H5319" s="402">
        <v>47.50261688316796</v>
      </c>
      <c r="I5319" s="402"/>
      <c r="J5319" s="400">
        <f t="shared" si="294"/>
        <v>11.87565422079199</v>
      </c>
      <c r="K5319" s="400">
        <f t="shared" si="295"/>
        <v>11.87565422079199</v>
      </c>
      <c r="L5319" s="400">
        <f t="shared" si="296"/>
        <v>11.87565422079199</v>
      </c>
      <c r="M5319" s="400">
        <f t="shared" si="297"/>
        <v>11.87565422079199</v>
      </c>
      <c r="N5319" s="400"/>
    </row>
    <row r="5320" spans="1:14" s="360" customFormat="1" hidden="1" outlineLevel="2" x14ac:dyDescent="0.35">
      <c r="A5320" s="403" t="s">
        <v>7765</v>
      </c>
      <c r="B5320" s="397">
        <v>43767</v>
      </c>
      <c r="C5320" s="398" t="s">
        <v>7735</v>
      </c>
      <c r="D5320" s="399" t="s">
        <v>7740</v>
      </c>
      <c r="E5320" s="399" t="s">
        <v>6184</v>
      </c>
      <c r="F5320" s="400">
        <v>47750</v>
      </c>
      <c r="G5320" s="401" t="s">
        <v>3800</v>
      </c>
      <c r="H5320" s="402">
        <v>19.001046753267186</v>
      </c>
      <c r="I5320" s="402"/>
      <c r="J5320" s="400">
        <f t="shared" si="294"/>
        <v>4.7502616883167965</v>
      </c>
      <c r="K5320" s="400">
        <f t="shared" si="295"/>
        <v>4.7502616883167965</v>
      </c>
      <c r="L5320" s="400">
        <f t="shared" si="296"/>
        <v>4.7502616883167965</v>
      </c>
      <c r="M5320" s="400">
        <f t="shared" si="297"/>
        <v>4.7502616883167965</v>
      </c>
      <c r="N5320" s="400"/>
    </row>
    <row r="5321" spans="1:14" s="360" customFormat="1" hidden="1" outlineLevel="2" x14ac:dyDescent="0.35">
      <c r="A5321" s="403" t="s">
        <v>7765</v>
      </c>
      <c r="B5321" s="397">
        <v>43767</v>
      </c>
      <c r="C5321" s="398" t="s">
        <v>7741</v>
      </c>
      <c r="D5321" s="399" t="s">
        <v>7742</v>
      </c>
      <c r="E5321" s="399" t="s">
        <v>4376</v>
      </c>
      <c r="F5321" s="400">
        <v>47750</v>
      </c>
      <c r="G5321" s="401" t="s">
        <v>3800</v>
      </c>
      <c r="H5321" s="402">
        <v>19.001046753267186</v>
      </c>
      <c r="I5321" s="402"/>
      <c r="J5321" s="400">
        <f t="shared" si="294"/>
        <v>4.7502616883167965</v>
      </c>
      <c r="K5321" s="400">
        <f t="shared" si="295"/>
        <v>4.7502616883167965</v>
      </c>
      <c r="L5321" s="400">
        <f t="shared" si="296"/>
        <v>4.7502616883167965</v>
      </c>
      <c r="M5321" s="400">
        <f t="shared" si="297"/>
        <v>4.7502616883167965</v>
      </c>
      <c r="N5321" s="400"/>
    </row>
    <row r="5322" spans="1:14" s="360" customFormat="1" hidden="1" outlineLevel="2" collapsed="1" x14ac:dyDescent="0.35">
      <c r="A5322" s="403" t="s">
        <v>7765</v>
      </c>
      <c r="B5322" s="397">
        <v>43767</v>
      </c>
      <c r="C5322" s="398" t="s">
        <v>7743</v>
      </c>
      <c r="D5322" s="399" t="s">
        <v>7744</v>
      </c>
      <c r="E5322" s="399" t="s">
        <v>4042</v>
      </c>
      <c r="F5322" s="400">
        <v>11937.5</v>
      </c>
      <c r="G5322" s="401" t="s">
        <v>3800</v>
      </c>
      <c r="H5322" s="402">
        <v>4.7502616883167965</v>
      </c>
      <c r="I5322" s="402"/>
      <c r="J5322" s="400">
        <f t="shared" si="294"/>
        <v>1.1875654220791991</v>
      </c>
      <c r="K5322" s="400">
        <f t="shared" si="295"/>
        <v>1.1875654220791991</v>
      </c>
      <c r="L5322" s="400">
        <f t="shared" si="296"/>
        <v>1.1875654220791991</v>
      </c>
      <c r="M5322" s="400">
        <f t="shared" si="297"/>
        <v>1.1875654220791991</v>
      </c>
      <c r="N5322" s="400"/>
    </row>
    <row r="5323" spans="1:14" s="360" customFormat="1" hidden="1" outlineLevel="2" x14ac:dyDescent="0.35">
      <c r="A5323" s="403" t="s">
        <v>7765</v>
      </c>
      <c r="B5323" s="397">
        <v>43797</v>
      </c>
      <c r="C5323" s="398" t="s">
        <v>7745</v>
      </c>
      <c r="D5323" s="399" t="s">
        <v>7746</v>
      </c>
      <c r="E5323" s="399" t="s">
        <v>6184</v>
      </c>
      <c r="F5323" s="400">
        <v>955000</v>
      </c>
      <c r="G5323" s="401" t="s">
        <v>3800</v>
      </c>
      <c r="H5323" s="402">
        <v>380.02093506534368</v>
      </c>
      <c r="I5323" s="402"/>
      <c r="J5323" s="400">
        <f t="shared" si="294"/>
        <v>95.00523376633592</v>
      </c>
      <c r="K5323" s="400">
        <f t="shared" si="295"/>
        <v>95.00523376633592</v>
      </c>
      <c r="L5323" s="400">
        <f t="shared" si="296"/>
        <v>95.00523376633592</v>
      </c>
      <c r="M5323" s="400">
        <f t="shared" si="297"/>
        <v>95.00523376633592</v>
      </c>
      <c r="N5323" s="400"/>
    </row>
    <row r="5324" spans="1:14" s="360" customFormat="1" hidden="1" outlineLevel="2" x14ac:dyDescent="0.35">
      <c r="A5324" s="403" t="s">
        <v>7765</v>
      </c>
      <c r="B5324" s="397">
        <v>43797</v>
      </c>
      <c r="C5324" s="398" t="s">
        <v>7745</v>
      </c>
      <c r="D5324" s="399" t="s">
        <v>7747</v>
      </c>
      <c r="E5324" s="399" t="s">
        <v>6184</v>
      </c>
      <c r="F5324" s="400">
        <v>143250</v>
      </c>
      <c r="G5324" s="401" t="s">
        <v>3800</v>
      </c>
      <c r="H5324" s="402">
        <v>57.003140259801555</v>
      </c>
      <c r="I5324" s="402"/>
      <c r="J5324" s="400">
        <f t="shared" si="294"/>
        <v>14.250785064950389</v>
      </c>
      <c r="K5324" s="400">
        <f t="shared" si="295"/>
        <v>14.250785064950389</v>
      </c>
      <c r="L5324" s="400">
        <f t="shared" si="296"/>
        <v>14.250785064950389</v>
      </c>
      <c r="M5324" s="400">
        <f t="shared" si="297"/>
        <v>14.250785064950389</v>
      </c>
      <c r="N5324" s="400"/>
    </row>
    <row r="5325" spans="1:14" s="360" customFormat="1" hidden="1" outlineLevel="2" x14ac:dyDescent="0.35">
      <c r="A5325" s="403" t="s">
        <v>7765</v>
      </c>
      <c r="B5325" s="397">
        <v>43797</v>
      </c>
      <c r="C5325" s="398" t="s">
        <v>7748</v>
      </c>
      <c r="D5325" s="399" t="s">
        <v>7749</v>
      </c>
      <c r="E5325" s="399" t="s">
        <v>4272</v>
      </c>
      <c r="F5325" s="400">
        <v>119375</v>
      </c>
      <c r="G5325" s="401" t="s">
        <v>3800</v>
      </c>
      <c r="H5325" s="402">
        <v>47.50261688316796</v>
      </c>
      <c r="I5325" s="402"/>
      <c r="J5325" s="400">
        <f t="shared" si="294"/>
        <v>11.87565422079199</v>
      </c>
      <c r="K5325" s="400">
        <f t="shared" si="295"/>
        <v>11.87565422079199</v>
      </c>
      <c r="L5325" s="400">
        <f t="shared" si="296"/>
        <v>11.87565422079199</v>
      </c>
      <c r="M5325" s="400">
        <f t="shared" si="297"/>
        <v>11.87565422079199</v>
      </c>
      <c r="N5325" s="400"/>
    </row>
    <row r="5326" spans="1:14" s="360" customFormat="1" hidden="1" outlineLevel="2" x14ac:dyDescent="0.35">
      <c r="A5326" s="403" t="s">
        <v>7765</v>
      </c>
      <c r="B5326" s="397">
        <v>43797</v>
      </c>
      <c r="C5326" s="398" t="s">
        <v>7745</v>
      </c>
      <c r="D5326" s="399" t="s">
        <v>7750</v>
      </c>
      <c r="E5326" s="399" t="s">
        <v>6184</v>
      </c>
      <c r="F5326" s="400">
        <v>47750</v>
      </c>
      <c r="G5326" s="401" t="s">
        <v>3800</v>
      </c>
      <c r="H5326" s="402">
        <v>19.001046753267186</v>
      </c>
      <c r="I5326" s="402"/>
      <c r="J5326" s="400">
        <f t="shared" si="294"/>
        <v>4.7502616883167965</v>
      </c>
      <c r="K5326" s="400">
        <f t="shared" si="295"/>
        <v>4.7502616883167965</v>
      </c>
      <c r="L5326" s="400">
        <f t="shared" si="296"/>
        <v>4.7502616883167965</v>
      </c>
      <c r="M5326" s="400">
        <f t="shared" si="297"/>
        <v>4.7502616883167965</v>
      </c>
      <c r="N5326" s="400"/>
    </row>
    <row r="5327" spans="1:14" s="360" customFormat="1" hidden="1" outlineLevel="2" x14ac:dyDescent="0.35">
      <c r="A5327" s="403" t="s">
        <v>7765</v>
      </c>
      <c r="B5327" s="397">
        <v>43797</v>
      </c>
      <c r="C5327" s="398" t="s">
        <v>7751</v>
      </c>
      <c r="D5327" s="399" t="s">
        <v>7752</v>
      </c>
      <c r="E5327" s="399" t="s">
        <v>4376</v>
      </c>
      <c r="F5327" s="400">
        <v>47750</v>
      </c>
      <c r="G5327" s="401" t="s">
        <v>3800</v>
      </c>
      <c r="H5327" s="402">
        <v>19.001046753267186</v>
      </c>
      <c r="I5327" s="402"/>
      <c r="J5327" s="400">
        <f t="shared" si="294"/>
        <v>4.7502616883167965</v>
      </c>
      <c r="K5327" s="400">
        <f t="shared" si="295"/>
        <v>4.7502616883167965</v>
      </c>
      <c r="L5327" s="400">
        <f t="shared" si="296"/>
        <v>4.7502616883167965</v>
      </c>
      <c r="M5327" s="400">
        <f t="shared" si="297"/>
        <v>4.7502616883167965</v>
      </c>
      <c r="N5327" s="400"/>
    </row>
    <row r="5328" spans="1:14" s="360" customFormat="1" hidden="1" outlineLevel="2" x14ac:dyDescent="0.35">
      <c r="A5328" s="403" t="s">
        <v>7765</v>
      </c>
      <c r="B5328" s="397">
        <v>43797</v>
      </c>
      <c r="C5328" s="398" t="s">
        <v>7753</v>
      </c>
      <c r="D5328" s="399" t="s">
        <v>7754</v>
      </c>
      <c r="E5328" s="399" t="s">
        <v>4042</v>
      </c>
      <c r="F5328" s="400">
        <v>11936.5</v>
      </c>
      <c r="G5328" s="401" t="s">
        <v>3800</v>
      </c>
      <c r="H5328" s="402">
        <v>4.7498637606360994</v>
      </c>
      <c r="I5328" s="402"/>
      <c r="J5328" s="400">
        <f t="shared" si="294"/>
        <v>1.1874659401590248</v>
      </c>
      <c r="K5328" s="400">
        <f t="shared" si="295"/>
        <v>1.1874659401590248</v>
      </c>
      <c r="L5328" s="400">
        <f t="shared" si="296"/>
        <v>1.1874659401590248</v>
      </c>
      <c r="M5328" s="400">
        <f t="shared" si="297"/>
        <v>1.1874659401590248</v>
      </c>
      <c r="N5328" s="400"/>
    </row>
    <row r="5329" spans="1:14" s="360" customFormat="1" hidden="1" outlineLevel="2" x14ac:dyDescent="0.35">
      <c r="A5329" s="403" t="s">
        <v>7765</v>
      </c>
      <c r="B5329" s="397">
        <v>43818</v>
      </c>
      <c r="C5329" s="398" t="s">
        <v>7755</v>
      </c>
      <c r="D5329" s="399" t="s">
        <v>7766</v>
      </c>
      <c r="E5329" s="399" t="s">
        <v>6184</v>
      </c>
      <c r="F5329" s="400">
        <v>955000</v>
      </c>
      <c r="G5329" s="401" t="s">
        <v>3800</v>
      </c>
      <c r="H5329" s="402">
        <v>380.02093506534368</v>
      </c>
      <c r="I5329" s="402"/>
      <c r="J5329" s="400">
        <f t="shared" si="294"/>
        <v>95.00523376633592</v>
      </c>
      <c r="K5329" s="400">
        <f t="shared" si="295"/>
        <v>95.00523376633592</v>
      </c>
      <c r="L5329" s="400">
        <f t="shared" si="296"/>
        <v>95.00523376633592</v>
      </c>
      <c r="M5329" s="400">
        <f t="shared" si="297"/>
        <v>95.00523376633592</v>
      </c>
      <c r="N5329" s="400"/>
    </row>
    <row r="5330" spans="1:14" s="360" customFormat="1" hidden="1" outlineLevel="2" x14ac:dyDescent="0.35">
      <c r="A5330" s="403" t="s">
        <v>7765</v>
      </c>
      <c r="B5330" s="397">
        <v>43818</v>
      </c>
      <c r="C5330" s="398" t="s">
        <v>7755</v>
      </c>
      <c r="D5330" s="399" t="s">
        <v>7757</v>
      </c>
      <c r="E5330" s="399" t="s">
        <v>6184</v>
      </c>
      <c r="F5330" s="400">
        <v>143250</v>
      </c>
      <c r="G5330" s="401" t="s">
        <v>3800</v>
      </c>
      <c r="H5330" s="402">
        <v>57.003140259801555</v>
      </c>
      <c r="I5330" s="402"/>
      <c r="J5330" s="400">
        <f t="shared" si="294"/>
        <v>14.250785064950389</v>
      </c>
      <c r="K5330" s="400">
        <f t="shared" si="295"/>
        <v>14.250785064950389</v>
      </c>
      <c r="L5330" s="400">
        <f t="shared" si="296"/>
        <v>14.250785064950389</v>
      </c>
      <c r="M5330" s="400">
        <f t="shared" si="297"/>
        <v>14.250785064950389</v>
      </c>
      <c r="N5330" s="400"/>
    </row>
    <row r="5331" spans="1:14" s="360" customFormat="1" hidden="1" outlineLevel="2" x14ac:dyDescent="0.35">
      <c r="A5331" s="403" t="s">
        <v>7765</v>
      </c>
      <c r="B5331" s="397">
        <v>43818</v>
      </c>
      <c r="C5331" s="398" t="s">
        <v>7758</v>
      </c>
      <c r="D5331" s="399" t="s">
        <v>7759</v>
      </c>
      <c r="E5331" s="399" t="s">
        <v>4272</v>
      </c>
      <c r="F5331" s="400">
        <v>119375</v>
      </c>
      <c r="G5331" s="401" t="s">
        <v>3800</v>
      </c>
      <c r="H5331" s="402">
        <v>47.50261688316796</v>
      </c>
      <c r="I5331" s="402"/>
      <c r="J5331" s="400">
        <f t="shared" si="294"/>
        <v>11.87565422079199</v>
      </c>
      <c r="K5331" s="400">
        <f t="shared" si="295"/>
        <v>11.87565422079199</v>
      </c>
      <c r="L5331" s="400">
        <f t="shared" si="296"/>
        <v>11.87565422079199</v>
      </c>
      <c r="M5331" s="400">
        <f t="shared" si="297"/>
        <v>11.87565422079199</v>
      </c>
      <c r="N5331" s="400"/>
    </row>
    <row r="5332" spans="1:14" s="360" customFormat="1" hidden="1" outlineLevel="2" x14ac:dyDescent="0.35">
      <c r="A5332" s="403" t="s">
        <v>7765</v>
      </c>
      <c r="B5332" s="397">
        <v>43818</v>
      </c>
      <c r="C5332" s="398" t="s">
        <v>7755</v>
      </c>
      <c r="D5332" s="399" t="s">
        <v>7760</v>
      </c>
      <c r="E5332" s="399" t="s">
        <v>6184</v>
      </c>
      <c r="F5332" s="400">
        <v>47750</v>
      </c>
      <c r="G5332" s="401" t="s">
        <v>3800</v>
      </c>
      <c r="H5332" s="402">
        <v>19.001046753267186</v>
      </c>
      <c r="I5332" s="402"/>
      <c r="J5332" s="400">
        <f t="shared" si="294"/>
        <v>4.7502616883167965</v>
      </c>
      <c r="K5332" s="400">
        <f t="shared" si="295"/>
        <v>4.7502616883167965</v>
      </c>
      <c r="L5332" s="400">
        <f t="shared" si="296"/>
        <v>4.7502616883167965</v>
      </c>
      <c r="M5332" s="400">
        <f t="shared" si="297"/>
        <v>4.7502616883167965</v>
      </c>
      <c r="N5332" s="400"/>
    </row>
    <row r="5333" spans="1:14" s="360" customFormat="1" hidden="1" outlineLevel="2" x14ac:dyDescent="0.35">
      <c r="A5333" s="403" t="s">
        <v>7765</v>
      </c>
      <c r="B5333" s="397">
        <v>43818</v>
      </c>
      <c r="C5333" s="398" t="s">
        <v>7761</v>
      </c>
      <c r="D5333" s="399" t="s">
        <v>6130</v>
      </c>
      <c r="E5333" s="399" t="s">
        <v>4376</v>
      </c>
      <c r="F5333" s="400">
        <v>47750</v>
      </c>
      <c r="G5333" s="401" t="s">
        <v>3800</v>
      </c>
      <c r="H5333" s="402">
        <v>19.001046753267186</v>
      </c>
      <c r="I5333" s="402"/>
      <c r="J5333" s="400">
        <f t="shared" si="294"/>
        <v>4.7502616883167965</v>
      </c>
      <c r="K5333" s="400">
        <f t="shared" si="295"/>
        <v>4.7502616883167965</v>
      </c>
      <c r="L5333" s="400">
        <f t="shared" si="296"/>
        <v>4.7502616883167965</v>
      </c>
      <c r="M5333" s="400">
        <f t="shared" si="297"/>
        <v>4.7502616883167965</v>
      </c>
      <c r="N5333" s="400"/>
    </row>
    <row r="5334" spans="1:14" s="360" customFormat="1" hidden="1" outlineLevel="2" x14ac:dyDescent="0.35">
      <c r="A5334" s="403" t="s">
        <v>7765</v>
      </c>
      <c r="B5334" s="397">
        <v>43818</v>
      </c>
      <c r="C5334" s="398" t="s">
        <v>7762</v>
      </c>
      <c r="D5334" s="399" t="s">
        <v>7763</v>
      </c>
      <c r="E5334" s="399" t="s">
        <v>4042</v>
      </c>
      <c r="F5334" s="400">
        <v>11937.5</v>
      </c>
      <c r="G5334" s="401" t="s">
        <v>3800</v>
      </c>
      <c r="H5334" s="402">
        <v>4.7502616883167965</v>
      </c>
      <c r="I5334" s="402"/>
      <c r="J5334" s="400">
        <f t="shared" si="294"/>
        <v>1.1875654220791991</v>
      </c>
      <c r="K5334" s="400">
        <f t="shared" si="295"/>
        <v>1.1875654220791991</v>
      </c>
      <c r="L5334" s="400">
        <f t="shared" si="296"/>
        <v>1.1875654220791991</v>
      </c>
      <c r="M5334" s="400">
        <f t="shared" si="297"/>
        <v>1.1875654220791991</v>
      </c>
      <c r="N5334" s="400"/>
    </row>
    <row r="5335" spans="1:14" s="360" customFormat="1" outlineLevel="1" collapsed="1" x14ac:dyDescent="0.35">
      <c r="A5335" s="396" t="s">
        <v>7767</v>
      </c>
      <c r="B5335" s="397"/>
      <c r="C5335" s="398"/>
      <c r="D5335" s="399"/>
      <c r="E5335" s="399"/>
      <c r="F5335" s="400"/>
      <c r="G5335" s="401"/>
      <c r="H5335" s="402">
        <f t="shared" ref="H5335:N5335" si="298">SUBTOTAL(9,H5299:H5334)</f>
        <v>2864.8822432494444</v>
      </c>
      <c r="I5335" s="402"/>
      <c r="J5335" s="400">
        <f t="shared" si="298"/>
        <v>716.2205608123611</v>
      </c>
      <c r="K5335" s="400">
        <f t="shared" si="298"/>
        <v>716.2205608123611</v>
      </c>
      <c r="L5335" s="400">
        <f t="shared" si="298"/>
        <v>716.2205608123611</v>
      </c>
      <c r="M5335" s="400">
        <f t="shared" si="298"/>
        <v>716.2205608123611</v>
      </c>
      <c r="N5335" s="400">
        <f t="shared" si="298"/>
        <v>0</v>
      </c>
    </row>
    <row r="5336" spans="1:14" s="360" customFormat="1" hidden="1" outlineLevel="2" x14ac:dyDescent="0.35">
      <c r="A5336" s="403" t="s">
        <v>7768</v>
      </c>
      <c r="B5336" s="397">
        <v>43721</v>
      </c>
      <c r="C5336" s="398" t="s">
        <v>7715</v>
      </c>
      <c r="D5336" s="399" t="s">
        <v>7716</v>
      </c>
      <c r="E5336" s="399" t="s">
        <v>6184</v>
      </c>
      <c r="F5336" s="400">
        <v>955000</v>
      </c>
      <c r="G5336" s="401" t="s">
        <v>3800</v>
      </c>
      <c r="H5336" s="402">
        <v>380.02093506534368</v>
      </c>
      <c r="I5336" s="402"/>
      <c r="J5336" s="400">
        <f t="shared" ref="J5336:J5347" si="299">H5336/4</f>
        <v>95.00523376633592</v>
      </c>
      <c r="K5336" s="400">
        <f t="shared" ref="K5336:K5347" si="300">H5336/4</f>
        <v>95.00523376633592</v>
      </c>
      <c r="L5336" s="400">
        <f t="shared" ref="L5336:L5347" si="301">H5336/4</f>
        <v>95.00523376633592</v>
      </c>
      <c r="M5336" s="400">
        <f t="shared" ref="M5336:M5347" si="302">H5336/4</f>
        <v>95.00523376633592</v>
      </c>
      <c r="N5336" s="400"/>
    </row>
    <row r="5337" spans="1:14" s="360" customFormat="1" hidden="1" outlineLevel="2" x14ac:dyDescent="0.35">
      <c r="A5337" s="403" t="s">
        <v>7768</v>
      </c>
      <c r="B5337" s="397">
        <v>43721</v>
      </c>
      <c r="C5337" s="398" t="s">
        <v>7715</v>
      </c>
      <c r="D5337" s="399" t="s">
        <v>7717</v>
      </c>
      <c r="E5337" s="399" t="s">
        <v>6184</v>
      </c>
      <c r="F5337" s="400">
        <v>143250</v>
      </c>
      <c r="G5337" s="401" t="s">
        <v>3800</v>
      </c>
      <c r="H5337" s="402">
        <v>57.003140259801555</v>
      </c>
      <c r="I5337" s="402"/>
      <c r="J5337" s="400">
        <f t="shared" si="299"/>
        <v>14.250785064950389</v>
      </c>
      <c r="K5337" s="400">
        <f t="shared" si="300"/>
        <v>14.250785064950389</v>
      </c>
      <c r="L5337" s="400">
        <f t="shared" si="301"/>
        <v>14.250785064950389</v>
      </c>
      <c r="M5337" s="400">
        <f t="shared" si="302"/>
        <v>14.250785064950389</v>
      </c>
      <c r="N5337" s="400"/>
    </row>
    <row r="5338" spans="1:14" s="360" customFormat="1" hidden="1" outlineLevel="2" x14ac:dyDescent="0.35">
      <c r="A5338" s="403" t="s">
        <v>7768</v>
      </c>
      <c r="B5338" s="397">
        <v>43725</v>
      </c>
      <c r="C5338" s="398" t="s">
        <v>7718</v>
      </c>
      <c r="D5338" s="399" t="s">
        <v>7719</v>
      </c>
      <c r="E5338" s="399" t="s">
        <v>4272</v>
      </c>
      <c r="F5338" s="400">
        <v>119375</v>
      </c>
      <c r="G5338" s="401" t="s">
        <v>3800</v>
      </c>
      <c r="H5338" s="402">
        <v>47.50261688316796</v>
      </c>
      <c r="I5338" s="402"/>
      <c r="J5338" s="400">
        <f t="shared" si="299"/>
        <v>11.87565422079199</v>
      </c>
      <c r="K5338" s="400">
        <f t="shared" si="300"/>
        <v>11.87565422079199</v>
      </c>
      <c r="L5338" s="400">
        <f t="shared" si="301"/>
        <v>11.87565422079199</v>
      </c>
      <c r="M5338" s="400">
        <f t="shared" si="302"/>
        <v>11.87565422079199</v>
      </c>
      <c r="N5338" s="400"/>
    </row>
    <row r="5339" spans="1:14" s="360" customFormat="1" hidden="1" outlineLevel="2" x14ac:dyDescent="0.35">
      <c r="A5339" s="403" t="s">
        <v>7768</v>
      </c>
      <c r="B5339" s="397">
        <v>43721</v>
      </c>
      <c r="C5339" s="398" t="s">
        <v>7715</v>
      </c>
      <c r="D5339" s="399" t="s">
        <v>7720</v>
      </c>
      <c r="E5339" s="399" t="s">
        <v>6184</v>
      </c>
      <c r="F5339" s="400">
        <v>47750</v>
      </c>
      <c r="G5339" s="401" t="s">
        <v>3800</v>
      </c>
      <c r="H5339" s="402">
        <v>19.001046753267186</v>
      </c>
      <c r="I5339" s="402"/>
      <c r="J5339" s="400">
        <f t="shared" si="299"/>
        <v>4.7502616883167965</v>
      </c>
      <c r="K5339" s="400">
        <f t="shared" si="300"/>
        <v>4.7502616883167965</v>
      </c>
      <c r="L5339" s="400">
        <f t="shared" si="301"/>
        <v>4.7502616883167965</v>
      </c>
      <c r="M5339" s="400">
        <f t="shared" si="302"/>
        <v>4.7502616883167965</v>
      </c>
      <c r="N5339" s="400"/>
    </row>
    <row r="5340" spans="1:14" s="360" customFormat="1" hidden="1" outlineLevel="2" x14ac:dyDescent="0.35">
      <c r="A5340" s="403" t="s">
        <v>7768</v>
      </c>
      <c r="B5340" s="397">
        <v>43725</v>
      </c>
      <c r="C5340" s="398" t="s">
        <v>7721</v>
      </c>
      <c r="D5340" s="399" t="s">
        <v>7722</v>
      </c>
      <c r="E5340" s="399" t="s">
        <v>4376</v>
      </c>
      <c r="F5340" s="400">
        <v>47750</v>
      </c>
      <c r="G5340" s="401" t="s">
        <v>3800</v>
      </c>
      <c r="H5340" s="402">
        <v>19.001046753267186</v>
      </c>
      <c r="I5340" s="402"/>
      <c r="J5340" s="400">
        <f t="shared" si="299"/>
        <v>4.7502616883167965</v>
      </c>
      <c r="K5340" s="400">
        <f t="shared" si="300"/>
        <v>4.7502616883167965</v>
      </c>
      <c r="L5340" s="400">
        <f t="shared" si="301"/>
        <v>4.7502616883167965</v>
      </c>
      <c r="M5340" s="400">
        <f t="shared" si="302"/>
        <v>4.7502616883167965</v>
      </c>
      <c r="N5340" s="400"/>
    </row>
    <row r="5341" spans="1:14" s="360" customFormat="1" hidden="1" outlineLevel="2" x14ac:dyDescent="0.35">
      <c r="A5341" s="403" t="s">
        <v>7768</v>
      </c>
      <c r="B5341" s="397">
        <v>43725</v>
      </c>
      <c r="C5341" s="398" t="s">
        <v>7723</v>
      </c>
      <c r="D5341" s="399" t="s">
        <v>7724</v>
      </c>
      <c r="E5341" s="399" t="s">
        <v>4042</v>
      </c>
      <c r="F5341" s="400">
        <v>11937.5</v>
      </c>
      <c r="G5341" s="401" t="s">
        <v>3800</v>
      </c>
      <c r="H5341" s="402">
        <v>4.7502616883167965</v>
      </c>
      <c r="I5341" s="402"/>
      <c r="J5341" s="400">
        <f t="shared" si="299"/>
        <v>1.1875654220791991</v>
      </c>
      <c r="K5341" s="400">
        <f t="shared" si="300"/>
        <v>1.1875654220791991</v>
      </c>
      <c r="L5341" s="400">
        <f t="shared" si="301"/>
        <v>1.1875654220791991</v>
      </c>
      <c r="M5341" s="400">
        <f t="shared" si="302"/>
        <v>1.1875654220791991</v>
      </c>
      <c r="N5341" s="400"/>
    </row>
    <row r="5342" spans="1:14" s="360" customFormat="1" hidden="1" outlineLevel="2" x14ac:dyDescent="0.35">
      <c r="A5342" s="403" t="s">
        <v>7768</v>
      </c>
      <c r="B5342" s="397">
        <v>43735</v>
      </c>
      <c r="C5342" s="398" t="s">
        <v>7725</v>
      </c>
      <c r="D5342" s="399" t="s">
        <v>7726</v>
      </c>
      <c r="E5342" s="399" t="s">
        <v>6184</v>
      </c>
      <c r="F5342" s="400">
        <v>955000</v>
      </c>
      <c r="G5342" s="401" t="s">
        <v>3800</v>
      </c>
      <c r="H5342" s="402">
        <v>380.02093506534368</v>
      </c>
      <c r="I5342" s="402"/>
      <c r="J5342" s="400">
        <f t="shared" si="299"/>
        <v>95.00523376633592</v>
      </c>
      <c r="K5342" s="400">
        <f t="shared" si="300"/>
        <v>95.00523376633592</v>
      </c>
      <c r="L5342" s="400">
        <f t="shared" si="301"/>
        <v>95.00523376633592</v>
      </c>
      <c r="M5342" s="400">
        <f t="shared" si="302"/>
        <v>95.00523376633592</v>
      </c>
      <c r="N5342" s="400"/>
    </row>
    <row r="5343" spans="1:14" s="360" customFormat="1" hidden="1" outlineLevel="2" x14ac:dyDescent="0.35">
      <c r="A5343" s="403" t="s">
        <v>7768</v>
      </c>
      <c r="B5343" s="397">
        <v>43735</v>
      </c>
      <c r="C5343" s="398" t="s">
        <v>7725</v>
      </c>
      <c r="D5343" s="399" t="s">
        <v>7727</v>
      </c>
      <c r="E5343" s="399" t="s">
        <v>6184</v>
      </c>
      <c r="F5343" s="400">
        <v>143250</v>
      </c>
      <c r="G5343" s="401" t="s">
        <v>3800</v>
      </c>
      <c r="H5343" s="402">
        <v>57.003140259801555</v>
      </c>
      <c r="I5343" s="402"/>
      <c r="J5343" s="400">
        <f t="shared" si="299"/>
        <v>14.250785064950389</v>
      </c>
      <c r="K5343" s="400">
        <f t="shared" si="300"/>
        <v>14.250785064950389</v>
      </c>
      <c r="L5343" s="400">
        <f t="shared" si="301"/>
        <v>14.250785064950389</v>
      </c>
      <c r="M5343" s="400">
        <f t="shared" si="302"/>
        <v>14.250785064950389</v>
      </c>
      <c r="N5343" s="400"/>
    </row>
    <row r="5344" spans="1:14" s="360" customFormat="1" hidden="1" outlineLevel="2" x14ac:dyDescent="0.35">
      <c r="A5344" s="403" t="s">
        <v>7768</v>
      </c>
      <c r="B5344" s="397">
        <v>43736</v>
      </c>
      <c r="C5344" s="398" t="s">
        <v>7728</v>
      </c>
      <c r="D5344" s="399" t="s">
        <v>7729</v>
      </c>
      <c r="E5344" s="399" t="s">
        <v>4272</v>
      </c>
      <c r="F5344" s="400">
        <v>119375</v>
      </c>
      <c r="G5344" s="401" t="s">
        <v>3800</v>
      </c>
      <c r="H5344" s="402">
        <v>47.50261688316796</v>
      </c>
      <c r="I5344" s="402"/>
      <c r="J5344" s="400">
        <f t="shared" si="299"/>
        <v>11.87565422079199</v>
      </c>
      <c r="K5344" s="400">
        <f t="shared" si="300"/>
        <v>11.87565422079199</v>
      </c>
      <c r="L5344" s="400">
        <f t="shared" si="301"/>
        <v>11.87565422079199</v>
      </c>
      <c r="M5344" s="400">
        <f t="shared" si="302"/>
        <v>11.87565422079199</v>
      </c>
      <c r="N5344" s="400"/>
    </row>
    <row r="5345" spans="1:14" s="360" customFormat="1" hidden="1" outlineLevel="2" x14ac:dyDescent="0.35">
      <c r="A5345" s="403" t="s">
        <v>7768</v>
      </c>
      <c r="B5345" s="397">
        <v>43735</v>
      </c>
      <c r="C5345" s="398" t="s">
        <v>7725</v>
      </c>
      <c r="D5345" s="399" t="s">
        <v>7730</v>
      </c>
      <c r="E5345" s="399" t="s">
        <v>6184</v>
      </c>
      <c r="F5345" s="400">
        <v>47750</v>
      </c>
      <c r="G5345" s="401" t="s">
        <v>3800</v>
      </c>
      <c r="H5345" s="402">
        <v>19.001046753267186</v>
      </c>
      <c r="I5345" s="402"/>
      <c r="J5345" s="400">
        <f t="shared" si="299"/>
        <v>4.7502616883167965</v>
      </c>
      <c r="K5345" s="400">
        <f t="shared" si="300"/>
        <v>4.7502616883167965</v>
      </c>
      <c r="L5345" s="400">
        <f t="shared" si="301"/>
        <v>4.7502616883167965</v>
      </c>
      <c r="M5345" s="400">
        <f t="shared" si="302"/>
        <v>4.7502616883167965</v>
      </c>
      <c r="N5345" s="400"/>
    </row>
    <row r="5346" spans="1:14" s="360" customFormat="1" hidden="1" outlineLevel="2" x14ac:dyDescent="0.35">
      <c r="A5346" s="403" t="s">
        <v>7768</v>
      </c>
      <c r="B5346" s="397">
        <v>43736</v>
      </c>
      <c r="C5346" s="398" t="s">
        <v>7731</v>
      </c>
      <c r="D5346" s="399" t="s">
        <v>7732</v>
      </c>
      <c r="E5346" s="399" t="s">
        <v>4376</v>
      </c>
      <c r="F5346" s="400">
        <v>47750</v>
      </c>
      <c r="G5346" s="401" t="s">
        <v>3800</v>
      </c>
      <c r="H5346" s="402">
        <v>19.001046753267186</v>
      </c>
      <c r="I5346" s="402"/>
      <c r="J5346" s="400">
        <f t="shared" si="299"/>
        <v>4.7502616883167965</v>
      </c>
      <c r="K5346" s="400">
        <f t="shared" si="300"/>
        <v>4.7502616883167965</v>
      </c>
      <c r="L5346" s="400">
        <f t="shared" si="301"/>
        <v>4.7502616883167965</v>
      </c>
      <c r="M5346" s="400">
        <f t="shared" si="302"/>
        <v>4.7502616883167965</v>
      </c>
      <c r="N5346" s="400"/>
    </row>
    <row r="5347" spans="1:14" s="360" customFormat="1" hidden="1" outlineLevel="2" x14ac:dyDescent="0.35">
      <c r="A5347" s="403" t="s">
        <v>7768</v>
      </c>
      <c r="B5347" s="397">
        <v>43736</v>
      </c>
      <c r="C5347" s="398" t="s">
        <v>7733</v>
      </c>
      <c r="D5347" s="399" t="s">
        <v>7734</v>
      </c>
      <c r="E5347" s="399" t="s">
        <v>4042</v>
      </c>
      <c r="F5347" s="400">
        <v>11937.5</v>
      </c>
      <c r="G5347" s="401" t="s">
        <v>3800</v>
      </c>
      <c r="H5347" s="402">
        <v>4.7502616883167965</v>
      </c>
      <c r="I5347" s="402"/>
      <c r="J5347" s="400">
        <f t="shared" si="299"/>
        <v>1.1875654220791991</v>
      </c>
      <c r="K5347" s="400">
        <f t="shared" si="300"/>
        <v>1.1875654220791991</v>
      </c>
      <c r="L5347" s="400">
        <f t="shared" si="301"/>
        <v>1.1875654220791991</v>
      </c>
      <c r="M5347" s="400">
        <f t="shared" si="302"/>
        <v>1.1875654220791991</v>
      </c>
      <c r="N5347" s="400"/>
    </row>
    <row r="5348" spans="1:14" s="360" customFormat="1" outlineLevel="1" collapsed="1" x14ac:dyDescent="0.35">
      <c r="A5348" s="396" t="s">
        <v>7769</v>
      </c>
      <c r="B5348" s="397"/>
      <c r="C5348" s="398"/>
      <c r="D5348" s="399"/>
      <c r="E5348" s="399"/>
      <c r="F5348" s="400"/>
      <c r="G5348" s="401"/>
      <c r="H5348" s="402">
        <f t="shared" ref="H5348:N5348" si="303">SUBTOTAL(9,H5336:H5347)</f>
        <v>1054.5580948063289</v>
      </c>
      <c r="I5348" s="402"/>
      <c r="J5348" s="400">
        <f t="shared" si="303"/>
        <v>263.63952370158222</v>
      </c>
      <c r="K5348" s="400">
        <f t="shared" si="303"/>
        <v>263.63952370158222</v>
      </c>
      <c r="L5348" s="400">
        <f t="shared" si="303"/>
        <v>263.63952370158222</v>
      </c>
      <c r="M5348" s="400">
        <f t="shared" si="303"/>
        <v>263.63952370158222</v>
      </c>
      <c r="N5348" s="400">
        <f t="shared" si="303"/>
        <v>0</v>
      </c>
    </row>
    <row r="5349" spans="1:14" s="360" customFormat="1" hidden="1" outlineLevel="2" x14ac:dyDescent="0.35">
      <c r="A5349" s="403" t="s">
        <v>7770</v>
      </c>
      <c r="B5349" s="397">
        <v>43735</v>
      </c>
      <c r="C5349" s="398" t="s">
        <v>7725</v>
      </c>
      <c r="D5349" s="399" t="s">
        <v>7726</v>
      </c>
      <c r="E5349" s="399" t="s">
        <v>6182</v>
      </c>
      <c r="F5349" s="400">
        <v>955000</v>
      </c>
      <c r="G5349" s="401" t="s">
        <v>3800</v>
      </c>
      <c r="H5349" s="402">
        <v>380.02093506534368</v>
      </c>
      <c r="I5349" s="402"/>
      <c r="J5349" s="400">
        <f t="shared" ref="J5349:J5354" si="304">H5349/4</f>
        <v>95.00523376633592</v>
      </c>
      <c r="K5349" s="400">
        <f t="shared" ref="K5349:K5354" si="305">H5349/4</f>
        <v>95.00523376633592</v>
      </c>
      <c r="L5349" s="400">
        <f t="shared" ref="L5349:L5354" si="306">H5349/4</f>
        <v>95.00523376633592</v>
      </c>
      <c r="M5349" s="400">
        <f t="shared" ref="M5349:M5354" si="307">H5349/4</f>
        <v>95.00523376633592</v>
      </c>
      <c r="N5349" s="400"/>
    </row>
    <row r="5350" spans="1:14" s="360" customFormat="1" hidden="1" outlineLevel="2" x14ac:dyDescent="0.35">
      <c r="A5350" s="403" t="s">
        <v>7770</v>
      </c>
      <c r="B5350" s="397">
        <v>43735</v>
      </c>
      <c r="C5350" s="398" t="s">
        <v>7725</v>
      </c>
      <c r="D5350" s="399" t="s">
        <v>7727</v>
      </c>
      <c r="E5350" s="399" t="s">
        <v>6182</v>
      </c>
      <c r="F5350" s="400">
        <v>143250</v>
      </c>
      <c r="G5350" s="401" t="s">
        <v>3800</v>
      </c>
      <c r="H5350" s="402">
        <v>57.003140259801555</v>
      </c>
      <c r="I5350" s="402"/>
      <c r="J5350" s="400">
        <f t="shared" si="304"/>
        <v>14.250785064950389</v>
      </c>
      <c r="K5350" s="400">
        <f t="shared" si="305"/>
        <v>14.250785064950389</v>
      </c>
      <c r="L5350" s="400">
        <f t="shared" si="306"/>
        <v>14.250785064950389</v>
      </c>
      <c r="M5350" s="400">
        <f t="shared" si="307"/>
        <v>14.250785064950389</v>
      </c>
      <c r="N5350" s="400"/>
    </row>
    <row r="5351" spans="1:14" s="360" customFormat="1" hidden="1" outlineLevel="2" x14ac:dyDescent="0.35">
      <c r="A5351" s="403" t="s">
        <v>7770</v>
      </c>
      <c r="B5351" s="397">
        <v>43736</v>
      </c>
      <c r="C5351" s="398" t="s">
        <v>7728</v>
      </c>
      <c r="D5351" s="399" t="s">
        <v>7729</v>
      </c>
      <c r="E5351" s="399" t="s">
        <v>6183</v>
      </c>
      <c r="F5351" s="400">
        <v>119375</v>
      </c>
      <c r="G5351" s="401" t="s">
        <v>3800</v>
      </c>
      <c r="H5351" s="402">
        <v>47.50261688316796</v>
      </c>
      <c r="I5351" s="402"/>
      <c r="J5351" s="400">
        <f t="shared" si="304"/>
        <v>11.87565422079199</v>
      </c>
      <c r="K5351" s="400">
        <f t="shared" si="305"/>
        <v>11.87565422079199</v>
      </c>
      <c r="L5351" s="400">
        <f t="shared" si="306"/>
        <v>11.87565422079199</v>
      </c>
      <c r="M5351" s="400">
        <f t="shared" si="307"/>
        <v>11.87565422079199</v>
      </c>
      <c r="N5351" s="400"/>
    </row>
    <row r="5352" spans="1:14" s="360" customFormat="1" hidden="1" outlineLevel="2" x14ac:dyDescent="0.35">
      <c r="A5352" s="403" t="s">
        <v>7770</v>
      </c>
      <c r="B5352" s="397">
        <v>43735</v>
      </c>
      <c r="C5352" s="398" t="s">
        <v>7725</v>
      </c>
      <c r="D5352" s="399" t="s">
        <v>7730</v>
      </c>
      <c r="E5352" s="399" t="s">
        <v>6182</v>
      </c>
      <c r="F5352" s="400">
        <v>47750</v>
      </c>
      <c r="G5352" s="401" t="s">
        <v>3800</v>
      </c>
      <c r="H5352" s="402">
        <v>19.001046753267186</v>
      </c>
      <c r="I5352" s="402"/>
      <c r="J5352" s="400">
        <f t="shared" si="304"/>
        <v>4.7502616883167965</v>
      </c>
      <c r="K5352" s="400">
        <f t="shared" si="305"/>
        <v>4.7502616883167965</v>
      </c>
      <c r="L5352" s="400">
        <f t="shared" si="306"/>
        <v>4.7502616883167965</v>
      </c>
      <c r="M5352" s="400">
        <f t="shared" si="307"/>
        <v>4.7502616883167965</v>
      </c>
      <c r="N5352" s="400"/>
    </row>
    <row r="5353" spans="1:14" s="360" customFormat="1" hidden="1" outlineLevel="2" x14ac:dyDescent="0.35">
      <c r="A5353" s="403" t="s">
        <v>7770</v>
      </c>
      <c r="B5353" s="397">
        <v>43736</v>
      </c>
      <c r="C5353" s="398" t="s">
        <v>7731</v>
      </c>
      <c r="D5353" s="399" t="s">
        <v>7732</v>
      </c>
      <c r="E5353" s="399" t="s">
        <v>4376</v>
      </c>
      <c r="F5353" s="400">
        <v>47750</v>
      </c>
      <c r="G5353" s="401" t="s">
        <v>3800</v>
      </c>
      <c r="H5353" s="402">
        <v>19.001046753267186</v>
      </c>
      <c r="I5353" s="402"/>
      <c r="J5353" s="400">
        <f t="shared" si="304"/>
        <v>4.7502616883167965</v>
      </c>
      <c r="K5353" s="400">
        <f t="shared" si="305"/>
        <v>4.7502616883167965</v>
      </c>
      <c r="L5353" s="400">
        <f t="shared" si="306"/>
        <v>4.7502616883167965</v>
      </c>
      <c r="M5353" s="400">
        <f t="shared" si="307"/>
        <v>4.7502616883167965</v>
      </c>
      <c r="N5353" s="400"/>
    </row>
    <row r="5354" spans="1:14" s="360" customFormat="1" hidden="1" outlineLevel="2" x14ac:dyDescent="0.35">
      <c r="A5354" s="403" t="s">
        <v>7770</v>
      </c>
      <c r="B5354" s="397">
        <v>43736</v>
      </c>
      <c r="C5354" s="398" t="s">
        <v>7733</v>
      </c>
      <c r="D5354" s="399" t="s">
        <v>7771</v>
      </c>
      <c r="E5354" s="399" t="s">
        <v>4042</v>
      </c>
      <c r="F5354" s="400">
        <v>11937.5</v>
      </c>
      <c r="G5354" s="401" t="s">
        <v>3800</v>
      </c>
      <c r="H5354" s="402">
        <v>4.7502616883167965</v>
      </c>
      <c r="I5354" s="402"/>
      <c r="J5354" s="400">
        <f t="shared" si="304"/>
        <v>1.1875654220791991</v>
      </c>
      <c r="K5354" s="400">
        <f t="shared" si="305"/>
        <v>1.1875654220791991</v>
      </c>
      <c r="L5354" s="400">
        <f t="shared" si="306"/>
        <v>1.1875654220791991</v>
      </c>
      <c r="M5354" s="400">
        <f t="shared" si="307"/>
        <v>1.1875654220791991</v>
      </c>
      <c r="N5354" s="400"/>
    </row>
    <row r="5355" spans="1:14" s="360" customFormat="1" outlineLevel="1" collapsed="1" x14ac:dyDescent="0.35">
      <c r="A5355" s="396" t="s">
        <v>7772</v>
      </c>
      <c r="B5355" s="397"/>
      <c r="C5355" s="398"/>
      <c r="D5355" s="399"/>
      <c r="E5355" s="399"/>
      <c r="F5355" s="400"/>
      <c r="G5355" s="401"/>
      <c r="H5355" s="402">
        <f t="shared" ref="H5355:N5355" si="308">SUBTOTAL(9,H5349:H5354)</f>
        <v>527.27904740316433</v>
      </c>
      <c r="I5355" s="402"/>
      <c r="J5355" s="400">
        <f t="shared" si="308"/>
        <v>131.81976185079108</v>
      </c>
      <c r="K5355" s="400">
        <f t="shared" si="308"/>
        <v>131.81976185079108</v>
      </c>
      <c r="L5355" s="400">
        <f t="shared" si="308"/>
        <v>131.81976185079108</v>
      </c>
      <c r="M5355" s="400">
        <f t="shared" si="308"/>
        <v>131.81976185079108</v>
      </c>
      <c r="N5355" s="400">
        <f t="shared" si="308"/>
        <v>0</v>
      </c>
    </row>
    <row r="5356" spans="1:14" s="360" customFormat="1" hidden="1" outlineLevel="2" x14ac:dyDescent="0.35">
      <c r="A5356" s="403" t="s">
        <v>7773</v>
      </c>
      <c r="B5356" s="397">
        <v>43721</v>
      </c>
      <c r="C5356" s="398" t="s">
        <v>7715</v>
      </c>
      <c r="D5356" s="399" t="s">
        <v>7716</v>
      </c>
      <c r="E5356" s="399" t="s">
        <v>4369</v>
      </c>
      <c r="F5356" s="400">
        <v>2500000</v>
      </c>
      <c r="G5356" s="401" t="s">
        <v>3800</v>
      </c>
      <c r="H5356" s="402">
        <v>994.8192017417374</v>
      </c>
      <c r="I5356" s="402"/>
      <c r="J5356" s="400">
        <f t="shared" ref="J5356:J5385" si="309">H5356/4</f>
        <v>248.70480043543435</v>
      </c>
      <c r="K5356" s="400">
        <f t="shared" ref="K5356:K5385" si="310">H5356/4</f>
        <v>248.70480043543435</v>
      </c>
      <c r="L5356" s="400">
        <f t="shared" ref="L5356:L5385" si="311">H5356/4</f>
        <v>248.70480043543435</v>
      </c>
      <c r="M5356" s="400">
        <f t="shared" ref="M5356:M5385" si="312">H5356/4</f>
        <v>248.70480043543435</v>
      </c>
      <c r="N5356" s="400"/>
    </row>
    <row r="5357" spans="1:14" s="360" customFormat="1" hidden="1" outlineLevel="2" x14ac:dyDescent="0.35">
      <c r="A5357" s="403" t="s">
        <v>7773</v>
      </c>
      <c r="B5357" s="397">
        <v>43721</v>
      </c>
      <c r="C5357" s="398" t="s">
        <v>7715</v>
      </c>
      <c r="D5357" s="399" t="s">
        <v>7717</v>
      </c>
      <c r="E5357" s="399" t="s">
        <v>4369</v>
      </c>
      <c r="F5357" s="400">
        <v>375000</v>
      </c>
      <c r="G5357" s="401" t="s">
        <v>3800</v>
      </c>
      <c r="H5357" s="402">
        <v>149.2228802612606</v>
      </c>
      <c r="I5357" s="402"/>
      <c r="J5357" s="400">
        <f t="shared" si="309"/>
        <v>37.30572006531515</v>
      </c>
      <c r="K5357" s="400">
        <f t="shared" si="310"/>
        <v>37.30572006531515</v>
      </c>
      <c r="L5357" s="400">
        <f t="shared" si="311"/>
        <v>37.30572006531515</v>
      </c>
      <c r="M5357" s="400">
        <f t="shared" si="312"/>
        <v>37.30572006531515</v>
      </c>
      <c r="N5357" s="400"/>
    </row>
    <row r="5358" spans="1:14" s="360" customFormat="1" hidden="1" outlineLevel="2" x14ac:dyDescent="0.35">
      <c r="A5358" s="403" t="s">
        <v>7773</v>
      </c>
      <c r="B5358" s="397">
        <v>43725</v>
      </c>
      <c r="C5358" s="398" t="s">
        <v>7718</v>
      </c>
      <c r="D5358" s="399" t="s">
        <v>7719</v>
      </c>
      <c r="E5358" s="399" t="s">
        <v>4272</v>
      </c>
      <c r="F5358" s="400">
        <v>312500</v>
      </c>
      <c r="G5358" s="401" t="s">
        <v>3800</v>
      </c>
      <c r="H5358" s="402">
        <v>124.35240021771718</v>
      </c>
      <c r="I5358" s="402"/>
      <c r="J5358" s="400">
        <f t="shared" si="309"/>
        <v>31.088100054429294</v>
      </c>
      <c r="K5358" s="400">
        <f t="shared" si="310"/>
        <v>31.088100054429294</v>
      </c>
      <c r="L5358" s="400">
        <f t="shared" si="311"/>
        <v>31.088100054429294</v>
      </c>
      <c r="M5358" s="400">
        <f t="shared" si="312"/>
        <v>31.088100054429294</v>
      </c>
      <c r="N5358" s="400"/>
    </row>
    <row r="5359" spans="1:14" s="360" customFormat="1" hidden="1" outlineLevel="2" x14ac:dyDescent="0.35">
      <c r="A5359" s="403" t="s">
        <v>7773</v>
      </c>
      <c r="B5359" s="397">
        <v>43721</v>
      </c>
      <c r="C5359" s="398" t="s">
        <v>7715</v>
      </c>
      <c r="D5359" s="399" t="s">
        <v>7720</v>
      </c>
      <c r="E5359" s="399" t="s">
        <v>4369</v>
      </c>
      <c r="F5359" s="400">
        <v>125000</v>
      </c>
      <c r="G5359" s="401" t="s">
        <v>3800</v>
      </c>
      <c r="H5359" s="402">
        <v>49.740960087086869</v>
      </c>
      <c r="I5359" s="402"/>
      <c r="J5359" s="400">
        <f t="shared" si="309"/>
        <v>12.435240021771717</v>
      </c>
      <c r="K5359" s="400">
        <f t="shared" si="310"/>
        <v>12.435240021771717</v>
      </c>
      <c r="L5359" s="400">
        <f t="shared" si="311"/>
        <v>12.435240021771717</v>
      </c>
      <c r="M5359" s="400">
        <f t="shared" si="312"/>
        <v>12.435240021771717</v>
      </c>
      <c r="N5359" s="400"/>
    </row>
    <row r="5360" spans="1:14" s="360" customFormat="1" hidden="1" outlineLevel="2" x14ac:dyDescent="0.35">
      <c r="A5360" s="403" t="s">
        <v>7773</v>
      </c>
      <c r="B5360" s="397">
        <v>43725</v>
      </c>
      <c r="C5360" s="398" t="s">
        <v>7721</v>
      </c>
      <c r="D5360" s="399" t="s">
        <v>7722</v>
      </c>
      <c r="E5360" s="399" t="s">
        <v>4376</v>
      </c>
      <c r="F5360" s="400">
        <v>125000</v>
      </c>
      <c r="G5360" s="401" t="s">
        <v>3800</v>
      </c>
      <c r="H5360" s="402">
        <v>49.740960087086869</v>
      </c>
      <c r="I5360" s="402"/>
      <c r="J5360" s="400">
        <f t="shared" si="309"/>
        <v>12.435240021771717</v>
      </c>
      <c r="K5360" s="400">
        <f t="shared" si="310"/>
        <v>12.435240021771717</v>
      </c>
      <c r="L5360" s="400">
        <f t="shared" si="311"/>
        <v>12.435240021771717</v>
      </c>
      <c r="M5360" s="400">
        <f t="shared" si="312"/>
        <v>12.435240021771717</v>
      </c>
      <c r="N5360" s="400"/>
    </row>
    <row r="5361" spans="1:14" s="360" customFormat="1" hidden="1" outlineLevel="2" x14ac:dyDescent="0.35">
      <c r="A5361" s="403" t="s">
        <v>7773</v>
      </c>
      <c r="B5361" s="397">
        <v>43725</v>
      </c>
      <c r="C5361" s="398" t="s">
        <v>7723</v>
      </c>
      <c r="D5361" s="399" t="s">
        <v>7724</v>
      </c>
      <c r="E5361" s="399" t="s">
        <v>4042</v>
      </c>
      <c r="F5361" s="400">
        <v>31250</v>
      </c>
      <c r="G5361" s="401" t="s">
        <v>3800</v>
      </c>
      <c r="H5361" s="402">
        <v>12.435240021771717</v>
      </c>
      <c r="I5361" s="402"/>
      <c r="J5361" s="400">
        <f t="shared" si="309"/>
        <v>3.1088100054429293</v>
      </c>
      <c r="K5361" s="400">
        <f t="shared" si="310"/>
        <v>3.1088100054429293</v>
      </c>
      <c r="L5361" s="400">
        <f t="shared" si="311"/>
        <v>3.1088100054429293</v>
      </c>
      <c r="M5361" s="400">
        <f t="shared" si="312"/>
        <v>3.1088100054429293</v>
      </c>
      <c r="N5361" s="400"/>
    </row>
    <row r="5362" spans="1:14" s="360" customFormat="1" hidden="1" outlineLevel="2" x14ac:dyDescent="0.35">
      <c r="A5362" s="403" t="s">
        <v>7773</v>
      </c>
      <c r="B5362" s="397">
        <v>43735</v>
      </c>
      <c r="C5362" s="398" t="s">
        <v>7725</v>
      </c>
      <c r="D5362" s="399" t="s">
        <v>7726</v>
      </c>
      <c r="E5362" s="399" t="s">
        <v>4369</v>
      </c>
      <c r="F5362" s="400">
        <v>2500000</v>
      </c>
      <c r="G5362" s="401" t="s">
        <v>3800</v>
      </c>
      <c r="H5362" s="402">
        <v>994.8192017417374</v>
      </c>
      <c r="I5362" s="402"/>
      <c r="J5362" s="400">
        <f t="shared" si="309"/>
        <v>248.70480043543435</v>
      </c>
      <c r="K5362" s="400">
        <f t="shared" si="310"/>
        <v>248.70480043543435</v>
      </c>
      <c r="L5362" s="400">
        <f t="shared" si="311"/>
        <v>248.70480043543435</v>
      </c>
      <c r="M5362" s="400">
        <f t="shared" si="312"/>
        <v>248.70480043543435</v>
      </c>
      <c r="N5362" s="400"/>
    </row>
    <row r="5363" spans="1:14" s="360" customFormat="1" hidden="1" outlineLevel="2" x14ac:dyDescent="0.35">
      <c r="A5363" s="403" t="s">
        <v>7773</v>
      </c>
      <c r="B5363" s="397">
        <v>43735</v>
      </c>
      <c r="C5363" s="398" t="s">
        <v>7725</v>
      </c>
      <c r="D5363" s="399" t="s">
        <v>7727</v>
      </c>
      <c r="E5363" s="399" t="s">
        <v>4369</v>
      </c>
      <c r="F5363" s="400">
        <v>375000</v>
      </c>
      <c r="G5363" s="401" t="s">
        <v>3800</v>
      </c>
      <c r="H5363" s="402">
        <v>149.2228802612606</v>
      </c>
      <c r="I5363" s="402"/>
      <c r="J5363" s="400">
        <f t="shared" si="309"/>
        <v>37.30572006531515</v>
      </c>
      <c r="K5363" s="400">
        <f t="shared" si="310"/>
        <v>37.30572006531515</v>
      </c>
      <c r="L5363" s="400">
        <f t="shared" si="311"/>
        <v>37.30572006531515</v>
      </c>
      <c r="M5363" s="400">
        <f t="shared" si="312"/>
        <v>37.30572006531515</v>
      </c>
      <c r="N5363" s="400"/>
    </row>
    <row r="5364" spans="1:14" s="360" customFormat="1" hidden="1" outlineLevel="2" x14ac:dyDescent="0.35">
      <c r="A5364" s="403" t="s">
        <v>7773</v>
      </c>
      <c r="B5364" s="397">
        <v>43736</v>
      </c>
      <c r="C5364" s="398" t="s">
        <v>7728</v>
      </c>
      <c r="D5364" s="399" t="s">
        <v>7729</v>
      </c>
      <c r="E5364" s="399" t="s">
        <v>4272</v>
      </c>
      <c r="F5364" s="400">
        <v>312500</v>
      </c>
      <c r="G5364" s="401" t="s">
        <v>3800</v>
      </c>
      <c r="H5364" s="402">
        <v>124.35240021771718</v>
      </c>
      <c r="I5364" s="402"/>
      <c r="J5364" s="400">
        <f t="shared" si="309"/>
        <v>31.088100054429294</v>
      </c>
      <c r="K5364" s="400">
        <f t="shared" si="310"/>
        <v>31.088100054429294</v>
      </c>
      <c r="L5364" s="400">
        <f t="shared" si="311"/>
        <v>31.088100054429294</v>
      </c>
      <c r="M5364" s="400">
        <f t="shared" si="312"/>
        <v>31.088100054429294</v>
      </c>
      <c r="N5364" s="400"/>
    </row>
    <row r="5365" spans="1:14" s="360" customFormat="1" hidden="1" outlineLevel="2" x14ac:dyDescent="0.35">
      <c r="A5365" s="403" t="s">
        <v>7773</v>
      </c>
      <c r="B5365" s="397">
        <v>43735</v>
      </c>
      <c r="C5365" s="398" t="s">
        <v>7725</v>
      </c>
      <c r="D5365" s="399" t="s">
        <v>7730</v>
      </c>
      <c r="E5365" s="399" t="s">
        <v>4369</v>
      </c>
      <c r="F5365" s="400">
        <v>125000</v>
      </c>
      <c r="G5365" s="401" t="s">
        <v>3800</v>
      </c>
      <c r="H5365" s="402">
        <v>49.740960087086869</v>
      </c>
      <c r="I5365" s="402"/>
      <c r="J5365" s="400">
        <f t="shared" si="309"/>
        <v>12.435240021771717</v>
      </c>
      <c r="K5365" s="400">
        <f t="shared" si="310"/>
        <v>12.435240021771717</v>
      </c>
      <c r="L5365" s="400">
        <f t="shared" si="311"/>
        <v>12.435240021771717</v>
      </c>
      <c r="M5365" s="400">
        <f t="shared" si="312"/>
        <v>12.435240021771717</v>
      </c>
      <c r="N5365" s="400"/>
    </row>
    <row r="5366" spans="1:14" s="360" customFormat="1" hidden="1" outlineLevel="2" x14ac:dyDescent="0.35">
      <c r="A5366" s="403" t="s">
        <v>7773</v>
      </c>
      <c r="B5366" s="397">
        <v>43736</v>
      </c>
      <c r="C5366" s="398" t="s">
        <v>7731</v>
      </c>
      <c r="D5366" s="399" t="s">
        <v>7732</v>
      </c>
      <c r="E5366" s="399" t="s">
        <v>4376</v>
      </c>
      <c r="F5366" s="400">
        <v>125000</v>
      </c>
      <c r="G5366" s="401" t="s">
        <v>3800</v>
      </c>
      <c r="H5366" s="402">
        <v>49.740960087086869</v>
      </c>
      <c r="I5366" s="402"/>
      <c r="J5366" s="400">
        <f t="shared" si="309"/>
        <v>12.435240021771717</v>
      </c>
      <c r="K5366" s="400">
        <f t="shared" si="310"/>
        <v>12.435240021771717</v>
      </c>
      <c r="L5366" s="400">
        <f t="shared" si="311"/>
        <v>12.435240021771717</v>
      </c>
      <c r="M5366" s="400">
        <f t="shared" si="312"/>
        <v>12.435240021771717</v>
      </c>
      <c r="N5366" s="400"/>
    </row>
    <row r="5367" spans="1:14" s="360" customFormat="1" hidden="1" outlineLevel="2" x14ac:dyDescent="0.35">
      <c r="A5367" s="403" t="s">
        <v>7773</v>
      </c>
      <c r="B5367" s="397">
        <v>43736</v>
      </c>
      <c r="C5367" s="398" t="s">
        <v>7733</v>
      </c>
      <c r="D5367" s="399" t="s">
        <v>7734</v>
      </c>
      <c r="E5367" s="399" t="s">
        <v>4042</v>
      </c>
      <c r="F5367" s="400">
        <v>31250</v>
      </c>
      <c r="G5367" s="401" t="s">
        <v>3800</v>
      </c>
      <c r="H5367" s="402">
        <v>12.435240021771717</v>
      </c>
      <c r="I5367" s="402"/>
      <c r="J5367" s="400">
        <f t="shared" si="309"/>
        <v>3.1088100054429293</v>
      </c>
      <c r="K5367" s="400">
        <f t="shared" si="310"/>
        <v>3.1088100054429293</v>
      </c>
      <c r="L5367" s="400">
        <f t="shared" si="311"/>
        <v>3.1088100054429293</v>
      </c>
      <c r="M5367" s="400">
        <f t="shared" si="312"/>
        <v>3.1088100054429293</v>
      </c>
      <c r="N5367" s="400"/>
    </row>
    <row r="5368" spans="1:14" s="360" customFormat="1" hidden="1" outlineLevel="2" x14ac:dyDescent="0.35">
      <c r="A5368" s="403" t="s">
        <v>7773</v>
      </c>
      <c r="B5368" s="397">
        <v>43767</v>
      </c>
      <c r="C5368" s="398" t="s">
        <v>7735</v>
      </c>
      <c r="D5368" s="399" t="s">
        <v>7736</v>
      </c>
      <c r="E5368" s="399" t="s">
        <v>4369</v>
      </c>
      <c r="F5368" s="400">
        <v>2500000</v>
      </c>
      <c r="G5368" s="401" t="s">
        <v>3800</v>
      </c>
      <c r="H5368" s="402">
        <v>994.8192017417374</v>
      </c>
      <c r="I5368" s="402"/>
      <c r="J5368" s="400">
        <f t="shared" si="309"/>
        <v>248.70480043543435</v>
      </c>
      <c r="K5368" s="400">
        <f t="shared" si="310"/>
        <v>248.70480043543435</v>
      </c>
      <c r="L5368" s="400">
        <f t="shared" si="311"/>
        <v>248.70480043543435</v>
      </c>
      <c r="M5368" s="400">
        <f t="shared" si="312"/>
        <v>248.70480043543435</v>
      </c>
      <c r="N5368" s="400"/>
    </row>
    <row r="5369" spans="1:14" s="360" customFormat="1" hidden="1" outlineLevel="2" x14ac:dyDescent="0.35">
      <c r="A5369" s="403" t="s">
        <v>7773</v>
      </c>
      <c r="B5369" s="397">
        <v>43767</v>
      </c>
      <c r="C5369" s="398" t="s">
        <v>7735</v>
      </c>
      <c r="D5369" s="399" t="s">
        <v>7737</v>
      </c>
      <c r="E5369" s="399" t="s">
        <v>4369</v>
      </c>
      <c r="F5369" s="400">
        <v>375000</v>
      </c>
      <c r="G5369" s="401" t="s">
        <v>3800</v>
      </c>
      <c r="H5369" s="402">
        <v>149.2228802612606</v>
      </c>
      <c r="I5369" s="402"/>
      <c r="J5369" s="400">
        <f t="shared" si="309"/>
        <v>37.30572006531515</v>
      </c>
      <c r="K5369" s="400">
        <f t="shared" si="310"/>
        <v>37.30572006531515</v>
      </c>
      <c r="L5369" s="400">
        <f t="shared" si="311"/>
        <v>37.30572006531515</v>
      </c>
      <c r="M5369" s="400">
        <f t="shared" si="312"/>
        <v>37.30572006531515</v>
      </c>
      <c r="N5369" s="400"/>
    </row>
    <row r="5370" spans="1:14" s="360" customFormat="1" hidden="1" outlineLevel="2" x14ac:dyDescent="0.35">
      <c r="A5370" s="403" t="s">
        <v>7773</v>
      </c>
      <c r="B5370" s="397">
        <v>43767</v>
      </c>
      <c r="C5370" s="398" t="s">
        <v>7738</v>
      </c>
      <c r="D5370" s="399" t="s">
        <v>7739</v>
      </c>
      <c r="E5370" s="399" t="s">
        <v>4272</v>
      </c>
      <c r="F5370" s="400">
        <v>312500</v>
      </c>
      <c r="G5370" s="401" t="s">
        <v>3800</v>
      </c>
      <c r="H5370" s="402">
        <v>124.35240021771718</v>
      </c>
      <c r="I5370" s="402"/>
      <c r="J5370" s="400">
        <f t="shared" si="309"/>
        <v>31.088100054429294</v>
      </c>
      <c r="K5370" s="400">
        <f t="shared" si="310"/>
        <v>31.088100054429294</v>
      </c>
      <c r="L5370" s="400">
        <f t="shared" si="311"/>
        <v>31.088100054429294</v>
      </c>
      <c r="M5370" s="400">
        <f t="shared" si="312"/>
        <v>31.088100054429294</v>
      </c>
      <c r="N5370" s="400"/>
    </row>
    <row r="5371" spans="1:14" s="360" customFormat="1" hidden="1" outlineLevel="2" x14ac:dyDescent="0.35">
      <c r="A5371" s="403" t="s">
        <v>7773</v>
      </c>
      <c r="B5371" s="397">
        <v>43767</v>
      </c>
      <c r="C5371" s="398" t="s">
        <v>7735</v>
      </c>
      <c r="D5371" s="399" t="s">
        <v>7740</v>
      </c>
      <c r="E5371" s="399" t="s">
        <v>4369</v>
      </c>
      <c r="F5371" s="400">
        <v>125000</v>
      </c>
      <c r="G5371" s="401" t="s">
        <v>3800</v>
      </c>
      <c r="H5371" s="402">
        <v>49.740960087086869</v>
      </c>
      <c r="I5371" s="402"/>
      <c r="J5371" s="400">
        <f t="shared" si="309"/>
        <v>12.435240021771717</v>
      </c>
      <c r="K5371" s="400">
        <f t="shared" si="310"/>
        <v>12.435240021771717</v>
      </c>
      <c r="L5371" s="400">
        <f t="shared" si="311"/>
        <v>12.435240021771717</v>
      </c>
      <c r="M5371" s="400">
        <f t="shared" si="312"/>
        <v>12.435240021771717</v>
      </c>
      <c r="N5371" s="400"/>
    </row>
    <row r="5372" spans="1:14" s="360" customFormat="1" hidden="1" outlineLevel="2" x14ac:dyDescent="0.35">
      <c r="A5372" s="403" t="s">
        <v>7773</v>
      </c>
      <c r="B5372" s="397">
        <v>43767</v>
      </c>
      <c r="C5372" s="398" t="s">
        <v>7741</v>
      </c>
      <c r="D5372" s="399" t="s">
        <v>7742</v>
      </c>
      <c r="E5372" s="399" t="s">
        <v>4376</v>
      </c>
      <c r="F5372" s="400">
        <v>125000</v>
      </c>
      <c r="G5372" s="401" t="s">
        <v>3800</v>
      </c>
      <c r="H5372" s="402">
        <v>49.740960087086869</v>
      </c>
      <c r="I5372" s="402"/>
      <c r="J5372" s="400">
        <f t="shared" si="309"/>
        <v>12.435240021771717</v>
      </c>
      <c r="K5372" s="400">
        <f t="shared" si="310"/>
        <v>12.435240021771717</v>
      </c>
      <c r="L5372" s="400">
        <f t="shared" si="311"/>
        <v>12.435240021771717</v>
      </c>
      <c r="M5372" s="400">
        <f t="shared" si="312"/>
        <v>12.435240021771717</v>
      </c>
      <c r="N5372" s="400"/>
    </row>
    <row r="5373" spans="1:14" s="360" customFormat="1" hidden="1" outlineLevel="2" x14ac:dyDescent="0.35">
      <c r="A5373" s="403" t="s">
        <v>7773</v>
      </c>
      <c r="B5373" s="397">
        <v>43767</v>
      </c>
      <c r="C5373" s="398" t="s">
        <v>7743</v>
      </c>
      <c r="D5373" s="399" t="s">
        <v>7744</v>
      </c>
      <c r="E5373" s="399" t="s">
        <v>4042</v>
      </c>
      <c r="F5373" s="400">
        <v>31250</v>
      </c>
      <c r="G5373" s="401" t="s">
        <v>3800</v>
      </c>
      <c r="H5373" s="402">
        <v>12.435240021771717</v>
      </c>
      <c r="I5373" s="402"/>
      <c r="J5373" s="400">
        <f t="shared" si="309"/>
        <v>3.1088100054429293</v>
      </c>
      <c r="K5373" s="400">
        <f t="shared" si="310"/>
        <v>3.1088100054429293</v>
      </c>
      <c r="L5373" s="400">
        <f t="shared" si="311"/>
        <v>3.1088100054429293</v>
      </c>
      <c r="M5373" s="400">
        <f t="shared" si="312"/>
        <v>3.1088100054429293</v>
      </c>
      <c r="N5373" s="400"/>
    </row>
    <row r="5374" spans="1:14" s="360" customFormat="1" hidden="1" outlineLevel="2" x14ac:dyDescent="0.35">
      <c r="A5374" s="403" t="s">
        <v>7773</v>
      </c>
      <c r="B5374" s="397">
        <v>43797</v>
      </c>
      <c r="C5374" s="398" t="s">
        <v>7745</v>
      </c>
      <c r="D5374" s="399" t="s">
        <v>7746</v>
      </c>
      <c r="E5374" s="399" t="s">
        <v>4369</v>
      </c>
      <c r="F5374" s="400">
        <v>2500000</v>
      </c>
      <c r="G5374" s="401" t="s">
        <v>3800</v>
      </c>
      <c r="H5374" s="402">
        <v>994.8192017417374</v>
      </c>
      <c r="I5374" s="402"/>
      <c r="J5374" s="400">
        <f t="shared" si="309"/>
        <v>248.70480043543435</v>
      </c>
      <c r="K5374" s="400">
        <f t="shared" si="310"/>
        <v>248.70480043543435</v>
      </c>
      <c r="L5374" s="400">
        <f t="shared" si="311"/>
        <v>248.70480043543435</v>
      </c>
      <c r="M5374" s="400">
        <f t="shared" si="312"/>
        <v>248.70480043543435</v>
      </c>
      <c r="N5374" s="400"/>
    </row>
    <row r="5375" spans="1:14" s="360" customFormat="1" hidden="1" outlineLevel="2" x14ac:dyDescent="0.35">
      <c r="A5375" s="403" t="s">
        <v>7773</v>
      </c>
      <c r="B5375" s="397">
        <v>43797</v>
      </c>
      <c r="C5375" s="398" t="s">
        <v>7745</v>
      </c>
      <c r="D5375" s="399" t="s">
        <v>7747</v>
      </c>
      <c r="E5375" s="399" t="s">
        <v>4369</v>
      </c>
      <c r="F5375" s="400">
        <v>375000</v>
      </c>
      <c r="G5375" s="401" t="s">
        <v>3800</v>
      </c>
      <c r="H5375" s="402">
        <v>149.2228802612606</v>
      </c>
      <c r="I5375" s="402"/>
      <c r="J5375" s="400">
        <f t="shared" si="309"/>
        <v>37.30572006531515</v>
      </c>
      <c r="K5375" s="400">
        <f t="shared" si="310"/>
        <v>37.30572006531515</v>
      </c>
      <c r="L5375" s="400">
        <f t="shared" si="311"/>
        <v>37.30572006531515</v>
      </c>
      <c r="M5375" s="400">
        <f t="shared" si="312"/>
        <v>37.30572006531515</v>
      </c>
      <c r="N5375" s="400"/>
    </row>
    <row r="5376" spans="1:14" s="360" customFormat="1" hidden="1" outlineLevel="2" x14ac:dyDescent="0.35">
      <c r="A5376" s="403" t="s">
        <v>7773</v>
      </c>
      <c r="B5376" s="397">
        <v>43797</v>
      </c>
      <c r="C5376" s="398" t="s">
        <v>7748</v>
      </c>
      <c r="D5376" s="399" t="s">
        <v>7749</v>
      </c>
      <c r="E5376" s="399" t="s">
        <v>4272</v>
      </c>
      <c r="F5376" s="400">
        <v>312500</v>
      </c>
      <c r="G5376" s="401" t="s">
        <v>3800</v>
      </c>
      <c r="H5376" s="402">
        <v>124.35240021771718</v>
      </c>
      <c r="I5376" s="402"/>
      <c r="J5376" s="400">
        <f t="shared" si="309"/>
        <v>31.088100054429294</v>
      </c>
      <c r="K5376" s="400">
        <f t="shared" si="310"/>
        <v>31.088100054429294</v>
      </c>
      <c r="L5376" s="400">
        <f t="shared" si="311"/>
        <v>31.088100054429294</v>
      </c>
      <c r="M5376" s="400">
        <f t="shared" si="312"/>
        <v>31.088100054429294</v>
      </c>
      <c r="N5376" s="400"/>
    </row>
    <row r="5377" spans="1:14" s="360" customFormat="1" hidden="1" outlineLevel="2" x14ac:dyDescent="0.35">
      <c r="A5377" s="403" t="s">
        <v>7773</v>
      </c>
      <c r="B5377" s="397">
        <v>43797</v>
      </c>
      <c r="C5377" s="398" t="s">
        <v>7745</v>
      </c>
      <c r="D5377" s="399" t="s">
        <v>7750</v>
      </c>
      <c r="E5377" s="399" t="s">
        <v>4369</v>
      </c>
      <c r="F5377" s="400">
        <v>125000</v>
      </c>
      <c r="G5377" s="401" t="s">
        <v>3800</v>
      </c>
      <c r="H5377" s="402">
        <v>49.740960087086869</v>
      </c>
      <c r="I5377" s="402"/>
      <c r="J5377" s="400">
        <f t="shared" si="309"/>
        <v>12.435240021771717</v>
      </c>
      <c r="K5377" s="400">
        <f t="shared" si="310"/>
        <v>12.435240021771717</v>
      </c>
      <c r="L5377" s="400">
        <f t="shared" si="311"/>
        <v>12.435240021771717</v>
      </c>
      <c r="M5377" s="400">
        <f t="shared" si="312"/>
        <v>12.435240021771717</v>
      </c>
      <c r="N5377" s="400"/>
    </row>
    <row r="5378" spans="1:14" s="360" customFormat="1" hidden="1" outlineLevel="2" x14ac:dyDescent="0.35">
      <c r="A5378" s="403" t="s">
        <v>7773</v>
      </c>
      <c r="B5378" s="397">
        <v>43797</v>
      </c>
      <c r="C5378" s="398" t="s">
        <v>7751</v>
      </c>
      <c r="D5378" s="399" t="s">
        <v>7752</v>
      </c>
      <c r="E5378" s="399" t="s">
        <v>4376</v>
      </c>
      <c r="F5378" s="400">
        <v>125000</v>
      </c>
      <c r="G5378" s="401" t="s">
        <v>3800</v>
      </c>
      <c r="H5378" s="402">
        <v>49.740960087086869</v>
      </c>
      <c r="I5378" s="402"/>
      <c r="J5378" s="400">
        <f t="shared" si="309"/>
        <v>12.435240021771717</v>
      </c>
      <c r="K5378" s="400">
        <f t="shared" si="310"/>
        <v>12.435240021771717</v>
      </c>
      <c r="L5378" s="400">
        <f t="shared" si="311"/>
        <v>12.435240021771717</v>
      </c>
      <c r="M5378" s="400">
        <f t="shared" si="312"/>
        <v>12.435240021771717</v>
      </c>
      <c r="N5378" s="400"/>
    </row>
    <row r="5379" spans="1:14" s="360" customFormat="1" hidden="1" outlineLevel="2" x14ac:dyDescent="0.35">
      <c r="A5379" s="403" t="s">
        <v>7773</v>
      </c>
      <c r="B5379" s="397">
        <v>43797</v>
      </c>
      <c r="C5379" s="398" t="s">
        <v>7753</v>
      </c>
      <c r="D5379" s="399" t="s">
        <v>7754</v>
      </c>
      <c r="E5379" s="399" t="s">
        <v>4042</v>
      </c>
      <c r="F5379" s="400">
        <v>31250</v>
      </c>
      <c r="G5379" s="401" t="s">
        <v>3800</v>
      </c>
      <c r="H5379" s="402">
        <v>12.435240021771717</v>
      </c>
      <c r="I5379" s="402"/>
      <c r="J5379" s="400">
        <f t="shared" si="309"/>
        <v>3.1088100054429293</v>
      </c>
      <c r="K5379" s="400">
        <f t="shared" si="310"/>
        <v>3.1088100054429293</v>
      </c>
      <c r="L5379" s="400">
        <f t="shared" si="311"/>
        <v>3.1088100054429293</v>
      </c>
      <c r="M5379" s="400">
        <f t="shared" si="312"/>
        <v>3.1088100054429293</v>
      </c>
      <c r="N5379" s="400"/>
    </row>
    <row r="5380" spans="1:14" s="360" customFormat="1" hidden="1" outlineLevel="2" x14ac:dyDescent="0.35">
      <c r="A5380" s="403" t="s">
        <v>7773</v>
      </c>
      <c r="B5380" s="397">
        <v>43818</v>
      </c>
      <c r="C5380" s="398" t="s">
        <v>7755</v>
      </c>
      <c r="D5380" s="399" t="s">
        <v>7766</v>
      </c>
      <c r="E5380" s="399" t="s">
        <v>4369</v>
      </c>
      <c r="F5380" s="400">
        <v>2500000</v>
      </c>
      <c r="G5380" s="401" t="s">
        <v>3800</v>
      </c>
      <c r="H5380" s="402">
        <v>994.8192017417374</v>
      </c>
      <c r="I5380" s="402"/>
      <c r="J5380" s="400">
        <f t="shared" si="309"/>
        <v>248.70480043543435</v>
      </c>
      <c r="K5380" s="400">
        <f t="shared" si="310"/>
        <v>248.70480043543435</v>
      </c>
      <c r="L5380" s="400">
        <f t="shared" si="311"/>
        <v>248.70480043543435</v>
      </c>
      <c r="M5380" s="400">
        <f t="shared" si="312"/>
        <v>248.70480043543435</v>
      </c>
      <c r="N5380" s="400"/>
    </row>
    <row r="5381" spans="1:14" s="360" customFormat="1" hidden="1" outlineLevel="2" x14ac:dyDescent="0.35">
      <c r="A5381" s="403" t="s">
        <v>7773</v>
      </c>
      <c r="B5381" s="397">
        <v>43818</v>
      </c>
      <c r="C5381" s="398" t="s">
        <v>7755</v>
      </c>
      <c r="D5381" s="399" t="s">
        <v>7757</v>
      </c>
      <c r="E5381" s="399" t="s">
        <v>4369</v>
      </c>
      <c r="F5381" s="400">
        <v>375000</v>
      </c>
      <c r="G5381" s="401" t="s">
        <v>3800</v>
      </c>
      <c r="H5381" s="402">
        <v>149.2228802612606</v>
      </c>
      <c r="I5381" s="402"/>
      <c r="J5381" s="400">
        <f t="shared" si="309"/>
        <v>37.30572006531515</v>
      </c>
      <c r="K5381" s="400">
        <f t="shared" si="310"/>
        <v>37.30572006531515</v>
      </c>
      <c r="L5381" s="400">
        <f t="shared" si="311"/>
        <v>37.30572006531515</v>
      </c>
      <c r="M5381" s="400">
        <f t="shared" si="312"/>
        <v>37.30572006531515</v>
      </c>
      <c r="N5381" s="400"/>
    </row>
    <row r="5382" spans="1:14" s="360" customFormat="1" hidden="1" outlineLevel="2" x14ac:dyDescent="0.35">
      <c r="A5382" s="403" t="s">
        <v>7773</v>
      </c>
      <c r="B5382" s="397">
        <v>43818</v>
      </c>
      <c r="C5382" s="398" t="s">
        <v>7758</v>
      </c>
      <c r="D5382" s="399" t="s">
        <v>7759</v>
      </c>
      <c r="E5382" s="399" t="s">
        <v>4272</v>
      </c>
      <c r="F5382" s="400">
        <v>312500</v>
      </c>
      <c r="G5382" s="401" t="s">
        <v>3800</v>
      </c>
      <c r="H5382" s="402">
        <v>124.35240021771718</v>
      </c>
      <c r="I5382" s="402"/>
      <c r="J5382" s="400">
        <f t="shared" si="309"/>
        <v>31.088100054429294</v>
      </c>
      <c r="K5382" s="400">
        <f t="shared" si="310"/>
        <v>31.088100054429294</v>
      </c>
      <c r="L5382" s="400">
        <f t="shared" si="311"/>
        <v>31.088100054429294</v>
      </c>
      <c r="M5382" s="400">
        <f t="shared" si="312"/>
        <v>31.088100054429294</v>
      </c>
      <c r="N5382" s="400"/>
    </row>
    <row r="5383" spans="1:14" s="360" customFormat="1" hidden="1" outlineLevel="2" x14ac:dyDescent="0.35">
      <c r="A5383" s="403" t="s">
        <v>7773</v>
      </c>
      <c r="B5383" s="397">
        <v>43818</v>
      </c>
      <c r="C5383" s="398" t="s">
        <v>7755</v>
      </c>
      <c r="D5383" s="399" t="s">
        <v>7760</v>
      </c>
      <c r="E5383" s="399" t="s">
        <v>4369</v>
      </c>
      <c r="F5383" s="400">
        <v>125000</v>
      </c>
      <c r="G5383" s="401" t="s">
        <v>3800</v>
      </c>
      <c r="H5383" s="402">
        <v>49.740960087086869</v>
      </c>
      <c r="I5383" s="402"/>
      <c r="J5383" s="400">
        <f t="shared" si="309"/>
        <v>12.435240021771717</v>
      </c>
      <c r="K5383" s="400">
        <f t="shared" si="310"/>
        <v>12.435240021771717</v>
      </c>
      <c r="L5383" s="400">
        <f t="shared" si="311"/>
        <v>12.435240021771717</v>
      </c>
      <c r="M5383" s="400">
        <f t="shared" si="312"/>
        <v>12.435240021771717</v>
      </c>
      <c r="N5383" s="400"/>
    </row>
    <row r="5384" spans="1:14" s="360" customFormat="1" hidden="1" outlineLevel="2" x14ac:dyDescent="0.35">
      <c r="A5384" s="403" t="s">
        <v>7773</v>
      </c>
      <c r="B5384" s="397">
        <v>43818</v>
      </c>
      <c r="C5384" s="398" t="s">
        <v>7761</v>
      </c>
      <c r="D5384" s="399" t="s">
        <v>6130</v>
      </c>
      <c r="E5384" s="399" t="s">
        <v>4376</v>
      </c>
      <c r="F5384" s="400">
        <v>125000</v>
      </c>
      <c r="G5384" s="401" t="s">
        <v>3800</v>
      </c>
      <c r="H5384" s="402">
        <v>49.740960087086869</v>
      </c>
      <c r="I5384" s="402"/>
      <c r="J5384" s="400">
        <f t="shared" si="309"/>
        <v>12.435240021771717</v>
      </c>
      <c r="K5384" s="400">
        <f t="shared" si="310"/>
        <v>12.435240021771717</v>
      </c>
      <c r="L5384" s="400">
        <f t="shared" si="311"/>
        <v>12.435240021771717</v>
      </c>
      <c r="M5384" s="400">
        <f t="shared" si="312"/>
        <v>12.435240021771717</v>
      </c>
      <c r="N5384" s="400"/>
    </row>
    <row r="5385" spans="1:14" s="360" customFormat="1" hidden="1" outlineLevel="2" x14ac:dyDescent="0.35">
      <c r="A5385" s="403" t="s">
        <v>7773</v>
      </c>
      <c r="B5385" s="397">
        <v>43818</v>
      </c>
      <c r="C5385" s="398" t="s">
        <v>7762</v>
      </c>
      <c r="D5385" s="399" t="s">
        <v>7763</v>
      </c>
      <c r="E5385" s="399" t="s">
        <v>4042</v>
      </c>
      <c r="F5385" s="400">
        <v>31250</v>
      </c>
      <c r="G5385" s="401" t="s">
        <v>3800</v>
      </c>
      <c r="H5385" s="402">
        <v>12.435240021771717</v>
      </c>
      <c r="I5385" s="402"/>
      <c r="J5385" s="400">
        <f t="shared" si="309"/>
        <v>3.1088100054429293</v>
      </c>
      <c r="K5385" s="400">
        <f t="shared" si="310"/>
        <v>3.1088100054429293</v>
      </c>
      <c r="L5385" s="400">
        <f t="shared" si="311"/>
        <v>3.1088100054429293</v>
      </c>
      <c r="M5385" s="400">
        <f t="shared" si="312"/>
        <v>3.1088100054429293</v>
      </c>
      <c r="N5385" s="400"/>
    </row>
    <row r="5386" spans="1:14" s="360" customFormat="1" outlineLevel="1" collapsed="1" x14ac:dyDescent="0.35">
      <c r="A5386" s="396" t="s">
        <v>7774</v>
      </c>
      <c r="B5386" s="397"/>
      <c r="C5386" s="398"/>
      <c r="D5386" s="399"/>
      <c r="E5386" s="399"/>
      <c r="F5386" s="400"/>
      <c r="G5386" s="401"/>
      <c r="H5386" s="402">
        <f t="shared" ref="H5386:N5386" si="313">SUBTOTAL(9,H5356:H5385)</f>
        <v>6901.5582120833042</v>
      </c>
      <c r="I5386" s="402"/>
      <c r="J5386" s="400">
        <f t="shared" si="313"/>
        <v>1725.389553020826</v>
      </c>
      <c r="K5386" s="400">
        <f t="shared" si="313"/>
        <v>1725.389553020826</v>
      </c>
      <c r="L5386" s="400">
        <f t="shared" si="313"/>
        <v>1725.389553020826</v>
      </c>
      <c r="M5386" s="400">
        <f t="shared" si="313"/>
        <v>1725.389553020826</v>
      </c>
      <c r="N5386" s="400">
        <f t="shared" si="313"/>
        <v>0</v>
      </c>
    </row>
    <row r="5387" spans="1:14" s="360" customFormat="1" hidden="1" outlineLevel="2" x14ac:dyDescent="0.35">
      <c r="A5387" s="403" t="s">
        <v>7775</v>
      </c>
      <c r="B5387" s="397">
        <v>43735</v>
      </c>
      <c r="C5387" s="398" t="s">
        <v>7725</v>
      </c>
      <c r="D5387" s="399" t="s">
        <v>7726</v>
      </c>
      <c r="E5387" s="399" t="s">
        <v>6129</v>
      </c>
      <c r="F5387" s="400">
        <v>4150000</v>
      </c>
      <c r="G5387" s="401" t="s">
        <v>3800</v>
      </c>
      <c r="H5387" s="402">
        <v>1651.3998748912841</v>
      </c>
      <c r="I5387" s="402"/>
      <c r="J5387" s="400">
        <f t="shared" ref="J5387:J5392" si="314">H5387/4</f>
        <v>412.84996872282102</v>
      </c>
      <c r="K5387" s="400">
        <f t="shared" ref="K5387:K5392" si="315">H5387/4</f>
        <v>412.84996872282102</v>
      </c>
      <c r="L5387" s="400">
        <f t="shared" ref="L5387:L5392" si="316">H5387/4</f>
        <v>412.84996872282102</v>
      </c>
      <c r="M5387" s="400">
        <f t="shared" ref="M5387:M5392" si="317">H5387/4</f>
        <v>412.84996872282102</v>
      </c>
      <c r="N5387" s="400"/>
    </row>
    <row r="5388" spans="1:14" s="360" customFormat="1" hidden="1" outlineLevel="2" x14ac:dyDescent="0.35">
      <c r="A5388" s="403" t="s">
        <v>7775</v>
      </c>
      <c r="B5388" s="397">
        <v>43735</v>
      </c>
      <c r="C5388" s="398" t="s">
        <v>7725</v>
      </c>
      <c r="D5388" s="399" t="s">
        <v>7727</v>
      </c>
      <c r="E5388" s="399" t="s">
        <v>6129</v>
      </c>
      <c r="F5388" s="400">
        <v>622500</v>
      </c>
      <c r="G5388" s="401" t="s">
        <v>3800</v>
      </c>
      <c r="H5388" s="402">
        <v>247.70998123369262</v>
      </c>
      <c r="I5388" s="402"/>
      <c r="J5388" s="400">
        <f t="shared" si="314"/>
        <v>61.927495308423154</v>
      </c>
      <c r="K5388" s="400">
        <f t="shared" si="315"/>
        <v>61.927495308423154</v>
      </c>
      <c r="L5388" s="400">
        <f t="shared" si="316"/>
        <v>61.927495308423154</v>
      </c>
      <c r="M5388" s="400">
        <f t="shared" si="317"/>
        <v>61.927495308423154</v>
      </c>
      <c r="N5388" s="400"/>
    </row>
    <row r="5389" spans="1:14" s="360" customFormat="1" hidden="1" outlineLevel="2" x14ac:dyDescent="0.35">
      <c r="A5389" s="403" t="s">
        <v>7775</v>
      </c>
      <c r="B5389" s="397">
        <v>43736</v>
      </c>
      <c r="C5389" s="398" t="s">
        <v>7728</v>
      </c>
      <c r="D5389" s="399" t="s">
        <v>7729</v>
      </c>
      <c r="E5389" s="399" t="s">
        <v>6129</v>
      </c>
      <c r="F5389" s="400">
        <v>518750</v>
      </c>
      <c r="G5389" s="401" t="s">
        <v>3800</v>
      </c>
      <c r="H5389" s="402">
        <v>206.42498436141051</v>
      </c>
      <c r="I5389" s="402"/>
      <c r="J5389" s="400">
        <f t="shared" si="314"/>
        <v>51.606246090352627</v>
      </c>
      <c r="K5389" s="400">
        <f t="shared" si="315"/>
        <v>51.606246090352627</v>
      </c>
      <c r="L5389" s="400">
        <f t="shared" si="316"/>
        <v>51.606246090352627</v>
      </c>
      <c r="M5389" s="400">
        <f t="shared" si="317"/>
        <v>51.606246090352627</v>
      </c>
      <c r="N5389" s="400"/>
    </row>
    <row r="5390" spans="1:14" s="360" customFormat="1" hidden="1" outlineLevel="2" x14ac:dyDescent="0.35">
      <c r="A5390" s="403" t="s">
        <v>7775</v>
      </c>
      <c r="B5390" s="397">
        <v>43735</v>
      </c>
      <c r="C5390" s="398" t="s">
        <v>7725</v>
      </c>
      <c r="D5390" s="399" t="s">
        <v>7730</v>
      </c>
      <c r="E5390" s="399" t="s">
        <v>6129</v>
      </c>
      <c r="F5390" s="400">
        <v>207500</v>
      </c>
      <c r="G5390" s="401" t="s">
        <v>3800</v>
      </c>
      <c r="H5390" s="402">
        <v>82.569993744564201</v>
      </c>
      <c r="I5390" s="402"/>
      <c r="J5390" s="400">
        <f t="shared" si="314"/>
        <v>20.64249843614105</v>
      </c>
      <c r="K5390" s="400">
        <f t="shared" si="315"/>
        <v>20.64249843614105</v>
      </c>
      <c r="L5390" s="400">
        <f t="shared" si="316"/>
        <v>20.64249843614105</v>
      </c>
      <c r="M5390" s="400">
        <f t="shared" si="317"/>
        <v>20.64249843614105</v>
      </c>
      <c r="N5390" s="400"/>
    </row>
    <row r="5391" spans="1:14" s="360" customFormat="1" hidden="1" outlineLevel="2" x14ac:dyDescent="0.35">
      <c r="A5391" s="403" t="s">
        <v>7775</v>
      </c>
      <c r="B5391" s="397">
        <v>43736</v>
      </c>
      <c r="C5391" s="398" t="s">
        <v>7731</v>
      </c>
      <c r="D5391" s="399" t="s">
        <v>7732</v>
      </c>
      <c r="E5391" s="399" t="s">
        <v>4039</v>
      </c>
      <c r="F5391" s="400">
        <v>207500</v>
      </c>
      <c r="G5391" s="401" t="s">
        <v>3800</v>
      </c>
      <c r="H5391" s="402">
        <v>82.569993744564201</v>
      </c>
      <c r="I5391" s="402"/>
      <c r="J5391" s="400">
        <f t="shared" si="314"/>
        <v>20.64249843614105</v>
      </c>
      <c r="K5391" s="400">
        <f t="shared" si="315"/>
        <v>20.64249843614105</v>
      </c>
      <c r="L5391" s="400">
        <f t="shared" si="316"/>
        <v>20.64249843614105</v>
      </c>
      <c r="M5391" s="400">
        <f t="shared" si="317"/>
        <v>20.64249843614105</v>
      </c>
      <c r="N5391" s="400"/>
    </row>
    <row r="5392" spans="1:14" s="360" customFormat="1" hidden="1" outlineLevel="2" x14ac:dyDescent="0.35">
      <c r="A5392" s="403" t="s">
        <v>7775</v>
      </c>
      <c r="B5392" s="397">
        <v>43736</v>
      </c>
      <c r="C5392" s="398" t="s">
        <v>7733</v>
      </c>
      <c r="D5392" s="399" t="s">
        <v>7734</v>
      </c>
      <c r="E5392" s="399" t="s">
        <v>4042</v>
      </c>
      <c r="F5392" s="400">
        <v>51875</v>
      </c>
      <c r="G5392" s="401" t="s">
        <v>3800</v>
      </c>
      <c r="H5392" s="402">
        <v>20.64249843614105</v>
      </c>
      <c r="I5392" s="402"/>
      <c r="J5392" s="400">
        <f t="shared" si="314"/>
        <v>5.1606246090352625</v>
      </c>
      <c r="K5392" s="400">
        <f t="shared" si="315"/>
        <v>5.1606246090352625</v>
      </c>
      <c r="L5392" s="400">
        <f t="shared" si="316"/>
        <v>5.1606246090352625</v>
      </c>
      <c r="M5392" s="400">
        <f t="shared" si="317"/>
        <v>5.1606246090352625</v>
      </c>
      <c r="N5392" s="400"/>
    </row>
    <row r="5393" spans="1:14" s="360" customFormat="1" outlineLevel="1" collapsed="1" x14ac:dyDescent="0.35">
      <c r="A5393" s="396" t="s">
        <v>7776</v>
      </c>
      <c r="B5393" s="397"/>
      <c r="C5393" s="398"/>
      <c r="D5393" s="399"/>
      <c r="E5393" s="399"/>
      <c r="F5393" s="400"/>
      <c r="G5393" s="401"/>
      <c r="H5393" s="402">
        <f t="shared" ref="H5393:N5393" si="318">SUBTOTAL(9,H5387:H5392)</f>
        <v>2291.3173264116567</v>
      </c>
      <c r="I5393" s="402"/>
      <c r="J5393" s="400">
        <f t="shared" si="318"/>
        <v>572.82933160291418</v>
      </c>
      <c r="K5393" s="400">
        <f t="shared" si="318"/>
        <v>572.82933160291418</v>
      </c>
      <c r="L5393" s="400">
        <f t="shared" si="318"/>
        <v>572.82933160291418</v>
      </c>
      <c r="M5393" s="400">
        <f t="shared" si="318"/>
        <v>572.82933160291418</v>
      </c>
      <c r="N5393" s="400">
        <f t="shared" si="318"/>
        <v>0</v>
      </c>
    </row>
    <row r="5394" spans="1:14" s="360" customFormat="1" hidden="1" outlineLevel="2" x14ac:dyDescent="0.35">
      <c r="A5394" s="403" t="s">
        <v>7777</v>
      </c>
      <c r="B5394" s="397">
        <v>43721</v>
      </c>
      <c r="C5394" s="398" t="s">
        <v>7715</v>
      </c>
      <c r="D5394" s="399" t="s">
        <v>7716</v>
      </c>
      <c r="E5394" s="399" t="s">
        <v>4268</v>
      </c>
      <c r="F5394" s="400">
        <v>2900000</v>
      </c>
      <c r="G5394" s="401" t="s">
        <v>3800</v>
      </c>
      <c r="H5394" s="402">
        <v>1153.9902740204154</v>
      </c>
      <c r="I5394" s="402"/>
      <c r="J5394" s="400">
        <f t="shared" ref="J5394:J5405" si="319">H5394/4</f>
        <v>288.49756850510386</v>
      </c>
      <c r="K5394" s="400">
        <f t="shared" ref="K5394:K5405" si="320">H5394/4</f>
        <v>288.49756850510386</v>
      </c>
      <c r="L5394" s="400">
        <f t="shared" ref="L5394:L5405" si="321">H5394/4</f>
        <v>288.49756850510386</v>
      </c>
      <c r="M5394" s="400">
        <f t="shared" ref="M5394:M5405" si="322">H5394/4</f>
        <v>288.49756850510386</v>
      </c>
      <c r="N5394" s="400"/>
    </row>
    <row r="5395" spans="1:14" s="360" customFormat="1" hidden="1" outlineLevel="2" x14ac:dyDescent="0.35">
      <c r="A5395" s="403" t="s">
        <v>7777</v>
      </c>
      <c r="B5395" s="397">
        <v>43721</v>
      </c>
      <c r="C5395" s="398" t="s">
        <v>7715</v>
      </c>
      <c r="D5395" s="399" t="s">
        <v>7717</v>
      </c>
      <c r="E5395" s="399" t="s">
        <v>4268</v>
      </c>
      <c r="F5395" s="400">
        <v>435000</v>
      </c>
      <c r="G5395" s="401" t="s">
        <v>3800</v>
      </c>
      <c r="H5395" s="402">
        <v>173.0985411030623</v>
      </c>
      <c r="I5395" s="402"/>
      <c r="J5395" s="400">
        <f t="shared" si="319"/>
        <v>43.274635275765576</v>
      </c>
      <c r="K5395" s="400">
        <f t="shared" si="320"/>
        <v>43.274635275765576</v>
      </c>
      <c r="L5395" s="400">
        <f t="shared" si="321"/>
        <v>43.274635275765576</v>
      </c>
      <c r="M5395" s="400">
        <f t="shared" si="322"/>
        <v>43.274635275765576</v>
      </c>
      <c r="N5395" s="400"/>
    </row>
    <row r="5396" spans="1:14" s="360" customFormat="1" hidden="1" outlineLevel="2" x14ac:dyDescent="0.35">
      <c r="A5396" s="403" t="s">
        <v>7777</v>
      </c>
      <c r="B5396" s="397">
        <v>43725</v>
      </c>
      <c r="C5396" s="398" t="s">
        <v>7718</v>
      </c>
      <c r="D5396" s="399" t="s">
        <v>7719</v>
      </c>
      <c r="E5396" s="399" t="s">
        <v>4272</v>
      </c>
      <c r="F5396" s="400">
        <v>362500</v>
      </c>
      <c r="G5396" s="401" t="s">
        <v>3800</v>
      </c>
      <c r="H5396" s="402">
        <v>144.24878425255193</v>
      </c>
      <c r="I5396" s="402"/>
      <c r="J5396" s="400">
        <f t="shared" si="319"/>
        <v>36.062196063137982</v>
      </c>
      <c r="K5396" s="400">
        <f t="shared" si="320"/>
        <v>36.062196063137982</v>
      </c>
      <c r="L5396" s="400">
        <f t="shared" si="321"/>
        <v>36.062196063137982</v>
      </c>
      <c r="M5396" s="400">
        <f t="shared" si="322"/>
        <v>36.062196063137982</v>
      </c>
      <c r="N5396" s="400"/>
    </row>
    <row r="5397" spans="1:14" s="360" customFormat="1" hidden="1" outlineLevel="2" x14ac:dyDescent="0.35">
      <c r="A5397" s="403" t="s">
        <v>7777</v>
      </c>
      <c r="B5397" s="397">
        <v>43721</v>
      </c>
      <c r="C5397" s="398" t="s">
        <v>7715</v>
      </c>
      <c r="D5397" s="399" t="s">
        <v>7720</v>
      </c>
      <c r="E5397" s="399" t="s">
        <v>4268</v>
      </c>
      <c r="F5397" s="400">
        <v>145000</v>
      </c>
      <c r="G5397" s="401" t="s">
        <v>3800</v>
      </c>
      <c r="H5397" s="402">
        <v>57.69951370102077</v>
      </c>
      <c r="I5397" s="402"/>
      <c r="J5397" s="400">
        <f t="shared" si="319"/>
        <v>14.424878425255192</v>
      </c>
      <c r="K5397" s="400">
        <f t="shared" si="320"/>
        <v>14.424878425255192</v>
      </c>
      <c r="L5397" s="400">
        <f t="shared" si="321"/>
        <v>14.424878425255192</v>
      </c>
      <c r="M5397" s="400">
        <f t="shared" si="322"/>
        <v>14.424878425255192</v>
      </c>
      <c r="N5397" s="400"/>
    </row>
    <row r="5398" spans="1:14" s="360" customFormat="1" hidden="1" outlineLevel="2" x14ac:dyDescent="0.35">
      <c r="A5398" s="403" t="s">
        <v>7777</v>
      </c>
      <c r="B5398" s="397">
        <v>43725</v>
      </c>
      <c r="C5398" s="398" t="s">
        <v>7721</v>
      </c>
      <c r="D5398" s="399" t="s">
        <v>7722</v>
      </c>
      <c r="E5398" s="399" t="s">
        <v>4039</v>
      </c>
      <c r="F5398" s="400">
        <v>145000</v>
      </c>
      <c r="G5398" s="401" t="s">
        <v>3800</v>
      </c>
      <c r="H5398" s="402">
        <v>57.69951370102077</v>
      </c>
      <c r="I5398" s="402"/>
      <c r="J5398" s="400">
        <f t="shared" si="319"/>
        <v>14.424878425255192</v>
      </c>
      <c r="K5398" s="400">
        <f t="shared" si="320"/>
        <v>14.424878425255192</v>
      </c>
      <c r="L5398" s="400">
        <f t="shared" si="321"/>
        <v>14.424878425255192</v>
      </c>
      <c r="M5398" s="400">
        <f t="shared" si="322"/>
        <v>14.424878425255192</v>
      </c>
      <c r="N5398" s="400"/>
    </row>
    <row r="5399" spans="1:14" s="360" customFormat="1" hidden="1" outlineLevel="2" x14ac:dyDescent="0.35">
      <c r="A5399" s="403" t="s">
        <v>7777</v>
      </c>
      <c r="B5399" s="397">
        <v>43725</v>
      </c>
      <c r="C5399" s="398" t="s">
        <v>7723</v>
      </c>
      <c r="D5399" s="399" t="s">
        <v>7724</v>
      </c>
      <c r="E5399" s="399" t="s">
        <v>4042</v>
      </c>
      <c r="F5399" s="400">
        <v>36250</v>
      </c>
      <c r="G5399" s="401" t="s">
        <v>3800</v>
      </c>
      <c r="H5399" s="402">
        <v>14.424878425255192</v>
      </c>
      <c r="I5399" s="402"/>
      <c r="J5399" s="400">
        <f t="shared" si="319"/>
        <v>3.6062196063137981</v>
      </c>
      <c r="K5399" s="400">
        <f t="shared" si="320"/>
        <v>3.6062196063137981</v>
      </c>
      <c r="L5399" s="400">
        <f t="shared" si="321"/>
        <v>3.6062196063137981</v>
      </c>
      <c r="M5399" s="400">
        <f t="shared" si="322"/>
        <v>3.6062196063137981</v>
      </c>
      <c r="N5399" s="400"/>
    </row>
    <row r="5400" spans="1:14" s="360" customFormat="1" hidden="1" outlineLevel="2" x14ac:dyDescent="0.35">
      <c r="A5400" s="403" t="s">
        <v>7777</v>
      </c>
      <c r="B5400" s="397">
        <v>43735</v>
      </c>
      <c r="C5400" s="398" t="s">
        <v>7725</v>
      </c>
      <c r="D5400" s="399" t="s">
        <v>7726</v>
      </c>
      <c r="E5400" s="399" t="s">
        <v>4268</v>
      </c>
      <c r="F5400" s="400">
        <v>2900000</v>
      </c>
      <c r="G5400" s="401" t="s">
        <v>3800</v>
      </c>
      <c r="H5400" s="402">
        <v>1153.9902740204154</v>
      </c>
      <c r="I5400" s="402"/>
      <c r="J5400" s="400">
        <f t="shared" si="319"/>
        <v>288.49756850510386</v>
      </c>
      <c r="K5400" s="400">
        <f t="shared" si="320"/>
        <v>288.49756850510386</v>
      </c>
      <c r="L5400" s="400">
        <f t="shared" si="321"/>
        <v>288.49756850510386</v>
      </c>
      <c r="M5400" s="400">
        <f t="shared" si="322"/>
        <v>288.49756850510386</v>
      </c>
      <c r="N5400" s="400"/>
    </row>
    <row r="5401" spans="1:14" s="360" customFormat="1" hidden="1" outlineLevel="2" x14ac:dyDescent="0.35">
      <c r="A5401" s="403" t="s">
        <v>7777</v>
      </c>
      <c r="B5401" s="397">
        <v>43735</v>
      </c>
      <c r="C5401" s="398" t="s">
        <v>7725</v>
      </c>
      <c r="D5401" s="399" t="s">
        <v>7727</v>
      </c>
      <c r="E5401" s="399" t="s">
        <v>4268</v>
      </c>
      <c r="F5401" s="400">
        <v>435000</v>
      </c>
      <c r="G5401" s="401" t="s">
        <v>3800</v>
      </c>
      <c r="H5401" s="402">
        <v>173.0985411030623</v>
      </c>
      <c r="I5401" s="402"/>
      <c r="J5401" s="400">
        <f t="shared" si="319"/>
        <v>43.274635275765576</v>
      </c>
      <c r="K5401" s="400">
        <f t="shared" si="320"/>
        <v>43.274635275765576</v>
      </c>
      <c r="L5401" s="400">
        <f t="shared" si="321"/>
        <v>43.274635275765576</v>
      </c>
      <c r="M5401" s="400">
        <f t="shared" si="322"/>
        <v>43.274635275765576</v>
      </c>
      <c r="N5401" s="400"/>
    </row>
    <row r="5402" spans="1:14" s="360" customFormat="1" hidden="1" outlineLevel="2" x14ac:dyDescent="0.35">
      <c r="A5402" s="403" t="s">
        <v>7777</v>
      </c>
      <c r="B5402" s="397">
        <v>43736</v>
      </c>
      <c r="C5402" s="398" t="s">
        <v>7728</v>
      </c>
      <c r="D5402" s="399" t="s">
        <v>7729</v>
      </c>
      <c r="E5402" s="399" t="s">
        <v>4272</v>
      </c>
      <c r="F5402" s="400">
        <v>362500</v>
      </c>
      <c r="G5402" s="401" t="s">
        <v>3800</v>
      </c>
      <c r="H5402" s="402">
        <v>144.24878425255193</v>
      </c>
      <c r="I5402" s="402"/>
      <c r="J5402" s="400">
        <f t="shared" si="319"/>
        <v>36.062196063137982</v>
      </c>
      <c r="K5402" s="400">
        <f t="shared" si="320"/>
        <v>36.062196063137982</v>
      </c>
      <c r="L5402" s="400">
        <f t="shared" si="321"/>
        <v>36.062196063137982</v>
      </c>
      <c r="M5402" s="400">
        <f t="shared" si="322"/>
        <v>36.062196063137982</v>
      </c>
      <c r="N5402" s="400"/>
    </row>
    <row r="5403" spans="1:14" s="360" customFormat="1" hidden="1" outlineLevel="2" x14ac:dyDescent="0.35">
      <c r="A5403" s="403" t="s">
        <v>7777</v>
      </c>
      <c r="B5403" s="397">
        <v>43735</v>
      </c>
      <c r="C5403" s="398" t="s">
        <v>7725</v>
      </c>
      <c r="D5403" s="399" t="s">
        <v>7730</v>
      </c>
      <c r="E5403" s="399" t="s">
        <v>4268</v>
      </c>
      <c r="F5403" s="400">
        <v>145000</v>
      </c>
      <c r="G5403" s="401" t="s">
        <v>3800</v>
      </c>
      <c r="H5403" s="402">
        <v>57.69951370102077</v>
      </c>
      <c r="I5403" s="402"/>
      <c r="J5403" s="400">
        <f t="shared" si="319"/>
        <v>14.424878425255192</v>
      </c>
      <c r="K5403" s="400">
        <f t="shared" si="320"/>
        <v>14.424878425255192</v>
      </c>
      <c r="L5403" s="400">
        <f t="shared" si="321"/>
        <v>14.424878425255192</v>
      </c>
      <c r="M5403" s="400">
        <f t="shared" si="322"/>
        <v>14.424878425255192</v>
      </c>
      <c r="N5403" s="400"/>
    </row>
    <row r="5404" spans="1:14" s="360" customFormat="1" hidden="1" outlineLevel="2" x14ac:dyDescent="0.35">
      <c r="A5404" s="403" t="s">
        <v>7777</v>
      </c>
      <c r="B5404" s="397">
        <v>43736</v>
      </c>
      <c r="C5404" s="398" t="s">
        <v>7731</v>
      </c>
      <c r="D5404" s="399" t="s">
        <v>7732</v>
      </c>
      <c r="E5404" s="399" t="s">
        <v>4039</v>
      </c>
      <c r="F5404" s="400">
        <v>145000</v>
      </c>
      <c r="G5404" s="401" t="s">
        <v>3800</v>
      </c>
      <c r="H5404" s="402">
        <v>57.69951370102077</v>
      </c>
      <c r="I5404" s="402"/>
      <c r="J5404" s="400">
        <f t="shared" si="319"/>
        <v>14.424878425255192</v>
      </c>
      <c r="K5404" s="400">
        <f t="shared" si="320"/>
        <v>14.424878425255192</v>
      </c>
      <c r="L5404" s="400">
        <f t="shared" si="321"/>
        <v>14.424878425255192</v>
      </c>
      <c r="M5404" s="400">
        <f t="shared" si="322"/>
        <v>14.424878425255192</v>
      </c>
      <c r="N5404" s="400"/>
    </row>
    <row r="5405" spans="1:14" s="360" customFormat="1" hidden="1" outlineLevel="2" x14ac:dyDescent="0.35">
      <c r="A5405" s="403" t="s">
        <v>7777</v>
      </c>
      <c r="B5405" s="397">
        <v>43736</v>
      </c>
      <c r="C5405" s="398" t="s">
        <v>7733</v>
      </c>
      <c r="D5405" s="399" t="s">
        <v>7734</v>
      </c>
      <c r="E5405" s="399" t="s">
        <v>4042</v>
      </c>
      <c r="F5405" s="400">
        <v>36250</v>
      </c>
      <c r="G5405" s="401" t="s">
        <v>3800</v>
      </c>
      <c r="H5405" s="402">
        <v>14.424878425255192</v>
      </c>
      <c r="I5405" s="402"/>
      <c r="J5405" s="400">
        <f t="shared" si="319"/>
        <v>3.6062196063137981</v>
      </c>
      <c r="K5405" s="400">
        <f t="shared" si="320"/>
        <v>3.6062196063137981</v>
      </c>
      <c r="L5405" s="400">
        <f t="shared" si="321"/>
        <v>3.6062196063137981</v>
      </c>
      <c r="M5405" s="400">
        <f t="shared" si="322"/>
        <v>3.6062196063137981</v>
      </c>
      <c r="N5405" s="400"/>
    </row>
    <row r="5406" spans="1:14" s="360" customFormat="1" outlineLevel="1" collapsed="1" x14ac:dyDescent="0.35">
      <c r="A5406" s="396" t="s">
        <v>7778</v>
      </c>
      <c r="B5406" s="397"/>
      <c r="C5406" s="398"/>
      <c r="D5406" s="399"/>
      <c r="E5406" s="399"/>
      <c r="F5406" s="400"/>
      <c r="G5406" s="401"/>
      <c r="H5406" s="402">
        <f t="shared" ref="H5406:N5406" si="323">SUBTOTAL(9,H5394:H5405)</f>
        <v>3202.3230104066529</v>
      </c>
      <c r="I5406" s="402"/>
      <c r="J5406" s="400">
        <f t="shared" si="323"/>
        <v>800.58075260166322</v>
      </c>
      <c r="K5406" s="400">
        <f t="shared" si="323"/>
        <v>800.58075260166322</v>
      </c>
      <c r="L5406" s="400">
        <f t="shared" si="323"/>
        <v>800.58075260166322</v>
      </c>
      <c r="M5406" s="400">
        <f t="shared" si="323"/>
        <v>800.58075260166322</v>
      </c>
      <c r="N5406" s="400">
        <f t="shared" si="323"/>
        <v>0</v>
      </c>
    </row>
    <row r="5407" spans="1:14" s="360" customFormat="1" hidden="1" outlineLevel="2" x14ac:dyDescent="0.35">
      <c r="A5407" s="403" t="s">
        <v>7779</v>
      </c>
      <c r="B5407" s="397">
        <v>43735</v>
      </c>
      <c r="C5407" s="398" t="s">
        <v>7725</v>
      </c>
      <c r="D5407" s="399" t="s">
        <v>7726</v>
      </c>
      <c r="E5407" s="399" t="s">
        <v>7780</v>
      </c>
      <c r="F5407" s="400">
        <v>1050000</v>
      </c>
      <c r="G5407" s="401" t="s">
        <v>3800</v>
      </c>
      <c r="H5407" s="402">
        <v>417.82406473152969</v>
      </c>
      <c r="I5407" s="402"/>
      <c r="J5407" s="400">
        <f t="shared" ref="J5407:J5412" si="324">H5407/4</f>
        <v>104.45601618288242</v>
      </c>
      <c r="K5407" s="400">
        <f t="shared" ref="K5407:K5412" si="325">H5407/4</f>
        <v>104.45601618288242</v>
      </c>
      <c r="L5407" s="400">
        <f t="shared" ref="L5407:L5412" si="326">H5407/4</f>
        <v>104.45601618288242</v>
      </c>
      <c r="M5407" s="400">
        <f t="shared" ref="M5407:M5412" si="327">H5407/4</f>
        <v>104.45601618288242</v>
      </c>
      <c r="N5407" s="400"/>
    </row>
    <row r="5408" spans="1:14" s="360" customFormat="1" hidden="1" outlineLevel="2" x14ac:dyDescent="0.35">
      <c r="A5408" s="403" t="s">
        <v>7779</v>
      </c>
      <c r="B5408" s="397">
        <v>43735</v>
      </c>
      <c r="C5408" s="398" t="s">
        <v>7725</v>
      </c>
      <c r="D5408" s="399" t="s">
        <v>7727</v>
      </c>
      <c r="E5408" s="399" t="s">
        <v>7780</v>
      </c>
      <c r="F5408" s="400">
        <v>157500</v>
      </c>
      <c r="G5408" s="401" t="s">
        <v>3800</v>
      </c>
      <c r="H5408" s="402">
        <v>62.673609709729455</v>
      </c>
      <c r="I5408" s="402"/>
      <c r="J5408" s="400">
        <f t="shared" si="324"/>
        <v>15.668402427432364</v>
      </c>
      <c r="K5408" s="400">
        <f t="shared" si="325"/>
        <v>15.668402427432364</v>
      </c>
      <c r="L5408" s="400">
        <f t="shared" si="326"/>
        <v>15.668402427432364</v>
      </c>
      <c r="M5408" s="400">
        <f t="shared" si="327"/>
        <v>15.668402427432364</v>
      </c>
      <c r="N5408" s="400"/>
    </row>
    <row r="5409" spans="1:14" s="360" customFormat="1" hidden="1" outlineLevel="2" x14ac:dyDescent="0.35">
      <c r="A5409" s="403" t="s">
        <v>7779</v>
      </c>
      <c r="B5409" s="397">
        <v>43736</v>
      </c>
      <c r="C5409" s="398" t="s">
        <v>7728</v>
      </c>
      <c r="D5409" s="399" t="s">
        <v>7729</v>
      </c>
      <c r="E5409" s="399" t="s">
        <v>4272</v>
      </c>
      <c r="F5409" s="400">
        <v>131250</v>
      </c>
      <c r="G5409" s="401" t="s">
        <v>3800</v>
      </c>
      <c r="H5409" s="402">
        <v>52.228008091441211</v>
      </c>
      <c r="I5409" s="402"/>
      <c r="J5409" s="400">
        <f t="shared" si="324"/>
        <v>13.057002022860303</v>
      </c>
      <c r="K5409" s="400">
        <f t="shared" si="325"/>
        <v>13.057002022860303</v>
      </c>
      <c r="L5409" s="400">
        <f t="shared" si="326"/>
        <v>13.057002022860303</v>
      </c>
      <c r="M5409" s="400">
        <f t="shared" si="327"/>
        <v>13.057002022860303</v>
      </c>
      <c r="N5409" s="400"/>
    </row>
    <row r="5410" spans="1:14" s="360" customFormat="1" hidden="1" outlineLevel="2" x14ac:dyDescent="0.35">
      <c r="A5410" s="403" t="s">
        <v>7779</v>
      </c>
      <c r="B5410" s="397">
        <v>43735</v>
      </c>
      <c r="C5410" s="398" t="s">
        <v>7725</v>
      </c>
      <c r="D5410" s="399" t="s">
        <v>7730</v>
      </c>
      <c r="E5410" s="399" t="s">
        <v>7780</v>
      </c>
      <c r="F5410" s="400">
        <v>52500</v>
      </c>
      <c r="G5410" s="401" t="s">
        <v>3800</v>
      </c>
      <c r="H5410" s="402">
        <v>20.891203236576487</v>
      </c>
      <c r="I5410" s="402"/>
      <c r="J5410" s="400">
        <f t="shared" si="324"/>
        <v>5.2228008091441218</v>
      </c>
      <c r="K5410" s="400">
        <f t="shared" si="325"/>
        <v>5.2228008091441218</v>
      </c>
      <c r="L5410" s="400">
        <f t="shared" si="326"/>
        <v>5.2228008091441218</v>
      </c>
      <c r="M5410" s="400">
        <f t="shared" si="327"/>
        <v>5.2228008091441218</v>
      </c>
      <c r="N5410" s="400"/>
    </row>
    <row r="5411" spans="1:14" s="360" customFormat="1" hidden="1" outlineLevel="2" x14ac:dyDescent="0.35">
      <c r="A5411" s="403" t="s">
        <v>7779</v>
      </c>
      <c r="B5411" s="397">
        <v>43736</v>
      </c>
      <c r="C5411" s="398" t="s">
        <v>7731</v>
      </c>
      <c r="D5411" s="399" t="s">
        <v>7732</v>
      </c>
      <c r="E5411" s="399" t="s">
        <v>4039</v>
      </c>
      <c r="F5411" s="400">
        <v>52500</v>
      </c>
      <c r="G5411" s="401" t="s">
        <v>3800</v>
      </c>
      <c r="H5411" s="402">
        <v>20.891203236576487</v>
      </c>
      <c r="I5411" s="402"/>
      <c r="J5411" s="400">
        <f t="shared" si="324"/>
        <v>5.2228008091441218</v>
      </c>
      <c r="K5411" s="400">
        <f t="shared" si="325"/>
        <v>5.2228008091441218</v>
      </c>
      <c r="L5411" s="400">
        <f t="shared" si="326"/>
        <v>5.2228008091441218</v>
      </c>
      <c r="M5411" s="400">
        <f t="shared" si="327"/>
        <v>5.2228008091441218</v>
      </c>
      <c r="N5411" s="400"/>
    </row>
    <row r="5412" spans="1:14" s="360" customFormat="1" hidden="1" outlineLevel="2" x14ac:dyDescent="0.35">
      <c r="A5412" s="403" t="s">
        <v>7779</v>
      </c>
      <c r="B5412" s="397">
        <v>43736</v>
      </c>
      <c r="C5412" s="398" t="s">
        <v>7733</v>
      </c>
      <c r="D5412" s="399" t="s">
        <v>7734</v>
      </c>
      <c r="E5412" s="399" t="s">
        <v>4042</v>
      </c>
      <c r="F5412" s="400">
        <v>13125</v>
      </c>
      <c r="G5412" s="401" t="s">
        <v>3800</v>
      </c>
      <c r="H5412" s="402">
        <v>5.2228008091441218</v>
      </c>
      <c r="I5412" s="402"/>
      <c r="J5412" s="400">
        <f t="shared" si="324"/>
        <v>1.3057002022860305</v>
      </c>
      <c r="K5412" s="400">
        <f t="shared" si="325"/>
        <v>1.3057002022860305</v>
      </c>
      <c r="L5412" s="400">
        <f t="shared" si="326"/>
        <v>1.3057002022860305</v>
      </c>
      <c r="M5412" s="400">
        <f t="shared" si="327"/>
        <v>1.3057002022860305</v>
      </c>
      <c r="N5412" s="400"/>
    </row>
    <row r="5413" spans="1:14" s="360" customFormat="1" outlineLevel="1" collapsed="1" x14ac:dyDescent="0.35">
      <c r="A5413" s="396" t="s">
        <v>7781</v>
      </c>
      <c r="B5413" s="397"/>
      <c r="C5413" s="398"/>
      <c r="D5413" s="399"/>
      <c r="E5413" s="399"/>
      <c r="F5413" s="400"/>
      <c r="G5413" s="401"/>
      <c r="H5413" s="402">
        <f t="shared" ref="H5413:N5413" si="328">SUBTOTAL(9,H5407:H5412)</f>
        <v>579.73088981499757</v>
      </c>
      <c r="I5413" s="402"/>
      <c r="J5413" s="400">
        <f t="shared" si="328"/>
        <v>144.93272245374939</v>
      </c>
      <c r="K5413" s="400">
        <f t="shared" si="328"/>
        <v>144.93272245374939</v>
      </c>
      <c r="L5413" s="400">
        <f t="shared" si="328"/>
        <v>144.93272245374939</v>
      </c>
      <c r="M5413" s="400">
        <f t="shared" si="328"/>
        <v>144.93272245374939</v>
      </c>
      <c r="N5413" s="400">
        <f t="shared" si="328"/>
        <v>0</v>
      </c>
    </row>
    <row r="5414" spans="1:14" s="360" customFormat="1" hidden="1" outlineLevel="2" x14ac:dyDescent="0.35">
      <c r="A5414" s="403" t="s">
        <v>7782</v>
      </c>
      <c r="B5414" s="397">
        <v>43735</v>
      </c>
      <c r="C5414" s="398" t="s">
        <v>7725</v>
      </c>
      <c r="D5414" s="399" t="s">
        <v>7726</v>
      </c>
      <c r="E5414" s="399" t="s">
        <v>6487</v>
      </c>
      <c r="F5414" s="400">
        <v>540000</v>
      </c>
      <c r="G5414" s="401" t="s">
        <v>3800</v>
      </c>
      <c r="H5414" s="402">
        <v>214.88094757621528</v>
      </c>
      <c r="I5414" s="402"/>
      <c r="J5414" s="400">
        <f t="shared" ref="J5414:J5437" si="329">H5414/4</f>
        <v>53.720236894053819</v>
      </c>
      <c r="K5414" s="400">
        <f t="shared" ref="K5414:K5437" si="330">H5414/4</f>
        <v>53.720236894053819</v>
      </c>
      <c r="L5414" s="400">
        <f t="shared" ref="L5414:L5437" si="331">H5414/4</f>
        <v>53.720236894053819</v>
      </c>
      <c r="M5414" s="400">
        <f t="shared" ref="M5414:M5437" si="332">H5414/4</f>
        <v>53.720236894053819</v>
      </c>
      <c r="N5414" s="400"/>
    </row>
    <row r="5415" spans="1:14" s="360" customFormat="1" hidden="1" outlineLevel="2" x14ac:dyDescent="0.35">
      <c r="A5415" s="403" t="s">
        <v>7782</v>
      </c>
      <c r="B5415" s="397">
        <v>43735</v>
      </c>
      <c r="C5415" s="398" t="s">
        <v>7725</v>
      </c>
      <c r="D5415" s="399" t="s">
        <v>7727</v>
      </c>
      <c r="E5415" s="399" t="s">
        <v>6487</v>
      </c>
      <c r="F5415" s="400">
        <v>81000</v>
      </c>
      <c r="G5415" s="401" t="s">
        <v>3800</v>
      </c>
      <c r="H5415" s="402">
        <v>32.232142136432294</v>
      </c>
      <c r="I5415" s="402"/>
      <c r="J5415" s="400">
        <f t="shared" si="329"/>
        <v>8.0580355341080736</v>
      </c>
      <c r="K5415" s="400">
        <f t="shared" si="330"/>
        <v>8.0580355341080736</v>
      </c>
      <c r="L5415" s="400">
        <f t="shared" si="331"/>
        <v>8.0580355341080736</v>
      </c>
      <c r="M5415" s="400">
        <f t="shared" si="332"/>
        <v>8.0580355341080736</v>
      </c>
      <c r="N5415" s="400"/>
    </row>
    <row r="5416" spans="1:14" s="360" customFormat="1" hidden="1" outlineLevel="2" x14ac:dyDescent="0.35">
      <c r="A5416" s="403" t="s">
        <v>7782</v>
      </c>
      <c r="B5416" s="397">
        <v>43736</v>
      </c>
      <c r="C5416" s="398" t="s">
        <v>7728</v>
      </c>
      <c r="D5416" s="399" t="s">
        <v>7729</v>
      </c>
      <c r="E5416" s="399" t="s">
        <v>6487</v>
      </c>
      <c r="F5416" s="400">
        <v>67500</v>
      </c>
      <c r="G5416" s="401" t="s">
        <v>3800</v>
      </c>
      <c r="H5416" s="402">
        <v>26.86011844702691</v>
      </c>
      <c r="I5416" s="402"/>
      <c r="J5416" s="400">
        <f t="shared" si="329"/>
        <v>6.7150296117567274</v>
      </c>
      <c r="K5416" s="400">
        <f t="shared" si="330"/>
        <v>6.7150296117567274</v>
      </c>
      <c r="L5416" s="400">
        <f t="shared" si="331"/>
        <v>6.7150296117567274</v>
      </c>
      <c r="M5416" s="400">
        <f t="shared" si="332"/>
        <v>6.7150296117567274</v>
      </c>
      <c r="N5416" s="400"/>
    </row>
    <row r="5417" spans="1:14" s="360" customFormat="1" hidden="1" outlineLevel="2" x14ac:dyDescent="0.35">
      <c r="A5417" s="403" t="s">
        <v>7782</v>
      </c>
      <c r="B5417" s="397">
        <v>43735</v>
      </c>
      <c r="C5417" s="398" t="s">
        <v>7725</v>
      </c>
      <c r="D5417" s="399" t="s">
        <v>7730</v>
      </c>
      <c r="E5417" s="399" t="s">
        <v>6487</v>
      </c>
      <c r="F5417" s="400">
        <v>27000</v>
      </c>
      <c r="G5417" s="401" t="s">
        <v>3800</v>
      </c>
      <c r="H5417" s="402">
        <v>10.744047378810764</v>
      </c>
      <c r="I5417" s="402"/>
      <c r="J5417" s="400">
        <f t="shared" si="329"/>
        <v>2.6860118447026911</v>
      </c>
      <c r="K5417" s="400">
        <f t="shared" si="330"/>
        <v>2.6860118447026911</v>
      </c>
      <c r="L5417" s="400">
        <f t="shared" si="331"/>
        <v>2.6860118447026911</v>
      </c>
      <c r="M5417" s="400">
        <f t="shared" si="332"/>
        <v>2.6860118447026911</v>
      </c>
      <c r="N5417" s="400"/>
    </row>
    <row r="5418" spans="1:14" s="360" customFormat="1" hidden="1" outlineLevel="2" x14ac:dyDescent="0.35">
      <c r="A5418" s="403" t="s">
        <v>7782</v>
      </c>
      <c r="B5418" s="397">
        <v>43736</v>
      </c>
      <c r="C5418" s="398" t="s">
        <v>7731</v>
      </c>
      <c r="D5418" s="399" t="s">
        <v>7732</v>
      </c>
      <c r="E5418" s="399" t="s">
        <v>4039</v>
      </c>
      <c r="F5418" s="400">
        <v>27000</v>
      </c>
      <c r="G5418" s="401" t="s">
        <v>3800</v>
      </c>
      <c r="H5418" s="402">
        <v>10.744047378810764</v>
      </c>
      <c r="I5418" s="402"/>
      <c r="J5418" s="400">
        <f t="shared" si="329"/>
        <v>2.6860118447026911</v>
      </c>
      <c r="K5418" s="400">
        <f t="shared" si="330"/>
        <v>2.6860118447026911</v>
      </c>
      <c r="L5418" s="400">
        <f t="shared" si="331"/>
        <v>2.6860118447026911</v>
      </c>
      <c r="M5418" s="400">
        <f t="shared" si="332"/>
        <v>2.6860118447026911</v>
      </c>
      <c r="N5418" s="400"/>
    </row>
    <row r="5419" spans="1:14" s="360" customFormat="1" hidden="1" outlineLevel="2" x14ac:dyDescent="0.35">
      <c r="A5419" s="403" t="s">
        <v>7782</v>
      </c>
      <c r="B5419" s="397">
        <v>43736</v>
      </c>
      <c r="C5419" s="398" t="s">
        <v>7733</v>
      </c>
      <c r="D5419" s="399" t="s">
        <v>7734</v>
      </c>
      <c r="E5419" s="399" t="s">
        <v>4042</v>
      </c>
      <c r="F5419" s="400">
        <v>6750</v>
      </c>
      <c r="G5419" s="401" t="s">
        <v>3800</v>
      </c>
      <c r="H5419" s="402">
        <v>2.6860118447026911</v>
      </c>
      <c r="I5419" s="402"/>
      <c r="J5419" s="400">
        <f t="shared" si="329"/>
        <v>0.67150296117567276</v>
      </c>
      <c r="K5419" s="400">
        <f t="shared" si="330"/>
        <v>0.67150296117567276</v>
      </c>
      <c r="L5419" s="400">
        <f t="shared" si="331"/>
        <v>0.67150296117567276</v>
      </c>
      <c r="M5419" s="400">
        <f t="shared" si="332"/>
        <v>0.67150296117567276</v>
      </c>
      <c r="N5419" s="400"/>
    </row>
    <row r="5420" spans="1:14" s="360" customFormat="1" hidden="1" outlineLevel="2" x14ac:dyDescent="0.35">
      <c r="A5420" s="403" t="s">
        <v>7782</v>
      </c>
      <c r="B5420" s="397">
        <v>43767</v>
      </c>
      <c r="C5420" s="398" t="s">
        <v>7735</v>
      </c>
      <c r="D5420" s="399" t="s">
        <v>7736</v>
      </c>
      <c r="E5420" s="399" t="s">
        <v>6487</v>
      </c>
      <c r="F5420" s="400">
        <v>540000</v>
      </c>
      <c r="G5420" s="401" t="s">
        <v>3800</v>
      </c>
      <c r="H5420" s="402">
        <v>214.88094757621528</v>
      </c>
      <c r="I5420" s="402"/>
      <c r="J5420" s="400">
        <f t="shared" si="329"/>
        <v>53.720236894053819</v>
      </c>
      <c r="K5420" s="400">
        <f t="shared" si="330"/>
        <v>53.720236894053819</v>
      </c>
      <c r="L5420" s="400">
        <f t="shared" si="331"/>
        <v>53.720236894053819</v>
      </c>
      <c r="M5420" s="400">
        <f t="shared" si="332"/>
        <v>53.720236894053819</v>
      </c>
      <c r="N5420" s="400"/>
    </row>
    <row r="5421" spans="1:14" s="360" customFormat="1" hidden="1" outlineLevel="2" x14ac:dyDescent="0.35">
      <c r="A5421" s="403" t="s">
        <v>7782</v>
      </c>
      <c r="B5421" s="397">
        <v>43767</v>
      </c>
      <c r="C5421" s="398" t="s">
        <v>7735</v>
      </c>
      <c r="D5421" s="399" t="s">
        <v>7737</v>
      </c>
      <c r="E5421" s="399" t="s">
        <v>6487</v>
      </c>
      <c r="F5421" s="400">
        <v>81000</v>
      </c>
      <c r="G5421" s="401" t="s">
        <v>3800</v>
      </c>
      <c r="H5421" s="402">
        <v>32.232142136432294</v>
      </c>
      <c r="I5421" s="402"/>
      <c r="J5421" s="400">
        <f t="shared" si="329"/>
        <v>8.0580355341080736</v>
      </c>
      <c r="K5421" s="400">
        <f t="shared" si="330"/>
        <v>8.0580355341080736</v>
      </c>
      <c r="L5421" s="400">
        <f t="shared" si="331"/>
        <v>8.0580355341080736</v>
      </c>
      <c r="M5421" s="400">
        <f t="shared" si="332"/>
        <v>8.0580355341080736</v>
      </c>
      <c r="N5421" s="400"/>
    </row>
    <row r="5422" spans="1:14" s="360" customFormat="1" hidden="1" outlineLevel="2" x14ac:dyDescent="0.35">
      <c r="A5422" s="403" t="s">
        <v>7782</v>
      </c>
      <c r="B5422" s="397">
        <v>43767</v>
      </c>
      <c r="C5422" s="398" t="s">
        <v>7738</v>
      </c>
      <c r="D5422" s="399" t="s">
        <v>7739</v>
      </c>
      <c r="E5422" s="399" t="s">
        <v>4272</v>
      </c>
      <c r="F5422" s="400">
        <v>67500</v>
      </c>
      <c r="G5422" s="401" t="s">
        <v>3800</v>
      </c>
      <c r="H5422" s="402">
        <v>26.86011844702691</v>
      </c>
      <c r="I5422" s="402"/>
      <c r="J5422" s="400">
        <f t="shared" si="329"/>
        <v>6.7150296117567274</v>
      </c>
      <c r="K5422" s="400">
        <f t="shared" si="330"/>
        <v>6.7150296117567274</v>
      </c>
      <c r="L5422" s="400">
        <f t="shared" si="331"/>
        <v>6.7150296117567274</v>
      </c>
      <c r="M5422" s="400">
        <f t="shared" si="332"/>
        <v>6.7150296117567274</v>
      </c>
      <c r="N5422" s="400"/>
    </row>
    <row r="5423" spans="1:14" s="360" customFormat="1" hidden="1" outlineLevel="2" x14ac:dyDescent="0.35">
      <c r="A5423" s="403" t="s">
        <v>7782</v>
      </c>
      <c r="B5423" s="397">
        <v>43767</v>
      </c>
      <c r="C5423" s="398" t="s">
        <v>7735</v>
      </c>
      <c r="D5423" s="399" t="s">
        <v>7740</v>
      </c>
      <c r="E5423" s="399" t="s">
        <v>6487</v>
      </c>
      <c r="F5423" s="400">
        <v>27000</v>
      </c>
      <c r="G5423" s="401" t="s">
        <v>3800</v>
      </c>
      <c r="H5423" s="402">
        <v>10.744047378810764</v>
      </c>
      <c r="I5423" s="402"/>
      <c r="J5423" s="400">
        <f t="shared" si="329"/>
        <v>2.6860118447026911</v>
      </c>
      <c r="K5423" s="400">
        <f t="shared" si="330"/>
        <v>2.6860118447026911</v>
      </c>
      <c r="L5423" s="400">
        <f t="shared" si="331"/>
        <v>2.6860118447026911</v>
      </c>
      <c r="M5423" s="400">
        <f t="shared" si="332"/>
        <v>2.6860118447026911</v>
      </c>
      <c r="N5423" s="400"/>
    </row>
    <row r="5424" spans="1:14" s="360" customFormat="1" hidden="1" outlineLevel="2" x14ac:dyDescent="0.35">
      <c r="A5424" s="403" t="s">
        <v>7782</v>
      </c>
      <c r="B5424" s="397">
        <v>43767</v>
      </c>
      <c r="C5424" s="398" t="s">
        <v>7741</v>
      </c>
      <c r="D5424" s="399" t="s">
        <v>7742</v>
      </c>
      <c r="E5424" s="399" t="s">
        <v>4039</v>
      </c>
      <c r="F5424" s="400">
        <v>27000</v>
      </c>
      <c r="G5424" s="401" t="s">
        <v>3800</v>
      </c>
      <c r="H5424" s="402">
        <v>10.744047378810764</v>
      </c>
      <c r="I5424" s="402"/>
      <c r="J5424" s="400">
        <f t="shared" si="329"/>
        <v>2.6860118447026911</v>
      </c>
      <c r="K5424" s="400">
        <f t="shared" si="330"/>
        <v>2.6860118447026911</v>
      </c>
      <c r="L5424" s="400">
        <f t="shared" si="331"/>
        <v>2.6860118447026911</v>
      </c>
      <c r="M5424" s="400">
        <f t="shared" si="332"/>
        <v>2.6860118447026911</v>
      </c>
      <c r="N5424" s="400"/>
    </row>
    <row r="5425" spans="1:14" s="360" customFormat="1" hidden="1" outlineLevel="2" x14ac:dyDescent="0.35">
      <c r="A5425" s="403" t="s">
        <v>7782</v>
      </c>
      <c r="B5425" s="397">
        <v>43767</v>
      </c>
      <c r="C5425" s="398" t="s">
        <v>7743</v>
      </c>
      <c r="D5425" s="399" t="s">
        <v>7744</v>
      </c>
      <c r="E5425" s="399" t="s">
        <v>4042</v>
      </c>
      <c r="F5425" s="400">
        <v>6750</v>
      </c>
      <c r="G5425" s="401" t="s">
        <v>3800</v>
      </c>
      <c r="H5425" s="402">
        <v>2.6860118447026911</v>
      </c>
      <c r="I5425" s="402"/>
      <c r="J5425" s="400">
        <f t="shared" si="329"/>
        <v>0.67150296117567276</v>
      </c>
      <c r="K5425" s="400">
        <f t="shared" si="330"/>
        <v>0.67150296117567276</v>
      </c>
      <c r="L5425" s="400">
        <f t="shared" si="331"/>
        <v>0.67150296117567276</v>
      </c>
      <c r="M5425" s="400">
        <f t="shared" si="332"/>
        <v>0.67150296117567276</v>
      </c>
      <c r="N5425" s="400"/>
    </row>
    <row r="5426" spans="1:14" s="360" customFormat="1" hidden="1" outlineLevel="2" x14ac:dyDescent="0.35">
      <c r="A5426" s="403" t="s">
        <v>7782</v>
      </c>
      <c r="B5426" s="397">
        <v>43797</v>
      </c>
      <c r="C5426" s="398" t="s">
        <v>7745</v>
      </c>
      <c r="D5426" s="399" t="s">
        <v>7746</v>
      </c>
      <c r="E5426" s="399" t="s">
        <v>6487</v>
      </c>
      <c r="F5426" s="400">
        <v>540000</v>
      </c>
      <c r="G5426" s="401" t="s">
        <v>3800</v>
      </c>
      <c r="H5426" s="402">
        <v>214.88094757621528</v>
      </c>
      <c r="I5426" s="402"/>
      <c r="J5426" s="400">
        <f t="shared" si="329"/>
        <v>53.720236894053819</v>
      </c>
      <c r="K5426" s="400">
        <f t="shared" si="330"/>
        <v>53.720236894053819</v>
      </c>
      <c r="L5426" s="400">
        <f t="shared" si="331"/>
        <v>53.720236894053819</v>
      </c>
      <c r="M5426" s="400">
        <f t="shared" si="332"/>
        <v>53.720236894053819</v>
      </c>
      <c r="N5426" s="400"/>
    </row>
    <row r="5427" spans="1:14" s="360" customFormat="1" hidden="1" outlineLevel="2" x14ac:dyDescent="0.35">
      <c r="A5427" s="403" t="s">
        <v>7782</v>
      </c>
      <c r="B5427" s="397">
        <v>43797</v>
      </c>
      <c r="C5427" s="398" t="s">
        <v>7745</v>
      </c>
      <c r="D5427" s="399" t="s">
        <v>7747</v>
      </c>
      <c r="E5427" s="399" t="s">
        <v>6487</v>
      </c>
      <c r="F5427" s="400">
        <v>81000</v>
      </c>
      <c r="G5427" s="401" t="s">
        <v>3800</v>
      </c>
      <c r="H5427" s="402">
        <v>32.232142136432294</v>
      </c>
      <c r="I5427" s="402"/>
      <c r="J5427" s="400">
        <f t="shared" si="329"/>
        <v>8.0580355341080736</v>
      </c>
      <c r="K5427" s="400">
        <f t="shared" si="330"/>
        <v>8.0580355341080736</v>
      </c>
      <c r="L5427" s="400">
        <f t="shared" si="331"/>
        <v>8.0580355341080736</v>
      </c>
      <c r="M5427" s="400">
        <f t="shared" si="332"/>
        <v>8.0580355341080736</v>
      </c>
      <c r="N5427" s="400"/>
    </row>
    <row r="5428" spans="1:14" s="360" customFormat="1" hidden="1" outlineLevel="2" x14ac:dyDescent="0.35">
      <c r="A5428" s="403" t="s">
        <v>7782</v>
      </c>
      <c r="B5428" s="397">
        <v>43797</v>
      </c>
      <c r="C5428" s="398" t="s">
        <v>7748</v>
      </c>
      <c r="D5428" s="399" t="s">
        <v>7749</v>
      </c>
      <c r="E5428" s="399" t="s">
        <v>6487</v>
      </c>
      <c r="F5428" s="400">
        <v>67500</v>
      </c>
      <c r="G5428" s="401" t="s">
        <v>3800</v>
      </c>
      <c r="H5428" s="402">
        <v>26.86011844702691</v>
      </c>
      <c r="I5428" s="402"/>
      <c r="J5428" s="400">
        <f t="shared" si="329"/>
        <v>6.7150296117567274</v>
      </c>
      <c r="K5428" s="400">
        <f t="shared" si="330"/>
        <v>6.7150296117567274</v>
      </c>
      <c r="L5428" s="400">
        <f t="shared" si="331"/>
        <v>6.7150296117567274</v>
      </c>
      <c r="M5428" s="400">
        <f t="shared" si="332"/>
        <v>6.7150296117567274</v>
      </c>
      <c r="N5428" s="400"/>
    </row>
    <row r="5429" spans="1:14" s="360" customFormat="1" hidden="1" outlineLevel="2" x14ac:dyDescent="0.35">
      <c r="A5429" s="403" t="s">
        <v>7782</v>
      </c>
      <c r="B5429" s="397">
        <v>43797</v>
      </c>
      <c r="C5429" s="398" t="s">
        <v>7745</v>
      </c>
      <c r="D5429" s="399" t="s">
        <v>7750</v>
      </c>
      <c r="E5429" s="399" t="s">
        <v>6487</v>
      </c>
      <c r="F5429" s="400">
        <v>27000</v>
      </c>
      <c r="G5429" s="401" t="s">
        <v>3800</v>
      </c>
      <c r="H5429" s="402">
        <v>10.744047378810764</v>
      </c>
      <c r="I5429" s="402"/>
      <c r="J5429" s="400">
        <f t="shared" si="329"/>
        <v>2.6860118447026911</v>
      </c>
      <c r="K5429" s="400">
        <f t="shared" si="330"/>
        <v>2.6860118447026911</v>
      </c>
      <c r="L5429" s="400">
        <f t="shared" si="331"/>
        <v>2.6860118447026911</v>
      </c>
      <c r="M5429" s="400">
        <f t="shared" si="332"/>
        <v>2.6860118447026911</v>
      </c>
      <c r="N5429" s="400"/>
    </row>
    <row r="5430" spans="1:14" s="360" customFormat="1" hidden="1" outlineLevel="2" x14ac:dyDescent="0.35">
      <c r="A5430" s="403" t="s">
        <v>7782</v>
      </c>
      <c r="B5430" s="397">
        <v>43797</v>
      </c>
      <c r="C5430" s="398" t="s">
        <v>7751</v>
      </c>
      <c r="D5430" s="399" t="s">
        <v>7752</v>
      </c>
      <c r="E5430" s="399" t="s">
        <v>4039</v>
      </c>
      <c r="F5430" s="400">
        <v>27000</v>
      </c>
      <c r="G5430" s="401" t="s">
        <v>3800</v>
      </c>
      <c r="H5430" s="402">
        <v>10.744047378810764</v>
      </c>
      <c r="I5430" s="402"/>
      <c r="J5430" s="400">
        <f t="shared" si="329"/>
        <v>2.6860118447026911</v>
      </c>
      <c r="K5430" s="400">
        <f t="shared" si="330"/>
        <v>2.6860118447026911</v>
      </c>
      <c r="L5430" s="400">
        <f t="shared" si="331"/>
        <v>2.6860118447026911</v>
      </c>
      <c r="M5430" s="400">
        <f t="shared" si="332"/>
        <v>2.6860118447026911</v>
      </c>
      <c r="N5430" s="400"/>
    </row>
    <row r="5431" spans="1:14" s="360" customFormat="1" hidden="1" outlineLevel="2" x14ac:dyDescent="0.35">
      <c r="A5431" s="403" t="s">
        <v>7782</v>
      </c>
      <c r="B5431" s="397">
        <v>43797</v>
      </c>
      <c r="C5431" s="398" t="s">
        <v>7753</v>
      </c>
      <c r="D5431" s="399" t="s">
        <v>7754</v>
      </c>
      <c r="E5431" s="399" t="s">
        <v>4042</v>
      </c>
      <c r="F5431" s="400">
        <v>6750</v>
      </c>
      <c r="G5431" s="401" t="s">
        <v>3800</v>
      </c>
      <c r="H5431" s="402">
        <v>2.6860118447026911</v>
      </c>
      <c r="I5431" s="402"/>
      <c r="J5431" s="400">
        <f t="shared" si="329"/>
        <v>0.67150296117567276</v>
      </c>
      <c r="K5431" s="400">
        <f t="shared" si="330"/>
        <v>0.67150296117567276</v>
      </c>
      <c r="L5431" s="400">
        <f t="shared" si="331"/>
        <v>0.67150296117567276</v>
      </c>
      <c r="M5431" s="400">
        <f t="shared" si="332"/>
        <v>0.67150296117567276</v>
      </c>
      <c r="N5431" s="400"/>
    </row>
    <row r="5432" spans="1:14" s="360" customFormat="1" hidden="1" outlineLevel="2" x14ac:dyDescent="0.35">
      <c r="A5432" s="403" t="s">
        <v>7782</v>
      </c>
      <c r="B5432" s="397">
        <v>43818</v>
      </c>
      <c r="C5432" s="398" t="s">
        <v>7755</v>
      </c>
      <c r="D5432" s="399" t="s">
        <v>7766</v>
      </c>
      <c r="E5432" s="399" t="s">
        <v>6487</v>
      </c>
      <c r="F5432" s="400">
        <v>540000</v>
      </c>
      <c r="G5432" s="401" t="s">
        <v>3800</v>
      </c>
      <c r="H5432" s="402">
        <v>214.88094757621528</v>
      </c>
      <c r="I5432" s="402"/>
      <c r="J5432" s="400">
        <f t="shared" si="329"/>
        <v>53.720236894053819</v>
      </c>
      <c r="K5432" s="400">
        <f t="shared" si="330"/>
        <v>53.720236894053819</v>
      </c>
      <c r="L5432" s="400">
        <f t="shared" si="331"/>
        <v>53.720236894053819</v>
      </c>
      <c r="M5432" s="400">
        <f t="shared" si="332"/>
        <v>53.720236894053819</v>
      </c>
      <c r="N5432" s="400"/>
    </row>
    <row r="5433" spans="1:14" s="360" customFormat="1" hidden="1" outlineLevel="2" x14ac:dyDescent="0.35">
      <c r="A5433" s="403" t="s">
        <v>7782</v>
      </c>
      <c r="B5433" s="397">
        <v>43818</v>
      </c>
      <c r="C5433" s="398" t="s">
        <v>7755</v>
      </c>
      <c r="D5433" s="399" t="s">
        <v>7757</v>
      </c>
      <c r="E5433" s="399" t="s">
        <v>6487</v>
      </c>
      <c r="F5433" s="400">
        <v>81000</v>
      </c>
      <c r="G5433" s="401" t="s">
        <v>3800</v>
      </c>
      <c r="H5433" s="402">
        <v>32.232142136432294</v>
      </c>
      <c r="I5433" s="402"/>
      <c r="J5433" s="400">
        <f t="shared" si="329"/>
        <v>8.0580355341080736</v>
      </c>
      <c r="K5433" s="400">
        <f t="shared" si="330"/>
        <v>8.0580355341080736</v>
      </c>
      <c r="L5433" s="400">
        <f t="shared" si="331"/>
        <v>8.0580355341080736</v>
      </c>
      <c r="M5433" s="400">
        <f t="shared" si="332"/>
        <v>8.0580355341080736</v>
      </c>
      <c r="N5433" s="400"/>
    </row>
    <row r="5434" spans="1:14" s="360" customFormat="1" hidden="1" outlineLevel="2" x14ac:dyDescent="0.35">
      <c r="A5434" s="403" t="s">
        <v>7782</v>
      </c>
      <c r="B5434" s="397">
        <v>43818</v>
      </c>
      <c r="C5434" s="398" t="s">
        <v>7758</v>
      </c>
      <c r="D5434" s="399" t="s">
        <v>7759</v>
      </c>
      <c r="E5434" s="399" t="s">
        <v>6487</v>
      </c>
      <c r="F5434" s="400">
        <v>67500</v>
      </c>
      <c r="G5434" s="401" t="s">
        <v>3800</v>
      </c>
      <c r="H5434" s="402">
        <v>26.86011844702691</v>
      </c>
      <c r="I5434" s="402"/>
      <c r="J5434" s="400">
        <f t="shared" si="329"/>
        <v>6.7150296117567274</v>
      </c>
      <c r="K5434" s="400">
        <f t="shared" si="330"/>
        <v>6.7150296117567274</v>
      </c>
      <c r="L5434" s="400">
        <f t="shared" si="331"/>
        <v>6.7150296117567274</v>
      </c>
      <c r="M5434" s="400">
        <f t="shared" si="332"/>
        <v>6.7150296117567274</v>
      </c>
      <c r="N5434" s="400"/>
    </row>
    <row r="5435" spans="1:14" s="360" customFormat="1" hidden="1" outlineLevel="2" x14ac:dyDescent="0.35">
      <c r="A5435" s="403" t="s">
        <v>7782</v>
      </c>
      <c r="B5435" s="397">
        <v>43818</v>
      </c>
      <c r="C5435" s="398" t="s">
        <v>7755</v>
      </c>
      <c r="D5435" s="399" t="s">
        <v>7760</v>
      </c>
      <c r="E5435" s="399" t="s">
        <v>6487</v>
      </c>
      <c r="F5435" s="400">
        <v>27000</v>
      </c>
      <c r="G5435" s="401" t="s">
        <v>3800</v>
      </c>
      <c r="H5435" s="402">
        <v>10.744047378810764</v>
      </c>
      <c r="I5435" s="402"/>
      <c r="J5435" s="400">
        <f t="shared" si="329"/>
        <v>2.6860118447026911</v>
      </c>
      <c r="K5435" s="400">
        <f t="shared" si="330"/>
        <v>2.6860118447026911</v>
      </c>
      <c r="L5435" s="400">
        <f t="shared" si="331"/>
        <v>2.6860118447026911</v>
      </c>
      <c r="M5435" s="400">
        <f t="shared" si="332"/>
        <v>2.6860118447026911</v>
      </c>
      <c r="N5435" s="400"/>
    </row>
    <row r="5436" spans="1:14" s="360" customFormat="1" hidden="1" outlineLevel="2" x14ac:dyDescent="0.35">
      <c r="A5436" s="403" t="s">
        <v>7782</v>
      </c>
      <c r="B5436" s="397">
        <v>43818</v>
      </c>
      <c r="C5436" s="398" t="s">
        <v>7761</v>
      </c>
      <c r="D5436" s="399" t="s">
        <v>6130</v>
      </c>
      <c r="E5436" s="399" t="s">
        <v>4039</v>
      </c>
      <c r="F5436" s="400">
        <v>27000</v>
      </c>
      <c r="G5436" s="401" t="s">
        <v>3800</v>
      </c>
      <c r="H5436" s="402">
        <v>10.744047378810764</v>
      </c>
      <c r="I5436" s="402"/>
      <c r="J5436" s="400">
        <f t="shared" si="329"/>
        <v>2.6860118447026911</v>
      </c>
      <c r="K5436" s="400">
        <f t="shared" si="330"/>
        <v>2.6860118447026911</v>
      </c>
      <c r="L5436" s="400">
        <f t="shared" si="331"/>
        <v>2.6860118447026911</v>
      </c>
      <c r="M5436" s="400">
        <f t="shared" si="332"/>
        <v>2.6860118447026911</v>
      </c>
      <c r="N5436" s="400"/>
    </row>
    <row r="5437" spans="1:14" s="360" customFormat="1" hidden="1" outlineLevel="2" x14ac:dyDescent="0.35">
      <c r="A5437" s="403" t="s">
        <v>7782</v>
      </c>
      <c r="B5437" s="397">
        <v>43818</v>
      </c>
      <c r="C5437" s="398" t="s">
        <v>7762</v>
      </c>
      <c r="D5437" s="399" t="s">
        <v>7763</v>
      </c>
      <c r="E5437" s="399" t="s">
        <v>4042</v>
      </c>
      <c r="F5437" s="400">
        <v>6750</v>
      </c>
      <c r="G5437" s="401" t="s">
        <v>3800</v>
      </c>
      <c r="H5437" s="402">
        <v>2.6860118447026911</v>
      </c>
      <c r="I5437" s="402"/>
      <c r="J5437" s="400">
        <f t="shared" si="329"/>
        <v>0.67150296117567276</v>
      </c>
      <c r="K5437" s="400">
        <f t="shared" si="330"/>
        <v>0.67150296117567276</v>
      </c>
      <c r="L5437" s="400">
        <f t="shared" si="331"/>
        <v>0.67150296117567276</v>
      </c>
      <c r="M5437" s="400">
        <f t="shared" si="332"/>
        <v>0.67150296117567276</v>
      </c>
      <c r="N5437" s="400"/>
    </row>
    <row r="5438" spans="1:14" s="360" customFormat="1" outlineLevel="1" collapsed="1" x14ac:dyDescent="0.35">
      <c r="A5438" s="396" t="s">
        <v>7783</v>
      </c>
      <c r="B5438" s="397"/>
      <c r="C5438" s="398"/>
      <c r="D5438" s="399"/>
      <c r="E5438" s="399"/>
      <c r="F5438" s="400"/>
      <c r="G5438" s="401"/>
      <c r="H5438" s="402">
        <f t="shared" ref="H5438:N5438" si="333">SUBTOTAL(9,H5414:H5437)</f>
        <v>1192.5892590479953</v>
      </c>
      <c r="I5438" s="402"/>
      <c r="J5438" s="400">
        <f t="shared" si="333"/>
        <v>298.14731476199881</v>
      </c>
      <c r="K5438" s="400">
        <f t="shared" si="333"/>
        <v>298.14731476199881</v>
      </c>
      <c r="L5438" s="400">
        <f t="shared" si="333"/>
        <v>298.14731476199881</v>
      </c>
      <c r="M5438" s="400">
        <f t="shared" si="333"/>
        <v>298.14731476199881</v>
      </c>
      <c r="N5438" s="400">
        <f t="shared" si="333"/>
        <v>0</v>
      </c>
    </row>
    <row r="5439" spans="1:14" s="360" customFormat="1" hidden="1" outlineLevel="2" x14ac:dyDescent="0.35">
      <c r="A5439" s="403" t="s">
        <v>7784</v>
      </c>
      <c r="B5439" s="397">
        <v>43735</v>
      </c>
      <c r="C5439" s="398" t="s">
        <v>7725</v>
      </c>
      <c r="D5439" s="399" t="s">
        <v>7726</v>
      </c>
      <c r="E5439" s="399" t="s">
        <v>7785</v>
      </c>
      <c r="F5439" s="400">
        <v>1050000</v>
      </c>
      <c r="G5439" s="401" t="s">
        <v>3800</v>
      </c>
      <c r="H5439" s="402">
        <v>417.82406473152969</v>
      </c>
      <c r="I5439" s="402"/>
      <c r="J5439" s="400">
        <f t="shared" ref="J5439:J5444" si="334">H5439/4</f>
        <v>104.45601618288242</v>
      </c>
      <c r="K5439" s="400">
        <f t="shared" ref="K5439:K5444" si="335">H5439/4</f>
        <v>104.45601618288242</v>
      </c>
      <c r="L5439" s="400">
        <f t="shared" ref="L5439:L5444" si="336">H5439/4</f>
        <v>104.45601618288242</v>
      </c>
      <c r="M5439" s="400">
        <f t="shared" ref="M5439:M5444" si="337">H5439/4</f>
        <v>104.45601618288242</v>
      </c>
      <c r="N5439" s="400"/>
    </row>
    <row r="5440" spans="1:14" s="360" customFormat="1" hidden="1" outlineLevel="2" x14ac:dyDescent="0.35">
      <c r="A5440" s="403" t="s">
        <v>7784</v>
      </c>
      <c r="B5440" s="397">
        <v>43735</v>
      </c>
      <c r="C5440" s="398" t="s">
        <v>7725</v>
      </c>
      <c r="D5440" s="399" t="s">
        <v>7727</v>
      </c>
      <c r="E5440" s="399" t="s">
        <v>7785</v>
      </c>
      <c r="F5440" s="400">
        <v>157500</v>
      </c>
      <c r="G5440" s="401" t="s">
        <v>3800</v>
      </c>
      <c r="H5440" s="402">
        <v>62.673609709729455</v>
      </c>
      <c r="I5440" s="402"/>
      <c r="J5440" s="400">
        <f t="shared" si="334"/>
        <v>15.668402427432364</v>
      </c>
      <c r="K5440" s="400">
        <f t="shared" si="335"/>
        <v>15.668402427432364</v>
      </c>
      <c r="L5440" s="400">
        <f t="shared" si="336"/>
        <v>15.668402427432364</v>
      </c>
      <c r="M5440" s="400">
        <f t="shared" si="337"/>
        <v>15.668402427432364</v>
      </c>
      <c r="N5440" s="400"/>
    </row>
    <row r="5441" spans="1:14" s="360" customFormat="1" hidden="1" outlineLevel="2" x14ac:dyDescent="0.35">
      <c r="A5441" s="403" t="s">
        <v>7784</v>
      </c>
      <c r="B5441" s="397">
        <v>43736</v>
      </c>
      <c r="C5441" s="398" t="s">
        <v>7728</v>
      </c>
      <c r="D5441" s="399" t="s">
        <v>7729</v>
      </c>
      <c r="E5441" s="399" t="s">
        <v>4272</v>
      </c>
      <c r="F5441" s="400">
        <v>131250</v>
      </c>
      <c r="G5441" s="401" t="s">
        <v>3800</v>
      </c>
      <c r="H5441" s="402">
        <v>52.228008091441211</v>
      </c>
      <c r="I5441" s="402"/>
      <c r="J5441" s="400">
        <f t="shared" si="334"/>
        <v>13.057002022860303</v>
      </c>
      <c r="K5441" s="400">
        <f t="shared" si="335"/>
        <v>13.057002022860303</v>
      </c>
      <c r="L5441" s="400">
        <f t="shared" si="336"/>
        <v>13.057002022860303</v>
      </c>
      <c r="M5441" s="400">
        <f t="shared" si="337"/>
        <v>13.057002022860303</v>
      </c>
      <c r="N5441" s="400"/>
    </row>
    <row r="5442" spans="1:14" s="360" customFormat="1" hidden="1" outlineLevel="2" x14ac:dyDescent="0.35">
      <c r="A5442" s="403" t="s">
        <v>7784</v>
      </c>
      <c r="B5442" s="397">
        <v>43735</v>
      </c>
      <c r="C5442" s="398" t="s">
        <v>7725</v>
      </c>
      <c r="D5442" s="399" t="s">
        <v>7730</v>
      </c>
      <c r="E5442" s="399" t="s">
        <v>7785</v>
      </c>
      <c r="F5442" s="400">
        <v>52500</v>
      </c>
      <c r="G5442" s="401" t="s">
        <v>3800</v>
      </c>
      <c r="H5442" s="402">
        <v>20.891203236576487</v>
      </c>
      <c r="I5442" s="402"/>
      <c r="J5442" s="400">
        <f t="shared" si="334"/>
        <v>5.2228008091441218</v>
      </c>
      <c r="K5442" s="400">
        <f t="shared" si="335"/>
        <v>5.2228008091441218</v>
      </c>
      <c r="L5442" s="400">
        <f t="shared" si="336"/>
        <v>5.2228008091441218</v>
      </c>
      <c r="M5442" s="400">
        <f t="shared" si="337"/>
        <v>5.2228008091441218</v>
      </c>
      <c r="N5442" s="400"/>
    </row>
    <row r="5443" spans="1:14" s="360" customFormat="1" hidden="1" outlineLevel="2" x14ac:dyDescent="0.35">
      <c r="A5443" s="403" t="s">
        <v>7784</v>
      </c>
      <c r="B5443" s="397">
        <v>43736</v>
      </c>
      <c r="C5443" s="398" t="s">
        <v>7731</v>
      </c>
      <c r="D5443" s="399" t="s">
        <v>7732</v>
      </c>
      <c r="E5443" s="399" t="s">
        <v>4039</v>
      </c>
      <c r="F5443" s="400">
        <v>52500</v>
      </c>
      <c r="G5443" s="401" t="s">
        <v>3800</v>
      </c>
      <c r="H5443" s="402">
        <v>20.891203236576487</v>
      </c>
      <c r="I5443" s="402"/>
      <c r="J5443" s="400">
        <f t="shared" si="334"/>
        <v>5.2228008091441218</v>
      </c>
      <c r="K5443" s="400">
        <f t="shared" si="335"/>
        <v>5.2228008091441218</v>
      </c>
      <c r="L5443" s="400">
        <f t="shared" si="336"/>
        <v>5.2228008091441218</v>
      </c>
      <c r="M5443" s="400">
        <f t="shared" si="337"/>
        <v>5.2228008091441218</v>
      </c>
      <c r="N5443" s="400"/>
    </row>
    <row r="5444" spans="1:14" s="360" customFormat="1" hidden="1" outlineLevel="2" x14ac:dyDescent="0.35">
      <c r="A5444" s="403" t="s">
        <v>7784</v>
      </c>
      <c r="B5444" s="397">
        <v>43736</v>
      </c>
      <c r="C5444" s="398" t="s">
        <v>7733</v>
      </c>
      <c r="D5444" s="399" t="s">
        <v>7734</v>
      </c>
      <c r="E5444" s="399" t="s">
        <v>4042</v>
      </c>
      <c r="F5444" s="400">
        <v>13125</v>
      </c>
      <c r="G5444" s="401" t="s">
        <v>3800</v>
      </c>
      <c r="H5444" s="402">
        <v>5.2228008091441218</v>
      </c>
      <c r="I5444" s="402"/>
      <c r="J5444" s="400">
        <f t="shared" si="334"/>
        <v>1.3057002022860305</v>
      </c>
      <c r="K5444" s="400">
        <f t="shared" si="335"/>
        <v>1.3057002022860305</v>
      </c>
      <c r="L5444" s="400">
        <f t="shared" si="336"/>
        <v>1.3057002022860305</v>
      </c>
      <c r="M5444" s="400">
        <f t="shared" si="337"/>
        <v>1.3057002022860305</v>
      </c>
      <c r="N5444" s="400"/>
    </row>
    <row r="5445" spans="1:14" s="360" customFormat="1" outlineLevel="1" collapsed="1" x14ac:dyDescent="0.35">
      <c r="A5445" s="396" t="s">
        <v>7786</v>
      </c>
      <c r="B5445" s="397"/>
      <c r="C5445" s="398"/>
      <c r="D5445" s="399"/>
      <c r="E5445" s="399"/>
      <c r="F5445" s="400"/>
      <c r="G5445" s="401"/>
      <c r="H5445" s="402">
        <f t="shared" ref="H5445:N5445" si="338">SUBTOTAL(9,H5439:H5444)</f>
        <v>579.73088981499757</v>
      </c>
      <c r="I5445" s="402"/>
      <c r="J5445" s="400">
        <f t="shared" si="338"/>
        <v>144.93272245374939</v>
      </c>
      <c r="K5445" s="400">
        <f t="shared" si="338"/>
        <v>144.93272245374939</v>
      </c>
      <c r="L5445" s="400">
        <f t="shared" si="338"/>
        <v>144.93272245374939</v>
      </c>
      <c r="M5445" s="400">
        <f t="shared" si="338"/>
        <v>144.93272245374939</v>
      </c>
      <c r="N5445" s="400">
        <f t="shared" si="338"/>
        <v>0</v>
      </c>
    </row>
    <row r="5446" spans="1:14" s="360" customFormat="1" hidden="1" outlineLevel="2" x14ac:dyDescent="0.35">
      <c r="A5446" s="403" t="s">
        <v>7787</v>
      </c>
      <c r="B5446" s="397">
        <v>43735</v>
      </c>
      <c r="C5446" s="398" t="s">
        <v>7725</v>
      </c>
      <c r="D5446" s="399" t="s">
        <v>7726</v>
      </c>
      <c r="E5446" s="399" t="s">
        <v>7637</v>
      </c>
      <c r="F5446" s="400">
        <v>1600000</v>
      </c>
      <c r="G5446" s="401" t="s">
        <v>3800</v>
      </c>
      <c r="H5446" s="402">
        <v>636.68428911471199</v>
      </c>
      <c r="I5446" s="402"/>
      <c r="J5446" s="400">
        <f t="shared" ref="J5446:J5451" si="339">H5446/4</f>
        <v>159.171072278678</v>
      </c>
      <c r="K5446" s="400">
        <f t="shared" ref="K5446:K5451" si="340">H5446/4</f>
        <v>159.171072278678</v>
      </c>
      <c r="L5446" s="400">
        <f t="shared" ref="L5446:L5451" si="341">H5446/4</f>
        <v>159.171072278678</v>
      </c>
      <c r="M5446" s="400">
        <f t="shared" ref="M5446:M5451" si="342">H5446/4</f>
        <v>159.171072278678</v>
      </c>
      <c r="N5446" s="400"/>
    </row>
    <row r="5447" spans="1:14" s="360" customFormat="1" hidden="1" outlineLevel="2" x14ac:dyDescent="0.35">
      <c r="A5447" s="403" t="s">
        <v>7787</v>
      </c>
      <c r="B5447" s="397">
        <v>43735</v>
      </c>
      <c r="C5447" s="398" t="s">
        <v>7725</v>
      </c>
      <c r="D5447" s="399" t="s">
        <v>7727</v>
      </c>
      <c r="E5447" s="399" t="s">
        <v>7637</v>
      </c>
      <c r="F5447" s="400">
        <v>240000</v>
      </c>
      <c r="G5447" s="401" t="s">
        <v>3800</v>
      </c>
      <c r="H5447" s="402">
        <v>95.502643367206787</v>
      </c>
      <c r="I5447" s="402"/>
      <c r="J5447" s="400">
        <f t="shared" si="339"/>
        <v>23.875660841801697</v>
      </c>
      <c r="K5447" s="400">
        <f t="shared" si="340"/>
        <v>23.875660841801697</v>
      </c>
      <c r="L5447" s="400">
        <f t="shared" si="341"/>
        <v>23.875660841801697</v>
      </c>
      <c r="M5447" s="400">
        <f t="shared" si="342"/>
        <v>23.875660841801697</v>
      </c>
      <c r="N5447" s="400"/>
    </row>
    <row r="5448" spans="1:14" s="360" customFormat="1" hidden="1" outlineLevel="2" x14ac:dyDescent="0.35">
      <c r="A5448" s="403" t="s">
        <v>7787</v>
      </c>
      <c r="B5448" s="397">
        <v>43736</v>
      </c>
      <c r="C5448" s="398" t="s">
        <v>7728</v>
      </c>
      <c r="D5448" s="399" t="s">
        <v>7729</v>
      </c>
      <c r="E5448" s="399" t="s">
        <v>4272</v>
      </c>
      <c r="F5448" s="400">
        <v>200000</v>
      </c>
      <c r="G5448" s="401" t="s">
        <v>3800</v>
      </c>
      <c r="H5448" s="402">
        <v>79.585536139338998</v>
      </c>
      <c r="I5448" s="402"/>
      <c r="J5448" s="400">
        <f t="shared" si="339"/>
        <v>19.89638403483475</v>
      </c>
      <c r="K5448" s="400">
        <f t="shared" si="340"/>
        <v>19.89638403483475</v>
      </c>
      <c r="L5448" s="400">
        <f t="shared" si="341"/>
        <v>19.89638403483475</v>
      </c>
      <c r="M5448" s="400">
        <f t="shared" si="342"/>
        <v>19.89638403483475</v>
      </c>
      <c r="N5448" s="400"/>
    </row>
    <row r="5449" spans="1:14" s="360" customFormat="1" hidden="1" outlineLevel="2" x14ac:dyDescent="0.35">
      <c r="A5449" s="403" t="s">
        <v>7787</v>
      </c>
      <c r="B5449" s="397">
        <v>43735</v>
      </c>
      <c r="C5449" s="398" t="s">
        <v>7725</v>
      </c>
      <c r="D5449" s="399" t="s">
        <v>7730</v>
      </c>
      <c r="E5449" s="399" t="s">
        <v>7637</v>
      </c>
      <c r="F5449" s="400">
        <v>80000</v>
      </c>
      <c r="G5449" s="401" t="s">
        <v>3800</v>
      </c>
      <c r="H5449" s="402">
        <v>31.834214455735598</v>
      </c>
      <c r="I5449" s="402"/>
      <c r="J5449" s="400">
        <f t="shared" si="339"/>
        <v>7.9585536139338995</v>
      </c>
      <c r="K5449" s="400">
        <f t="shared" si="340"/>
        <v>7.9585536139338995</v>
      </c>
      <c r="L5449" s="400">
        <f t="shared" si="341"/>
        <v>7.9585536139338995</v>
      </c>
      <c r="M5449" s="400">
        <f t="shared" si="342"/>
        <v>7.9585536139338995</v>
      </c>
      <c r="N5449" s="400"/>
    </row>
    <row r="5450" spans="1:14" s="360" customFormat="1" hidden="1" outlineLevel="2" x14ac:dyDescent="0.35">
      <c r="A5450" s="403" t="s">
        <v>7787</v>
      </c>
      <c r="B5450" s="397">
        <v>43736</v>
      </c>
      <c r="C5450" s="398" t="s">
        <v>7731</v>
      </c>
      <c r="D5450" s="399" t="s">
        <v>7732</v>
      </c>
      <c r="E5450" s="399" t="s">
        <v>4376</v>
      </c>
      <c r="F5450" s="400">
        <v>80000</v>
      </c>
      <c r="G5450" s="401" t="s">
        <v>3800</v>
      </c>
      <c r="H5450" s="402">
        <v>31.834214455735598</v>
      </c>
      <c r="I5450" s="402"/>
      <c r="J5450" s="400">
        <f t="shared" si="339"/>
        <v>7.9585536139338995</v>
      </c>
      <c r="K5450" s="400">
        <f t="shared" si="340"/>
        <v>7.9585536139338995</v>
      </c>
      <c r="L5450" s="400">
        <f t="shared" si="341"/>
        <v>7.9585536139338995</v>
      </c>
      <c r="M5450" s="400">
        <f t="shared" si="342"/>
        <v>7.9585536139338995</v>
      </c>
      <c r="N5450" s="400"/>
    </row>
    <row r="5451" spans="1:14" s="360" customFormat="1" hidden="1" outlineLevel="2" x14ac:dyDescent="0.35">
      <c r="A5451" s="403" t="s">
        <v>7787</v>
      </c>
      <c r="B5451" s="397">
        <v>43736</v>
      </c>
      <c r="C5451" s="398" t="s">
        <v>7733</v>
      </c>
      <c r="D5451" s="399" t="s">
        <v>7734</v>
      </c>
      <c r="E5451" s="399" t="s">
        <v>4042</v>
      </c>
      <c r="F5451" s="400">
        <v>20000</v>
      </c>
      <c r="G5451" s="401" t="s">
        <v>3800</v>
      </c>
      <c r="H5451" s="402">
        <v>7.9585536139338995</v>
      </c>
      <c r="I5451" s="402"/>
      <c r="J5451" s="400">
        <f t="shared" si="339"/>
        <v>1.9896384034834749</v>
      </c>
      <c r="K5451" s="400">
        <f t="shared" si="340"/>
        <v>1.9896384034834749</v>
      </c>
      <c r="L5451" s="400">
        <f t="shared" si="341"/>
        <v>1.9896384034834749</v>
      </c>
      <c r="M5451" s="400">
        <f t="shared" si="342"/>
        <v>1.9896384034834749</v>
      </c>
      <c r="N5451" s="400"/>
    </row>
    <row r="5452" spans="1:14" s="360" customFormat="1" outlineLevel="1" collapsed="1" x14ac:dyDescent="0.35">
      <c r="A5452" s="396" t="s">
        <v>7788</v>
      </c>
      <c r="B5452" s="397"/>
      <c r="C5452" s="398"/>
      <c r="D5452" s="399"/>
      <c r="E5452" s="399"/>
      <c r="F5452" s="400"/>
      <c r="G5452" s="401"/>
      <c r="H5452" s="402">
        <f t="shared" ref="H5452:N5452" si="343">SUBTOTAL(9,H5446:H5451)</f>
        <v>883.39945114666284</v>
      </c>
      <c r="I5452" s="402"/>
      <c r="J5452" s="400">
        <f t="shared" si="343"/>
        <v>220.84986278666571</v>
      </c>
      <c r="K5452" s="400">
        <f t="shared" si="343"/>
        <v>220.84986278666571</v>
      </c>
      <c r="L5452" s="400">
        <f t="shared" si="343"/>
        <v>220.84986278666571</v>
      </c>
      <c r="M5452" s="400">
        <f t="shared" si="343"/>
        <v>220.84986278666571</v>
      </c>
      <c r="N5452" s="400">
        <f t="shared" si="343"/>
        <v>0</v>
      </c>
    </row>
    <row r="5453" spans="1:14" s="360" customFormat="1" hidden="1" outlineLevel="2" x14ac:dyDescent="0.35">
      <c r="A5453" s="403" t="s">
        <v>7789</v>
      </c>
      <c r="B5453" s="397">
        <v>43735</v>
      </c>
      <c r="C5453" s="398" t="s">
        <v>7725</v>
      </c>
      <c r="D5453" s="399" t="s">
        <v>7726</v>
      </c>
      <c r="E5453" s="399" t="s">
        <v>4794</v>
      </c>
      <c r="F5453" s="400">
        <v>4390000</v>
      </c>
      <c r="G5453" s="401" t="s">
        <v>3800</v>
      </c>
      <c r="H5453" s="402">
        <v>1746.902518258491</v>
      </c>
      <c r="I5453" s="402"/>
      <c r="J5453" s="400">
        <f t="shared" ref="J5453:J5458" si="344">H5453/4</f>
        <v>436.72562956462275</v>
      </c>
      <c r="K5453" s="400">
        <f t="shared" ref="K5453:K5458" si="345">H5453/4</f>
        <v>436.72562956462275</v>
      </c>
      <c r="L5453" s="400">
        <f t="shared" ref="L5453:L5458" si="346">H5453/4</f>
        <v>436.72562956462275</v>
      </c>
      <c r="M5453" s="400">
        <f t="shared" ref="M5453:M5458" si="347">H5453/4</f>
        <v>436.72562956462275</v>
      </c>
      <c r="N5453" s="400"/>
    </row>
    <row r="5454" spans="1:14" s="360" customFormat="1" hidden="1" outlineLevel="2" x14ac:dyDescent="0.35">
      <c r="A5454" s="403" t="s">
        <v>7789</v>
      </c>
      <c r="B5454" s="397">
        <v>43735</v>
      </c>
      <c r="C5454" s="398" t="s">
        <v>7725</v>
      </c>
      <c r="D5454" s="399" t="s">
        <v>7727</v>
      </c>
      <c r="E5454" s="399" t="s">
        <v>4794</v>
      </c>
      <c r="F5454" s="400">
        <v>658500</v>
      </c>
      <c r="G5454" s="401" t="s">
        <v>3800</v>
      </c>
      <c r="H5454" s="402">
        <v>262.03537773877366</v>
      </c>
      <c r="I5454" s="402"/>
      <c r="J5454" s="400">
        <f t="shared" si="344"/>
        <v>65.508844434693415</v>
      </c>
      <c r="K5454" s="400">
        <f t="shared" si="345"/>
        <v>65.508844434693415</v>
      </c>
      <c r="L5454" s="400">
        <f t="shared" si="346"/>
        <v>65.508844434693415</v>
      </c>
      <c r="M5454" s="400">
        <f t="shared" si="347"/>
        <v>65.508844434693415</v>
      </c>
      <c r="N5454" s="400"/>
    </row>
    <row r="5455" spans="1:14" s="360" customFormat="1" hidden="1" outlineLevel="2" x14ac:dyDescent="0.35">
      <c r="A5455" s="403" t="s">
        <v>7789</v>
      </c>
      <c r="B5455" s="397">
        <v>43736</v>
      </c>
      <c r="C5455" s="398" t="s">
        <v>7728</v>
      </c>
      <c r="D5455" s="399" t="s">
        <v>7729</v>
      </c>
      <c r="E5455" s="399" t="s">
        <v>4272</v>
      </c>
      <c r="F5455" s="400">
        <v>548750</v>
      </c>
      <c r="G5455" s="401" t="s">
        <v>3800</v>
      </c>
      <c r="H5455" s="402">
        <v>218.36281478231137</v>
      </c>
      <c r="I5455" s="402"/>
      <c r="J5455" s="400">
        <f t="shared" si="344"/>
        <v>54.590703695577844</v>
      </c>
      <c r="K5455" s="400">
        <f t="shared" si="345"/>
        <v>54.590703695577844</v>
      </c>
      <c r="L5455" s="400">
        <f t="shared" si="346"/>
        <v>54.590703695577844</v>
      </c>
      <c r="M5455" s="400">
        <f t="shared" si="347"/>
        <v>54.590703695577844</v>
      </c>
      <c r="N5455" s="400"/>
    </row>
    <row r="5456" spans="1:14" s="360" customFormat="1" hidden="1" outlineLevel="2" collapsed="1" x14ac:dyDescent="0.35">
      <c r="A5456" s="403" t="s">
        <v>7789</v>
      </c>
      <c r="B5456" s="397">
        <v>43735</v>
      </c>
      <c r="C5456" s="398" t="s">
        <v>7725</v>
      </c>
      <c r="D5456" s="399" t="s">
        <v>7730</v>
      </c>
      <c r="E5456" s="399" t="s">
        <v>4794</v>
      </c>
      <c r="F5456" s="400">
        <v>219500</v>
      </c>
      <c r="G5456" s="401" t="s">
        <v>3800</v>
      </c>
      <c r="H5456" s="402">
        <v>87.345125912924544</v>
      </c>
      <c r="I5456" s="402"/>
      <c r="J5456" s="400">
        <f t="shared" si="344"/>
        <v>21.836281478231136</v>
      </c>
      <c r="K5456" s="400">
        <f t="shared" si="345"/>
        <v>21.836281478231136</v>
      </c>
      <c r="L5456" s="400">
        <f t="shared" si="346"/>
        <v>21.836281478231136</v>
      </c>
      <c r="M5456" s="400">
        <f t="shared" si="347"/>
        <v>21.836281478231136</v>
      </c>
      <c r="N5456" s="400"/>
    </row>
    <row r="5457" spans="1:14" s="360" customFormat="1" hidden="1" outlineLevel="2" x14ac:dyDescent="0.35">
      <c r="A5457" s="403" t="s">
        <v>7789</v>
      </c>
      <c r="B5457" s="397">
        <v>43736</v>
      </c>
      <c r="C5457" s="398" t="s">
        <v>7731</v>
      </c>
      <c r="D5457" s="399" t="s">
        <v>7732</v>
      </c>
      <c r="E5457" s="399" t="s">
        <v>4039</v>
      </c>
      <c r="F5457" s="400">
        <v>219500</v>
      </c>
      <c r="G5457" s="401" t="s">
        <v>3800</v>
      </c>
      <c r="H5457" s="402">
        <v>87.345125912924544</v>
      </c>
      <c r="I5457" s="402"/>
      <c r="J5457" s="400">
        <f t="shared" si="344"/>
        <v>21.836281478231136</v>
      </c>
      <c r="K5457" s="400">
        <f t="shared" si="345"/>
        <v>21.836281478231136</v>
      </c>
      <c r="L5457" s="400">
        <f t="shared" si="346"/>
        <v>21.836281478231136</v>
      </c>
      <c r="M5457" s="400">
        <f t="shared" si="347"/>
        <v>21.836281478231136</v>
      </c>
      <c r="N5457" s="400"/>
    </row>
    <row r="5458" spans="1:14" s="360" customFormat="1" hidden="1" outlineLevel="2" collapsed="1" x14ac:dyDescent="0.35">
      <c r="A5458" s="403" t="s">
        <v>7789</v>
      </c>
      <c r="B5458" s="397">
        <v>43736</v>
      </c>
      <c r="C5458" s="398" t="s">
        <v>7733</v>
      </c>
      <c r="D5458" s="399" t="s">
        <v>7734</v>
      </c>
      <c r="E5458" s="399" t="s">
        <v>4042</v>
      </c>
      <c r="F5458" s="400">
        <v>54875</v>
      </c>
      <c r="G5458" s="401" t="s">
        <v>3800</v>
      </c>
      <c r="H5458" s="402">
        <v>21.836281478231136</v>
      </c>
      <c r="I5458" s="402"/>
      <c r="J5458" s="400">
        <f t="shared" si="344"/>
        <v>5.459070369557784</v>
      </c>
      <c r="K5458" s="400">
        <f t="shared" si="345"/>
        <v>5.459070369557784</v>
      </c>
      <c r="L5458" s="400">
        <f t="shared" si="346"/>
        <v>5.459070369557784</v>
      </c>
      <c r="M5458" s="400">
        <f t="shared" si="347"/>
        <v>5.459070369557784</v>
      </c>
      <c r="N5458" s="400"/>
    </row>
    <row r="5459" spans="1:14" s="360" customFormat="1" outlineLevel="1" collapsed="1" x14ac:dyDescent="0.35">
      <c r="A5459" s="396" t="s">
        <v>7790</v>
      </c>
      <c r="B5459" s="397"/>
      <c r="C5459" s="398"/>
      <c r="D5459" s="399"/>
      <c r="E5459" s="399"/>
      <c r="F5459" s="400"/>
      <c r="G5459" s="401"/>
      <c r="H5459" s="402">
        <f t="shared" ref="H5459:N5459" si="348">SUBTOTAL(9,H5453:H5458)</f>
        <v>2423.8272440836568</v>
      </c>
      <c r="I5459" s="402"/>
      <c r="J5459" s="400">
        <f t="shared" si="348"/>
        <v>605.95681102091419</v>
      </c>
      <c r="K5459" s="400">
        <f t="shared" si="348"/>
        <v>605.95681102091419</v>
      </c>
      <c r="L5459" s="400">
        <f t="shared" si="348"/>
        <v>605.95681102091419</v>
      </c>
      <c r="M5459" s="400">
        <f t="shared" si="348"/>
        <v>605.95681102091419</v>
      </c>
      <c r="N5459" s="400">
        <f t="shared" si="348"/>
        <v>0</v>
      </c>
    </row>
    <row r="5460" spans="1:14" s="360" customFormat="1" hidden="1" outlineLevel="2" x14ac:dyDescent="0.35">
      <c r="A5460" s="403" t="s">
        <v>7791</v>
      </c>
      <c r="B5460" s="397">
        <v>43767</v>
      </c>
      <c r="C5460" s="398" t="s">
        <v>7735</v>
      </c>
      <c r="D5460" s="399" t="s">
        <v>7736</v>
      </c>
      <c r="E5460" s="399" t="s">
        <v>7792</v>
      </c>
      <c r="F5460" s="400">
        <v>522000</v>
      </c>
      <c r="G5460" s="401" t="s">
        <v>3800</v>
      </c>
      <c r="H5460" s="402">
        <v>207.71824932367477</v>
      </c>
      <c r="I5460" s="402"/>
      <c r="J5460" s="400">
        <f t="shared" ref="J5460:J5483" si="349">H5460/4</f>
        <v>51.929562330918692</v>
      </c>
      <c r="K5460" s="400">
        <f t="shared" ref="K5460:K5483" si="350">H5460/4</f>
        <v>51.929562330918692</v>
      </c>
      <c r="L5460" s="400">
        <f t="shared" ref="L5460:L5483" si="351">H5460/4</f>
        <v>51.929562330918692</v>
      </c>
      <c r="M5460" s="400">
        <f t="shared" ref="M5460:M5483" si="352">H5460/4</f>
        <v>51.929562330918692</v>
      </c>
      <c r="N5460" s="400"/>
    </row>
    <row r="5461" spans="1:14" s="360" customFormat="1" hidden="1" outlineLevel="2" x14ac:dyDescent="0.35">
      <c r="A5461" s="403" t="s">
        <v>7791</v>
      </c>
      <c r="B5461" s="397">
        <v>43767</v>
      </c>
      <c r="C5461" s="398" t="s">
        <v>7735</v>
      </c>
      <c r="D5461" s="399" t="s">
        <v>7737</v>
      </c>
      <c r="E5461" s="399" t="s">
        <v>7792</v>
      </c>
      <c r="F5461" s="400">
        <v>78300</v>
      </c>
      <c r="G5461" s="401" t="s">
        <v>3800</v>
      </c>
      <c r="H5461" s="402">
        <v>31.157737398551216</v>
      </c>
      <c r="I5461" s="402"/>
      <c r="J5461" s="400">
        <f t="shared" si="349"/>
        <v>7.789434349637804</v>
      </c>
      <c r="K5461" s="400">
        <f t="shared" si="350"/>
        <v>7.789434349637804</v>
      </c>
      <c r="L5461" s="400">
        <f t="shared" si="351"/>
        <v>7.789434349637804</v>
      </c>
      <c r="M5461" s="400">
        <f t="shared" si="352"/>
        <v>7.789434349637804</v>
      </c>
      <c r="N5461" s="400"/>
    </row>
    <row r="5462" spans="1:14" s="360" customFormat="1" hidden="1" outlineLevel="2" x14ac:dyDescent="0.35">
      <c r="A5462" s="403" t="s">
        <v>7791</v>
      </c>
      <c r="B5462" s="397">
        <v>43767</v>
      </c>
      <c r="C5462" s="398" t="s">
        <v>7738</v>
      </c>
      <c r="D5462" s="399" t="s">
        <v>7739</v>
      </c>
      <c r="E5462" s="399" t="s">
        <v>4272</v>
      </c>
      <c r="F5462" s="400">
        <v>65250</v>
      </c>
      <c r="G5462" s="401" t="s">
        <v>3800</v>
      </c>
      <c r="H5462" s="402">
        <v>25.964781165459346</v>
      </c>
      <c r="I5462" s="402"/>
      <c r="J5462" s="400">
        <f t="shared" si="349"/>
        <v>6.4911952913648365</v>
      </c>
      <c r="K5462" s="400">
        <f t="shared" si="350"/>
        <v>6.4911952913648365</v>
      </c>
      <c r="L5462" s="400">
        <f t="shared" si="351"/>
        <v>6.4911952913648365</v>
      </c>
      <c r="M5462" s="400">
        <f t="shared" si="352"/>
        <v>6.4911952913648365</v>
      </c>
      <c r="N5462" s="400"/>
    </row>
    <row r="5463" spans="1:14" s="360" customFormat="1" hidden="1" outlineLevel="2" x14ac:dyDescent="0.35">
      <c r="A5463" s="403" t="s">
        <v>7791</v>
      </c>
      <c r="B5463" s="397">
        <v>43767</v>
      </c>
      <c r="C5463" s="398" t="s">
        <v>7735</v>
      </c>
      <c r="D5463" s="399" t="s">
        <v>7740</v>
      </c>
      <c r="E5463" s="399" t="s">
        <v>7792</v>
      </c>
      <c r="F5463" s="400">
        <v>26100</v>
      </c>
      <c r="G5463" s="401" t="s">
        <v>3800</v>
      </c>
      <c r="H5463" s="402">
        <v>10.385912466183738</v>
      </c>
      <c r="I5463" s="402"/>
      <c r="J5463" s="400">
        <f t="shared" si="349"/>
        <v>2.5964781165459345</v>
      </c>
      <c r="K5463" s="400">
        <f t="shared" si="350"/>
        <v>2.5964781165459345</v>
      </c>
      <c r="L5463" s="400">
        <f t="shared" si="351"/>
        <v>2.5964781165459345</v>
      </c>
      <c r="M5463" s="400">
        <f t="shared" si="352"/>
        <v>2.5964781165459345</v>
      </c>
      <c r="N5463" s="400"/>
    </row>
    <row r="5464" spans="1:14" s="360" customFormat="1" hidden="1" outlineLevel="2" collapsed="1" x14ac:dyDescent="0.35">
      <c r="A5464" s="403" t="s">
        <v>7791</v>
      </c>
      <c r="B5464" s="397">
        <v>43767</v>
      </c>
      <c r="C5464" s="398" t="s">
        <v>7741</v>
      </c>
      <c r="D5464" s="399" t="s">
        <v>7742</v>
      </c>
      <c r="E5464" s="399" t="s">
        <v>4039</v>
      </c>
      <c r="F5464" s="400">
        <v>26100</v>
      </c>
      <c r="G5464" s="401" t="s">
        <v>3800</v>
      </c>
      <c r="H5464" s="402">
        <v>10.385912466183738</v>
      </c>
      <c r="I5464" s="402"/>
      <c r="J5464" s="400">
        <f t="shared" si="349"/>
        <v>2.5964781165459345</v>
      </c>
      <c r="K5464" s="400">
        <f t="shared" si="350"/>
        <v>2.5964781165459345</v>
      </c>
      <c r="L5464" s="400">
        <f t="shared" si="351"/>
        <v>2.5964781165459345</v>
      </c>
      <c r="M5464" s="400">
        <f t="shared" si="352"/>
        <v>2.5964781165459345</v>
      </c>
      <c r="N5464" s="400"/>
    </row>
    <row r="5465" spans="1:14" s="360" customFormat="1" hidden="1" outlineLevel="2" x14ac:dyDescent="0.35">
      <c r="A5465" s="403" t="s">
        <v>7791</v>
      </c>
      <c r="B5465" s="397">
        <v>43767</v>
      </c>
      <c r="C5465" s="398" t="s">
        <v>7743</v>
      </c>
      <c r="D5465" s="399" t="s">
        <v>7744</v>
      </c>
      <c r="E5465" s="399" t="s">
        <v>4042</v>
      </c>
      <c r="F5465" s="400">
        <v>6525</v>
      </c>
      <c r="G5465" s="401" t="s">
        <v>3800</v>
      </c>
      <c r="H5465" s="402">
        <v>2.5964781165459345</v>
      </c>
      <c r="I5465" s="402"/>
      <c r="J5465" s="400">
        <f t="shared" si="349"/>
        <v>0.64911952913648363</v>
      </c>
      <c r="K5465" s="400">
        <f t="shared" si="350"/>
        <v>0.64911952913648363</v>
      </c>
      <c r="L5465" s="400">
        <f t="shared" si="351"/>
        <v>0.64911952913648363</v>
      </c>
      <c r="M5465" s="400">
        <f t="shared" si="352"/>
        <v>0.64911952913648363</v>
      </c>
      <c r="N5465" s="400"/>
    </row>
    <row r="5466" spans="1:14" s="360" customFormat="1" hidden="1" outlineLevel="2" x14ac:dyDescent="0.35">
      <c r="A5466" s="403" t="s">
        <v>7791</v>
      </c>
      <c r="B5466" s="397">
        <v>43797</v>
      </c>
      <c r="C5466" s="398" t="s">
        <v>7745</v>
      </c>
      <c r="D5466" s="399" t="s">
        <v>7746</v>
      </c>
      <c r="E5466" s="399" t="s">
        <v>7792</v>
      </c>
      <c r="F5466" s="400">
        <v>522000</v>
      </c>
      <c r="G5466" s="401" t="s">
        <v>3800</v>
      </c>
      <c r="H5466" s="402">
        <v>207.71824932367477</v>
      </c>
      <c r="I5466" s="402"/>
      <c r="J5466" s="400">
        <f t="shared" si="349"/>
        <v>51.929562330918692</v>
      </c>
      <c r="K5466" s="400">
        <f t="shared" si="350"/>
        <v>51.929562330918692</v>
      </c>
      <c r="L5466" s="400">
        <f t="shared" si="351"/>
        <v>51.929562330918692</v>
      </c>
      <c r="M5466" s="400">
        <f t="shared" si="352"/>
        <v>51.929562330918692</v>
      </c>
      <c r="N5466" s="400"/>
    </row>
    <row r="5467" spans="1:14" s="360" customFormat="1" hidden="1" outlineLevel="2" x14ac:dyDescent="0.35">
      <c r="A5467" s="403" t="s">
        <v>7791</v>
      </c>
      <c r="B5467" s="397">
        <v>43797</v>
      </c>
      <c r="C5467" s="398" t="s">
        <v>7745</v>
      </c>
      <c r="D5467" s="399" t="s">
        <v>7747</v>
      </c>
      <c r="E5467" s="399" t="s">
        <v>7792</v>
      </c>
      <c r="F5467" s="400">
        <v>78300</v>
      </c>
      <c r="G5467" s="401" t="s">
        <v>3800</v>
      </c>
      <c r="H5467" s="402">
        <v>31.157737398551216</v>
      </c>
      <c r="I5467" s="402"/>
      <c r="J5467" s="400">
        <f t="shared" si="349"/>
        <v>7.789434349637804</v>
      </c>
      <c r="K5467" s="400">
        <f t="shared" si="350"/>
        <v>7.789434349637804</v>
      </c>
      <c r="L5467" s="400">
        <f t="shared" si="351"/>
        <v>7.789434349637804</v>
      </c>
      <c r="M5467" s="400">
        <f t="shared" si="352"/>
        <v>7.789434349637804</v>
      </c>
      <c r="N5467" s="400"/>
    </row>
    <row r="5468" spans="1:14" s="360" customFormat="1" hidden="1" outlineLevel="2" collapsed="1" x14ac:dyDescent="0.35">
      <c r="A5468" s="403" t="s">
        <v>7791</v>
      </c>
      <c r="B5468" s="397">
        <v>43797</v>
      </c>
      <c r="C5468" s="398" t="s">
        <v>7748</v>
      </c>
      <c r="D5468" s="399" t="s">
        <v>7749</v>
      </c>
      <c r="E5468" s="399" t="s">
        <v>4035</v>
      </c>
      <c r="F5468" s="400">
        <v>65250</v>
      </c>
      <c r="G5468" s="401" t="s">
        <v>3800</v>
      </c>
      <c r="H5468" s="402">
        <v>25.964781165459346</v>
      </c>
      <c r="I5468" s="402"/>
      <c r="J5468" s="400">
        <f t="shared" si="349"/>
        <v>6.4911952913648365</v>
      </c>
      <c r="K5468" s="400">
        <f t="shared" si="350"/>
        <v>6.4911952913648365</v>
      </c>
      <c r="L5468" s="400">
        <f t="shared" si="351"/>
        <v>6.4911952913648365</v>
      </c>
      <c r="M5468" s="400">
        <f t="shared" si="352"/>
        <v>6.4911952913648365</v>
      </c>
      <c r="N5468" s="400"/>
    </row>
    <row r="5469" spans="1:14" s="360" customFormat="1" hidden="1" outlineLevel="2" x14ac:dyDescent="0.35">
      <c r="A5469" s="403" t="s">
        <v>7791</v>
      </c>
      <c r="B5469" s="397">
        <v>43797</v>
      </c>
      <c r="C5469" s="398" t="s">
        <v>7745</v>
      </c>
      <c r="D5469" s="399" t="s">
        <v>7750</v>
      </c>
      <c r="E5469" s="399" t="s">
        <v>7792</v>
      </c>
      <c r="F5469" s="400">
        <v>26100</v>
      </c>
      <c r="G5469" s="401" t="s">
        <v>3800</v>
      </c>
      <c r="H5469" s="402">
        <v>10.385912466183738</v>
      </c>
      <c r="I5469" s="402"/>
      <c r="J5469" s="400">
        <f t="shared" si="349"/>
        <v>2.5964781165459345</v>
      </c>
      <c r="K5469" s="400">
        <f t="shared" si="350"/>
        <v>2.5964781165459345</v>
      </c>
      <c r="L5469" s="400">
        <f t="shared" si="351"/>
        <v>2.5964781165459345</v>
      </c>
      <c r="M5469" s="400">
        <f t="shared" si="352"/>
        <v>2.5964781165459345</v>
      </c>
      <c r="N5469" s="400"/>
    </row>
    <row r="5470" spans="1:14" s="360" customFormat="1" hidden="1" outlineLevel="2" x14ac:dyDescent="0.35">
      <c r="A5470" s="403" t="s">
        <v>7791</v>
      </c>
      <c r="B5470" s="397">
        <v>43797</v>
      </c>
      <c r="C5470" s="398" t="s">
        <v>7751</v>
      </c>
      <c r="D5470" s="399" t="s">
        <v>7752</v>
      </c>
      <c r="E5470" s="399" t="s">
        <v>4039</v>
      </c>
      <c r="F5470" s="400">
        <v>26100</v>
      </c>
      <c r="G5470" s="401" t="s">
        <v>3800</v>
      </c>
      <c r="H5470" s="402">
        <v>10.385912466183738</v>
      </c>
      <c r="I5470" s="402"/>
      <c r="J5470" s="400">
        <f t="shared" si="349"/>
        <v>2.5964781165459345</v>
      </c>
      <c r="K5470" s="400">
        <f t="shared" si="350"/>
        <v>2.5964781165459345</v>
      </c>
      <c r="L5470" s="400">
        <f t="shared" si="351"/>
        <v>2.5964781165459345</v>
      </c>
      <c r="M5470" s="400">
        <f t="shared" si="352"/>
        <v>2.5964781165459345</v>
      </c>
      <c r="N5470" s="400"/>
    </row>
    <row r="5471" spans="1:14" s="360" customFormat="1" hidden="1" outlineLevel="2" x14ac:dyDescent="0.35">
      <c r="A5471" s="403" t="s">
        <v>7791</v>
      </c>
      <c r="B5471" s="397">
        <v>43797</v>
      </c>
      <c r="C5471" s="398" t="s">
        <v>7753</v>
      </c>
      <c r="D5471" s="399" t="s">
        <v>7754</v>
      </c>
      <c r="E5471" s="399" t="s">
        <v>4042</v>
      </c>
      <c r="F5471" s="400">
        <v>6525</v>
      </c>
      <c r="G5471" s="401" t="s">
        <v>3800</v>
      </c>
      <c r="H5471" s="402">
        <v>2.5964781165459345</v>
      </c>
      <c r="I5471" s="402"/>
      <c r="J5471" s="400">
        <f t="shared" si="349"/>
        <v>0.64911952913648363</v>
      </c>
      <c r="K5471" s="400">
        <f t="shared" si="350"/>
        <v>0.64911952913648363</v>
      </c>
      <c r="L5471" s="400">
        <f t="shared" si="351"/>
        <v>0.64911952913648363</v>
      </c>
      <c r="M5471" s="400">
        <f t="shared" si="352"/>
        <v>0.64911952913648363</v>
      </c>
      <c r="N5471" s="400"/>
    </row>
    <row r="5472" spans="1:14" s="360" customFormat="1" hidden="1" outlineLevel="2" x14ac:dyDescent="0.35">
      <c r="A5472" s="403" t="s">
        <v>7791</v>
      </c>
      <c r="B5472" s="397">
        <v>43818</v>
      </c>
      <c r="C5472" s="398" t="s">
        <v>7755</v>
      </c>
      <c r="D5472" s="399" t="s">
        <v>7766</v>
      </c>
      <c r="E5472" s="399" t="s">
        <v>7793</v>
      </c>
      <c r="F5472" s="400">
        <v>522000</v>
      </c>
      <c r="G5472" s="401" t="s">
        <v>3800</v>
      </c>
      <c r="H5472" s="402">
        <v>207.71824932367477</v>
      </c>
      <c r="I5472" s="402"/>
      <c r="J5472" s="400">
        <f t="shared" si="349"/>
        <v>51.929562330918692</v>
      </c>
      <c r="K5472" s="400">
        <f t="shared" si="350"/>
        <v>51.929562330918692</v>
      </c>
      <c r="L5472" s="400">
        <f t="shared" si="351"/>
        <v>51.929562330918692</v>
      </c>
      <c r="M5472" s="400">
        <f t="shared" si="352"/>
        <v>51.929562330918692</v>
      </c>
      <c r="N5472" s="400"/>
    </row>
    <row r="5473" spans="1:14" s="360" customFormat="1" hidden="1" outlineLevel="2" x14ac:dyDescent="0.35">
      <c r="A5473" s="403" t="s">
        <v>7791</v>
      </c>
      <c r="B5473" s="397">
        <v>43818</v>
      </c>
      <c r="C5473" s="398" t="s">
        <v>7755</v>
      </c>
      <c r="D5473" s="399" t="s">
        <v>7757</v>
      </c>
      <c r="E5473" s="399" t="s">
        <v>7793</v>
      </c>
      <c r="F5473" s="400">
        <v>78300</v>
      </c>
      <c r="G5473" s="401" t="s">
        <v>3800</v>
      </c>
      <c r="H5473" s="402">
        <v>31.157737398551216</v>
      </c>
      <c r="I5473" s="402"/>
      <c r="J5473" s="400">
        <f t="shared" si="349"/>
        <v>7.789434349637804</v>
      </c>
      <c r="K5473" s="400">
        <f t="shared" si="350"/>
        <v>7.789434349637804</v>
      </c>
      <c r="L5473" s="400">
        <f t="shared" si="351"/>
        <v>7.789434349637804</v>
      </c>
      <c r="M5473" s="400">
        <f t="shared" si="352"/>
        <v>7.789434349637804</v>
      </c>
      <c r="N5473" s="400"/>
    </row>
    <row r="5474" spans="1:14" s="360" customFormat="1" hidden="1" outlineLevel="2" x14ac:dyDescent="0.35">
      <c r="A5474" s="403" t="s">
        <v>7791</v>
      </c>
      <c r="B5474" s="397">
        <v>43818</v>
      </c>
      <c r="C5474" s="398" t="s">
        <v>7758</v>
      </c>
      <c r="D5474" s="399" t="s">
        <v>7759</v>
      </c>
      <c r="E5474" s="399" t="s">
        <v>4035</v>
      </c>
      <c r="F5474" s="400">
        <v>65250</v>
      </c>
      <c r="G5474" s="401" t="s">
        <v>3800</v>
      </c>
      <c r="H5474" s="402">
        <v>25.964781165459346</v>
      </c>
      <c r="I5474" s="402"/>
      <c r="J5474" s="400">
        <f t="shared" si="349"/>
        <v>6.4911952913648365</v>
      </c>
      <c r="K5474" s="400">
        <f t="shared" si="350"/>
        <v>6.4911952913648365</v>
      </c>
      <c r="L5474" s="400">
        <f t="shared" si="351"/>
        <v>6.4911952913648365</v>
      </c>
      <c r="M5474" s="400">
        <f t="shared" si="352"/>
        <v>6.4911952913648365</v>
      </c>
      <c r="N5474" s="400"/>
    </row>
    <row r="5475" spans="1:14" s="360" customFormat="1" hidden="1" outlineLevel="2" x14ac:dyDescent="0.35">
      <c r="A5475" s="403" t="s">
        <v>7791</v>
      </c>
      <c r="B5475" s="397">
        <v>43818</v>
      </c>
      <c r="C5475" s="398" t="s">
        <v>7755</v>
      </c>
      <c r="D5475" s="399" t="s">
        <v>7760</v>
      </c>
      <c r="E5475" s="399" t="s">
        <v>7793</v>
      </c>
      <c r="F5475" s="400">
        <v>26100</v>
      </c>
      <c r="G5475" s="401" t="s">
        <v>3800</v>
      </c>
      <c r="H5475" s="402">
        <v>10.385912466183738</v>
      </c>
      <c r="I5475" s="402"/>
      <c r="J5475" s="400">
        <f t="shared" si="349"/>
        <v>2.5964781165459345</v>
      </c>
      <c r="K5475" s="400">
        <f t="shared" si="350"/>
        <v>2.5964781165459345</v>
      </c>
      <c r="L5475" s="400">
        <f t="shared" si="351"/>
        <v>2.5964781165459345</v>
      </c>
      <c r="M5475" s="400">
        <f t="shared" si="352"/>
        <v>2.5964781165459345</v>
      </c>
      <c r="N5475" s="400"/>
    </row>
    <row r="5476" spans="1:14" s="360" customFormat="1" hidden="1" outlineLevel="2" x14ac:dyDescent="0.35">
      <c r="A5476" s="403" t="s">
        <v>7791</v>
      </c>
      <c r="B5476" s="397">
        <v>43818</v>
      </c>
      <c r="C5476" s="398" t="s">
        <v>7761</v>
      </c>
      <c r="D5476" s="399" t="s">
        <v>6130</v>
      </c>
      <c r="E5476" s="399" t="s">
        <v>4039</v>
      </c>
      <c r="F5476" s="400">
        <v>26100</v>
      </c>
      <c r="G5476" s="401" t="s">
        <v>3800</v>
      </c>
      <c r="H5476" s="402">
        <v>10.385912466183738</v>
      </c>
      <c r="I5476" s="402"/>
      <c r="J5476" s="400">
        <f t="shared" si="349"/>
        <v>2.5964781165459345</v>
      </c>
      <c r="K5476" s="400">
        <f t="shared" si="350"/>
        <v>2.5964781165459345</v>
      </c>
      <c r="L5476" s="400">
        <f t="shared" si="351"/>
        <v>2.5964781165459345</v>
      </c>
      <c r="M5476" s="400">
        <f t="shared" si="352"/>
        <v>2.5964781165459345</v>
      </c>
      <c r="N5476" s="400"/>
    </row>
    <row r="5477" spans="1:14" s="360" customFormat="1" hidden="1" outlineLevel="2" x14ac:dyDescent="0.35">
      <c r="A5477" s="403" t="s">
        <v>7791</v>
      </c>
      <c r="B5477" s="397">
        <v>43818</v>
      </c>
      <c r="C5477" s="398" t="s">
        <v>7762</v>
      </c>
      <c r="D5477" s="399" t="s">
        <v>7763</v>
      </c>
      <c r="E5477" s="399" t="s">
        <v>4042</v>
      </c>
      <c r="F5477" s="400">
        <v>6525</v>
      </c>
      <c r="G5477" s="401" t="s">
        <v>3800</v>
      </c>
      <c r="H5477" s="402">
        <v>2.5964781165459345</v>
      </c>
      <c r="I5477" s="402"/>
      <c r="J5477" s="400">
        <f t="shared" si="349"/>
        <v>0.64911952913648363</v>
      </c>
      <c r="K5477" s="400">
        <f t="shared" si="350"/>
        <v>0.64911952913648363</v>
      </c>
      <c r="L5477" s="400">
        <f t="shared" si="351"/>
        <v>0.64911952913648363</v>
      </c>
      <c r="M5477" s="400">
        <f t="shared" si="352"/>
        <v>0.64911952913648363</v>
      </c>
      <c r="N5477" s="400"/>
    </row>
    <row r="5478" spans="1:14" s="360" customFormat="1" hidden="1" outlineLevel="2" x14ac:dyDescent="0.35">
      <c r="A5478" s="403" t="s">
        <v>7791</v>
      </c>
      <c r="B5478" s="397">
        <v>43735</v>
      </c>
      <c r="C5478" s="398" t="s">
        <v>7725</v>
      </c>
      <c r="D5478" s="399" t="s">
        <v>7726</v>
      </c>
      <c r="E5478" s="399" t="s">
        <v>7792</v>
      </c>
      <c r="F5478" s="400">
        <v>522000</v>
      </c>
      <c r="G5478" s="401" t="s">
        <v>3800</v>
      </c>
      <c r="H5478" s="402">
        <v>207.71824932367477</v>
      </c>
      <c r="I5478" s="402"/>
      <c r="J5478" s="400">
        <f t="shared" si="349"/>
        <v>51.929562330918692</v>
      </c>
      <c r="K5478" s="400">
        <f t="shared" si="350"/>
        <v>51.929562330918692</v>
      </c>
      <c r="L5478" s="400">
        <f t="shared" si="351"/>
        <v>51.929562330918692</v>
      </c>
      <c r="M5478" s="400">
        <f t="shared" si="352"/>
        <v>51.929562330918692</v>
      </c>
      <c r="N5478" s="400"/>
    </row>
    <row r="5479" spans="1:14" s="360" customFormat="1" hidden="1" outlineLevel="2" x14ac:dyDescent="0.35">
      <c r="A5479" s="403" t="s">
        <v>7791</v>
      </c>
      <c r="B5479" s="397">
        <v>43735</v>
      </c>
      <c r="C5479" s="398" t="s">
        <v>7725</v>
      </c>
      <c r="D5479" s="399" t="s">
        <v>7727</v>
      </c>
      <c r="E5479" s="399" t="s">
        <v>7792</v>
      </c>
      <c r="F5479" s="400">
        <v>78300</v>
      </c>
      <c r="G5479" s="401" t="s">
        <v>3800</v>
      </c>
      <c r="H5479" s="402">
        <v>31.157737398551216</v>
      </c>
      <c r="I5479" s="402"/>
      <c r="J5479" s="400">
        <f t="shared" si="349"/>
        <v>7.789434349637804</v>
      </c>
      <c r="K5479" s="400">
        <f t="shared" si="350"/>
        <v>7.789434349637804</v>
      </c>
      <c r="L5479" s="400">
        <f t="shared" si="351"/>
        <v>7.789434349637804</v>
      </c>
      <c r="M5479" s="400">
        <f t="shared" si="352"/>
        <v>7.789434349637804</v>
      </c>
      <c r="N5479" s="400"/>
    </row>
    <row r="5480" spans="1:14" s="360" customFormat="1" hidden="1" outlineLevel="2" x14ac:dyDescent="0.35">
      <c r="A5480" s="403" t="s">
        <v>7791</v>
      </c>
      <c r="B5480" s="397">
        <v>43736</v>
      </c>
      <c r="C5480" s="398" t="s">
        <v>7728</v>
      </c>
      <c r="D5480" s="399" t="s">
        <v>7729</v>
      </c>
      <c r="E5480" s="399" t="s">
        <v>4035</v>
      </c>
      <c r="F5480" s="400">
        <v>65250</v>
      </c>
      <c r="G5480" s="401" t="s">
        <v>3800</v>
      </c>
      <c r="H5480" s="402">
        <v>25.964781165459346</v>
      </c>
      <c r="I5480" s="402"/>
      <c r="J5480" s="400">
        <f t="shared" si="349"/>
        <v>6.4911952913648365</v>
      </c>
      <c r="K5480" s="400">
        <f t="shared" si="350"/>
        <v>6.4911952913648365</v>
      </c>
      <c r="L5480" s="400">
        <f t="shared" si="351"/>
        <v>6.4911952913648365</v>
      </c>
      <c r="M5480" s="400">
        <f t="shared" si="352"/>
        <v>6.4911952913648365</v>
      </c>
      <c r="N5480" s="400"/>
    </row>
    <row r="5481" spans="1:14" s="360" customFormat="1" hidden="1" outlineLevel="2" x14ac:dyDescent="0.35">
      <c r="A5481" s="403" t="s">
        <v>7791</v>
      </c>
      <c r="B5481" s="397">
        <v>43735</v>
      </c>
      <c r="C5481" s="398" t="s">
        <v>7725</v>
      </c>
      <c r="D5481" s="399" t="s">
        <v>7730</v>
      </c>
      <c r="E5481" s="399" t="s">
        <v>7792</v>
      </c>
      <c r="F5481" s="400">
        <v>26100</v>
      </c>
      <c r="G5481" s="401" t="s">
        <v>3800</v>
      </c>
      <c r="H5481" s="402">
        <v>10.385912466183738</v>
      </c>
      <c r="I5481" s="402"/>
      <c r="J5481" s="400">
        <f t="shared" si="349"/>
        <v>2.5964781165459345</v>
      </c>
      <c r="K5481" s="400">
        <f t="shared" si="350"/>
        <v>2.5964781165459345</v>
      </c>
      <c r="L5481" s="400">
        <f t="shared" si="351"/>
        <v>2.5964781165459345</v>
      </c>
      <c r="M5481" s="400">
        <f t="shared" si="352"/>
        <v>2.5964781165459345</v>
      </c>
      <c r="N5481" s="400"/>
    </row>
    <row r="5482" spans="1:14" s="360" customFormat="1" hidden="1" outlineLevel="2" x14ac:dyDescent="0.35">
      <c r="A5482" s="403" t="s">
        <v>7791</v>
      </c>
      <c r="B5482" s="397">
        <v>43736</v>
      </c>
      <c r="C5482" s="398" t="s">
        <v>7731</v>
      </c>
      <c r="D5482" s="399" t="s">
        <v>7732</v>
      </c>
      <c r="E5482" s="399" t="s">
        <v>4039</v>
      </c>
      <c r="F5482" s="400">
        <v>26100</v>
      </c>
      <c r="G5482" s="401" t="s">
        <v>3800</v>
      </c>
      <c r="H5482" s="402">
        <v>10.385912466183738</v>
      </c>
      <c r="I5482" s="402"/>
      <c r="J5482" s="400">
        <f t="shared" si="349"/>
        <v>2.5964781165459345</v>
      </c>
      <c r="K5482" s="400">
        <f t="shared" si="350"/>
        <v>2.5964781165459345</v>
      </c>
      <c r="L5482" s="400">
        <f t="shared" si="351"/>
        <v>2.5964781165459345</v>
      </c>
      <c r="M5482" s="400">
        <f t="shared" si="352"/>
        <v>2.5964781165459345</v>
      </c>
      <c r="N5482" s="400"/>
    </row>
    <row r="5483" spans="1:14" s="360" customFormat="1" hidden="1" outlineLevel="2" x14ac:dyDescent="0.35">
      <c r="A5483" s="403" t="s">
        <v>7791</v>
      </c>
      <c r="B5483" s="397">
        <v>43736</v>
      </c>
      <c r="C5483" s="398" t="s">
        <v>7733</v>
      </c>
      <c r="D5483" s="399" t="s">
        <v>7734</v>
      </c>
      <c r="E5483" s="399" t="s">
        <v>4042</v>
      </c>
      <c r="F5483" s="400">
        <v>6525</v>
      </c>
      <c r="G5483" s="401" t="s">
        <v>3800</v>
      </c>
      <c r="H5483" s="402">
        <v>2.5964781165459345</v>
      </c>
      <c r="I5483" s="402"/>
      <c r="J5483" s="400">
        <f t="shared" si="349"/>
        <v>0.64911952913648363</v>
      </c>
      <c r="K5483" s="400">
        <f t="shared" si="350"/>
        <v>0.64911952913648363</v>
      </c>
      <c r="L5483" s="400">
        <f t="shared" si="351"/>
        <v>0.64911952913648363</v>
      </c>
      <c r="M5483" s="400">
        <f t="shared" si="352"/>
        <v>0.64911952913648363</v>
      </c>
      <c r="N5483" s="400"/>
    </row>
    <row r="5484" spans="1:14" s="360" customFormat="1" outlineLevel="1" collapsed="1" x14ac:dyDescent="0.35">
      <c r="A5484" s="396" t="s">
        <v>7794</v>
      </c>
      <c r="B5484" s="397"/>
      <c r="C5484" s="398"/>
      <c r="D5484" s="399"/>
      <c r="E5484" s="399"/>
      <c r="F5484" s="400"/>
      <c r="G5484" s="401"/>
      <c r="H5484" s="402">
        <f>SUBTOTAL(9,H5460:H5483)</f>
        <v>1152.8362837463951</v>
      </c>
      <c r="I5484" s="402"/>
      <c r="J5484" s="402">
        <f>SUBTOTAL(9,J5460:J5483)</f>
        <v>288.20907093659878</v>
      </c>
      <c r="K5484" s="402">
        <f>SUBTOTAL(9,K5460:K5483)</f>
        <v>288.20907093659878</v>
      </c>
      <c r="L5484" s="402">
        <f>SUBTOTAL(9,L5460:L5483)</f>
        <v>288.20907093659878</v>
      </c>
      <c r="M5484" s="402">
        <f>SUBTOTAL(9,M5460:M5483)</f>
        <v>288.20907093659878</v>
      </c>
      <c r="N5484" s="400">
        <f>SUBTOTAL(9,N5478:N5483)</f>
        <v>0</v>
      </c>
    </row>
    <row r="5485" spans="1:14" s="360" customFormat="1" hidden="1" outlineLevel="2" x14ac:dyDescent="0.35">
      <c r="A5485" s="403" t="s">
        <v>109</v>
      </c>
      <c r="B5485" s="397">
        <v>44540</v>
      </c>
      <c r="C5485" s="398" t="s">
        <v>7795</v>
      </c>
      <c r="D5485" s="399" t="s">
        <v>7796</v>
      </c>
      <c r="E5485" s="399" t="s">
        <v>7797</v>
      </c>
      <c r="F5485" s="400">
        <v>2325000</v>
      </c>
      <c r="G5485" s="401" t="s">
        <v>3800</v>
      </c>
      <c r="H5485" s="402">
        <v>865.114909917918</v>
      </c>
      <c r="I5485" s="402"/>
      <c r="J5485" s="400">
        <v>216.2787274794795</v>
      </c>
      <c r="K5485" s="400">
        <v>216.2787274794795</v>
      </c>
      <c r="L5485" s="400">
        <v>216.2787274794795</v>
      </c>
      <c r="M5485" s="400">
        <v>216.2787274794795</v>
      </c>
      <c r="N5485" s="400"/>
    </row>
    <row r="5486" spans="1:14" s="360" customFormat="1" hidden="1" outlineLevel="2" x14ac:dyDescent="0.35">
      <c r="A5486" s="403" t="s">
        <v>109</v>
      </c>
      <c r="B5486" s="397">
        <v>44586</v>
      </c>
      <c r="C5486" s="398" t="s">
        <v>7798</v>
      </c>
      <c r="D5486" s="399" t="s">
        <v>7799</v>
      </c>
      <c r="E5486" s="399" t="s">
        <v>7800</v>
      </c>
      <c r="F5486" s="400">
        <v>80000</v>
      </c>
      <c r="G5486" s="401" t="s">
        <v>3800</v>
      </c>
      <c r="H5486" s="402">
        <v>29.767394749863843</v>
      </c>
      <c r="I5486" s="402"/>
      <c r="J5486" s="400">
        <v>7.4418486874659608</v>
      </c>
      <c r="K5486" s="400">
        <v>7.4418486874659608</v>
      </c>
      <c r="L5486" s="400">
        <v>7.4418486874659608</v>
      </c>
      <c r="M5486" s="400">
        <v>7.4418486874659608</v>
      </c>
      <c r="N5486" s="400"/>
    </row>
    <row r="5487" spans="1:14" s="360" customFormat="1" hidden="1" outlineLevel="2" x14ac:dyDescent="0.35">
      <c r="A5487" s="403" t="s">
        <v>109</v>
      </c>
      <c r="B5487" s="397">
        <v>44592</v>
      </c>
      <c r="C5487" s="398" t="s">
        <v>7801</v>
      </c>
      <c r="D5487" s="399" t="s">
        <v>7802</v>
      </c>
      <c r="E5487" s="399" t="s">
        <v>7803</v>
      </c>
      <c r="F5487" s="400">
        <v>10000000</v>
      </c>
      <c r="G5487" s="401" t="s">
        <v>3800</v>
      </c>
      <c r="H5487" s="402">
        <v>3720.9243437329806</v>
      </c>
      <c r="I5487" s="402"/>
      <c r="J5487" s="400">
        <v>930.23108593324514</v>
      </c>
      <c r="K5487" s="400">
        <v>930.23108593324514</v>
      </c>
      <c r="L5487" s="400">
        <v>930.23108593324514</v>
      </c>
      <c r="M5487" s="400">
        <v>930.23108593324514</v>
      </c>
      <c r="N5487" s="400"/>
    </row>
    <row r="5488" spans="1:14" s="360" customFormat="1" outlineLevel="1" collapsed="1" x14ac:dyDescent="0.35">
      <c r="A5488" s="396" t="s">
        <v>3752</v>
      </c>
      <c r="B5488" s="397"/>
      <c r="C5488" s="398"/>
      <c r="D5488" s="399"/>
      <c r="E5488" s="399"/>
      <c r="F5488" s="400"/>
      <c r="G5488" s="401"/>
      <c r="H5488" s="402">
        <f t="shared" ref="H5488:N5488" si="353">SUBTOTAL(9,H5485:H5487)</f>
        <v>4615.8066484007622</v>
      </c>
      <c r="I5488" s="402"/>
      <c r="J5488" s="400">
        <f t="shared" si="353"/>
        <v>1153.9516621001906</v>
      </c>
      <c r="K5488" s="400">
        <f t="shared" si="353"/>
        <v>1153.9516621001906</v>
      </c>
      <c r="L5488" s="400">
        <f t="shared" si="353"/>
        <v>1153.9516621001906</v>
      </c>
      <c r="M5488" s="400">
        <f t="shared" si="353"/>
        <v>1153.9516621001906</v>
      </c>
      <c r="N5488" s="400">
        <f t="shared" si="353"/>
        <v>0</v>
      </c>
    </row>
    <row r="5489" spans="1:14" s="360" customFormat="1" hidden="1" outlineLevel="2" x14ac:dyDescent="0.35">
      <c r="A5489" s="403" t="s">
        <v>7804</v>
      </c>
      <c r="B5489" s="397">
        <v>43833</v>
      </c>
      <c r="C5489" s="398" t="s">
        <v>4367</v>
      </c>
      <c r="D5489" s="399" t="s">
        <v>4368</v>
      </c>
      <c r="E5489" s="399" t="s">
        <v>4031</v>
      </c>
      <c r="F5489" s="400">
        <v>522000</v>
      </c>
      <c r="G5489" s="401" t="s">
        <v>3800</v>
      </c>
      <c r="H5489" s="402">
        <v>200.42533258782399</v>
      </c>
      <c r="I5489" s="402"/>
      <c r="J5489" s="400">
        <v>50.106333146955997</v>
      </c>
      <c r="K5489" s="400">
        <v>50.106333146955997</v>
      </c>
      <c r="L5489" s="400">
        <v>50.106333146955997</v>
      </c>
      <c r="M5489" s="400">
        <v>50.106333146955997</v>
      </c>
      <c r="N5489" s="400"/>
    </row>
    <row r="5490" spans="1:14" s="360" customFormat="1" hidden="1" outlineLevel="2" x14ac:dyDescent="0.35">
      <c r="A5490" s="403" t="s">
        <v>7804</v>
      </c>
      <c r="B5490" s="397">
        <v>43833</v>
      </c>
      <c r="C5490" s="398" t="s">
        <v>4367</v>
      </c>
      <c r="D5490" s="399" t="s">
        <v>4370</v>
      </c>
      <c r="E5490" s="399" t="s">
        <v>4031</v>
      </c>
      <c r="F5490" s="400">
        <v>78300</v>
      </c>
      <c r="G5490" s="401" t="s">
        <v>3800</v>
      </c>
      <c r="H5490" s="402">
        <v>30.063799888173598</v>
      </c>
      <c r="I5490" s="402"/>
      <c r="J5490" s="400">
        <v>7.5159499720433995</v>
      </c>
      <c r="K5490" s="400">
        <v>7.5159499720433995</v>
      </c>
      <c r="L5490" s="400">
        <v>7.5159499720433995</v>
      </c>
      <c r="M5490" s="400">
        <v>7.5159499720433995</v>
      </c>
      <c r="N5490" s="400"/>
    </row>
    <row r="5491" spans="1:14" s="360" customFormat="1" hidden="1" outlineLevel="2" x14ac:dyDescent="0.35">
      <c r="A5491" s="403" t="s">
        <v>7804</v>
      </c>
      <c r="B5491" s="397">
        <v>43833</v>
      </c>
      <c r="C5491" s="398" t="s">
        <v>4371</v>
      </c>
      <c r="D5491" s="399" t="s">
        <v>4372</v>
      </c>
      <c r="E5491" s="399" t="s">
        <v>4035</v>
      </c>
      <c r="F5491" s="400">
        <v>65250</v>
      </c>
      <c r="G5491" s="401" t="s">
        <v>3800</v>
      </c>
      <c r="H5491" s="402">
        <v>25.053166573477998</v>
      </c>
      <c r="I5491" s="402"/>
      <c r="J5491" s="400">
        <v>6.2632916433694996</v>
      </c>
      <c r="K5491" s="400">
        <v>6.2632916433694996</v>
      </c>
      <c r="L5491" s="400">
        <v>6.2632916433694996</v>
      </c>
      <c r="M5491" s="400">
        <v>6.2632916433694996</v>
      </c>
      <c r="N5491" s="400"/>
    </row>
    <row r="5492" spans="1:14" s="360" customFormat="1" hidden="1" outlineLevel="2" x14ac:dyDescent="0.35">
      <c r="A5492" s="403" t="s">
        <v>7804</v>
      </c>
      <c r="B5492" s="397">
        <v>43833</v>
      </c>
      <c r="C5492" s="398" t="s">
        <v>4367</v>
      </c>
      <c r="D5492" s="399" t="s">
        <v>4373</v>
      </c>
      <c r="E5492" s="399" t="s">
        <v>4031</v>
      </c>
      <c r="F5492" s="400">
        <v>26100</v>
      </c>
      <c r="G5492" s="401" t="s">
        <v>3800</v>
      </c>
      <c r="H5492" s="402">
        <v>10.021266629391199</v>
      </c>
      <c r="I5492" s="402"/>
      <c r="J5492" s="400">
        <v>2.5053166573477998</v>
      </c>
      <c r="K5492" s="400">
        <v>2.5053166573477998</v>
      </c>
      <c r="L5492" s="400">
        <v>2.5053166573477998</v>
      </c>
      <c r="M5492" s="400">
        <v>2.5053166573477998</v>
      </c>
      <c r="N5492" s="400"/>
    </row>
    <row r="5493" spans="1:14" s="360" customFormat="1" hidden="1" outlineLevel="2" x14ac:dyDescent="0.35">
      <c r="A5493" s="403" t="s">
        <v>7804</v>
      </c>
      <c r="B5493" s="397">
        <v>43833</v>
      </c>
      <c r="C5493" s="398" t="s">
        <v>4374</v>
      </c>
      <c r="D5493" s="399" t="s">
        <v>6130</v>
      </c>
      <c r="E5493" s="399" t="s">
        <v>4039</v>
      </c>
      <c r="F5493" s="400">
        <v>26100</v>
      </c>
      <c r="G5493" s="401" t="s">
        <v>3800</v>
      </c>
      <c r="H5493" s="402">
        <v>10.021266629391199</v>
      </c>
      <c r="I5493" s="402"/>
      <c r="J5493" s="400">
        <v>2.5053166573477998</v>
      </c>
      <c r="K5493" s="400">
        <v>2.5053166573477998</v>
      </c>
      <c r="L5493" s="400">
        <v>2.5053166573477998</v>
      </c>
      <c r="M5493" s="400">
        <v>2.5053166573477998</v>
      </c>
      <c r="N5493" s="400"/>
    </row>
    <row r="5494" spans="1:14" s="360" customFormat="1" hidden="1" outlineLevel="2" x14ac:dyDescent="0.35">
      <c r="A5494" s="403" t="s">
        <v>7804</v>
      </c>
      <c r="B5494" s="397">
        <v>43833</v>
      </c>
      <c r="C5494" s="398" t="s">
        <v>4377</v>
      </c>
      <c r="D5494" s="399" t="s">
        <v>4378</v>
      </c>
      <c r="E5494" s="399" t="s">
        <v>4042</v>
      </c>
      <c r="F5494" s="400">
        <v>6525</v>
      </c>
      <c r="G5494" s="401" t="s">
        <v>3800</v>
      </c>
      <c r="H5494" s="402">
        <v>2.5053166573477998</v>
      </c>
      <c r="I5494" s="402"/>
      <c r="J5494" s="400">
        <v>0.62632916433694996</v>
      </c>
      <c r="K5494" s="400">
        <v>0.62632916433694996</v>
      </c>
      <c r="L5494" s="400">
        <v>0.62632916433694996</v>
      </c>
      <c r="M5494" s="400">
        <v>0.62632916433694996</v>
      </c>
      <c r="N5494" s="400"/>
    </row>
    <row r="5495" spans="1:14" s="360" customFormat="1" hidden="1" outlineLevel="2" x14ac:dyDescent="0.35">
      <c r="A5495" s="403" t="s">
        <v>7804</v>
      </c>
      <c r="B5495" s="397">
        <v>43890</v>
      </c>
      <c r="C5495" s="398" t="s">
        <v>4379</v>
      </c>
      <c r="D5495" s="399" t="s">
        <v>4380</v>
      </c>
      <c r="E5495" s="399" t="s">
        <v>4031</v>
      </c>
      <c r="F5495" s="400">
        <v>522000</v>
      </c>
      <c r="G5495" s="401" t="s">
        <v>3800</v>
      </c>
      <c r="H5495" s="402">
        <v>200.42533258782399</v>
      </c>
      <c r="I5495" s="402"/>
      <c r="J5495" s="400">
        <v>50.106333146955997</v>
      </c>
      <c r="K5495" s="400">
        <v>50.106333146955997</v>
      </c>
      <c r="L5495" s="400">
        <v>50.106333146955997</v>
      </c>
      <c r="M5495" s="400">
        <v>50.106333146955997</v>
      </c>
      <c r="N5495" s="400"/>
    </row>
    <row r="5496" spans="1:14" s="360" customFormat="1" hidden="1" outlineLevel="2" x14ac:dyDescent="0.35">
      <c r="A5496" s="403" t="s">
        <v>7804</v>
      </c>
      <c r="B5496" s="397">
        <v>43890</v>
      </c>
      <c r="C5496" s="398" t="s">
        <v>4379</v>
      </c>
      <c r="D5496" s="399" t="s">
        <v>4381</v>
      </c>
      <c r="E5496" s="399" t="s">
        <v>4031</v>
      </c>
      <c r="F5496" s="400">
        <v>78300</v>
      </c>
      <c r="G5496" s="401" t="s">
        <v>3800</v>
      </c>
      <c r="H5496" s="402">
        <v>30.063799888173598</v>
      </c>
      <c r="I5496" s="402"/>
      <c r="J5496" s="400">
        <v>7.5159499720433995</v>
      </c>
      <c r="K5496" s="400">
        <v>7.5159499720433995</v>
      </c>
      <c r="L5496" s="400">
        <v>7.5159499720433995</v>
      </c>
      <c r="M5496" s="400">
        <v>7.5159499720433995</v>
      </c>
      <c r="N5496" s="400"/>
    </row>
    <row r="5497" spans="1:14" s="360" customFormat="1" hidden="1" outlineLevel="2" x14ac:dyDescent="0.35">
      <c r="A5497" s="403" t="s">
        <v>7804</v>
      </c>
      <c r="B5497" s="397">
        <v>43890</v>
      </c>
      <c r="C5497" s="398" t="s">
        <v>4382</v>
      </c>
      <c r="D5497" s="399" t="s">
        <v>4383</v>
      </c>
      <c r="E5497" s="399" t="s">
        <v>4035</v>
      </c>
      <c r="F5497" s="400">
        <v>65250</v>
      </c>
      <c r="G5497" s="401" t="s">
        <v>3800</v>
      </c>
      <c r="H5497" s="402">
        <v>25.053166573477998</v>
      </c>
      <c r="I5497" s="402"/>
      <c r="J5497" s="400">
        <v>6.2632916433694996</v>
      </c>
      <c r="K5497" s="400">
        <v>6.2632916433694996</v>
      </c>
      <c r="L5497" s="400">
        <v>6.2632916433694996</v>
      </c>
      <c r="M5497" s="400">
        <v>6.2632916433694996</v>
      </c>
      <c r="N5497" s="400"/>
    </row>
    <row r="5498" spans="1:14" s="360" customFormat="1" hidden="1" outlineLevel="2" x14ac:dyDescent="0.35">
      <c r="A5498" s="403" t="s">
        <v>7804</v>
      </c>
      <c r="B5498" s="397">
        <v>43890</v>
      </c>
      <c r="C5498" s="398" t="s">
        <v>4379</v>
      </c>
      <c r="D5498" s="399" t="s">
        <v>4384</v>
      </c>
      <c r="E5498" s="399" t="s">
        <v>4031</v>
      </c>
      <c r="F5498" s="400">
        <v>26100</v>
      </c>
      <c r="G5498" s="401" t="s">
        <v>3800</v>
      </c>
      <c r="H5498" s="402">
        <v>10.021266629391199</v>
      </c>
      <c r="I5498" s="402"/>
      <c r="J5498" s="400">
        <v>2.5053166573477998</v>
      </c>
      <c r="K5498" s="400">
        <v>2.5053166573477998</v>
      </c>
      <c r="L5498" s="400">
        <v>2.5053166573477998</v>
      </c>
      <c r="M5498" s="400">
        <v>2.5053166573477998</v>
      </c>
      <c r="N5498" s="400"/>
    </row>
    <row r="5499" spans="1:14" s="360" customFormat="1" hidden="1" outlineLevel="2" x14ac:dyDescent="0.35">
      <c r="A5499" s="403" t="s">
        <v>7804</v>
      </c>
      <c r="B5499" s="397">
        <v>43890</v>
      </c>
      <c r="C5499" s="398" t="s">
        <v>4385</v>
      </c>
      <c r="D5499" s="399" t="s">
        <v>4386</v>
      </c>
      <c r="E5499" s="399" t="s">
        <v>4039</v>
      </c>
      <c r="F5499" s="400">
        <v>26100</v>
      </c>
      <c r="G5499" s="401" t="s">
        <v>3800</v>
      </c>
      <c r="H5499" s="402">
        <v>10.021266629391199</v>
      </c>
      <c r="I5499" s="402"/>
      <c r="J5499" s="400">
        <v>2.5053166573477998</v>
      </c>
      <c r="K5499" s="400">
        <v>2.5053166573477998</v>
      </c>
      <c r="L5499" s="400">
        <v>2.5053166573477998</v>
      </c>
      <c r="M5499" s="400">
        <v>2.5053166573477998</v>
      </c>
      <c r="N5499" s="400"/>
    </row>
    <row r="5500" spans="1:14" s="360" customFormat="1" hidden="1" outlineLevel="2" x14ac:dyDescent="0.35">
      <c r="A5500" s="403" t="s">
        <v>7804</v>
      </c>
      <c r="B5500" s="397">
        <v>43890</v>
      </c>
      <c r="C5500" s="398" t="s">
        <v>4387</v>
      </c>
      <c r="D5500" s="399" t="s">
        <v>4388</v>
      </c>
      <c r="E5500" s="399" t="s">
        <v>4042</v>
      </c>
      <c r="F5500" s="400">
        <v>6525</v>
      </c>
      <c r="G5500" s="401" t="s">
        <v>3800</v>
      </c>
      <c r="H5500" s="402">
        <v>2.5053166573477998</v>
      </c>
      <c r="I5500" s="402"/>
      <c r="J5500" s="400">
        <v>0.62632916433694996</v>
      </c>
      <c r="K5500" s="400">
        <v>0.62632916433694996</v>
      </c>
      <c r="L5500" s="400">
        <v>0.62632916433694996</v>
      </c>
      <c r="M5500" s="400">
        <v>0.62632916433694996</v>
      </c>
      <c r="N5500" s="400"/>
    </row>
    <row r="5501" spans="1:14" s="360" customFormat="1" hidden="1" outlineLevel="2" x14ac:dyDescent="0.35">
      <c r="A5501" s="403" t="s">
        <v>7804</v>
      </c>
      <c r="B5501" s="397">
        <v>43950</v>
      </c>
      <c r="C5501" s="398" t="s">
        <v>4266</v>
      </c>
      <c r="D5501" s="399" t="s">
        <v>4267</v>
      </c>
      <c r="E5501" s="399" t="s">
        <v>4794</v>
      </c>
      <c r="F5501" s="400">
        <v>2500000</v>
      </c>
      <c r="G5501" s="401" t="s">
        <v>3800</v>
      </c>
      <c r="H5501" s="402">
        <v>959.89143959685828</v>
      </c>
      <c r="I5501" s="402"/>
      <c r="J5501" s="400">
        <v>239.97285989921457</v>
      </c>
      <c r="K5501" s="400">
        <v>239.97285989921457</v>
      </c>
      <c r="L5501" s="400">
        <v>239.97285989921457</v>
      </c>
      <c r="M5501" s="400">
        <v>239.97285989921457</v>
      </c>
      <c r="N5501" s="400"/>
    </row>
    <row r="5502" spans="1:14" s="360" customFormat="1" hidden="1" outlineLevel="2" x14ac:dyDescent="0.35">
      <c r="A5502" s="403" t="s">
        <v>7804</v>
      </c>
      <c r="B5502" s="397">
        <v>43950</v>
      </c>
      <c r="C5502" s="398" t="s">
        <v>4266</v>
      </c>
      <c r="D5502" s="399" t="s">
        <v>4269</v>
      </c>
      <c r="E5502" s="399" t="s">
        <v>4794</v>
      </c>
      <c r="F5502" s="400">
        <v>375000</v>
      </c>
      <c r="G5502" s="401" t="s">
        <v>3800</v>
      </c>
      <c r="H5502" s="402">
        <v>143.98371593952874</v>
      </c>
      <c r="I5502" s="402"/>
      <c r="J5502" s="400">
        <v>35.995928984882184</v>
      </c>
      <c r="K5502" s="400">
        <v>35.995928984882184</v>
      </c>
      <c r="L5502" s="400">
        <v>35.995928984882184</v>
      </c>
      <c r="M5502" s="400">
        <v>35.995928984882184</v>
      </c>
      <c r="N5502" s="400"/>
    </row>
    <row r="5503" spans="1:14" s="360" customFormat="1" hidden="1" outlineLevel="2" x14ac:dyDescent="0.35">
      <c r="A5503" s="403" t="s">
        <v>7804</v>
      </c>
      <c r="B5503" s="397">
        <v>43950</v>
      </c>
      <c r="C5503" s="398" t="s">
        <v>4270</v>
      </c>
      <c r="D5503" s="399" t="s">
        <v>4271</v>
      </c>
      <c r="E5503" s="399" t="s">
        <v>4272</v>
      </c>
      <c r="F5503" s="400">
        <v>312500</v>
      </c>
      <c r="G5503" s="401" t="s">
        <v>3800</v>
      </c>
      <c r="H5503" s="402">
        <v>119.98642994960728</v>
      </c>
      <c r="I5503" s="402"/>
      <c r="J5503" s="400">
        <v>29.996607487401821</v>
      </c>
      <c r="K5503" s="400">
        <v>29.996607487401821</v>
      </c>
      <c r="L5503" s="400">
        <v>29.996607487401821</v>
      </c>
      <c r="M5503" s="400">
        <v>29.996607487401821</v>
      </c>
      <c r="N5503" s="400"/>
    </row>
    <row r="5504" spans="1:14" s="360" customFormat="1" hidden="1" outlineLevel="2" x14ac:dyDescent="0.35">
      <c r="A5504" s="403" t="s">
        <v>7804</v>
      </c>
      <c r="B5504" s="397">
        <v>43950</v>
      </c>
      <c r="C5504" s="398" t="s">
        <v>4266</v>
      </c>
      <c r="D5504" s="399" t="s">
        <v>4273</v>
      </c>
      <c r="E5504" s="399" t="s">
        <v>4794</v>
      </c>
      <c r="F5504" s="400">
        <v>125000</v>
      </c>
      <c r="G5504" s="401" t="s">
        <v>3800</v>
      </c>
      <c r="H5504" s="402">
        <v>47.99457197984291</v>
      </c>
      <c r="I5504" s="402"/>
      <c r="J5504" s="400">
        <v>11.998642994960727</v>
      </c>
      <c r="K5504" s="400">
        <v>11.998642994960727</v>
      </c>
      <c r="L5504" s="400">
        <v>11.998642994960727</v>
      </c>
      <c r="M5504" s="400">
        <v>11.998642994960727</v>
      </c>
      <c r="N5504" s="400"/>
    </row>
    <row r="5505" spans="1:14" s="360" customFormat="1" hidden="1" outlineLevel="2" x14ac:dyDescent="0.35">
      <c r="A5505" s="403" t="s">
        <v>7804</v>
      </c>
      <c r="B5505" s="397">
        <v>43950</v>
      </c>
      <c r="C5505" s="398" t="s">
        <v>4274</v>
      </c>
      <c r="D5505" s="399" t="s">
        <v>4275</v>
      </c>
      <c r="E5505" s="399" t="s">
        <v>4276</v>
      </c>
      <c r="F5505" s="400">
        <v>125000</v>
      </c>
      <c r="G5505" s="401" t="s">
        <v>3800</v>
      </c>
      <c r="H5505" s="402">
        <v>47.99457197984291</v>
      </c>
      <c r="I5505" s="402"/>
      <c r="J5505" s="400">
        <v>11.998642994960727</v>
      </c>
      <c r="K5505" s="400">
        <v>11.998642994960727</v>
      </c>
      <c r="L5505" s="400">
        <v>11.998642994960727</v>
      </c>
      <c r="M5505" s="400">
        <v>11.998642994960727</v>
      </c>
      <c r="N5505" s="400"/>
    </row>
    <row r="5506" spans="1:14" s="360" customFormat="1" hidden="1" outlineLevel="2" x14ac:dyDescent="0.35">
      <c r="A5506" s="403" t="s">
        <v>7804</v>
      </c>
      <c r="B5506" s="397">
        <v>43950</v>
      </c>
      <c r="C5506" s="398" t="s">
        <v>4277</v>
      </c>
      <c r="D5506" s="399" t="s">
        <v>4278</v>
      </c>
      <c r="E5506" s="399" t="s">
        <v>4042</v>
      </c>
      <c r="F5506" s="400">
        <v>31250</v>
      </c>
      <c r="G5506" s="401" t="s">
        <v>3800</v>
      </c>
      <c r="H5506" s="402">
        <v>11.998642994960727</v>
      </c>
      <c r="I5506" s="402"/>
      <c r="J5506" s="400">
        <v>2.9996607487401818</v>
      </c>
      <c r="K5506" s="400">
        <v>2.9996607487401818</v>
      </c>
      <c r="L5506" s="400">
        <v>2.9996607487401818</v>
      </c>
      <c r="M5506" s="400">
        <v>2.9996607487401818</v>
      </c>
      <c r="N5506" s="400"/>
    </row>
    <row r="5507" spans="1:14" s="360" customFormat="1" hidden="1" outlineLevel="2" x14ac:dyDescent="0.35">
      <c r="A5507" s="403" t="s">
        <v>7804</v>
      </c>
      <c r="B5507" s="397">
        <v>43959</v>
      </c>
      <c r="C5507" s="398" t="s">
        <v>4253</v>
      </c>
      <c r="D5507" s="399" t="s">
        <v>4279</v>
      </c>
      <c r="E5507" s="399" t="s">
        <v>4794</v>
      </c>
      <c r="F5507" s="400">
        <v>2500000</v>
      </c>
      <c r="G5507" s="401" t="s">
        <v>3800</v>
      </c>
      <c r="H5507" s="402">
        <v>959.89143959685828</v>
      </c>
      <c r="I5507" s="402"/>
      <c r="J5507" s="400">
        <v>239.97285989921457</v>
      </c>
      <c r="K5507" s="400">
        <v>239.97285989921457</v>
      </c>
      <c r="L5507" s="400">
        <v>239.97285989921457</v>
      </c>
      <c r="M5507" s="400">
        <v>239.97285989921457</v>
      </c>
      <c r="N5507" s="400"/>
    </row>
    <row r="5508" spans="1:14" s="360" customFormat="1" hidden="1" outlineLevel="2" x14ac:dyDescent="0.35">
      <c r="A5508" s="403" t="s">
        <v>7804</v>
      </c>
      <c r="B5508" s="397">
        <v>43959</v>
      </c>
      <c r="C5508" s="398" t="s">
        <v>4253</v>
      </c>
      <c r="D5508" s="399" t="s">
        <v>4280</v>
      </c>
      <c r="E5508" s="399" t="s">
        <v>4794</v>
      </c>
      <c r="F5508" s="400">
        <v>375000</v>
      </c>
      <c r="G5508" s="401" t="s">
        <v>3800</v>
      </c>
      <c r="H5508" s="402">
        <v>143.98371593952874</v>
      </c>
      <c r="I5508" s="402"/>
      <c r="J5508" s="400">
        <v>35.995928984882184</v>
      </c>
      <c r="K5508" s="400">
        <v>35.995928984882184</v>
      </c>
      <c r="L5508" s="400">
        <v>35.995928984882184</v>
      </c>
      <c r="M5508" s="400">
        <v>35.995928984882184</v>
      </c>
      <c r="N5508" s="400"/>
    </row>
    <row r="5509" spans="1:14" s="360" customFormat="1" hidden="1" outlineLevel="2" x14ac:dyDescent="0.35">
      <c r="A5509" s="403" t="s">
        <v>7804</v>
      </c>
      <c r="B5509" s="397">
        <v>43963</v>
      </c>
      <c r="C5509" s="398" t="s">
        <v>4281</v>
      </c>
      <c r="D5509" s="399" t="s">
        <v>4282</v>
      </c>
      <c r="E5509" s="399" t="s">
        <v>4272</v>
      </c>
      <c r="F5509" s="400">
        <v>312500</v>
      </c>
      <c r="G5509" s="401" t="s">
        <v>3800</v>
      </c>
      <c r="H5509" s="402">
        <v>119.98642994960728</v>
      </c>
      <c r="I5509" s="402"/>
      <c r="J5509" s="400">
        <v>29.996607487401821</v>
      </c>
      <c r="K5509" s="400">
        <v>29.996607487401821</v>
      </c>
      <c r="L5509" s="400">
        <v>29.996607487401821</v>
      </c>
      <c r="M5509" s="400">
        <v>29.996607487401821</v>
      </c>
      <c r="N5509" s="400"/>
    </row>
    <row r="5510" spans="1:14" s="360" customFormat="1" hidden="1" outlineLevel="2" x14ac:dyDescent="0.35">
      <c r="A5510" s="403" t="s">
        <v>7804</v>
      </c>
      <c r="B5510" s="397">
        <v>43959</v>
      </c>
      <c r="C5510" s="398" t="s">
        <v>4253</v>
      </c>
      <c r="D5510" s="399" t="s">
        <v>4283</v>
      </c>
      <c r="E5510" s="399" t="s">
        <v>4794</v>
      </c>
      <c r="F5510" s="400">
        <v>125000</v>
      </c>
      <c r="G5510" s="401" t="s">
        <v>3800</v>
      </c>
      <c r="H5510" s="402">
        <v>47.99457197984291</v>
      </c>
      <c r="I5510" s="402"/>
      <c r="J5510" s="400">
        <v>11.998642994960727</v>
      </c>
      <c r="K5510" s="400">
        <v>11.998642994960727</v>
      </c>
      <c r="L5510" s="400">
        <v>11.998642994960727</v>
      </c>
      <c r="M5510" s="400">
        <v>11.998642994960727</v>
      </c>
      <c r="N5510" s="400"/>
    </row>
    <row r="5511" spans="1:14" s="360" customFormat="1" hidden="1" outlineLevel="2" x14ac:dyDescent="0.35">
      <c r="A5511" s="403" t="s">
        <v>7804</v>
      </c>
      <c r="B5511" s="397">
        <v>43964</v>
      </c>
      <c r="C5511" s="398" t="s">
        <v>4284</v>
      </c>
      <c r="D5511" s="399" t="s">
        <v>4285</v>
      </c>
      <c r="E5511" s="399" t="s">
        <v>4276</v>
      </c>
      <c r="F5511" s="400">
        <v>125000</v>
      </c>
      <c r="G5511" s="401" t="s">
        <v>3800</v>
      </c>
      <c r="H5511" s="402">
        <v>47.99457197984291</v>
      </c>
      <c r="I5511" s="402"/>
      <c r="J5511" s="400">
        <v>11.998642994960727</v>
      </c>
      <c r="K5511" s="400">
        <v>11.998642994960727</v>
      </c>
      <c r="L5511" s="400">
        <v>11.998642994960727</v>
      </c>
      <c r="M5511" s="400">
        <v>11.998642994960727</v>
      </c>
      <c r="N5511" s="400"/>
    </row>
    <row r="5512" spans="1:14" s="360" customFormat="1" hidden="1" outlineLevel="2" x14ac:dyDescent="0.35">
      <c r="A5512" s="403" t="s">
        <v>7804</v>
      </c>
      <c r="B5512" s="397">
        <v>43959</v>
      </c>
      <c r="C5512" s="398" t="s">
        <v>4286</v>
      </c>
      <c r="D5512" s="399" t="s">
        <v>4287</v>
      </c>
      <c r="E5512" s="399" t="s">
        <v>4042</v>
      </c>
      <c r="F5512" s="400">
        <v>31250</v>
      </c>
      <c r="G5512" s="401" t="s">
        <v>3800</v>
      </c>
      <c r="H5512" s="402">
        <v>11.998642994960727</v>
      </c>
      <c r="I5512" s="402"/>
      <c r="J5512" s="400">
        <v>2.9996607487401818</v>
      </c>
      <c r="K5512" s="400">
        <v>2.9996607487401818</v>
      </c>
      <c r="L5512" s="400">
        <v>2.9996607487401818</v>
      </c>
      <c r="M5512" s="400">
        <v>2.9996607487401818</v>
      </c>
      <c r="N5512" s="400"/>
    </row>
    <row r="5513" spans="1:14" s="360" customFormat="1" hidden="1" outlineLevel="2" x14ac:dyDescent="0.35">
      <c r="A5513" s="403" t="s">
        <v>7804</v>
      </c>
      <c r="B5513" s="397">
        <v>43980</v>
      </c>
      <c r="C5513" s="398" t="s">
        <v>4288</v>
      </c>
      <c r="D5513" s="399" t="s">
        <v>4289</v>
      </c>
      <c r="E5513" s="399" t="s">
        <v>4794</v>
      </c>
      <c r="F5513" s="400">
        <v>2500000</v>
      </c>
      <c r="G5513" s="401" t="s">
        <v>3800</v>
      </c>
      <c r="H5513" s="402">
        <v>959.89143959685828</v>
      </c>
      <c r="I5513" s="402"/>
      <c r="J5513" s="400">
        <v>239.97285989921457</v>
      </c>
      <c r="K5513" s="400">
        <v>239.97285989921457</v>
      </c>
      <c r="L5513" s="400">
        <v>239.97285989921457</v>
      </c>
      <c r="M5513" s="400">
        <v>239.97285989921457</v>
      </c>
      <c r="N5513" s="400"/>
    </row>
    <row r="5514" spans="1:14" s="360" customFormat="1" hidden="1" outlineLevel="2" x14ac:dyDescent="0.35">
      <c r="A5514" s="403" t="s">
        <v>7804</v>
      </c>
      <c r="B5514" s="397">
        <v>43980</v>
      </c>
      <c r="C5514" s="398" t="s">
        <v>4290</v>
      </c>
      <c r="D5514" s="399" t="s">
        <v>4291</v>
      </c>
      <c r="E5514" s="399" t="s">
        <v>4794</v>
      </c>
      <c r="F5514" s="400">
        <v>375000</v>
      </c>
      <c r="G5514" s="401" t="s">
        <v>3800</v>
      </c>
      <c r="H5514" s="402">
        <v>143.98371593952874</v>
      </c>
      <c r="I5514" s="402"/>
      <c r="J5514" s="400">
        <v>35.995928984882184</v>
      </c>
      <c r="K5514" s="400">
        <v>35.995928984882184</v>
      </c>
      <c r="L5514" s="400">
        <v>35.995928984882184</v>
      </c>
      <c r="M5514" s="400">
        <v>35.995928984882184</v>
      </c>
      <c r="N5514" s="400"/>
    </row>
    <row r="5515" spans="1:14" s="360" customFormat="1" hidden="1" outlineLevel="2" x14ac:dyDescent="0.35">
      <c r="A5515" s="403" t="s">
        <v>7804</v>
      </c>
      <c r="B5515" s="397">
        <v>43980</v>
      </c>
      <c r="C5515" s="398" t="s">
        <v>4281</v>
      </c>
      <c r="D5515" s="399" t="s">
        <v>4390</v>
      </c>
      <c r="E5515" s="399" t="s">
        <v>4272</v>
      </c>
      <c r="F5515" s="400">
        <v>312500</v>
      </c>
      <c r="G5515" s="401" t="s">
        <v>3800</v>
      </c>
      <c r="H5515" s="402">
        <v>119.98642994960728</v>
      </c>
      <c r="I5515" s="402"/>
      <c r="J5515" s="400">
        <v>29.996607487401821</v>
      </c>
      <c r="K5515" s="400">
        <v>29.996607487401821</v>
      </c>
      <c r="L5515" s="400">
        <v>29.996607487401821</v>
      </c>
      <c r="M5515" s="400">
        <v>29.996607487401821</v>
      </c>
      <c r="N5515" s="400"/>
    </row>
    <row r="5516" spans="1:14" s="360" customFormat="1" hidden="1" outlineLevel="2" x14ac:dyDescent="0.35">
      <c r="A5516" s="403" t="s">
        <v>7804</v>
      </c>
      <c r="B5516" s="397">
        <v>43980</v>
      </c>
      <c r="C5516" s="398" t="s">
        <v>4288</v>
      </c>
      <c r="D5516" s="399" t="s">
        <v>4292</v>
      </c>
      <c r="E5516" s="399" t="s">
        <v>4794</v>
      </c>
      <c r="F5516" s="400">
        <v>125000</v>
      </c>
      <c r="G5516" s="401" t="s">
        <v>3800</v>
      </c>
      <c r="H5516" s="402">
        <v>47.99457197984291</v>
      </c>
      <c r="I5516" s="402"/>
      <c r="J5516" s="400">
        <v>11.998642994960727</v>
      </c>
      <c r="K5516" s="400">
        <v>11.998642994960727</v>
      </c>
      <c r="L5516" s="400">
        <v>11.998642994960727</v>
      </c>
      <c r="M5516" s="400">
        <v>11.998642994960727</v>
      </c>
      <c r="N5516" s="400"/>
    </row>
    <row r="5517" spans="1:14" s="360" customFormat="1" hidden="1" outlineLevel="2" x14ac:dyDescent="0.35">
      <c r="A5517" s="403" t="s">
        <v>7804</v>
      </c>
      <c r="B5517" s="397">
        <v>43980</v>
      </c>
      <c r="C5517" s="398" t="s">
        <v>4184</v>
      </c>
      <c r="D5517" s="399" t="s">
        <v>6118</v>
      </c>
      <c r="E5517" s="399" t="s">
        <v>4276</v>
      </c>
      <c r="F5517" s="400">
        <v>125000</v>
      </c>
      <c r="G5517" s="401" t="s">
        <v>3800</v>
      </c>
      <c r="H5517" s="402">
        <v>47.99457197984291</v>
      </c>
      <c r="I5517" s="402"/>
      <c r="J5517" s="400">
        <v>11.998642994960727</v>
      </c>
      <c r="K5517" s="400">
        <v>11.998642994960727</v>
      </c>
      <c r="L5517" s="400">
        <v>11.998642994960727</v>
      </c>
      <c r="M5517" s="400">
        <v>11.998642994960727</v>
      </c>
      <c r="N5517" s="400"/>
    </row>
    <row r="5518" spans="1:14" s="360" customFormat="1" hidden="1" outlineLevel="2" x14ac:dyDescent="0.35">
      <c r="A5518" s="403" t="s">
        <v>7804</v>
      </c>
      <c r="B5518" s="397">
        <v>43980</v>
      </c>
      <c r="C5518" s="398" t="s">
        <v>4294</v>
      </c>
      <c r="D5518" s="399" t="s">
        <v>4295</v>
      </c>
      <c r="E5518" s="399" t="s">
        <v>4042</v>
      </c>
      <c r="F5518" s="400">
        <v>31250</v>
      </c>
      <c r="G5518" s="401" t="s">
        <v>3800</v>
      </c>
      <c r="H5518" s="402">
        <v>11.998642994960727</v>
      </c>
      <c r="I5518" s="402"/>
      <c r="J5518" s="400">
        <v>2.9996607487401818</v>
      </c>
      <c r="K5518" s="400">
        <v>2.9996607487401818</v>
      </c>
      <c r="L5518" s="400">
        <v>2.9996607487401818</v>
      </c>
      <c r="M5518" s="400">
        <v>2.9996607487401818</v>
      </c>
      <c r="N5518" s="400"/>
    </row>
    <row r="5519" spans="1:14" s="360" customFormat="1" hidden="1" outlineLevel="2" x14ac:dyDescent="0.35">
      <c r="A5519" s="403" t="s">
        <v>7804</v>
      </c>
      <c r="B5519" s="397">
        <v>44018</v>
      </c>
      <c r="C5519" s="398" t="s">
        <v>4192</v>
      </c>
      <c r="D5519" s="399" t="s">
        <v>4296</v>
      </c>
      <c r="E5519" s="399" t="s">
        <v>4794</v>
      </c>
      <c r="F5519" s="400">
        <v>2500000</v>
      </c>
      <c r="G5519" s="401" t="s">
        <v>3800</v>
      </c>
      <c r="H5519" s="402">
        <v>959.89143959685828</v>
      </c>
      <c r="I5519" s="402"/>
      <c r="J5519" s="400">
        <v>239.97285989921457</v>
      </c>
      <c r="K5519" s="400">
        <v>239.97285989921457</v>
      </c>
      <c r="L5519" s="400">
        <v>239.97285989921457</v>
      </c>
      <c r="M5519" s="400">
        <v>239.97285989921457</v>
      </c>
      <c r="N5519" s="400"/>
    </row>
    <row r="5520" spans="1:14" s="360" customFormat="1" hidden="1" outlineLevel="2" x14ac:dyDescent="0.35">
      <c r="A5520" s="403" t="s">
        <v>7804</v>
      </c>
      <c r="B5520" s="397">
        <v>44018</v>
      </c>
      <c r="C5520" s="398" t="s">
        <v>4192</v>
      </c>
      <c r="D5520" s="399" t="s">
        <v>4297</v>
      </c>
      <c r="E5520" s="399" t="s">
        <v>4794</v>
      </c>
      <c r="F5520" s="400">
        <v>375000</v>
      </c>
      <c r="G5520" s="401" t="s">
        <v>3800</v>
      </c>
      <c r="H5520" s="402">
        <v>143.98371593952874</v>
      </c>
      <c r="I5520" s="402"/>
      <c r="J5520" s="400">
        <v>35.995928984882184</v>
      </c>
      <c r="K5520" s="400">
        <v>35.995928984882184</v>
      </c>
      <c r="L5520" s="400">
        <v>35.995928984882184</v>
      </c>
      <c r="M5520" s="400">
        <v>35.995928984882184</v>
      </c>
      <c r="N5520" s="400"/>
    </row>
    <row r="5521" spans="1:14" s="360" customFormat="1" hidden="1" outlineLevel="2" x14ac:dyDescent="0.35">
      <c r="A5521" s="403" t="s">
        <v>7804</v>
      </c>
      <c r="B5521" s="397">
        <v>44022</v>
      </c>
      <c r="C5521" s="398" t="s">
        <v>4298</v>
      </c>
      <c r="D5521" s="399" t="s">
        <v>4299</v>
      </c>
      <c r="E5521" s="399" t="s">
        <v>4272</v>
      </c>
      <c r="F5521" s="400">
        <v>312500</v>
      </c>
      <c r="G5521" s="401" t="s">
        <v>3800</v>
      </c>
      <c r="H5521" s="402">
        <v>119.98642994960728</v>
      </c>
      <c r="I5521" s="402"/>
      <c r="J5521" s="400">
        <v>29.996607487401821</v>
      </c>
      <c r="K5521" s="400">
        <v>29.996607487401821</v>
      </c>
      <c r="L5521" s="400">
        <v>29.996607487401821</v>
      </c>
      <c r="M5521" s="400">
        <v>29.996607487401821</v>
      </c>
      <c r="N5521" s="400"/>
    </row>
    <row r="5522" spans="1:14" s="360" customFormat="1" hidden="1" outlineLevel="2" x14ac:dyDescent="0.35">
      <c r="A5522" s="403" t="s">
        <v>7804</v>
      </c>
      <c r="B5522" s="397">
        <v>44018</v>
      </c>
      <c r="C5522" s="398" t="s">
        <v>4192</v>
      </c>
      <c r="D5522" s="399" t="s">
        <v>4300</v>
      </c>
      <c r="E5522" s="399" t="s">
        <v>4794</v>
      </c>
      <c r="F5522" s="400">
        <v>125000</v>
      </c>
      <c r="G5522" s="401" t="s">
        <v>3800</v>
      </c>
      <c r="H5522" s="402">
        <v>47.99457197984291</v>
      </c>
      <c r="I5522" s="402"/>
      <c r="J5522" s="400">
        <v>11.998642994960727</v>
      </c>
      <c r="K5522" s="400">
        <v>11.998642994960727</v>
      </c>
      <c r="L5522" s="400">
        <v>11.998642994960727</v>
      </c>
      <c r="M5522" s="400">
        <v>11.998642994960727</v>
      </c>
      <c r="N5522" s="400"/>
    </row>
    <row r="5523" spans="1:14" s="360" customFormat="1" hidden="1" outlineLevel="2" x14ac:dyDescent="0.35">
      <c r="A5523" s="403" t="s">
        <v>7804</v>
      </c>
      <c r="B5523" s="397">
        <v>44022</v>
      </c>
      <c r="C5523" s="398" t="s">
        <v>4301</v>
      </c>
      <c r="D5523" s="399" t="s">
        <v>4302</v>
      </c>
      <c r="E5523" s="399" t="s">
        <v>4276</v>
      </c>
      <c r="F5523" s="400">
        <v>125000</v>
      </c>
      <c r="G5523" s="401" t="s">
        <v>3800</v>
      </c>
      <c r="H5523" s="402">
        <v>47.99457197984291</v>
      </c>
      <c r="I5523" s="402"/>
      <c r="J5523" s="400">
        <v>11.998642994960727</v>
      </c>
      <c r="K5523" s="400">
        <v>11.998642994960727</v>
      </c>
      <c r="L5523" s="400">
        <v>11.998642994960727</v>
      </c>
      <c r="M5523" s="400">
        <v>11.998642994960727</v>
      </c>
      <c r="N5523" s="400"/>
    </row>
    <row r="5524" spans="1:14" s="360" customFormat="1" hidden="1" outlineLevel="2" x14ac:dyDescent="0.35">
      <c r="A5524" s="403" t="s">
        <v>7804</v>
      </c>
      <c r="B5524" s="397">
        <v>44022</v>
      </c>
      <c r="C5524" s="398" t="s">
        <v>4303</v>
      </c>
      <c r="D5524" s="399" t="s">
        <v>4304</v>
      </c>
      <c r="E5524" s="399" t="s">
        <v>4042</v>
      </c>
      <c r="F5524" s="400">
        <v>31250</v>
      </c>
      <c r="G5524" s="401" t="s">
        <v>3800</v>
      </c>
      <c r="H5524" s="402">
        <v>11.998642994960727</v>
      </c>
      <c r="I5524" s="402"/>
      <c r="J5524" s="400">
        <v>2.9996607487401818</v>
      </c>
      <c r="K5524" s="400">
        <v>2.9996607487401818</v>
      </c>
      <c r="L5524" s="400">
        <v>2.9996607487401818</v>
      </c>
      <c r="M5524" s="400">
        <v>2.9996607487401818</v>
      </c>
      <c r="N5524" s="400"/>
    </row>
    <row r="5525" spans="1:14" s="360" customFormat="1" hidden="1" outlineLevel="2" x14ac:dyDescent="0.35">
      <c r="A5525" s="403" t="s">
        <v>7804</v>
      </c>
      <c r="B5525" s="397">
        <v>44047</v>
      </c>
      <c r="C5525" s="398" t="s">
        <v>4305</v>
      </c>
      <c r="D5525" s="399" t="s">
        <v>4306</v>
      </c>
      <c r="E5525" s="399" t="s">
        <v>4794</v>
      </c>
      <c r="F5525" s="400">
        <v>2500000</v>
      </c>
      <c r="G5525" s="401" t="s">
        <v>3800</v>
      </c>
      <c r="H5525" s="402">
        <v>959.89143959685828</v>
      </c>
      <c r="I5525" s="402"/>
      <c r="J5525" s="400">
        <v>239.97285989921457</v>
      </c>
      <c r="K5525" s="400">
        <v>239.97285989921457</v>
      </c>
      <c r="L5525" s="400">
        <v>239.97285989921457</v>
      </c>
      <c r="M5525" s="400">
        <v>239.97285989921457</v>
      </c>
      <c r="N5525" s="400"/>
    </row>
    <row r="5526" spans="1:14" s="360" customFormat="1" hidden="1" outlineLevel="2" x14ac:dyDescent="0.35">
      <c r="A5526" s="403" t="s">
        <v>7804</v>
      </c>
      <c r="B5526" s="397">
        <v>44047</v>
      </c>
      <c r="C5526" s="398" t="s">
        <v>4305</v>
      </c>
      <c r="D5526" s="399" t="s">
        <v>4307</v>
      </c>
      <c r="E5526" s="399" t="s">
        <v>4794</v>
      </c>
      <c r="F5526" s="400">
        <v>375000</v>
      </c>
      <c r="G5526" s="401" t="s">
        <v>3800</v>
      </c>
      <c r="H5526" s="402">
        <v>143.98371593952874</v>
      </c>
      <c r="I5526" s="402"/>
      <c r="J5526" s="400">
        <v>35.995928984882184</v>
      </c>
      <c r="K5526" s="400">
        <v>35.995928984882184</v>
      </c>
      <c r="L5526" s="400">
        <v>35.995928984882184</v>
      </c>
      <c r="M5526" s="400">
        <v>35.995928984882184</v>
      </c>
      <c r="N5526" s="400"/>
    </row>
    <row r="5527" spans="1:14" s="360" customFormat="1" hidden="1" outlineLevel="2" x14ac:dyDescent="0.35">
      <c r="A5527" s="403" t="s">
        <v>7804</v>
      </c>
      <c r="B5527" s="397">
        <v>44047</v>
      </c>
      <c r="C5527" s="398" t="s">
        <v>4308</v>
      </c>
      <c r="D5527" s="399" t="s">
        <v>4309</v>
      </c>
      <c r="E5527" s="399" t="s">
        <v>4272</v>
      </c>
      <c r="F5527" s="400">
        <v>312500</v>
      </c>
      <c r="G5527" s="401" t="s">
        <v>3800</v>
      </c>
      <c r="H5527" s="402">
        <v>119.98642994960728</v>
      </c>
      <c r="I5527" s="402"/>
      <c r="J5527" s="400">
        <v>29.996607487401821</v>
      </c>
      <c r="K5527" s="400">
        <v>29.996607487401821</v>
      </c>
      <c r="L5527" s="400">
        <v>29.996607487401821</v>
      </c>
      <c r="M5527" s="400">
        <v>29.996607487401821</v>
      </c>
      <c r="N5527" s="400"/>
    </row>
    <row r="5528" spans="1:14" s="360" customFormat="1" hidden="1" outlineLevel="2" x14ac:dyDescent="0.35">
      <c r="A5528" s="403" t="s">
        <v>7804</v>
      </c>
      <c r="B5528" s="397">
        <v>44047</v>
      </c>
      <c r="C5528" s="398" t="s">
        <v>4305</v>
      </c>
      <c r="D5528" s="399" t="s">
        <v>4310</v>
      </c>
      <c r="E5528" s="399" t="s">
        <v>4794</v>
      </c>
      <c r="F5528" s="400">
        <v>125000</v>
      </c>
      <c r="G5528" s="401" t="s">
        <v>3800</v>
      </c>
      <c r="H5528" s="402">
        <v>47.99457197984291</v>
      </c>
      <c r="I5528" s="402"/>
      <c r="J5528" s="400">
        <v>11.998642994960727</v>
      </c>
      <c r="K5528" s="400">
        <v>11.998642994960727</v>
      </c>
      <c r="L5528" s="400">
        <v>11.998642994960727</v>
      </c>
      <c r="M5528" s="400">
        <v>11.998642994960727</v>
      </c>
      <c r="N5528" s="400"/>
    </row>
    <row r="5529" spans="1:14" s="360" customFormat="1" hidden="1" outlineLevel="2" x14ac:dyDescent="0.35">
      <c r="A5529" s="403" t="s">
        <v>7804</v>
      </c>
      <c r="B5529" s="397">
        <v>44047</v>
      </c>
      <c r="C5529" s="398" t="s">
        <v>4311</v>
      </c>
      <c r="D5529" s="399" t="s">
        <v>4312</v>
      </c>
      <c r="E5529" s="399" t="s">
        <v>4276</v>
      </c>
      <c r="F5529" s="400">
        <v>125000</v>
      </c>
      <c r="G5529" s="401" t="s">
        <v>3800</v>
      </c>
      <c r="H5529" s="402">
        <v>47.99457197984291</v>
      </c>
      <c r="I5529" s="402"/>
      <c r="J5529" s="400">
        <v>11.998642994960727</v>
      </c>
      <c r="K5529" s="400">
        <v>11.998642994960727</v>
      </c>
      <c r="L5529" s="400">
        <v>11.998642994960727</v>
      </c>
      <c r="M5529" s="400">
        <v>11.998642994960727</v>
      </c>
      <c r="N5529" s="400"/>
    </row>
    <row r="5530" spans="1:14" s="360" customFormat="1" hidden="1" outlineLevel="2" x14ac:dyDescent="0.35">
      <c r="A5530" s="403" t="s">
        <v>7804</v>
      </c>
      <c r="B5530" s="397">
        <v>44047</v>
      </c>
      <c r="C5530" s="398" t="s">
        <v>4313</v>
      </c>
      <c r="D5530" s="399" t="s">
        <v>4314</v>
      </c>
      <c r="E5530" s="399" t="s">
        <v>4042</v>
      </c>
      <c r="F5530" s="400">
        <v>31250</v>
      </c>
      <c r="G5530" s="401" t="s">
        <v>3800</v>
      </c>
      <c r="H5530" s="402">
        <v>11.998642994960727</v>
      </c>
      <c r="I5530" s="402"/>
      <c r="J5530" s="400">
        <v>2.9996607487401818</v>
      </c>
      <c r="K5530" s="400">
        <v>2.9996607487401818</v>
      </c>
      <c r="L5530" s="400">
        <v>2.9996607487401818</v>
      </c>
      <c r="M5530" s="400">
        <v>2.9996607487401818</v>
      </c>
      <c r="N5530" s="400"/>
    </row>
    <row r="5531" spans="1:14" s="360" customFormat="1" hidden="1" outlineLevel="2" x14ac:dyDescent="0.35">
      <c r="A5531" s="403" t="s">
        <v>7804</v>
      </c>
      <c r="B5531" s="397">
        <v>44070</v>
      </c>
      <c r="C5531" s="398" t="s">
        <v>4315</v>
      </c>
      <c r="D5531" s="399" t="s">
        <v>4316</v>
      </c>
      <c r="E5531" s="399" t="s">
        <v>4794</v>
      </c>
      <c r="F5531" s="400">
        <v>2500000</v>
      </c>
      <c r="G5531" s="401" t="s">
        <v>3800</v>
      </c>
      <c r="H5531" s="402">
        <v>959.89143959685828</v>
      </c>
      <c r="I5531" s="402"/>
      <c r="J5531" s="400">
        <v>239.97285989921457</v>
      </c>
      <c r="K5531" s="400">
        <v>239.97285989921457</v>
      </c>
      <c r="L5531" s="400">
        <v>239.97285989921457</v>
      </c>
      <c r="M5531" s="400">
        <v>239.97285989921457</v>
      </c>
      <c r="N5531" s="400"/>
    </row>
    <row r="5532" spans="1:14" s="360" customFormat="1" hidden="1" outlineLevel="2" x14ac:dyDescent="0.35">
      <c r="A5532" s="403" t="s">
        <v>7804</v>
      </c>
      <c r="B5532" s="397">
        <v>44070</v>
      </c>
      <c r="C5532" s="398" t="s">
        <v>4315</v>
      </c>
      <c r="D5532" s="399" t="s">
        <v>4317</v>
      </c>
      <c r="E5532" s="399" t="s">
        <v>4794</v>
      </c>
      <c r="F5532" s="400">
        <v>375000</v>
      </c>
      <c r="G5532" s="401" t="s">
        <v>3800</v>
      </c>
      <c r="H5532" s="402">
        <v>143.98371593952874</v>
      </c>
      <c r="I5532" s="402"/>
      <c r="J5532" s="400">
        <v>35.995928984882184</v>
      </c>
      <c r="K5532" s="400">
        <v>35.995928984882184</v>
      </c>
      <c r="L5532" s="400">
        <v>35.995928984882184</v>
      </c>
      <c r="M5532" s="400">
        <v>35.995928984882184</v>
      </c>
      <c r="N5532" s="400"/>
    </row>
    <row r="5533" spans="1:14" s="360" customFormat="1" hidden="1" outlineLevel="2" x14ac:dyDescent="0.35">
      <c r="A5533" s="403" t="s">
        <v>7804</v>
      </c>
      <c r="B5533" s="397">
        <v>44070</v>
      </c>
      <c r="C5533" s="398" t="s">
        <v>4318</v>
      </c>
      <c r="D5533" s="399" t="s">
        <v>4319</v>
      </c>
      <c r="E5533" s="399" t="s">
        <v>4272</v>
      </c>
      <c r="F5533" s="400">
        <v>312500</v>
      </c>
      <c r="G5533" s="401" t="s">
        <v>3800</v>
      </c>
      <c r="H5533" s="402">
        <v>119.98642994960728</v>
      </c>
      <c r="I5533" s="402"/>
      <c r="J5533" s="400">
        <v>29.996607487401821</v>
      </c>
      <c r="K5533" s="400">
        <v>29.996607487401821</v>
      </c>
      <c r="L5533" s="400">
        <v>29.996607487401821</v>
      </c>
      <c r="M5533" s="400">
        <v>29.996607487401821</v>
      </c>
      <c r="N5533" s="400"/>
    </row>
    <row r="5534" spans="1:14" s="360" customFormat="1" hidden="1" outlineLevel="2" x14ac:dyDescent="0.35">
      <c r="A5534" s="403" t="s">
        <v>7804</v>
      </c>
      <c r="B5534" s="397">
        <v>44070</v>
      </c>
      <c r="C5534" s="398" t="s">
        <v>4315</v>
      </c>
      <c r="D5534" s="399" t="s">
        <v>4320</v>
      </c>
      <c r="E5534" s="399" t="s">
        <v>4794</v>
      </c>
      <c r="F5534" s="400">
        <v>125000</v>
      </c>
      <c r="G5534" s="401" t="s">
        <v>3800</v>
      </c>
      <c r="H5534" s="402">
        <v>47.99457197984291</v>
      </c>
      <c r="I5534" s="402"/>
      <c r="J5534" s="400">
        <v>11.998642994960727</v>
      </c>
      <c r="K5534" s="400">
        <v>11.998642994960727</v>
      </c>
      <c r="L5534" s="400">
        <v>11.998642994960727</v>
      </c>
      <c r="M5534" s="400">
        <v>11.998642994960727</v>
      </c>
      <c r="N5534" s="400"/>
    </row>
    <row r="5535" spans="1:14" s="360" customFormat="1" hidden="1" outlineLevel="2" x14ac:dyDescent="0.35">
      <c r="A5535" s="403" t="s">
        <v>7804</v>
      </c>
      <c r="B5535" s="397">
        <v>44070</v>
      </c>
      <c r="C5535" s="398" t="s">
        <v>4321</v>
      </c>
      <c r="D5535" s="399" t="s">
        <v>4322</v>
      </c>
      <c r="E5535" s="399" t="s">
        <v>4276</v>
      </c>
      <c r="F5535" s="400">
        <v>125000</v>
      </c>
      <c r="G5535" s="401" t="s">
        <v>3800</v>
      </c>
      <c r="H5535" s="402">
        <v>47.99457197984291</v>
      </c>
      <c r="I5535" s="402"/>
      <c r="J5535" s="400">
        <v>11.998642994960727</v>
      </c>
      <c r="K5535" s="400">
        <v>11.998642994960727</v>
      </c>
      <c r="L5535" s="400">
        <v>11.998642994960727</v>
      </c>
      <c r="M5535" s="400">
        <v>11.998642994960727</v>
      </c>
      <c r="N5535" s="400"/>
    </row>
    <row r="5536" spans="1:14" s="360" customFormat="1" hidden="1" outlineLevel="2" collapsed="1" x14ac:dyDescent="0.35">
      <c r="A5536" s="403" t="s">
        <v>7804</v>
      </c>
      <c r="B5536" s="397">
        <v>44070</v>
      </c>
      <c r="C5536" s="398" t="s">
        <v>4323</v>
      </c>
      <c r="D5536" s="399" t="s">
        <v>4324</v>
      </c>
      <c r="E5536" s="399" t="s">
        <v>4042</v>
      </c>
      <c r="F5536" s="400">
        <v>31250</v>
      </c>
      <c r="G5536" s="401" t="s">
        <v>3800</v>
      </c>
      <c r="H5536" s="402">
        <v>11.998642994960727</v>
      </c>
      <c r="I5536" s="402"/>
      <c r="J5536" s="400">
        <v>2.9996607487401818</v>
      </c>
      <c r="K5536" s="400">
        <v>2.9996607487401818</v>
      </c>
      <c r="L5536" s="400">
        <v>2.9996607487401818</v>
      </c>
      <c r="M5536" s="400">
        <v>2.9996607487401818</v>
      </c>
      <c r="N5536" s="400"/>
    </row>
    <row r="5537" spans="1:14" s="360" customFormat="1" hidden="1" outlineLevel="2" x14ac:dyDescent="0.35">
      <c r="A5537" s="403" t="s">
        <v>7804</v>
      </c>
      <c r="B5537" s="397">
        <v>44104</v>
      </c>
      <c r="C5537" s="398" t="s">
        <v>4325</v>
      </c>
      <c r="D5537" s="399" t="s">
        <v>4326</v>
      </c>
      <c r="E5537" s="399" t="s">
        <v>4794</v>
      </c>
      <c r="F5537" s="400">
        <v>2500000</v>
      </c>
      <c r="G5537" s="401" t="s">
        <v>3800</v>
      </c>
      <c r="H5537" s="402">
        <v>959.89143959685828</v>
      </c>
      <c r="I5537" s="402"/>
      <c r="J5537" s="400">
        <v>239.97285989921457</v>
      </c>
      <c r="K5537" s="400">
        <v>239.97285989921457</v>
      </c>
      <c r="L5537" s="400">
        <v>239.97285989921457</v>
      </c>
      <c r="M5537" s="400">
        <v>239.97285989921457</v>
      </c>
      <c r="N5537" s="400"/>
    </row>
    <row r="5538" spans="1:14" s="360" customFormat="1" hidden="1" outlineLevel="2" x14ac:dyDescent="0.35">
      <c r="A5538" s="403" t="s">
        <v>7804</v>
      </c>
      <c r="B5538" s="397">
        <v>44104</v>
      </c>
      <c r="C5538" s="398" t="s">
        <v>4325</v>
      </c>
      <c r="D5538" s="399" t="s">
        <v>4327</v>
      </c>
      <c r="E5538" s="399" t="s">
        <v>4794</v>
      </c>
      <c r="F5538" s="400">
        <v>375000</v>
      </c>
      <c r="G5538" s="401" t="s">
        <v>3800</v>
      </c>
      <c r="H5538" s="402">
        <v>143.98371593952874</v>
      </c>
      <c r="I5538" s="402"/>
      <c r="J5538" s="400">
        <v>35.995928984882184</v>
      </c>
      <c r="K5538" s="400">
        <v>35.995928984882184</v>
      </c>
      <c r="L5538" s="400">
        <v>35.995928984882184</v>
      </c>
      <c r="M5538" s="400">
        <v>35.995928984882184</v>
      </c>
      <c r="N5538" s="400"/>
    </row>
    <row r="5539" spans="1:14" s="360" customFormat="1" hidden="1" outlineLevel="2" x14ac:dyDescent="0.35">
      <c r="A5539" s="403" t="s">
        <v>7804</v>
      </c>
      <c r="B5539" s="397">
        <v>44104</v>
      </c>
      <c r="C5539" s="398" t="s">
        <v>4328</v>
      </c>
      <c r="D5539" s="399" t="s">
        <v>4329</v>
      </c>
      <c r="E5539" s="399" t="s">
        <v>4272</v>
      </c>
      <c r="F5539" s="400">
        <v>312500</v>
      </c>
      <c r="G5539" s="401" t="s">
        <v>3800</v>
      </c>
      <c r="H5539" s="402">
        <v>119.98642994960728</v>
      </c>
      <c r="I5539" s="402"/>
      <c r="J5539" s="400">
        <v>29.996607487401821</v>
      </c>
      <c r="K5539" s="400">
        <v>29.996607487401821</v>
      </c>
      <c r="L5539" s="400">
        <v>29.996607487401821</v>
      </c>
      <c r="M5539" s="400">
        <v>29.996607487401821</v>
      </c>
      <c r="N5539" s="400"/>
    </row>
    <row r="5540" spans="1:14" s="360" customFormat="1" hidden="1" outlineLevel="2" x14ac:dyDescent="0.35">
      <c r="A5540" s="403" t="s">
        <v>7804</v>
      </c>
      <c r="B5540" s="397">
        <v>44104</v>
      </c>
      <c r="C5540" s="398" t="s">
        <v>4325</v>
      </c>
      <c r="D5540" s="399" t="s">
        <v>4330</v>
      </c>
      <c r="E5540" s="399" t="s">
        <v>4794</v>
      </c>
      <c r="F5540" s="400">
        <v>125000</v>
      </c>
      <c r="G5540" s="401" t="s">
        <v>3800</v>
      </c>
      <c r="H5540" s="402">
        <v>47.99457197984291</v>
      </c>
      <c r="I5540" s="402"/>
      <c r="J5540" s="400">
        <v>11.998642994960727</v>
      </c>
      <c r="K5540" s="400">
        <v>11.998642994960727</v>
      </c>
      <c r="L5540" s="400">
        <v>11.998642994960727</v>
      </c>
      <c r="M5540" s="400">
        <v>11.998642994960727</v>
      </c>
      <c r="N5540" s="400"/>
    </row>
    <row r="5541" spans="1:14" s="360" customFormat="1" hidden="1" outlineLevel="2" x14ac:dyDescent="0.35">
      <c r="A5541" s="403" t="s">
        <v>7804</v>
      </c>
      <c r="B5541" s="397">
        <v>44104</v>
      </c>
      <c r="C5541" s="398" t="s">
        <v>4331</v>
      </c>
      <c r="D5541" s="399" t="s">
        <v>4332</v>
      </c>
      <c r="E5541" s="399" t="s">
        <v>4276</v>
      </c>
      <c r="F5541" s="400">
        <v>125000</v>
      </c>
      <c r="G5541" s="401" t="s">
        <v>3800</v>
      </c>
      <c r="H5541" s="402">
        <v>47.99457197984291</v>
      </c>
      <c r="I5541" s="402"/>
      <c r="J5541" s="400">
        <v>11.998642994960727</v>
      </c>
      <c r="K5541" s="400">
        <v>11.998642994960727</v>
      </c>
      <c r="L5541" s="400">
        <v>11.998642994960727</v>
      </c>
      <c r="M5541" s="400">
        <v>11.998642994960727</v>
      </c>
      <c r="N5541" s="400"/>
    </row>
    <row r="5542" spans="1:14" s="360" customFormat="1" hidden="1" outlineLevel="2" x14ac:dyDescent="0.35">
      <c r="A5542" s="403" t="s">
        <v>7804</v>
      </c>
      <c r="B5542" s="397">
        <v>44104</v>
      </c>
      <c r="C5542" s="398" t="s">
        <v>4333</v>
      </c>
      <c r="D5542" s="399" t="s">
        <v>4334</v>
      </c>
      <c r="E5542" s="399" t="s">
        <v>4042</v>
      </c>
      <c r="F5542" s="400">
        <v>31250</v>
      </c>
      <c r="G5542" s="401" t="s">
        <v>3800</v>
      </c>
      <c r="H5542" s="402">
        <v>11.998642994960727</v>
      </c>
      <c r="I5542" s="402"/>
      <c r="J5542" s="400">
        <v>2.9996607487401818</v>
      </c>
      <c r="K5542" s="400">
        <v>2.9996607487401818</v>
      </c>
      <c r="L5542" s="400">
        <v>2.9996607487401818</v>
      </c>
      <c r="M5542" s="400">
        <v>2.9996607487401818</v>
      </c>
      <c r="N5542" s="400"/>
    </row>
    <row r="5543" spans="1:14" s="360" customFormat="1" hidden="1" outlineLevel="2" x14ac:dyDescent="0.35">
      <c r="A5543" s="403" t="s">
        <v>7804</v>
      </c>
      <c r="B5543" s="397">
        <v>44131</v>
      </c>
      <c r="C5543" s="398" t="s">
        <v>4335</v>
      </c>
      <c r="D5543" s="399" t="s">
        <v>4336</v>
      </c>
      <c r="E5543" s="399" t="s">
        <v>4794</v>
      </c>
      <c r="F5543" s="400">
        <v>2500000</v>
      </c>
      <c r="G5543" s="401" t="s">
        <v>3800</v>
      </c>
      <c r="H5543" s="402">
        <v>959.89143959685828</v>
      </c>
      <c r="I5543" s="402"/>
      <c r="J5543" s="400">
        <v>239.97285989921457</v>
      </c>
      <c r="K5543" s="400">
        <v>239.97285989921457</v>
      </c>
      <c r="L5543" s="400">
        <v>239.97285989921457</v>
      </c>
      <c r="M5543" s="400">
        <v>239.97285989921457</v>
      </c>
      <c r="N5543" s="400"/>
    </row>
    <row r="5544" spans="1:14" s="360" customFormat="1" hidden="1" outlineLevel="2" collapsed="1" x14ac:dyDescent="0.35">
      <c r="A5544" s="403" t="s">
        <v>7804</v>
      </c>
      <c r="B5544" s="397">
        <v>44131</v>
      </c>
      <c r="C5544" s="398" t="s">
        <v>4335</v>
      </c>
      <c r="D5544" s="399" t="s">
        <v>4337</v>
      </c>
      <c r="E5544" s="399" t="s">
        <v>4794</v>
      </c>
      <c r="F5544" s="400">
        <v>375000</v>
      </c>
      <c r="G5544" s="401" t="s">
        <v>3800</v>
      </c>
      <c r="H5544" s="402">
        <v>143.98371593952874</v>
      </c>
      <c r="I5544" s="402"/>
      <c r="J5544" s="400">
        <v>35.995928984882184</v>
      </c>
      <c r="K5544" s="400">
        <v>35.995928984882184</v>
      </c>
      <c r="L5544" s="400">
        <v>35.995928984882184</v>
      </c>
      <c r="M5544" s="400">
        <v>35.995928984882184</v>
      </c>
      <c r="N5544" s="400"/>
    </row>
    <row r="5545" spans="1:14" s="360" customFormat="1" hidden="1" outlineLevel="2" x14ac:dyDescent="0.35">
      <c r="A5545" s="403" t="s">
        <v>7804</v>
      </c>
      <c r="B5545" s="397">
        <v>44131</v>
      </c>
      <c r="C5545" s="398" t="s">
        <v>4338</v>
      </c>
      <c r="D5545" s="399" t="s">
        <v>4339</v>
      </c>
      <c r="E5545" s="399" t="s">
        <v>4272</v>
      </c>
      <c r="F5545" s="400">
        <v>312500</v>
      </c>
      <c r="G5545" s="401" t="s">
        <v>3800</v>
      </c>
      <c r="H5545" s="402">
        <v>119.98642994960728</v>
      </c>
      <c r="I5545" s="402"/>
      <c r="J5545" s="400">
        <v>29.996607487401821</v>
      </c>
      <c r="K5545" s="400">
        <v>29.996607487401821</v>
      </c>
      <c r="L5545" s="400">
        <v>29.996607487401821</v>
      </c>
      <c r="M5545" s="400">
        <v>29.996607487401821</v>
      </c>
      <c r="N5545" s="400"/>
    </row>
    <row r="5546" spans="1:14" s="360" customFormat="1" hidden="1" outlineLevel="2" x14ac:dyDescent="0.35">
      <c r="A5546" s="403" t="s">
        <v>7804</v>
      </c>
      <c r="B5546" s="397">
        <v>44131</v>
      </c>
      <c r="C5546" s="398" t="s">
        <v>4325</v>
      </c>
      <c r="D5546" s="399" t="s">
        <v>4340</v>
      </c>
      <c r="E5546" s="399" t="s">
        <v>4794</v>
      </c>
      <c r="F5546" s="400">
        <v>125000</v>
      </c>
      <c r="G5546" s="401" t="s">
        <v>3800</v>
      </c>
      <c r="H5546" s="402">
        <v>47.99457197984291</v>
      </c>
      <c r="I5546" s="402"/>
      <c r="J5546" s="400">
        <v>11.998642994960727</v>
      </c>
      <c r="K5546" s="400">
        <v>11.998642994960727</v>
      </c>
      <c r="L5546" s="400">
        <v>11.998642994960727</v>
      </c>
      <c r="M5546" s="400">
        <v>11.998642994960727</v>
      </c>
      <c r="N5546" s="400"/>
    </row>
    <row r="5547" spans="1:14" s="360" customFormat="1" hidden="1" outlineLevel="2" x14ac:dyDescent="0.35">
      <c r="A5547" s="403" t="s">
        <v>7804</v>
      </c>
      <c r="B5547" s="397">
        <v>44131</v>
      </c>
      <c r="C5547" s="398" t="s">
        <v>4341</v>
      </c>
      <c r="D5547" s="399" t="s">
        <v>4342</v>
      </c>
      <c r="E5547" s="399" t="s">
        <v>4276</v>
      </c>
      <c r="F5547" s="400">
        <v>125000</v>
      </c>
      <c r="G5547" s="401" t="s">
        <v>3800</v>
      </c>
      <c r="H5547" s="402">
        <v>47.99457197984291</v>
      </c>
      <c r="I5547" s="402"/>
      <c r="J5547" s="400">
        <v>11.998642994960727</v>
      </c>
      <c r="K5547" s="400">
        <v>11.998642994960727</v>
      </c>
      <c r="L5547" s="400">
        <v>11.998642994960727</v>
      </c>
      <c r="M5547" s="400">
        <v>11.998642994960727</v>
      </c>
      <c r="N5547" s="400"/>
    </row>
    <row r="5548" spans="1:14" s="360" customFormat="1" hidden="1" outlineLevel="2" x14ac:dyDescent="0.35">
      <c r="A5548" s="403" t="s">
        <v>7804</v>
      </c>
      <c r="B5548" s="397">
        <v>44131</v>
      </c>
      <c r="C5548" s="398" t="s">
        <v>4343</v>
      </c>
      <c r="D5548" s="399" t="s">
        <v>4344</v>
      </c>
      <c r="E5548" s="399" t="s">
        <v>4042</v>
      </c>
      <c r="F5548" s="400">
        <v>31250</v>
      </c>
      <c r="G5548" s="401" t="s">
        <v>3800</v>
      </c>
      <c r="H5548" s="402">
        <v>11.998642994960727</v>
      </c>
      <c r="I5548" s="402"/>
      <c r="J5548" s="400">
        <v>2.9996607487401818</v>
      </c>
      <c r="K5548" s="400">
        <v>2.9996607487401818</v>
      </c>
      <c r="L5548" s="400">
        <v>2.9996607487401818</v>
      </c>
      <c r="M5548" s="400">
        <v>2.9996607487401818</v>
      </c>
      <c r="N5548" s="400"/>
    </row>
    <row r="5549" spans="1:14" s="360" customFormat="1" hidden="1" outlineLevel="2" x14ac:dyDescent="0.35">
      <c r="A5549" s="403" t="s">
        <v>7804</v>
      </c>
      <c r="B5549" s="397">
        <v>44165</v>
      </c>
      <c r="C5549" s="398" t="s">
        <v>4345</v>
      </c>
      <c r="D5549" s="399" t="s">
        <v>4346</v>
      </c>
      <c r="E5549" s="399" t="s">
        <v>4794</v>
      </c>
      <c r="F5549" s="400">
        <v>2500000</v>
      </c>
      <c r="G5549" s="401" t="s">
        <v>3800</v>
      </c>
      <c r="H5549" s="402">
        <v>959.89143959685828</v>
      </c>
      <c r="I5549" s="402"/>
      <c r="J5549" s="400">
        <v>239.97285989921457</v>
      </c>
      <c r="K5549" s="400">
        <v>239.97285989921457</v>
      </c>
      <c r="L5549" s="400">
        <v>239.97285989921457</v>
      </c>
      <c r="M5549" s="400">
        <v>239.97285989921457</v>
      </c>
      <c r="N5549" s="400"/>
    </row>
    <row r="5550" spans="1:14" s="360" customFormat="1" hidden="1" outlineLevel="2" x14ac:dyDescent="0.35">
      <c r="A5550" s="403" t="s">
        <v>7804</v>
      </c>
      <c r="B5550" s="397">
        <v>44165</v>
      </c>
      <c r="C5550" s="398" t="s">
        <v>4345</v>
      </c>
      <c r="D5550" s="399" t="s">
        <v>4347</v>
      </c>
      <c r="E5550" s="399" t="s">
        <v>4794</v>
      </c>
      <c r="F5550" s="400">
        <v>375000</v>
      </c>
      <c r="G5550" s="401" t="s">
        <v>3800</v>
      </c>
      <c r="H5550" s="402">
        <v>143.98371593952874</v>
      </c>
      <c r="I5550" s="402"/>
      <c r="J5550" s="400">
        <v>35.995928984882184</v>
      </c>
      <c r="K5550" s="400">
        <v>35.995928984882184</v>
      </c>
      <c r="L5550" s="400">
        <v>35.995928984882184</v>
      </c>
      <c r="M5550" s="400">
        <v>35.995928984882184</v>
      </c>
      <c r="N5550" s="400"/>
    </row>
    <row r="5551" spans="1:14" s="360" customFormat="1" hidden="1" outlineLevel="2" x14ac:dyDescent="0.35">
      <c r="A5551" s="403" t="s">
        <v>7804</v>
      </c>
      <c r="B5551" s="397">
        <v>44165</v>
      </c>
      <c r="C5551" s="398" t="s">
        <v>4348</v>
      </c>
      <c r="D5551" s="399" t="s">
        <v>4349</v>
      </c>
      <c r="E5551" s="399" t="s">
        <v>4272</v>
      </c>
      <c r="F5551" s="400">
        <v>312500</v>
      </c>
      <c r="G5551" s="401" t="s">
        <v>3800</v>
      </c>
      <c r="H5551" s="402">
        <v>119.98642994960728</v>
      </c>
      <c r="I5551" s="402"/>
      <c r="J5551" s="400">
        <v>29.996607487401821</v>
      </c>
      <c r="K5551" s="400">
        <v>29.996607487401821</v>
      </c>
      <c r="L5551" s="400">
        <v>29.996607487401821</v>
      </c>
      <c r="M5551" s="400">
        <v>29.996607487401821</v>
      </c>
      <c r="N5551" s="400"/>
    </row>
    <row r="5552" spans="1:14" s="360" customFormat="1" hidden="1" outlineLevel="2" x14ac:dyDescent="0.35">
      <c r="A5552" s="403" t="s">
        <v>7804</v>
      </c>
      <c r="B5552" s="397">
        <v>44165</v>
      </c>
      <c r="C5552" s="398" t="s">
        <v>4345</v>
      </c>
      <c r="D5552" s="399" t="s">
        <v>4350</v>
      </c>
      <c r="E5552" s="399" t="s">
        <v>4794</v>
      </c>
      <c r="F5552" s="400">
        <v>125000</v>
      </c>
      <c r="G5552" s="401" t="s">
        <v>3800</v>
      </c>
      <c r="H5552" s="402">
        <v>47.99457197984291</v>
      </c>
      <c r="I5552" s="402"/>
      <c r="J5552" s="400">
        <v>11.998642994960727</v>
      </c>
      <c r="K5552" s="400">
        <v>11.998642994960727</v>
      </c>
      <c r="L5552" s="400">
        <v>11.998642994960727</v>
      </c>
      <c r="M5552" s="400">
        <v>11.998642994960727</v>
      </c>
      <c r="N5552" s="400"/>
    </row>
    <row r="5553" spans="1:14" s="360" customFormat="1" hidden="1" outlineLevel="2" x14ac:dyDescent="0.35">
      <c r="A5553" s="403" t="s">
        <v>7804</v>
      </c>
      <c r="B5553" s="397">
        <v>44165</v>
      </c>
      <c r="C5553" s="398" t="s">
        <v>4351</v>
      </c>
      <c r="D5553" s="399" t="s">
        <v>4352</v>
      </c>
      <c r="E5553" s="399" t="s">
        <v>4276</v>
      </c>
      <c r="F5553" s="400">
        <v>125000</v>
      </c>
      <c r="G5553" s="401" t="s">
        <v>3800</v>
      </c>
      <c r="H5553" s="402">
        <v>47.99457197984291</v>
      </c>
      <c r="I5553" s="402"/>
      <c r="J5553" s="400">
        <v>11.998642994960727</v>
      </c>
      <c r="K5553" s="400">
        <v>11.998642994960727</v>
      </c>
      <c r="L5553" s="400">
        <v>11.998642994960727</v>
      </c>
      <c r="M5553" s="400">
        <v>11.998642994960727</v>
      </c>
      <c r="N5553" s="400"/>
    </row>
    <row r="5554" spans="1:14" s="360" customFormat="1" hidden="1" outlineLevel="2" x14ac:dyDescent="0.35">
      <c r="A5554" s="403" t="s">
        <v>7804</v>
      </c>
      <c r="B5554" s="397">
        <v>44165</v>
      </c>
      <c r="C5554" s="398" t="s">
        <v>4353</v>
      </c>
      <c r="D5554" s="399" t="s">
        <v>4354</v>
      </c>
      <c r="E5554" s="399" t="s">
        <v>4042</v>
      </c>
      <c r="F5554" s="400">
        <v>31250</v>
      </c>
      <c r="G5554" s="401" t="s">
        <v>3800</v>
      </c>
      <c r="H5554" s="402">
        <v>11.998642994960727</v>
      </c>
      <c r="I5554" s="402"/>
      <c r="J5554" s="400">
        <v>2.9996607487401818</v>
      </c>
      <c r="K5554" s="400">
        <v>2.9996607487401818</v>
      </c>
      <c r="L5554" s="400">
        <v>2.9996607487401818</v>
      </c>
      <c r="M5554" s="400">
        <v>2.9996607487401818</v>
      </c>
      <c r="N5554" s="400"/>
    </row>
    <row r="5555" spans="1:14" s="360" customFormat="1" hidden="1" outlineLevel="2" x14ac:dyDescent="0.35">
      <c r="A5555" s="403" t="s">
        <v>7804</v>
      </c>
      <c r="B5555" s="397">
        <v>44187</v>
      </c>
      <c r="C5555" s="398" t="s">
        <v>4355</v>
      </c>
      <c r="D5555" s="399" t="s">
        <v>4356</v>
      </c>
      <c r="E5555" s="399" t="s">
        <v>4794</v>
      </c>
      <c r="F5555" s="400">
        <v>2500000</v>
      </c>
      <c r="G5555" s="401" t="s">
        <v>3800</v>
      </c>
      <c r="H5555" s="402">
        <v>959.89143959685828</v>
      </c>
      <c r="I5555" s="402"/>
      <c r="J5555" s="400">
        <v>239.97285989921457</v>
      </c>
      <c r="K5555" s="400">
        <v>239.97285989921457</v>
      </c>
      <c r="L5555" s="400">
        <v>239.97285989921457</v>
      </c>
      <c r="M5555" s="400">
        <v>239.97285989921457</v>
      </c>
      <c r="N5555" s="400"/>
    </row>
    <row r="5556" spans="1:14" s="360" customFormat="1" hidden="1" outlineLevel="2" collapsed="1" x14ac:dyDescent="0.35">
      <c r="A5556" s="403" t="s">
        <v>7804</v>
      </c>
      <c r="B5556" s="397">
        <v>44187</v>
      </c>
      <c r="C5556" s="398" t="s">
        <v>4355</v>
      </c>
      <c r="D5556" s="399" t="s">
        <v>4357</v>
      </c>
      <c r="E5556" s="399" t="s">
        <v>4794</v>
      </c>
      <c r="F5556" s="400">
        <v>375000</v>
      </c>
      <c r="G5556" s="401" t="s">
        <v>3800</v>
      </c>
      <c r="H5556" s="402">
        <v>143.98371593952874</v>
      </c>
      <c r="I5556" s="402"/>
      <c r="J5556" s="400">
        <v>35.995928984882184</v>
      </c>
      <c r="K5556" s="400">
        <v>35.995928984882184</v>
      </c>
      <c r="L5556" s="400">
        <v>35.995928984882184</v>
      </c>
      <c r="M5556" s="400">
        <v>35.995928984882184</v>
      </c>
      <c r="N5556" s="400"/>
    </row>
    <row r="5557" spans="1:14" s="360" customFormat="1" hidden="1" outlineLevel="2" x14ac:dyDescent="0.35">
      <c r="A5557" s="403" t="s">
        <v>7804</v>
      </c>
      <c r="B5557" s="397">
        <v>44187</v>
      </c>
      <c r="C5557" s="398" t="s">
        <v>4358</v>
      </c>
      <c r="D5557" s="399" t="s">
        <v>4359</v>
      </c>
      <c r="E5557" s="399" t="s">
        <v>4272</v>
      </c>
      <c r="F5557" s="400">
        <v>312500</v>
      </c>
      <c r="G5557" s="401" t="s">
        <v>3800</v>
      </c>
      <c r="H5557" s="402">
        <v>119.98642994960728</v>
      </c>
      <c r="I5557" s="402"/>
      <c r="J5557" s="400">
        <v>29.996607487401821</v>
      </c>
      <c r="K5557" s="400">
        <v>29.996607487401821</v>
      </c>
      <c r="L5557" s="400">
        <v>29.996607487401821</v>
      </c>
      <c r="M5557" s="400">
        <v>29.996607487401821</v>
      </c>
      <c r="N5557" s="400"/>
    </row>
    <row r="5558" spans="1:14" s="360" customFormat="1" hidden="1" outlineLevel="2" x14ac:dyDescent="0.35">
      <c r="A5558" s="403" t="s">
        <v>7804</v>
      </c>
      <c r="B5558" s="397">
        <v>44187</v>
      </c>
      <c r="C5558" s="398" t="s">
        <v>4355</v>
      </c>
      <c r="D5558" s="399" t="s">
        <v>4360</v>
      </c>
      <c r="E5558" s="399" t="s">
        <v>4794</v>
      </c>
      <c r="F5558" s="400">
        <v>125000</v>
      </c>
      <c r="G5558" s="401" t="s">
        <v>3800</v>
      </c>
      <c r="H5558" s="402">
        <v>47.99457197984291</v>
      </c>
      <c r="I5558" s="402"/>
      <c r="J5558" s="400">
        <v>11.998642994960727</v>
      </c>
      <c r="K5558" s="400">
        <v>11.998642994960727</v>
      </c>
      <c r="L5558" s="400">
        <v>11.998642994960727</v>
      </c>
      <c r="M5558" s="400">
        <v>11.998642994960727</v>
      </c>
      <c r="N5558" s="400"/>
    </row>
    <row r="5559" spans="1:14" s="360" customFormat="1" hidden="1" outlineLevel="2" x14ac:dyDescent="0.35">
      <c r="A5559" s="403" t="s">
        <v>7804</v>
      </c>
      <c r="B5559" s="397">
        <v>44187</v>
      </c>
      <c r="C5559" s="398" t="s">
        <v>4361</v>
      </c>
      <c r="D5559" s="399" t="s">
        <v>4362</v>
      </c>
      <c r="E5559" s="399" t="s">
        <v>4276</v>
      </c>
      <c r="F5559" s="400">
        <v>125000</v>
      </c>
      <c r="G5559" s="401" t="s">
        <v>3800</v>
      </c>
      <c r="H5559" s="402">
        <v>47.99457197984291</v>
      </c>
      <c r="I5559" s="402"/>
      <c r="J5559" s="400">
        <v>11.998642994960727</v>
      </c>
      <c r="K5559" s="400">
        <v>11.998642994960727</v>
      </c>
      <c r="L5559" s="400">
        <v>11.998642994960727</v>
      </c>
      <c r="M5559" s="400">
        <v>11.998642994960727</v>
      </c>
      <c r="N5559" s="400"/>
    </row>
    <row r="5560" spans="1:14" s="360" customFormat="1" hidden="1" outlineLevel="2" x14ac:dyDescent="0.35">
      <c r="A5560" s="403" t="s">
        <v>7804</v>
      </c>
      <c r="B5560" s="397">
        <v>44187</v>
      </c>
      <c r="C5560" s="398" t="s">
        <v>4363</v>
      </c>
      <c r="D5560" s="399" t="s">
        <v>4364</v>
      </c>
      <c r="E5560" s="399" t="s">
        <v>4042</v>
      </c>
      <c r="F5560" s="400">
        <v>31250</v>
      </c>
      <c r="G5560" s="401" t="s">
        <v>3800</v>
      </c>
      <c r="H5560" s="402">
        <v>11.998642994960727</v>
      </c>
      <c r="I5560" s="402"/>
      <c r="J5560" s="400">
        <v>2.9996607487401818</v>
      </c>
      <c r="K5560" s="400">
        <v>2.9996607487401818</v>
      </c>
      <c r="L5560" s="400">
        <v>2.9996607487401818</v>
      </c>
      <c r="M5560" s="400">
        <v>2.9996607487401818</v>
      </c>
      <c r="N5560" s="400"/>
    </row>
    <row r="5561" spans="1:14" s="360" customFormat="1" hidden="1" outlineLevel="2" x14ac:dyDescent="0.35">
      <c r="A5561" s="403" t="s">
        <v>7804</v>
      </c>
      <c r="B5561" s="397">
        <v>44222</v>
      </c>
      <c r="C5561" s="398" t="s">
        <v>4029</v>
      </c>
      <c r="D5561" s="399" t="s">
        <v>4030</v>
      </c>
      <c r="E5561" s="399" t="s">
        <v>4794</v>
      </c>
      <c r="F5561" s="400">
        <v>2500000</v>
      </c>
      <c r="G5561" s="401" t="s">
        <v>3800</v>
      </c>
      <c r="H5561" s="402">
        <v>930.23108593324514</v>
      </c>
      <c r="I5561" s="402"/>
      <c r="J5561" s="400">
        <v>232.55777148331129</v>
      </c>
      <c r="K5561" s="400">
        <v>232.55777148331129</v>
      </c>
      <c r="L5561" s="400">
        <v>232.55777148331129</v>
      </c>
      <c r="M5561" s="400">
        <v>232.55777148331129</v>
      </c>
      <c r="N5561" s="400"/>
    </row>
    <row r="5562" spans="1:14" s="360" customFormat="1" hidden="1" outlineLevel="2" x14ac:dyDescent="0.35">
      <c r="A5562" s="403" t="s">
        <v>7804</v>
      </c>
      <c r="B5562" s="397">
        <v>44222</v>
      </c>
      <c r="C5562" s="398" t="s">
        <v>4029</v>
      </c>
      <c r="D5562" s="399" t="s">
        <v>4032</v>
      </c>
      <c r="E5562" s="399" t="s">
        <v>4794</v>
      </c>
      <c r="F5562" s="400">
        <v>375000</v>
      </c>
      <c r="G5562" s="401" t="s">
        <v>3800</v>
      </c>
      <c r="H5562" s="402">
        <v>139.53466288998678</v>
      </c>
      <c r="I5562" s="402"/>
      <c r="J5562" s="400">
        <v>34.883665722496694</v>
      </c>
      <c r="K5562" s="400">
        <v>34.883665722496694</v>
      </c>
      <c r="L5562" s="400">
        <v>34.883665722496694</v>
      </c>
      <c r="M5562" s="400">
        <v>34.883665722496694</v>
      </c>
      <c r="N5562" s="400"/>
    </row>
    <row r="5563" spans="1:14" s="360" customFormat="1" hidden="1" outlineLevel="2" x14ac:dyDescent="0.35">
      <c r="A5563" s="403" t="s">
        <v>7804</v>
      </c>
      <c r="B5563" s="397">
        <v>44222</v>
      </c>
      <c r="C5563" s="398" t="s">
        <v>4033</v>
      </c>
      <c r="D5563" s="399" t="s">
        <v>4034</v>
      </c>
      <c r="E5563" s="399" t="s">
        <v>4272</v>
      </c>
      <c r="F5563" s="400">
        <v>312500</v>
      </c>
      <c r="G5563" s="401" t="s">
        <v>3800</v>
      </c>
      <c r="H5563" s="402">
        <v>116.27888574165564</v>
      </c>
      <c r="I5563" s="402"/>
      <c r="J5563" s="400">
        <v>29.069721435413911</v>
      </c>
      <c r="K5563" s="400">
        <v>29.069721435413911</v>
      </c>
      <c r="L5563" s="400">
        <v>29.069721435413911</v>
      </c>
      <c r="M5563" s="400">
        <v>29.069721435413911</v>
      </c>
      <c r="N5563" s="400"/>
    </row>
    <row r="5564" spans="1:14" s="360" customFormat="1" hidden="1" outlineLevel="2" x14ac:dyDescent="0.35">
      <c r="A5564" s="403" t="s">
        <v>7804</v>
      </c>
      <c r="B5564" s="397">
        <v>44222</v>
      </c>
      <c r="C5564" s="398" t="s">
        <v>4029</v>
      </c>
      <c r="D5564" s="399" t="s">
        <v>4036</v>
      </c>
      <c r="E5564" s="399" t="s">
        <v>4794</v>
      </c>
      <c r="F5564" s="400">
        <v>125000</v>
      </c>
      <c r="G5564" s="401" t="s">
        <v>3800</v>
      </c>
      <c r="H5564" s="402">
        <v>46.511554296662254</v>
      </c>
      <c r="I5564" s="402"/>
      <c r="J5564" s="400">
        <v>11.627888574165564</v>
      </c>
      <c r="K5564" s="400">
        <v>11.627888574165564</v>
      </c>
      <c r="L5564" s="400">
        <v>11.627888574165564</v>
      </c>
      <c r="M5564" s="400">
        <v>11.627888574165564</v>
      </c>
      <c r="N5564" s="400"/>
    </row>
    <row r="5565" spans="1:14" s="360" customFormat="1" hidden="1" outlineLevel="2" x14ac:dyDescent="0.35">
      <c r="A5565" s="403" t="s">
        <v>7804</v>
      </c>
      <c r="B5565" s="397">
        <v>44222</v>
      </c>
      <c r="C5565" s="398" t="s">
        <v>4037</v>
      </c>
      <c r="D5565" s="399" t="s">
        <v>4038</v>
      </c>
      <c r="E5565" s="399" t="s">
        <v>4039</v>
      </c>
      <c r="F5565" s="400">
        <v>125000</v>
      </c>
      <c r="G5565" s="401" t="s">
        <v>3800</v>
      </c>
      <c r="H5565" s="402">
        <v>46.511554296662254</v>
      </c>
      <c r="I5565" s="402"/>
      <c r="J5565" s="400">
        <v>11.627888574165564</v>
      </c>
      <c r="K5565" s="400">
        <v>11.627888574165564</v>
      </c>
      <c r="L5565" s="400">
        <v>11.627888574165564</v>
      </c>
      <c r="M5565" s="400">
        <v>11.627888574165564</v>
      </c>
      <c r="N5565" s="400"/>
    </row>
    <row r="5566" spans="1:14" s="360" customFormat="1" hidden="1" outlineLevel="2" collapsed="1" x14ac:dyDescent="0.35">
      <c r="A5566" s="403" t="s">
        <v>7804</v>
      </c>
      <c r="B5566" s="397">
        <v>44222</v>
      </c>
      <c r="C5566" s="398" t="s">
        <v>4040</v>
      </c>
      <c r="D5566" s="399" t="s">
        <v>4041</v>
      </c>
      <c r="E5566" s="399" t="s">
        <v>4042</v>
      </c>
      <c r="F5566" s="400">
        <v>31250</v>
      </c>
      <c r="G5566" s="401" t="s">
        <v>3800</v>
      </c>
      <c r="H5566" s="402">
        <v>11.627888574165564</v>
      </c>
      <c r="I5566" s="402"/>
      <c r="J5566" s="400">
        <v>2.9069721435413909</v>
      </c>
      <c r="K5566" s="400">
        <v>2.9069721435413909</v>
      </c>
      <c r="L5566" s="400">
        <v>2.9069721435413909</v>
      </c>
      <c r="M5566" s="400">
        <v>2.9069721435413909</v>
      </c>
      <c r="N5566" s="400"/>
    </row>
    <row r="5567" spans="1:14" s="360" customFormat="1" hidden="1" outlineLevel="2" x14ac:dyDescent="0.35">
      <c r="A5567" s="403" t="s">
        <v>7804</v>
      </c>
      <c r="B5567" s="397">
        <v>44259</v>
      </c>
      <c r="C5567" s="398" t="s">
        <v>4043</v>
      </c>
      <c r="D5567" s="399" t="s">
        <v>4044</v>
      </c>
      <c r="E5567" s="399" t="s">
        <v>4794</v>
      </c>
      <c r="F5567" s="400">
        <v>2500000</v>
      </c>
      <c r="G5567" s="401" t="s">
        <v>3800</v>
      </c>
      <c r="H5567" s="402">
        <v>930.23108593324514</v>
      </c>
      <c r="I5567" s="402"/>
      <c r="J5567" s="400">
        <v>232.55777148331129</v>
      </c>
      <c r="K5567" s="400">
        <v>232.55777148331129</v>
      </c>
      <c r="L5567" s="400">
        <v>232.55777148331129</v>
      </c>
      <c r="M5567" s="400">
        <v>232.55777148331129</v>
      </c>
      <c r="N5567" s="400"/>
    </row>
    <row r="5568" spans="1:14" s="360" customFormat="1" hidden="1" outlineLevel="2" x14ac:dyDescent="0.35">
      <c r="A5568" s="403" t="s">
        <v>7804</v>
      </c>
      <c r="B5568" s="397">
        <v>44259</v>
      </c>
      <c r="C5568" s="398" t="s">
        <v>4043</v>
      </c>
      <c r="D5568" s="399" t="s">
        <v>4045</v>
      </c>
      <c r="E5568" s="399" t="s">
        <v>4794</v>
      </c>
      <c r="F5568" s="400">
        <v>375000</v>
      </c>
      <c r="G5568" s="401" t="s">
        <v>3800</v>
      </c>
      <c r="H5568" s="402">
        <v>139.53466288998678</v>
      </c>
      <c r="I5568" s="402"/>
      <c r="J5568" s="400">
        <v>34.883665722496694</v>
      </c>
      <c r="K5568" s="400">
        <v>34.883665722496694</v>
      </c>
      <c r="L5568" s="400">
        <v>34.883665722496694</v>
      </c>
      <c r="M5568" s="400">
        <v>34.883665722496694</v>
      </c>
      <c r="N5568" s="400"/>
    </row>
    <row r="5569" spans="1:14" s="360" customFormat="1" hidden="1" outlineLevel="2" x14ac:dyDescent="0.35">
      <c r="A5569" s="403" t="s">
        <v>7804</v>
      </c>
      <c r="B5569" s="397">
        <v>44259</v>
      </c>
      <c r="C5569" s="398" t="s">
        <v>4043</v>
      </c>
      <c r="D5569" s="399" t="s">
        <v>4046</v>
      </c>
      <c r="E5569" s="399" t="s">
        <v>4272</v>
      </c>
      <c r="F5569" s="400">
        <v>312500</v>
      </c>
      <c r="G5569" s="401" t="s">
        <v>3800</v>
      </c>
      <c r="H5569" s="402">
        <v>116.27888574165564</v>
      </c>
      <c r="I5569" s="402"/>
      <c r="J5569" s="400">
        <v>29.069721435413911</v>
      </c>
      <c r="K5569" s="400">
        <v>29.069721435413911</v>
      </c>
      <c r="L5569" s="400">
        <v>29.069721435413911</v>
      </c>
      <c r="M5569" s="400">
        <v>29.069721435413911</v>
      </c>
      <c r="N5569" s="400"/>
    </row>
    <row r="5570" spans="1:14" s="360" customFormat="1" hidden="1" outlineLevel="2" x14ac:dyDescent="0.35">
      <c r="A5570" s="403" t="s">
        <v>7804</v>
      </c>
      <c r="B5570" s="397">
        <v>44259</v>
      </c>
      <c r="C5570" s="398" t="s">
        <v>4043</v>
      </c>
      <c r="D5570" s="399" t="s">
        <v>4047</v>
      </c>
      <c r="E5570" s="399" t="s">
        <v>4794</v>
      </c>
      <c r="F5570" s="400">
        <v>125000</v>
      </c>
      <c r="G5570" s="401" t="s">
        <v>3800</v>
      </c>
      <c r="H5570" s="402">
        <v>46.511554296662254</v>
      </c>
      <c r="I5570" s="402"/>
      <c r="J5570" s="400">
        <v>11.627888574165564</v>
      </c>
      <c r="K5570" s="400">
        <v>11.627888574165564</v>
      </c>
      <c r="L5570" s="400">
        <v>11.627888574165564</v>
      </c>
      <c r="M5570" s="400">
        <v>11.627888574165564</v>
      </c>
      <c r="N5570" s="400"/>
    </row>
    <row r="5571" spans="1:14" s="360" customFormat="1" hidden="1" outlineLevel="2" x14ac:dyDescent="0.35">
      <c r="A5571" s="403" t="s">
        <v>7804</v>
      </c>
      <c r="B5571" s="397">
        <v>44259</v>
      </c>
      <c r="C5571" s="398" t="s">
        <v>4048</v>
      </c>
      <c r="D5571" s="399" t="s">
        <v>4049</v>
      </c>
      <c r="E5571" s="399" t="s">
        <v>4039</v>
      </c>
      <c r="F5571" s="400">
        <v>125000</v>
      </c>
      <c r="G5571" s="401" t="s">
        <v>3800</v>
      </c>
      <c r="H5571" s="402">
        <v>46.511554296662254</v>
      </c>
      <c r="I5571" s="402"/>
      <c r="J5571" s="400">
        <v>11.627888574165564</v>
      </c>
      <c r="K5571" s="400">
        <v>11.627888574165564</v>
      </c>
      <c r="L5571" s="400">
        <v>11.627888574165564</v>
      </c>
      <c r="M5571" s="400">
        <v>11.627888574165564</v>
      </c>
      <c r="N5571" s="400"/>
    </row>
    <row r="5572" spans="1:14" s="360" customFormat="1" hidden="1" outlineLevel="2" x14ac:dyDescent="0.35">
      <c r="A5572" s="403" t="s">
        <v>7804</v>
      </c>
      <c r="B5572" s="397">
        <v>44259</v>
      </c>
      <c r="C5572" s="398" t="s">
        <v>4050</v>
      </c>
      <c r="D5572" s="399" t="s">
        <v>4051</v>
      </c>
      <c r="E5572" s="399" t="s">
        <v>4042</v>
      </c>
      <c r="F5572" s="400">
        <v>31250</v>
      </c>
      <c r="G5572" s="401" t="s">
        <v>3800</v>
      </c>
      <c r="H5572" s="402">
        <v>11.627888574165564</v>
      </c>
      <c r="I5572" s="402"/>
      <c r="J5572" s="400">
        <v>2.9069721435413909</v>
      </c>
      <c r="K5572" s="400">
        <v>2.9069721435413909</v>
      </c>
      <c r="L5572" s="400">
        <v>2.9069721435413909</v>
      </c>
      <c r="M5572" s="400">
        <v>2.9069721435413909</v>
      </c>
      <c r="N5572" s="400"/>
    </row>
    <row r="5573" spans="1:14" s="360" customFormat="1" hidden="1" outlineLevel="2" collapsed="1" x14ac:dyDescent="0.35">
      <c r="A5573" s="403" t="s">
        <v>7804</v>
      </c>
      <c r="B5573" s="397">
        <v>44284</v>
      </c>
      <c r="C5573" s="398" t="s">
        <v>4052</v>
      </c>
      <c r="D5573" s="399" t="s">
        <v>4053</v>
      </c>
      <c r="E5573" s="399" t="s">
        <v>4794</v>
      </c>
      <c r="F5573" s="400">
        <v>2500000</v>
      </c>
      <c r="G5573" s="401" t="s">
        <v>3800</v>
      </c>
      <c r="H5573" s="402">
        <v>930.23108593324514</v>
      </c>
      <c r="I5573" s="402"/>
      <c r="J5573" s="400">
        <v>232.55777148331129</v>
      </c>
      <c r="K5573" s="400">
        <v>232.55777148331129</v>
      </c>
      <c r="L5573" s="400">
        <v>232.55777148331129</v>
      </c>
      <c r="M5573" s="400">
        <v>232.55777148331129</v>
      </c>
      <c r="N5573" s="400"/>
    </row>
    <row r="5574" spans="1:14" s="360" customFormat="1" hidden="1" outlineLevel="2" x14ac:dyDescent="0.35">
      <c r="A5574" s="403" t="s">
        <v>7804</v>
      </c>
      <c r="B5574" s="397">
        <v>44284</v>
      </c>
      <c r="C5574" s="398" t="s">
        <v>4052</v>
      </c>
      <c r="D5574" s="399" t="s">
        <v>4054</v>
      </c>
      <c r="E5574" s="399" t="s">
        <v>4794</v>
      </c>
      <c r="F5574" s="400">
        <v>375000</v>
      </c>
      <c r="G5574" s="401" t="s">
        <v>3800</v>
      </c>
      <c r="H5574" s="402">
        <v>139.53466288998678</v>
      </c>
      <c r="I5574" s="402"/>
      <c r="J5574" s="400">
        <v>34.883665722496694</v>
      </c>
      <c r="K5574" s="400">
        <v>34.883665722496694</v>
      </c>
      <c r="L5574" s="400">
        <v>34.883665722496694</v>
      </c>
      <c r="M5574" s="400">
        <v>34.883665722496694</v>
      </c>
      <c r="N5574" s="400"/>
    </row>
    <row r="5575" spans="1:14" s="360" customFormat="1" hidden="1" outlineLevel="2" x14ac:dyDescent="0.35">
      <c r="A5575" s="403" t="s">
        <v>7804</v>
      </c>
      <c r="B5575" s="397">
        <v>44284</v>
      </c>
      <c r="C5575" s="398" t="s">
        <v>4055</v>
      </c>
      <c r="D5575" s="399" t="s">
        <v>4056</v>
      </c>
      <c r="E5575" s="399" t="s">
        <v>4272</v>
      </c>
      <c r="F5575" s="400">
        <v>312500</v>
      </c>
      <c r="G5575" s="401" t="s">
        <v>3800</v>
      </c>
      <c r="H5575" s="402">
        <v>116.27888574165564</v>
      </c>
      <c r="I5575" s="402"/>
      <c r="J5575" s="400">
        <v>29.069721435413911</v>
      </c>
      <c r="K5575" s="400">
        <v>29.069721435413911</v>
      </c>
      <c r="L5575" s="400">
        <v>29.069721435413911</v>
      </c>
      <c r="M5575" s="400">
        <v>29.069721435413911</v>
      </c>
      <c r="N5575" s="400"/>
    </row>
    <row r="5576" spans="1:14" s="360" customFormat="1" hidden="1" outlineLevel="2" x14ac:dyDescent="0.35">
      <c r="A5576" s="403" t="s">
        <v>7804</v>
      </c>
      <c r="B5576" s="397">
        <v>44284</v>
      </c>
      <c r="C5576" s="398" t="s">
        <v>4052</v>
      </c>
      <c r="D5576" s="399" t="s">
        <v>4057</v>
      </c>
      <c r="E5576" s="399" t="s">
        <v>4794</v>
      </c>
      <c r="F5576" s="400">
        <v>125000</v>
      </c>
      <c r="G5576" s="401" t="s">
        <v>3800</v>
      </c>
      <c r="H5576" s="402">
        <v>46.511554296662254</v>
      </c>
      <c r="I5576" s="402"/>
      <c r="J5576" s="400">
        <v>11.627888574165564</v>
      </c>
      <c r="K5576" s="400">
        <v>11.627888574165564</v>
      </c>
      <c r="L5576" s="400">
        <v>11.627888574165564</v>
      </c>
      <c r="M5576" s="400">
        <v>11.627888574165564</v>
      </c>
      <c r="N5576" s="400"/>
    </row>
    <row r="5577" spans="1:14" s="360" customFormat="1" hidden="1" outlineLevel="2" x14ac:dyDescent="0.35">
      <c r="A5577" s="403" t="s">
        <v>7804</v>
      </c>
      <c r="B5577" s="397">
        <v>44284</v>
      </c>
      <c r="C5577" s="398" t="s">
        <v>4058</v>
      </c>
      <c r="D5577" s="399" t="s">
        <v>4059</v>
      </c>
      <c r="E5577" s="399" t="s">
        <v>4039</v>
      </c>
      <c r="F5577" s="400">
        <v>125000</v>
      </c>
      <c r="G5577" s="401" t="s">
        <v>3800</v>
      </c>
      <c r="H5577" s="402">
        <v>46.511554296662254</v>
      </c>
      <c r="I5577" s="402"/>
      <c r="J5577" s="400">
        <v>11.627888574165564</v>
      </c>
      <c r="K5577" s="400">
        <v>11.627888574165564</v>
      </c>
      <c r="L5577" s="400">
        <v>11.627888574165564</v>
      </c>
      <c r="M5577" s="400">
        <v>11.627888574165564</v>
      </c>
      <c r="N5577" s="400"/>
    </row>
    <row r="5578" spans="1:14" s="360" customFormat="1" hidden="1" outlineLevel="2" x14ac:dyDescent="0.35">
      <c r="A5578" s="403" t="s">
        <v>7804</v>
      </c>
      <c r="B5578" s="397">
        <v>44284</v>
      </c>
      <c r="C5578" s="398" t="s">
        <v>4060</v>
      </c>
      <c r="D5578" s="399" t="s">
        <v>4061</v>
      </c>
      <c r="E5578" s="399" t="s">
        <v>4042</v>
      </c>
      <c r="F5578" s="400">
        <v>31250</v>
      </c>
      <c r="G5578" s="401" t="s">
        <v>3800</v>
      </c>
      <c r="H5578" s="402">
        <v>11.627888574165564</v>
      </c>
      <c r="I5578" s="402"/>
      <c r="J5578" s="400">
        <v>2.9069721435413909</v>
      </c>
      <c r="K5578" s="400">
        <v>2.9069721435413909</v>
      </c>
      <c r="L5578" s="400">
        <v>2.9069721435413909</v>
      </c>
      <c r="M5578" s="400">
        <v>2.9069721435413909</v>
      </c>
      <c r="N5578" s="400"/>
    </row>
    <row r="5579" spans="1:14" s="360" customFormat="1" outlineLevel="1" collapsed="1" x14ac:dyDescent="0.35">
      <c r="A5579" s="404" t="s">
        <v>7805</v>
      </c>
      <c r="B5579" s="405"/>
      <c r="C5579" s="406"/>
      <c r="D5579" s="407"/>
      <c r="E5579" s="407"/>
      <c r="F5579" s="408"/>
      <c r="G5579" s="409"/>
      <c r="H5579" s="410">
        <f t="shared" ref="H5579:N5579" si="354">SUBTOTAL(9,H5489:H5578)</f>
        <v>17746.760917534757</v>
      </c>
      <c r="I5579" s="410"/>
      <c r="J5579" s="408">
        <f t="shared" si="354"/>
        <v>4436.6902293836893</v>
      </c>
      <c r="K5579" s="408">
        <f t="shared" si="354"/>
        <v>4436.6902293836893</v>
      </c>
      <c r="L5579" s="408">
        <f t="shared" si="354"/>
        <v>4436.6902293836893</v>
      </c>
      <c r="M5579" s="408">
        <f t="shared" si="354"/>
        <v>4436.6902293836893</v>
      </c>
      <c r="N5579" s="408">
        <f t="shared" si="354"/>
        <v>0</v>
      </c>
    </row>
    <row r="5580" spans="1:14" s="360" customFormat="1" x14ac:dyDescent="0.35">
      <c r="A5580" s="404" t="s">
        <v>3782</v>
      </c>
      <c r="B5580" s="405"/>
      <c r="C5580" s="406"/>
      <c r="D5580" s="407"/>
      <c r="E5580" s="407"/>
      <c r="F5580" s="408"/>
      <c r="G5580" s="409"/>
      <c r="H5580" s="411">
        <f t="shared" ref="H5580:N5580" si="355">SUBTOTAL(9,H2:H5578)</f>
        <v>1722007.2129711313</v>
      </c>
      <c r="I5580" s="411"/>
      <c r="J5580" s="412">
        <f t="shared" si="355"/>
        <v>195515.93521643608</v>
      </c>
      <c r="K5580" s="412">
        <f t="shared" si="355"/>
        <v>318534.71482903615</v>
      </c>
      <c r="L5580" s="412">
        <f t="shared" si="355"/>
        <v>217407.83787076894</v>
      </c>
      <c r="M5580" s="412">
        <f t="shared" si="355"/>
        <v>203335.75598199008</v>
      </c>
      <c r="N5580" s="412">
        <f t="shared" si="355"/>
        <v>787212.96907292271</v>
      </c>
    </row>
  </sheetData>
  <protectedRanges>
    <protectedRange sqref="B5297:I5299" name="Bereik1_2_1"/>
    <protectedRange sqref="G5301:I5464 F5301:F5316 F5300:I5300 B5300:E5316" name="Bereik1_11_2_1"/>
    <protectedRange sqref="B5317:F5328" name="Bereik1_12_2_1"/>
    <protectedRange sqref="B5329:F5381" name="Bereik1_13_2_1"/>
    <protectedRange sqref="B5382:F5394" name="Bereik1_14_2_1"/>
    <protectedRange sqref="B5395:F5414" name="Bereik1_15_2_1"/>
    <protectedRange sqref="B5415:F5450" name="Bereik1_16_2_1"/>
    <protectedRange sqref="B5451:F5452" name="Bereik1_17_2_1"/>
    <protectedRange sqref="B5453:F5454" name="Bereik1_18_2_1"/>
    <protectedRange sqref="B5455:F5464" name="Bereik1_20_2_1"/>
  </protectedRange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C593E-4571-407E-AAA2-3B706296A5D2}">
  <dimension ref="B2:G132"/>
  <sheetViews>
    <sheetView workbookViewId="0">
      <selection activeCell="G143" sqref="G143"/>
    </sheetView>
  </sheetViews>
  <sheetFormatPr defaultRowHeight="15" x14ac:dyDescent="0.35"/>
  <cols>
    <col min="1" max="1" width="1.44140625" customWidth="1"/>
    <col min="2" max="2" width="8.44140625" customWidth="1"/>
    <col min="3" max="3" width="27.88671875" customWidth="1"/>
    <col min="4" max="4" width="11.109375" customWidth="1"/>
    <col min="5" max="5" width="24.88671875" customWidth="1"/>
    <col min="6" max="6" width="16.109375" customWidth="1"/>
    <col min="7" max="7" width="15" customWidth="1"/>
  </cols>
  <sheetData>
    <row r="2" spans="2:7" x14ac:dyDescent="0.35">
      <c r="B2" t="s">
        <v>1</v>
      </c>
      <c r="C2" t="s">
        <v>7806</v>
      </c>
      <c r="F2" t="s">
        <v>7807</v>
      </c>
      <c r="G2" s="362">
        <v>2019</v>
      </c>
    </row>
    <row r="3" spans="2:7" x14ac:dyDescent="0.35">
      <c r="B3" t="s">
        <v>3785</v>
      </c>
      <c r="C3" t="s">
        <v>3799</v>
      </c>
      <c r="F3" t="s">
        <v>3786</v>
      </c>
      <c r="G3" s="71" t="s">
        <v>7808</v>
      </c>
    </row>
    <row r="4" spans="2:7" ht="15.6" thickBot="1" x14ac:dyDescent="0.4"/>
    <row r="5" spans="2:7" ht="15.6" thickBot="1" x14ac:dyDescent="0.4">
      <c r="C5" s="323" t="str">
        <f>IF([6]Summary!$B$1="Nederlands",[6]Parameters!C$14,IF([6]Summary!$B$1="English",[6]Parameters!C$15,IF([6]Summary!$B$1="Français",[6]Parameters!C$16,"")))</f>
        <v>Description of cash transfer</v>
      </c>
      <c r="D5" s="323" t="str">
        <f>IF([6]Summary!$B$1="Nederlands",[6]Parameters!D$14,IF([6]Summary!$B$1="English",[6]Parameters!D$15,IF([6]Summary!$B$1="Français",[6]Parameters!D$16,"")))</f>
        <v>Date</v>
      </c>
      <c r="E5" s="323" t="str">
        <f>IF([6]Summary!$B$1="Nederlands",[6]Parameters!E$14,IF([6]Summary!$B$1="English",[6]Parameters!E$15,IF([6]Summary!$B$1="Français",[6]Parameters!E$16,"")))</f>
        <v>Amount in local currency</v>
      </c>
      <c r="F5" s="323" t="str">
        <f>IF([6]Summary!$B$1="Nederlands",[6]Parameters!F$14,IF([6]Summary!$B$1="English",[6]Parameters!F$15,IF([6]Summary!$B$1="Français",[6]Parameters!F$16,"")))</f>
        <v>Amount in EUR</v>
      </c>
      <c r="G5" s="323" t="str">
        <f>IF([6]Summary!$B$1="Nederlands",[6]Parameters!G$14,IF([6]Summary!$B$1="English",[6]Parameters!G$15,IF([6]Summary!$B$1="Français",[6]Parameters!G$16,"")))</f>
        <v>Exchange rate</v>
      </c>
    </row>
    <row r="6" spans="2:7" ht="15.6" thickBot="1" x14ac:dyDescent="0.4">
      <c r="C6" s="363"/>
      <c r="D6" s="363"/>
      <c r="E6" s="363"/>
      <c r="F6" s="363"/>
      <c r="G6" s="363"/>
    </row>
    <row r="7" spans="2:7" ht="15.6" thickBot="1" x14ac:dyDescent="0.4">
      <c r="C7" s="364" t="s">
        <v>3788</v>
      </c>
      <c r="D7" s="365"/>
      <c r="E7" s="366"/>
      <c r="F7" s="366"/>
      <c r="G7" s="367"/>
    </row>
    <row r="8" spans="2:7" x14ac:dyDescent="0.35">
      <c r="C8" s="335" t="s">
        <v>7809</v>
      </c>
      <c r="D8" s="371">
        <v>43717</v>
      </c>
      <c r="E8" s="336">
        <v>406716667</v>
      </c>
      <c r="F8" s="336">
        <v>161843.82</v>
      </c>
      <c r="G8" s="372">
        <f>IFERROR(E8/F8,0)</f>
        <v>2513.0194467728206</v>
      </c>
    </row>
    <row r="9" spans="2:7" x14ac:dyDescent="0.35">
      <c r="C9" s="335"/>
      <c r="D9" s="371"/>
      <c r="E9" s="336"/>
      <c r="F9" s="336"/>
      <c r="G9" s="372">
        <f t="shared" ref="G9:G14" si="0">IFERROR(E9/F9,0)</f>
        <v>0</v>
      </c>
    </row>
    <row r="10" spans="2:7" x14ac:dyDescent="0.35">
      <c r="C10" s="335"/>
      <c r="D10" s="371"/>
      <c r="E10" s="336"/>
      <c r="F10" s="336"/>
      <c r="G10" s="372">
        <f t="shared" si="0"/>
        <v>0</v>
      </c>
    </row>
    <row r="11" spans="2:7" x14ac:dyDescent="0.35">
      <c r="C11" s="335"/>
      <c r="D11" s="371"/>
      <c r="E11" s="336"/>
      <c r="F11" s="336"/>
      <c r="G11" s="372">
        <f t="shared" si="0"/>
        <v>0</v>
      </c>
    </row>
    <row r="12" spans="2:7" x14ac:dyDescent="0.35">
      <c r="C12" s="335"/>
      <c r="D12" s="371"/>
      <c r="E12" s="336"/>
      <c r="F12" s="336"/>
      <c r="G12" s="372">
        <f t="shared" si="0"/>
        <v>0</v>
      </c>
    </row>
    <row r="13" spans="2:7" x14ac:dyDescent="0.35">
      <c r="C13" s="335"/>
      <c r="D13" s="371"/>
      <c r="E13" s="336"/>
      <c r="F13" s="336"/>
      <c r="G13" s="372">
        <f t="shared" si="0"/>
        <v>0</v>
      </c>
    </row>
    <row r="14" spans="2:7" ht="15.6" thickBot="1" x14ac:dyDescent="0.4">
      <c r="C14" s="347"/>
      <c r="D14" s="373"/>
      <c r="E14" s="346"/>
      <c r="F14" s="346"/>
      <c r="G14" s="372">
        <f t="shared" si="0"/>
        <v>0</v>
      </c>
    </row>
    <row r="15" spans="2:7" ht="15.6" thickBot="1" x14ac:dyDescent="0.4">
      <c r="C15" s="374"/>
      <c r="D15" s="375"/>
      <c r="E15" s="376">
        <f>SUM(E8:E14)</f>
        <v>406716667</v>
      </c>
      <c r="F15" s="376">
        <f>SUM(F8:F14)</f>
        <v>161843.82</v>
      </c>
      <c r="G15" s="377">
        <f>IFERROR(E15/F15,0)</f>
        <v>2513.0194467728206</v>
      </c>
    </row>
    <row r="16" spans="2:7" ht="15.6" thickBot="1" x14ac:dyDescent="0.4"/>
    <row r="17" spans="3:7" ht="15.6" thickBot="1" x14ac:dyDescent="0.4">
      <c r="C17" s="364" t="str">
        <f>IF([6]Summary!$B$1="Nederlands",[6]Parameters!H$14,IF([6]Summary!$B$1="English",[6]Parameters!H$15,IF([6]Summary!$B$1="Français",[6]Parameters!H$16,"")))</f>
        <v>Other income</v>
      </c>
      <c r="D17" s="365"/>
      <c r="E17" s="366"/>
      <c r="F17" s="366"/>
      <c r="G17" s="367"/>
    </row>
    <row r="18" spans="3:7" x14ac:dyDescent="0.35">
      <c r="C18" s="368"/>
      <c r="D18" s="369"/>
      <c r="E18" s="378"/>
      <c r="F18" s="378"/>
      <c r="G18" s="370"/>
    </row>
    <row r="19" spans="3:7" x14ac:dyDescent="0.35">
      <c r="C19" s="335"/>
      <c r="D19" s="371"/>
      <c r="E19" s="336"/>
      <c r="F19" s="336"/>
      <c r="G19" s="372"/>
    </row>
    <row r="20" spans="3:7" x14ac:dyDescent="0.35">
      <c r="C20" s="335"/>
      <c r="D20" s="371"/>
      <c r="E20" s="336"/>
      <c r="F20" s="336"/>
      <c r="G20" s="372"/>
    </row>
    <row r="21" spans="3:7" x14ac:dyDescent="0.35">
      <c r="C21" s="335"/>
      <c r="D21" s="371"/>
      <c r="E21" s="336"/>
      <c r="F21" s="336"/>
      <c r="G21" s="372"/>
    </row>
    <row r="22" spans="3:7" x14ac:dyDescent="0.35">
      <c r="C22" s="335"/>
      <c r="D22" s="371"/>
      <c r="E22" s="336"/>
      <c r="F22" s="336"/>
      <c r="G22" s="372"/>
    </row>
    <row r="23" spans="3:7" x14ac:dyDescent="0.35">
      <c r="C23" s="335"/>
      <c r="D23" s="371"/>
      <c r="E23" s="336"/>
      <c r="F23" s="336"/>
      <c r="G23" s="372"/>
    </row>
    <row r="24" spans="3:7" ht="15.6" thickBot="1" x14ac:dyDescent="0.4">
      <c r="C24" s="347"/>
      <c r="D24" s="373"/>
      <c r="E24" s="346"/>
      <c r="F24" s="346"/>
      <c r="G24" s="379"/>
    </row>
    <row r="25" spans="3:7" ht="15.6" thickBot="1" x14ac:dyDescent="0.4">
      <c r="C25" s="374"/>
      <c r="D25" s="375"/>
      <c r="E25" s="376">
        <f>SUM(E18:E24)</f>
        <v>0</v>
      </c>
      <c r="F25" s="376">
        <f>SUM(F18:F24)</f>
        <v>0</v>
      </c>
      <c r="G25" s="380"/>
    </row>
    <row r="26" spans="3:7" ht="15.6" thickBot="1" x14ac:dyDescent="0.4"/>
    <row r="27" spans="3:7" ht="15.6" thickBot="1" x14ac:dyDescent="0.4">
      <c r="C27" s="381" t="str">
        <f>CONCATENATE(IF([6]Summary!$B$1="Nederlands",[6]Parameters!E$10,IF([6]Summary!$B$1="English",[6]Parameters!E$11,IF([6]Summary!$B$1="Français",[6]Parameters!E$12,"")))," ",$C$2)</f>
        <v>Total DPIII 19-21</v>
      </c>
      <c r="D27" s="382"/>
      <c r="E27" s="383">
        <f>E25+E15</f>
        <v>406716667</v>
      </c>
      <c r="F27" s="383">
        <f>F25+F15</f>
        <v>161843.82</v>
      </c>
      <c r="G27" s="384"/>
    </row>
    <row r="28" spans="3:7" ht="15.6" thickBot="1" x14ac:dyDescent="0.4">
      <c r="G28" s="385"/>
    </row>
    <row r="29" spans="3:7" ht="15.6" thickBot="1" x14ac:dyDescent="0.4">
      <c r="C29" s="381" t="str">
        <f>IF([6]Summary!$B$1="Nederlands",[6]Parameters!I$14,IF([6]Summary!$B$1="English",[6]Parameters!I$15,IF([6]Summary!$B$1="Français",[6]Parameters!I$16,"")))</f>
        <v>Average exchange rate</v>
      </c>
      <c r="D29" s="382"/>
      <c r="E29" s="383"/>
      <c r="F29" s="383"/>
      <c r="G29" s="384">
        <f>G15</f>
        <v>2513.0194467728206</v>
      </c>
    </row>
    <row r="33" spans="2:7" x14ac:dyDescent="0.35">
      <c r="B33" t="s">
        <v>1</v>
      </c>
      <c r="F33" t="s">
        <v>3784</v>
      </c>
      <c r="G33" s="362">
        <v>2020</v>
      </c>
    </row>
    <row r="34" spans="2:7" x14ac:dyDescent="0.35">
      <c r="B34" t="s">
        <v>3785</v>
      </c>
      <c r="F34" t="s">
        <v>3786</v>
      </c>
    </row>
    <row r="35" spans="2:7" ht="15.6" thickBot="1" x14ac:dyDescent="0.4"/>
    <row r="36" spans="2:7" ht="15.6" thickBot="1" x14ac:dyDescent="0.4">
      <c r="C36" s="323" t="str">
        <f>IF([7]Summary!$B$1="Nederlands",[7]Parameters!C$14,IF([7]Summary!$B$1="English",[7]Parameters!C$15,IF([7]Summary!$B$1="Français",[7]Parameters!C$16,"")))</f>
        <v>Description of cash transfer</v>
      </c>
      <c r="D36" s="323" t="str">
        <f>IF([7]Summary!$B$1="Nederlands",[7]Parameters!D$14,IF([7]Summary!$B$1="English",[7]Parameters!D$15,IF([7]Summary!$B$1="Français",[7]Parameters!D$16,"")))</f>
        <v>Date</v>
      </c>
      <c r="E36" s="323" t="str">
        <f>IF([7]Summary!$B$1="Nederlands",[7]Parameters!E$14,IF([7]Summary!$B$1="English",[7]Parameters!E$15,IF([7]Summary!$B$1="Français",[7]Parameters!E$16,"")))</f>
        <v>Amount in local currency</v>
      </c>
      <c r="F36" s="323" t="str">
        <f>IF([7]Summary!$B$1="Nederlands",[7]Parameters!F$14,IF([7]Summary!$B$1="English",[7]Parameters!F$15,IF([7]Summary!$B$1="Français",[7]Parameters!F$16,"")))</f>
        <v>Amount in EUR</v>
      </c>
      <c r="G36" s="323" t="str">
        <f>IF([7]Summary!$B$1="Nederlands",[7]Parameters!G$14,IF([7]Summary!$B$1="English",[7]Parameters!G$15,IF([7]Summary!$B$1="Français",[7]Parameters!G$16,"")))</f>
        <v>Exchange rate</v>
      </c>
    </row>
    <row r="37" spans="2:7" ht="15.6" thickBot="1" x14ac:dyDescent="0.4">
      <c r="C37" s="363"/>
      <c r="D37" s="363"/>
      <c r="E37" s="363"/>
      <c r="F37" s="363"/>
      <c r="G37" s="363"/>
    </row>
    <row r="38" spans="2:7" ht="15.6" thickBot="1" x14ac:dyDescent="0.4">
      <c r="C38" s="364" t="s">
        <v>3788</v>
      </c>
      <c r="D38" s="365"/>
      <c r="E38" s="366"/>
      <c r="F38" s="366"/>
      <c r="G38" s="367"/>
    </row>
    <row r="39" spans="2:7" x14ac:dyDescent="0.35">
      <c r="C39" s="335" t="s">
        <v>7810</v>
      </c>
      <c r="D39" s="371">
        <v>43936</v>
      </c>
      <c r="E39" s="336">
        <v>227635573</v>
      </c>
      <c r="F39" s="336">
        <v>90811.65</v>
      </c>
      <c r="G39" s="372">
        <f>IFERROR(E39/F39,0)</f>
        <v>2506.6780859063788</v>
      </c>
    </row>
    <row r="40" spans="2:7" x14ac:dyDescent="0.35">
      <c r="C40" s="335" t="s">
        <v>7810</v>
      </c>
      <c r="D40" s="371">
        <v>44012</v>
      </c>
      <c r="E40" s="336">
        <v>392541690</v>
      </c>
      <c r="F40" s="336">
        <v>150000</v>
      </c>
      <c r="G40" s="372">
        <f t="shared" ref="G40:G45" si="1">IFERROR(E40/F40,0)</f>
        <v>2616.9445999999998</v>
      </c>
    </row>
    <row r="41" spans="2:7" x14ac:dyDescent="0.35">
      <c r="C41" s="335" t="s">
        <v>7811</v>
      </c>
      <c r="D41" s="371">
        <v>44141</v>
      </c>
      <c r="E41" s="336">
        <v>172120458</v>
      </c>
      <c r="F41" s="336">
        <v>63396.27</v>
      </c>
      <c r="G41" s="372">
        <f t="shared" si="1"/>
        <v>2714.9934530848582</v>
      </c>
    </row>
    <row r="42" spans="2:7" x14ac:dyDescent="0.35">
      <c r="C42" s="335"/>
      <c r="D42" s="371"/>
      <c r="E42" s="336"/>
      <c r="F42" s="336"/>
      <c r="G42" s="372">
        <f t="shared" si="1"/>
        <v>0</v>
      </c>
    </row>
    <row r="43" spans="2:7" x14ac:dyDescent="0.35">
      <c r="C43" s="335"/>
      <c r="D43" s="371"/>
      <c r="E43" s="336"/>
      <c r="F43" s="336"/>
      <c r="G43" s="372">
        <f t="shared" si="1"/>
        <v>0</v>
      </c>
    </row>
    <row r="44" spans="2:7" x14ac:dyDescent="0.35">
      <c r="C44" s="335"/>
      <c r="D44" s="371"/>
      <c r="E44" s="336"/>
      <c r="F44" s="336"/>
      <c r="G44" s="372">
        <f t="shared" si="1"/>
        <v>0</v>
      </c>
    </row>
    <row r="45" spans="2:7" ht="15.6" thickBot="1" x14ac:dyDescent="0.4">
      <c r="C45" s="347"/>
      <c r="D45" s="373"/>
      <c r="E45" s="346"/>
      <c r="F45" s="346"/>
      <c r="G45" s="372">
        <f t="shared" si="1"/>
        <v>0</v>
      </c>
    </row>
    <row r="46" spans="2:7" ht="15.6" thickBot="1" x14ac:dyDescent="0.4">
      <c r="C46" s="374"/>
      <c r="D46" s="375"/>
      <c r="E46" s="376">
        <f>SUM(E39:E45)</f>
        <v>792297721</v>
      </c>
      <c r="F46" s="376">
        <f>SUM(F39:F45)</f>
        <v>304207.92</v>
      </c>
      <c r="G46" s="377">
        <f>IFERROR(E46/F46,0)</f>
        <v>2604.461188913162</v>
      </c>
    </row>
    <row r="47" spans="2:7" ht="15.6" thickBot="1" x14ac:dyDescent="0.4"/>
    <row r="48" spans="2:7" ht="15.6" thickBot="1" x14ac:dyDescent="0.4">
      <c r="C48" s="364" t="str">
        <f>IF([7]Summary!$B$1="Nederlands",[7]Parameters!H$14,IF([7]Summary!$B$1="English",[7]Parameters!H$15,IF([7]Summary!$B$1="Français",[7]Parameters!H$16,"")))</f>
        <v>Other income</v>
      </c>
      <c r="D48" s="365"/>
      <c r="E48" s="366"/>
      <c r="F48" s="366"/>
      <c r="G48" s="367"/>
    </row>
    <row r="49" spans="3:7" x14ac:dyDescent="0.35">
      <c r="C49" s="368"/>
      <c r="D49" s="369"/>
      <c r="E49" s="378"/>
      <c r="F49" s="378"/>
      <c r="G49" s="370"/>
    </row>
    <row r="50" spans="3:7" x14ac:dyDescent="0.35">
      <c r="C50" s="335"/>
      <c r="D50" s="371"/>
      <c r="E50" s="336"/>
      <c r="F50" s="336"/>
      <c r="G50" s="372"/>
    </row>
    <row r="51" spans="3:7" x14ac:dyDescent="0.35">
      <c r="C51" s="335"/>
      <c r="D51" s="371"/>
      <c r="E51" s="336"/>
      <c r="F51" s="336"/>
      <c r="G51" s="372"/>
    </row>
    <row r="52" spans="3:7" x14ac:dyDescent="0.35">
      <c r="C52" s="335"/>
      <c r="D52" s="371"/>
      <c r="E52" s="336"/>
      <c r="F52" s="336"/>
      <c r="G52" s="372"/>
    </row>
    <row r="53" spans="3:7" x14ac:dyDescent="0.35">
      <c r="C53" s="335"/>
      <c r="D53" s="371"/>
      <c r="E53" s="336"/>
      <c r="F53" s="336"/>
      <c r="G53" s="372"/>
    </row>
    <row r="54" spans="3:7" x14ac:dyDescent="0.35">
      <c r="C54" s="335"/>
      <c r="D54" s="371"/>
      <c r="E54" s="336"/>
      <c r="F54" s="336"/>
      <c r="G54" s="372"/>
    </row>
    <row r="55" spans="3:7" ht="15.6" thickBot="1" x14ac:dyDescent="0.4">
      <c r="C55" s="347"/>
      <c r="D55" s="373"/>
      <c r="E55" s="346"/>
      <c r="F55" s="346"/>
      <c r="G55" s="379"/>
    </row>
    <row r="56" spans="3:7" ht="15.6" thickBot="1" x14ac:dyDescent="0.4">
      <c r="C56" s="374"/>
      <c r="D56" s="375"/>
      <c r="E56" s="376">
        <f>SUM(E49:E55)</f>
        <v>0</v>
      </c>
      <c r="F56" s="376">
        <f>SUM(F49:F55)</f>
        <v>0</v>
      </c>
      <c r="G56" s="380"/>
    </row>
    <row r="57" spans="3:7" ht="15.6" thickBot="1" x14ac:dyDescent="0.4"/>
    <row r="58" spans="3:7" ht="15.6" thickBot="1" x14ac:dyDescent="0.4">
      <c r="C58" s="381" t="str">
        <f>CONCATENATE(IF([7]Summary!$B$1="Nederlands",[7]Parameters!E$10,IF([7]Summary!$B$1="English",[7]Parameters!E$11,IF([7]Summary!$B$1="Français",[7]Parameters!E$12,"")))," ",$C$2)</f>
        <v>Total DPIII 19-21</v>
      </c>
      <c r="D58" s="382"/>
      <c r="E58" s="383">
        <f>E56+E46</f>
        <v>792297721</v>
      </c>
      <c r="F58" s="383">
        <f>F56+F46</f>
        <v>304207.92</v>
      </c>
      <c r="G58" s="384"/>
    </row>
    <row r="59" spans="3:7" ht="15.6" thickBot="1" x14ac:dyDescent="0.4">
      <c r="G59" s="385"/>
    </row>
    <row r="60" spans="3:7" ht="15.6" thickBot="1" x14ac:dyDescent="0.4">
      <c r="C60" s="381" t="str">
        <f>IF([7]Summary!$B$1="Nederlands",[7]Parameters!I$14,IF([7]Summary!$B$1="English",[7]Parameters!I$15,IF([7]Summary!$B$1="Français",[7]Parameters!I$16,"")))</f>
        <v>Average exchange rate</v>
      </c>
      <c r="D60" s="382"/>
      <c r="E60" s="383"/>
      <c r="F60" s="383"/>
      <c r="G60" s="384">
        <f>G46</f>
        <v>2604.461188913162</v>
      </c>
    </row>
    <row r="66" spans="2:7" x14ac:dyDescent="0.35">
      <c r="B66" t="s">
        <v>1</v>
      </c>
      <c r="C66" t="s">
        <v>7812</v>
      </c>
      <c r="F66" t="s">
        <v>3784</v>
      </c>
      <c r="G66" s="362">
        <v>2021</v>
      </c>
    </row>
    <row r="67" spans="2:7" x14ac:dyDescent="0.35">
      <c r="B67" t="s">
        <v>3785</v>
      </c>
      <c r="C67" t="s">
        <v>3799</v>
      </c>
      <c r="F67" t="s">
        <v>3786</v>
      </c>
      <c r="G67" t="s">
        <v>7813</v>
      </c>
    </row>
    <row r="68" spans="2:7" ht="15.6" thickBot="1" x14ac:dyDescent="0.4"/>
    <row r="69" spans="2:7" ht="15.6" thickBot="1" x14ac:dyDescent="0.4">
      <c r="C69" s="323" t="str">
        <f>IF([8]Summary!$B$1="Nederlands",[8]Parameters!C$14,IF([8]Summary!$B$1="English",[8]Parameters!C$15,IF([8]Summary!$B$1="Français",[8]Parameters!C$16,"")))</f>
        <v>Description of cash transfer</v>
      </c>
      <c r="D69" s="323" t="str">
        <f>IF([8]Summary!$B$1="Nederlands",[8]Parameters!D$14,IF([8]Summary!$B$1="English",[8]Parameters!D$15,IF([8]Summary!$B$1="Français",[8]Parameters!D$16,"")))</f>
        <v>Date</v>
      </c>
      <c r="E69" s="323" t="str">
        <f>IF([8]Summary!$B$1="Nederlands",[8]Parameters!E$14,IF([8]Summary!$B$1="English",[8]Parameters!E$15,IF([8]Summary!$B$1="Français",[8]Parameters!E$16,"")))</f>
        <v>Amount in local currency</v>
      </c>
      <c r="F69" s="323" t="str">
        <f>IF([8]Summary!$B$1="Nederlands",[8]Parameters!F$14,IF([8]Summary!$B$1="English",[8]Parameters!F$15,IF([8]Summary!$B$1="Français",[8]Parameters!F$16,"")))</f>
        <v>Amount in EUR</v>
      </c>
      <c r="G69" s="323" t="str">
        <f>IF([8]Summary!$B$1="Nederlands",[8]Parameters!G$14,IF([8]Summary!$B$1="English",[8]Parameters!G$15,IF([8]Summary!$B$1="Français",[8]Parameters!G$16,"")))</f>
        <v>Exchange rate</v>
      </c>
    </row>
    <row r="70" spans="2:7" ht="15.6" thickBot="1" x14ac:dyDescent="0.4">
      <c r="C70" s="363"/>
      <c r="D70" s="363"/>
      <c r="E70" s="363"/>
      <c r="F70" s="363"/>
      <c r="G70" s="363"/>
    </row>
    <row r="71" spans="2:7" ht="15.6" thickBot="1" x14ac:dyDescent="0.4">
      <c r="C71" s="364" t="s">
        <v>3788</v>
      </c>
      <c r="D71" s="365"/>
      <c r="E71" s="366"/>
      <c r="F71" s="366"/>
      <c r="G71" s="367"/>
    </row>
    <row r="72" spans="2:7" x14ac:dyDescent="0.35">
      <c r="C72" s="335" t="s">
        <v>7814</v>
      </c>
      <c r="D72" s="371">
        <v>44260</v>
      </c>
      <c r="E72" s="336">
        <v>219563652</v>
      </c>
      <c r="F72" s="336">
        <v>79209.59</v>
      </c>
      <c r="G72" s="372">
        <f>IFERROR(E72/F72,0)</f>
        <v>2771.9326914834428</v>
      </c>
    </row>
    <row r="73" spans="2:7" x14ac:dyDescent="0.35">
      <c r="C73" s="335" t="s">
        <v>7815</v>
      </c>
      <c r="D73" s="371">
        <v>44424</v>
      </c>
      <c r="E73" s="336">
        <v>113522088</v>
      </c>
      <c r="F73" s="336">
        <v>42061.36</v>
      </c>
      <c r="G73" s="372">
        <f t="shared" ref="G73:G83" si="2">IFERROR(E73/F73,0)</f>
        <v>2698.9637995537946</v>
      </c>
    </row>
    <row r="74" spans="2:7" x14ac:dyDescent="0.35">
      <c r="C74" s="335" t="s">
        <v>7816</v>
      </c>
      <c r="D74" s="371">
        <v>44545</v>
      </c>
      <c r="E74" s="336">
        <v>81731966</v>
      </c>
      <c r="F74" s="336">
        <v>31835.83</v>
      </c>
      <c r="G74" s="372">
        <f t="shared" si="2"/>
        <v>2567.2949629395557</v>
      </c>
    </row>
    <row r="75" spans="2:7" x14ac:dyDescent="0.35">
      <c r="C75" s="335" t="s">
        <v>7817</v>
      </c>
      <c r="D75" s="371">
        <v>44257</v>
      </c>
      <c r="E75" s="336">
        <v>412596224</v>
      </c>
      <c r="F75" s="336">
        <v>148857</v>
      </c>
      <c r="G75" s="372">
        <f t="shared" si="2"/>
        <v>2771.7623222287161</v>
      </c>
    </row>
    <row r="76" spans="2:7" x14ac:dyDescent="0.35">
      <c r="C76" s="335" t="s">
        <v>7818</v>
      </c>
      <c r="D76" s="371">
        <v>44403</v>
      </c>
      <c r="E76" s="336">
        <v>332426180</v>
      </c>
      <c r="F76" s="336">
        <v>122675</v>
      </c>
      <c r="G76" s="372">
        <f t="shared" si="2"/>
        <v>2709.8119421234969</v>
      </c>
    </row>
    <row r="77" spans="2:7" x14ac:dyDescent="0.35">
      <c r="C77" s="335" t="s">
        <v>7818</v>
      </c>
      <c r="D77" s="371">
        <v>44454</v>
      </c>
      <c r="E77" s="336">
        <v>266947568</v>
      </c>
      <c r="F77" s="336">
        <v>99337</v>
      </c>
      <c r="G77" s="372">
        <f t="shared" si="2"/>
        <v>2687.2924288029635</v>
      </c>
    </row>
    <row r="78" spans="2:7" x14ac:dyDescent="0.35">
      <c r="C78" s="335" t="s">
        <v>7819</v>
      </c>
      <c r="D78" s="371">
        <v>44503</v>
      </c>
      <c r="E78" s="336">
        <v>924216264</v>
      </c>
      <c r="F78" s="336">
        <v>350815</v>
      </c>
      <c r="G78" s="372">
        <f t="shared" si="2"/>
        <v>2634.483314567507</v>
      </c>
    </row>
    <row r="79" spans="2:7" x14ac:dyDescent="0.35">
      <c r="C79" s="335"/>
      <c r="D79" s="371"/>
      <c r="E79" s="336"/>
      <c r="F79" s="336"/>
      <c r="G79" s="372">
        <f t="shared" si="2"/>
        <v>0</v>
      </c>
    </row>
    <row r="80" spans="2:7" x14ac:dyDescent="0.35">
      <c r="C80" s="335"/>
      <c r="D80" s="371"/>
      <c r="E80" s="336"/>
      <c r="F80" s="336"/>
      <c r="G80" s="372">
        <f t="shared" si="2"/>
        <v>0</v>
      </c>
    </row>
    <row r="81" spans="3:7" x14ac:dyDescent="0.35">
      <c r="C81" s="335"/>
      <c r="D81" s="371"/>
      <c r="E81" s="336"/>
      <c r="F81" s="336"/>
      <c r="G81" s="372">
        <f t="shared" si="2"/>
        <v>0</v>
      </c>
    </row>
    <row r="82" spans="3:7" x14ac:dyDescent="0.35">
      <c r="C82" s="335"/>
      <c r="D82" s="371"/>
      <c r="E82" s="336"/>
      <c r="F82" s="336"/>
      <c r="G82" s="372">
        <f t="shared" si="2"/>
        <v>0</v>
      </c>
    </row>
    <row r="83" spans="3:7" ht="15.6" thickBot="1" x14ac:dyDescent="0.4">
      <c r="C83" s="347"/>
      <c r="D83" s="373"/>
      <c r="E83" s="346"/>
      <c r="F83" s="346"/>
      <c r="G83" s="372">
        <f t="shared" si="2"/>
        <v>0</v>
      </c>
    </row>
    <row r="84" spans="3:7" ht="15.6" thickBot="1" x14ac:dyDescent="0.4">
      <c r="C84" s="374"/>
      <c r="D84" s="375"/>
      <c r="E84" s="376">
        <f>SUM(E72:E83)</f>
        <v>2351003942</v>
      </c>
      <c r="F84" s="376">
        <f>SUM(F72:F83)</f>
        <v>874790.78</v>
      </c>
      <c r="G84" s="377">
        <f>IFERROR(E84/F84,0)</f>
        <v>2687.5042533027154</v>
      </c>
    </row>
    <row r="85" spans="3:7" ht="15.6" thickBot="1" x14ac:dyDescent="0.4"/>
    <row r="86" spans="3:7" ht="15.6" thickBot="1" x14ac:dyDescent="0.4">
      <c r="C86" s="364" t="str">
        <f>IF([8]Summary!$B$1="Nederlands",[8]Parameters!H$14,IF([8]Summary!$B$1="English",[8]Parameters!H$15,IF([8]Summary!$B$1="Français",[8]Parameters!H$16,"")))</f>
        <v>Other income</v>
      </c>
      <c r="D86" s="365"/>
      <c r="E86" s="366"/>
      <c r="F86" s="366"/>
      <c r="G86" s="367"/>
    </row>
    <row r="87" spans="3:7" x14ac:dyDescent="0.35">
      <c r="C87" s="368"/>
      <c r="D87" s="369"/>
      <c r="E87" s="378"/>
      <c r="F87" s="378"/>
      <c r="G87" s="370"/>
    </row>
    <row r="88" spans="3:7" x14ac:dyDescent="0.35">
      <c r="C88" s="335"/>
      <c r="D88" s="371"/>
      <c r="E88" s="336"/>
      <c r="F88" s="336"/>
      <c r="G88" s="372"/>
    </row>
    <row r="89" spans="3:7" x14ac:dyDescent="0.35">
      <c r="C89" s="335"/>
      <c r="D89" s="371"/>
      <c r="E89" s="336"/>
      <c r="F89" s="336"/>
      <c r="G89" s="372"/>
    </row>
    <row r="90" spans="3:7" x14ac:dyDescent="0.35">
      <c r="C90" s="335"/>
      <c r="D90" s="371"/>
      <c r="E90" s="336"/>
      <c r="F90" s="336"/>
      <c r="G90" s="372"/>
    </row>
    <row r="91" spans="3:7" x14ac:dyDescent="0.35">
      <c r="C91" s="335"/>
      <c r="D91" s="371"/>
      <c r="E91" s="336"/>
      <c r="F91" s="336"/>
      <c r="G91" s="372"/>
    </row>
    <row r="92" spans="3:7" x14ac:dyDescent="0.35">
      <c r="C92" s="335"/>
      <c r="D92" s="371"/>
      <c r="E92" s="336"/>
      <c r="F92" s="336"/>
      <c r="G92" s="372"/>
    </row>
    <row r="93" spans="3:7" ht="15.6" thickBot="1" x14ac:dyDescent="0.4">
      <c r="C93" s="347"/>
      <c r="D93" s="373"/>
      <c r="E93" s="346"/>
      <c r="F93" s="346"/>
      <c r="G93" s="379"/>
    </row>
    <row r="94" spans="3:7" ht="15.6" thickBot="1" x14ac:dyDescent="0.4">
      <c r="C94" s="374"/>
      <c r="D94" s="375"/>
      <c r="E94" s="376">
        <f>SUM(E87:E93)</f>
        <v>0</v>
      </c>
      <c r="F94" s="376">
        <f>SUM(F87:F93)</f>
        <v>0</v>
      </c>
      <c r="G94" s="380"/>
    </row>
    <row r="95" spans="3:7" ht="15.6" thickBot="1" x14ac:dyDescent="0.4"/>
    <row r="96" spans="3:7" ht="15.6" thickBot="1" x14ac:dyDescent="0.4">
      <c r="C96" s="381" t="str">
        <f>CONCATENATE(IF([8]Summary!$B$1="Nederlands",[8]Parameters!E$10,IF([8]Summary!$B$1="English",[8]Parameters!E$11,IF([8]Summary!$B$1="Français",[8]Parameters!E$12,"")))," ",$C$2)</f>
        <v>Total DPIII 19-21</v>
      </c>
      <c r="D96" s="382"/>
      <c r="E96" s="383">
        <f>E94+E84</f>
        <v>2351003942</v>
      </c>
      <c r="F96" s="383">
        <f>F94+F84</f>
        <v>874790.78</v>
      </c>
      <c r="G96" s="384"/>
    </row>
    <row r="97" spans="2:7" ht="15.6" thickBot="1" x14ac:dyDescent="0.4">
      <c r="G97" s="385"/>
    </row>
    <row r="98" spans="2:7" ht="15.6" thickBot="1" x14ac:dyDescent="0.4">
      <c r="C98" s="381" t="str">
        <f>IF([8]Summary!$B$1="Nederlands",[8]Parameters!I$14,IF([8]Summary!$B$1="English",[8]Parameters!I$15,IF([8]Summary!$B$1="Français",[8]Parameters!I$16,"")))</f>
        <v>Average exchange rate</v>
      </c>
      <c r="D98" s="382"/>
      <c r="E98" s="383"/>
      <c r="F98" s="383"/>
      <c r="G98" s="384">
        <f>G84</f>
        <v>2687.5042533027154</v>
      </c>
    </row>
    <row r="102" spans="2:7" x14ac:dyDescent="0.35">
      <c r="B102" t="s">
        <v>1</v>
      </c>
      <c r="C102" t="s">
        <v>7812</v>
      </c>
      <c r="F102" t="s">
        <v>3784</v>
      </c>
      <c r="G102" s="362">
        <v>2022</v>
      </c>
    </row>
    <row r="103" spans="2:7" x14ac:dyDescent="0.35">
      <c r="B103" t="s">
        <v>3785</v>
      </c>
      <c r="C103" t="s">
        <v>3799</v>
      </c>
      <c r="F103" t="s">
        <v>3786</v>
      </c>
      <c r="G103" t="s">
        <v>7813</v>
      </c>
    </row>
    <row r="104" spans="2:7" ht="15.6" thickBot="1" x14ac:dyDescent="0.4"/>
    <row r="105" spans="2:7" ht="15.6" thickBot="1" x14ac:dyDescent="0.4">
      <c r="C105" s="323" t="str">
        <f>IF([9]Summary!$B$1="Nederlands",[9]Parameters!C$14,IF([9]Summary!$B$1="English",[9]Parameters!C$15,IF([9]Summary!$B$1="Français",[9]Parameters!C$16,"")))</f>
        <v>Description of cash transfer</v>
      </c>
      <c r="D105" s="323" t="str">
        <f>IF([9]Summary!$B$1="Nederlands",[9]Parameters!D$14,IF([9]Summary!$B$1="English",[9]Parameters!D$15,IF([9]Summary!$B$1="Français",[9]Parameters!D$16,"")))</f>
        <v>Date</v>
      </c>
      <c r="E105" s="323" t="str">
        <f>IF([9]Summary!$B$1="Nederlands",[9]Parameters!E$14,IF([9]Summary!$B$1="English",[9]Parameters!E$15,IF([9]Summary!$B$1="Français",[9]Parameters!E$16,"")))</f>
        <v>Amount in local currency</v>
      </c>
      <c r="F105" s="323" t="str">
        <f>IF([9]Summary!$B$1="Nederlands",[9]Parameters!F$14,IF([9]Summary!$B$1="English",[9]Parameters!F$15,IF([9]Summary!$B$1="Français",[9]Parameters!F$16,"")))</f>
        <v>Amount in EUR</v>
      </c>
      <c r="G105" s="323" t="str">
        <f>IF([9]Summary!$B$1="Nederlands",[9]Parameters!G$14,IF([9]Summary!$B$1="English",[9]Parameters!G$15,IF([9]Summary!$B$1="Français",[9]Parameters!G$16,"")))</f>
        <v>Exchange rate</v>
      </c>
    </row>
    <row r="106" spans="2:7" ht="15.6" thickBot="1" x14ac:dyDescent="0.4">
      <c r="C106" s="363"/>
      <c r="D106" s="363"/>
      <c r="E106" s="363"/>
      <c r="F106" s="363"/>
      <c r="G106" s="363"/>
    </row>
    <row r="107" spans="2:7" ht="15.6" thickBot="1" x14ac:dyDescent="0.4">
      <c r="C107" s="364" t="s">
        <v>3788</v>
      </c>
      <c r="D107" s="365"/>
      <c r="E107" s="366"/>
      <c r="F107" s="366"/>
      <c r="G107" s="367"/>
    </row>
    <row r="108" spans="2:7" x14ac:dyDescent="0.35">
      <c r="C108" s="368" t="s">
        <v>7814</v>
      </c>
      <c r="D108" s="369">
        <v>44260</v>
      </c>
      <c r="E108" s="378">
        <v>219563652</v>
      </c>
      <c r="F108" s="378">
        <v>79209.59</v>
      </c>
      <c r="G108" s="370">
        <f>IFERROR(E108/F108,0)</f>
        <v>2771.9326914834428</v>
      </c>
    </row>
    <row r="109" spans="2:7" x14ac:dyDescent="0.35">
      <c r="C109" s="335" t="s">
        <v>7815</v>
      </c>
      <c r="D109" s="371">
        <v>44424</v>
      </c>
      <c r="E109" s="336">
        <v>113522088</v>
      </c>
      <c r="F109" s="336">
        <v>42061.36</v>
      </c>
      <c r="G109" s="372">
        <f t="shared" ref="G109:G117" si="3">IFERROR(E109/F109,0)</f>
        <v>2698.9637995537946</v>
      </c>
    </row>
    <row r="110" spans="2:7" x14ac:dyDescent="0.35">
      <c r="C110" s="335" t="s">
        <v>7816</v>
      </c>
      <c r="D110" s="371">
        <v>44545</v>
      </c>
      <c r="E110" s="336">
        <v>81731966</v>
      </c>
      <c r="F110" s="336">
        <v>31835.83</v>
      </c>
      <c r="G110" s="372">
        <f t="shared" si="3"/>
        <v>2567.2949629395557</v>
      </c>
    </row>
    <row r="111" spans="2:7" x14ac:dyDescent="0.35">
      <c r="C111" s="335" t="s">
        <v>7817</v>
      </c>
      <c r="D111" s="371">
        <v>44257</v>
      </c>
      <c r="E111" s="336">
        <v>412596224</v>
      </c>
      <c r="F111" s="336">
        <v>148857</v>
      </c>
      <c r="G111" s="372">
        <f t="shared" si="3"/>
        <v>2771.7623222287161</v>
      </c>
    </row>
    <row r="112" spans="2:7" x14ac:dyDescent="0.35">
      <c r="C112" s="335" t="s">
        <v>7818</v>
      </c>
      <c r="D112" s="371">
        <v>44403</v>
      </c>
      <c r="E112" s="336">
        <v>332426180</v>
      </c>
      <c r="F112" s="336">
        <v>122675</v>
      </c>
      <c r="G112" s="372">
        <f t="shared" si="3"/>
        <v>2709.8119421234969</v>
      </c>
    </row>
    <row r="113" spans="3:7" x14ac:dyDescent="0.35">
      <c r="C113" s="335" t="s">
        <v>7818</v>
      </c>
      <c r="D113" s="371">
        <v>44454</v>
      </c>
      <c r="E113" s="336">
        <v>266947568</v>
      </c>
      <c r="F113" s="336">
        <v>99337</v>
      </c>
      <c r="G113" s="372">
        <f t="shared" si="3"/>
        <v>2687.2924288029635</v>
      </c>
    </row>
    <row r="114" spans="3:7" x14ac:dyDescent="0.35">
      <c r="C114" s="335" t="s">
        <v>7819</v>
      </c>
      <c r="D114" s="371">
        <v>44503</v>
      </c>
      <c r="E114" s="336">
        <v>924216264</v>
      </c>
      <c r="F114" s="336">
        <v>350815</v>
      </c>
      <c r="G114" s="372">
        <f t="shared" si="3"/>
        <v>2634.483314567507</v>
      </c>
    </row>
    <row r="115" spans="3:7" x14ac:dyDescent="0.35">
      <c r="C115" s="335"/>
      <c r="D115" s="371"/>
      <c r="E115" s="336"/>
      <c r="F115" s="336"/>
      <c r="G115" s="372">
        <f t="shared" si="3"/>
        <v>0</v>
      </c>
    </row>
    <row r="116" spans="3:7" x14ac:dyDescent="0.35">
      <c r="C116" s="335"/>
      <c r="D116" s="371"/>
      <c r="E116" s="336"/>
      <c r="F116" s="336"/>
      <c r="G116" s="372">
        <f t="shared" si="3"/>
        <v>0</v>
      </c>
    </row>
    <row r="117" spans="3:7" ht="15.6" thickBot="1" x14ac:dyDescent="0.4">
      <c r="C117" s="347"/>
      <c r="D117" s="373"/>
      <c r="E117" s="346"/>
      <c r="F117" s="346"/>
      <c r="G117" s="372">
        <f t="shared" si="3"/>
        <v>0</v>
      </c>
    </row>
    <row r="118" spans="3:7" ht="15.6" thickBot="1" x14ac:dyDescent="0.4">
      <c r="C118" s="374"/>
      <c r="D118" s="375"/>
      <c r="E118" s="376">
        <f>SUM(E108:E117)</f>
        <v>2351003942</v>
      </c>
      <c r="F118" s="376">
        <f>SUM(F108:F117)</f>
        <v>874790.78</v>
      </c>
      <c r="G118" s="377">
        <f>IFERROR(E118/F118,0)</f>
        <v>2687.5042533027154</v>
      </c>
    </row>
    <row r="119" spans="3:7" ht="15.6" thickBot="1" x14ac:dyDescent="0.4"/>
    <row r="120" spans="3:7" ht="15.6" thickBot="1" x14ac:dyDescent="0.4">
      <c r="C120" s="364" t="str">
        <f>IF([9]Summary!$B$1="Nederlands",[9]Parameters!H$14,IF([9]Summary!$B$1="English",[9]Parameters!H$15,IF([9]Summary!$B$1="Français",[9]Parameters!H$16,"")))</f>
        <v>Other income</v>
      </c>
      <c r="D120" s="365"/>
      <c r="E120" s="366"/>
      <c r="F120" s="366"/>
      <c r="G120" s="367"/>
    </row>
    <row r="121" spans="3:7" x14ac:dyDescent="0.35">
      <c r="C121" s="368"/>
      <c r="D121" s="369"/>
      <c r="E121" s="378"/>
      <c r="F121" s="378"/>
      <c r="G121" s="370"/>
    </row>
    <row r="122" spans="3:7" x14ac:dyDescent="0.35">
      <c r="C122" s="335"/>
      <c r="D122" s="371"/>
      <c r="E122" s="336"/>
      <c r="F122" s="336"/>
      <c r="G122" s="372"/>
    </row>
    <row r="123" spans="3:7" x14ac:dyDescent="0.35">
      <c r="C123" s="335"/>
      <c r="D123" s="371"/>
      <c r="E123" s="336"/>
      <c r="F123" s="336"/>
      <c r="G123" s="372"/>
    </row>
    <row r="124" spans="3:7" x14ac:dyDescent="0.35">
      <c r="C124" s="335"/>
      <c r="D124" s="371"/>
      <c r="E124" s="336"/>
      <c r="F124" s="336"/>
      <c r="G124" s="372"/>
    </row>
    <row r="125" spans="3:7" x14ac:dyDescent="0.35">
      <c r="C125" s="335"/>
      <c r="D125" s="371"/>
      <c r="E125" s="336"/>
      <c r="F125" s="336"/>
      <c r="G125" s="372"/>
    </row>
    <row r="126" spans="3:7" x14ac:dyDescent="0.35">
      <c r="C126" s="335"/>
      <c r="D126" s="371"/>
      <c r="E126" s="336"/>
      <c r="F126" s="336"/>
      <c r="G126" s="372"/>
    </row>
    <row r="127" spans="3:7" ht="15.6" thickBot="1" x14ac:dyDescent="0.4">
      <c r="C127" s="347"/>
      <c r="D127" s="373"/>
      <c r="E127" s="346"/>
      <c r="F127" s="346"/>
      <c r="G127" s="379"/>
    </row>
    <row r="128" spans="3:7" ht="15.6" thickBot="1" x14ac:dyDescent="0.4">
      <c r="C128" s="374"/>
      <c r="D128" s="375"/>
      <c r="E128" s="376">
        <f>SUM(E121:E127)</f>
        <v>0</v>
      </c>
      <c r="F128" s="376">
        <f>SUM(F121:F127)</f>
        <v>0</v>
      </c>
      <c r="G128" s="380"/>
    </row>
    <row r="129" spans="3:7" ht="15.6" thickBot="1" x14ac:dyDescent="0.4"/>
    <row r="130" spans="3:7" ht="15.6" thickBot="1" x14ac:dyDescent="0.4">
      <c r="C130" s="381" t="str">
        <f>CONCATENATE(IF([9]Summary!$B$1="Nederlands",[9]Parameters!E$10,IF([9]Summary!$B$1="English",[9]Parameters!E$11,IF([9]Summary!$B$1="Français",[9]Parameters!E$12,"")))," ",$C$2)</f>
        <v>Total DPIII 19-21</v>
      </c>
      <c r="D130" s="382"/>
      <c r="E130" s="383">
        <f>E128+E118</f>
        <v>2351003942</v>
      </c>
      <c r="F130" s="383">
        <f>F128+F118</f>
        <v>874790.78</v>
      </c>
      <c r="G130" s="384"/>
    </row>
    <row r="131" spans="3:7" ht="15.6" thickBot="1" x14ac:dyDescent="0.4">
      <c r="G131" s="385"/>
    </row>
    <row r="132" spans="3:7" ht="15.6" thickBot="1" x14ac:dyDescent="0.4">
      <c r="C132" s="381" t="str">
        <f>IF([9]Summary!$B$1="Nederlands",[9]Parameters!I$14,IF([9]Summary!$B$1="English",[9]Parameters!I$15,IF([9]Summary!$B$1="Français",[9]Parameters!I$16,"")))</f>
        <v>Average exchange rate</v>
      </c>
      <c r="D132" s="382"/>
      <c r="E132" s="383"/>
      <c r="F132" s="383"/>
      <c r="G132" s="384">
        <f>G118</f>
        <v>2687.5042533027154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F36B6-03E1-4CFF-B2BA-A39070BE720A}">
  <dimension ref="B1:LY990"/>
  <sheetViews>
    <sheetView workbookViewId="0">
      <selection activeCell="B3" sqref="B3"/>
    </sheetView>
  </sheetViews>
  <sheetFormatPr defaultColWidth="14.44140625" defaultRowHeight="14.4" x14ac:dyDescent="0.3"/>
  <cols>
    <col min="1" max="1" width="4.6640625" style="634" customWidth="1"/>
    <col min="2" max="2" width="81" style="634" customWidth="1"/>
    <col min="3" max="3" width="17.6640625" style="634" customWidth="1"/>
    <col min="4" max="4" width="13.6640625" style="634" customWidth="1"/>
    <col min="5" max="5" width="16.5546875" style="634" customWidth="1"/>
    <col min="6" max="6" width="20.6640625" style="634" customWidth="1"/>
    <col min="7" max="7" width="12" style="634" customWidth="1"/>
    <col min="8" max="8" width="18.6640625" style="634" customWidth="1"/>
    <col min="9" max="9" width="25.6640625" style="634" customWidth="1"/>
    <col min="10" max="10" width="6.6640625" style="678" customWidth="1"/>
    <col min="11" max="11" width="15" style="634" customWidth="1"/>
    <col min="12" max="12" width="15.6640625" style="634" customWidth="1"/>
    <col min="13" max="13" width="12.6640625" style="665" customWidth="1"/>
    <col min="14" max="14" width="8.44140625" style="678" customWidth="1"/>
    <col min="15" max="15" width="19.6640625" style="634" customWidth="1"/>
    <col min="16" max="17" width="14.6640625" style="634" customWidth="1"/>
    <col min="18" max="18" width="18.109375" style="634" customWidth="1"/>
    <col min="19" max="19" width="6" style="633" customWidth="1"/>
    <col min="20" max="23" width="14.44140625" style="633"/>
    <col min="24" max="24" width="5.44140625" style="633" customWidth="1"/>
    <col min="25" max="28" width="14.44140625" style="633"/>
    <col min="29" max="29" width="7.44140625" style="633" customWidth="1"/>
    <col min="30" max="32" width="14.44140625" style="633"/>
    <col min="33" max="33" width="15.33203125" style="633" customWidth="1"/>
    <col min="34" max="337" width="14.44140625" style="633"/>
    <col min="338" max="16384" width="14.44140625" style="634"/>
  </cols>
  <sheetData>
    <row r="1" spans="2:337" ht="15" thickBot="1" x14ac:dyDescent="0.35">
      <c r="B1" s="628" t="s">
        <v>0</v>
      </c>
      <c r="C1" s="827" t="s">
        <v>33</v>
      </c>
      <c r="D1" s="828"/>
      <c r="E1" s="629"/>
      <c r="F1" s="844"/>
      <c r="G1" s="845"/>
      <c r="H1" s="630"/>
      <c r="I1" s="630"/>
      <c r="J1" s="631"/>
      <c r="K1" s="630"/>
      <c r="L1" s="630"/>
      <c r="M1" s="632"/>
      <c r="N1" s="631"/>
      <c r="O1" s="630"/>
      <c r="P1" s="630"/>
      <c r="Q1" s="630"/>
      <c r="R1" s="630"/>
    </row>
    <row r="2" spans="2:337" ht="20.25" customHeight="1" thickBot="1" x14ac:dyDescent="0.35">
      <c r="B2" s="628" t="s">
        <v>7820</v>
      </c>
      <c r="C2" s="827" t="s">
        <v>7821</v>
      </c>
      <c r="D2" s="828"/>
      <c r="E2" s="629"/>
      <c r="F2" s="844"/>
      <c r="G2" s="845"/>
      <c r="H2" s="630"/>
      <c r="I2" s="630"/>
      <c r="J2" s="631"/>
      <c r="K2" s="630"/>
      <c r="L2" s="630"/>
      <c r="M2" s="632"/>
      <c r="N2" s="631"/>
      <c r="O2" s="809" t="s">
        <v>36</v>
      </c>
      <c r="P2" s="810"/>
      <c r="Q2" s="810"/>
      <c r="R2" s="811"/>
      <c r="T2" s="854" t="s">
        <v>7822</v>
      </c>
      <c r="U2" s="855"/>
      <c r="V2" s="855"/>
      <c r="W2" s="856"/>
      <c r="Y2" s="809" t="s">
        <v>38</v>
      </c>
      <c r="Z2" s="810"/>
      <c r="AA2" s="810"/>
      <c r="AB2" s="811"/>
      <c r="AC2" s="146"/>
      <c r="AD2" s="809" t="s">
        <v>39</v>
      </c>
      <c r="AE2" s="810"/>
      <c r="AF2" s="810"/>
      <c r="AG2" s="811"/>
    </row>
    <row r="3" spans="2:337" ht="42" customHeight="1" x14ac:dyDescent="0.3">
      <c r="B3" s="635"/>
      <c r="C3" s="636"/>
      <c r="D3" s="636"/>
      <c r="E3" s="636"/>
      <c r="F3" s="637"/>
      <c r="G3" s="637"/>
      <c r="H3" s="638" t="s">
        <v>7823</v>
      </c>
      <c r="I3" s="746" t="s">
        <v>41</v>
      </c>
      <c r="J3" s="747"/>
      <c r="K3" s="746" t="s">
        <v>42</v>
      </c>
      <c r="L3" s="746" t="s">
        <v>43</v>
      </c>
      <c r="M3" s="748" t="s">
        <v>44</v>
      </c>
      <c r="N3" s="631"/>
      <c r="O3" s="639"/>
      <c r="P3" s="639"/>
      <c r="Q3" s="639"/>
      <c r="R3" s="639"/>
      <c r="T3" s="640"/>
      <c r="U3" s="640"/>
      <c r="V3" s="640"/>
      <c r="W3" s="640"/>
      <c r="Y3" s="414"/>
      <c r="Z3" s="414"/>
      <c r="AA3" s="414"/>
      <c r="AB3" s="414"/>
      <c r="AC3" s="146"/>
      <c r="AD3" s="414"/>
      <c r="AE3" s="414"/>
      <c r="AF3" s="414"/>
      <c r="AG3" s="414"/>
    </row>
    <row r="4" spans="2:337" x14ac:dyDescent="0.3">
      <c r="B4" s="641"/>
      <c r="C4" s="642" t="s">
        <v>45</v>
      </c>
      <c r="D4" s="642" t="s">
        <v>46</v>
      </c>
      <c r="E4" s="642" t="s">
        <v>47</v>
      </c>
      <c r="F4" s="642" t="s">
        <v>48</v>
      </c>
      <c r="G4" s="643" t="s">
        <v>49</v>
      </c>
      <c r="H4" s="643"/>
      <c r="I4" s="643"/>
      <c r="J4" s="644"/>
      <c r="K4" s="643"/>
      <c r="L4" s="643"/>
      <c r="M4" s="645"/>
      <c r="N4" s="646"/>
      <c r="O4" s="643" t="s">
        <v>50</v>
      </c>
      <c r="P4" s="643" t="s">
        <v>51</v>
      </c>
      <c r="Q4" s="643" t="s">
        <v>52</v>
      </c>
      <c r="R4" s="643" t="s">
        <v>53</v>
      </c>
      <c r="T4" s="643" t="s">
        <v>50</v>
      </c>
      <c r="U4" s="643" t="s">
        <v>51</v>
      </c>
      <c r="V4" s="643" t="s">
        <v>7824</v>
      </c>
      <c r="W4" s="643" t="s">
        <v>7825</v>
      </c>
      <c r="Y4" s="136" t="s">
        <v>50</v>
      </c>
      <c r="Z4" s="136" t="s">
        <v>51</v>
      </c>
      <c r="AA4" s="136" t="s">
        <v>52</v>
      </c>
      <c r="AB4" s="136" t="s">
        <v>53</v>
      </c>
      <c r="AC4" s="146"/>
      <c r="AD4" s="136" t="s">
        <v>50</v>
      </c>
      <c r="AE4" s="136" t="s">
        <v>51</v>
      </c>
      <c r="AF4" s="136" t="s">
        <v>52</v>
      </c>
      <c r="AG4" s="136" t="s">
        <v>53</v>
      </c>
    </row>
    <row r="5" spans="2:337" ht="15" customHeight="1" x14ac:dyDescent="0.3">
      <c r="B5" s="846" t="s">
        <v>55</v>
      </c>
      <c r="C5" s="647"/>
      <c r="D5" s="647"/>
      <c r="E5" s="647"/>
      <c r="F5" s="648"/>
      <c r="G5" s="648"/>
      <c r="H5" s="848" t="s">
        <v>56</v>
      </c>
      <c r="I5" s="850" t="s">
        <v>56</v>
      </c>
      <c r="J5" s="851"/>
      <c r="K5" s="850" t="s">
        <v>56</v>
      </c>
      <c r="L5" s="848" t="s">
        <v>56</v>
      </c>
      <c r="M5" s="852" t="s">
        <v>56</v>
      </c>
      <c r="N5" s="646"/>
      <c r="O5" s="649"/>
      <c r="P5" s="649"/>
      <c r="Q5" s="649"/>
      <c r="R5" s="649"/>
      <c r="T5" s="649"/>
      <c r="U5" s="649"/>
      <c r="V5" s="649"/>
      <c r="W5" s="649"/>
      <c r="Y5" s="138"/>
      <c r="Z5" s="138"/>
      <c r="AA5" s="138"/>
      <c r="AB5" s="138"/>
      <c r="AC5" s="146"/>
      <c r="AD5" s="138"/>
      <c r="AE5" s="138"/>
      <c r="AF5" s="138"/>
      <c r="AG5" s="138"/>
    </row>
    <row r="6" spans="2:337" ht="17.399999999999999" customHeight="1" x14ac:dyDescent="0.3">
      <c r="B6" s="847"/>
      <c r="C6" s="647"/>
      <c r="D6" s="647"/>
      <c r="E6" s="647"/>
      <c r="F6" s="648"/>
      <c r="G6" s="648">
        <v>4239</v>
      </c>
      <c r="H6" s="849"/>
      <c r="I6" s="850"/>
      <c r="J6" s="851"/>
      <c r="K6" s="850"/>
      <c r="L6" s="849"/>
      <c r="M6" s="853"/>
      <c r="N6" s="646"/>
      <c r="O6" s="643" t="s">
        <v>56</v>
      </c>
      <c r="P6" s="643" t="s">
        <v>56</v>
      </c>
      <c r="Q6" s="643" t="s">
        <v>56</v>
      </c>
      <c r="R6" s="643" t="s">
        <v>56</v>
      </c>
      <c r="T6" s="643" t="s">
        <v>56</v>
      </c>
      <c r="U6" s="643" t="s">
        <v>56</v>
      </c>
      <c r="V6" s="643" t="s">
        <v>56</v>
      </c>
      <c r="W6" s="643" t="s">
        <v>56</v>
      </c>
      <c r="Y6" s="136" t="s">
        <v>56</v>
      </c>
      <c r="Z6" s="136" t="s">
        <v>56</v>
      </c>
      <c r="AA6" s="136" t="s">
        <v>56</v>
      </c>
      <c r="AB6" s="136" t="s">
        <v>56</v>
      </c>
      <c r="AC6" s="146"/>
      <c r="AD6" s="136" t="s">
        <v>56</v>
      </c>
      <c r="AE6" s="136" t="s">
        <v>56</v>
      </c>
      <c r="AF6" s="136" t="s">
        <v>56</v>
      </c>
      <c r="AG6" s="136" t="s">
        <v>56</v>
      </c>
    </row>
    <row r="7" spans="2:337" ht="18" customHeight="1" x14ac:dyDescent="0.3">
      <c r="B7" s="860" t="s">
        <v>57</v>
      </c>
      <c r="C7" s="847"/>
      <c r="D7" s="847"/>
      <c r="E7" s="847"/>
      <c r="F7" s="847"/>
      <c r="G7" s="860"/>
      <c r="H7" s="847"/>
      <c r="I7" s="650"/>
      <c r="J7" s="602"/>
      <c r="K7" s="650"/>
      <c r="L7" s="651"/>
      <c r="M7" s="652"/>
      <c r="N7" s="646"/>
      <c r="O7" s="861"/>
      <c r="P7" s="862"/>
      <c r="Q7" s="862"/>
      <c r="R7" s="863"/>
      <c r="T7" s="653"/>
      <c r="U7" s="653"/>
      <c r="V7" s="653"/>
      <c r="W7" s="653"/>
      <c r="Y7" s="144"/>
      <c r="Z7" s="144"/>
      <c r="AA7" s="144"/>
      <c r="AB7" s="144"/>
      <c r="AC7" s="146"/>
      <c r="AD7" s="415"/>
      <c r="AE7" s="415"/>
      <c r="AF7" s="415"/>
      <c r="AG7" s="415"/>
    </row>
    <row r="8" spans="2:337" ht="18" customHeight="1" x14ac:dyDescent="0.3">
      <c r="B8" s="864" t="s">
        <v>7826</v>
      </c>
      <c r="C8" s="865"/>
      <c r="D8" s="865"/>
      <c r="E8" s="865"/>
      <c r="F8" s="865"/>
      <c r="G8" s="865"/>
      <c r="H8" s="866"/>
      <c r="I8" s="650"/>
      <c r="J8" s="602"/>
      <c r="K8" s="650"/>
      <c r="L8" s="651"/>
      <c r="M8" s="652"/>
      <c r="N8" s="646"/>
      <c r="O8" s="867"/>
      <c r="P8" s="868"/>
      <c r="Q8" s="868"/>
      <c r="R8" s="869"/>
      <c r="T8" s="653"/>
      <c r="U8" s="653"/>
      <c r="V8" s="653"/>
      <c r="W8" s="653"/>
      <c r="Y8" s="142"/>
      <c r="Z8" s="142"/>
      <c r="AA8" s="142"/>
      <c r="AB8" s="142"/>
      <c r="AC8" s="146"/>
      <c r="AD8" s="415"/>
      <c r="AE8" s="415"/>
      <c r="AF8" s="415"/>
      <c r="AG8" s="415"/>
    </row>
    <row r="9" spans="2:337" ht="18" customHeight="1" x14ac:dyDescent="0.3">
      <c r="B9" s="864" t="s">
        <v>7827</v>
      </c>
      <c r="C9" s="865"/>
      <c r="D9" s="865"/>
      <c r="E9" s="865"/>
      <c r="F9" s="865"/>
      <c r="G9" s="865"/>
      <c r="H9" s="866"/>
      <c r="I9" s="650"/>
      <c r="J9" s="602"/>
      <c r="K9" s="650"/>
      <c r="L9" s="651"/>
      <c r="M9" s="652"/>
      <c r="N9" s="646"/>
      <c r="O9" s="867"/>
      <c r="P9" s="868"/>
      <c r="Q9" s="868"/>
      <c r="R9" s="869"/>
      <c r="T9" s="653"/>
      <c r="U9" s="653"/>
      <c r="V9" s="653"/>
      <c r="W9" s="653"/>
      <c r="Y9" s="172"/>
      <c r="Z9" s="416"/>
      <c r="AA9" s="172"/>
      <c r="AB9" s="172"/>
      <c r="AC9" s="146"/>
      <c r="AD9" s="172"/>
      <c r="AE9" s="416"/>
      <c r="AF9" s="172"/>
      <c r="AG9" s="172"/>
    </row>
    <row r="10" spans="2:337" s="661" customFormat="1" x14ac:dyDescent="0.3">
      <c r="B10" s="654" t="s">
        <v>7828</v>
      </c>
      <c r="C10" s="655" t="s">
        <v>7829</v>
      </c>
      <c r="D10" s="656">
        <v>2</v>
      </c>
      <c r="E10" s="656">
        <v>4500000</v>
      </c>
      <c r="F10" s="657">
        <f t="shared" ref="F10:F30" si="0">D10*E10</f>
        <v>9000000</v>
      </c>
      <c r="G10" s="657">
        <f>G6</f>
        <v>4239</v>
      </c>
      <c r="H10" s="657">
        <f t="shared" ref="H10:H30" si="1">IF($G$6=0,0,F10/G10)</f>
        <v>2123.1422505307855</v>
      </c>
      <c r="I10" s="231">
        <v>2123</v>
      </c>
      <c r="J10" s="658"/>
      <c r="K10" s="231">
        <f>SUM(T10:W10)</f>
        <v>2043.7578780248084</v>
      </c>
      <c r="L10" s="231">
        <f>K10-I10</f>
        <v>-79.242121975191594</v>
      </c>
      <c r="M10" s="499">
        <f>IFERROR(L10/I10,0)</f>
        <v>-3.732554026151276E-2</v>
      </c>
      <c r="N10" s="659"/>
      <c r="O10" s="231">
        <f>$I10/4</f>
        <v>530.75</v>
      </c>
      <c r="P10" s="231">
        <f t="shared" ref="P10:R22" si="2">$I10/4</f>
        <v>530.75</v>
      </c>
      <c r="Q10" s="231">
        <f t="shared" si="2"/>
        <v>530.75</v>
      </c>
      <c r="R10" s="231">
        <f t="shared" si="2"/>
        <v>530.75</v>
      </c>
      <c r="S10" s="660"/>
      <c r="T10" s="231">
        <v>510.9394695062021</v>
      </c>
      <c r="U10" s="231">
        <v>510.9394695062021</v>
      </c>
      <c r="V10" s="231">
        <v>510.9394695062021</v>
      </c>
      <c r="W10" s="231">
        <v>510.9394695062021</v>
      </c>
      <c r="X10" s="660"/>
      <c r="Y10" s="231">
        <f t="shared" ref="Y10:AB31" si="3">T10-O10</f>
        <v>-19.810530493797899</v>
      </c>
      <c r="Z10" s="231">
        <f t="shared" si="3"/>
        <v>-19.810530493797899</v>
      </c>
      <c r="AA10" s="231">
        <f t="shared" si="3"/>
        <v>-19.810530493797899</v>
      </c>
      <c r="AB10" s="231">
        <f t="shared" si="3"/>
        <v>-19.810530493797899</v>
      </c>
      <c r="AC10" s="225"/>
      <c r="AD10" s="156">
        <f t="shared" ref="AD10:AG31" si="4">IFERROR(Y10/O10,0)</f>
        <v>-3.732554026151276E-2</v>
      </c>
      <c r="AE10" s="156">
        <f t="shared" si="4"/>
        <v>-3.732554026151276E-2</v>
      </c>
      <c r="AF10" s="156">
        <f t="shared" si="4"/>
        <v>-3.732554026151276E-2</v>
      </c>
      <c r="AG10" s="156">
        <f t="shared" si="4"/>
        <v>-3.732554026151276E-2</v>
      </c>
      <c r="AH10" s="660"/>
      <c r="AI10" s="660"/>
      <c r="AJ10" s="660"/>
      <c r="AK10" s="660"/>
      <c r="AL10" s="660"/>
      <c r="AM10" s="660"/>
      <c r="AN10" s="660"/>
      <c r="AO10" s="660"/>
      <c r="AP10" s="660"/>
      <c r="AQ10" s="660"/>
      <c r="AR10" s="660"/>
      <c r="AS10" s="660"/>
      <c r="AT10" s="660"/>
      <c r="AU10" s="660"/>
      <c r="AV10" s="660"/>
      <c r="AW10" s="660"/>
      <c r="AX10" s="660"/>
      <c r="AY10" s="660"/>
      <c r="AZ10" s="660"/>
      <c r="BA10" s="660"/>
      <c r="BB10" s="660"/>
      <c r="BC10" s="660"/>
      <c r="BD10" s="660"/>
      <c r="BE10" s="660"/>
      <c r="BF10" s="660"/>
      <c r="BG10" s="660"/>
      <c r="BH10" s="660"/>
      <c r="BI10" s="660"/>
      <c r="BJ10" s="660"/>
      <c r="BK10" s="660"/>
      <c r="BL10" s="660"/>
      <c r="BM10" s="660"/>
      <c r="BN10" s="660"/>
      <c r="BO10" s="660"/>
      <c r="BP10" s="660"/>
      <c r="BQ10" s="660"/>
      <c r="BR10" s="660"/>
      <c r="BS10" s="660"/>
      <c r="BT10" s="660"/>
      <c r="BU10" s="660"/>
      <c r="BV10" s="660"/>
      <c r="BW10" s="660"/>
      <c r="BX10" s="660"/>
      <c r="BY10" s="660"/>
      <c r="BZ10" s="660"/>
      <c r="CA10" s="660"/>
      <c r="CB10" s="660"/>
      <c r="CC10" s="660"/>
      <c r="CD10" s="660"/>
      <c r="CE10" s="660"/>
      <c r="CF10" s="660"/>
      <c r="CG10" s="660"/>
      <c r="CH10" s="660"/>
      <c r="CI10" s="660"/>
      <c r="CJ10" s="660"/>
      <c r="CK10" s="660"/>
      <c r="CL10" s="660"/>
      <c r="CM10" s="660"/>
      <c r="CN10" s="660"/>
      <c r="CO10" s="660"/>
      <c r="CP10" s="660"/>
      <c r="CQ10" s="660"/>
      <c r="CR10" s="660"/>
      <c r="CS10" s="660"/>
      <c r="CT10" s="660"/>
      <c r="CU10" s="660"/>
      <c r="CV10" s="660"/>
      <c r="CW10" s="660"/>
      <c r="CX10" s="660"/>
      <c r="CY10" s="660"/>
      <c r="CZ10" s="660"/>
      <c r="DA10" s="660"/>
      <c r="DB10" s="660"/>
      <c r="DC10" s="660"/>
      <c r="DD10" s="660"/>
      <c r="DE10" s="660"/>
      <c r="DF10" s="660"/>
      <c r="DG10" s="660"/>
      <c r="DH10" s="660"/>
      <c r="DI10" s="660"/>
      <c r="DJ10" s="660"/>
      <c r="DK10" s="660"/>
      <c r="DL10" s="660"/>
      <c r="DM10" s="660"/>
      <c r="DN10" s="660"/>
      <c r="DO10" s="660"/>
      <c r="DP10" s="660"/>
      <c r="DQ10" s="660"/>
      <c r="DR10" s="660"/>
      <c r="DS10" s="660"/>
      <c r="DT10" s="660"/>
      <c r="DU10" s="660"/>
      <c r="DV10" s="660"/>
      <c r="DW10" s="660"/>
      <c r="DX10" s="660"/>
      <c r="DY10" s="660"/>
      <c r="DZ10" s="660"/>
      <c r="EA10" s="660"/>
      <c r="EB10" s="660"/>
      <c r="EC10" s="660"/>
      <c r="ED10" s="660"/>
      <c r="EE10" s="660"/>
      <c r="EF10" s="660"/>
      <c r="EG10" s="660"/>
      <c r="EH10" s="660"/>
      <c r="EI10" s="660"/>
      <c r="EJ10" s="660"/>
      <c r="EK10" s="660"/>
      <c r="EL10" s="660"/>
      <c r="EM10" s="660"/>
      <c r="EN10" s="660"/>
      <c r="EO10" s="660"/>
      <c r="EP10" s="660"/>
      <c r="EQ10" s="660"/>
      <c r="ER10" s="660"/>
      <c r="ES10" s="660"/>
      <c r="ET10" s="660"/>
      <c r="EU10" s="660"/>
      <c r="EV10" s="660"/>
      <c r="EW10" s="660"/>
      <c r="EX10" s="660"/>
      <c r="EY10" s="660"/>
      <c r="EZ10" s="660"/>
      <c r="FA10" s="660"/>
      <c r="FB10" s="660"/>
      <c r="FC10" s="660"/>
      <c r="FD10" s="660"/>
      <c r="FE10" s="660"/>
      <c r="FF10" s="660"/>
      <c r="FG10" s="660"/>
      <c r="FH10" s="660"/>
      <c r="FI10" s="660"/>
      <c r="FJ10" s="660"/>
      <c r="FK10" s="660"/>
      <c r="FL10" s="660"/>
      <c r="FM10" s="660"/>
      <c r="FN10" s="660"/>
      <c r="FO10" s="660"/>
      <c r="FP10" s="660"/>
      <c r="FQ10" s="660"/>
      <c r="FR10" s="660"/>
      <c r="FS10" s="660"/>
      <c r="FT10" s="660"/>
      <c r="FU10" s="660"/>
      <c r="FV10" s="660"/>
      <c r="FW10" s="660"/>
      <c r="FX10" s="660"/>
      <c r="FY10" s="660"/>
      <c r="FZ10" s="660"/>
      <c r="GA10" s="660"/>
      <c r="GB10" s="660"/>
      <c r="GC10" s="660"/>
      <c r="GD10" s="660"/>
      <c r="GE10" s="660"/>
      <c r="GF10" s="660"/>
      <c r="GG10" s="660"/>
      <c r="GH10" s="660"/>
      <c r="GI10" s="660"/>
      <c r="GJ10" s="660"/>
      <c r="GK10" s="660"/>
      <c r="GL10" s="660"/>
      <c r="GM10" s="660"/>
      <c r="GN10" s="660"/>
      <c r="GO10" s="660"/>
      <c r="GP10" s="660"/>
      <c r="GQ10" s="660"/>
      <c r="GR10" s="660"/>
      <c r="GS10" s="660"/>
      <c r="GT10" s="660"/>
      <c r="GU10" s="660"/>
      <c r="GV10" s="660"/>
      <c r="GW10" s="660"/>
      <c r="GX10" s="660"/>
      <c r="GY10" s="660"/>
      <c r="GZ10" s="660"/>
      <c r="HA10" s="660"/>
      <c r="HB10" s="660"/>
      <c r="HC10" s="660"/>
      <c r="HD10" s="660"/>
      <c r="HE10" s="660"/>
      <c r="HF10" s="660"/>
      <c r="HG10" s="660"/>
      <c r="HH10" s="660"/>
      <c r="HI10" s="660"/>
      <c r="HJ10" s="660"/>
      <c r="HK10" s="660"/>
      <c r="HL10" s="660"/>
      <c r="HM10" s="660"/>
      <c r="HN10" s="660"/>
      <c r="HO10" s="660"/>
      <c r="HP10" s="660"/>
      <c r="HQ10" s="660"/>
      <c r="HR10" s="660"/>
      <c r="HS10" s="660"/>
      <c r="HT10" s="660"/>
      <c r="HU10" s="660"/>
      <c r="HV10" s="660"/>
      <c r="HW10" s="660"/>
      <c r="HX10" s="660"/>
      <c r="HY10" s="660"/>
      <c r="HZ10" s="660"/>
      <c r="IA10" s="660"/>
      <c r="IB10" s="660"/>
      <c r="IC10" s="660"/>
      <c r="ID10" s="660"/>
      <c r="IE10" s="660"/>
      <c r="IF10" s="660"/>
      <c r="IG10" s="660"/>
      <c r="IH10" s="660"/>
      <c r="II10" s="660"/>
      <c r="IJ10" s="660"/>
      <c r="IK10" s="660"/>
      <c r="IL10" s="660"/>
      <c r="IM10" s="660"/>
      <c r="IN10" s="660"/>
      <c r="IO10" s="660"/>
      <c r="IP10" s="660"/>
      <c r="IQ10" s="660"/>
      <c r="IR10" s="660"/>
      <c r="IS10" s="660"/>
      <c r="IT10" s="660"/>
      <c r="IU10" s="660"/>
      <c r="IV10" s="660"/>
      <c r="IW10" s="660"/>
      <c r="IX10" s="660"/>
      <c r="IY10" s="660"/>
      <c r="IZ10" s="660"/>
      <c r="JA10" s="660"/>
      <c r="JB10" s="660"/>
      <c r="JC10" s="660"/>
      <c r="JD10" s="660"/>
      <c r="JE10" s="660"/>
      <c r="JF10" s="660"/>
      <c r="JG10" s="660"/>
      <c r="JH10" s="660"/>
      <c r="JI10" s="660"/>
      <c r="JJ10" s="660"/>
      <c r="JK10" s="660"/>
      <c r="JL10" s="660"/>
      <c r="JM10" s="660"/>
      <c r="JN10" s="660"/>
      <c r="JO10" s="660"/>
      <c r="JP10" s="660"/>
      <c r="JQ10" s="660"/>
      <c r="JR10" s="660"/>
      <c r="JS10" s="660"/>
      <c r="JT10" s="660"/>
      <c r="JU10" s="660"/>
      <c r="JV10" s="660"/>
      <c r="JW10" s="660"/>
      <c r="JX10" s="660"/>
      <c r="JY10" s="660"/>
      <c r="JZ10" s="660"/>
      <c r="KA10" s="660"/>
      <c r="KB10" s="660"/>
      <c r="KC10" s="660"/>
      <c r="KD10" s="660"/>
      <c r="KE10" s="660"/>
      <c r="KF10" s="660"/>
      <c r="KG10" s="660"/>
      <c r="KH10" s="660"/>
      <c r="KI10" s="660"/>
      <c r="KJ10" s="660"/>
      <c r="KK10" s="660"/>
      <c r="KL10" s="660"/>
      <c r="KM10" s="660"/>
      <c r="KN10" s="660"/>
      <c r="KO10" s="660"/>
      <c r="KP10" s="660"/>
      <c r="KQ10" s="660"/>
      <c r="KR10" s="660"/>
      <c r="KS10" s="660"/>
      <c r="KT10" s="660"/>
      <c r="KU10" s="660"/>
      <c r="KV10" s="660"/>
      <c r="KW10" s="660"/>
      <c r="KX10" s="660"/>
      <c r="KY10" s="660"/>
      <c r="KZ10" s="660"/>
      <c r="LA10" s="660"/>
      <c r="LB10" s="660"/>
      <c r="LC10" s="660"/>
      <c r="LD10" s="660"/>
      <c r="LE10" s="660"/>
      <c r="LF10" s="660"/>
      <c r="LG10" s="660"/>
      <c r="LH10" s="660"/>
      <c r="LI10" s="660"/>
      <c r="LJ10" s="660"/>
      <c r="LK10" s="660"/>
      <c r="LL10" s="660"/>
      <c r="LM10" s="660"/>
      <c r="LN10" s="660"/>
      <c r="LO10" s="660"/>
      <c r="LP10" s="660"/>
      <c r="LQ10" s="660"/>
      <c r="LR10" s="660"/>
      <c r="LS10" s="660"/>
      <c r="LT10" s="660"/>
      <c r="LU10" s="660"/>
      <c r="LV10" s="660"/>
      <c r="LW10" s="660"/>
      <c r="LX10" s="660"/>
      <c r="LY10" s="660"/>
    </row>
    <row r="11" spans="2:337" s="665" customFormat="1" x14ac:dyDescent="0.3">
      <c r="B11" s="662" t="s">
        <v>7830</v>
      </c>
      <c r="C11" s="663" t="s">
        <v>3925</v>
      </c>
      <c r="D11" s="607">
        <v>1</v>
      </c>
      <c r="E11" s="607">
        <v>5500000</v>
      </c>
      <c r="F11" s="664">
        <f t="shared" si="0"/>
        <v>5500000</v>
      </c>
      <c r="G11" s="664">
        <f>G6</f>
        <v>4239</v>
      </c>
      <c r="H11" s="664">
        <f t="shared" si="1"/>
        <v>1297.4758197688134</v>
      </c>
      <c r="I11" s="231">
        <v>1297</v>
      </c>
      <c r="J11" s="658"/>
      <c r="K11" s="231">
        <f t="shared" ref="K11:K30" si="5">SUM(T11:W11)</f>
        <v>1851.9038642718219</v>
      </c>
      <c r="L11" s="231">
        <f t="shared" ref="L11:L31" si="6">K11-I11</f>
        <v>554.90386427182193</v>
      </c>
      <c r="M11" s="499">
        <f t="shared" ref="M11:M74" si="7">IFERROR(L11/I11,0)</f>
        <v>0.42783644122731068</v>
      </c>
      <c r="N11" s="659"/>
      <c r="O11" s="231">
        <f t="shared" ref="O11:O22" si="8">$I11/4</f>
        <v>324.25</v>
      </c>
      <c r="P11" s="231">
        <f t="shared" si="2"/>
        <v>324.25</v>
      </c>
      <c r="Q11" s="231">
        <f t="shared" si="2"/>
        <v>324.25</v>
      </c>
      <c r="R11" s="231">
        <f t="shared" si="2"/>
        <v>324.25</v>
      </c>
      <c r="S11" s="660"/>
      <c r="T11" s="231">
        <v>462.97596606795548</v>
      </c>
      <c r="U11" s="231">
        <v>462.97596606795548</v>
      </c>
      <c r="V11" s="231">
        <v>462.97596606795548</v>
      </c>
      <c r="W11" s="231">
        <v>462.97596606795548</v>
      </c>
      <c r="X11" s="660"/>
      <c r="Y11" s="231">
        <f t="shared" si="3"/>
        <v>138.72596606795548</v>
      </c>
      <c r="Z11" s="231">
        <f t="shared" si="3"/>
        <v>138.72596606795548</v>
      </c>
      <c r="AA11" s="231">
        <f t="shared" si="3"/>
        <v>138.72596606795548</v>
      </c>
      <c r="AB11" s="231">
        <f t="shared" si="3"/>
        <v>138.72596606795548</v>
      </c>
      <c r="AC11" s="225"/>
      <c r="AD11" s="156">
        <f t="shared" si="4"/>
        <v>0.42783644122731068</v>
      </c>
      <c r="AE11" s="156">
        <f t="shared" si="4"/>
        <v>0.42783644122731068</v>
      </c>
      <c r="AF11" s="156">
        <f t="shared" si="4"/>
        <v>0.42783644122731068</v>
      </c>
      <c r="AG11" s="156">
        <f t="shared" si="4"/>
        <v>0.42783644122731068</v>
      </c>
      <c r="AH11" s="660"/>
      <c r="AI11" s="660"/>
      <c r="AJ11" s="660"/>
      <c r="AK11" s="660"/>
      <c r="AL11" s="660"/>
      <c r="AM11" s="660"/>
      <c r="AN11" s="660"/>
      <c r="AO11" s="660"/>
      <c r="AP11" s="660"/>
      <c r="AQ11" s="660"/>
      <c r="AR11" s="660"/>
      <c r="AS11" s="660"/>
      <c r="AT11" s="660"/>
      <c r="AU11" s="660"/>
      <c r="AV11" s="660"/>
      <c r="AW11" s="660"/>
      <c r="AX11" s="660"/>
      <c r="AY11" s="660"/>
      <c r="AZ11" s="660"/>
      <c r="BA11" s="660"/>
      <c r="BB11" s="660"/>
      <c r="BC11" s="660"/>
      <c r="BD11" s="660"/>
      <c r="BE11" s="660"/>
      <c r="BF11" s="660"/>
      <c r="BG11" s="660"/>
      <c r="BH11" s="660"/>
      <c r="BI11" s="660"/>
      <c r="BJ11" s="660"/>
      <c r="BK11" s="660"/>
      <c r="BL11" s="660"/>
      <c r="BM11" s="660"/>
      <c r="BN11" s="660"/>
      <c r="BO11" s="660"/>
      <c r="BP11" s="660"/>
      <c r="BQ11" s="660"/>
      <c r="BR11" s="660"/>
      <c r="BS11" s="660"/>
      <c r="BT11" s="660"/>
      <c r="BU11" s="660"/>
      <c r="BV11" s="660"/>
      <c r="BW11" s="660"/>
      <c r="BX11" s="660"/>
      <c r="BY11" s="660"/>
      <c r="BZ11" s="660"/>
      <c r="CA11" s="660"/>
      <c r="CB11" s="660"/>
      <c r="CC11" s="660"/>
      <c r="CD11" s="660"/>
      <c r="CE11" s="660"/>
      <c r="CF11" s="660"/>
      <c r="CG11" s="660"/>
      <c r="CH11" s="660"/>
      <c r="CI11" s="660"/>
      <c r="CJ11" s="660"/>
      <c r="CK11" s="660"/>
      <c r="CL11" s="660"/>
      <c r="CM11" s="660"/>
      <c r="CN11" s="660"/>
      <c r="CO11" s="660"/>
      <c r="CP11" s="660"/>
      <c r="CQ11" s="660"/>
      <c r="CR11" s="660"/>
      <c r="CS11" s="660"/>
      <c r="CT11" s="660"/>
      <c r="CU11" s="660"/>
      <c r="CV11" s="660"/>
      <c r="CW11" s="660"/>
      <c r="CX11" s="660"/>
      <c r="CY11" s="660"/>
      <c r="CZ11" s="660"/>
      <c r="DA11" s="660"/>
      <c r="DB11" s="660"/>
      <c r="DC11" s="660"/>
      <c r="DD11" s="660"/>
      <c r="DE11" s="660"/>
      <c r="DF11" s="660"/>
      <c r="DG11" s="660"/>
      <c r="DH11" s="660"/>
      <c r="DI11" s="660"/>
      <c r="DJ11" s="660"/>
      <c r="DK11" s="660"/>
      <c r="DL11" s="660"/>
      <c r="DM11" s="660"/>
      <c r="DN11" s="660"/>
      <c r="DO11" s="660"/>
      <c r="DP11" s="660"/>
      <c r="DQ11" s="660"/>
      <c r="DR11" s="660"/>
      <c r="DS11" s="660"/>
      <c r="DT11" s="660"/>
      <c r="DU11" s="660"/>
      <c r="DV11" s="660"/>
      <c r="DW11" s="660"/>
      <c r="DX11" s="660"/>
      <c r="DY11" s="660"/>
      <c r="DZ11" s="660"/>
      <c r="EA11" s="660"/>
      <c r="EB11" s="660"/>
      <c r="EC11" s="660"/>
      <c r="ED11" s="660"/>
      <c r="EE11" s="660"/>
      <c r="EF11" s="660"/>
      <c r="EG11" s="660"/>
      <c r="EH11" s="660"/>
      <c r="EI11" s="660"/>
      <c r="EJ11" s="660"/>
      <c r="EK11" s="660"/>
      <c r="EL11" s="660"/>
      <c r="EM11" s="660"/>
      <c r="EN11" s="660"/>
      <c r="EO11" s="660"/>
      <c r="EP11" s="660"/>
      <c r="EQ11" s="660"/>
      <c r="ER11" s="660"/>
      <c r="ES11" s="660"/>
      <c r="ET11" s="660"/>
      <c r="EU11" s="660"/>
      <c r="EV11" s="660"/>
      <c r="EW11" s="660"/>
      <c r="EX11" s="660"/>
      <c r="EY11" s="660"/>
      <c r="EZ11" s="660"/>
      <c r="FA11" s="660"/>
      <c r="FB11" s="660"/>
      <c r="FC11" s="660"/>
      <c r="FD11" s="660"/>
      <c r="FE11" s="660"/>
      <c r="FF11" s="660"/>
      <c r="FG11" s="660"/>
      <c r="FH11" s="660"/>
      <c r="FI11" s="660"/>
      <c r="FJ11" s="660"/>
      <c r="FK11" s="660"/>
      <c r="FL11" s="660"/>
      <c r="FM11" s="660"/>
      <c r="FN11" s="660"/>
      <c r="FO11" s="660"/>
      <c r="FP11" s="660"/>
      <c r="FQ11" s="660"/>
      <c r="FR11" s="660"/>
      <c r="FS11" s="660"/>
      <c r="FT11" s="660"/>
      <c r="FU11" s="660"/>
      <c r="FV11" s="660"/>
      <c r="FW11" s="660"/>
      <c r="FX11" s="660"/>
      <c r="FY11" s="660"/>
      <c r="FZ11" s="660"/>
      <c r="GA11" s="660"/>
      <c r="GB11" s="660"/>
      <c r="GC11" s="660"/>
      <c r="GD11" s="660"/>
      <c r="GE11" s="660"/>
      <c r="GF11" s="660"/>
      <c r="GG11" s="660"/>
      <c r="GH11" s="660"/>
      <c r="GI11" s="660"/>
      <c r="GJ11" s="660"/>
      <c r="GK11" s="660"/>
      <c r="GL11" s="660"/>
      <c r="GM11" s="660"/>
      <c r="GN11" s="660"/>
      <c r="GO11" s="660"/>
      <c r="GP11" s="660"/>
      <c r="GQ11" s="660"/>
      <c r="GR11" s="660"/>
      <c r="GS11" s="660"/>
      <c r="GT11" s="660"/>
      <c r="GU11" s="660"/>
      <c r="GV11" s="660"/>
      <c r="GW11" s="660"/>
      <c r="GX11" s="660"/>
      <c r="GY11" s="660"/>
      <c r="GZ11" s="660"/>
      <c r="HA11" s="660"/>
      <c r="HB11" s="660"/>
      <c r="HC11" s="660"/>
      <c r="HD11" s="660"/>
      <c r="HE11" s="660"/>
      <c r="HF11" s="660"/>
      <c r="HG11" s="660"/>
      <c r="HH11" s="660"/>
      <c r="HI11" s="660"/>
      <c r="HJ11" s="660"/>
      <c r="HK11" s="660"/>
      <c r="HL11" s="660"/>
      <c r="HM11" s="660"/>
      <c r="HN11" s="660"/>
      <c r="HO11" s="660"/>
      <c r="HP11" s="660"/>
      <c r="HQ11" s="660"/>
      <c r="HR11" s="660"/>
      <c r="HS11" s="660"/>
      <c r="HT11" s="660"/>
      <c r="HU11" s="660"/>
      <c r="HV11" s="660"/>
      <c r="HW11" s="660"/>
      <c r="HX11" s="660"/>
      <c r="HY11" s="660"/>
      <c r="HZ11" s="660"/>
      <c r="IA11" s="660"/>
      <c r="IB11" s="660"/>
      <c r="IC11" s="660"/>
      <c r="ID11" s="660"/>
      <c r="IE11" s="660"/>
      <c r="IF11" s="660"/>
      <c r="IG11" s="660"/>
      <c r="IH11" s="660"/>
      <c r="II11" s="660"/>
      <c r="IJ11" s="660"/>
      <c r="IK11" s="660"/>
      <c r="IL11" s="660"/>
      <c r="IM11" s="660"/>
      <c r="IN11" s="660"/>
      <c r="IO11" s="660"/>
      <c r="IP11" s="660"/>
      <c r="IQ11" s="660"/>
      <c r="IR11" s="660"/>
      <c r="IS11" s="660"/>
      <c r="IT11" s="660"/>
      <c r="IU11" s="660"/>
      <c r="IV11" s="660"/>
      <c r="IW11" s="660"/>
      <c r="IX11" s="660"/>
      <c r="IY11" s="660"/>
      <c r="IZ11" s="660"/>
      <c r="JA11" s="660"/>
      <c r="JB11" s="660"/>
      <c r="JC11" s="660"/>
      <c r="JD11" s="660"/>
      <c r="JE11" s="660"/>
      <c r="JF11" s="660"/>
      <c r="JG11" s="660"/>
      <c r="JH11" s="660"/>
      <c r="JI11" s="660"/>
      <c r="JJ11" s="660"/>
      <c r="JK11" s="660"/>
      <c r="JL11" s="660"/>
      <c r="JM11" s="660"/>
      <c r="JN11" s="660"/>
      <c r="JO11" s="660"/>
      <c r="JP11" s="660"/>
      <c r="JQ11" s="660"/>
      <c r="JR11" s="660"/>
      <c r="JS11" s="660"/>
      <c r="JT11" s="660"/>
      <c r="JU11" s="660"/>
      <c r="JV11" s="660"/>
      <c r="JW11" s="660"/>
      <c r="JX11" s="660"/>
      <c r="JY11" s="660"/>
      <c r="JZ11" s="660"/>
      <c r="KA11" s="660"/>
      <c r="KB11" s="660"/>
      <c r="KC11" s="660"/>
      <c r="KD11" s="660"/>
      <c r="KE11" s="660"/>
      <c r="KF11" s="660"/>
      <c r="KG11" s="660"/>
      <c r="KH11" s="660"/>
      <c r="KI11" s="660"/>
      <c r="KJ11" s="660"/>
      <c r="KK11" s="660"/>
      <c r="KL11" s="660"/>
      <c r="KM11" s="660"/>
      <c r="KN11" s="660"/>
      <c r="KO11" s="660"/>
      <c r="KP11" s="660"/>
      <c r="KQ11" s="660"/>
      <c r="KR11" s="660"/>
      <c r="KS11" s="660"/>
      <c r="KT11" s="660"/>
      <c r="KU11" s="660"/>
      <c r="KV11" s="660"/>
      <c r="KW11" s="660"/>
      <c r="KX11" s="660"/>
      <c r="KY11" s="660"/>
      <c r="KZ11" s="660"/>
      <c r="LA11" s="660"/>
      <c r="LB11" s="660"/>
      <c r="LC11" s="660"/>
      <c r="LD11" s="660"/>
      <c r="LE11" s="660"/>
      <c r="LF11" s="660"/>
      <c r="LG11" s="660"/>
      <c r="LH11" s="660"/>
      <c r="LI11" s="660"/>
      <c r="LJ11" s="660"/>
      <c r="LK11" s="660"/>
      <c r="LL11" s="660"/>
      <c r="LM11" s="660"/>
      <c r="LN11" s="660"/>
      <c r="LO11" s="660"/>
      <c r="LP11" s="660"/>
      <c r="LQ11" s="660"/>
      <c r="LR11" s="660"/>
      <c r="LS11" s="660"/>
      <c r="LT11" s="660"/>
      <c r="LU11" s="660"/>
      <c r="LV11" s="660"/>
      <c r="LW11" s="660"/>
      <c r="LX11" s="660"/>
      <c r="LY11" s="660"/>
    </row>
    <row r="12" spans="2:337" s="660" customFormat="1" x14ac:dyDescent="0.3">
      <c r="B12" s="417" t="s">
        <v>7831</v>
      </c>
      <c r="C12" s="539" t="s">
        <v>7832</v>
      </c>
      <c r="D12" s="540">
        <v>24</v>
      </c>
      <c r="E12" s="540">
        <v>280000</v>
      </c>
      <c r="F12" s="666">
        <f t="shared" si="0"/>
        <v>6720000</v>
      </c>
      <c r="G12" s="541">
        <f t="shared" ref="G12:G25" si="9">+$G$6</f>
        <v>4239</v>
      </c>
      <c r="H12" s="666">
        <f t="shared" si="1"/>
        <v>1585.2795470629865</v>
      </c>
      <c r="I12" s="231">
        <v>0</v>
      </c>
      <c r="J12" s="658"/>
      <c r="K12" s="231">
        <f t="shared" si="5"/>
        <v>0</v>
      </c>
      <c r="L12" s="231">
        <f t="shared" si="6"/>
        <v>0</v>
      </c>
      <c r="M12" s="156">
        <f t="shared" si="7"/>
        <v>0</v>
      </c>
      <c r="N12" s="659"/>
      <c r="O12" s="231">
        <f t="shared" si="8"/>
        <v>0</v>
      </c>
      <c r="P12" s="231">
        <f t="shared" si="2"/>
        <v>0</v>
      </c>
      <c r="Q12" s="231">
        <f t="shared" si="2"/>
        <v>0</v>
      </c>
      <c r="R12" s="231">
        <f t="shared" si="2"/>
        <v>0</v>
      </c>
      <c r="T12" s="231"/>
      <c r="U12" s="231"/>
      <c r="V12" s="231"/>
      <c r="W12" s="231"/>
      <c r="Y12" s="231">
        <f t="shared" si="3"/>
        <v>0</v>
      </c>
      <c r="Z12" s="231">
        <f t="shared" si="3"/>
        <v>0</v>
      </c>
      <c r="AA12" s="231">
        <f t="shared" si="3"/>
        <v>0</v>
      </c>
      <c r="AB12" s="231">
        <f t="shared" si="3"/>
        <v>0</v>
      </c>
      <c r="AC12" s="225"/>
      <c r="AD12" s="156">
        <f t="shared" si="4"/>
        <v>0</v>
      </c>
      <c r="AE12" s="156">
        <f t="shared" si="4"/>
        <v>0</v>
      </c>
      <c r="AF12" s="156">
        <f t="shared" si="4"/>
        <v>0</v>
      </c>
      <c r="AG12" s="156">
        <f t="shared" si="4"/>
        <v>0</v>
      </c>
    </row>
    <row r="13" spans="2:337" s="660" customFormat="1" x14ac:dyDescent="0.3">
      <c r="B13" s="417" t="s">
        <v>7833</v>
      </c>
      <c r="C13" s="539" t="s">
        <v>7832</v>
      </c>
      <c r="D13" s="540">
        <v>24</v>
      </c>
      <c r="E13" s="541">
        <f>4000000*30%</f>
        <v>1200000</v>
      </c>
      <c r="F13" s="666">
        <f t="shared" si="0"/>
        <v>28800000</v>
      </c>
      <c r="G13" s="541">
        <f t="shared" si="9"/>
        <v>4239</v>
      </c>
      <c r="H13" s="666">
        <f t="shared" si="1"/>
        <v>6794.0552016985139</v>
      </c>
      <c r="I13" s="231">
        <v>0</v>
      </c>
      <c r="J13" s="658"/>
      <c r="K13" s="231">
        <f t="shared" si="5"/>
        <v>3786.0900278596077</v>
      </c>
      <c r="L13" s="231">
        <f t="shared" si="6"/>
        <v>3786.0900278596077</v>
      </c>
      <c r="M13" s="156">
        <f t="shared" si="7"/>
        <v>0</v>
      </c>
      <c r="N13" s="659"/>
      <c r="O13" s="231">
        <f t="shared" si="8"/>
        <v>0</v>
      </c>
      <c r="P13" s="231">
        <f t="shared" si="2"/>
        <v>0</v>
      </c>
      <c r="Q13" s="231">
        <f t="shared" si="2"/>
        <v>0</v>
      </c>
      <c r="R13" s="231">
        <f t="shared" si="2"/>
        <v>0</v>
      </c>
      <c r="T13" s="231">
        <v>946.52250696490194</v>
      </c>
      <c r="U13" s="231">
        <v>946.52250696490194</v>
      </c>
      <c r="V13" s="231">
        <v>946.52250696490194</v>
      </c>
      <c r="W13" s="231">
        <v>946.52250696490194</v>
      </c>
      <c r="Y13" s="231">
        <f t="shared" si="3"/>
        <v>946.52250696490194</v>
      </c>
      <c r="Z13" s="231">
        <f t="shared" si="3"/>
        <v>946.52250696490194</v>
      </c>
      <c r="AA13" s="231">
        <f t="shared" si="3"/>
        <v>946.52250696490194</v>
      </c>
      <c r="AB13" s="231">
        <f t="shared" si="3"/>
        <v>946.52250696490194</v>
      </c>
      <c r="AC13" s="159"/>
      <c r="AD13" s="156">
        <f t="shared" si="4"/>
        <v>0</v>
      </c>
      <c r="AE13" s="156">
        <f t="shared" si="4"/>
        <v>0</v>
      </c>
      <c r="AF13" s="156">
        <f t="shared" si="4"/>
        <v>0</v>
      </c>
      <c r="AG13" s="156">
        <f t="shared" si="4"/>
        <v>0</v>
      </c>
    </row>
    <row r="14" spans="2:337" s="660" customFormat="1" x14ac:dyDescent="0.3">
      <c r="B14" s="417" t="s">
        <v>7834</v>
      </c>
      <c r="C14" s="539" t="s">
        <v>7832</v>
      </c>
      <c r="D14" s="540">
        <v>24</v>
      </c>
      <c r="E14" s="541">
        <f>400000*0.5</f>
        <v>200000</v>
      </c>
      <c r="F14" s="666">
        <f t="shared" si="0"/>
        <v>4800000</v>
      </c>
      <c r="G14" s="541">
        <f t="shared" si="9"/>
        <v>4239</v>
      </c>
      <c r="H14" s="666">
        <f t="shared" si="1"/>
        <v>1132.3425336164189</v>
      </c>
      <c r="I14" s="231">
        <v>0</v>
      </c>
      <c r="J14" s="658"/>
      <c r="K14" s="231">
        <f t="shared" si="5"/>
        <v>0</v>
      </c>
      <c r="L14" s="231">
        <f t="shared" si="6"/>
        <v>0</v>
      </c>
      <c r="M14" s="156">
        <f t="shared" si="7"/>
        <v>0</v>
      </c>
      <c r="N14" s="659"/>
      <c r="O14" s="231">
        <f t="shared" si="8"/>
        <v>0</v>
      </c>
      <c r="P14" s="231">
        <f t="shared" si="2"/>
        <v>0</v>
      </c>
      <c r="Q14" s="231">
        <f t="shared" si="2"/>
        <v>0</v>
      </c>
      <c r="R14" s="231">
        <f t="shared" si="2"/>
        <v>0</v>
      </c>
      <c r="T14" s="231"/>
      <c r="U14" s="231"/>
      <c r="V14" s="231"/>
      <c r="W14" s="231"/>
      <c r="Y14" s="231">
        <f t="shared" si="3"/>
        <v>0</v>
      </c>
      <c r="Z14" s="231">
        <f t="shared" si="3"/>
        <v>0</v>
      </c>
      <c r="AA14" s="231">
        <f t="shared" si="3"/>
        <v>0</v>
      </c>
      <c r="AB14" s="231">
        <f t="shared" si="3"/>
        <v>0</v>
      </c>
      <c r="AC14" s="159"/>
      <c r="AD14" s="156">
        <f t="shared" si="4"/>
        <v>0</v>
      </c>
      <c r="AE14" s="156">
        <f t="shared" si="4"/>
        <v>0</v>
      </c>
      <c r="AF14" s="156">
        <f t="shared" si="4"/>
        <v>0</v>
      </c>
      <c r="AG14" s="156">
        <f t="shared" si="4"/>
        <v>0</v>
      </c>
    </row>
    <row r="15" spans="2:337" s="660" customFormat="1" x14ac:dyDescent="0.3">
      <c r="B15" s="417" t="s">
        <v>7835</v>
      </c>
      <c r="C15" s="539" t="s">
        <v>7832</v>
      </c>
      <c r="D15" s="540">
        <v>24</v>
      </c>
      <c r="E15" s="541">
        <f>5874049*20%</f>
        <v>1174809.8</v>
      </c>
      <c r="F15" s="666">
        <f t="shared" si="0"/>
        <v>28195435.200000003</v>
      </c>
      <c r="G15" s="541">
        <f t="shared" si="9"/>
        <v>4239</v>
      </c>
      <c r="H15" s="666">
        <f t="shared" si="1"/>
        <v>6651.4355272469929</v>
      </c>
      <c r="I15" s="231">
        <v>0</v>
      </c>
      <c r="J15" s="658"/>
      <c r="K15" s="231">
        <f t="shared" si="5"/>
        <v>0</v>
      </c>
      <c r="L15" s="231">
        <f t="shared" si="6"/>
        <v>0</v>
      </c>
      <c r="M15" s="156">
        <f t="shared" si="7"/>
        <v>0</v>
      </c>
      <c r="N15" s="659"/>
      <c r="O15" s="231">
        <f t="shared" si="8"/>
        <v>0</v>
      </c>
      <c r="P15" s="231">
        <f t="shared" si="2"/>
        <v>0</v>
      </c>
      <c r="Q15" s="231">
        <f t="shared" si="2"/>
        <v>0</v>
      </c>
      <c r="R15" s="231">
        <f t="shared" si="2"/>
        <v>0</v>
      </c>
      <c r="T15" s="231"/>
      <c r="U15" s="231"/>
      <c r="V15" s="231"/>
      <c r="W15" s="231"/>
      <c r="Y15" s="231">
        <f t="shared" si="3"/>
        <v>0</v>
      </c>
      <c r="Z15" s="231">
        <f t="shared" si="3"/>
        <v>0</v>
      </c>
      <c r="AA15" s="231">
        <f t="shared" si="3"/>
        <v>0</v>
      </c>
      <c r="AB15" s="231">
        <f t="shared" si="3"/>
        <v>0</v>
      </c>
      <c r="AC15" s="159"/>
      <c r="AD15" s="156">
        <f t="shared" si="4"/>
        <v>0</v>
      </c>
      <c r="AE15" s="156">
        <f t="shared" si="4"/>
        <v>0</v>
      </c>
      <c r="AF15" s="156">
        <f t="shared" si="4"/>
        <v>0</v>
      </c>
      <c r="AG15" s="156">
        <f t="shared" si="4"/>
        <v>0</v>
      </c>
    </row>
    <row r="16" spans="2:337" s="660" customFormat="1" x14ac:dyDescent="0.3">
      <c r="B16" s="417" t="s">
        <v>7836</v>
      </c>
      <c r="C16" s="539" t="s">
        <v>7837</v>
      </c>
      <c r="D16" s="540">
        <f>8392*2</f>
        <v>16784</v>
      </c>
      <c r="E16" s="541">
        <v>2027</v>
      </c>
      <c r="F16" s="666">
        <f t="shared" si="0"/>
        <v>34021168</v>
      </c>
      <c r="G16" s="541">
        <f t="shared" si="9"/>
        <v>4239</v>
      </c>
      <c r="H16" s="666">
        <f t="shared" si="1"/>
        <v>8025.753243689549</v>
      </c>
      <c r="I16" s="231">
        <v>0</v>
      </c>
      <c r="J16" s="658"/>
      <c r="K16" s="231">
        <f t="shared" si="5"/>
        <v>0</v>
      </c>
      <c r="L16" s="231">
        <f t="shared" si="6"/>
        <v>0</v>
      </c>
      <c r="M16" s="156">
        <f t="shared" si="7"/>
        <v>0</v>
      </c>
      <c r="N16" s="659"/>
      <c r="O16" s="231">
        <f t="shared" si="8"/>
        <v>0</v>
      </c>
      <c r="P16" s="231">
        <f t="shared" si="2"/>
        <v>0</v>
      </c>
      <c r="Q16" s="231">
        <f t="shared" si="2"/>
        <v>0</v>
      </c>
      <c r="R16" s="231">
        <f t="shared" si="2"/>
        <v>0</v>
      </c>
      <c r="T16" s="231"/>
      <c r="U16" s="231"/>
      <c r="V16" s="231"/>
      <c r="W16" s="231"/>
      <c r="Y16" s="231">
        <f t="shared" si="3"/>
        <v>0</v>
      </c>
      <c r="Z16" s="231">
        <f t="shared" si="3"/>
        <v>0</v>
      </c>
      <c r="AA16" s="231">
        <f t="shared" si="3"/>
        <v>0</v>
      </c>
      <c r="AB16" s="231">
        <f t="shared" si="3"/>
        <v>0</v>
      </c>
      <c r="AC16" s="159"/>
      <c r="AD16" s="156">
        <f t="shared" si="4"/>
        <v>0</v>
      </c>
      <c r="AE16" s="156">
        <f t="shared" si="4"/>
        <v>0</v>
      </c>
      <c r="AF16" s="156">
        <f t="shared" si="4"/>
        <v>0</v>
      </c>
      <c r="AG16" s="156">
        <f t="shared" si="4"/>
        <v>0</v>
      </c>
    </row>
    <row r="17" spans="2:213" s="660" customFormat="1" x14ac:dyDescent="0.3">
      <c r="B17" s="417" t="s">
        <v>7838</v>
      </c>
      <c r="C17" s="539" t="s">
        <v>7839</v>
      </c>
      <c r="D17" s="540">
        <v>2</v>
      </c>
      <c r="E17" s="541">
        <v>4600000</v>
      </c>
      <c r="F17" s="666">
        <f t="shared" si="0"/>
        <v>9200000</v>
      </c>
      <c r="G17" s="541">
        <f t="shared" si="9"/>
        <v>4239</v>
      </c>
      <c r="H17" s="666">
        <f t="shared" si="1"/>
        <v>2170.3231894314695</v>
      </c>
      <c r="I17" s="231">
        <v>0</v>
      </c>
      <c r="J17" s="658"/>
      <c r="K17" s="231">
        <f t="shared" si="5"/>
        <v>0</v>
      </c>
      <c r="L17" s="231">
        <f t="shared" si="6"/>
        <v>0</v>
      </c>
      <c r="M17" s="156">
        <f t="shared" si="7"/>
        <v>0</v>
      </c>
      <c r="N17" s="659"/>
      <c r="O17" s="231">
        <f t="shared" si="8"/>
        <v>0</v>
      </c>
      <c r="P17" s="231">
        <f t="shared" si="2"/>
        <v>0</v>
      </c>
      <c r="Q17" s="231">
        <f t="shared" si="2"/>
        <v>0</v>
      </c>
      <c r="R17" s="231">
        <f t="shared" si="2"/>
        <v>0</v>
      </c>
      <c r="T17" s="231"/>
      <c r="U17" s="231"/>
      <c r="V17" s="231"/>
      <c r="W17" s="231"/>
      <c r="Y17" s="231">
        <f t="shared" si="3"/>
        <v>0</v>
      </c>
      <c r="Z17" s="231">
        <f t="shared" si="3"/>
        <v>0</v>
      </c>
      <c r="AA17" s="231">
        <f t="shared" si="3"/>
        <v>0</v>
      </c>
      <c r="AB17" s="231">
        <f t="shared" si="3"/>
        <v>0</v>
      </c>
      <c r="AC17" s="159"/>
      <c r="AD17" s="156">
        <f t="shared" si="4"/>
        <v>0</v>
      </c>
      <c r="AE17" s="156">
        <f t="shared" si="4"/>
        <v>0</v>
      </c>
      <c r="AF17" s="156">
        <f t="shared" si="4"/>
        <v>0</v>
      </c>
      <c r="AG17" s="156">
        <f t="shared" si="4"/>
        <v>0</v>
      </c>
    </row>
    <row r="18" spans="2:213" s="660" customFormat="1" x14ac:dyDescent="0.3">
      <c r="B18" s="417" t="s">
        <v>7840</v>
      </c>
      <c r="C18" s="539" t="s">
        <v>7832</v>
      </c>
      <c r="D18" s="540">
        <v>24</v>
      </c>
      <c r="E18" s="667">
        <f>4000000*20%</f>
        <v>800000</v>
      </c>
      <c r="F18" s="666">
        <f t="shared" si="0"/>
        <v>19200000</v>
      </c>
      <c r="G18" s="541">
        <f t="shared" si="9"/>
        <v>4239</v>
      </c>
      <c r="H18" s="666">
        <f t="shared" si="1"/>
        <v>4529.3701344656756</v>
      </c>
      <c r="I18" s="231">
        <v>0</v>
      </c>
      <c r="J18" s="658"/>
      <c r="K18" s="231">
        <f t="shared" si="5"/>
        <v>0</v>
      </c>
      <c r="L18" s="231">
        <f t="shared" si="6"/>
        <v>0</v>
      </c>
      <c r="M18" s="156">
        <f t="shared" si="7"/>
        <v>0</v>
      </c>
      <c r="N18" s="659"/>
      <c r="O18" s="231">
        <f t="shared" si="8"/>
        <v>0</v>
      </c>
      <c r="P18" s="231">
        <f t="shared" si="2"/>
        <v>0</v>
      </c>
      <c r="Q18" s="231">
        <f t="shared" si="2"/>
        <v>0</v>
      </c>
      <c r="R18" s="231">
        <f t="shared" si="2"/>
        <v>0</v>
      </c>
      <c r="T18" s="231"/>
      <c r="U18" s="231"/>
      <c r="V18" s="231"/>
      <c r="W18" s="231"/>
      <c r="Y18" s="231">
        <f t="shared" si="3"/>
        <v>0</v>
      </c>
      <c r="Z18" s="231">
        <f t="shared" si="3"/>
        <v>0</v>
      </c>
      <c r="AA18" s="231">
        <f t="shared" si="3"/>
        <v>0</v>
      </c>
      <c r="AB18" s="231">
        <f t="shared" si="3"/>
        <v>0</v>
      </c>
      <c r="AC18" s="159"/>
      <c r="AD18" s="156">
        <f t="shared" si="4"/>
        <v>0</v>
      </c>
      <c r="AE18" s="156">
        <f t="shared" si="4"/>
        <v>0</v>
      </c>
      <c r="AF18" s="156">
        <f t="shared" si="4"/>
        <v>0</v>
      </c>
      <c r="AG18" s="156">
        <f t="shared" si="4"/>
        <v>0</v>
      </c>
    </row>
    <row r="19" spans="2:213" s="660" customFormat="1" x14ac:dyDescent="0.3">
      <c r="B19" s="417" t="s">
        <v>7841</v>
      </c>
      <c r="C19" s="539" t="s">
        <v>7832</v>
      </c>
      <c r="D19" s="540">
        <v>24</v>
      </c>
      <c r="E19" s="541">
        <f>1366668*30%</f>
        <v>410000.39999999997</v>
      </c>
      <c r="F19" s="666">
        <f t="shared" si="0"/>
        <v>9840009.5999999996</v>
      </c>
      <c r="G19" s="541">
        <f t="shared" si="9"/>
        <v>4239</v>
      </c>
      <c r="H19" s="666">
        <f t="shared" si="1"/>
        <v>2321.3044585987259</v>
      </c>
      <c r="I19" s="231">
        <v>0</v>
      </c>
      <c r="J19" s="658"/>
      <c r="K19" s="231">
        <f t="shared" si="5"/>
        <v>0</v>
      </c>
      <c r="L19" s="231">
        <f t="shared" si="6"/>
        <v>0</v>
      </c>
      <c r="M19" s="156">
        <f t="shared" si="7"/>
        <v>0</v>
      </c>
      <c r="N19" s="659"/>
      <c r="O19" s="231">
        <f t="shared" si="8"/>
        <v>0</v>
      </c>
      <c r="P19" s="231">
        <f t="shared" si="2"/>
        <v>0</v>
      </c>
      <c r="Q19" s="231">
        <f t="shared" si="2"/>
        <v>0</v>
      </c>
      <c r="R19" s="231">
        <f t="shared" si="2"/>
        <v>0</v>
      </c>
      <c r="T19" s="231"/>
      <c r="U19" s="231"/>
      <c r="V19" s="231"/>
      <c r="W19" s="231"/>
      <c r="Y19" s="231">
        <f t="shared" si="3"/>
        <v>0</v>
      </c>
      <c r="Z19" s="231">
        <f t="shared" si="3"/>
        <v>0</v>
      </c>
      <c r="AA19" s="231">
        <f t="shared" si="3"/>
        <v>0</v>
      </c>
      <c r="AB19" s="231">
        <f t="shared" si="3"/>
        <v>0</v>
      </c>
      <c r="AC19" s="159"/>
      <c r="AD19" s="156">
        <f t="shared" si="4"/>
        <v>0</v>
      </c>
      <c r="AE19" s="156">
        <f t="shared" si="4"/>
        <v>0</v>
      </c>
      <c r="AF19" s="156">
        <f t="shared" si="4"/>
        <v>0</v>
      </c>
      <c r="AG19" s="156">
        <f t="shared" si="4"/>
        <v>0</v>
      </c>
    </row>
    <row r="20" spans="2:213" s="660" customFormat="1" x14ac:dyDescent="0.3">
      <c r="B20" s="417" t="s">
        <v>7842</v>
      </c>
      <c r="C20" s="539" t="s">
        <v>7843</v>
      </c>
      <c r="D20" s="540">
        <v>2</v>
      </c>
      <c r="E20" s="541">
        <f>44550000*20%</f>
        <v>8910000</v>
      </c>
      <c r="F20" s="666">
        <f t="shared" si="0"/>
        <v>17820000</v>
      </c>
      <c r="G20" s="541">
        <f t="shared" si="9"/>
        <v>4239</v>
      </c>
      <c r="H20" s="666">
        <f t="shared" si="1"/>
        <v>4203.8216560509554</v>
      </c>
      <c r="I20" s="231">
        <v>0</v>
      </c>
      <c r="J20" s="658"/>
      <c r="K20" s="231">
        <f t="shared" si="5"/>
        <v>0</v>
      </c>
      <c r="L20" s="231">
        <f t="shared" si="6"/>
        <v>0</v>
      </c>
      <c r="M20" s="156">
        <f t="shared" si="7"/>
        <v>0</v>
      </c>
      <c r="N20" s="659"/>
      <c r="O20" s="231">
        <f t="shared" si="8"/>
        <v>0</v>
      </c>
      <c r="P20" s="231">
        <f t="shared" si="2"/>
        <v>0</v>
      </c>
      <c r="Q20" s="231">
        <f t="shared" si="2"/>
        <v>0</v>
      </c>
      <c r="R20" s="231">
        <f t="shared" si="2"/>
        <v>0</v>
      </c>
      <c r="S20" s="668"/>
      <c r="T20" s="231"/>
      <c r="U20" s="231"/>
      <c r="V20" s="231"/>
      <c r="W20" s="231"/>
      <c r="X20" s="668"/>
      <c r="Y20" s="231">
        <f t="shared" si="3"/>
        <v>0</v>
      </c>
      <c r="Z20" s="231">
        <f t="shared" si="3"/>
        <v>0</v>
      </c>
      <c r="AA20" s="231">
        <f t="shared" si="3"/>
        <v>0</v>
      </c>
      <c r="AB20" s="231">
        <f t="shared" si="3"/>
        <v>0</v>
      </c>
      <c r="AC20" s="159"/>
      <c r="AD20" s="156">
        <f t="shared" si="4"/>
        <v>0</v>
      </c>
      <c r="AE20" s="156">
        <f t="shared" si="4"/>
        <v>0</v>
      </c>
      <c r="AF20" s="156">
        <f t="shared" si="4"/>
        <v>0</v>
      </c>
      <c r="AG20" s="156">
        <f t="shared" si="4"/>
        <v>0</v>
      </c>
      <c r="AH20" s="668"/>
      <c r="AI20" s="668"/>
      <c r="AJ20" s="668"/>
      <c r="AK20" s="668"/>
      <c r="AL20" s="668"/>
      <c r="AM20" s="668"/>
      <c r="AN20" s="668"/>
      <c r="AO20" s="668"/>
      <c r="AP20" s="668"/>
      <c r="AQ20" s="668"/>
      <c r="AR20" s="668"/>
      <c r="AS20" s="668"/>
      <c r="AT20" s="668"/>
      <c r="AU20" s="668"/>
      <c r="AV20" s="668"/>
      <c r="AW20" s="668"/>
      <c r="AX20" s="668"/>
      <c r="AY20" s="668"/>
      <c r="AZ20" s="668"/>
      <c r="BA20" s="668"/>
      <c r="BB20" s="668"/>
      <c r="BC20" s="668"/>
      <c r="BD20" s="668"/>
      <c r="BE20" s="668"/>
      <c r="BF20" s="668"/>
      <c r="BG20" s="668"/>
      <c r="BH20" s="668"/>
      <c r="BI20" s="668"/>
      <c r="BJ20" s="668"/>
      <c r="BK20" s="668"/>
      <c r="BL20" s="668"/>
      <c r="BM20" s="668"/>
      <c r="BN20" s="668"/>
      <c r="BO20" s="668"/>
      <c r="BP20" s="668"/>
      <c r="BQ20" s="668"/>
      <c r="BR20" s="668"/>
      <c r="BS20" s="668"/>
      <c r="BT20" s="668"/>
      <c r="BU20" s="668"/>
      <c r="BV20" s="668"/>
      <c r="BW20" s="668"/>
      <c r="BX20" s="668"/>
      <c r="BY20" s="668"/>
      <c r="BZ20" s="668"/>
      <c r="CA20" s="668"/>
      <c r="CB20" s="668"/>
      <c r="CC20" s="668"/>
      <c r="CD20" s="668"/>
      <c r="CE20" s="668"/>
      <c r="CF20" s="668"/>
      <c r="CG20" s="668"/>
      <c r="CH20" s="668"/>
      <c r="CI20" s="668"/>
      <c r="CJ20" s="668"/>
      <c r="CK20" s="668"/>
      <c r="CL20" s="668"/>
      <c r="CM20" s="668"/>
      <c r="CN20" s="668"/>
      <c r="CO20" s="668"/>
      <c r="CP20" s="668"/>
      <c r="CQ20" s="668"/>
      <c r="CR20" s="668"/>
      <c r="CS20" s="668"/>
      <c r="CT20" s="668"/>
      <c r="CU20" s="668"/>
      <c r="CV20" s="668"/>
      <c r="CW20" s="668"/>
      <c r="CX20" s="668"/>
      <c r="CY20" s="668"/>
      <c r="CZ20" s="668"/>
      <c r="DA20" s="668"/>
      <c r="DB20" s="668"/>
      <c r="DC20" s="668"/>
      <c r="DD20" s="668"/>
      <c r="DE20" s="668"/>
      <c r="DF20" s="668"/>
      <c r="DG20" s="668"/>
      <c r="DH20" s="668"/>
      <c r="DI20" s="668"/>
      <c r="DJ20" s="668"/>
      <c r="DK20" s="668"/>
      <c r="DL20" s="668"/>
      <c r="DM20" s="668"/>
      <c r="DN20" s="668"/>
      <c r="DO20" s="668"/>
      <c r="DP20" s="668"/>
      <c r="DQ20" s="668"/>
      <c r="DR20" s="668"/>
      <c r="DS20" s="668"/>
      <c r="DT20" s="668"/>
      <c r="DU20" s="668"/>
      <c r="DV20" s="668"/>
      <c r="DW20" s="668"/>
      <c r="DX20" s="668"/>
      <c r="DY20" s="668"/>
      <c r="DZ20" s="668"/>
      <c r="EA20" s="668"/>
      <c r="EB20" s="668"/>
      <c r="EC20" s="668"/>
      <c r="ED20" s="668"/>
      <c r="EE20" s="668"/>
      <c r="EF20" s="668"/>
      <c r="EG20" s="668"/>
      <c r="EH20" s="668"/>
      <c r="EI20" s="668"/>
      <c r="EJ20" s="668"/>
      <c r="EK20" s="668"/>
      <c r="EL20" s="668"/>
      <c r="EM20" s="668"/>
      <c r="EN20" s="668"/>
      <c r="EO20" s="668"/>
      <c r="EP20" s="668"/>
      <c r="EQ20" s="668"/>
      <c r="ER20" s="668"/>
      <c r="ES20" s="668"/>
      <c r="ET20" s="668"/>
      <c r="EU20" s="668"/>
      <c r="EV20" s="668"/>
      <c r="EW20" s="668"/>
      <c r="EX20" s="668"/>
      <c r="EY20" s="668"/>
      <c r="EZ20" s="668"/>
      <c r="FA20" s="668"/>
      <c r="FB20" s="668"/>
      <c r="FC20" s="668"/>
      <c r="FD20" s="668"/>
      <c r="FE20" s="668"/>
      <c r="FF20" s="668"/>
      <c r="FG20" s="668"/>
      <c r="FH20" s="668"/>
      <c r="FI20" s="668"/>
      <c r="FJ20" s="668"/>
      <c r="FK20" s="668"/>
      <c r="FL20" s="668"/>
      <c r="FM20" s="668"/>
      <c r="FN20" s="668"/>
      <c r="FO20" s="668"/>
      <c r="FP20" s="668"/>
      <c r="FQ20" s="668"/>
      <c r="FR20" s="668"/>
      <c r="FS20" s="668"/>
      <c r="FT20" s="668"/>
      <c r="FU20" s="668"/>
      <c r="FV20" s="668"/>
      <c r="FW20" s="668"/>
      <c r="FX20" s="668"/>
      <c r="FY20" s="668"/>
      <c r="FZ20" s="668"/>
      <c r="GA20" s="668"/>
      <c r="GB20" s="668"/>
      <c r="GC20" s="668"/>
      <c r="GD20" s="668"/>
      <c r="GE20" s="668"/>
      <c r="GF20" s="668"/>
      <c r="GG20" s="668"/>
      <c r="GH20" s="668"/>
      <c r="GI20" s="668"/>
      <c r="GJ20" s="668"/>
      <c r="GK20" s="668"/>
      <c r="GL20" s="668"/>
      <c r="GM20" s="668"/>
      <c r="GN20" s="668"/>
      <c r="GO20" s="668"/>
      <c r="GP20" s="668"/>
      <c r="GQ20" s="668"/>
      <c r="GR20" s="668"/>
      <c r="GS20" s="668"/>
      <c r="GT20" s="668"/>
      <c r="GU20" s="668"/>
      <c r="GV20" s="668"/>
      <c r="GW20" s="668"/>
      <c r="GX20" s="668"/>
      <c r="GY20" s="668"/>
      <c r="GZ20" s="668"/>
      <c r="HA20" s="668"/>
      <c r="HB20" s="668"/>
      <c r="HC20" s="668"/>
      <c r="HD20" s="668"/>
      <c r="HE20" s="668"/>
    </row>
    <row r="21" spans="2:213" s="660" customFormat="1" x14ac:dyDescent="0.3">
      <c r="B21" s="417" t="s">
        <v>7844</v>
      </c>
      <c r="C21" s="539" t="s">
        <v>7832</v>
      </c>
      <c r="D21" s="540">
        <v>24</v>
      </c>
      <c r="E21" s="667">
        <f>1500000*40%</f>
        <v>600000</v>
      </c>
      <c r="F21" s="666">
        <f t="shared" si="0"/>
        <v>14400000</v>
      </c>
      <c r="G21" s="541">
        <f t="shared" si="9"/>
        <v>4239</v>
      </c>
      <c r="H21" s="666">
        <f t="shared" si="1"/>
        <v>3397.0276008492569</v>
      </c>
      <c r="I21" s="231">
        <v>0</v>
      </c>
      <c r="J21" s="658"/>
      <c r="K21" s="231">
        <f t="shared" si="5"/>
        <v>0</v>
      </c>
      <c r="L21" s="231">
        <f t="shared" si="6"/>
        <v>0</v>
      </c>
      <c r="M21" s="156">
        <f t="shared" si="7"/>
        <v>0</v>
      </c>
      <c r="N21" s="659"/>
      <c r="O21" s="231">
        <f t="shared" si="8"/>
        <v>0</v>
      </c>
      <c r="P21" s="231">
        <f t="shared" si="2"/>
        <v>0</v>
      </c>
      <c r="Q21" s="231">
        <f t="shared" si="2"/>
        <v>0</v>
      </c>
      <c r="R21" s="231">
        <f t="shared" si="2"/>
        <v>0</v>
      </c>
      <c r="S21" s="668"/>
      <c r="T21" s="231"/>
      <c r="U21" s="231"/>
      <c r="V21" s="231"/>
      <c r="W21" s="231"/>
      <c r="X21" s="668"/>
      <c r="Y21" s="231">
        <f t="shared" si="3"/>
        <v>0</v>
      </c>
      <c r="Z21" s="231">
        <f t="shared" si="3"/>
        <v>0</v>
      </c>
      <c r="AA21" s="231">
        <f t="shared" si="3"/>
        <v>0</v>
      </c>
      <c r="AB21" s="231">
        <f t="shared" si="3"/>
        <v>0</v>
      </c>
      <c r="AC21" s="418"/>
      <c r="AD21" s="156">
        <f t="shared" si="4"/>
        <v>0</v>
      </c>
      <c r="AE21" s="156">
        <f t="shared" si="4"/>
        <v>0</v>
      </c>
      <c r="AF21" s="156">
        <f t="shared" si="4"/>
        <v>0</v>
      </c>
      <c r="AG21" s="156">
        <f t="shared" si="4"/>
        <v>0</v>
      </c>
      <c r="AH21" s="668"/>
      <c r="AI21" s="668"/>
      <c r="AJ21" s="668"/>
      <c r="AK21" s="668"/>
      <c r="AL21" s="668"/>
      <c r="AM21" s="668"/>
      <c r="AN21" s="668"/>
      <c r="AO21" s="668"/>
      <c r="AP21" s="668"/>
      <c r="AQ21" s="668"/>
      <c r="AR21" s="668"/>
      <c r="AS21" s="668"/>
      <c r="AT21" s="668"/>
      <c r="AU21" s="668"/>
      <c r="AV21" s="668"/>
      <c r="AW21" s="668"/>
      <c r="AX21" s="668"/>
      <c r="AY21" s="668"/>
      <c r="AZ21" s="668"/>
      <c r="BA21" s="668"/>
      <c r="BB21" s="668"/>
      <c r="BC21" s="668"/>
      <c r="BD21" s="668"/>
      <c r="BE21" s="668"/>
      <c r="BF21" s="668"/>
      <c r="BG21" s="668"/>
      <c r="BH21" s="668"/>
      <c r="BI21" s="668"/>
      <c r="BJ21" s="668"/>
      <c r="BK21" s="668"/>
      <c r="BL21" s="668"/>
      <c r="BM21" s="668"/>
      <c r="BN21" s="668"/>
      <c r="BO21" s="668"/>
      <c r="BP21" s="668"/>
      <c r="BQ21" s="668"/>
      <c r="BR21" s="668"/>
      <c r="BS21" s="668"/>
      <c r="BT21" s="668"/>
      <c r="BU21" s="668"/>
      <c r="BV21" s="668"/>
      <c r="BW21" s="668"/>
      <c r="BX21" s="668"/>
      <c r="BY21" s="668"/>
      <c r="BZ21" s="668"/>
      <c r="CA21" s="668"/>
      <c r="CB21" s="668"/>
      <c r="CC21" s="668"/>
      <c r="CD21" s="668"/>
      <c r="CE21" s="668"/>
      <c r="CF21" s="668"/>
      <c r="CG21" s="668"/>
      <c r="CH21" s="668"/>
      <c r="CI21" s="668"/>
      <c r="CJ21" s="668"/>
      <c r="CK21" s="668"/>
      <c r="CL21" s="668"/>
      <c r="CM21" s="668"/>
      <c r="CN21" s="668"/>
      <c r="CO21" s="668"/>
      <c r="CP21" s="668"/>
      <c r="CQ21" s="668"/>
      <c r="CR21" s="668"/>
      <c r="CS21" s="668"/>
      <c r="CT21" s="668"/>
      <c r="CU21" s="668"/>
      <c r="CV21" s="668"/>
      <c r="CW21" s="668"/>
      <c r="CX21" s="668"/>
      <c r="CY21" s="668"/>
      <c r="CZ21" s="668"/>
      <c r="DA21" s="668"/>
      <c r="DB21" s="668"/>
      <c r="DC21" s="668"/>
      <c r="DD21" s="668"/>
      <c r="DE21" s="668"/>
      <c r="DF21" s="668"/>
      <c r="DG21" s="668"/>
      <c r="DH21" s="668"/>
      <c r="DI21" s="668"/>
      <c r="DJ21" s="668"/>
      <c r="DK21" s="668"/>
      <c r="DL21" s="668"/>
      <c r="DM21" s="668"/>
      <c r="DN21" s="668"/>
      <c r="DO21" s="668"/>
      <c r="DP21" s="668"/>
      <c r="DQ21" s="668"/>
      <c r="DR21" s="668"/>
      <c r="DS21" s="668"/>
      <c r="DT21" s="668"/>
      <c r="DU21" s="668"/>
      <c r="DV21" s="668"/>
      <c r="DW21" s="668"/>
      <c r="DX21" s="668"/>
      <c r="DY21" s="668"/>
      <c r="DZ21" s="668"/>
      <c r="EA21" s="668"/>
      <c r="EB21" s="668"/>
      <c r="EC21" s="668"/>
      <c r="ED21" s="668"/>
      <c r="EE21" s="668"/>
      <c r="EF21" s="668"/>
      <c r="EG21" s="668"/>
      <c r="EH21" s="668"/>
      <c r="EI21" s="668"/>
      <c r="EJ21" s="668"/>
      <c r="EK21" s="668"/>
      <c r="EL21" s="668"/>
      <c r="EM21" s="668"/>
      <c r="EN21" s="668"/>
      <c r="EO21" s="668"/>
      <c r="EP21" s="668"/>
      <c r="EQ21" s="668"/>
      <c r="ER21" s="668"/>
      <c r="ES21" s="668"/>
      <c r="ET21" s="668"/>
      <c r="EU21" s="668"/>
      <c r="EV21" s="668"/>
      <c r="EW21" s="668"/>
      <c r="EX21" s="668"/>
      <c r="EY21" s="668"/>
      <c r="EZ21" s="668"/>
      <c r="FA21" s="668"/>
      <c r="FB21" s="668"/>
      <c r="FC21" s="668"/>
      <c r="FD21" s="668"/>
      <c r="FE21" s="668"/>
      <c r="FF21" s="668"/>
      <c r="FG21" s="668"/>
      <c r="FH21" s="668"/>
      <c r="FI21" s="668"/>
      <c r="FJ21" s="668"/>
      <c r="FK21" s="668"/>
      <c r="FL21" s="668"/>
      <c r="FM21" s="668"/>
      <c r="FN21" s="668"/>
      <c r="FO21" s="668"/>
      <c r="FP21" s="668"/>
      <c r="FQ21" s="668"/>
      <c r="FR21" s="668"/>
      <c r="FS21" s="668"/>
      <c r="FT21" s="668"/>
      <c r="FU21" s="668"/>
      <c r="FV21" s="668"/>
      <c r="FW21" s="668"/>
      <c r="FX21" s="668"/>
      <c r="FY21" s="668"/>
      <c r="FZ21" s="668"/>
      <c r="GA21" s="668"/>
      <c r="GB21" s="668"/>
      <c r="GC21" s="668"/>
      <c r="GD21" s="668"/>
      <c r="GE21" s="668"/>
      <c r="GF21" s="668"/>
      <c r="GG21" s="668"/>
      <c r="GH21" s="668"/>
      <c r="GI21" s="668"/>
      <c r="GJ21" s="668"/>
      <c r="GK21" s="668"/>
      <c r="GL21" s="668"/>
      <c r="GM21" s="668"/>
      <c r="GN21" s="668"/>
      <c r="GO21" s="668"/>
      <c r="GP21" s="668"/>
      <c r="GQ21" s="668"/>
      <c r="GR21" s="668"/>
      <c r="GS21" s="668"/>
      <c r="GT21" s="668"/>
      <c r="GU21" s="668"/>
      <c r="GV21" s="668"/>
      <c r="GW21" s="668"/>
      <c r="GX21" s="668"/>
      <c r="GY21" s="668"/>
      <c r="GZ21" s="668"/>
      <c r="HA21" s="668"/>
      <c r="HB21" s="668"/>
      <c r="HC21" s="668"/>
      <c r="HD21" s="668"/>
      <c r="HE21" s="668"/>
    </row>
    <row r="22" spans="2:213" s="660" customFormat="1" x14ac:dyDescent="0.3">
      <c r="B22" s="669" t="s">
        <v>7845</v>
      </c>
      <c r="C22" s="539" t="s">
        <v>7846</v>
      </c>
      <c r="D22" s="540">
        <v>2</v>
      </c>
      <c r="E22" s="540">
        <v>18000000</v>
      </c>
      <c r="F22" s="666">
        <f t="shared" si="0"/>
        <v>36000000</v>
      </c>
      <c r="G22" s="541">
        <f t="shared" si="9"/>
        <v>4239</v>
      </c>
      <c r="H22" s="666">
        <f t="shared" si="1"/>
        <v>8492.5690021231421</v>
      </c>
      <c r="I22" s="231">
        <v>8493</v>
      </c>
      <c r="J22" s="658"/>
      <c r="K22" s="231">
        <f t="shared" si="5"/>
        <v>8105.7081999288648</v>
      </c>
      <c r="L22" s="231">
        <f t="shared" si="6"/>
        <v>-387.29180007113519</v>
      </c>
      <c r="M22" s="156">
        <f t="shared" si="7"/>
        <v>-4.5601295192645143E-2</v>
      </c>
      <c r="N22" s="659"/>
      <c r="O22" s="231">
        <f t="shared" si="8"/>
        <v>2123.25</v>
      </c>
      <c r="P22" s="231">
        <f t="shared" si="2"/>
        <v>2123.25</v>
      </c>
      <c r="Q22" s="231">
        <f t="shared" si="2"/>
        <v>2123.25</v>
      </c>
      <c r="R22" s="231">
        <f t="shared" si="2"/>
        <v>2123.25</v>
      </c>
      <c r="S22" s="668"/>
      <c r="T22" s="231">
        <v>2026.4270499822162</v>
      </c>
      <c r="U22" s="231">
        <v>2026.4270499822162</v>
      </c>
      <c r="V22" s="231">
        <v>2026.4270499822162</v>
      </c>
      <c r="W22" s="231">
        <v>2026.4270499822162</v>
      </c>
      <c r="X22" s="668"/>
      <c r="Y22" s="231">
        <f t="shared" si="3"/>
        <v>-96.822950017783796</v>
      </c>
      <c r="Z22" s="231">
        <f t="shared" si="3"/>
        <v>-96.822950017783796</v>
      </c>
      <c r="AA22" s="231">
        <f t="shared" si="3"/>
        <v>-96.822950017783796</v>
      </c>
      <c r="AB22" s="231">
        <f t="shared" si="3"/>
        <v>-96.822950017783796</v>
      </c>
      <c r="AC22" s="418"/>
      <c r="AD22" s="156">
        <f t="shared" si="4"/>
        <v>-4.5601295192645143E-2</v>
      </c>
      <c r="AE22" s="156">
        <f t="shared" si="4"/>
        <v>-4.5601295192645143E-2</v>
      </c>
      <c r="AF22" s="156">
        <f t="shared" si="4"/>
        <v>-4.5601295192645143E-2</v>
      </c>
      <c r="AG22" s="156">
        <f t="shared" si="4"/>
        <v>-4.5601295192645143E-2</v>
      </c>
      <c r="AH22" s="668"/>
      <c r="AI22" s="668"/>
      <c r="AJ22" s="668"/>
      <c r="AK22" s="668"/>
      <c r="AL22" s="668"/>
      <c r="AM22" s="668"/>
      <c r="AN22" s="668"/>
      <c r="AO22" s="668"/>
      <c r="AP22" s="668"/>
      <c r="AQ22" s="668"/>
      <c r="AR22" s="668"/>
      <c r="AS22" s="668"/>
      <c r="AT22" s="668"/>
      <c r="AU22" s="668"/>
      <c r="AV22" s="668"/>
      <c r="AW22" s="668"/>
      <c r="AX22" s="668"/>
      <c r="AY22" s="668"/>
      <c r="AZ22" s="668"/>
      <c r="BA22" s="668"/>
      <c r="BB22" s="668"/>
      <c r="BC22" s="668"/>
      <c r="BD22" s="668"/>
      <c r="BE22" s="668"/>
      <c r="BF22" s="668"/>
      <c r="BG22" s="668"/>
      <c r="BH22" s="668"/>
      <c r="BI22" s="668"/>
      <c r="BJ22" s="668"/>
      <c r="BK22" s="668"/>
      <c r="BL22" s="668"/>
      <c r="BM22" s="668"/>
      <c r="BN22" s="668"/>
      <c r="BO22" s="668"/>
      <c r="BP22" s="668"/>
      <c r="BQ22" s="668"/>
      <c r="BR22" s="668"/>
      <c r="BS22" s="668"/>
      <c r="BT22" s="668"/>
      <c r="BU22" s="668"/>
      <c r="BV22" s="668"/>
      <c r="BW22" s="668"/>
      <c r="BX22" s="668"/>
      <c r="BY22" s="668"/>
      <c r="BZ22" s="668"/>
      <c r="CA22" s="668"/>
      <c r="CB22" s="668"/>
      <c r="CC22" s="668"/>
      <c r="CD22" s="668"/>
      <c r="CE22" s="668"/>
      <c r="CF22" s="668"/>
      <c r="CG22" s="668"/>
      <c r="CH22" s="668"/>
      <c r="CI22" s="668"/>
      <c r="CJ22" s="668"/>
      <c r="CK22" s="668"/>
      <c r="CL22" s="668"/>
      <c r="CM22" s="668"/>
      <c r="CN22" s="668"/>
      <c r="CO22" s="668"/>
      <c r="CP22" s="668"/>
      <c r="CQ22" s="668"/>
      <c r="CR22" s="668"/>
      <c r="CS22" s="668"/>
      <c r="CT22" s="668"/>
      <c r="CU22" s="668"/>
      <c r="CV22" s="668"/>
      <c r="CW22" s="668"/>
      <c r="CX22" s="668"/>
      <c r="CY22" s="668"/>
      <c r="CZ22" s="668"/>
      <c r="DA22" s="668"/>
      <c r="DB22" s="668"/>
      <c r="DC22" s="668"/>
      <c r="DD22" s="668"/>
      <c r="DE22" s="668"/>
      <c r="DF22" s="668"/>
      <c r="DG22" s="668"/>
      <c r="DH22" s="668"/>
      <c r="DI22" s="668"/>
      <c r="DJ22" s="668"/>
      <c r="DK22" s="668"/>
      <c r="DL22" s="668"/>
      <c r="DM22" s="668"/>
      <c r="DN22" s="668"/>
      <c r="DO22" s="668"/>
      <c r="DP22" s="668"/>
      <c r="DQ22" s="668"/>
      <c r="DR22" s="668"/>
      <c r="DS22" s="668"/>
      <c r="DT22" s="668"/>
      <c r="DU22" s="668"/>
      <c r="DV22" s="668"/>
      <c r="DW22" s="668"/>
      <c r="DX22" s="668"/>
      <c r="DY22" s="668"/>
      <c r="DZ22" s="668"/>
      <c r="EA22" s="668"/>
      <c r="EB22" s="668"/>
      <c r="EC22" s="668"/>
      <c r="ED22" s="668"/>
      <c r="EE22" s="668"/>
      <c r="EF22" s="668"/>
      <c r="EG22" s="668"/>
      <c r="EH22" s="668"/>
      <c r="EI22" s="668"/>
      <c r="EJ22" s="668"/>
      <c r="EK22" s="668"/>
      <c r="EL22" s="668"/>
      <c r="EM22" s="668"/>
      <c r="EN22" s="668"/>
      <c r="EO22" s="668"/>
      <c r="EP22" s="668"/>
      <c r="EQ22" s="668"/>
      <c r="ER22" s="668"/>
      <c r="ES22" s="668"/>
      <c r="ET22" s="668"/>
      <c r="EU22" s="668"/>
      <c r="EV22" s="668"/>
      <c r="EW22" s="668"/>
      <c r="EX22" s="668"/>
      <c r="EY22" s="668"/>
      <c r="EZ22" s="668"/>
      <c r="FA22" s="668"/>
      <c r="FB22" s="668"/>
      <c r="FC22" s="668"/>
      <c r="FD22" s="668"/>
      <c r="FE22" s="668"/>
      <c r="FF22" s="668"/>
      <c r="FG22" s="668"/>
      <c r="FH22" s="668"/>
      <c r="FI22" s="668"/>
      <c r="FJ22" s="668"/>
      <c r="FK22" s="668"/>
      <c r="FL22" s="668"/>
      <c r="FM22" s="668"/>
      <c r="FN22" s="668"/>
      <c r="FO22" s="668"/>
      <c r="FP22" s="668"/>
      <c r="FQ22" s="668"/>
      <c r="FR22" s="668"/>
      <c r="FS22" s="668"/>
      <c r="FT22" s="668"/>
      <c r="FU22" s="668"/>
      <c r="FV22" s="668"/>
      <c r="FW22" s="668"/>
      <c r="FX22" s="668"/>
      <c r="FY22" s="668"/>
      <c r="FZ22" s="668"/>
      <c r="GA22" s="668"/>
      <c r="GB22" s="668"/>
      <c r="GC22" s="668"/>
      <c r="GD22" s="668"/>
      <c r="GE22" s="668"/>
      <c r="GF22" s="668"/>
      <c r="GG22" s="668"/>
      <c r="GH22" s="668"/>
      <c r="GI22" s="668"/>
      <c r="GJ22" s="668"/>
      <c r="GK22" s="668"/>
      <c r="GL22" s="668"/>
      <c r="GM22" s="668"/>
      <c r="GN22" s="668"/>
      <c r="GO22" s="668"/>
      <c r="GP22" s="668"/>
      <c r="GQ22" s="668"/>
      <c r="GR22" s="668"/>
      <c r="GS22" s="668"/>
      <c r="GT22" s="668"/>
      <c r="GU22" s="668"/>
      <c r="GV22" s="668"/>
      <c r="GW22" s="668"/>
      <c r="GX22" s="668"/>
      <c r="GY22" s="668"/>
      <c r="GZ22" s="668"/>
      <c r="HA22" s="668"/>
      <c r="HB22" s="668"/>
      <c r="HC22" s="668"/>
      <c r="HD22" s="668"/>
      <c r="HE22" s="668"/>
    </row>
    <row r="23" spans="2:213" s="660" customFormat="1" ht="15" customHeight="1" x14ac:dyDescent="0.3">
      <c r="B23" s="670" t="s">
        <v>7847</v>
      </c>
      <c r="C23" s="539" t="s">
        <v>7848</v>
      </c>
      <c r="D23" s="540">
        <f>2*150</f>
        <v>300</v>
      </c>
      <c r="E23" s="541">
        <v>60000</v>
      </c>
      <c r="F23" s="541">
        <f t="shared" si="0"/>
        <v>18000000</v>
      </c>
      <c r="G23" s="541">
        <f t="shared" si="9"/>
        <v>4239</v>
      </c>
      <c r="H23" s="541">
        <f t="shared" si="1"/>
        <v>4246.2845010615711</v>
      </c>
      <c r="I23" s="231">
        <v>4246</v>
      </c>
      <c r="J23" s="658"/>
      <c r="K23" s="231">
        <f t="shared" si="5"/>
        <v>4660.7679107681561</v>
      </c>
      <c r="L23" s="231">
        <f t="shared" si="6"/>
        <v>414.76791076815607</v>
      </c>
      <c r="M23" s="232">
        <f t="shared" si="7"/>
        <v>9.7684387839886033E-2</v>
      </c>
      <c r="N23" s="659"/>
      <c r="O23" s="231">
        <f>I23</f>
        <v>4246</v>
      </c>
      <c r="P23" s="231"/>
      <c r="Q23" s="231"/>
      <c r="R23" s="231"/>
      <c r="S23" s="668"/>
      <c r="T23" s="231">
        <v>4660.7679107681561</v>
      </c>
      <c r="U23" s="231">
        <v>0</v>
      </c>
      <c r="V23" s="231">
        <v>0</v>
      </c>
      <c r="W23" s="231">
        <v>0</v>
      </c>
      <c r="X23" s="668"/>
      <c r="Y23" s="231">
        <f t="shared" si="3"/>
        <v>414.76791076815607</v>
      </c>
      <c r="Z23" s="231">
        <f t="shared" si="3"/>
        <v>0</v>
      </c>
      <c r="AA23" s="231">
        <f t="shared" si="3"/>
        <v>0</v>
      </c>
      <c r="AB23" s="231">
        <f t="shared" si="3"/>
        <v>0</v>
      </c>
      <c r="AC23" s="225"/>
      <c r="AD23" s="156">
        <f t="shared" si="4"/>
        <v>9.7684387839886033E-2</v>
      </c>
      <c r="AE23" s="156">
        <f t="shared" si="4"/>
        <v>0</v>
      </c>
      <c r="AF23" s="156">
        <f t="shared" si="4"/>
        <v>0</v>
      </c>
      <c r="AG23" s="156">
        <f t="shared" si="4"/>
        <v>0</v>
      </c>
      <c r="AH23" s="668"/>
      <c r="AI23" s="668"/>
      <c r="AJ23" s="668"/>
      <c r="AK23" s="668"/>
      <c r="AL23" s="668"/>
      <c r="AM23" s="668"/>
      <c r="AN23" s="668"/>
      <c r="AO23" s="668"/>
      <c r="AP23" s="668"/>
      <c r="AQ23" s="668"/>
      <c r="AR23" s="668"/>
      <c r="AS23" s="668"/>
      <c r="AT23" s="668"/>
      <c r="AU23" s="668"/>
      <c r="AV23" s="668"/>
      <c r="AW23" s="668"/>
      <c r="AX23" s="668"/>
      <c r="AY23" s="668"/>
      <c r="AZ23" s="668"/>
      <c r="BA23" s="668"/>
      <c r="BB23" s="668"/>
      <c r="BC23" s="668"/>
      <c r="BD23" s="668"/>
      <c r="BE23" s="668"/>
      <c r="BF23" s="668"/>
      <c r="BG23" s="668"/>
      <c r="BH23" s="668"/>
      <c r="BI23" s="668"/>
      <c r="BJ23" s="668"/>
      <c r="BK23" s="668"/>
      <c r="BL23" s="668"/>
      <c r="BM23" s="668"/>
      <c r="BN23" s="668"/>
      <c r="BO23" s="668"/>
      <c r="BP23" s="668"/>
      <c r="BQ23" s="668"/>
      <c r="BR23" s="668"/>
      <c r="BS23" s="668"/>
      <c r="BT23" s="668"/>
      <c r="BU23" s="668"/>
      <c r="BV23" s="668"/>
      <c r="BW23" s="668"/>
      <c r="BX23" s="668"/>
      <c r="BY23" s="668"/>
      <c r="BZ23" s="668"/>
      <c r="CA23" s="668"/>
      <c r="CB23" s="668"/>
      <c r="CC23" s="668"/>
      <c r="CD23" s="668"/>
      <c r="CE23" s="668"/>
      <c r="CF23" s="668"/>
      <c r="CG23" s="668"/>
      <c r="CH23" s="668"/>
      <c r="CI23" s="668"/>
      <c r="CJ23" s="668"/>
      <c r="CK23" s="668"/>
      <c r="CL23" s="668"/>
      <c r="CM23" s="668"/>
      <c r="CN23" s="668"/>
      <c r="CO23" s="668"/>
      <c r="CP23" s="668"/>
      <c r="CQ23" s="668"/>
      <c r="CR23" s="668"/>
      <c r="CS23" s="668"/>
      <c r="CT23" s="668"/>
      <c r="CU23" s="668"/>
      <c r="CV23" s="668"/>
      <c r="CW23" s="668"/>
      <c r="CX23" s="668"/>
      <c r="CY23" s="668"/>
      <c r="CZ23" s="668"/>
      <c r="DA23" s="668"/>
      <c r="DB23" s="668"/>
      <c r="DC23" s="668"/>
      <c r="DD23" s="668"/>
      <c r="DE23" s="668"/>
      <c r="DF23" s="668"/>
      <c r="DG23" s="668"/>
      <c r="DH23" s="668"/>
      <c r="DI23" s="668"/>
      <c r="DJ23" s="668"/>
      <c r="DK23" s="668"/>
      <c r="DL23" s="668"/>
      <c r="DM23" s="668"/>
      <c r="DN23" s="668"/>
      <c r="DO23" s="668"/>
      <c r="DP23" s="668"/>
      <c r="DQ23" s="668"/>
      <c r="DR23" s="668"/>
      <c r="DS23" s="668"/>
      <c r="DT23" s="668"/>
      <c r="DU23" s="668"/>
      <c r="DV23" s="668"/>
      <c r="DW23" s="668"/>
      <c r="DX23" s="668"/>
      <c r="DY23" s="668"/>
      <c r="DZ23" s="668"/>
      <c r="EA23" s="668"/>
      <c r="EB23" s="668"/>
      <c r="EC23" s="668"/>
      <c r="ED23" s="668"/>
      <c r="EE23" s="668"/>
      <c r="EF23" s="668"/>
      <c r="EG23" s="668"/>
      <c r="EH23" s="668"/>
      <c r="EI23" s="668"/>
      <c r="EJ23" s="668"/>
      <c r="EK23" s="668"/>
      <c r="EL23" s="668"/>
      <c r="EM23" s="668"/>
      <c r="EN23" s="668"/>
      <c r="EO23" s="668"/>
      <c r="EP23" s="668"/>
      <c r="EQ23" s="668"/>
      <c r="ER23" s="668"/>
      <c r="ES23" s="668"/>
      <c r="ET23" s="668"/>
      <c r="EU23" s="668"/>
      <c r="EV23" s="668"/>
      <c r="EW23" s="668"/>
      <c r="EX23" s="668"/>
      <c r="EY23" s="668"/>
      <c r="EZ23" s="668"/>
      <c r="FA23" s="668"/>
      <c r="FB23" s="668"/>
      <c r="FC23" s="668"/>
      <c r="FD23" s="668"/>
      <c r="FE23" s="668"/>
      <c r="FF23" s="668"/>
      <c r="FG23" s="668"/>
      <c r="FH23" s="668"/>
      <c r="FI23" s="668"/>
      <c r="FJ23" s="668"/>
      <c r="FK23" s="668"/>
      <c r="FL23" s="668"/>
      <c r="FM23" s="668"/>
      <c r="FN23" s="668"/>
      <c r="FO23" s="668"/>
      <c r="FP23" s="668"/>
      <c r="FQ23" s="668"/>
      <c r="FR23" s="668"/>
      <c r="FS23" s="668"/>
      <c r="FT23" s="668"/>
      <c r="FU23" s="668"/>
      <c r="FV23" s="668"/>
      <c r="FW23" s="668"/>
      <c r="FX23" s="668"/>
      <c r="FY23" s="668"/>
      <c r="FZ23" s="668"/>
      <c r="GA23" s="668"/>
      <c r="GB23" s="668"/>
      <c r="GC23" s="668"/>
      <c r="GD23" s="668"/>
      <c r="GE23" s="668"/>
      <c r="GF23" s="668"/>
      <c r="GG23" s="668"/>
      <c r="GH23" s="668"/>
      <c r="GI23" s="668"/>
      <c r="GJ23" s="668"/>
      <c r="GK23" s="668"/>
      <c r="GL23" s="668"/>
      <c r="GM23" s="668"/>
      <c r="GN23" s="668"/>
      <c r="GO23" s="668"/>
      <c r="GP23" s="668"/>
      <c r="GQ23" s="668"/>
      <c r="GR23" s="668"/>
      <c r="GS23" s="668"/>
      <c r="GT23" s="668"/>
      <c r="GU23" s="668"/>
      <c r="GV23" s="668"/>
      <c r="GW23" s="668"/>
      <c r="GX23" s="668"/>
      <c r="GY23" s="668"/>
      <c r="GZ23" s="668"/>
      <c r="HA23" s="668"/>
      <c r="HB23" s="668"/>
      <c r="HC23" s="668"/>
      <c r="HD23" s="668"/>
      <c r="HE23" s="668"/>
    </row>
    <row r="24" spans="2:213" s="660" customFormat="1" ht="15" customHeight="1" x14ac:dyDescent="0.3">
      <c r="B24" s="670" t="s">
        <v>7849</v>
      </c>
      <c r="C24" s="539" t="s">
        <v>7850</v>
      </c>
      <c r="D24" s="540">
        <v>1</v>
      </c>
      <c r="E24" s="541">
        <v>177894000</v>
      </c>
      <c r="F24" s="541">
        <f t="shared" si="0"/>
        <v>177894000</v>
      </c>
      <c r="G24" s="541">
        <f t="shared" si="9"/>
        <v>4239</v>
      </c>
      <c r="H24" s="541">
        <f t="shared" si="1"/>
        <v>41966.029723991509</v>
      </c>
      <c r="I24" s="231">
        <v>17966</v>
      </c>
      <c r="J24" s="671"/>
      <c r="K24" s="231">
        <f t="shared" si="5"/>
        <v>22086.386022529696</v>
      </c>
      <c r="L24" s="231">
        <f t="shared" si="6"/>
        <v>4120.3860225296958</v>
      </c>
      <c r="M24" s="232">
        <f t="shared" si="7"/>
        <v>0.22934353904762861</v>
      </c>
      <c r="N24" s="659"/>
      <c r="O24" s="231">
        <f t="shared" ref="O24:O26" si="10">I24</f>
        <v>17966</v>
      </c>
      <c r="P24" s="231"/>
      <c r="Q24" s="231"/>
      <c r="R24" s="231"/>
      <c r="S24" s="668"/>
      <c r="T24" s="231">
        <v>22086.386022529696</v>
      </c>
      <c r="U24" s="231">
        <v>0</v>
      </c>
      <c r="V24" s="231">
        <v>0</v>
      </c>
      <c r="W24" s="231">
        <v>0</v>
      </c>
      <c r="X24" s="668"/>
      <c r="Y24" s="231">
        <f t="shared" si="3"/>
        <v>4120.3860225296958</v>
      </c>
      <c r="Z24" s="231">
        <f t="shared" si="3"/>
        <v>0</v>
      </c>
      <c r="AA24" s="231">
        <f t="shared" si="3"/>
        <v>0</v>
      </c>
      <c r="AB24" s="231">
        <f t="shared" si="3"/>
        <v>0</v>
      </c>
      <c r="AC24" s="418"/>
      <c r="AD24" s="156">
        <f t="shared" si="4"/>
        <v>0.22934353904762861</v>
      </c>
      <c r="AE24" s="156">
        <f t="shared" si="4"/>
        <v>0</v>
      </c>
      <c r="AF24" s="156">
        <f t="shared" si="4"/>
        <v>0</v>
      </c>
      <c r="AG24" s="156">
        <f t="shared" si="4"/>
        <v>0</v>
      </c>
      <c r="AH24" s="668"/>
      <c r="AI24" s="668"/>
      <c r="AJ24" s="668"/>
      <c r="AK24" s="668"/>
      <c r="AL24" s="668"/>
      <c r="AM24" s="668"/>
      <c r="AN24" s="668"/>
      <c r="AO24" s="668"/>
      <c r="AP24" s="668"/>
      <c r="AQ24" s="668"/>
      <c r="AR24" s="668"/>
      <c r="AS24" s="668"/>
      <c r="AT24" s="668"/>
      <c r="AU24" s="668"/>
      <c r="AV24" s="668"/>
      <c r="AW24" s="668"/>
      <c r="AX24" s="668"/>
      <c r="AY24" s="668"/>
      <c r="AZ24" s="668"/>
      <c r="BA24" s="668"/>
      <c r="BB24" s="668"/>
      <c r="BC24" s="668"/>
      <c r="BD24" s="668"/>
      <c r="BE24" s="668"/>
      <c r="BF24" s="668"/>
      <c r="BG24" s="668"/>
      <c r="BH24" s="668"/>
      <c r="BI24" s="668"/>
      <c r="BJ24" s="668"/>
      <c r="BK24" s="668"/>
      <c r="BL24" s="668"/>
      <c r="BM24" s="668"/>
      <c r="BN24" s="668"/>
      <c r="BO24" s="668"/>
      <c r="BP24" s="668"/>
      <c r="BQ24" s="668"/>
      <c r="BR24" s="668"/>
      <c r="BS24" s="668"/>
      <c r="BT24" s="668"/>
      <c r="BU24" s="668"/>
      <c r="BV24" s="668"/>
      <c r="BW24" s="668"/>
      <c r="BX24" s="668"/>
      <c r="BY24" s="668"/>
      <c r="BZ24" s="668"/>
      <c r="CA24" s="668"/>
      <c r="CB24" s="668"/>
      <c r="CC24" s="668"/>
      <c r="CD24" s="668"/>
      <c r="CE24" s="668"/>
      <c r="CF24" s="668"/>
      <c r="CG24" s="668"/>
      <c r="CH24" s="668"/>
      <c r="CI24" s="668"/>
      <c r="CJ24" s="668"/>
      <c r="CK24" s="668"/>
      <c r="CL24" s="668"/>
      <c r="CM24" s="668"/>
      <c r="CN24" s="668"/>
      <c r="CO24" s="668"/>
      <c r="CP24" s="668"/>
      <c r="CQ24" s="668"/>
      <c r="CR24" s="668"/>
      <c r="CS24" s="668"/>
      <c r="CT24" s="668"/>
      <c r="CU24" s="668"/>
      <c r="CV24" s="668"/>
      <c r="CW24" s="668"/>
      <c r="CX24" s="668"/>
      <c r="CY24" s="668"/>
      <c r="CZ24" s="668"/>
      <c r="DA24" s="668"/>
      <c r="DB24" s="668"/>
      <c r="DC24" s="668"/>
      <c r="DD24" s="668"/>
      <c r="DE24" s="668"/>
      <c r="DF24" s="668"/>
      <c r="DG24" s="668"/>
      <c r="DH24" s="668"/>
      <c r="DI24" s="668"/>
      <c r="DJ24" s="668"/>
      <c r="DK24" s="668"/>
      <c r="DL24" s="668"/>
      <c r="DM24" s="668"/>
      <c r="DN24" s="668"/>
      <c r="DO24" s="668"/>
      <c r="DP24" s="668"/>
      <c r="DQ24" s="668"/>
      <c r="DR24" s="668"/>
      <c r="DS24" s="668"/>
      <c r="DT24" s="668"/>
      <c r="DU24" s="668"/>
      <c r="DV24" s="668"/>
      <c r="DW24" s="668"/>
      <c r="DX24" s="668"/>
      <c r="DY24" s="668"/>
      <c r="DZ24" s="668"/>
      <c r="EA24" s="668"/>
      <c r="EB24" s="668"/>
      <c r="EC24" s="668"/>
      <c r="ED24" s="668"/>
      <c r="EE24" s="668"/>
      <c r="EF24" s="668"/>
      <c r="EG24" s="668"/>
      <c r="EH24" s="668"/>
      <c r="EI24" s="668"/>
      <c r="EJ24" s="668"/>
      <c r="EK24" s="668"/>
      <c r="EL24" s="668"/>
      <c r="EM24" s="668"/>
      <c r="EN24" s="668"/>
      <c r="EO24" s="668"/>
      <c r="EP24" s="668"/>
      <c r="EQ24" s="668"/>
      <c r="ER24" s="668"/>
      <c r="ES24" s="668"/>
      <c r="ET24" s="668"/>
      <c r="EU24" s="668"/>
      <c r="EV24" s="668"/>
      <c r="EW24" s="668"/>
      <c r="EX24" s="668"/>
      <c r="EY24" s="668"/>
      <c r="EZ24" s="668"/>
      <c r="FA24" s="668"/>
      <c r="FB24" s="668"/>
      <c r="FC24" s="668"/>
      <c r="FD24" s="668"/>
      <c r="FE24" s="668"/>
      <c r="FF24" s="668"/>
      <c r="FG24" s="668"/>
      <c r="FH24" s="668"/>
      <c r="FI24" s="668"/>
      <c r="FJ24" s="668"/>
      <c r="FK24" s="668"/>
      <c r="FL24" s="668"/>
      <c r="FM24" s="668"/>
      <c r="FN24" s="668"/>
      <c r="FO24" s="668"/>
      <c r="FP24" s="668"/>
      <c r="FQ24" s="668"/>
      <c r="FR24" s="668"/>
      <c r="FS24" s="668"/>
      <c r="FT24" s="668"/>
      <c r="FU24" s="668"/>
      <c r="FV24" s="668"/>
      <c r="FW24" s="668"/>
      <c r="FX24" s="668"/>
      <c r="FY24" s="668"/>
      <c r="FZ24" s="668"/>
      <c r="GA24" s="668"/>
      <c r="GB24" s="668"/>
      <c r="GC24" s="668"/>
      <c r="GD24" s="668"/>
      <c r="GE24" s="668"/>
      <c r="GF24" s="668"/>
      <c r="GG24" s="668"/>
      <c r="GH24" s="668"/>
      <c r="GI24" s="668"/>
      <c r="GJ24" s="668"/>
      <c r="GK24" s="668"/>
      <c r="GL24" s="668"/>
      <c r="GM24" s="668"/>
      <c r="GN24" s="668"/>
      <c r="GO24" s="668"/>
      <c r="GP24" s="668"/>
      <c r="GQ24" s="668"/>
      <c r="GR24" s="668"/>
      <c r="GS24" s="668"/>
      <c r="GT24" s="668"/>
      <c r="GU24" s="668"/>
      <c r="GV24" s="668"/>
      <c r="GW24" s="668"/>
      <c r="GX24" s="668"/>
      <c r="GY24" s="668"/>
      <c r="GZ24" s="668"/>
      <c r="HA24" s="668"/>
      <c r="HB24" s="668"/>
      <c r="HC24" s="668"/>
      <c r="HD24" s="668"/>
      <c r="HE24" s="668"/>
    </row>
    <row r="25" spans="2:213" s="660" customFormat="1" ht="15" customHeight="1" x14ac:dyDescent="0.3">
      <c r="B25" s="670" t="s">
        <v>7851</v>
      </c>
      <c r="C25" s="539" t="s">
        <v>7852</v>
      </c>
      <c r="D25" s="540">
        <f>2*7*3*5</f>
        <v>210</v>
      </c>
      <c r="E25" s="541">
        <v>80000</v>
      </c>
      <c r="F25" s="541">
        <f t="shared" si="0"/>
        <v>16800000</v>
      </c>
      <c r="G25" s="541">
        <f t="shared" si="9"/>
        <v>4239</v>
      </c>
      <c r="H25" s="541">
        <f t="shared" si="1"/>
        <v>3963.1988676574665</v>
      </c>
      <c r="I25" s="231">
        <v>3963</v>
      </c>
      <c r="J25" s="658"/>
      <c r="K25" s="231">
        <f t="shared" si="5"/>
        <v>3969.412986141635</v>
      </c>
      <c r="L25" s="231">
        <f t="shared" si="6"/>
        <v>6.412986141634974</v>
      </c>
      <c r="M25" s="232">
        <f t="shared" si="7"/>
        <v>1.6182150243842983E-3</v>
      </c>
      <c r="N25" s="659"/>
      <c r="O25" s="231">
        <f t="shared" si="10"/>
        <v>3963</v>
      </c>
      <c r="P25" s="231"/>
      <c r="Q25" s="231"/>
      <c r="R25" s="231"/>
      <c r="S25" s="668"/>
      <c r="T25" s="231">
        <v>3969.412986141635</v>
      </c>
      <c r="U25" s="231">
        <v>0</v>
      </c>
      <c r="V25" s="231">
        <v>0</v>
      </c>
      <c r="W25" s="231">
        <v>0</v>
      </c>
      <c r="X25" s="668"/>
      <c r="Y25" s="231">
        <f t="shared" si="3"/>
        <v>6.412986141634974</v>
      </c>
      <c r="Z25" s="231">
        <f t="shared" si="3"/>
        <v>0</v>
      </c>
      <c r="AA25" s="231">
        <f t="shared" si="3"/>
        <v>0</v>
      </c>
      <c r="AB25" s="231">
        <f t="shared" si="3"/>
        <v>0</v>
      </c>
      <c r="AC25" s="418"/>
      <c r="AD25" s="156">
        <f t="shared" si="4"/>
        <v>1.6182150243842983E-3</v>
      </c>
      <c r="AE25" s="156">
        <f t="shared" si="4"/>
        <v>0</v>
      </c>
      <c r="AF25" s="156">
        <f t="shared" si="4"/>
        <v>0</v>
      </c>
      <c r="AG25" s="156">
        <f t="shared" si="4"/>
        <v>0</v>
      </c>
      <c r="AH25" s="668"/>
      <c r="AI25" s="668"/>
      <c r="AJ25" s="668"/>
      <c r="AK25" s="668"/>
      <c r="AL25" s="668"/>
      <c r="AM25" s="668"/>
      <c r="AN25" s="668"/>
      <c r="AO25" s="668"/>
      <c r="AP25" s="668"/>
      <c r="AQ25" s="668"/>
      <c r="AR25" s="668"/>
      <c r="AS25" s="668"/>
      <c r="AT25" s="668"/>
      <c r="AU25" s="668"/>
      <c r="AV25" s="668"/>
      <c r="AW25" s="668"/>
      <c r="AX25" s="668"/>
      <c r="AY25" s="668"/>
      <c r="AZ25" s="668"/>
      <c r="BA25" s="668"/>
      <c r="BB25" s="668"/>
      <c r="BC25" s="668"/>
      <c r="BD25" s="668"/>
      <c r="BE25" s="668"/>
      <c r="BF25" s="668"/>
      <c r="BG25" s="668"/>
      <c r="BH25" s="668"/>
      <c r="BI25" s="668"/>
      <c r="BJ25" s="668"/>
      <c r="BK25" s="668"/>
      <c r="BL25" s="668"/>
      <c r="BM25" s="668"/>
      <c r="BN25" s="668"/>
      <c r="BO25" s="668"/>
      <c r="BP25" s="668"/>
      <c r="BQ25" s="668"/>
      <c r="BR25" s="668"/>
      <c r="BS25" s="668"/>
      <c r="BT25" s="668"/>
      <c r="BU25" s="668"/>
      <c r="BV25" s="668"/>
      <c r="BW25" s="668"/>
      <c r="BX25" s="668"/>
      <c r="BY25" s="668"/>
      <c r="BZ25" s="668"/>
      <c r="CA25" s="668"/>
      <c r="CB25" s="668"/>
      <c r="CC25" s="668"/>
      <c r="CD25" s="668"/>
      <c r="CE25" s="668"/>
      <c r="CF25" s="668"/>
      <c r="CG25" s="668"/>
      <c r="CH25" s="668"/>
      <c r="CI25" s="668"/>
      <c r="CJ25" s="668"/>
      <c r="CK25" s="668"/>
      <c r="CL25" s="668"/>
      <c r="CM25" s="668"/>
      <c r="CN25" s="668"/>
      <c r="CO25" s="668"/>
      <c r="CP25" s="668"/>
      <c r="CQ25" s="668"/>
      <c r="CR25" s="668"/>
      <c r="CS25" s="668"/>
      <c r="CT25" s="668"/>
      <c r="CU25" s="668"/>
      <c r="CV25" s="668"/>
      <c r="CW25" s="668"/>
      <c r="CX25" s="668"/>
      <c r="CY25" s="668"/>
      <c r="CZ25" s="668"/>
      <c r="DA25" s="668"/>
      <c r="DB25" s="668"/>
      <c r="DC25" s="668"/>
      <c r="DD25" s="668"/>
      <c r="DE25" s="668"/>
      <c r="DF25" s="668"/>
      <c r="DG25" s="668"/>
      <c r="DH25" s="668"/>
      <c r="DI25" s="668"/>
      <c r="DJ25" s="668"/>
      <c r="DK25" s="668"/>
      <c r="DL25" s="668"/>
      <c r="DM25" s="668"/>
      <c r="DN25" s="668"/>
      <c r="DO25" s="668"/>
      <c r="DP25" s="668"/>
      <c r="DQ25" s="668"/>
      <c r="DR25" s="668"/>
      <c r="DS25" s="668"/>
      <c r="DT25" s="668"/>
      <c r="DU25" s="668"/>
      <c r="DV25" s="668"/>
      <c r="DW25" s="668"/>
      <c r="DX25" s="668"/>
      <c r="DY25" s="668"/>
      <c r="DZ25" s="668"/>
      <c r="EA25" s="668"/>
      <c r="EB25" s="668"/>
      <c r="EC25" s="668"/>
      <c r="ED25" s="668"/>
      <c r="EE25" s="668"/>
      <c r="EF25" s="668"/>
      <c r="EG25" s="668"/>
      <c r="EH25" s="668"/>
      <c r="EI25" s="668"/>
      <c r="EJ25" s="668"/>
      <c r="EK25" s="668"/>
      <c r="EL25" s="668"/>
      <c r="EM25" s="668"/>
      <c r="EN25" s="668"/>
      <c r="EO25" s="668"/>
      <c r="EP25" s="668"/>
      <c r="EQ25" s="668"/>
      <c r="ER25" s="668"/>
      <c r="ES25" s="668"/>
      <c r="ET25" s="668"/>
      <c r="EU25" s="668"/>
      <c r="EV25" s="668"/>
      <c r="EW25" s="668"/>
      <c r="EX25" s="668"/>
      <c r="EY25" s="668"/>
      <c r="EZ25" s="668"/>
      <c r="FA25" s="668"/>
      <c r="FB25" s="668"/>
      <c r="FC25" s="668"/>
      <c r="FD25" s="668"/>
      <c r="FE25" s="668"/>
      <c r="FF25" s="668"/>
      <c r="FG25" s="668"/>
      <c r="FH25" s="668"/>
      <c r="FI25" s="668"/>
      <c r="FJ25" s="668"/>
      <c r="FK25" s="668"/>
      <c r="FL25" s="668"/>
      <c r="FM25" s="668"/>
      <c r="FN25" s="668"/>
      <c r="FO25" s="668"/>
      <c r="FP25" s="668"/>
      <c r="FQ25" s="668"/>
      <c r="FR25" s="668"/>
      <c r="FS25" s="668"/>
      <c r="FT25" s="668"/>
      <c r="FU25" s="668"/>
      <c r="FV25" s="668"/>
      <c r="FW25" s="668"/>
      <c r="FX25" s="668"/>
      <c r="FY25" s="668"/>
      <c r="FZ25" s="668"/>
      <c r="GA25" s="668"/>
      <c r="GB25" s="668"/>
      <c r="GC25" s="668"/>
      <c r="GD25" s="668"/>
      <c r="GE25" s="668"/>
      <c r="GF25" s="668"/>
      <c r="GG25" s="668"/>
      <c r="GH25" s="668"/>
      <c r="GI25" s="668"/>
      <c r="GJ25" s="668"/>
      <c r="GK25" s="668"/>
      <c r="GL25" s="668"/>
      <c r="GM25" s="668"/>
      <c r="GN25" s="668"/>
      <c r="GO25" s="668"/>
      <c r="GP25" s="668"/>
      <c r="GQ25" s="668"/>
      <c r="GR25" s="668"/>
      <c r="GS25" s="668"/>
      <c r="GT25" s="668"/>
      <c r="GU25" s="668"/>
      <c r="GV25" s="668"/>
      <c r="GW25" s="668"/>
      <c r="GX25" s="668"/>
      <c r="GY25" s="668"/>
      <c r="GZ25" s="668"/>
      <c r="HA25" s="668"/>
      <c r="HB25" s="668"/>
      <c r="HC25" s="668"/>
      <c r="HD25" s="668"/>
      <c r="HE25" s="668"/>
    </row>
    <row r="26" spans="2:213" s="660" customFormat="1" ht="15" customHeight="1" x14ac:dyDescent="0.3">
      <c r="B26" s="670" t="s">
        <v>7853</v>
      </c>
      <c r="C26" s="539" t="s">
        <v>7854</v>
      </c>
      <c r="D26" s="540">
        <f>2*7*3*5*10</f>
        <v>2100</v>
      </c>
      <c r="E26" s="541">
        <v>180000</v>
      </c>
      <c r="F26" s="541">
        <f t="shared" si="0"/>
        <v>378000000</v>
      </c>
      <c r="G26" s="541">
        <f>+$G$6</f>
        <v>4239</v>
      </c>
      <c r="H26" s="541">
        <f t="shared" si="1"/>
        <v>89171.974522292992</v>
      </c>
      <c r="I26" s="231">
        <v>41769</v>
      </c>
      <c r="J26" s="658"/>
      <c r="K26" s="231">
        <f t="shared" si="5"/>
        <v>42769.665849943522</v>
      </c>
      <c r="L26" s="231">
        <f t="shared" si="6"/>
        <v>1000.6658499435216</v>
      </c>
      <c r="M26" s="232">
        <f t="shared" si="7"/>
        <v>2.3957141658730675E-2</v>
      </c>
      <c r="N26" s="659"/>
      <c r="O26" s="231">
        <f t="shared" si="10"/>
        <v>41769</v>
      </c>
      <c r="P26" s="231"/>
      <c r="Q26" s="231"/>
      <c r="R26" s="231"/>
      <c r="S26" s="668"/>
      <c r="T26" s="231">
        <v>42769.665849943522</v>
      </c>
      <c r="U26" s="231">
        <v>0</v>
      </c>
      <c r="V26" s="231">
        <v>0</v>
      </c>
      <c r="W26" s="231">
        <v>0</v>
      </c>
      <c r="X26" s="668"/>
      <c r="Y26" s="231">
        <f t="shared" si="3"/>
        <v>1000.6658499435216</v>
      </c>
      <c r="Z26" s="231">
        <f t="shared" si="3"/>
        <v>0</v>
      </c>
      <c r="AA26" s="231">
        <f t="shared" si="3"/>
        <v>0</v>
      </c>
      <c r="AB26" s="231">
        <f t="shared" si="3"/>
        <v>0</v>
      </c>
      <c r="AC26" s="418"/>
      <c r="AD26" s="156">
        <f t="shared" si="4"/>
        <v>2.3957141658730675E-2</v>
      </c>
      <c r="AE26" s="156">
        <f t="shared" si="4"/>
        <v>0</v>
      </c>
      <c r="AF26" s="156">
        <f t="shared" si="4"/>
        <v>0</v>
      </c>
      <c r="AG26" s="156">
        <f t="shared" si="4"/>
        <v>0</v>
      </c>
      <c r="AH26" s="668"/>
      <c r="AI26" s="668"/>
      <c r="AJ26" s="668"/>
      <c r="AK26" s="668"/>
      <c r="AL26" s="668"/>
      <c r="AM26" s="668"/>
      <c r="AN26" s="668"/>
      <c r="AO26" s="668"/>
      <c r="AP26" s="668"/>
      <c r="AQ26" s="668"/>
      <c r="AR26" s="668"/>
      <c r="AS26" s="668"/>
      <c r="AT26" s="668"/>
      <c r="AU26" s="668"/>
      <c r="AV26" s="668"/>
      <c r="AW26" s="668"/>
      <c r="AX26" s="668"/>
      <c r="AY26" s="668"/>
      <c r="AZ26" s="668"/>
      <c r="BA26" s="668"/>
      <c r="BB26" s="668"/>
      <c r="BC26" s="668"/>
      <c r="BD26" s="668"/>
      <c r="BE26" s="668"/>
      <c r="BF26" s="668"/>
      <c r="BG26" s="668"/>
      <c r="BH26" s="668"/>
      <c r="BI26" s="668"/>
      <c r="BJ26" s="668"/>
      <c r="BK26" s="668"/>
      <c r="BL26" s="668"/>
      <c r="BM26" s="668"/>
      <c r="BN26" s="668"/>
      <c r="BO26" s="668"/>
      <c r="BP26" s="668"/>
      <c r="BQ26" s="668"/>
      <c r="BR26" s="668"/>
      <c r="BS26" s="668"/>
      <c r="BT26" s="668"/>
      <c r="BU26" s="668"/>
      <c r="BV26" s="668"/>
      <c r="BW26" s="668"/>
      <c r="BX26" s="668"/>
      <c r="BY26" s="668"/>
      <c r="BZ26" s="668"/>
      <c r="CA26" s="668"/>
      <c r="CB26" s="668"/>
      <c r="CC26" s="668"/>
      <c r="CD26" s="668"/>
      <c r="CE26" s="668"/>
      <c r="CF26" s="668"/>
      <c r="CG26" s="668"/>
      <c r="CH26" s="668"/>
      <c r="CI26" s="668"/>
      <c r="CJ26" s="668"/>
      <c r="CK26" s="668"/>
      <c r="CL26" s="668"/>
      <c r="CM26" s="668"/>
      <c r="CN26" s="668"/>
      <c r="CO26" s="668"/>
      <c r="CP26" s="668"/>
      <c r="CQ26" s="668"/>
      <c r="CR26" s="668"/>
      <c r="CS26" s="668"/>
      <c r="CT26" s="668"/>
      <c r="CU26" s="668"/>
      <c r="CV26" s="668"/>
      <c r="CW26" s="668"/>
      <c r="CX26" s="668"/>
      <c r="CY26" s="668"/>
      <c r="CZ26" s="668"/>
      <c r="DA26" s="668"/>
      <c r="DB26" s="668"/>
      <c r="DC26" s="668"/>
      <c r="DD26" s="668"/>
      <c r="DE26" s="668"/>
      <c r="DF26" s="668"/>
      <c r="DG26" s="668"/>
      <c r="DH26" s="668"/>
      <c r="DI26" s="668"/>
      <c r="DJ26" s="668"/>
      <c r="DK26" s="668"/>
      <c r="DL26" s="668"/>
      <c r="DM26" s="668"/>
      <c r="DN26" s="668"/>
      <c r="DO26" s="668"/>
      <c r="DP26" s="668"/>
      <c r="DQ26" s="668"/>
      <c r="DR26" s="668"/>
      <c r="DS26" s="668"/>
      <c r="DT26" s="668"/>
      <c r="DU26" s="668"/>
      <c r="DV26" s="668"/>
      <c r="DW26" s="668"/>
      <c r="DX26" s="668"/>
      <c r="DY26" s="668"/>
      <c r="DZ26" s="668"/>
      <c r="EA26" s="668"/>
      <c r="EB26" s="668"/>
      <c r="EC26" s="668"/>
      <c r="ED26" s="668"/>
      <c r="EE26" s="668"/>
      <c r="EF26" s="668"/>
      <c r="EG26" s="668"/>
      <c r="EH26" s="668"/>
      <c r="EI26" s="668"/>
      <c r="EJ26" s="668"/>
      <c r="EK26" s="668"/>
      <c r="EL26" s="668"/>
      <c r="EM26" s="668"/>
      <c r="EN26" s="668"/>
      <c r="EO26" s="668"/>
      <c r="EP26" s="668"/>
      <c r="EQ26" s="668"/>
      <c r="ER26" s="668"/>
      <c r="ES26" s="668"/>
      <c r="ET26" s="668"/>
      <c r="EU26" s="668"/>
      <c r="EV26" s="668"/>
      <c r="EW26" s="668"/>
      <c r="EX26" s="668"/>
      <c r="EY26" s="668"/>
      <c r="EZ26" s="668"/>
      <c r="FA26" s="668"/>
      <c r="FB26" s="668"/>
      <c r="FC26" s="668"/>
      <c r="FD26" s="668"/>
      <c r="FE26" s="668"/>
      <c r="FF26" s="668"/>
      <c r="FG26" s="668"/>
      <c r="FH26" s="668"/>
      <c r="FI26" s="668"/>
      <c r="FJ26" s="668"/>
      <c r="FK26" s="668"/>
      <c r="FL26" s="668"/>
      <c r="FM26" s="668"/>
      <c r="FN26" s="668"/>
      <c r="FO26" s="668"/>
      <c r="FP26" s="668"/>
      <c r="FQ26" s="668"/>
      <c r="FR26" s="668"/>
      <c r="FS26" s="668"/>
      <c r="FT26" s="668"/>
      <c r="FU26" s="668"/>
      <c r="FV26" s="668"/>
      <c r="FW26" s="668"/>
      <c r="FX26" s="668"/>
      <c r="FY26" s="668"/>
      <c r="FZ26" s="668"/>
      <c r="GA26" s="668"/>
      <c r="GB26" s="668"/>
      <c r="GC26" s="668"/>
      <c r="GD26" s="668"/>
      <c r="GE26" s="668"/>
      <c r="GF26" s="668"/>
      <c r="GG26" s="668"/>
      <c r="GH26" s="668"/>
      <c r="GI26" s="668"/>
      <c r="GJ26" s="668"/>
      <c r="GK26" s="668"/>
      <c r="GL26" s="668"/>
      <c r="GM26" s="668"/>
      <c r="GN26" s="668"/>
      <c r="GO26" s="668"/>
      <c r="GP26" s="668"/>
      <c r="GQ26" s="668"/>
      <c r="GR26" s="668"/>
      <c r="GS26" s="668"/>
      <c r="GT26" s="668"/>
      <c r="GU26" s="668"/>
      <c r="GV26" s="668"/>
      <c r="GW26" s="668"/>
      <c r="GX26" s="668"/>
      <c r="GY26" s="668"/>
      <c r="GZ26" s="668"/>
      <c r="HA26" s="668"/>
      <c r="HB26" s="668"/>
      <c r="HC26" s="668"/>
      <c r="HD26" s="668"/>
      <c r="HE26" s="668"/>
    </row>
    <row r="27" spans="2:213" s="660" customFormat="1" ht="15" customHeight="1" x14ac:dyDescent="0.3">
      <c r="B27" s="538" t="s">
        <v>7855</v>
      </c>
      <c r="C27" s="539" t="s">
        <v>7856</v>
      </c>
      <c r="D27" s="540">
        <v>200</v>
      </c>
      <c r="E27" s="541">
        <v>200000</v>
      </c>
      <c r="F27" s="541">
        <f t="shared" si="0"/>
        <v>40000000</v>
      </c>
      <c r="G27" s="541">
        <f>$G$6</f>
        <v>4239</v>
      </c>
      <c r="H27" s="541">
        <f t="shared" si="1"/>
        <v>9436.1877801368246</v>
      </c>
      <c r="I27" s="231">
        <v>0</v>
      </c>
      <c r="J27" s="658"/>
      <c r="K27" s="231">
        <f t="shared" si="5"/>
        <v>0</v>
      </c>
      <c r="L27" s="231">
        <f t="shared" si="6"/>
        <v>0</v>
      </c>
      <c r="M27" s="232">
        <f t="shared" si="7"/>
        <v>0</v>
      </c>
      <c r="N27" s="659"/>
      <c r="O27" s="231">
        <f>I27</f>
        <v>0</v>
      </c>
      <c r="P27" s="231"/>
      <c r="Q27" s="231"/>
      <c r="R27" s="231"/>
      <c r="S27" s="668"/>
      <c r="T27" s="231"/>
      <c r="U27" s="231"/>
      <c r="V27" s="231"/>
      <c r="W27" s="231"/>
      <c r="X27" s="668"/>
      <c r="Y27" s="231">
        <f t="shared" si="3"/>
        <v>0</v>
      </c>
      <c r="Z27" s="231">
        <f t="shared" si="3"/>
        <v>0</v>
      </c>
      <c r="AA27" s="231">
        <f t="shared" si="3"/>
        <v>0</v>
      </c>
      <c r="AB27" s="231">
        <f t="shared" si="3"/>
        <v>0</v>
      </c>
      <c r="AC27" s="418"/>
      <c r="AD27" s="156">
        <f t="shared" si="4"/>
        <v>0</v>
      </c>
      <c r="AE27" s="156">
        <f t="shared" si="4"/>
        <v>0</v>
      </c>
      <c r="AF27" s="156">
        <f t="shared" si="4"/>
        <v>0</v>
      </c>
      <c r="AG27" s="156">
        <f t="shared" si="4"/>
        <v>0</v>
      </c>
      <c r="AH27" s="668"/>
      <c r="AI27" s="668"/>
      <c r="AJ27" s="668"/>
      <c r="AK27" s="668"/>
      <c r="AL27" s="668"/>
      <c r="AM27" s="668"/>
      <c r="AN27" s="668"/>
      <c r="AO27" s="668"/>
      <c r="AP27" s="668"/>
      <c r="AQ27" s="668"/>
      <c r="AR27" s="668"/>
      <c r="AS27" s="668"/>
      <c r="AT27" s="668"/>
      <c r="AU27" s="668"/>
      <c r="AV27" s="668"/>
      <c r="AW27" s="668"/>
      <c r="AX27" s="668"/>
      <c r="AY27" s="668"/>
      <c r="AZ27" s="668"/>
      <c r="BA27" s="668"/>
      <c r="BB27" s="668"/>
      <c r="BC27" s="668"/>
      <c r="BD27" s="668"/>
      <c r="BE27" s="668"/>
      <c r="BF27" s="668"/>
      <c r="BG27" s="668"/>
      <c r="BH27" s="668"/>
      <c r="BI27" s="668"/>
      <c r="BJ27" s="668"/>
      <c r="BK27" s="668"/>
      <c r="BL27" s="668"/>
      <c r="BM27" s="668"/>
      <c r="BN27" s="668"/>
      <c r="BO27" s="668"/>
      <c r="BP27" s="668"/>
      <c r="BQ27" s="668"/>
      <c r="BR27" s="668"/>
      <c r="BS27" s="668"/>
      <c r="BT27" s="668"/>
      <c r="BU27" s="668"/>
      <c r="BV27" s="668"/>
      <c r="BW27" s="668"/>
      <c r="BX27" s="668"/>
      <c r="BY27" s="668"/>
      <c r="BZ27" s="668"/>
      <c r="CA27" s="668"/>
      <c r="CB27" s="668"/>
      <c r="CC27" s="668"/>
      <c r="CD27" s="668"/>
      <c r="CE27" s="668"/>
      <c r="CF27" s="668"/>
      <c r="CG27" s="668"/>
      <c r="CH27" s="668"/>
      <c r="CI27" s="668"/>
      <c r="CJ27" s="668"/>
      <c r="CK27" s="668"/>
      <c r="CL27" s="668"/>
      <c r="CM27" s="668"/>
      <c r="CN27" s="668"/>
      <c r="CO27" s="668"/>
      <c r="CP27" s="668"/>
      <c r="CQ27" s="668"/>
      <c r="CR27" s="668"/>
      <c r="CS27" s="668"/>
      <c r="CT27" s="668"/>
      <c r="CU27" s="668"/>
      <c r="CV27" s="668"/>
      <c r="CW27" s="668"/>
      <c r="CX27" s="668"/>
      <c r="CY27" s="668"/>
      <c r="CZ27" s="668"/>
      <c r="DA27" s="668"/>
      <c r="DB27" s="668"/>
      <c r="DC27" s="668"/>
      <c r="DD27" s="668"/>
      <c r="DE27" s="668"/>
      <c r="DF27" s="668"/>
      <c r="DG27" s="668"/>
      <c r="DH27" s="668"/>
      <c r="DI27" s="668"/>
      <c r="DJ27" s="668"/>
      <c r="DK27" s="668"/>
      <c r="DL27" s="668"/>
      <c r="DM27" s="668"/>
      <c r="DN27" s="668"/>
      <c r="DO27" s="668"/>
      <c r="DP27" s="668"/>
      <c r="DQ27" s="668"/>
      <c r="DR27" s="668"/>
      <c r="DS27" s="668"/>
      <c r="DT27" s="668"/>
      <c r="DU27" s="668"/>
      <c r="DV27" s="668"/>
      <c r="DW27" s="668"/>
      <c r="DX27" s="668"/>
      <c r="DY27" s="668"/>
      <c r="DZ27" s="668"/>
      <c r="EA27" s="668"/>
      <c r="EB27" s="668"/>
      <c r="EC27" s="668"/>
      <c r="ED27" s="668"/>
      <c r="EE27" s="668"/>
      <c r="EF27" s="668"/>
      <c r="EG27" s="668"/>
      <c r="EH27" s="668"/>
      <c r="EI27" s="668"/>
      <c r="EJ27" s="668"/>
      <c r="EK27" s="668"/>
      <c r="EL27" s="668"/>
      <c r="EM27" s="668"/>
      <c r="EN27" s="668"/>
      <c r="EO27" s="668"/>
      <c r="EP27" s="668"/>
      <c r="EQ27" s="668"/>
      <c r="ER27" s="668"/>
      <c r="ES27" s="668"/>
      <c r="ET27" s="668"/>
      <c r="EU27" s="668"/>
      <c r="EV27" s="668"/>
      <c r="EW27" s="668"/>
      <c r="EX27" s="668"/>
      <c r="EY27" s="668"/>
      <c r="EZ27" s="668"/>
      <c r="FA27" s="668"/>
      <c r="FB27" s="668"/>
      <c r="FC27" s="668"/>
      <c r="FD27" s="668"/>
      <c r="FE27" s="668"/>
      <c r="FF27" s="668"/>
      <c r="FG27" s="668"/>
      <c r="FH27" s="668"/>
      <c r="FI27" s="668"/>
      <c r="FJ27" s="668"/>
      <c r="FK27" s="668"/>
      <c r="FL27" s="668"/>
      <c r="FM27" s="668"/>
      <c r="FN27" s="668"/>
      <c r="FO27" s="668"/>
      <c r="FP27" s="668"/>
      <c r="FQ27" s="668"/>
      <c r="FR27" s="668"/>
      <c r="FS27" s="668"/>
      <c r="FT27" s="668"/>
      <c r="FU27" s="668"/>
      <c r="FV27" s="668"/>
      <c r="FW27" s="668"/>
      <c r="FX27" s="668"/>
      <c r="FY27" s="668"/>
      <c r="FZ27" s="668"/>
      <c r="GA27" s="668"/>
      <c r="GB27" s="668"/>
      <c r="GC27" s="668"/>
      <c r="GD27" s="668"/>
      <c r="GE27" s="668"/>
      <c r="GF27" s="668"/>
      <c r="GG27" s="668"/>
      <c r="GH27" s="668"/>
      <c r="GI27" s="668"/>
      <c r="GJ27" s="668"/>
      <c r="GK27" s="668"/>
      <c r="GL27" s="668"/>
      <c r="GM27" s="668"/>
      <c r="GN27" s="668"/>
      <c r="GO27" s="668"/>
      <c r="GP27" s="668"/>
      <c r="GQ27" s="668"/>
      <c r="GR27" s="668"/>
      <c r="GS27" s="668"/>
      <c r="GT27" s="668"/>
      <c r="GU27" s="668"/>
      <c r="GV27" s="668"/>
      <c r="GW27" s="668"/>
      <c r="GX27" s="668"/>
      <c r="GY27" s="668"/>
      <c r="GZ27" s="668"/>
      <c r="HA27" s="668"/>
      <c r="HB27" s="668"/>
      <c r="HC27" s="668"/>
      <c r="HD27" s="668"/>
      <c r="HE27" s="668"/>
    </row>
    <row r="28" spans="2:213" s="660" customFormat="1" ht="15" customHeight="1" x14ac:dyDescent="0.3">
      <c r="B28" s="538" t="s">
        <v>7857</v>
      </c>
      <c r="C28" s="539" t="s">
        <v>7858</v>
      </c>
      <c r="D28" s="540">
        <v>2</v>
      </c>
      <c r="E28" s="541">
        <f>(3700000)*5</f>
        <v>18500000</v>
      </c>
      <c r="F28" s="541">
        <f t="shared" si="0"/>
        <v>37000000</v>
      </c>
      <c r="G28" s="541">
        <f>$G$6</f>
        <v>4239</v>
      </c>
      <c r="H28" s="541">
        <f t="shared" si="1"/>
        <v>8728.4736966265627</v>
      </c>
      <c r="I28" s="231">
        <v>0</v>
      </c>
      <c r="J28" s="658"/>
      <c r="K28" s="231">
        <f t="shared" si="5"/>
        <v>0</v>
      </c>
      <c r="L28" s="231">
        <f t="shared" si="6"/>
        <v>0</v>
      </c>
      <c r="M28" s="232">
        <f t="shared" si="7"/>
        <v>0</v>
      </c>
      <c r="N28" s="659"/>
      <c r="O28" s="231"/>
      <c r="P28" s="231">
        <f>I28</f>
        <v>0</v>
      </c>
      <c r="Q28" s="231"/>
      <c r="R28" s="231"/>
      <c r="S28" s="668"/>
      <c r="T28" s="231"/>
      <c r="U28" s="231"/>
      <c r="V28" s="231"/>
      <c r="W28" s="231"/>
      <c r="X28" s="668"/>
      <c r="Y28" s="231">
        <f t="shared" si="3"/>
        <v>0</v>
      </c>
      <c r="Z28" s="231">
        <f t="shared" si="3"/>
        <v>0</v>
      </c>
      <c r="AA28" s="231">
        <f t="shared" si="3"/>
        <v>0</v>
      </c>
      <c r="AB28" s="231">
        <f t="shared" si="3"/>
        <v>0</v>
      </c>
      <c r="AC28" s="418"/>
      <c r="AD28" s="156">
        <f t="shared" si="4"/>
        <v>0</v>
      </c>
      <c r="AE28" s="156">
        <f t="shared" si="4"/>
        <v>0</v>
      </c>
      <c r="AF28" s="156">
        <f t="shared" si="4"/>
        <v>0</v>
      </c>
      <c r="AG28" s="156">
        <f t="shared" si="4"/>
        <v>0</v>
      </c>
      <c r="AH28" s="668"/>
      <c r="AI28" s="668"/>
      <c r="AJ28" s="668"/>
      <c r="AK28" s="668"/>
      <c r="AL28" s="668"/>
      <c r="AM28" s="668"/>
      <c r="AN28" s="668"/>
      <c r="AO28" s="668"/>
      <c r="AP28" s="668"/>
      <c r="AQ28" s="668"/>
      <c r="AR28" s="668"/>
      <c r="AS28" s="668"/>
      <c r="AT28" s="668"/>
      <c r="AU28" s="668"/>
      <c r="AV28" s="668"/>
      <c r="AW28" s="668"/>
      <c r="AX28" s="668"/>
      <c r="AY28" s="668"/>
      <c r="AZ28" s="668"/>
      <c r="BA28" s="668"/>
      <c r="BB28" s="668"/>
      <c r="BC28" s="668"/>
      <c r="BD28" s="668"/>
      <c r="BE28" s="668"/>
      <c r="BF28" s="668"/>
      <c r="BG28" s="668"/>
      <c r="BH28" s="668"/>
      <c r="BI28" s="668"/>
      <c r="BJ28" s="668"/>
      <c r="BK28" s="668"/>
      <c r="BL28" s="668"/>
      <c r="BM28" s="668"/>
      <c r="BN28" s="668"/>
      <c r="BO28" s="668"/>
      <c r="BP28" s="668"/>
      <c r="BQ28" s="668"/>
      <c r="BR28" s="668"/>
      <c r="BS28" s="668"/>
      <c r="BT28" s="668"/>
      <c r="BU28" s="668"/>
      <c r="BV28" s="668"/>
      <c r="BW28" s="668"/>
      <c r="BX28" s="668"/>
      <c r="BY28" s="668"/>
      <c r="BZ28" s="668"/>
      <c r="CA28" s="668"/>
      <c r="CB28" s="668"/>
      <c r="CC28" s="668"/>
      <c r="CD28" s="668"/>
      <c r="CE28" s="668"/>
      <c r="CF28" s="668"/>
      <c r="CG28" s="668"/>
      <c r="CH28" s="668"/>
      <c r="CI28" s="668"/>
      <c r="CJ28" s="668"/>
      <c r="CK28" s="668"/>
      <c r="CL28" s="668"/>
      <c r="CM28" s="668"/>
      <c r="CN28" s="668"/>
      <c r="CO28" s="668"/>
      <c r="CP28" s="668"/>
      <c r="CQ28" s="668"/>
      <c r="CR28" s="668"/>
      <c r="CS28" s="668"/>
      <c r="CT28" s="668"/>
      <c r="CU28" s="668"/>
      <c r="CV28" s="668"/>
      <c r="CW28" s="668"/>
      <c r="CX28" s="668"/>
      <c r="CY28" s="668"/>
      <c r="CZ28" s="668"/>
      <c r="DA28" s="668"/>
      <c r="DB28" s="668"/>
      <c r="DC28" s="668"/>
      <c r="DD28" s="668"/>
      <c r="DE28" s="668"/>
      <c r="DF28" s="668"/>
      <c r="DG28" s="668"/>
      <c r="DH28" s="668"/>
      <c r="DI28" s="668"/>
      <c r="DJ28" s="668"/>
      <c r="DK28" s="668"/>
      <c r="DL28" s="668"/>
      <c r="DM28" s="668"/>
      <c r="DN28" s="668"/>
      <c r="DO28" s="668"/>
      <c r="DP28" s="668"/>
      <c r="DQ28" s="668"/>
      <c r="DR28" s="668"/>
      <c r="DS28" s="668"/>
      <c r="DT28" s="668"/>
      <c r="DU28" s="668"/>
      <c r="DV28" s="668"/>
      <c r="DW28" s="668"/>
      <c r="DX28" s="668"/>
      <c r="DY28" s="668"/>
      <c r="DZ28" s="668"/>
      <c r="EA28" s="668"/>
      <c r="EB28" s="668"/>
      <c r="EC28" s="668"/>
      <c r="ED28" s="668"/>
      <c r="EE28" s="668"/>
      <c r="EF28" s="668"/>
      <c r="EG28" s="668"/>
      <c r="EH28" s="668"/>
      <c r="EI28" s="668"/>
      <c r="EJ28" s="668"/>
      <c r="EK28" s="668"/>
      <c r="EL28" s="668"/>
      <c r="EM28" s="668"/>
      <c r="EN28" s="668"/>
      <c r="EO28" s="668"/>
      <c r="EP28" s="668"/>
      <c r="EQ28" s="668"/>
      <c r="ER28" s="668"/>
      <c r="ES28" s="668"/>
      <c r="ET28" s="668"/>
      <c r="EU28" s="668"/>
      <c r="EV28" s="668"/>
      <c r="EW28" s="668"/>
      <c r="EX28" s="668"/>
      <c r="EY28" s="668"/>
      <c r="EZ28" s="668"/>
      <c r="FA28" s="668"/>
      <c r="FB28" s="668"/>
      <c r="FC28" s="668"/>
      <c r="FD28" s="668"/>
      <c r="FE28" s="668"/>
      <c r="FF28" s="668"/>
      <c r="FG28" s="668"/>
      <c r="FH28" s="668"/>
      <c r="FI28" s="668"/>
      <c r="FJ28" s="668"/>
      <c r="FK28" s="668"/>
      <c r="FL28" s="668"/>
      <c r="FM28" s="668"/>
      <c r="FN28" s="668"/>
      <c r="FO28" s="668"/>
      <c r="FP28" s="668"/>
      <c r="FQ28" s="668"/>
      <c r="FR28" s="668"/>
      <c r="FS28" s="668"/>
      <c r="FT28" s="668"/>
      <c r="FU28" s="668"/>
      <c r="FV28" s="668"/>
      <c r="FW28" s="668"/>
      <c r="FX28" s="668"/>
      <c r="FY28" s="668"/>
      <c r="FZ28" s="668"/>
      <c r="GA28" s="668"/>
      <c r="GB28" s="668"/>
      <c r="GC28" s="668"/>
      <c r="GD28" s="668"/>
      <c r="GE28" s="668"/>
      <c r="GF28" s="668"/>
      <c r="GG28" s="668"/>
      <c r="GH28" s="668"/>
      <c r="GI28" s="668"/>
      <c r="GJ28" s="668"/>
      <c r="GK28" s="668"/>
      <c r="GL28" s="668"/>
      <c r="GM28" s="668"/>
      <c r="GN28" s="668"/>
      <c r="GO28" s="668"/>
      <c r="GP28" s="668"/>
      <c r="GQ28" s="668"/>
      <c r="GR28" s="668"/>
      <c r="GS28" s="668"/>
      <c r="GT28" s="668"/>
      <c r="GU28" s="668"/>
      <c r="GV28" s="668"/>
      <c r="GW28" s="668"/>
      <c r="GX28" s="668"/>
      <c r="GY28" s="668"/>
      <c r="GZ28" s="668"/>
      <c r="HA28" s="668"/>
      <c r="HB28" s="668"/>
      <c r="HC28" s="668"/>
      <c r="HD28" s="668"/>
      <c r="HE28" s="668"/>
    </row>
    <row r="29" spans="2:213" s="660" customFormat="1" ht="15" customHeight="1" x14ac:dyDescent="0.3">
      <c r="B29" s="538" t="s">
        <v>7859</v>
      </c>
      <c r="C29" s="539" t="s">
        <v>7860</v>
      </c>
      <c r="D29" s="540">
        <f>2*100</f>
        <v>200</v>
      </c>
      <c r="E29" s="541">
        <v>66000</v>
      </c>
      <c r="F29" s="541">
        <f t="shared" si="0"/>
        <v>13200000</v>
      </c>
      <c r="G29" s="541">
        <f>$G$6</f>
        <v>4239</v>
      </c>
      <c r="H29" s="541">
        <f t="shared" si="1"/>
        <v>3113.9419674451519</v>
      </c>
      <c r="I29" s="231">
        <v>4364</v>
      </c>
      <c r="J29" s="658"/>
      <c r="K29" s="231">
        <f t="shared" si="5"/>
        <v>4536.4787956813643</v>
      </c>
      <c r="L29" s="231">
        <f t="shared" si="6"/>
        <v>172.47879568136432</v>
      </c>
      <c r="M29" s="232">
        <f t="shared" si="7"/>
        <v>3.9523097085555528E-2</v>
      </c>
      <c r="N29" s="659"/>
      <c r="O29" s="231"/>
      <c r="P29" s="231">
        <f>I29</f>
        <v>4364</v>
      </c>
      <c r="Q29" s="231"/>
      <c r="R29" s="231"/>
      <c r="S29" s="668"/>
      <c r="T29" s="231">
        <v>0</v>
      </c>
      <c r="U29" s="231">
        <v>4536.4787956813643</v>
      </c>
      <c r="V29" s="231">
        <v>0</v>
      </c>
      <c r="W29" s="231">
        <v>0</v>
      </c>
      <c r="X29" s="668"/>
      <c r="Y29" s="231">
        <f t="shared" si="3"/>
        <v>0</v>
      </c>
      <c r="Z29" s="231">
        <f t="shared" si="3"/>
        <v>172.47879568136432</v>
      </c>
      <c r="AA29" s="231">
        <f t="shared" si="3"/>
        <v>0</v>
      </c>
      <c r="AB29" s="231">
        <f t="shared" si="3"/>
        <v>0</v>
      </c>
      <c r="AC29" s="418"/>
      <c r="AD29" s="156">
        <f t="shared" si="4"/>
        <v>0</v>
      </c>
      <c r="AE29" s="156">
        <f t="shared" si="4"/>
        <v>3.9523097085555528E-2</v>
      </c>
      <c r="AF29" s="156">
        <f t="shared" si="4"/>
        <v>0</v>
      </c>
      <c r="AG29" s="156">
        <f t="shared" si="4"/>
        <v>0</v>
      </c>
      <c r="AH29" s="668"/>
      <c r="AI29" s="668"/>
      <c r="AJ29" s="668"/>
      <c r="AK29" s="668"/>
      <c r="AL29" s="668"/>
      <c r="AM29" s="668"/>
      <c r="AN29" s="668"/>
      <c r="AO29" s="668"/>
      <c r="AP29" s="668"/>
      <c r="AQ29" s="668"/>
      <c r="AR29" s="668"/>
      <c r="AS29" s="668"/>
      <c r="AT29" s="668"/>
      <c r="AU29" s="668"/>
      <c r="AV29" s="668"/>
      <c r="AW29" s="668"/>
      <c r="AX29" s="668"/>
      <c r="AY29" s="668"/>
      <c r="AZ29" s="668"/>
      <c r="BA29" s="668"/>
      <c r="BB29" s="668"/>
      <c r="BC29" s="668"/>
      <c r="BD29" s="668"/>
      <c r="BE29" s="668"/>
      <c r="BF29" s="668"/>
      <c r="BG29" s="668"/>
      <c r="BH29" s="668"/>
      <c r="BI29" s="668"/>
      <c r="BJ29" s="668"/>
      <c r="BK29" s="668"/>
      <c r="BL29" s="668"/>
      <c r="BM29" s="668"/>
      <c r="BN29" s="668"/>
      <c r="BO29" s="668"/>
      <c r="BP29" s="668"/>
      <c r="BQ29" s="668"/>
      <c r="BR29" s="668"/>
      <c r="BS29" s="668"/>
      <c r="BT29" s="668"/>
      <c r="BU29" s="668"/>
      <c r="BV29" s="668"/>
      <c r="BW29" s="668"/>
      <c r="BX29" s="668"/>
      <c r="BY29" s="668"/>
      <c r="BZ29" s="668"/>
      <c r="CA29" s="668"/>
      <c r="CB29" s="668"/>
      <c r="CC29" s="668"/>
      <c r="CD29" s="668"/>
      <c r="CE29" s="668"/>
      <c r="CF29" s="668"/>
      <c r="CG29" s="668"/>
      <c r="CH29" s="668"/>
      <c r="CI29" s="668"/>
      <c r="CJ29" s="668"/>
      <c r="CK29" s="668"/>
      <c r="CL29" s="668"/>
      <c r="CM29" s="668"/>
      <c r="CN29" s="668"/>
      <c r="CO29" s="668"/>
      <c r="CP29" s="668"/>
      <c r="CQ29" s="668"/>
      <c r="CR29" s="668"/>
      <c r="CS29" s="668"/>
      <c r="CT29" s="668"/>
      <c r="CU29" s="668"/>
      <c r="CV29" s="668"/>
      <c r="CW29" s="668"/>
      <c r="CX29" s="668"/>
      <c r="CY29" s="668"/>
      <c r="CZ29" s="668"/>
      <c r="DA29" s="668"/>
      <c r="DB29" s="668"/>
      <c r="DC29" s="668"/>
      <c r="DD29" s="668"/>
      <c r="DE29" s="668"/>
      <c r="DF29" s="668"/>
      <c r="DG29" s="668"/>
      <c r="DH29" s="668"/>
      <c r="DI29" s="668"/>
      <c r="DJ29" s="668"/>
      <c r="DK29" s="668"/>
      <c r="DL29" s="668"/>
      <c r="DM29" s="668"/>
      <c r="DN29" s="668"/>
      <c r="DO29" s="668"/>
      <c r="DP29" s="668"/>
      <c r="DQ29" s="668"/>
      <c r="DR29" s="668"/>
      <c r="DS29" s="668"/>
      <c r="DT29" s="668"/>
      <c r="DU29" s="668"/>
      <c r="DV29" s="668"/>
      <c r="DW29" s="668"/>
      <c r="DX29" s="668"/>
      <c r="DY29" s="668"/>
      <c r="DZ29" s="668"/>
      <c r="EA29" s="668"/>
      <c r="EB29" s="668"/>
      <c r="EC29" s="668"/>
      <c r="ED29" s="668"/>
      <c r="EE29" s="668"/>
      <c r="EF29" s="668"/>
      <c r="EG29" s="668"/>
      <c r="EH29" s="668"/>
      <c r="EI29" s="668"/>
      <c r="EJ29" s="668"/>
      <c r="EK29" s="668"/>
      <c r="EL29" s="668"/>
      <c r="EM29" s="668"/>
      <c r="EN29" s="668"/>
      <c r="EO29" s="668"/>
      <c r="EP29" s="668"/>
      <c r="EQ29" s="668"/>
      <c r="ER29" s="668"/>
      <c r="ES29" s="668"/>
      <c r="ET29" s="668"/>
      <c r="EU29" s="668"/>
      <c r="EV29" s="668"/>
      <c r="EW29" s="668"/>
      <c r="EX29" s="668"/>
      <c r="EY29" s="668"/>
      <c r="EZ29" s="668"/>
      <c r="FA29" s="668"/>
      <c r="FB29" s="668"/>
      <c r="FC29" s="668"/>
      <c r="FD29" s="668"/>
      <c r="FE29" s="668"/>
      <c r="FF29" s="668"/>
      <c r="FG29" s="668"/>
      <c r="FH29" s="668"/>
      <c r="FI29" s="668"/>
      <c r="FJ29" s="668"/>
      <c r="FK29" s="668"/>
      <c r="FL29" s="668"/>
      <c r="FM29" s="668"/>
      <c r="FN29" s="668"/>
      <c r="FO29" s="668"/>
      <c r="FP29" s="668"/>
      <c r="FQ29" s="668"/>
      <c r="FR29" s="668"/>
      <c r="FS29" s="668"/>
      <c r="FT29" s="668"/>
      <c r="FU29" s="668"/>
      <c r="FV29" s="668"/>
      <c r="FW29" s="668"/>
      <c r="FX29" s="668"/>
      <c r="FY29" s="668"/>
      <c r="FZ29" s="668"/>
      <c r="GA29" s="668"/>
      <c r="GB29" s="668"/>
      <c r="GC29" s="668"/>
      <c r="GD29" s="668"/>
      <c r="GE29" s="668"/>
      <c r="GF29" s="668"/>
      <c r="GG29" s="668"/>
      <c r="GH29" s="668"/>
      <c r="GI29" s="668"/>
      <c r="GJ29" s="668"/>
      <c r="GK29" s="668"/>
      <c r="GL29" s="668"/>
      <c r="GM29" s="668"/>
      <c r="GN29" s="668"/>
      <c r="GO29" s="668"/>
      <c r="GP29" s="668"/>
      <c r="GQ29" s="668"/>
      <c r="GR29" s="668"/>
      <c r="GS29" s="668"/>
      <c r="GT29" s="668"/>
      <c r="GU29" s="668"/>
      <c r="GV29" s="668"/>
      <c r="GW29" s="668"/>
      <c r="GX29" s="668"/>
      <c r="GY29" s="668"/>
      <c r="GZ29" s="668"/>
      <c r="HA29" s="668"/>
      <c r="HB29" s="668"/>
      <c r="HC29" s="668"/>
      <c r="HD29" s="668"/>
      <c r="HE29" s="668"/>
    </row>
    <row r="30" spans="2:213" s="660" customFormat="1" ht="15" customHeight="1" x14ac:dyDescent="0.3">
      <c r="B30" s="670" t="s">
        <v>7861</v>
      </c>
      <c r="C30" s="539" t="s">
        <v>7862</v>
      </c>
      <c r="D30" s="540">
        <v>225</v>
      </c>
      <c r="E30" s="541">
        <v>207000</v>
      </c>
      <c r="F30" s="541">
        <f t="shared" si="0"/>
        <v>46575000</v>
      </c>
      <c r="G30" s="541">
        <f>$G$6</f>
        <v>4239</v>
      </c>
      <c r="H30" s="541">
        <f t="shared" si="1"/>
        <v>10987.261146496816</v>
      </c>
      <c r="I30" s="231">
        <v>5958</v>
      </c>
      <c r="J30" s="658"/>
      <c r="K30" s="231">
        <f t="shared" si="5"/>
        <v>5984.0080861837787</v>
      </c>
      <c r="L30" s="231">
        <f t="shared" si="6"/>
        <v>26.008086183778687</v>
      </c>
      <c r="M30" s="232">
        <f t="shared" si="7"/>
        <v>4.3652376944912199E-3</v>
      </c>
      <c r="N30" s="659"/>
      <c r="O30" s="231"/>
      <c r="P30" s="231"/>
      <c r="Q30" s="231">
        <f>I30</f>
        <v>5958</v>
      </c>
      <c r="R30" s="231"/>
      <c r="S30" s="668"/>
      <c r="T30" s="231">
        <v>0</v>
      </c>
      <c r="U30" s="231">
        <v>0</v>
      </c>
      <c r="V30" s="231">
        <v>5984.0080861837787</v>
      </c>
      <c r="W30" s="231">
        <v>0</v>
      </c>
      <c r="X30" s="668"/>
      <c r="Y30" s="231">
        <f t="shared" si="3"/>
        <v>0</v>
      </c>
      <c r="Z30" s="231">
        <f t="shared" si="3"/>
        <v>0</v>
      </c>
      <c r="AA30" s="231">
        <f t="shared" si="3"/>
        <v>26.008086183778687</v>
      </c>
      <c r="AB30" s="231">
        <f t="shared" si="3"/>
        <v>0</v>
      </c>
      <c r="AC30" s="225"/>
      <c r="AD30" s="156">
        <f t="shared" si="4"/>
        <v>0</v>
      </c>
      <c r="AE30" s="156">
        <f t="shared" si="4"/>
        <v>0</v>
      </c>
      <c r="AF30" s="156">
        <f t="shared" si="4"/>
        <v>4.3652376944912199E-3</v>
      </c>
      <c r="AG30" s="156">
        <f t="shared" si="4"/>
        <v>0</v>
      </c>
      <c r="AH30" s="668"/>
      <c r="AI30" s="668"/>
      <c r="AJ30" s="668"/>
      <c r="AK30" s="668"/>
      <c r="AL30" s="668"/>
      <c r="AM30" s="668"/>
      <c r="AN30" s="668"/>
      <c r="AO30" s="668"/>
      <c r="AP30" s="668"/>
      <c r="AQ30" s="668"/>
      <c r="AR30" s="668"/>
      <c r="AS30" s="668"/>
      <c r="AT30" s="668"/>
      <c r="AU30" s="668"/>
      <c r="AV30" s="668"/>
      <c r="AW30" s="668"/>
      <c r="AX30" s="668"/>
      <c r="AY30" s="668"/>
      <c r="AZ30" s="668"/>
      <c r="BA30" s="668"/>
      <c r="BB30" s="668"/>
      <c r="BC30" s="668"/>
      <c r="BD30" s="668"/>
      <c r="BE30" s="668"/>
      <c r="BF30" s="668"/>
      <c r="BG30" s="668"/>
      <c r="BH30" s="668"/>
      <c r="BI30" s="668"/>
      <c r="BJ30" s="668"/>
      <c r="BK30" s="668"/>
      <c r="BL30" s="668"/>
      <c r="BM30" s="668"/>
      <c r="BN30" s="668"/>
      <c r="BO30" s="668"/>
      <c r="BP30" s="668"/>
      <c r="BQ30" s="668"/>
      <c r="BR30" s="668"/>
      <c r="BS30" s="668"/>
      <c r="BT30" s="668"/>
      <c r="BU30" s="668"/>
      <c r="BV30" s="668"/>
      <c r="BW30" s="668"/>
      <c r="BX30" s="668"/>
      <c r="BY30" s="668"/>
      <c r="BZ30" s="668"/>
      <c r="CA30" s="668"/>
      <c r="CB30" s="668"/>
      <c r="CC30" s="668"/>
      <c r="CD30" s="668"/>
      <c r="CE30" s="668"/>
      <c r="CF30" s="668"/>
      <c r="CG30" s="668"/>
      <c r="CH30" s="668"/>
      <c r="CI30" s="668"/>
      <c r="CJ30" s="668"/>
      <c r="CK30" s="668"/>
      <c r="CL30" s="668"/>
      <c r="CM30" s="668"/>
      <c r="CN30" s="668"/>
      <c r="CO30" s="668"/>
      <c r="CP30" s="668"/>
      <c r="CQ30" s="668"/>
      <c r="CR30" s="668"/>
      <c r="CS30" s="668"/>
      <c r="CT30" s="668"/>
      <c r="CU30" s="668"/>
      <c r="CV30" s="668"/>
      <c r="CW30" s="668"/>
      <c r="CX30" s="668"/>
      <c r="CY30" s="668"/>
      <c r="CZ30" s="668"/>
      <c r="DA30" s="668"/>
      <c r="DB30" s="668"/>
      <c r="DC30" s="668"/>
      <c r="DD30" s="668"/>
      <c r="DE30" s="668"/>
      <c r="DF30" s="668"/>
      <c r="DG30" s="668"/>
      <c r="DH30" s="668"/>
      <c r="DI30" s="668"/>
      <c r="DJ30" s="668"/>
      <c r="DK30" s="668"/>
      <c r="DL30" s="668"/>
      <c r="DM30" s="668"/>
      <c r="DN30" s="668"/>
      <c r="DO30" s="668"/>
      <c r="DP30" s="668"/>
      <c r="DQ30" s="668"/>
      <c r="DR30" s="668"/>
      <c r="DS30" s="668"/>
      <c r="DT30" s="668"/>
      <c r="DU30" s="668"/>
      <c r="DV30" s="668"/>
      <c r="DW30" s="668"/>
      <c r="DX30" s="668"/>
      <c r="DY30" s="668"/>
      <c r="DZ30" s="668"/>
      <c r="EA30" s="668"/>
      <c r="EB30" s="668"/>
      <c r="EC30" s="668"/>
      <c r="ED30" s="668"/>
      <c r="EE30" s="668"/>
      <c r="EF30" s="668"/>
      <c r="EG30" s="668"/>
      <c r="EH30" s="668"/>
      <c r="EI30" s="668"/>
      <c r="EJ30" s="668"/>
      <c r="EK30" s="668"/>
      <c r="EL30" s="668"/>
      <c r="EM30" s="668"/>
      <c r="EN30" s="668"/>
      <c r="EO30" s="668"/>
      <c r="EP30" s="668"/>
      <c r="EQ30" s="668"/>
      <c r="ER30" s="668"/>
      <c r="ES30" s="668"/>
      <c r="ET30" s="668"/>
      <c r="EU30" s="668"/>
      <c r="EV30" s="668"/>
      <c r="EW30" s="668"/>
      <c r="EX30" s="668"/>
      <c r="EY30" s="668"/>
      <c r="EZ30" s="668"/>
      <c r="FA30" s="668"/>
      <c r="FB30" s="668"/>
      <c r="FC30" s="668"/>
      <c r="FD30" s="668"/>
      <c r="FE30" s="668"/>
      <c r="FF30" s="668"/>
      <c r="FG30" s="668"/>
      <c r="FH30" s="668"/>
      <c r="FI30" s="668"/>
      <c r="FJ30" s="668"/>
      <c r="FK30" s="668"/>
      <c r="FL30" s="668"/>
      <c r="FM30" s="668"/>
      <c r="FN30" s="668"/>
      <c r="FO30" s="668"/>
      <c r="FP30" s="668"/>
      <c r="FQ30" s="668"/>
      <c r="FR30" s="668"/>
      <c r="FS30" s="668"/>
      <c r="FT30" s="668"/>
      <c r="FU30" s="668"/>
      <c r="FV30" s="668"/>
      <c r="FW30" s="668"/>
      <c r="FX30" s="668"/>
      <c r="FY30" s="668"/>
      <c r="FZ30" s="668"/>
      <c r="GA30" s="668"/>
      <c r="GB30" s="668"/>
      <c r="GC30" s="668"/>
      <c r="GD30" s="668"/>
      <c r="GE30" s="668"/>
      <c r="GF30" s="668"/>
      <c r="GG30" s="668"/>
      <c r="GH30" s="668"/>
      <c r="GI30" s="668"/>
      <c r="GJ30" s="668"/>
      <c r="GK30" s="668"/>
      <c r="GL30" s="668"/>
      <c r="GM30" s="668"/>
      <c r="GN30" s="668"/>
      <c r="GO30" s="668"/>
      <c r="GP30" s="668"/>
      <c r="GQ30" s="668"/>
      <c r="GR30" s="668"/>
      <c r="GS30" s="668"/>
      <c r="GT30" s="668"/>
      <c r="GU30" s="668"/>
      <c r="GV30" s="668"/>
      <c r="GW30" s="668"/>
      <c r="GX30" s="668"/>
      <c r="GY30" s="668"/>
      <c r="GZ30" s="668"/>
      <c r="HA30" s="668"/>
      <c r="HB30" s="668"/>
      <c r="HC30" s="668"/>
      <c r="HD30" s="668"/>
      <c r="HE30" s="668"/>
    </row>
    <row r="31" spans="2:213" ht="21" customHeight="1" x14ac:dyDescent="0.3">
      <c r="B31" s="672" t="s">
        <v>92</v>
      </c>
      <c r="C31" s="673"/>
      <c r="D31" s="673"/>
      <c r="E31" s="673"/>
      <c r="F31" s="674">
        <f>SUM(F10:F30)</f>
        <v>950965612.79999995</v>
      </c>
      <c r="G31" s="674"/>
      <c r="H31" s="674">
        <f>SUM(H10:H30)</f>
        <v>224337.25237084218</v>
      </c>
      <c r="I31" s="675">
        <f>SUM(I10:I30)</f>
        <v>90179</v>
      </c>
      <c r="J31" s="676"/>
      <c r="K31" s="675">
        <f>SUM(K10:K30)</f>
        <v>99794.179621333256</v>
      </c>
      <c r="L31" s="675">
        <f t="shared" si="6"/>
        <v>9615.1796213332564</v>
      </c>
      <c r="M31" s="677">
        <f t="shared" si="7"/>
        <v>0.10662326729430639</v>
      </c>
      <c r="N31" s="659"/>
      <c r="O31" s="674">
        <f>SUM(O10:O30)</f>
        <v>70922.25</v>
      </c>
      <c r="P31" s="674">
        <f>SUM(P10:P30)</f>
        <v>7342.25</v>
      </c>
      <c r="Q31" s="674">
        <f>SUM(Q10:Q30)</f>
        <v>8936.25</v>
      </c>
      <c r="R31" s="674">
        <f>SUM(R10:R30)</f>
        <v>2978.25</v>
      </c>
      <c r="S31" s="678"/>
      <c r="T31" s="674">
        <f>SUM(T10:T30)</f>
        <v>77433.097761904282</v>
      </c>
      <c r="U31" s="674">
        <f>SUM(U10:U30)</f>
        <v>8483.343788202641</v>
      </c>
      <c r="V31" s="674">
        <f>SUM(V10:V30)</f>
        <v>9930.8730787050554</v>
      </c>
      <c r="W31" s="674">
        <f>SUM(W10:W30)</f>
        <v>3946.8649925212758</v>
      </c>
      <c r="X31" s="678"/>
      <c r="Y31" s="163">
        <f t="shared" si="3"/>
        <v>6510.8477619042824</v>
      </c>
      <c r="Z31" s="163">
        <f t="shared" si="3"/>
        <v>1141.093788202641</v>
      </c>
      <c r="AA31" s="163">
        <f t="shared" si="3"/>
        <v>994.62307870505538</v>
      </c>
      <c r="AB31" s="163">
        <f t="shared" si="3"/>
        <v>968.61499252127578</v>
      </c>
      <c r="AC31" s="146"/>
      <c r="AD31" s="169">
        <f t="shared" si="4"/>
        <v>9.1802611478122631E-2</v>
      </c>
      <c r="AE31" s="169">
        <f t="shared" si="4"/>
        <v>0.15541472821037708</v>
      </c>
      <c r="AF31" s="169">
        <f t="shared" si="4"/>
        <v>0.11130206503903263</v>
      </c>
      <c r="AG31" s="169">
        <f t="shared" si="4"/>
        <v>0.32522957861874446</v>
      </c>
      <c r="AH31" s="678"/>
      <c r="AI31" s="678"/>
      <c r="AJ31" s="678"/>
      <c r="AK31" s="678"/>
      <c r="AL31" s="678"/>
      <c r="AM31" s="678"/>
      <c r="AN31" s="678"/>
      <c r="AO31" s="678"/>
      <c r="AP31" s="678"/>
      <c r="AQ31" s="678"/>
      <c r="AR31" s="678"/>
      <c r="AS31" s="678"/>
      <c r="AT31" s="678"/>
      <c r="AU31" s="678"/>
      <c r="AV31" s="678"/>
      <c r="AW31" s="678"/>
      <c r="AX31" s="678"/>
      <c r="AY31" s="678"/>
      <c r="AZ31" s="678"/>
      <c r="BA31" s="678"/>
      <c r="BB31" s="678"/>
      <c r="BC31" s="678"/>
      <c r="BD31" s="678"/>
      <c r="BE31" s="678"/>
      <c r="BF31" s="678"/>
      <c r="BG31" s="678"/>
      <c r="BH31" s="678"/>
      <c r="BI31" s="678"/>
      <c r="BJ31" s="678"/>
      <c r="BK31" s="678"/>
      <c r="BL31" s="678"/>
      <c r="BM31" s="678"/>
      <c r="BN31" s="678"/>
      <c r="BO31" s="678"/>
      <c r="BP31" s="678"/>
      <c r="BQ31" s="678"/>
      <c r="BR31" s="678"/>
      <c r="BS31" s="678"/>
      <c r="BT31" s="678"/>
      <c r="BU31" s="678"/>
      <c r="BV31" s="678"/>
      <c r="BW31" s="678"/>
      <c r="BX31" s="678"/>
      <c r="BY31" s="678"/>
      <c r="BZ31" s="678"/>
      <c r="CA31" s="678"/>
      <c r="CB31" s="678"/>
      <c r="CC31" s="678"/>
      <c r="CD31" s="678"/>
      <c r="CE31" s="678"/>
      <c r="CF31" s="678"/>
      <c r="CG31" s="678"/>
      <c r="CH31" s="678"/>
      <c r="CI31" s="678"/>
      <c r="CJ31" s="678"/>
      <c r="CK31" s="678"/>
      <c r="CL31" s="678"/>
      <c r="CM31" s="678"/>
      <c r="CN31" s="678"/>
      <c r="CO31" s="678"/>
      <c r="CP31" s="678"/>
      <c r="CQ31" s="678"/>
      <c r="CR31" s="678"/>
      <c r="CS31" s="678"/>
      <c r="CT31" s="678"/>
      <c r="CU31" s="678"/>
      <c r="CV31" s="678"/>
      <c r="CW31" s="678"/>
      <c r="CX31" s="678"/>
      <c r="CY31" s="678"/>
      <c r="CZ31" s="678"/>
      <c r="DA31" s="678"/>
      <c r="DB31" s="678"/>
      <c r="DC31" s="678"/>
      <c r="DD31" s="678"/>
      <c r="DE31" s="678"/>
      <c r="DF31" s="678"/>
      <c r="DG31" s="678"/>
      <c r="DH31" s="678"/>
      <c r="DI31" s="678"/>
      <c r="DJ31" s="678"/>
      <c r="DK31" s="678"/>
      <c r="DL31" s="678"/>
      <c r="DM31" s="678"/>
      <c r="DN31" s="678"/>
      <c r="DO31" s="678"/>
      <c r="DP31" s="678"/>
      <c r="DQ31" s="678"/>
      <c r="DR31" s="678"/>
      <c r="DS31" s="678"/>
      <c r="DT31" s="678"/>
      <c r="DU31" s="678"/>
      <c r="DV31" s="678"/>
      <c r="DW31" s="678"/>
      <c r="DX31" s="678"/>
      <c r="DY31" s="678"/>
      <c r="DZ31" s="678"/>
      <c r="EA31" s="678"/>
      <c r="EB31" s="678"/>
      <c r="EC31" s="678"/>
      <c r="ED31" s="678"/>
      <c r="EE31" s="678"/>
      <c r="EF31" s="678"/>
      <c r="EG31" s="678"/>
      <c r="EH31" s="678"/>
      <c r="EI31" s="678"/>
      <c r="EJ31" s="678"/>
      <c r="EK31" s="678"/>
      <c r="EL31" s="678"/>
      <c r="EM31" s="678"/>
      <c r="EN31" s="678"/>
      <c r="EO31" s="678"/>
      <c r="EP31" s="678"/>
      <c r="EQ31" s="678"/>
      <c r="ER31" s="678"/>
      <c r="ES31" s="678"/>
      <c r="ET31" s="678"/>
      <c r="EU31" s="678"/>
      <c r="EV31" s="678"/>
      <c r="EW31" s="678"/>
      <c r="EX31" s="678"/>
      <c r="EY31" s="678"/>
      <c r="EZ31" s="678"/>
      <c r="FA31" s="678"/>
      <c r="FB31" s="678"/>
      <c r="FC31" s="678"/>
      <c r="FD31" s="678"/>
      <c r="FE31" s="678"/>
      <c r="FF31" s="678"/>
      <c r="FG31" s="678"/>
      <c r="FH31" s="678"/>
      <c r="FI31" s="678"/>
      <c r="FJ31" s="678"/>
      <c r="FK31" s="678"/>
      <c r="FL31" s="678"/>
      <c r="FM31" s="678"/>
      <c r="FN31" s="678"/>
      <c r="FO31" s="678"/>
      <c r="FP31" s="678"/>
      <c r="FQ31" s="678"/>
      <c r="FR31" s="678"/>
      <c r="FS31" s="678"/>
      <c r="FT31" s="678"/>
      <c r="FU31" s="678"/>
      <c r="FV31" s="678"/>
      <c r="FW31" s="678"/>
      <c r="FX31" s="678"/>
      <c r="FY31" s="678"/>
      <c r="FZ31" s="678"/>
      <c r="GA31" s="678"/>
      <c r="GB31" s="678"/>
      <c r="GC31" s="678"/>
      <c r="GD31" s="678"/>
      <c r="GE31" s="678"/>
      <c r="GF31" s="678"/>
      <c r="GG31" s="678"/>
      <c r="GH31" s="678"/>
      <c r="GI31" s="678"/>
      <c r="GJ31" s="678"/>
      <c r="GK31" s="678"/>
      <c r="GL31" s="678"/>
      <c r="GM31" s="678"/>
      <c r="GN31" s="678"/>
      <c r="GO31" s="678"/>
      <c r="GP31" s="678"/>
      <c r="GQ31" s="678"/>
      <c r="GR31" s="678"/>
      <c r="GS31" s="678"/>
      <c r="GT31" s="678"/>
      <c r="GU31" s="678"/>
      <c r="GV31" s="678"/>
      <c r="GW31" s="678"/>
      <c r="GX31" s="678"/>
      <c r="GY31" s="678"/>
      <c r="GZ31" s="678"/>
      <c r="HA31" s="678"/>
      <c r="HB31" s="678"/>
      <c r="HC31" s="678"/>
      <c r="HD31" s="678"/>
      <c r="HE31" s="678"/>
    </row>
    <row r="32" spans="2:213" ht="15" customHeight="1" x14ac:dyDescent="0.3">
      <c r="B32" s="860" t="s">
        <v>11</v>
      </c>
      <c r="C32" s="847"/>
      <c r="D32" s="847"/>
      <c r="E32" s="847"/>
      <c r="F32" s="847"/>
      <c r="G32" s="679"/>
      <c r="H32" s="679"/>
      <c r="I32" s="680"/>
      <c r="J32" s="676"/>
      <c r="K32" s="680"/>
      <c r="L32" s="681"/>
      <c r="M32" s="682"/>
      <c r="N32" s="659"/>
      <c r="O32" s="679"/>
      <c r="P32" s="679"/>
      <c r="Q32" s="679"/>
      <c r="R32" s="679"/>
      <c r="S32" s="678"/>
      <c r="T32" s="679"/>
      <c r="U32" s="679"/>
      <c r="V32" s="679"/>
      <c r="W32" s="679"/>
      <c r="X32" s="678"/>
      <c r="Y32" s="172"/>
      <c r="Z32" s="416"/>
      <c r="AA32" s="172"/>
      <c r="AB32" s="172"/>
      <c r="AC32" s="146"/>
      <c r="AD32" s="172"/>
      <c r="AE32" s="416"/>
      <c r="AF32" s="172"/>
      <c r="AG32" s="172"/>
      <c r="AH32" s="678"/>
      <c r="AI32" s="678"/>
      <c r="AJ32" s="678"/>
      <c r="AK32" s="678"/>
      <c r="AL32" s="678"/>
      <c r="AM32" s="678"/>
      <c r="AN32" s="678"/>
      <c r="AO32" s="678"/>
      <c r="AP32" s="678"/>
      <c r="AQ32" s="678"/>
      <c r="AR32" s="678"/>
      <c r="AS32" s="678"/>
      <c r="AT32" s="678"/>
      <c r="AU32" s="678"/>
      <c r="AV32" s="678"/>
      <c r="AW32" s="678"/>
      <c r="AX32" s="678"/>
      <c r="AY32" s="678"/>
      <c r="AZ32" s="678"/>
      <c r="BA32" s="678"/>
      <c r="BB32" s="678"/>
      <c r="BC32" s="678"/>
      <c r="BD32" s="678"/>
      <c r="BE32" s="678"/>
      <c r="BF32" s="678"/>
      <c r="BG32" s="678"/>
      <c r="BH32" s="678"/>
      <c r="BI32" s="678"/>
      <c r="BJ32" s="678"/>
      <c r="BK32" s="678"/>
      <c r="BL32" s="678"/>
      <c r="BM32" s="678"/>
      <c r="BN32" s="678"/>
      <c r="BO32" s="678"/>
      <c r="BP32" s="678"/>
      <c r="BQ32" s="678"/>
      <c r="BR32" s="678"/>
      <c r="BS32" s="678"/>
      <c r="BT32" s="678"/>
      <c r="BU32" s="678"/>
      <c r="BV32" s="678"/>
      <c r="BW32" s="678"/>
      <c r="BX32" s="678"/>
      <c r="BY32" s="678"/>
      <c r="BZ32" s="678"/>
      <c r="CA32" s="678"/>
      <c r="CB32" s="678"/>
      <c r="CC32" s="678"/>
      <c r="CD32" s="678"/>
      <c r="CE32" s="678"/>
      <c r="CF32" s="678"/>
      <c r="CG32" s="678"/>
      <c r="CH32" s="678"/>
      <c r="CI32" s="678"/>
      <c r="CJ32" s="678"/>
      <c r="CK32" s="678"/>
      <c r="CL32" s="678"/>
      <c r="CM32" s="678"/>
      <c r="CN32" s="678"/>
      <c r="CO32" s="678"/>
      <c r="CP32" s="678"/>
      <c r="CQ32" s="678"/>
      <c r="CR32" s="678"/>
      <c r="CS32" s="678"/>
      <c r="CT32" s="678"/>
      <c r="CU32" s="678"/>
      <c r="CV32" s="678"/>
      <c r="CW32" s="678"/>
      <c r="CX32" s="678"/>
      <c r="CY32" s="678"/>
      <c r="CZ32" s="678"/>
      <c r="DA32" s="678"/>
      <c r="DB32" s="678"/>
      <c r="DC32" s="678"/>
      <c r="DD32" s="678"/>
      <c r="DE32" s="678"/>
      <c r="DF32" s="678"/>
      <c r="DG32" s="678"/>
      <c r="DH32" s="678"/>
      <c r="DI32" s="678"/>
      <c r="DJ32" s="678"/>
      <c r="DK32" s="678"/>
      <c r="DL32" s="678"/>
      <c r="DM32" s="678"/>
      <c r="DN32" s="678"/>
      <c r="DO32" s="678"/>
      <c r="DP32" s="678"/>
      <c r="DQ32" s="678"/>
      <c r="DR32" s="678"/>
      <c r="DS32" s="678"/>
      <c r="DT32" s="678"/>
      <c r="DU32" s="678"/>
      <c r="DV32" s="678"/>
      <c r="DW32" s="678"/>
      <c r="DX32" s="678"/>
      <c r="DY32" s="678"/>
      <c r="DZ32" s="678"/>
      <c r="EA32" s="678"/>
      <c r="EB32" s="678"/>
      <c r="EC32" s="678"/>
      <c r="ED32" s="678"/>
      <c r="EE32" s="678"/>
      <c r="EF32" s="678"/>
      <c r="EG32" s="678"/>
      <c r="EH32" s="678"/>
      <c r="EI32" s="678"/>
      <c r="EJ32" s="678"/>
      <c r="EK32" s="678"/>
      <c r="EL32" s="678"/>
      <c r="EM32" s="678"/>
      <c r="EN32" s="678"/>
      <c r="EO32" s="678"/>
      <c r="EP32" s="678"/>
      <c r="EQ32" s="678"/>
      <c r="ER32" s="678"/>
      <c r="ES32" s="678"/>
      <c r="ET32" s="678"/>
      <c r="EU32" s="678"/>
      <c r="EV32" s="678"/>
      <c r="EW32" s="678"/>
      <c r="EX32" s="678"/>
      <c r="EY32" s="678"/>
      <c r="EZ32" s="678"/>
      <c r="FA32" s="678"/>
      <c r="FB32" s="678"/>
      <c r="FC32" s="678"/>
      <c r="FD32" s="678"/>
      <c r="FE32" s="678"/>
      <c r="FF32" s="678"/>
      <c r="FG32" s="678"/>
      <c r="FH32" s="678"/>
      <c r="FI32" s="678"/>
      <c r="FJ32" s="678"/>
      <c r="FK32" s="678"/>
      <c r="FL32" s="678"/>
      <c r="FM32" s="678"/>
      <c r="FN32" s="678"/>
      <c r="FO32" s="678"/>
      <c r="FP32" s="678"/>
      <c r="FQ32" s="678"/>
      <c r="FR32" s="678"/>
      <c r="FS32" s="678"/>
      <c r="FT32" s="678"/>
      <c r="FU32" s="678"/>
      <c r="FV32" s="678"/>
      <c r="FW32" s="678"/>
      <c r="FX32" s="678"/>
      <c r="FY32" s="678"/>
      <c r="FZ32" s="678"/>
      <c r="GA32" s="678"/>
      <c r="GB32" s="678"/>
      <c r="GC32" s="678"/>
      <c r="GD32" s="678"/>
      <c r="GE32" s="678"/>
      <c r="GF32" s="678"/>
      <c r="GG32" s="678"/>
      <c r="GH32" s="678"/>
      <c r="GI32" s="678"/>
      <c r="GJ32" s="678"/>
      <c r="GK32" s="678"/>
      <c r="GL32" s="678"/>
      <c r="GM32" s="678"/>
      <c r="GN32" s="678"/>
      <c r="GO32" s="678"/>
      <c r="GP32" s="678"/>
      <c r="GQ32" s="678"/>
      <c r="GR32" s="678"/>
      <c r="GS32" s="678"/>
      <c r="GT32" s="678"/>
      <c r="GU32" s="678"/>
      <c r="GV32" s="678"/>
      <c r="GW32" s="678"/>
      <c r="GX32" s="678"/>
      <c r="GY32" s="678"/>
      <c r="GZ32" s="678"/>
      <c r="HA32" s="678"/>
      <c r="HB32" s="678"/>
      <c r="HC32" s="678"/>
      <c r="HD32" s="678"/>
      <c r="HE32" s="678"/>
    </row>
    <row r="33" spans="2:213" ht="15" customHeight="1" x14ac:dyDescent="0.3">
      <c r="B33" s="870" t="s">
        <v>12</v>
      </c>
      <c r="C33" s="847"/>
      <c r="D33" s="847"/>
      <c r="E33" s="847"/>
      <c r="F33" s="847"/>
      <c r="G33" s="683"/>
      <c r="H33" s="683"/>
      <c r="I33" s="684"/>
      <c r="J33" s="676"/>
      <c r="K33" s="684"/>
      <c r="L33" s="685"/>
      <c r="M33" s="686"/>
      <c r="N33" s="659"/>
      <c r="O33" s="683"/>
      <c r="P33" s="683"/>
      <c r="Q33" s="683"/>
      <c r="R33" s="685"/>
      <c r="S33" s="678"/>
      <c r="T33" s="683"/>
      <c r="U33" s="683"/>
      <c r="V33" s="683"/>
      <c r="W33" s="683"/>
      <c r="X33" s="678"/>
      <c r="Y33" s="189"/>
      <c r="Z33" s="419"/>
      <c r="AA33" s="189"/>
      <c r="AB33" s="189"/>
      <c r="AC33" s="146"/>
      <c r="AD33" s="511"/>
      <c r="AE33" s="420"/>
      <c r="AF33" s="420"/>
      <c r="AG33" s="420"/>
      <c r="AH33" s="678"/>
      <c r="AI33" s="678"/>
      <c r="AJ33" s="678"/>
      <c r="AK33" s="678"/>
      <c r="AL33" s="678"/>
      <c r="AM33" s="678"/>
      <c r="AN33" s="678"/>
      <c r="AO33" s="678"/>
      <c r="AP33" s="678"/>
      <c r="AQ33" s="678"/>
      <c r="AR33" s="678"/>
      <c r="AS33" s="678"/>
      <c r="AT33" s="678"/>
      <c r="AU33" s="678"/>
      <c r="AV33" s="678"/>
      <c r="AW33" s="678"/>
      <c r="AX33" s="678"/>
      <c r="AY33" s="678"/>
      <c r="AZ33" s="678"/>
      <c r="BA33" s="678"/>
      <c r="BB33" s="678"/>
      <c r="BC33" s="678"/>
      <c r="BD33" s="678"/>
      <c r="BE33" s="678"/>
      <c r="BF33" s="678"/>
      <c r="BG33" s="678"/>
      <c r="BH33" s="678"/>
      <c r="BI33" s="678"/>
      <c r="BJ33" s="678"/>
      <c r="BK33" s="678"/>
      <c r="BL33" s="678"/>
      <c r="BM33" s="678"/>
      <c r="BN33" s="678"/>
      <c r="BO33" s="678"/>
      <c r="BP33" s="678"/>
      <c r="BQ33" s="678"/>
      <c r="BR33" s="678"/>
      <c r="BS33" s="678"/>
      <c r="BT33" s="678"/>
      <c r="BU33" s="678"/>
      <c r="BV33" s="678"/>
      <c r="BW33" s="678"/>
      <c r="BX33" s="678"/>
      <c r="BY33" s="678"/>
      <c r="BZ33" s="678"/>
      <c r="CA33" s="678"/>
      <c r="CB33" s="678"/>
      <c r="CC33" s="678"/>
      <c r="CD33" s="678"/>
      <c r="CE33" s="678"/>
      <c r="CF33" s="678"/>
      <c r="CG33" s="678"/>
      <c r="CH33" s="678"/>
      <c r="CI33" s="678"/>
      <c r="CJ33" s="678"/>
      <c r="CK33" s="678"/>
      <c r="CL33" s="678"/>
      <c r="CM33" s="678"/>
      <c r="CN33" s="678"/>
      <c r="CO33" s="678"/>
      <c r="CP33" s="678"/>
      <c r="CQ33" s="678"/>
      <c r="CR33" s="678"/>
      <c r="CS33" s="678"/>
      <c r="CT33" s="678"/>
      <c r="CU33" s="678"/>
      <c r="CV33" s="678"/>
      <c r="CW33" s="678"/>
      <c r="CX33" s="678"/>
      <c r="CY33" s="678"/>
      <c r="CZ33" s="678"/>
      <c r="DA33" s="678"/>
      <c r="DB33" s="678"/>
      <c r="DC33" s="678"/>
      <c r="DD33" s="678"/>
      <c r="DE33" s="678"/>
      <c r="DF33" s="678"/>
      <c r="DG33" s="678"/>
      <c r="DH33" s="678"/>
      <c r="DI33" s="678"/>
      <c r="DJ33" s="678"/>
      <c r="DK33" s="678"/>
      <c r="DL33" s="678"/>
      <c r="DM33" s="678"/>
      <c r="DN33" s="678"/>
      <c r="DO33" s="678"/>
      <c r="DP33" s="678"/>
      <c r="DQ33" s="678"/>
      <c r="DR33" s="678"/>
      <c r="DS33" s="678"/>
      <c r="DT33" s="678"/>
      <c r="DU33" s="678"/>
      <c r="DV33" s="678"/>
      <c r="DW33" s="678"/>
      <c r="DX33" s="678"/>
      <c r="DY33" s="678"/>
      <c r="DZ33" s="678"/>
      <c r="EA33" s="678"/>
      <c r="EB33" s="678"/>
      <c r="EC33" s="678"/>
      <c r="ED33" s="678"/>
      <c r="EE33" s="678"/>
      <c r="EF33" s="678"/>
      <c r="EG33" s="678"/>
      <c r="EH33" s="678"/>
      <c r="EI33" s="678"/>
      <c r="EJ33" s="678"/>
      <c r="EK33" s="678"/>
      <c r="EL33" s="678"/>
      <c r="EM33" s="678"/>
      <c r="EN33" s="678"/>
      <c r="EO33" s="678"/>
      <c r="EP33" s="678"/>
      <c r="EQ33" s="678"/>
      <c r="ER33" s="678"/>
      <c r="ES33" s="678"/>
      <c r="ET33" s="678"/>
      <c r="EU33" s="678"/>
      <c r="EV33" s="678"/>
      <c r="EW33" s="678"/>
      <c r="EX33" s="678"/>
      <c r="EY33" s="678"/>
      <c r="EZ33" s="678"/>
      <c r="FA33" s="678"/>
      <c r="FB33" s="678"/>
      <c r="FC33" s="678"/>
      <c r="FD33" s="678"/>
      <c r="FE33" s="678"/>
      <c r="FF33" s="678"/>
      <c r="FG33" s="678"/>
      <c r="FH33" s="678"/>
      <c r="FI33" s="678"/>
      <c r="FJ33" s="678"/>
      <c r="FK33" s="678"/>
      <c r="FL33" s="678"/>
      <c r="FM33" s="678"/>
      <c r="FN33" s="678"/>
      <c r="FO33" s="678"/>
      <c r="FP33" s="678"/>
      <c r="FQ33" s="678"/>
      <c r="FR33" s="678"/>
      <c r="FS33" s="678"/>
      <c r="FT33" s="678"/>
      <c r="FU33" s="678"/>
      <c r="FV33" s="678"/>
      <c r="FW33" s="678"/>
      <c r="FX33" s="678"/>
      <c r="FY33" s="678"/>
      <c r="FZ33" s="678"/>
      <c r="GA33" s="678"/>
      <c r="GB33" s="678"/>
      <c r="GC33" s="678"/>
      <c r="GD33" s="678"/>
      <c r="GE33" s="678"/>
      <c r="GF33" s="678"/>
      <c r="GG33" s="678"/>
      <c r="GH33" s="678"/>
      <c r="GI33" s="678"/>
      <c r="GJ33" s="678"/>
      <c r="GK33" s="678"/>
      <c r="GL33" s="678"/>
      <c r="GM33" s="678"/>
      <c r="GN33" s="678"/>
      <c r="GO33" s="678"/>
      <c r="GP33" s="678"/>
      <c r="GQ33" s="678"/>
      <c r="GR33" s="678"/>
      <c r="GS33" s="678"/>
      <c r="GT33" s="678"/>
      <c r="GU33" s="678"/>
      <c r="GV33" s="678"/>
      <c r="GW33" s="678"/>
      <c r="GX33" s="678"/>
      <c r="GY33" s="678"/>
      <c r="GZ33" s="678"/>
      <c r="HA33" s="678"/>
      <c r="HB33" s="678"/>
      <c r="HC33" s="678"/>
      <c r="HD33" s="678"/>
      <c r="HE33" s="678"/>
    </row>
    <row r="34" spans="2:213" s="660" customFormat="1" ht="15" customHeight="1" x14ac:dyDescent="0.3">
      <c r="B34" s="669" t="s">
        <v>7863</v>
      </c>
      <c r="C34" s="539" t="s">
        <v>7832</v>
      </c>
      <c r="D34" s="540">
        <v>24</v>
      </c>
      <c r="E34" s="687">
        <v>1500000</v>
      </c>
      <c r="F34" s="687">
        <f t="shared" ref="F34:F46" si="11">D34*E34</f>
        <v>36000000</v>
      </c>
      <c r="G34" s="687">
        <f t="shared" ref="G34:G46" si="12">+$G$6</f>
        <v>4239</v>
      </c>
      <c r="H34" s="687">
        <f t="shared" ref="H34:H46" si="13">IF($G$6=0,0,F34/G34)</f>
        <v>8492.5690021231421</v>
      </c>
      <c r="I34" s="231">
        <v>5493</v>
      </c>
      <c r="J34" s="688"/>
      <c r="K34" s="231">
        <f t="shared" ref="K34:K64" si="14">SUM(T34:W34)</f>
        <v>7728.3477283165721</v>
      </c>
      <c r="L34" s="231">
        <f t="shared" ref="L34:L65" si="15">K34-I34</f>
        <v>2235.3477283165721</v>
      </c>
      <c r="M34" s="194">
        <f t="shared" si="7"/>
        <v>0.40694478942591883</v>
      </c>
      <c r="N34" s="659"/>
      <c r="O34" s="231">
        <f>$I34/4</f>
        <v>1373.25</v>
      </c>
      <c r="P34" s="231">
        <f t="shared" ref="P34:R47" si="16">$I34/4</f>
        <v>1373.25</v>
      </c>
      <c r="Q34" s="231">
        <f t="shared" si="16"/>
        <v>1373.25</v>
      </c>
      <c r="R34" s="231">
        <f t="shared" si="16"/>
        <v>1373.25</v>
      </c>
      <c r="T34" s="231">
        <v>1932.086932079143</v>
      </c>
      <c r="U34" s="231">
        <v>1932.086932079143</v>
      </c>
      <c r="V34" s="231">
        <v>1932.086932079143</v>
      </c>
      <c r="W34" s="231">
        <v>1932.086932079143</v>
      </c>
      <c r="Y34" s="155">
        <f t="shared" ref="Y34:AB65" si="17">T34-O34</f>
        <v>558.83693207914303</v>
      </c>
      <c r="Z34" s="155">
        <f t="shared" si="17"/>
        <v>558.83693207914303</v>
      </c>
      <c r="AA34" s="155">
        <f t="shared" si="17"/>
        <v>558.83693207914303</v>
      </c>
      <c r="AB34" s="155">
        <f t="shared" si="17"/>
        <v>558.83693207914303</v>
      </c>
      <c r="AC34" s="418"/>
      <c r="AD34" s="156">
        <f t="shared" ref="AD34:AG65" si="18">IFERROR(Y34/O34,0)</f>
        <v>0.40694478942591883</v>
      </c>
      <c r="AE34" s="156">
        <f t="shared" si="18"/>
        <v>0.40694478942591883</v>
      </c>
      <c r="AF34" s="156">
        <f t="shared" si="18"/>
        <v>0.40694478942591883</v>
      </c>
      <c r="AG34" s="156">
        <f t="shared" si="18"/>
        <v>0.40694478942591883</v>
      </c>
    </row>
    <row r="35" spans="2:213" s="660" customFormat="1" ht="15" customHeight="1" x14ac:dyDescent="0.3">
      <c r="B35" s="669" t="s">
        <v>7864</v>
      </c>
      <c r="C35" s="539" t="s">
        <v>7865</v>
      </c>
      <c r="D35" s="540">
        <v>48000</v>
      </c>
      <c r="E35" s="687">
        <v>2027</v>
      </c>
      <c r="F35" s="687">
        <f t="shared" si="11"/>
        <v>97296000</v>
      </c>
      <c r="G35" s="687">
        <f t="shared" si="12"/>
        <v>4239</v>
      </c>
      <c r="H35" s="687">
        <f t="shared" si="13"/>
        <v>22952.583156404813</v>
      </c>
      <c r="I35" s="231">
        <v>7427</v>
      </c>
      <c r="J35" s="688"/>
      <c r="K35" s="231">
        <f t="shared" si="14"/>
        <v>12438.326765559741</v>
      </c>
      <c r="L35" s="231">
        <f t="shared" si="15"/>
        <v>5011.326765559741</v>
      </c>
      <c r="M35" s="194">
        <f t="shared" si="7"/>
        <v>0.67474441437454435</v>
      </c>
      <c r="N35" s="659"/>
      <c r="O35" s="231">
        <f t="shared" ref="O35:O47" si="19">$I35/4</f>
        <v>1856.75</v>
      </c>
      <c r="P35" s="231">
        <f t="shared" si="16"/>
        <v>1856.75</v>
      </c>
      <c r="Q35" s="231">
        <f t="shared" si="16"/>
        <v>1856.75</v>
      </c>
      <c r="R35" s="231">
        <f t="shared" si="16"/>
        <v>1856.75</v>
      </c>
      <c r="T35" s="231">
        <v>3109.5816913899353</v>
      </c>
      <c r="U35" s="231">
        <v>3109.5816913899353</v>
      </c>
      <c r="V35" s="231">
        <v>3109.5816913899353</v>
      </c>
      <c r="W35" s="231">
        <v>3109.5816913899353</v>
      </c>
      <c r="Y35" s="155">
        <f t="shared" si="17"/>
        <v>1252.8316913899353</v>
      </c>
      <c r="Z35" s="155">
        <f t="shared" si="17"/>
        <v>1252.8316913899353</v>
      </c>
      <c r="AA35" s="155">
        <f t="shared" si="17"/>
        <v>1252.8316913899353</v>
      </c>
      <c r="AB35" s="155">
        <f t="shared" si="17"/>
        <v>1252.8316913899353</v>
      </c>
      <c r="AC35" s="225"/>
      <c r="AD35" s="156">
        <f t="shared" si="18"/>
        <v>0.67474441437454435</v>
      </c>
      <c r="AE35" s="156">
        <f t="shared" si="18"/>
        <v>0.67474441437454435</v>
      </c>
      <c r="AF35" s="156">
        <f t="shared" si="18"/>
        <v>0.67474441437454435</v>
      </c>
      <c r="AG35" s="156">
        <f t="shared" si="18"/>
        <v>0.67474441437454435</v>
      </c>
    </row>
    <row r="36" spans="2:213" s="660" customFormat="1" ht="15" customHeight="1" x14ac:dyDescent="0.3">
      <c r="B36" s="669" t="s">
        <v>7866</v>
      </c>
      <c r="C36" s="539" t="s">
        <v>7867</v>
      </c>
      <c r="D36" s="540">
        <v>280</v>
      </c>
      <c r="E36" s="687">
        <v>120000</v>
      </c>
      <c r="F36" s="687">
        <f t="shared" si="11"/>
        <v>33600000</v>
      </c>
      <c r="G36" s="687">
        <f t="shared" si="12"/>
        <v>4239</v>
      </c>
      <c r="H36" s="687">
        <f t="shared" si="13"/>
        <v>7926.397735314933</v>
      </c>
      <c r="I36" s="231">
        <v>3183</v>
      </c>
      <c r="J36" s="688"/>
      <c r="K36" s="231">
        <f t="shared" si="14"/>
        <v>5978.1185731992755</v>
      </c>
      <c r="L36" s="231">
        <f t="shared" si="15"/>
        <v>2795.1185731992755</v>
      </c>
      <c r="M36" s="194">
        <f t="shared" si="7"/>
        <v>0.87813967112763913</v>
      </c>
      <c r="N36" s="659"/>
      <c r="O36" s="231">
        <f t="shared" si="19"/>
        <v>795.75</v>
      </c>
      <c r="P36" s="231">
        <f t="shared" si="16"/>
        <v>795.75</v>
      </c>
      <c r="Q36" s="231">
        <f t="shared" si="16"/>
        <v>795.75</v>
      </c>
      <c r="R36" s="231">
        <f t="shared" si="16"/>
        <v>795.75</v>
      </c>
      <c r="T36" s="231">
        <v>1558.898502534548</v>
      </c>
      <c r="U36" s="231">
        <v>1473.0733568882424</v>
      </c>
      <c r="V36" s="231">
        <v>1473.0733568882424</v>
      </c>
      <c r="W36" s="231">
        <v>1473.0733568882424</v>
      </c>
      <c r="Y36" s="155">
        <f t="shared" si="17"/>
        <v>763.14850253454802</v>
      </c>
      <c r="Z36" s="155">
        <f t="shared" si="17"/>
        <v>677.32335688824242</v>
      </c>
      <c r="AA36" s="155">
        <f t="shared" si="17"/>
        <v>677.32335688824242</v>
      </c>
      <c r="AB36" s="155">
        <f t="shared" si="17"/>
        <v>677.32335688824242</v>
      </c>
      <c r="AC36" s="225"/>
      <c r="AD36" s="156">
        <f t="shared" si="18"/>
        <v>0.95903047758033055</v>
      </c>
      <c r="AE36" s="156">
        <f t="shared" si="18"/>
        <v>0.85117606897674192</v>
      </c>
      <c r="AF36" s="156">
        <f t="shared" si="18"/>
        <v>0.85117606897674192</v>
      </c>
      <c r="AG36" s="156">
        <f t="shared" si="18"/>
        <v>0.85117606897674192</v>
      </c>
    </row>
    <row r="37" spans="2:213" s="660" customFormat="1" ht="15" customHeight="1" x14ac:dyDescent="0.3">
      <c r="B37" s="669" t="s">
        <v>7868</v>
      </c>
      <c r="C37" s="539" t="s">
        <v>7867</v>
      </c>
      <c r="D37" s="540">
        <v>80</v>
      </c>
      <c r="E37" s="689">
        <v>90000</v>
      </c>
      <c r="F37" s="687">
        <f t="shared" si="11"/>
        <v>7200000</v>
      </c>
      <c r="G37" s="687">
        <f t="shared" si="12"/>
        <v>4239</v>
      </c>
      <c r="H37" s="687">
        <f t="shared" si="13"/>
        <v>1698.5138004246285</v>
      </c>
      <c r="I37" s="231">
        <v>1325</v>
      </c>
      <c r="J37" s="688"/>
      <c r="K37" s="231">
        <f t="shared" si="14"/>
        <v>2849.1964195867122</v>
      </c>
      <c r="L37" s="231">
        <f t="shared" si="15"/>
        <v>1524.1964195867122</v>
      </c>
      <c r="M37" s="194">
        <f t="shared" si="7"/>
        <v>1.1503369204428016</v>
      </c>
      <c r="N37" s="659"/>
      <c r="O37" s="231">
        <f t="shared" si="19"/>
        <v>331.25</v>
      </c>
      <c r="P37" s="231">
        <f t="shared" si="16"/>
        <v>331.25</v>
      </c>
      <c r="Q37" s="231">
        <f t="shared" si="16"/>
        <v>331.25</v>
      </c>
      <c r="R37" s="231">
        <f t="shared" si="16"/>
        <v>331.25</v>
      </c>
      <c r="T37" s="231">
        <v>172.63720476101852</v>
      </c>
      <c r="U37" s="231">
        <v>172.63720476101852</v>
      </c>
      <c r="V37" s="231">
        <v>172.63720476101852</v>
      </c>
      <c r="W37" s="231">
        <v>2331.2848053036569</v>
      </c>
      <c r="Y37" s="155">
        <f t="shared" si="17"/>
        <v>-158.61279523898148</v>
      </c>
      <c r="Z37" s="155">
        <f t="shared" si="17"/>
        <v>-158.61279523898148</v>
      </c>
      <c r="AA37" s="155">
        <f t="shared" si="17"/>
        <v>-158.61279523898148</v>
      </c>
      <c r="AB37" s="155">
        <f t="shared" si="17"/>
        <v>2000.0348053036569</v>
      </c>
      <c r="AC37" s="421"/>
      <c r="AD37" s="156">
        <f t="shared" si="18"/>
        <v>-0.47883107996673652</v>
      </c>
      <c r="AE37" s="156">
        <f t="shared" si="18"/>
        <v>-0.47883107996673652</v>
      </c>
      <c r="AF37" s="156">
        <f t="shared" si="18"/>
        <v>-0.47883107996673652</v>
      </c>
      <c r="AG37" s="156">
        <f t="shared" si="18"/>
        <v>6.0378409216714166</v>
      </c>
    </row>
    <row r="38" spans="2:213" s="660" customFormat="1" ht="15" customHeight="1" x14ac:dyDescent="0.3">
      <c r="B38" s="669" t="s">
        <v>7869</v>
      </c>
      <c r="C38" s="539" t="s">
        <v>7870</v>
      </c>
      <c r="D38" s="540">
        <v>4</v>
      </c>
      <c r="E38" s="687">
        <v>12000000</v>
      </c>
      <c r="F38" s="687">
        <f t="shared" si="11"/>
        <v>48000000</v>
      </c>
      <c r="G38" s="687">
        <f t="shared" si="12"/>
        <v>4239</v>
      </c>
      <c r="H38" s="687">
        <f t="shared" si="13"/>
        <v>11323.42533616419</v>
      </c>
      <c r="I38" s="231">
        <v>0</v>
      </c>
      <c r="J38" s="688"/>
      <c r="K38" s="231">
        <f t="shared" si="14"/>
        <v>0</v>
      </c>
      <c r="L38" s="231">
        <f t="shared" si="15"/>
        <v>0</v>
      </c>
      <c r="M38" s="194">
        <f t="shared" si="7"/>
        <v>0</v>
      </c>
      <c r="N38" s="659"/>
      <c r="O38" s="231">
        <f t="shared" si="19"/>
        <v>0</v>
      </c>
      <c r="P38" s="231">
        <f t="shared" si="16"/>
        <v>0</v>
      </c>
      <c r="Q38" s="231">
        <f t="shared" si="16"/>
        <v>0</v>
      </c>
      <c r="R38" s="231">
        <f t="shared" si="16"/>
        <v>0</v>
      </c>
      <c r="T38" s="231"/>
      <c r="U38" s="231"/>
      <c r="V38" s="231"/>
      <c r="W38" s="231"/>
      <c r="Y38" s="155">
        <f t="shared" si="17"/>
        <v>0</v>
      </c>
      <c r="Z38" s="155">
        <f t="shared" si="17"/>
        <v>0</v>
      </c>
      <c r="AA38" s="155">
        <f t="shared" si="17"/>
        <v>0</v>
      </c>
      <c r="AB38" s="155">
        <f t="shared" si="17"/>
        <v>0</v>
      </c>
      <c r="AC38" s="418"/>
      <c r="AD38" s="156">
        <f t="shared" si="18"/>
        <v>0</v>
      </c>
      <c r="AE38" s="156">
        <f t="shared" si="18"/>
        <v>0</v>
      </c>
      <c r="AF38" s="156">
        <f t="shared" si="18"/>
        <v>0</v>
      </c>
      <c r="AG38" s="156">
        <f t="shared" si="18"/>
        <v>0</v>
      </c>
    </row>
    <row r="39" spans="2:213" s="660" customFormat="1" ht="15" customHeight="1" x14ac:dyDescent="0.3">
      <c r="B39" s="669" t="s">
        <v>7871</v>
      </c>
      <c r="C39" s="539" t="s">
        <v>7872</v>
      </c>
      <c r="D39" s="540">
        <v>24</v>
      </c>
      <c r="E39" s="689">
        <v>700000</v>
      </c>
      <c r="F39" s="687">
        <f t="shared" si="11"/>
        <v>16800000</v>
      </c>
      <c r="G39" s="687">
        <f t="shared" si="12"/>
        <v>4239</v>
      </c>
      <c r="H39" s="687">
        <f t="shared" si="13"/>
        <v>3963.1988676574665</v>
      </c>
      <c r="I39" s="231">
        <v>2461</v>
      </c>
      <c r="J39" s="688"/>
      <c r="K39" s="231">
        <f t="shared" si="14"/>
        <v>4069.5229992441173</v>
      </c>
      <c r="L39" s="231">
        <f t="shared" si="15"/>
        <v>1608.5229992441173</v>
      </c>
      <c r="M39" s="194">
        <f t="shared" si="7"/>
        <v>0.65360544463393633</v>
      </c>
      <c r="N39" s="659"/>
      <c r="O39" s="231">
        <f t="shared" si="19"/>
        <v>615.25</v>
      </c>
      <c r="P39" s="231">
        <f t="shared" si="16"/>
        <v>615.25</v>
      </c>
      <c r="Q39" s="231">
        <f t="shared" si="16"/>
        <v>615.25</v>
      </c>
      <c r="R39" s="231">
        <f t="shared" si="16"/>
        <v>615.25</v>
      </c>
      <c r="T39" s="231">
        <v>1017.3807498110293</v>
      </c>
      <c r="U39" s="231">
        <v>1017.3807498110293</v>
      </c>
      <c r="V39" s="231">
        <v>1017.3807498110293</v>
      </c>
      <c r="W39" s="231">
        <v>1017.3807498110293</v>
      </c>
      <c r="Y39" s="155">
        <f t="shared" si="17"/>
        <v>402.13074981102932</v>
      </c>
      <c r="Z39" s="155">
        <f t="shared" si="17"/>
        <v>402.13074981102932</v>
      </c>
      <c r="AA39" s="155">
        <f t="shared" si="17"/>
        <v>402.13074981102932</v>
      </c>
      <c r="AB39" s="155">
        <f t="shared" si="17"/>
        <v>402.13074981102932</v>
      </c>
      <c r="AC39" s="225"/>
      <c r="AD39" s="156">
        <f t="shared" si="18"/>
        <v>0.65360544463393633</v>
      </c>
      <c r="AE39" s="156">
        <f t="shared" si="18"/>
        <v>0.65360544463393633</v>
      </c>
      <c r="AF39" s="156">
        <f t="shared" si="18"/>
        <v>0.65360544463393633</v>
      </c>
      <c r="AG39" s="156">
        <f t="shared" si="18"/>
        <v>0.65360544463393633</v>
      </c>
    </row>
    <row r="40" spans="2:213" s="660" customFormat="1" ht="13.95" customHeight="1" x14ac:dyDescent="0.3">
      <c r="B40" s="669" t="s">
        <v>7873</v>
      </c>
      <c r="C40" s="539" t="s">
        <v>7874</v>
      </c>
      <c r="D40" s="540">
        <v>48</v>
      </c>
      <c r="E40" s="689">
        <v>1500000</v>
      </c>
      <c r="F40" s="687">
        <f t="shared" si="11"/>
        <v>72000000</v>
      </c>
      <c r="G40" s="687">
        <f t="shared" si="12"/>
        <v>4239</v>
      </c>
      <c r="H40" s="687">
        <f t="shared" si="13"/>
        <v>16985.138004246284</v>
      </c>
      <c r="I40" s="231">
        <v>4624</v>
      </c>
      <c r="J40" s="688"/>
      <c r="K40" s="231">
        <f t="shared" si="14"/>
        <v>4635.5449447110377</v>
      </c>
      <c r="L40" s="231">
        <f t="shared" si="15"/>
        <v>11.544944711037715</v>
      </c>
      <c r="M40" s="194">
        <f t="shared" si="7"/>
        <v>2.4967440984078105E-3</v>
      </c>
      <c r="N40" s="659"/>
      <c r="O40" s="231">
        <f t="shared" si="19"/>
        <v>1156</v>
      </c>
      <c r="P40" s="231">
        <f t="shared" si="16"/>
        <v>1156</v>
      </c>
      <c r="Q40" s="231">
        <f t="shared" si="16"/>
        <v>1156</v>
      </c>
      <c r="R40" s="231">
        <f t="shared" si="16"/>
        <v>1156</v>
      </c>
      <c r="T40" s="231">
        <v>1158.8862361777594</v>
      </c>
      <c r="U40" s="231">
        <v>1158.8862361777594</v>
      </c>
      <c r="V40" s="231">
        <v>1158.8862361777594</v>
      </c>
      <c r="W40" s="231">
        <v>1158.8862361777594</v>
      </c>
      <c r="Y40" s="155">
        <f t="shared" si="17"/>
        <v>2.8862361777594288</v>
      </c>
      <c r="Z40" s="155">
        <f t="shared" si="17"/>
        <v>2.8862361777594288</v>
      </c>
      <c r="AA40" s="155">
        <f t="shared" si="17"/>
        <v>2.8862361777594288</v>
      </c>
      <c r="AB40" s="155">
        <f t="shared" si="17"/>
        <v>2.8862361777594288</v>
      </c>
      <c r="AC40" s="225"/>
      <c r="AD40" s="156">
        <f t="shared" si="18"/>
        <v>2.4967440984078105E-3</v>
      </c>
      <c r="AE40" s="156">
        <f t="shared" si="18"/>
        <v>2.4967440984078105E-3</v>
      </c>
      <c r="AF40" s="156">
        <f t="shared" si="18"/>
        <v>2.4967440984078105E-3</v>
      </c>
      <c r="AG40" s="156">
        <f t="shared" si="18"/>
        <v>2.4967440984078105E-3</v>
      </c>
    </row>
    <row r="41" spans="2:213" s="660" customFormat="1" x14ac:dyDescent="0.3">
      <c r="B41" s="669" t="s">
        <v>7875</v>
      </c>
      <c r="C41" s="539" t="s">
        <v>7876</v>
      </c>
      <c r="D41" s="540">
        <v>24</v>
      </c>
      <c r="E41" s="689">
        <v>2250000</v>
      </c>
      <c r="F41" s="687">
        <f t="shared" si="11"/>
        <v>54000000</v>
      </c>
      <c r="G41" s="687">
        <f t="shared" si="12"/>
        <v>4239</v>
      </c>
      <c r="H41" s="687">
        <f t="shared" si="13"/>
        <v>12738.853503184713</v>
      </c>
      <c r="I41" s="231">
        <v>4968</v>
      </c>
      <c r="J41" s="688"/>
      <c r="K41" s="231">
        <f t="shared" si="14"/>
        <v>4375.6898196122029</v>
      </c>
      <c r="L41" s="231">
        <f t="shared" si="15"/>
        <v>-592.31018038779712</v>
      </c>
      <c r="M41" s="194">
        <f t="shared" si="7"/>
        <v>-0.11922507656759201</v>
      </c>
      <c r="N41" s="659"/>
      <c r="O41" s="231">
        <f t="shared" si="19"/>
        <v>1242</v>
      </c>
      <c r="P41" s="231">
        <f t="shared" si="16"/>
        <v>1242</v>
      </c>
      <c r="Q41" s="231">
        <f t="shared" si="16"/>
        <v>1242</v>
      </c>
      <c r="R41" s="231">
        <f t="shared" si="16"/>
        <v>1242</v>
      </c>
      <c r="T41" s="231">
        <v>1093.9224549030507</v>
      </c>
      <c r="U41" s="231">
        <v>1093.9224549030507</v>
      </c>
      <c r="V41" s="231">
        <v>1093.9224549030507</v>
      </c>
      <c r="W41" s="231">
        <v>1093.9224549030507</v>
      </c>
      <c r="Y41" s="155">
        <f t="shared" si="17"/>
        <v>-148.07754509694928</v>
      </c>
      <c r="Z41" s="155">
        <f t="shared" si="17"/>
        <v>-148.07754509694928</v>
      </c>
      <c r="AA41" s="155">
        <f t="shared" si="17"/>
        <v>-148.07754509694928</v>
      </c>
      <c r="AB41" s="155">
        <f t="shared" si="17"/>
        <v>-148.07754509694928</v>
      </c>
      <c r="AC41" s="225"/>
      <c r="AD41" s="156">
        <f t="shared" si="18"/>
        <v>-0.11922507656759201</v>
      </c>
      <c r="AE41" s="156">
        <f t="shared" si="18"/>
        <v>-0.11922507656759201</v>
      </c>
      <c r="AF41" s="156">
        <f t="shared" si="18"/>
        <v>-0.11922507656759201</v>
      </c>
      <c r="AG41" s="156">
        <f t="shared" si="18"/>
        <v>-0.11922507656759201</v>
      </c>
    </row>
    <row r="42" spans="2:213" s="660" customFormat="1" x14ac:dyDescent="0.3">
      <c r="B42" s="669" t="s">
        <v>99</v>
      </c>
      <c r="C42" s="539" t="s">
        <v>3925</v>
      </c>
      <c r="D42" s="540">
        <v>1</v>
      </c>
      <c r="E42" s="687">
        <v>45000000</v>
      </c>
      <c r="F42" s="687">
        <f t="shared" si="11"/>
        <v>45000000</v>
      </c>
      <c r="G42" s="687">
        <f t="shared" si="12"/>
        <v>4239</v>
      </c>
      <c r="H42" s="687">
        <f t="shared" si="13"/>
        <v>10615.711252653928</v>
      </c>
      <c r="I42" s="231">
        <v>0</v>
      </c>
      <c r="J42" s="688"/>
      <c r="K42" s="231">
        <f t="shared" si="14"/>
        <v>721.16962661131811</v>
      </c>
      <c r="L42" s="231">
        <f t="shared" si="15"/>
        <v>721.16962661131811</v>
      </c>
      <c r="M42" s="194">
        <f t="shared" si="7"/>
        <v>0</v>
      </c>
      <c r="N42" s="659"/>
      <c r="O42" s="231">
        <f t="shared" si="19"/>
        <v>0</v>
      </c>
      <c r="P42" s="231">
        <f t="shared" si="16"/>
        <v>0</v>
      </c>
      <c r="Q42" s="231">
        <f t="shared" si="16"/>
        <v>0</v>
      </c>
      <c r="R42" s="231">
        <f t="shared" si="16"/>
        <v>0</v>
      </c>
      <c r="T42" s="231">
        <v>180.29240665282953</v>
      </c>
      <c r="U42" s="231">
        <v>180.29240665282953</v>
      </c>
      <c r="V42" s="231">
        <v>180.29240665282953</v>
      </c>
      <c r="W42" s="231">
        <v>180.29240665282953</v>
      </c>
      <c r="Y42" s="155">
        <f t="shared" si="17"/>
        <v>180.29240665282953</v>
      </c>
      <c r="Z42" s="155">
        <f t="shared" si="17"/>
        <v>180.29240665282953</v>
      </c>
      <c r="AA42" s="155">
        <f t="shared" si="17"/>
        <v>180.29240665282953</v>
      </c>
      <c r="AB42" s="155">
        <f t="shared" si="17"/>
        <v>180.29240665282953</v>
      </c>
      <c r="AC42" s="418"/>
      <c r="AD42" s="156">
        <f t="shared" si="18"/>
        <v>0</v>
      </c>
      <c r="AE42" s="156">
        <f t="shared" si="18"/>
        <v>0</v>
      </c>
      <c r="AF42" s="156">
        <f t="shared" si="18"/>
        <v>0</v>
      </c>
      <c r="AG42" s="156">
        <f t="shared" si="18"/>
        <v>0</v>
      </c>
    </row>
    <row r="43" spans="2:213" s="660" customFormat="1" x14ac:dyDescent="0.3">
      <c r="B43" s="669" t="s">
        <v>96</v>
      </c>
      <c r="C43" s="539" t="s">
        <v>215</v>
      </c>
      <c r="D43" s="540">
        <v>24</v>
      </c>
      <c r="E43" s="687">
        <v>150000</v>
      </c>
      <c r="F43" s="687">
        <f t="shared" si="11"/>
        <v>3600000</v>
      </c>
      <c r="G43" s="687">
        <f t="shared" si="12"/>
        <v>4239</v>
      </c>
      <c r="H43" s="687">
        <f t="shared" si="13"/>
        <v>849.25690021231424</v>
      </c>
      <c r="I43" s="231">
        <v>849</v>
      </c>
      <c r="J43" s="690"/>
      <c r="K43" s="231">
        <f t="shared" si="14"/>
        <v>1658.5324226146095</v>
      </c>
      <c r="L43" s="231">
        <f t="shared" si="15"/>
        <v>809.53242261460946</v>
      </c>
      <c r="M43" s="194">
        <f t="shared" si="7"/>
        <v>0.95351286527044699</v>
      </c>
      <c r="N43" s="659"/>
      <c r="O43" s="231">
        <f t="shared" si="19"/>
        <v>212.25</v>
      </c>
      <c r="P43" s="231">
        <f t="shared" si="16"/>
        <v>212.25</v>
      </c>
      <c r="Q43" s="231">
        <f t="shared" si="16"/>
        <v>212.25</v>
      </c>
      <c r="R43" s="231">
        <f t="shared" si="16"/>
        <v>212.25</v>
      </c>
      <c r="T43" s="231">
        <v>414.63310565365236</v>
      </c>
      <c r="U43" s="231">
        <v>414.63310565365236</v>
      </c>
      <c r="V43" s="231">
        <v>414.63310565365236</v>
      </c>
      <c r="W43" s="231">
        <v>414.63310565365236</v>
      </c>
      <c r="Y43" s="155">
        <f t="shared" si="17"/>
        <v>202.38310565365236</v>
      </c>
      <c r="Z43" s="155">
        <f t="shared" si="17"/>
        <v>202.38310565365236</v>
      </c>
      <c r="AA43" s="155">
        <f t="shared" si="17"/>
        <v>202.38310565365236</v>
      </c>
      <c r="AB43" s="155">
        <f t="shared" si="17"/>
        <v>202.38310565365236</v>
      </c>
      <c r="AC43" s="418"/>
      <c r="AD43" s="156">
        <f t="shared" si="18"/>
        <v>0.95351286527044699</v>
      </c>
      <c r="AE43" s="156">
        <f t="shared" si="18"/>
        <v>0.95351286527044699</v>
      </c>
      <c r="AF43" s="156">
        <f t="shared" si="18"/>
        <v>0.95351286527044699</v>
      </c>
      <c r="AG43" s="156">
        <f t="shared" si="18"/>
        <v>0.95351286527044699</v>
      </c>
    </row>
    <row r="44" spans="2:213" s="660" customFormat="1" x14ac:dyDescent="0.3">
      <c r="B44" s="669" t="s">
        <v>7877</v>
      </c>
      <c r="C44" s="539" t="s">
        <v>3925</v>
      </c>
      <c r="D44" s="540">
        <v>3</v>
      </c>
      <c r="E44" s="687">
        <v>20000000</v>
      </c>
      <c r="F44" s="687">
        <f t="shared" si="11"/>
        <v>60000000</v>
      </c>
      <c r="G44" s="687">
        <f t="shared" si="12"/>
        <v>4239</v>
      </c>
      <c r="H44" s="687">
        <f t="shared" si="13"/>
        <v>14154.281670205237</v>
      </c>
      <c r="I44" s="231">
        <v>9154</v>
      </c>
      <c r="J44" s="690"/>
      <c r="K44" s="231">
        <f t="shared" si="14"/>
        <v>7513.4097975691202</v>
      </c>
      <c r="L44" s="231">
        <f t="shared" si="15"/>
        <v>-1640.5902024308798</v>
      </c>
      <c r="M44" s="194">
        <f t="shared" si="7"/>
        <v>-0.17922112764156431</v>
      </c>
      <c r="N44" s="659"/>
      <c r="O44" s="231">
        <f t="shared" si="19"/>
        <v>2288.5</v>
      </c>
      <c r="P44" s="231">
        <f t="shared" si="16"/>
        <v>2288.5</v>
      </c>
      <c r="Q44" s="231">
        <f t="shared" si="16"/>
        <v>2288.5</v>
      </c>
      <c r="R44" s="231">
        <f t="shared" si="16"/>
        <v>2288.5</v>
      </c>
      <c r="T44" s="231">
        <f>1878.35244939228</f>
        <v>1878.3524493922801</v>
      </c>
      <c r="U44" s="231">
        <f t="shared" ref="U44:W44" si="20">1878.35244939228</f>
        <v>1878.3524493922801</v>
      </c>
      <c r="V44" s="231">
        <f t="shared" si="20"/>
        <v>1878.3524493922801</v>
      </c>
      <c r="W44" s="231">
        <f t="shared" si="20"/>
        <v>1878.3524493922801</v>
      </c>
      <c r="Y44" s="155">
        <f t="shared" si="17"/>
        <v>-410.14755060771995</v>
      </c>
      <c r="Z44" s="155">
        <f t="shared" si="17"/>
        <v>-410.14755060771995</v>
      </c>
      <c r="AA44" s="155">
        <f t="shared" si="17"/>
        <v>-410.14755060771995</v>
      </c>
      <c r="AB44" s="155">
        <f t="shared" si="17"/>
        <v>-410.14755060771995</v>
      </c>
      <c r="AC44" s="225"/>
      <c r="AD44" s="156">
        <f t="shared" si="18"/>
        <v>-0.17922112764156431</v>
      </c>
      <c r="AE44" s="156">
        <f t="shared" si="18"/>
        <v>-0.17922112764156431</v>
      </c>
      <c r="AF44" s="156">
        <f t="shared" si="18"/>
        <v>-0.17922112764156431</v>
      </c>
      <c r="AG44" s="156">
        <f t="shared" si="18"/>
        <v>-0.17922112764156431</v>
      </c>
    </row>
    <row r="45" spans="2:213" s="660" customFormat="1" ht="15" customHeight="1" x14ac:dyDescent="0.3">
      <c r="B45" s="669" t="s">
        <v>7878</v>
      </c>
      <c r="C45" s="539" t="s">
        <v>7879</v>
      </c>
      <c r="D45" s="540">
        <v>8</v>
      </c>
      <c r="E45" s="687">
        <f>(3*120000)*6+(90000*6)+(2070*350)*2</f>
        <v>4149000</v>
      </c>
      <c r="F45" s="687">
        <f t="shared" si="11"/>
        <v>33192000</v>
      </c>
      <c r="G45" s="687">
        <f t="shared" si="12"/>
        <v>4239</v>
      </c>
      <c r="H45" s="687">
        <f t="shared" si="13"/>
        <v>7830.1486199575374</v>
      </c>
      <c r="I45" s="231">
        <v>5418</v>
      </c>
      <c r="J45" s="688"/>
      <c r="K45" s="231">
        <f t="shared" si="14"/>
        <v>6491.2410026463549</v>
      </c>
      <c r="L45" s="231">
        <f t="shared" si="15"/>
        <v>1073.2410026463549</v>
      </c>
      <c r="M45" s="194">
        <f t="shared" si="7"/>
        <v>0.19808804035554722</v>
      </c>
      <c r="N45" s="659"/>
      <c r="O45" s="231">
        <f t="shared" si="19"/>
        <v>1354.5</v>
      </c>
      <c r="P45" s="231">
        <f t="shared" si="16"/>
        <v>1354.5</v>
      </c>
      <c r="Q45" s="231">
        <f t="shared" si="16"/>
        <v>1354.5</v>
      </c>
      <c r="R45" s="231">
        <f t="shared" si="16"/>
        <v>1354.5</v>
      </c>
      <c r="T45" s="231">
        <v>1622.8102506615887</v>
      </c>
      <c r="U45" s="231">
        <v>1622.8102506615887</v>
      </c>
      <c r="V45" s="231">
        <v>1622.8102506615887</v>
      </c>
      <c r="W45" s="231">
        <v>1622.8102506615887</v>
      </c>
      <c r="Y45" s="155">
        <f t="shared" si="17"/>
        <v>268.31025066158873</v>
      </c>
      <c r="Z45" s="155">
        <f t="shared" si="17"/>
        <v>268.31025066158873</v>
      </c>
      <c r="AA45" s="155">
        <f t="shared" si="17"/>
        <v>268.31025066158873</v>
      </c>
      <c r="AB45" s="155">
        <f t="shared" si="17"/>
        <v>268.31025066158873</v>
      </c>
      <c r="AC45" s="159"/>
      <c r="AD45" s="156">
        <f t="shared" si="18"/>
        <v>0.19808804035554722</v>
      </c>
      <c r="AE45" s="156">
        <f t="shared" si="18"/>
        <v>0.19808804035554722</v>
      </c>
      <c r="AF45" s="156">
        <f t="shared" si="18"/>
        <v>0.19808804035554722</v>
      </c>
      <c r="AG45" s="156">
        <f t="shared" si="18"/>
        <v>0.19808804035554722</v>
      </c>
    </row>
    <row r="46" spans="2:213" s="660" customFormat="1" ht="15" customHeight="1" x14ac:dyDescent="0.3">
      <c r="B46" s="669" t="s">
        <v>7880</v>
      </c>
      <c r="C46" s="691" t="s">
        <v>7881</v>
      </c>
      <c r="D46" s="540">
        <v>2</v>
      </c>
      <c r="E46" s="687">
        <f>(15*120000*2)</f>
        <v>3600000</v>
      </c>
      <c r="F46" s="687">
        <f t="shared" si="11"/>
        <v>7200000</v>
      </c>
      <c r="G46" s="687">
        <f t="shared" si="12"/>
        <v>4239</v>
      </c>
      <c r="H46" s="687">
        <f t="shared" si="13"/>
        <v>1698.5138004246285</v>
      </c>
      <c r="I46" s="231">
        <v>4712</v>
      </c>
      <c r="J46" s="690"/>
      <c r="K46" s="231">
        <f t="shared" si="14"/>
        <v>4510.6600058735658</v>
      </c>
      <c r="L46" s="231">
        <f t="shared" si="15"/>
        <v>-201.33999412643425</v>
      </c>
      <c r="M46" s="194">
        <f t="shared" si="7"/>
        <v>-4.2729200790839188E-2</v>
      </c>
      <c r="N46" s="659"/>
      <c r="O46" s="231">
        <f t="shared" si="19"/>
        <v>1178</v>
      </c>
      <c r="P46" s="231">
        <f t="shared" si="16"/>
        <v>1178</v>
      </c>
      <c r="Q46" s="231">
        <f t="shared" si="16"/>
        <v>1178</v>
      </c>
      <c r="R46" s="231">
        <f t="shared" si="16"/>
        <v>1178</v>
      </c>
      <c r="T46" s="231">
        <v>890.59294328619842</v>
      </c>
      <c r="U46" s="231">
        <v>890.59294328619842</v>
      </c>
      <c r="V46" s="231">
        <v>890.59294328619842</v>
      </c>
      <c r="W46" s="231">
        <v>1838.8811760149702</v>
      </c>
      <c r="Y46" s="155">
        <f t="shared" si="17"/>
        <v>-287.40705671380158</v>
      </c>
      <c r="Z46" s="155">
        <f t="shared" si="17"/>
        <v>-287.40705671380158</v>
      </c>
      <c r="AA46" s="155">
        <f t="shared" si="17"/>
        <v>-287.40705671380158</v>
      </c>
      <c r="AB46" s="155">
        <f t="shared" si="17"/>
        <v>660.88117601497015</v>
      </c>
      <c r="AC46" s="159"/>
      <c r="AD46" s="156">
        <f t="shared" si="18"/>
        <v>-0.24397882573327809</v>
      </c>
      <c r="AE46" s="156">
        <f t="shared" si="18"/>
        <v>-0.24397882573327809</v>
      </c>
      <c r="AF46" s="156">
        <f t="shared" si="18"/>
        <v>-0.24397882573327809</v>
      </c>
      <c r="AG46" s="156">
        <f t="shared" si="18"/>
        <v>0.56101967403647723</v>
      </c>
    </row>
    <row r="47" spans="2:213" s="660" customFormat="1" ht="27.75" customHeight="1" x14ac:dyDescent="0.3">
      <c r="B47" s="692" t="s">
        <v>106</v>
      </c>
      <c r="C47" s="693" t="s">
        <v>7881</v>
      </c>
      <c r="D47" s="540">
        <v>1</v>
      </c>
      <c r="E47" s="541">
        <v>50868000</v>
      </c>
      <c r="F47" s="541">
        <f>D47*E47</f>
        <v>50868000</v>
      </c>
      <c r="G47" s="541">
        <f>$G$6</f>
        <v>4239</v>
      </c>
      <c r="H47" s="541">
        <f>IF($G$6=0,0,F47/G47)</f>
        <v>12000</v>
      </c>
      <c r="I47" s="231">
        <v>0</v>
      </c>
      <c r="J47" s="694"/>
      <c r="K47" s="231">
        <f t="shared" si="14"/>
        <v>0</v>
      </c>
      <c r="L47" s="231">
        <f t="shared" si="15"/>
        <v>0</v>
      </c>
      <c r="M47" s="232">
        <f t="shared" si="7"/>
        <v>0</v>
      </c>
      <c r="N47" s="659"/>
      <c r="O47" s="231">
        <f t="shared" si="19"/>
        <v>0</v>
      </c>
      <c r="P47" s="231">
        <f t="shared" si="16"/>
        <v>0</v>
      </c>
      <c r="Q47" s="231">
        <f t="shared" si="16"/>
        <v>0</v>
      </c>
      <c r="R47" s="231">
        <f t="shared" si="16"/>
        <v>0</v>
      </c>
      <c r="T47" s="231"/>
      <c r="U47" s="231"/>
      <c r="V47" s="231"/>
      <c r="W47" s="231"/>
      <c r="Y47" s="155">
        <f t="shared" si="17"/>
        <v>0</v>
      </c>
      <c r="Z47" s="155">
        <f t="shared" si="17"/>
        <v>0</v>
      </c>
      <c r="AA47" s="155">
        <f t="shared" si="17"/>
        <v>0</v>
      </c>
      <c r="AB47" s="155">
        <f t="shared" si="17"/>
        <v>0</v>
      </c>
      <c r="AC47" s="159"/>
      <c r="AD47" s="156">
        <f t="shared" si="18"/>
        <v>0</v>
      </c>
      <c r="AE47" s="156">
        <f t="shared" si="18"/>
        <v>0</v>
      </c>
      <c r="AF47" s="156">
        <f t="shared" si="18"/>
        <v>0</v>
      </c>
      <c r="AG47" s="156">
        <f t="shared" si="18"/>
        <v>0</v>
      </c>
    </row>
    <row r="48" spans="2:213" s="660" customFormat="1" ht="27.75" customHeight="1" x14ac:dyDescent="0.3">
      <c r="B48" s="692" t="s">
        <v>7882</v>
      </c>
      <c r="C48" s="693" t="s">
        <v>59</v>
      </c>
      <c r="D48" s="540">
        <v>1</v>
      </c>
      <c r="E48" s="541"/>
      <c r="F48" s="541"/>
      <c r="G48" s="541"/>
      <c r="H48" s="541"/>
      <c r="I48" s="231">
        <v>10809</v>
      </c>
      <c r="J48" s="694"/>
      <c r="K48" s="231">
        <f t="shared" si="14"/>
        <v>2753.5567561523053</v>
      </c>
      <c r="L48" s="231">
        <f t="shared" si="15"/>
        <v>-8055.4432438476942</v>
      </c>
      <c r="M48" s="232">
        <f t="shared" si="7"/>
        <v>-0.74525332998868488</v>
      </c>
      <c r="N48" s="659"/>
      <c r="O48" s="231"/>
      <c r="P48" s="231">
        <f>I48</f>
        <v>10809</v>
      </c>
      <c r="Q48" s="231"/>
      <c r="R48" s="231"/>
      <c r="T48" s="231">
        <v>0</v>
      </c>
      <c r="U48" s="231">
        <v>2753.5567561523053</v>
      </c>
      <c r="V48" s="231">
        <v>0</v>
      </c>
      <c r="W48" s="231">
        <v>0</v>
      </c>
      <c r="Y48" s="155">
        <f t="shared" si="17"/>
        <v>0</v>
      </c>
      <c r="Z48" s="155">
        <f t="shared" si="17"/>
        <v>-8055.4432438476942</v>
      </c>
      <c r="AA48" s="155">
        <f t="shared" si="17"/>
        <v>0</v>
      </c>
      <c r="AB48" s="155">
        <f t="shared" si="17"/>
        <v>0</v>
      </c>
      <c r="AC48" s="159"/>
      <c r="AD48" s="156">
        <f t="shared" si="18"/>
        <v>0</v>
      </c>
      <c r="AE48" s="156">
        <f t="shared" si="18"/>
        <v>-0.74525332998868488</v>
      </c>
      <c r="AF48" s="156">
        <f t="shared" si="18"/>
        <v>0</v>
      </c>
      <c r="AG48" s="156">
        <f t="shared" si="18"/>
        <v>0</v>
      </c>
    </row>
    <row r="49" spans="2:33" s="660" customFormat="1" ht="27.75" customHeight="1" x14ac:dyDescent="0.3">
      <c r="B49" s="538" t="s">
        <v>7883</v>
      </c>
      <c r="C49" s="539" t="s">
        <v>209</v>
      </c>
      <c r="D49" s="540">
        <v>12</v>
      </c>
      <c r="E49" s="540">
        <v>2800</v>
      </c>
      <c r="F49" s="541"/>
      <c r="G49" s="541"/>
      <c r="H49" s="541">
        <f>D49*E49</f>
        <v>33600</v>
      </c>
      <c r="I49" s="231">
        <v>18871</v>
      </c>
      <c r="J49" s="694"/>
      <c r="K49" s="231">
        <f t="shared" si="14"/>
        <v>19045.143333333337</v>
      </c>
      <c r="L49" s="231">
        <f t="shared" si="15"/>
        <v>174.14333333333707</v>
      </c>
      <c r="M49" s="232">
        <f t="shared" si="7"/>
        <v>9.2280924875913876E-3</v>
      </c>
      <c r="N49" s="659"/>
      <c r="O49" s="231">
        <f>$I49/4</f>
        <v>4717.75</v>
      </c>
      <c r="P49" s="231">
        <f t="shared" ref="P49:R64" si="21">$I49/4</f>
        <v>4717.75</v>
      </c>
      <c r="Q49" s="231">
        <f t="shared" si="21"/>
        <v>4717.75</v>
      </c>
      <c r="R49" s="231">
        <f t="shared" si="21"/>
        <v>4717.75</v>
      </c>
      <c r="T49" s="231">
        <f>'Invoice list UGA'!K849/3+'Invoice list TAN'!J2626/3</f>
        <v>4761.2858333333343</v>
      </c>
      <c r="U49" s="231">
        <f>'Invoice list UGA'!L849/3+'Invoice list TAN'!K2626/3</f>
        <v>4761.2858333333343</v>
      </c>
      <c r="V49" s="231">
        <f>'Invoice list UGA'!M849/3+'Invoice list TAN'!L2626/3</f>
        <v>4761.2858333333343</v>
      </c>
      <c r="W49" s="231">
        <f>'Invoice list UGA'!N849/3+'Invoice list TAN'!M2626/3</f>
        <v>4761.2858333333343</v>
      </c>
      <c r="Y49" s="155">
        <f t="shared" si="17"/>
        <v>43.535833333334267</v>
      </c>
      <c r="Z49" s="155">
        <f t="shared" si="17"/>
        <v>43.535833333334267</v>
      </c>
      <c r="AA49" s="155">
        <f t="shared" si="17"/>
        <v>43.535833333334267</v>
      </c>
      <c r="AB49" s="155">
        <f t="shared" si="17"/>
        <v>43.535833333334267</v>
      </c>
      <c r="AC49" s="159"/>
      <c r="AD49" s="156">
        <f t="shared" si="18"/>
        <v>9.2280924875913876E-3</v>
      </c>
      <c r="AE49" s="156">
        <f t="shared" si="18"/>
        <v>9.2280924875913876E-3</v>
      </c>
      <c r="AF49" s="156">
        <f t="shared" si="18"/>
        <v>9.2280924875913876E-3</v>
      </c>
      <c r="AG49" s="156">
        <f t="shared" si="18"/>
        <v>9.2280924875913876E-3</v>
      </c>
    </row>
    <row r="50" spans="2:33" s="660" customFormat="1" x14ac:dyDescent="0.3">
      <c r="B50" s="538" t="s">
        <v>105</v>
      </c>
      <c r="C50" s="539" t="s">
        <v>215</v>
      </c>
      <c r="D50" s="540">
        <v>20</v>
      </c>
      <c r="E50" s="540">
        <v>3166.6666666666665</v>
      </c>
      <c r="F50" s="540"/>
      <c r="G50" s="540"/>
      <c r="H50" s="540">
        <f>D50*E50</f>
        <v>63333.333333333328</v>
      </c>
      <c r="I50" s="231">
        <v>63333</v>
      </c>
      <c r="J50" s="694"/>
      <c r="K50" s="231">
        <f t="shared" si="14"/>
        <v>79026.899659415445</v>
      </c>
      <c r="L50" s="231">
        <f t="shared" si="15"/>
        <v>15693.899659415445</v>
      </c>
      <c r="M50" s="194">
        <f t="shared" si="7"/>
        <v>0.24779971988403274</v>
      </c>
      <c r="N50" s="659"/>
      <c r="O50" s="231">
        <f t="shared" ref="O50:O64" si="22">$I50/4</f>
        <v>15833.25</v>
      </c>
      <c r="P50" s="231">
        <f t="shared" si="21"/>
        <v>15833.25</v>
      </c>
      <c r="Q50" s="231">
        <f t="shared" si="21"/>
        <v>15833.25</v>
      </c>
      <c r="R50" s="231">
        <f t="shared" si="21"/>
        <v>15833.25</v>
      </c>
      <c r="T50" s="231">
        <v>19756.724914853861</v>
      </c>
      <c r="U50" s="231">
        <v>19756.724914853861</v>
      </c>
      <c r="V50" s="231">
        <v>19756.724914853861</v>
      </c>
      <c r="W50" s="231">
        <v>19756.724914853861</v>
      </c>
      <c r="Y50" s="155">
        <f t="shared" si="17"/>
        <v>3923.4749148538613</v>
      </c>
      <c r="Z50" s="155">
        <f t="shared" si="17"/>
        <v>3923.4749148538613</v>
      </c>
      <c r="AA50" s="155">
        <f t="shared" si="17"/>
        <v>3923.4749148538613</v>
      </c>
      <c r="AB50" s="155">
        <f t="shared" si="17"/>
        <v>3923.4749148538613</v>
      </c>
      <c r="AC50" s="159"/>
      <c r="AD50" s="156">
        <f t="shared" si="18"/>
        <v>0.24779971988403274</v>
      </c>
      <c r="AE50" s="156">
        <f t="shared" si="18"/>
        <v>0.24779971988403274</v>
      </c>
      <c r="AF50" s="156">
        <f t="shared" si="18"/>
        <v>0.24779971988403274</v>
      </c>
      <c r="AG50" s="156">
        <f t="shared" si="18"/>
        <v>0.24779971988403274</v>
      </c>
    </row>
    <row r="51" spans="2:33" s="660" customFormat="1" ht="15" customHeight="1" x14ac:dyDescent="0.3">
      <c r="B51" s="538" t="s">
        <v>107</v>
      </c>
      <c r="C51" s="539" t="s">
        <v>3869</v>
      </c>
      <c r="D51" s="540">
        <v>1</v>
      </c>
      <c r="E51" s="544">
        <v>4800</v>
      </c>
      <c r="F51" s="541"/>
      <c r="G51" s="541"/>
      <c r="H51" s="541">
        <v>4800</v>
      </c>
      <c r="I51" s="231">
        <v>4800</v>
      </c>
      <c r="J51" s="694"/>
      <c r="K51" s="231">
        <f t="shared" si="14"/>
        <v>2706.6110881652098</v>
      </c>
      <c r="L51" s="231">
        <f t="shared" si="15"/>
        <v>-2093.3889118347902</v>
      </c>
      <c r="M51" s="194">
        <f t="shared" si="7"/>
        <v>-0.43612268996558129</v>
      </c>
      <c r="N51" s="659"/>
      <c r="O51" s="231">
        <f t="shared" si="22"/>
        <v>1200</v>
      </c>
      <c r="P51" s="231">
        <f t="shared" si="21"/>
        <v>1200</v>
      </c>
      <c r="Q51" s="231">
        <f t="shared" si="21"/>
        <v>1200</v>
      </c>
      <c r="R51" s="231">
        <f t="shared" si="21"/>
        <v>1200</v>
      </c>
      <c r="T51" s="231">
        <v>676.65277204130246</v>
      </c>
      <c r="U51" s="231">
        <v>676.65277204130246</v>
      </c>
      <c r="V51" s="231">
        <v>676.65277204130246</v>
      </c>
      <c r="W51" s="231">
        <v>676.65277204130246</v>
      </c>
      <c r="Y51" s="155">
        <f t="shared" si="17"/>
        <v>-523.34722795869754</v>
      </c>
      <c r="Z51" s="155">
        <f t="shared" si="17"/>
        <v>-523.34722795869754</v>
      </c>
      <c r="AA51" s="155">
        <f t="shared" si="17"/>
        <v>-523.34722795869754</v>
      </c>
      <c r="AB51" s="155">
        <f t="shared" si="17"/>
        <v>-523.34722795869754</v>
      </c>
      <c r="AC51" s="159"/>
      <c r="AD51" s="156">
        <f t="shared" si="18"/>
        <v>-0.43612268996558129</v>
      </c>
      <c r="AE51" s="156">
        <f t="shared" si="18"/>
        <v>-0.43612268996558129</v>
      </c>
      <c r="AF51" s="156">
        <f t="shared" si="18"/>
        <v>-0.43612268996558129</v>
      </c>
      <c r="AG51" s="156">
        <f t="shared" si="18"/>
        <v>-0.43612268996558129</v>
      </c>
    </row>
    <row r="52" spans="2:33" s="660" customFormat="1" ht="15" customHeight="1" x14ac:dyDescent="0.3">
      <c r="B52" s="538" t="s">
        <v>108</v>
      </c>
      <c r="C52" s="539" t="s">
        <v>59</v>
      </c>
      <c r="D52" s="540">
        <v>1</v>
      </c>
      <c r="E52" s="544">
        <v>30000</v>
      </c>
      <c r="F52" s="541"/>
      <c r="G52" s="541"/>
      <c r="H52" s="541">
        <f>D52*E52</f>
        <v>30000</v>
      </c>
      <c r="I52" s="231">
        <v>30000</v>
      </c>
      <c r="J52" s="694"/>
      <c r="K52" s="231">
        <f t="shared" si="14"/>
        <v>19888.398746335319</v>
      </c>
      <c r="L52" s="231">
        <f t="shared" si="15"/>
        <v>-10111.601253664681</v>
      </c>
      <c r="M52" s="194">
        <f t="shared" si="7"/>
        <v>-0.33705337512215605</v>
      </c>
      <c r="N52" s="659"/>
      <c r="O52" s="231">
        <f t="shared" si="22"/>
        <v>7500</v>
      </c>
      <c r="P52" s="231">
        <f t="shared" si="21"/>
        <v>7500</v>
      </c>
      <c r="Q52" s="231">
        <f t="shared" si="21"/>
        <v>7500</v>
      </c>
      <c r="R52" s="231">
        <f t="shared" si="21"/>
        <v>7500</v>
      </c>
      <c r="T52" s="231">
        <f>3130.17843658383+'Invoice list TAN'!J2958/4</f>
        <v>4972.0996865838297</v>
      </c>
      <c r="U52" s="231">
        <f>3130.17843658383+'Invoice list TAN'!K2958/4</f>
        <v>4972.0996865838297</v>
      </c>
      <c r="V52" s="231">
        <f>3130.17843658383+'Invoice list TAN'!L2958/4</f>
        <v>4972.0996865838297</v>
      </c>
      <c r="W52" s="231">
        <f>3130.17843658383+'Invoice list TAN'!M2958/4</f>
        <v>4972.0996865838297</v>
      </c>
      <c r="Y52" s="155">
        <f t="shared" si="17"/>
        <v>-2527.9003134161703</v>
      </c>
      <c r="Z52" s="155">
        <f t="shared" si="17"/>
        <v>-2527.9003134161703</v>
      </c>
      <c r="AA52" s="155">
        <f t="shared" si="17"/>
        <v>-2527.9003134161703</v>
      </c>
      <c r="AB52" s="155">
        <f t="shared" si="17"/>
        <v>-2527.9003134161703</v>
      </c>
      <c r="AC52" s="159"/>
      <c r="AD52" s="156">
        <f t="shared" si="18"/>
        <v>-0.33705337512215605</v>
      </c>
      <c r="AE52" s="156">
        <f t="shared" si="18"/>
        <v>-0.33705337512215605</v>
      </c>
      <c r="AF52" s="156">
        <f t="shared" si="18"/>
        <v>-0.33705337512215605</v>
      </c>
      <c r="AG52" s="156">
        <f t="shared" si="18"/>
        <v>-0.33705337512215605</v>
      </c>
    </row>
    <row r="53" spans="2:33" s="660" customFormat="1" ht="15" customHeight="1" x14ac:dyDescent="0.3">
      <c r="B53" s="538" t="s">
        <v>109</v>
      </c>
      <c r="C53" s="539" t="s">
        <v>59</v>
      </c>
      <c r="D53" s="540">
        <v>1</v>
      </c>
      <c r="E53" s="544">
        <f>2500+833.33</f>
        <v>3333.33</v>
      </c>
      <c r="F53" s="541"/>
      <c r="G53" s="541"/>
      <c r="H53" s="541">
        <f>D53*E53</f>
        <v>3333.33</v>
      </c>
      <c r="I53" s="231">
        <v>0</v>
      </c>
      <c r="J53" s="694"/>
      <c r="K53" s="231">
        <f t="shared" si="14"/>
        <v>0</v>
      </c>
      <c r="L53" s="231">
        <f t="shared" si="15"/>
        <v>0</v>
      </c>
      <c r="M53" s="194">
        <f t="shared" si="7"/>
        <v>0</v>
      </c>
      <c r="N53" s="659"/>
      <c r="O53" s="231">
        <f t="shared" si="22"/>
        <v>0</v>
      </c>
      <c r="P53" s="231">
        <f t="shared" si="21"/>
        <v>0</v>
      </c>
      <c r="Q53" s="231">
        <f t="shared" si="21"/>
        <v>0</v>
      </c>
      <c r="R53" s="231">
        <f t="shared" si="21"/>
        <v>0</v>
      </c>
      <c r="T53" s="231"/>
      <c r="U53" s="231"/>
      <c r="V53" s="231"/>
      <c r="W53" s="231"/>
      <c r="Y53" s="155">
        <f t="shared" si="17"/>
        <v>0</v>
      </c>
      <c r="Z53" s="155">
        <f t="shared" si="17"/>
        <v>0</v>
      </c>
      <c r="AA53" s="155">
        <f t="shared" si="17"/>
        <v>0</v>
      </c>
      <c r="AB53" s="155">
        <f t="shared" si="17"/>
        <v>0</v>
      </c>
      <c r="AC53" s="159"/>
      <c r="AD53" s="156">
        <f t="shared" si="18"/>
        <v>0</v>
      </c>
      <c r="AE53" s="156">
        <f t="shared" si="18"/>
        <v>0</v>
      </c>
      <c r="AF53" s="156">
        <f t="shared" si="18"/>
        <v>0</v>
      </c>
      <c r="AG53" s="156">
        <f t="shared" si="18"/>
        <v>0</v>
      </c>
    </row>
    <row r="54" spans="2:33" s="633" customFormat="1" ht="15" customHeight="1" x14ac:dyDescent="0.3">
      <c r="B54" s="546" t="s">
        <v>110</v>
      </c>
      <c r="C54" s="539" t="s">
        <v>59</v>
      </c>
      <c r="D54" s="547">
        <v>1</v>
      </c>
      <c r="E54" s="544">
        <v>6300</v>
      </c>
      <c r="F54" s="548"/>
      <c r="G54" s="548"/>
      <c r="H54" s="548">
        <v>6300</v>
      </c>
      <c r="I54" s="231">
        <v>0</v>
      </c>
      <c r="J54" s="694"/>
      <c r="K54" s="231">
        <f t="shared" si="14"/>
        <v>0</v>
      </c>
      <c r="L54" s="231">
        <f t="shared" si="15"/>
        <v>0</v>
      </c>
      <c r="M54" s="232">
        <f t="shared" si="7"/>
        <v>0</v>
      </c>
      <c r="N54" s="659"/>
      <c r="O54" s="231">
        <f t="shared" si="22"/>
        <v>0</v>
      </c>
      <c r="P54" s="231">
        <f t="shared" si="21"/>
        <v>0</v>
      </c>
      <c r="Q54" s="231">
        <f t="shared" si="21"/>
        <v>0</v>
      </c>
      <c r="R54" s="231">
        <f t="shared" si="21"/>
        <v>0</v>
      </c>
      <c r="T54" s="231"/>
      <c r="U54" s="231"/>
      <c r="V54" s="231"/>
      <c r="W54" s="231"/>
      <c r="Y54" s="155">
        <f t="shared" si="17"/>
        <v>0</v>
      </c>
      <c r="Z54" s="155">
        <f t="shared" si="17"/>
        <v>0</v>
      </c>
      <c r="AA54" s="155">
        <f t="shared" si="17"/>
        <v>0</v>
      </c>
      <c r="AB54" s="155">
        <f t="shared" si="17"/>
        <v>0</v>
      </c>
      <c r="AC54" s="159"/>
      <c r="AD54" s="156">
        <f t="shared" si="18"/>
        <v>0</v>
      </c>
      <c r="AE54" s="156">
        <f t="shared" si="18"/>
        <v>0</v>
      </c>
      <c r="AF54" s="156">
        <f t="shared" si="18"/>
        <v>0</v>
      </c>
      <c r="AG54" s="156">
        <f t="shared" si="18"/>
        <v>0</v>
      </c>
    </row>
    <row r="55" spans="2:33" s="633" customFormat="1" ht="15" customHeight="1" x14ac:dyDescent="0.3">
      <c r="B55" s="417" t="s">
        <v>7831</v>
      </c>
      <c r="C55" s="539"/>
      <c r="D55" s="547"/>
      <c r="E55" s="544"/>
      <c r="F55" s="548"/>
      <c r="G55" s="548"/>
      <c r="H55" s="548"/>
      <c r="I55" s="231">
        <v>1585</v>
      </c>
      <c r="J55" s="694"/>
      <c r="K55" s="231">
        <f t="shared" si="14"/>
        <v>1273.7047621867632</v>
      </c>
      <c r="L55" s="231">
        <f t="shared" si="15"/>
        <v>-311.29523781323678</v>
      </c>
      <c r="M55" s="232">
        <f t="shared" si="7"/>
        <v>-0.19640078095472352</v>
      </c>
      <c r="N55" s="659"/>
      <c r="O55" s="231">
        <f t="shared" si="22"/>
        <v>396.25</v>
      </c>
      <c r="P55" s="231">
        <f t="shared" si="21"/>
        <v>396.25</v>
      </c>
      <c r="Q55" s="231">
        <f t="shared" si="21"/>
        <v>396.25</v>
      </c>
      <c r="R55" s="231">
        <f t="shared" si="21"/>
        <v>396.25</v>
      </c>
      <c r="T55" s="231">
        <v>318.4261905466908</v>
      </c>
      <c r="U55" s="231">
        <v>318.4261905466908</v>
      </c>
      <c r="V55" s="231">
        <v>318.4261905466908</v>
      </c>
      <c r="W55" s="231">
        <v>318.4261905466908</v>
      </c>
      <c r="Y55" s="155">
        <f t="shared" si="17"/>
        <v>-77.823809453309195</v>
      </c>
      <c r="Z55" s="155">
        <f t="shared" si="17"/>
        <v>-77.823809453309195</v>
      </c>
      <c r="AA55" s="155">
        <f t="shared" si="17"/>
        <v>-77.823809453309195</v>
      </c>
      <c r="AB55" s="155">
        <f t="shared" si="17"/>
        <v>-77.823809453309195</v>
      </c>
      <c r="AC55" s="159"/>
      <c r="AD55" s="156">
        <f t="shared" si="18"/>
        <v>-0.19640078095472352</v>
      </c>
      <c r="AE55" s="156">
        <f t="shared" si="18"/>
        <v>-0.19640078095472352</v>
      </c>
      <c r="AF55" s="156">
        <f t="shared" si="18"/>
        <v>-0.19640078095472352</v>
      </c>
      <c r="AG55" s="156">
        <f t="shared" si="18"/>
        <v>-0.19640078095472352</v>
      </c>
    </row>
    <row r="56" spans="2:33" s="633" customFormat="1" ht="15" customHeight="1" x14ac:dyDescent="0.3">
      <c r="B56" s="417" t="s">
        <v>7833</v>
      </c>
      <c r="C56" s="539"/>
      <c r="D56" s="547"/>
      <c r="E56" s="544"/>
      <c r="F56" s="548"/>
      <c r="G56" s="548"/>
      <c r="H56" s="548"/>
      <c r="I56" s="231">
        <v>6794</v>
      </c>
      <c r="J56" s="694"/>
      <c r="K56" s="231">
        <f t="shared" si="14"/>
        <v>0</v>
      </c>
      <c r="L56" s="231">
        <f t="shared" si="15"/>
        <v>-6794</v>
      </c>
      <c r="M56" s="232">
        <f t="shared" si="7"/>
        <v>-1</v>
      </c>
      <c r="N56" s="659"/>
      <c r="O56" s="231">
        <f t="shared" si="22"/>
        <v>1698.5</v>
      </c>
      <c r="P56" s="231">
        <f t="shared" si="21"/>
        <v>1698.5</v>
      </c>
      <c r="Q56" s="231">
        <f t="shared" si="21"/>
        <v>1698.5</v>
      </c>
      <c r="R56" s="231">
        <f t="shared" si="21"/>
        <v>1698.5</v>
      </c>
      <c r="T56" s="231"/>
      <c r="U56" s="231"/>
      <c r="V56" s="231"/>
      <c r="W56" s="231"/>
      <c r="Y56" s="155">
        <f t="shared" si="17"/>
        <v>-1698.5</v>
      </c>
      <c r="Z56" s="155">
        <f t="shared" si="17"/>
        <v>-1698.5</v>
      </c>
      <c r="AA56" s="155">
        <f t="shared" si="17"/>
        <v>-1698.5</v>
      </c>
      <c r="AB56" s="155">
        <f t="shared" si="17"/>
        <v>-1698.5</v>
      </c>
      <c r="AC56" s="159"/>
      <c r="AD56" s="156">
        <f t="shared" si="18"/>
        <v>-1</v>
      </c>
      <c r="AE56" s="156">
        <f t="shared" si="18"/>
        <v>-1</v>
      </c>
      <c r="AF56" s="156">
        <f t="shared" si="18"/>
        <v>-1</v>
      </c>
      <c r="AG56" s="156">
        <f t="shared" si="18"/>
        <v>-1</v>
      </c>
    </row>
    <row r="57" spans="2:33" s="633" customFormat="1" ht="15" customHeight="1" x14ac:dyDescent="0.3">
      <c r="B57" s="417" t="s">
        <v>7834</v>
      </c>
      <c r="C57" s="539"/>
      <c r="D57" s="547"/>
      <c r="E57" s="544"/>
      <c r="F57" s="548"/>
      <c r="G57" s="548"/>
      <c r="H57" s="548"/>
      <c r="I57" s="231">
        <v>1132</v>
      </c>
      <c r="J57" s="694"/>
      <c r="K57" s="231">
        <f t="shared" si="14"/>
        <v>1139.5532736560144</v>
      </c>
      <c r="L57" s="231">
        <f t="shared" si="15"/>
        <v>7.5532736560144258</v>
      </c>
      <c r="M57" s="232">
        <f t="shared" si="7"/>
        <v>6.6725032296947222E-3</v>
      </c>
      <c r="N57" s="659"/>
      <c r="O57" s="231">
        <f t="shared" si="22"/>
        <v>283</v>
      </c>
      <c r="P57" s="231">
        <f t="shared" si="21"/>
        <v>283</v>
      </c>
      <c r="Q57" s="231">
        <f t="shared" si="21"/>
        <v>283</v>
      </c>
      <c r="R57" s="231">
        <f t="shared" si="21"/>
        <v>283</v>
      </c>
      <c r="T57" s="231">
        <v>284.88831841400361</v>
      </c>
      <c r="U57" s="231">
        <v>284.88831841400361</v>
      </c>
      <c r="V57" s="231">
        <v>284.88831841400361</v>
      </c>
      <c r="W57" s="231">
        <v>284.88831841400361</v>
      </c>
      <c r="Y57" s="155">
        <f t="shared" si="17"/>
        <v>1.8883184140036064</v>
      </c>
      <c r="Z57" s="155">
        <f t="shared" si="17"/>
        <v>1.8883184140036064</v>
      </c>
      <c r="AA57" s="155">
        <f t="shared" si="17"/>
        <v>1.8883184140036064</v>
      </c>
      <c r="AB57" s="155">
        <f t="shared" si="17"/>
        <v>1.8883184140036064</v>
      </c>
      <c r="AC57" s="159"/>
      <c r="AD57" s="156">
        <f t="shared" si="18"/>
        <v>6.6725032296947222E-3</v>
      </c>
      <c r="AE57" s="156">
        <f t="shared" si="18"/>
        <v>6.6725032296947222E-3</v>
      </c>
      <c r="AF57" s="156">
        <f t="shared" si="18"/>
        <v>6.6725032296947222E-3</v>
      </c>
      <c r="AG57" s="156">
        <f t="shared" si="18"/>
        <v>6.6725032296947222E-3</v>
      </c>
    </row>
    <row r="58" spans="2:33" s="633" customFormat="1" ht="15" customHeight="1" x14ac:dyDescent="0.3">
      <c r="B58" s="417" t="s">
        <v>7835</v>
      </c>
      <c r="C58" s="539"/>
      <c r="D58" s="547"/>
      <c r="E58" s="544"/>
      <c r="F58" s="548"/>
      <c r="G58" s="548"/>
      <c r="H58" s="548"/>
      <c r="I58" s="231">
        <v>6651</v>
      </c>
      <c r="J58" s="694"/>
      <c r="K58" s="231">
        <f t="shared" si="14"/>
        <v>6997.132925191052</v>
      </c>
      <c r="L58" s="231">
        <f t="shared" si="15"/>
        <v>346.13292519105198</v>
      </c>
      <c r="M58" s="232">
        <f t="shared" si="7"/>
        <v>5.2042238038047209E-2</v>
      </c>
      <c r="N58" s="659"/>
      <c r="O58" s="231">
        <f t="shared" si="22"/>
        <v>1662.75</v>
      </c>
      <c r="P58" s="231">
        <f t="shared" si="21"/>
        <v>1662.75</v>
      </c>
      <c r="Q58" s="231">
        <f t="shared" si="21"/>
        <v>1662.75</v>
      </c>
      <c r="R58" s="231">
        <f t="shared" si="21"/>
        <v>1662.75</v>
      </c>
      <c r="T58" s="231">
        <v>1749.283231297763</v>
      </c>
      <c r="U58" s="231">
        <v>1749.283231297763</v>
      </c>
      <c r="V58" s="231">
        <v>1749.283231297763</v>
      </c>
      <c r="W58" s="231">
        <v>1749.283231297763</v>
      </c>
      <c r="Y58" s="155">
        <f t="shared" si="17"/>
        <v>86.533231297762995</v>
      </c>
      <c r="Z58" s="155">
        <f t="shared" si="17"/>
        <v>86.533231297762995</v>
      </c>
      <c r="AA58" s="155">
        <f t="shared" si="17"/>
        <v>86.533231297762995</v>
      </c>
      <c r="AB58" s="155">
        <f t="shared" si="17"/>
        <v>86.533231297762995</v>
      </c>
      <c r="AC58" s="159"/>
      <c r="AD58" s="156">
        <f t="shared" si="18"/>
        <v>5.2042238038047209E-2</v>
      </c>
      <c r="AE58" s="156">
        <f t="shared" si="18"/>
        <v>5.2042238038047209E-2</v>
      </c>
      <c r="AF58" s="156">
        <f t="shared" si="18"/>
        <v>5.2042238038047209E-2</v>
      </c>
      <c r="AG58" s="156">
        <f t="shared" si="18"/>
        <v>5.2042238038047209E-2</v>
      </c>
    </row>
    <row r="59" spans="2:33" s="633" customFormat="1" ht="15" customHeight="1" x14ac:dyDescent="0.3">
      <c r="B59" s="417" t="s">
        <v>7836</v>
      </c>
      <c r="C59" s="539"/>
      <c r="D59" s="547"/>
      <c r="E59" s="544"/>
      <c r="F59" s="548"/>
      <c r="G59" s="548"/>
      <c r="H59" s="548"/>
      <c r="I59" s="231">
        <v>963</v>
      </c>
      <c r="J59" s="695"/>
      <c r="K59" s="231">
        <f t="shared" si="14"/>
        <v>2587.7521455578226</v>
      </c>
      <c r="L59" s="231">
        <f t="shared" si="15"/>
        <v>1624.7521455578226</v>
      </c>
      <c r="M59" s="232">
        <f t="shared" si="7"/>
        <v>1.6871777212438448</v>
      </c>
      <c r="N59" s="659"/>
      <c r="O59" s="231">
        <f t="shared" si="22"/>
        <v>240.75</v>
      </c>
      <c r="P59" s="231">
        <f t="shared" si="21"/>
        <v>240.75</v>
      </c>
      <c r="Q59" s="231">
        <f t="shared" si="21"/>
        <v>240.75</v>
      </c>
      <c r="R59" s="231">
        <f t="shared" si="21"/>
        <v>240.75</v>
      </c>
      <c r="T59" s="231">
        <v>646.93803638945565</v>
      </c>
      <c r="U59" s="231">
        <v>646.93803638945565</v>
      </c>
      <c r="V59" s="231">
        <v>646.93803638945565</v>
      </c>
      <c r="W59" s="231">
        <v>646.93803638945565</v>
      </c>
      <c r="Y59" s="155">
        <f t="shared" si="17"/>
        <v>406.18803638945565</v>
      </c>
      <c r="Z59" s="155">
        <f t="shared" si="17"/>
        <v>406.18803638945565</v>
      </c>
      <c r="AA59" s="155">
        <f t="shared" si="17"/>
        <v>406.18803638945565</v>
      </c>
      <c r="AB59" s="155">
        <f t="shared" si="17"/>
        <v>406.18803638945565</v>
      </c>
      <c r="AC59" s="159"/>
      <c r="AD59" s="156">
        <f t="shared" si="18"/>
        <v>1.6871777212438448</v>
      </c>
      <c r="AE59" s="156">
        <f t="shared" si="18"/>
        <v>1.6871777212438448</v>
      </c>
      <c r="AF59" s="156">
        <f t="shared" si="18"/>
        <v>1.6871777212438448</v>
      </c>
      <c r="AG59" s="156">
        <f t="shared" si="18"/>
        <v>1.6871777212438448</v>
      </c>
    </row>
    <row r="60" spans="2:33" s="633" customFormat="1" ht="15" customHeight="1" x14ac:dyDescent="0.3">
      <c r="B60" s="417" t="s">
        <v>7838</v>
      </c>
      <c r="C60" s="539"/>
      <c r="D60" s="547"/>
      <c r="E60" s="544"/>
      <c r="F60" s="548"/>
      <c r="G60" s="548"/>
      <c r="H60" s="548"/>
      <c r="I60" s="231">
        <v>260</v>
      </c>
      <c r="J60" s="695"/>
      <c r="K60" s="231">
        <f t="shared" si="14"/>
        <v>0</v>
      </c>
      <c r="L60" s="231">
        <f t="shared" si="15"/>
        <v>-260</v>
      </c>
      <c r="M60" s="232">
        <f t="shared" si="7"/>
        <v>-1</v>
      </c>
      <c r="N60" s="659"/>
      <c r="O60" s="231">
        <f t="shared" si="22"/>
        <v>65</v>
      </c>
      <c r="P60" s="231">
        <f t="shared" si="21"/>
        <v>65</v>
      </c>
      <c r="Q60" s="231">
        <f t="shared" si="21"/>
        <v>65</v>
      </c>
      <c r="R60" s="231">
        <f t="shared" si="21"/>
        <v>65</v>
      </c>
      <c r="T60" s="231"/>
      <c r="U60" s="231"/>
      <c r="V60" s="231"/>
      <c r="W60" s="231"/>
      <c r="Y60" s="155">
        <f t="shared" si="17"/>
        <v>-65</v>
      </c>
      <c r="Z60" s="155">
        <f t="shared" si="17"/>
        <v>-65</v>
      </c>
      <c r="AA60" s="155">
        <f t="shared" si="17"/>
        <v>-65</v>
      </c>
      <c r="AB60" s="155">
        <f t="shared" si="17"/>
        <v>-65</v>
      </c>
      <c r="AC60" s="159"/>
      <c r="AD60" s="156">
        <f t="shared" si="18"/>
        <v>-1</v>
      </c>
      <c r="AE60" s="156">
        <f t="shared" si="18"/>
        <v>-1</v>
      </c>
      <c r="AF60" s="156">
        <f t="shared" si="18"/>
        <v>-1</v>
      </c>
      <c r="AG60" s="156">
        <f t="shared" si="18"/>
        <v>-1</v>
      </c>
    </row>
    <row r="61" spans="2:33" s="633" customFormat="1" ht="15" customHeight="1" x14ac:dyDescent="0.3">
      <c r="B61" s="417" t="s">
        <v>7840</v>
      </c>
      <c r="C61" s="539"/>
      <c r="D61" s="547"/>
      <c r="E61" s="544"/>
      <c r="F61" s="548"/>
      <c r="G61" s="548"/>
      <c r="H61" s="548"/>
      <c r="I61" s="231">
        <v>4529</v>
      </c>
      <c r="J61" s="694"/>
      <c r="K61" s="231">
        <f t="shared" si="14"/>
        <v>3860.7966738663017</v>
      </c>
      <c r="L61" s="231">
        <f t="shared" si="15"/>
        <v>-668.20332613369828</v>
      </c>
      <c r="M61" s="232">
        <f t="shared" si="7"/>
        <v>-0.14753882228608928</v>
      </c>
      <c r="N61" s="659"/>
      <c r="O61" s="231">
        <f t="shared" si="22"/>
        <v>1132.25</v>
      </c>
      <c r="P61" s="231">
        <f t="shared" si="21"/>
        <v>1132.25</v>
      </c>
      <c r="Q61" s="231">
        <f t="shared" si="21"/>
        <v>1132.25</v>
      </c>
      <c r="R61" s="231">
        <f t="shared" si="21"/>
        <v>1132.25</v>
      </c>
      <c r="T61" s="231">
        <v>965.19916846657543</v>
      </c>
      <c r="U61" s="231">
        <v>965.19916846657543</v>
      </c>
      <c r="V61" s="231">
        <v>965.19916846657543</v>
      </c>
      <c r="W61" s="231">
        <v>965.19916846657543</v>
      </c>
      <c r="Y61" s="155">
        <f t="shared" si="17"/>
        <v>-167.05083153342457</v>
      </c>
      <c r="Z61" s="155">
        <f t="shared" si="17"/>
        <v>-167.05083153342457</v>
      </c>
      <c r="AA61" s="155">
        <f t="shared" si="17"/>
        <v>-167.05083153342457</v>
      </c>
      <c r="AB61" s="155">
        <f t="shared" si="17"/>
        <v>-167.05083153342457</v>
      </c>
      <c r="AC61" s="159"/>
      <c r="AD61" s="156">
        <f t="shared" si="18"/>
        <v>-0.14753882228608928</v>
      </c>
      <c r="AE61" s="156">
        <f t="shared" si="18"/>
        <v>-0.14753882228608928</v>
      </c>
      <c r="AF61" s="156">
        <f t="shared" si="18"/>
        <v>-0.14753882228608928</v>
      </c>
      <c r="AG61" s="156">
        <f t="shared" si="18"/>
        <v>-0.14753882228608928</v>
      </c>
    </row>
    <row r="62" spans="2:33" s="633" customFormat="1" ht="15" customHeight="1" x14ac:dyDescent="0.3">
      <c r="B62" s="417" t="s">
        <v>7841</v>
      </c>
      <c r="C62" s="539"/>
      <c r="D62" s="547"/>
      <c r="E62" s="544"/>
      <c r="F62" s="548"/>
      <c r="G62" s="548"/>
      <c r="H62" s="548"/>
      <c r="I62" s="231">
        <v>2321</v>
      </c>
      <c r="J62" s="694"/>
      <c r="K62" s="231">
        <f t="shared" si="14"/>
        <v>2491.3132555663715</v>
      </c>
      <c r="L62" s="231">
        <f t="shared" si="15"/>
        <v>170.31325556637148</v>
      </c>
      <c r="M62" s="232">
        <f t="shared" si="7"/>
        <v>7.3379257029888623E-2</v>
      </c>
      <c r="N62" s="659"/>
      <c r="O62" s="231">
        <f t="shared" si="22"/>
        <v>580.25</v>
      </c>
      <c r="P62" s="231">
        <f t="shared" si="21"/>
        <v>580.25</v>
      </c>
      <c r="Q62" s="231">
        <f t="shared" si="21"/>
        <v>580.25</v>
      </c>
      <c r="R62" s="231">
        <f t="shared" si="21"/>
        <v>580.25</v>
      </c>
      <c r="T62" s="231">
        <v>622.82831389159287</v>
      </c>
      <c r="U62" s="231">
        <v>622.82831389159287</v>
      </c>
      <c r="V62" s="231">
        <v>622.82831389159287</v>
      </c>
      <c r="W62" s="231">
        <v>622.82831389159287</v>
      </c>
      <c r="Y62" s="155">
        <f t="shared" si="17"/>
        <v>42.57831389159287</v>
      </c>
      <c r="Z62" s="155">
        <f t="shared" si="17"/>
        <v>42.57831389159287</v>
      </c>
      <c r="AA62" s="155">
        <f t="shared" si="17"/>
        <v>42.57831389159287</v>
      </c>
      <c r="AB62" s="155">
        <f t="shared" si="17"/>
        <v>42.57831389159287</v>
      </c>
      <c r="AC62" s="159"/>
      <c r="AD62" s="156">
        <f t="shared" si="18"/>
        <v>7.3379257029888623E-2</v>
      </c>
      <c r="AE62" s="156">
        <f t="shared" si="18"/>
        <v>7.3379257029888623E-2</v>
      </c>
      <c r="AF62" s="156">
        <f t="shared" si="18"/>
        <v>7.3379257029888623E-2</v>
      </c>
      <c r="AG62" s="156">
        <f t="shared" si="18"/>
        <v>7.3379257029888623E-2</v>
      </c>
    </row>
    <row r="63" spans="2:33" s="633" customFormat="1" ht="15" customHeight="1" x14ac:dyDescent="0.3">
      <c r="B63" s="417" t="s">
        <v>7842</v>
      </c>
      <c r="C63" s="539"/>
      <c r="D63" s="547"/>
      <c r="E63" s="544"/>
      <c r="F63" s="548"/>
      <c r="G63" s="548"/>
      <c r="H63" s="548"/>
      <c r="I63" s="231">
        <v>1020.96</v>
      </c>
      <c r="J63" s="694"/>
      <c r="K63" s="231">
        <f t="shared" si="14"/>
        <v>4961.3942259773967</v>
      </c>
      <c r="L63" s="231">
        <f t="shared" si="15"/>
        <v>3940.4342259773966</v>
      </c>
      <c r="M63" s="232">
        <f t="shared" si="7"/>
        <v>3.8595383031435087</v>
      </c>
      <c r="N63" s="659"/>
      <c r="O63" s="231">
        <f t="shared" si="22"/>
        <v>255.24</v>
      </c>
      <c r="P63" s="231">
        <f t="shared" si="21"/>
        <v>255.24</v>
      </c>
      <c r="Q63" s="231">
        <f t="shared" si="21"/>
        <v>255.24</v>
      </c>
      <c r="R63" s="231">
        <f t="shared" si="21"/>
        <v>255.24</v>
      </c>
      <c r="T63" s="231">
        <v>1240.3485564943492</v>
      </c>
      <c r="U63" s="231">
        <v>1240.3485564943492</v>
      </c>
      <c r="V63" s="231">
        <v>1240.3485564943492</v>
      </c>
      <c r="W63" s="231">
        <v>1240.3485564943492</v>
      </c>
      <c r="Y63" s="155">
        <f t="shared" si="17"/>
        <v>985.10855649434916</v>
      </c>
      <c r="Z63" s="155">
        <f t="shared" si="17"/>
        <v>985.10855649434916</v>
      </c>
      <c r="AA63" s="155">
        <f t="shared" si="17"/>
        <v>985.10855649434916</v>
      </c>
      <c r="AB63" s="155">
        <f t="shared" si="17"/>
        <v>985.10855649434916</v>
      </c>
      <c r="AC63" s="159"/>
      <c r="AD63" s="156">
        <f t="shared" si="18"/>
        <v>3.8595383031435087</v>
      </c>
      <c r="AE63" s="156">
        <f t="shared" si="18"/>
        <v>3.8595383031435087</v>
      </c>
      <c r="AF63" s="156">
        <f t="shared" si="18"/>
        <v>3.8595383031435087</v>
      </c>
      <c r="AG63" s="156">
        <f t="shared" si="18"/>
        <v>3.8595383031435087</v>
      </c>
    </row>
    <row r="64" spans="2:33" s="633" customFormat="1" ht="15" customHeight="1" x14ac:dyDescent="0.3">
      <c r="B64" s="417" t="s">
        <v>7844</v>
      </c>
      <c r="C64" s="539"/>
      <c r="D64" s="547"/>
      <c r="E64" s="544"/>
      <c r="F64" s="548"/>
      <c r="G64" s="548"/>
      <c r="H64" s="548"/>
      <c r="I64" s="231">
        <v>3397</v>
      </c>
      <c r="J64" s="694"/>
      <c r="K64" s="231">
        <f t="shared" si="14"/>
        <v>3540.6522057353664</v>
      </c>
      <c r="L64" s="231">
        <f t="shared" si="15"/>
        <v>143.65220573536635</v>
      </c>
      <c r="M64" s="232">
        <f t="shared" si="7"/>
        <v>4.2287961653036901E-2</v>
      </c>
      <c r="N64" s="659"/>
      <c r="O64" s="231">
        <f t="shared" si="22"/>
        <v>849.25</v>
      </c>
      <c r="P64" s="231">
        <f t="shared" si="21"/>
        <v>849.25</v>
      </c>
      <c r="Q64" s="231">
        <f t="shared" si="21"/>
        <v>849.25</v>
      </c>
      <c r="R64" s="231">
        <f t="shared" si="21"/>
        <v>849.25</v>
      </c>
      <c r="T64" s="231">
        <v>885.16305143384159</v>
      </c>
      <c r="U64" s="231">
        <v>885.16305143384159</v>
      </c>
      <c r="V64" s="231">
        <v>885.16305143384159</v>
      </c>
      <c r="W64" s="231">
        <v>885.16305143384159</v>
      </c>
      <c r="Y64" s="155">
        <f t="shared" si="17"/>
        <v>35.913051433841588</v>
      </c>
      <c r="Z64" s="155">
        <f t="shared" si="17"/>
        <v>35.913051433841588</v>
      </c>
      <c r="AA64" s="155">
        <f t="shared" si="17"/>
        <v>35.913051433841588</v>
      </c>
      <c r="AB64" s="155">
        <f t="shared" si="17"/>
        <v>35.913051433841588</v>
      </c>
      <c r="AC64" s="159"/>
      <c r="AD64" s="156">
        <f t="shared" si="18"/>
        <v>4.2287961653036901E-2</v>
      </c>
      <c r="AE64" s="156">
        <f t="shared" si="18"/>
        <v>4.2287961653036901E-2</v>
      </c>
      <c r="AF64" s="156">
        <f t="shared" si="18"/>
        <v>4.2287961653036901E-2</v>
      </c>
      <c r="AG64" s="156">
        <f t="shared" si="18"/>
        <v>4.2287961653036901E-2</v>
      </c>
    </row>
    <row r="65" spans="2:337" ht="15" customHeight="1" x14ac:dyDescent="0.3">
      <c r="B65" s="673" t="s">
        <v>111</v>
      </c>
      <c r="C65" s="673"/>
      <c r="D65" s="696"/>
      <c r="E65" s="696"/>
      <c r="F65" s="697">
        <f>SUM(F34:F54)</f>
        <v>564756000</v>
      </c>
      <c r="G65" s="697"/>
      <c r="H65" s="697">
        <f>SUM(H34:H54)</f>
        <v>274595.25498230715</v>
      </c>
      <c r="I65" s="697">
        <f>SUM(I34:I64)</f>
        <v>206079.96</v>
      </c>
      <c r="J65" s="698"/>
      <c r="K65" s="697">
        <f>SUM(K34:K64)</f>
        <v>213242.66915668335</v>
      </c>
      <c r="L65" s="697">
        <f t="shared" si="15"/>
        <v>7162.7091566833551</v>
      </c>
      <c r="M65" s="699">
        <f t="shared" si="7"/>
        <v>3.4756941706914908E-2</v>
      </c>
      <c r="N65" s="659"/>
      <c r="O65" s="697">
        <f>SUM(O34:O64)</f>
        <v>48817.74</v>
      </c>
      <c r="P65" s="697">
        <f>SUM(P34:P64)</f>
        <v>59626.74</v>
      </c>
      <c r="Q65" s="697">
        <f>SUM(Q34:Q64)</f>
        <v>48817.74</v>
      </c>
      <c r="R65" s="697">
        <f>SUM(R34:R64)</f>
        <v>48817.74</v>
      </c>
      <c r="T65" s="697">
        <f>SUM(T34:T64)</f>
        <v>51909.913001049637</v>
      </c>
      <c r="U65" s="697">
        <f>SUM(U34:U64)</f>
        <v>54577.644611555632</v>
      </c>
      <c r="V65" s="697">
        <f>SUM(V34:V64)</f>
        <v>51824.087855403326</v>
      </c>
      <c r="W65" s="697">
        <f>SUM(W34:W64)</f>
        <v>54931.023688674737</v>
      </c>
      <c r="Y65" s="168">
        <f t="shared" si="17"/>
        <v>3092.1730010496394</v>
      </c>
      <c r="Z65" s="168">
        <f t="shared" si="17"/>
        <v>-5049.0953884443661</v>
      </c>
      <c r="AA65" s="168">
        <f t="shared" si="17"/>
        <v>3006.3478554033281</v>
      </c>
      <c r="AB65" s="168">
        <f t="shared" si="17"/>
        <v>6113.2836886747391</v>
      </c>
      <c r="AC65" s="167"/>
      <c r="AD65" s="169">
        <f t="shared" si="18"/>
        <v>6.3341174766583616E-2</v>
      </c>
      <c r="AE65" s="169">
        <f t="shared" si="18"/>
        <v>-8.4678373971885199E-2</v>
      </c>
      <c r="AF65" s="169">
        <f t="shared" si="18"/>
        <v>6.1583101868364416E-2</v>
      </c>
      <c r="AG65" s="169">
        <f t="shared" si="18"/>
        <v>0.12522668375624801</v>
      </c>
    </row>
    <row r="66" spans="2:337" ht="15" customHeight="1" x14ac:dyDescent="0.3">
      <c r="B66" s="870" t="s">
        <v>13</v>
      </c>
      <c r="C66" s="847"/>
      <c r="D66" s="847"/>
      <c r="E66" s="847"/>
      <c r="F66" s="847"/>
      <c r="G66" s="683"/>
      <c r="H66" s="683"/>
      <c r="I66" s="684"/>
      <c r="J66" s="676"/>
      <c r="K66" s="684"/>
      <c r="L66" s="685"/>
      <c r="M66" s="686"/>
      <c r="N66" s="659"/>
      <c r="O66" s="683"/>
      <c r="P66" s="683"/>
      <c r="Q66" s="683"/>
      <c r="R66" s="683"/>
      <c r="T66" s="683"/>
      <c r="U66" s="683"/>
      <c r="V66" s="683"/>
      <c r="W66" s="683"/>
      <c r="Y66" s="191"/>
      <c r="Z66" s="191"/>
      <c r="AA66" s="191"/>
      <c r="AB66" s="191"/>
      <c r="AC66" s="146"/>
      <c r="AD66" s="511"/>
      <c r="AE66" s="420"/>
      <c r="AF66" s="420"/>
      <c r="AG66" s="420"/>
    </row>
    <row r="67" spans="2:337" ht="15" customHeight="1" x14ac:dyDescent="0.3">
      <c r="B67" s="871" t="s">
        <v>7884</v>
      </c>
      <c r="C67" s="847"/>
      <c r="D67" s="847"/>
      <c r="E67" s="847"/>
      <c r="F67" s="847"/>
      <c r="G67" s="847"/>
      <c r="H67" s="847"/>
      <c r="I67" s="700"/>
      <c r="J67" s="701"/>
      <c r="K67" s="700"/>
      <c r="L67" s="702"/>
      <c r="M67" s="703"/>
      <c r="N67" s="659"/>
      <c r="O67" s="857"/>
      <c r="P67" s="858"/>
      <c r="Q67" s="858"/>
      <c r="R67" s="859"/>
      <c r="T67" s="857"/>
      <c r="U67" s="858"/>
      <c r="V67" s="858"/>
      <c r="W67" s="859"/>
      <c r="Y67" s="214"/>
      <c r="Z67" s="214"/>
      <c r="AA67" s="214"/>
      <c r="AB67" s="214"/>
      <c r="AC67" s="146"/>
      <c r="AD67" s="422"/>
      <c r="AE67" s="422"/>
      <c r="AF67" s="422"/>
      <c r="AG67" s="422"/>
    </row>
    <row r="68" spans="2:337" s="660" customFormat="1" ht="15" customHeight="1" x14ac:dyDescent="0.3">
      <c r="B68" s="670" t="s">
        <v>7885</v>
      </c>
      <c r="C68" s="539" t="s">
        <v>7886</v>
      </c>
      <c r="D68" s="540">
        <f>2*5*10</f>
        <v>100</v>
      </c>
      <c r="E68" s="541">
        <v>175000</v>
      </c>
      <c r="F68" s="541">
        <f>D68*E68</f>
        <v>17500000</v>
      </c>
      <c r="G68" s="541">
        <f t="shared" ref="G68:G76" si="23">+$G$6</f>
        <v>4239</v>
      </c>
      <c r="H68" s="541">
        <f t="shared" ref="H68:H77" si="24">IF($G$6=0,0,F68/G68)</f>
        <v>4128.3321538098608</v>
      </c>
      <c r="I68" s="231">
        <v>4128</v>
      </c>
      <c r="J68" s="659"/>
      <c r="K68" s="231">
        <f t="shared" ref="K68:K130" si="25">SUM(T68:W68)</f>
        <v>3995.0617683752535</v>
      </c>
      <c r="L68" s="231">
        <f t="shared" ref="L68:L77" si="26">K68-I68</f>
        <v>-132.93823162474655</v>
      </c>
      <c r="M68" s="232">
        <f t="shared" si="7"/>
        <v>-3.2204028978863021E-2</v>
      </c>
      <c r="N68" s="659"/>
      <c r="O68" s="231">
        <f t="shared" ref="O68:O77" si="27">I68</f>
        <v>4128</v>
      </c>
      <c r="P68" s="231"/>
      <c r="Q68" s="231"/>
      <c r="R68" s="231"/>
      <c r="T68" s="231">
        <v>3995.0617683752535</v>
      </c>
      <c r="U68" s="231">
        <v>0</v>
      </c>
      <c r="V68" s="231">
        <v>0</v>
      </c>
      <c r="W68" s="231">
        <v>0</v>
      </c>
      <c r="Y68" s="155">
        <f t="shared" ref="Y68:AB77" si="28">T68-O68</f>
        <v>-132.93823162474655</v>
      </c>
      <c r="Z68" s="155">
        <f t="shared" si="28"/>
        <v>0</v>
      </c>
      <c r="AA68" s="155">
        <f t="shared" si="28"/>
        <v>0</v>
      </c>
      <c r="AB68" s="155">
        <f t="shared" si="28"/>
        <v>0</v>
      </c>
      <c r="AC68" s="423"/>
      <c r="AD68" s="156">
        <f t="shared" ref="AD68:AG77" si="29">IFERROR(Y68/O68,0)</f>
        <v>-3.2204028978863021E-2</v>
      </c>
      <c r="AE68" s="156">
        <f t="shared" si="29"/>
        <v>0</v>
      </c>
      <c r="AF68" s="156">
        <f t="shared" si="29"/>
        <v>0</v>
      </c>
      <c r="AG68" s="156">
        <f t="shared" si="29"/>
        <v>0</v>
      </c>
    </row>
    <row r="69" spans="2:337" s="660" customFormat="1" ht="15" customHeight="1" x14ac:dyDescent="0.3">
      <c r="B69" s="670" t="s">
        <v>7887</v>
      </c>
      <c r="C69" s="539" t="s">
        <v>7886</v>
      </c>
      <c r="D69" s="540">
        <v>1500</v>
      </c>
      <c r="E69" s="541">
        <v>75000</v>
      </c>
      <c r="F69" s="541">
        <f>D69*E69</f>
        <v>112500000</v>
      </c>
      <c r="G69" s="541">
        <f t="shared" si="23"/>
        <v>4239</v>
      </c>
      <c r="H69" s="541">
        <f t="shared" si="24"/>
        <v>26539.278131634819</v>
      </c>
      <c r="I69" s="231">
        <v>26539</v>
      </c>
      <c r="J69" s="659"/>
      <c r="K69" s="231">
        <f t="shared" si="25"/>
        <v>20994.598934501362</v>
      </c>
      <c r="L69" s="231">
        <f t="shared" si="26"/>
        <v>-5544.4010654986378</v>
      </c>
      <c r="M69" s="232">
        <f t="shared" si="7"/>
        <v>-0.20891522157951081</v>
      </c>
      <c r="N69" s="659"/>
      <c r="O69" s="231">
        <f t="shared" si="27"/>
        <v>26539</v>
      </c>
      <c r="P69" s="231"/>
      <c r="Q69" s="231"/>
      <c r="R69" s="231"/>
      <c r="T69" s="231">
        <v>20994.598934501362</v>
      </c>
      <c r="U69" s="231">
        <v>0</v>
      </c>
      <c r="V69" s="231">
        <v>0</v>
      </c>
      <c r="W69" s="231">
        <v>0</v>
      </c>
      <c r="Y69" s="155">
        <f t="shared" si="28"/>
        <v>-5544.4010654986378</v>
      </c>
      <c r="Z69" s="155">
        <f t="shared" si="28"/>
        <v>0</v>
      </c>
      <c r="AA69" s="155">
        <f t="shared" si="28"/>
        <v>0</v>
      </c>
      <c r="AB69" s="155">
        <f t="shared" si="28"/>
        <v>0</v>
      </c>
      <c r="AC69" s="423"/>
      <c r="AD69" s="156">
        <f t="shared" si="29"/>
        <v>-0.20891522157951081</v>
      </c>
      <c r="AE69" s="156">
        <f t="shared" si="29"/>
        <v>0</v>
      </c>
      <c r="AF69" s="156">
        <f t="shared" si="29"/>
        <v>0</v>
      </c>
      <c r="AG69" s="156">
        <f t="shared" si="29"/>
        <v>0</v>
      </c>
    </row>
    <row r="70" spans="2:337" s="660" customFormat="1" ht="15" customHeight="1" x14ac:dyDescent="0.3">
      <c r="B70" s="670" t="s">
        <v>7888</v>
      </c>
      <c r="C70" s="539" t="s">
        <v>7886</v>
      </c>
      <c r="D70" s="540">
        <v>900</v>
      </c>
      <c r="E70" s="541">
        <v>75000</v>
      </c>
      <c r="F70" s="541">
        <f>D70*E70</f>
        <v>67500000</v>
      </c>
      <c r="G70" s="541">
        <f t="shared" si="23"/>
        <v>4239</v>
      </c>
      <c r="H70" s="541">
        <f t="shared" si="24"/>
        <v>15923.566878980891</v>
      </c>
      <c r="I70" s="231">
        <v>0</v>
      </c>
      <c r="J70" s="659"/>
      <c r="K70" s="231">
        <f t="shared" si="25"/>
        <v>0</v>
      </c>
      <c r="L70" s="231">
        <f t="shared" si="26"/>
        <v>0</v>
      </c>
      <c r="M70" s="232">
        <f t="shared" si="7"/>
        <v>0</v>
      </c>
      <c r="N70" s="659"/>
      <c r="O70" s="231">
        <f t="shared" si="27"/>
        <v>0</v>
      </c>
      <c r="P70" s="231"/>
      <c r="Q70" s="231"/>
      <c r="R70" s="231"/>
      <c r="T70" s="231"/>
      <c r="U70" s="231"/>
      <c r="V70" s="231"/>
      <c r="W70" s="231"/>
      <c r="Y70" s="155">
        <f t="shared" si="28"/>
        <v>0</v>
      </c>
      <c r="Z70" s="155">
        <f t="shared" si="28"/>
        <v>0</v>
      </c>
      <c r="AA70" s="155">
        <f t="shared" si="28"/>
        <v>0</v>
      </c>
      <c r="AB70" s="155">
        <f t="shared" si="28"/>
        <v>0</v>
      </c>
      <c r="AC70" s="423"/>
      <c r="AD70" s="156">
        <f t="shared" si="29"/>
        <v>0</v>
      </c>
      <c r="AE70" s="156">
        <f t="shared" si="29"/>
        <v>0</v>
      </c>
      <c r="AF70" s="156">
        <f t="shared" si="29"/>
        <v>0</v>
      </c>
      <c r="AG70" s="156">
        <f t="shared" si="29"/>
        <v>0</v>
      </c>
    </row>
    <row r="71" spans="2:337" s="660" customFormat="1" ht="15" customHeight="1" x14ac:dyDescent="0.3">
      <c r="B71" s="670" t="s">
        <v>7889</v>
      </c>
      <c r="C71" s="539" t="s">
        <v>7890</v>
      </c>
      <c r="D71" s="540">
        <v>200</v>
      </c>
      <c r="E71" s="541">
        <v>400000</v>
      </c>
      <c r="F71" s="541">
        <f t="shared" ref="F71:F77" si="30">D71*E71</f>
        <v>80000000</v>
      </c>
      <c r="G71" s="541">
        <f t="shared" si="23"/>
        <v>4239</v>
      </c>
      <c r="H71" s="541">
        <f t="shared" si="24"/>
        <v>18872.375560273649</v>
      </c>
      <c r="I71" s="231">
        <v>18872</v>
      </c>
      <c r="J71" s="659"/>
      <c r="K71" s="231">
        <f t="shared" si="25"/>
        <v>16517.713131161916</v>
      </c>
      <c r="L71" s="231">
        <f t="shared" si="26"/>
        <v>-2354.286868838084</v>
      </c>
      <c r="M71" s="232">
        <f t="shared" si="7"/>
        <v>-0.12475025799269203</v>
      </c>
      <c r="N71" s="659"/>
      <c r="O71" s="231">
        <f t="shared" si="27"/>
        <v>18872</v>
      </c>
      <c r="P71" s="231"/>
      <c r="Q71" s="231"/>
      <c r="R71" s="231"/>
      <c r="T71" s="231">
        <v>16517.713131161916</v>
      </c>
      <c r="U71" s="231">
        <v>0</v>
      </c>
      <c r="V71" s="231">
        <v>0</v>
      </c>
      <c r="W71" s="231">
        <v>0</v>
      </c>
      <c r="Y71" s="155">
        <f t="shared" si="28"/>
        <v>-2354.286868838084</v>
      </c>
      <c r="Z71" s="155">
        <f t="shared" si="28"/>
        <v>0</v>
      </c>
      <c r="AA71" s="155">
        <f t="shared" si="28"/>
        <v>0</v>
      </c>
      <c r="AB71" s="155">
        <f t="shared" si="28"/>
        <v>0</v>
      </c>
      <c r="AC71" s="423"/>
      <c r="AD71" s="156">
        <f t="shared" si="29"/>
        <v>-0.12475025799269203</v>
      </c>
      <c r="AE71" s="156">
        <f t="shared" si="29"/>
        <v>0</v>
      </c>
      <c r="AF71" s="156">
        <f t="shared" si="29"/>
        <v>0</v>
      </c>
      <c r="AG71" s="156">
        <f t="shared" si="29"/>
        <v>0</v>
      </c>
    </row>
    <row r="72" spans="2:337" s="660" customFormat="1" ht="15" customHeight="1" x14ac:dyDescent="0.3">
      <c r="B72" s="670" t="s">
        <v>7891</v>
      </c>
      <c r="C72" s="539" t="s">
        <v>7892</v>
      </c>
      <c r="D72" s="540">
        <v>9600</v>
      </c>
      <c r="E72" s="541">
        <v>20000</v>
      </c>
      <c r="F72" s="541">
        <f t="shared" si="30"/>
        <v>192000000</v>
      </c>
      <c r="G72" s="541">
        <f t="shared" si="23"/>
        <v>4239</v>
      </c>
      <c r="H72" s="541">
        <f t="shared" si="24"/>
        <v>45293.701344656758</v>
      </c>
      <c r="I72" s="231">
        <v>35294</v>
      </c>
      <c r="J72" s="659"/>
      <c r="K72" s="231">
        <f t="shared" si="25"/>
        <v>48630.282230624674</v>
      </c>
      <c r="L72" s="231">
        <f t="shared" si="26"/>
        <v>13336.282230624674</v>
      </c>
      <c r="M72" s="232">
        <f t="shared" si="7"/>
        <v>0.37786258940966383</v>
      </c>
      <c r="N72" s="659"/>
      <c r="O72" s="231">
        <f t="shared" si="27"/>
        <v>35294</v>
      </c>
      <c r="P72" s="231"/>
      <c r="Q72" s="231"/>
      <c r="R72" s="231"/>
      <c r="T72" s="231">
        <v>48630.282230624674</v>
      </c>
      <c r="U72" s="231">
        <v>0</v>
      </c>
      <c r="V72" s="231">
        <v>0</v>
      </c>
      <c r="W72" s="231">
        <v>0</v>
      </c>
      <c r="Y72" s="155">
        <f t="shared" si="28"/>
        <v>13336.282230624674</v>
      </c>
      <c r="Z72" s="155">
        <f t="shared" si="28"/>
        <v>0</v>
      </c>
      <c r="AA72" s="155">
        <f t="shared" si="28"/>
        <v>0</v>
      </c>
      <c r="AB72" s="155">
        <f t="shared" si="28"/>
        <v>0</v>
      </c>
      <c r="AC72" s="423"/>
      <c r="AD72" s="156">
        <f t="shared" si="29"/>
        <v>0.37786258940966383</v>
      </c>
      <c r="AE72" s="156">
        <f t="shared" si="29"/>
        <v>0</v>
      </c>
      <c r="AF72" s="156">
        <f t="shared" si="29"/>
        <v>0</v>
      </c>
      <c r="AG72" s="156">
        <f t="shared" si="29"/>
        <v>0</v>
      </c>
    </row>
    <row r="73" spans="2:337" s="660" customFormat="1" ht="15" customHeight="1" x14ac:dyDescent="0.3">
      <c r="B73" s="670" t="s">
        <v>7893</v>
      </c>
      <c r="C73" s="539" t="s">
        <v>7894</v>
      </c>
      <c r="D73" s="540">
        <f>2*2*10*8</f>
        <v>320</v>
      </c>
      <c r="E73" s="541">
        <v>20000</v>
      </c>
      <c r="F73" s="541">
        <f t="shared" si="30"/>
        <v>6400000</v>
      </c>
      <c r="G73" s="541">
        <f t="shared" si="23"/>
        <v>4239</v>
      </c>
      <c r="H73" s="541">
        <f t="shared" si="24"/>
        <v>1509.790044821892</v>
      </c>
      <c r="I73" s="231">
        <v>0</v>
      </c>
      <c r="J73" s="659"/>
      <c r="K73" s="231">
        <f t="shared" si="25"/>
        <v>0</v>
      </c>
      <c r="L73" s="231">
        <f t="shared" si="26"/>
        <v>0</v>
      </c>
      <c r="M73" s="232">
        <f t="shared" si="7"/>
        <v>0</v>
      </c>
      <c r="N73" s="659"/>
      <c r="O73" s="231">
        <f t="shared" si="27"/>
        <v>0</v>
      </c>
      <c r="P73" s="231"/>
      <c r="Q73" s="231"/>
      <c r="R73" s="231"/>
      <c r="T73" s="231"/>
      <c r="U73" s="231"/>
      <c r="V73" s="231"/>
      <c r="W73" s="231"/>
      <c r="Y73" s="155">
        <f t="shared" si="28"/>
        <v>0</v>
      </c>
      <c r="Z73" s="155">
        <f t="shared" si="28"/>
        <v>0</v>
      </c>
      <c r="AA73" s="155">
        <f t="shared" si="28"/>
        <v>0</v>
      </c>
      <c r="AB73" s="155">
        <f t="shared" si="28"/>
        <v>0</v>
      </c>
      <c r="AC73" s="423"/>
      <c r="AD73" s="156">
        <f t="shared" si="29"/>
        <v>0</v>
      </c>
      <c r="AE73" s="156">
        <f t="shared" si="29"/>
        <v>0</v>
      </c>
      <c r="AF73" s="156">
        <f t="shared" si="29"/>
        <v>0</v>
      </c>
      <c r="AG73" s="156">
        <f t="shared" si="29"/>
        <v>0</v>
      </c>
    </row>
    <row r="74" spans="2:337" s="660" customFormat="1" ht="15" customHeight="1" x14ac:dyDescent="0.3">
      <c r="B74" s="670" t="s">
        <v>7895</v>
      </c>
      <c r="C74" s="539" t="s">
        <v>7896</v>
      </c>
      <c r="D74" s="540">
        <f>3*10*2</f>
        <v>60</v>
      </c>
      <c r="E74" s="541">
        <v>300000</v>
      </c>
      <c r="F74" s="541">
        <f t="shared" si="30"/>
        <v>18000000</v>
      </c>
      <c r="G74" s="541">
        <f t="shared" si="23"/>
        <v>4239</v>
      </c>
      <c r="H74" s="541">
        <f t="shared" si="24"/>
        <v>4246.2845010615711</v>
      </c>
      <c r="I74" s="231">
        <v>0</v>
      </c>
      <c r="J74" s="659"/>
      <c r="K74" s="231">
        <f t="shared" si="25"/>
        <v>0</v>
      </c>
      <c r="L74" s="231">
        <f t="shared" si="26"/>
        <v>0</v>
      </c>
      <c r="M74" s="232">
        <f t="shared" si="7"/>
        <v>0</v>
      </c>
      <c r="N74" s="659"/>
      <c r="O74" s="231">
        <f t="shared" si="27"/>
        <v>0</v>
      </c>
      <c r="P74" s="231"/>
      <c r="Q74" s="231"/>
      <c r="R74" s="231"/>
      <c r="T74" s="231"/>
      <c r="U74" s="231"/>
      <c r="V74" s="231"/>
      <c r="W74" s="231"/>
      <c r="Y74" s="155">
        <f t="shared" si="28"/>
        <v>0</v>
      </c>
      <c r="Z74" s="155">
        <f t="shared" si="28"/>
        <v>0</v>
      </c>
      <c r="AA74" s="155">
        <f t="shared" si="28"/>
        <v>0</v>
      </c>
      <c r="AB74" s="155">
        <f t="shared" si="28"/>
        <v>0</v>
      </c>
      <c r="AC74" s="423"/>
      <c r="AD74" s="156">
        <f t="shared" si="29"/>
        <v>0</v>
      </c>
      <c r="AE74" s="156">
        <f t="shared" si="29"/>
        <v>0</v>
      </c>
      <c r="AF74" s="156">
        <f t="shared" si="29"/>
        <v>0</v>
      </c>
      <c r="AG74" s="156">
        <f t="shared" si="29"/>
        <v>0</v>
      </c>
    </row>
    <row r="75" spans="2:337" s="660" customFormat="1" ht="15" customHeight="1" x14ac:dyDescent="0.3">
      <c r="B75" s="670" t="s">
        <v>7897</v>
      </c>
      <c r="C75" s="539" t="s">
        <v>7898</v>
      </c>
      <c r="D75" s="540">
        <f>2*7*3*6</f>
        <v>252</v>
      </c>
      <c r="E75" s="541">
        <v>250000</v>
      </c>
      <c r="F75" s="541">
        <f t="shared" si="30"/>
        <v>63000000</v>
      </c>
      <c r="G75" s="541">
        <f t="shared" si="23"/>
        <v>4239</v>
      </c>
      <c r="H75" s="541">
        <f t="shared" si="24"/>
        <v>14861.995753715499</v>
      </c>
      <c r="I75" s="231">
        <v>0</v>
      </c>
      <c r="J75" s="704"/>
      <c r="K75" s="231">
        <f t="shared" si="25"/>
        <v>0</v>
      </c>
      <c r="L75" s="231">
        <f t="shared" si="26"/>
        <v>0</v>
      </c>
      <c r="M75" s="232">
        <f t="shared" ref="M75:M138" si="31">IFERROR(L75/I75,0)</f>
        <v>0</v>
      </c>
      <c r="N75" s="659"/>
      <c r="O75" s="231">
        <f t="shared" si="27"/>
        <v>0</v>
      </c>
      <c r="P75" s="231"/>
      <c r="Q75" s="231"/>
      <c r="R75" s="231"/>
      <c r="T75" s="231"/>
      <c r="U75" s="231"/>
      <c r="V75" s="231"/>
      <c r="W75" s="231"/>
      <c r="Y75" s="155">
        <f t="shared" si="28"/>
        <v>0</v>
      </c>
      <c r="Z75" s="155">
        <f t="shared" si="28"/>
        <v>0</v>
      </c>
      <c r="AA75" s="155">
        <f t="shared" si="28"/>
        <v>0</v>
      </c>
      <c r="AB75" s="155">
        <f t="shared" si="28"/>
        <v>0</v>
      </c>
      <c r="AC75" s="423"/>
      <c r="AD75" s="156">
        <f t="shared" si="29"/>
        <v>0</v>
      </c>
      <c r="AE75" s="156">
        <f t="shared" si="29"/>
        <v>0</v>
      </c>
      <c r="AF75" s="156">
        <f t="shared" si="29"/>
        <v>0</v>
      </c>
      <c r="AG75" s="156">
        <f t="shared" si="29"/>
        <v>0</v>
      </c>
    </row>
    <row r="76" spans="2:337" s="660" customFormat="1" ht="15" customHeight="1" x14ac:dyDescent="0.3">
      <c r="B76" s="670" t="s">
        <v>7899</v>
      </c>
      <c r="C76" s="539" t="s">
        <v>7900</v>
      </c>
      <c r="D76" s="540">
        <v>1890</v>
      </c>
      <c r="E76" s="541">
        <v>50000</v>
      </c>
      <c r="F76" s="541">
        <f t="shared" si="30"/>
        <v>94500000</v>
      </c>
      <c r="G76" s="541">
        <f t="shared" si="23"/>
        <v>4239</v>
      </c>
      <c r="H76" s="541">
        <f t="shared" si="24"/>
        <v>22292.993630573248</v>
      </c>
      <c r="I76" s="231">
        <v>6242</v>
      </c>
      <c r="J76" s="704"/>
      <c r="K76" s="231">
        <f t="shared" si="25"/>
        <v>10886.287956800641</v>
      </c>
      <c r="L76" s="231">
        <f t="shared" si="26"/>
        <v>4644.287956800641</v>
      </c>
      <c r="M76" s="232">
        <f t="shared" si="31"/>
        <v>0.74403844229423921</v>
      </c>
      <c r="N76" s="659"/>
      <c r="O76" s="231">
        <f t="shared" si="27"/>
        <v>6242</v>
      </c>
      <c r="P76" s="231"/>
      <c r="Q76" s="231"/>
      <c r="R76" s="231"/>
      <c r="T76" s="231">
        <v>9885.2329941094267</v>
      </c>
      <c r="U76" s="231">
        <v>1001.0549626912148</v>
      </c>
      <c r="V76" s="231">
        <v>0</v>
      </c>
      <c r="W76" s="231">
        <v>0</v>
      </c>
      <c r="Y76" s="155">
        <f t="shared" si="28"/>
        <v>3643.2329941094267</v>
      </c>
      <c r="Z76" s="155">
        <f t="shared" si="28"/>
        <v>1001.0549626912148</v>
      </c>
      <c r="AA76" s="155">
        <f t="shared" si="28"/>
        <v>0</v>
      </c>
      <c r="AB76" s="155">
        <f t="shared" si="28"/>
        <v>0</v>
      </c>
      <c r="AC76" s="423"/>
      <c r="AD76" s="156">
        <f t="shared" si="29"/>
        <v>0.58366436945040479</v>
      </c>
      <c r="AE76" s="156">
        <f t="shared" si="29"/>
        <v>0</v>
      </c>
      <c r="AF76" s="156">
        <f t="shared" si="29"/>
        <v>0</v>
      </c>
      <c r="AG76" s="156">
        <f t="shared" si="29"/>
        <v>0</v>
      </c>
    </row>
    <row r="77" spans="2:337" s="661" customFormat="1" ht="15" customHeight="1" x14ac:dyDescent="0.3">
      <c r="B77" s="705" t="s">
        <v>7901</v>
      </c>
      <c r="C77" s="706" t="s">
        <v>7902</v>
      </c>
      <c r="D77" s="656">
        <v>2100</v>
      </c>
      <c r="E77" s="707">
        <v>5000</v>
      </c>
      <c r="F77" s="707">
        <f t="shared" si="30"/>
        <v>10500000</v>
      </c>
      <c r="G77" s="707">
        <f>+$G$6</f>
        <v>4239</v>
      </c>
      <c r="H77" s="708">
        <f t="shared" si="24"/>
        <v>2476.9992922859165</v>
      </c>
      <c r="I77" s="231">
        <v>2477</v>
      </c>
      <c r="J77" s="659"/>
      <c r="K77" s="231">
        <f t="shared" si="25"/>
        <v>2530.959704791318</v>
      </c>
      <c r="L77" s="231">
        <f t="shared" si="26"/>
        <v>53.959704791318018</v>
      </c>
      <c r="M77" s="222">
        <f t="shared" si="31"/>
        <v>2.1784297453095687E-2</v>
      </c>
      <c r="N77" s="659"/>
      <c r="O77" s="231">
        <f t="shared" si="27"/>
        <v>2477</v>
      </c>
      <c r="P77" s="231"/>
      <c r="Q77" s="231"/>
      <c r="R77" s="231"/>
      <c r="S77" s="660"/>
      <c r="T77" s="231">
        <v>2530.959704791318</v>
      </c>
      <c r="U77" s="231">
        <v>0</v>
      </c>
      <c r="V77" s="231">
        <v>0</v>
      </c>
      <c r="W77" s="231">
        <v>0</v>
      </c>
      <c r="X77" s="660"/>
      <c r="Y77" s="155">
        <f t="shared" si="28"/>
        <v>53.959704791318018</v>
      </c>
      <c r="Z77" s="155">
        <f t="shared" si="28"/>
        <v>0</v>
      </c>
      <c r="AA77" s="155">
        <f t="shared" si="28"/>
        <v>0</v>
      </c>
      <c r="AB77" s="155">
        <f t="shared" si="28"/>
        <v>0</v>
      </c>
      <c r="AC77" s="423"/>
      <c r="AD77" s="156">
        <f t="shared" si="29"/>
        <v>2.1784297453095687E-2</v>
      </c>
      <c r="AE77" s="156">
        <f t="shared" si="29"/>
        <v>0</v>
      </c>
      <c r="AF77" s="156">
        <f t="shared" si="29"/>
        <v>0</v>
      </c>
      <c r="AG77" s="156">
        <f t="shared" si="29"/>
        <v>0</v>
      </c>
      <c r="AH77" s="660"/>
      <c r="AI77" s="660"/>
      <c r="AJ77" s="660"/>
      <c r="AK77" s="660"/>
      <c r="AL77" s="660"/>
      <c r="AM77" s="660"/>
      <c r="AN77" s="660"/>
      <c r="AO77" s="660"/>
      <c r="AP77" s="660"/>
      <c r="AQ77" s="660"/>
      <c r="AR77" s="660"/>
      <c r="AS77" s="660"/>
      <c r="AT77" s="660"/>
      <c r="AU77" s="660"/>
      <c r="AV77" s="660"/>
      <c r="AW77" s="660"/>
      <c r="AX77" s="660"/>
      <c r="AY77" s="660"/>
      <c r="AZ77" s="660"/>
      <c r="BA77" s="660"/>
      <c r="BB77" s="660"/>
      <c r="BC77" s="660"/>
      <c r="BD77" s="660"/>
      <c r="BE77" s="660"/>
      <c r="BF77" s="660"/>
      <c r="BG77" s="660"/>
      <c r="BH77" s="660"/>
      <c r="BI77" s="660"/>
      <c r="BJ77" s="660"/>
      <c r="BK77" s="660"/>
      <c r="BL77" s="660"/>
      <c r="BM77" s="660"/>
      <c r="BN77" s="660"/>
      <c r="BO77" s="660"/>
      <c r="BP77" s="660"/>
      <c r="BQ77" s="660"/>
      <c r="BR77" s="660"/>
      <c r="BS77" s="660"/>
      <c r="BT77" s="660"/>
      <c r="BU77" s="660"/>
      <c r="BV77" s="660"/>
      <c r="BW77" s="660"/>
      <c r="BX77" s="660"/>
      <c r="BY77" s="660"/>
      <c r="BZ77" s="660"/>
      <c r="CA77" s="660"/>
      <c r="CB77" s="660"/>
      <c r="CC77" s="660"/>
      <c r="CD77" s="660"/>
      <c r="CE77" s="660"/>
      <c r="CF77" s="660"/>
      <c r="CG77" s="660"/>
      <c r="CH77" s="660"/>
      <c r="CI77" s="660"/>
      <c r="CJ77" s="660"/>
      <c r="CK77" s="660"/>
      <c r="CL77" s="660"/>
      <c r="CM77" s="660"/>
      <c r="CN77" s="660"/>
      <c r="CO77" s="660"/>
      <c r="CP77" s="660"/>
      <c r="CQ77" s="660"/>
      <c r="CR77" s="660"/>
      <c r="CS77" s="660"/>
      <c r="CT77" s="660"/>
      <c r="CU77" s="660"/>
      <c r="CV77" s="660"/>
      <c r="CW77" s="660"/>
      <c r="CX77" s="660"/>
      <c r="CY77" s="660"/>
      <c r="CZ77" s="660"/>
      <c r="DA77" s="660"/>
      <c r="DB77" s="660"/>
      <c r="DC77" s="660"/>
      <c r="DD77" s="660"/>
      <c r="DE77" s="660"/>
      <c r="DF77" s="660"/>
      <c r="DG77" s="660"/>
      <c r="DH77" s="660"/>
      <c r="DI77" s="660"/>
      <c r="DJ77" s="660"/>
      <c r="DK77" s="660"/>
      <c r="DL77" s="660"/>
      <c r="DM77" s="660"/>
      <c r="DN77" s="660"/>
      <c r="DO77" s="660"/>
      <c r="DP77" s="660"/>
      <c r="DQ77" s="660"/>
      <c r="DR77" s="660"/>
      <c r="DS77" s="660"/>
      <c r="DT77" s="660"/>
      <c r="DU77" s="660"/>
      <c r="DV77" s="660"/>
      <c r="DW77" s="660"/>
      <c r="DX77" s="660"/>
      <c r="DY77" s="660"/>
      <c r="DZ77" s="660"/>
      <c r="EA77" s="660"/>
      <c r="EB77" s="660"/>
      <c r="EC77" s="660"/>
      <c r="ED77" s="660"/>
      <c r="EE77" s="660"/>
      <c r="EF77" s="660"/>
      <c r="EG77" s="660"/>
      <c r="EH77" s="660"/>
      <c r="EI77" s="660"/>
      <c r="EJ77" s="660"/>
      <c r="EK77" s="660"/>
      <c r="EL77" s="660"/>
      <c r="EM77" s="660"/>
      <c r="EN77" s="660"/>
      <c r="EO77" s="660"/>
      <c r="EP77" s="660"/>
      <c r="EQ77" s="660"/>
      <c r="ER77" s="660"/>
      <c r="ES77" s="660"/>
      <c r="ET77" s="660"/>
      <c r="EU77" s="660"/>
      <c r="EV77" s="660"/>
      <c r="EW77" s="660"/>
      <c r="EX77" s="660"/>
      <c r="EY77" s="660"/>
      <c r="EZ77" s="660"/>
      <c r="FA77" s="660"/>
      <c r="FB77" s="660"/>
      <c r="FC77" s="660"/>
      <c r="FD77" s="660"/>
      <c r="FE77" s="660"/>
      <c r="FF77" s="660"/>
      <c r="FG77" s="660"/>
      <c r="FH77" s="660"/>
      <c r="FI77" s="660"/>
      <c r="FJ77" s="660"/>
      <c r="FK77" s="660"/>
      <c r="FL77" s="660"/>
      <c r="FM77" s="660"/>
      <c r="FN77" s="660"/>
      <c r="FO77" s="660"/>
      <c r="FP77" s="660"/>
      <c r="FQ77" s="660"/>
      <c r="FR77" s="660"/>
      <c r="FS77" s="660"/>
      <c r="FT77" s="660"/>
      <c r="FU77" s="660"/>
      <c r="FV77" s="660"/>
      <c r="FW77" s="660"/>
      <c r="FX77" s="660"/>
      <c r="FY77" s="660"/>
      <c r="FZ77" s="660"/>
      <c r="GA77" s="660"/>
      <c r="GB77" s="660"/>
      <c r="GC77" s="660"/>
      <c r="GD77" s="660"/>
      <c r="GE77" s="660"/>
      <c r="GF77" s="660"/>
      <c r="GG77" s="660"/>
      <c r="GH77" s="660"/>
      <c r="GI77" s="660"/>
      <c r="GJ77" s="660"/>
      <c r="GK77" s="660"/>
      <c r="GL77" s="660"/>
      <c r="GM77" s="660"/>
      <c r="GN77" s="660"/>
      <c r="GO77" s="660"/>
      <c r="GP77" s="660"/>
      <c r="GQ77" s="660"/>
      <c r="GR77" s="660"/>
      <c r="GS77" s="660"/>
      <c r="GT77" s="660"/>
      <c r="GU77" s="660"/>
      <c r="GV77" s="660"/>
      <c r="GW77" s="660"/>
      <c r="GX77" s="660"/>
      <c r="GY77" s="660"/>
      <c r="GZ77" s="660"/>
      <c r="HA77" s="660"/>
      <c r="HB77" s="660"/>
      <c r="HC77" s="660"/>
      <c r="HD77" s="660"/>
      <c r="HE77" s="660"/>
      <c r="HF77" s="660"/>
      <c r="HG77" s="660"/>
      <c r="HH77" s="660"/>
      <c r="HI77" s="660"/>
      <c r="HJ77" s="660"/>
      <c r="HK77" s="660"/>
      <c r="HL77" s="660"/>
      <c r="HM77" s="660"/>
      <c r="HN77" s="660"/>
      <c r="HO77" s="660"/>
      <c r="HP77" s="660"/>
      <c r="HQ77" s="660"/>
      <c r="HR77" s="660"/>
      <c r="HS77" s="660"/>
      <c r="HT77" s="660"/>
      <c r="HU77" s="660"/>
      <c r="HV77" s="660"/>
      <c r="HW77" s="660"/>
      <c r="HX77" s="660"/>
      <c r="HY77" s="660"/>
      <c r="HZ77" s="660"/>
      <c r="IA77" s="660"/>
      <c r="IB77" s="660"/>
      <c r="IC77" s="660"/>
      <c r="ID77" s="660"/>
      <c r="IE77" s="660"/>
      <c r="IF77" s="660"/>
      <c r="IG77" s="660"/>
      <c r="IH77" s="660"/>
      <c r="II77" s="660"/>
      <c r="IJ77" s="660"/>
      <c r="IK77" s="660"/>
      <c r="IL77" s="660"/>
      <c r="IM77" s="660"/>
      <c r="IN77" s="660"/>
      <c r="IO77" s="660"/>
      <c r="IP77" s="660"/>
      <c r="IQ77" s="660"/>
      <c r="IR77" s="660"/>
      <c r="IS77" s="660"/>
      <c r="IT77" s="660"/>
      <c r="IU77" s="660"/>
      <c r="IV77" s="660"/>
      <c r="IW77" s="660"/>
      <c r="IX77" s="660"/>
      <c r="IY77" s="660"/>
      <c r="IZ77" s="660"/>
      <c r="JA77" s="660"/>
      <c r="JB77" s="660"/>
      <c r="JC77" s="660"/>
      <c r="JD77" s="660"/>
      <c r="JE77" s="660"/>
      <c r="JF77" s="660"/>
      <c r="JG77" s="660"/>
      <c r="JH77" s="660"/>
      <c r="JI77" s="660"/>
      <c r="JJ77" s="660"/>
      <c r="JK77" s="660"/>
      <c r="JL77" s="660"/>
      <c r="JM77" s="660"/>
      <c r="JN77" s="660"/>
      <c r="JO77" s="660"/>
      <c r="JP77" s="660"/>
      <c r="JQ77" s="660"/>
      <c r="JR77" s="660"/>
      <c r="JS77" s="660"/>
      <c r="JT77" s="660"/>
      <c r="JU77" s="660"/>
      <c r="JV77" s="660"/>
      <c r="JW77" s="660"/>
      <c r="JX77" s="660"/>
      <c r="JY77" s="660"/>
      <c r="JZ77" s="660"/>
      <c r="KA77" s="660"/>
      <c r="KB77" s="660"/>
      <c r="KC77" s="660"/>
      <c r="KD77" s="660"/>
      <c r="KE77" s="660"/>
      <c r="KF77" s="660"/>
      <c r="KG77" s="660"/>
      <c r="KH77" s="660"/>
      <c r="KI77" s="660"/>
      <c r="KJ77" s="660"/>
      <c r="KK77" s="660"/>
      <c r="KL77" s="660"/>
      <c r="KM77" s="660"/>
      <c r="KN77" s="660"/>
      <c r="KO77" s="660"/>
      <c r="KP77" s="660"/>
      <c r="KQ77" s="660"/>
      <c r="KR77" s="660"/>
      <c r="KS77" s="660"/>
      <c r="KT77" s="660"/>
      <c r="KU77" s="660"/>
      <c r="KV77" s="660"/>
      <c r="KW77" s="660"/>
      <c r="KX77" s="660"/>
      <c r="KY77" s="660"/>
      <c r="KZ77" s="660"/>
      <c r="LA77" s="660"/>
      <c r="LB77" s="660"/>
      <c r="LC77" s="660"/>
      <c r="LD77" s="660"/>
      <c r="LE77" s="660"/>
      <c r="LF77" s="660"/>
      <c r="LG77" s="660"/>
      <c r="LH77" s="660"/>
      <c r="LI77" s="660"/>
      <c r="LJ77" s="660"/>
      <c r="LK77" s="660"/>
      <c r="LL77" s="660"/>
      <c r="LM77" s="660"/>
      <c r="LN77" s="660"/>
      <c r="LO77" s="660"/>
      <c r="LP77" s="660"/>
      <c r="LQ77" s="660"/>
      <c r="LR77" s="660"/>
      <c r="LS77" s="660"/>
      <c r="LT77" s="660"/>
      <c r="LU77" s="660"/>
      <c r="LV77" s="660"/>
      <c r="LW77" s="660"/>
      <c r="LX77" s="660"/>
      <c r="LY77" s="660"/>
    </row>
    <row r="78" spans="2:337" ht="25.5" customHeight="1" x14ac:dyDescent="0.3">
      <c r="B78" s="872" t="s">
        <v>7903</v>
      </c>
      <c r="C78" s="873"/>
      <c r="D78" s="873"/>
      <c r="E78" s="873"/>
      <c r="F78" s="873"/>
      <c r="G78" s="873"/>
      <c r="H78" s="874"/>
      <c r="I78" s="709"/>
      <c r="J78" s="710"/>
      <c r="K78" s="711"/>
      <c r="L78" s="712"/>
      <c r="M78" s="713"/>
      <c r="N78" s="659"/>
      <c r="O78" s="857"/>
      <c r="P78" s="858"/>
      <c r="Q78" s="858"/>
      <c r="R78" s="859"/>
      <c r="T78" s="857"/>
      <c r="U78" s="858"/>
      <c r="V78" s="858"/>
      <c r="W78" s="859"/>
      <c r="Y78" s="214"/>
      <c r="Z78" s="214"/>
      <c r="AA78" s="214"/>
      <c r="AB78" s="214"/>
      <c r="AC78" s="146"/>
      <c r="AD78" s="422"/>
      <c r="AE78" s="422"/>
      <c r="AF78" s="422"/>
      <c r="AG78" s="422"/>
    </row>
    <row r="79" spans="2:337" s="660" customFormat="1" ht="15" customHeight="1" x14ac:dyDescent="0.3">
      <c r="B79" s="538" t="s">
        <v>7904</v>
      </c>
      <c r="C79" s="539" t="s">
        <v>7905</v>
      </c>
      <c r="D79" s="540">
        <f>15*10</f>
        <v>150</v>
      </c>
      <c r="E79" s="541">
        <v>175000</v>
      </c>
      <c r="F79" s="541">
        <f t="shared" ref="F79:F92" si="32">D79*E79</f>
        <v>26250000</v>
      </c>
      <c r="G79" s="541">
        <f t="shared" ref="G79:G96" si="33">$G$6</f>
        <v>4239</v>
      </c>
      <c r="H79" s="541">
        <f t="shared" ref="H79:H92" si="34">IF($G$6=0,0,F79/G79)</f>
        <v>6192.4982307147911</v>
      </c>
      <c r="I79" s="231">
        <v>0</v>
      </c>
      <c r="J79" s="659"/>
      <c r="K79" s="231">
        <f t="shared" si="25"/>
        <v>0</v>
      </c>
      <c r="L79" s="231">
        <f t="shared" ref="L79:L96" si="35">K79-I79</f>
        <v>0</v>
      </c>
      <c r="M79" s="232">
        <f t="shared" si="31"/>
        <v>0</v>
      </c>
      <c r="N79" s="659"/>
      <c r="O79" s="231"/>
      <c r="P79" s="231">
        <f t="shared" ref="P79:P96" si="36">I79</f>
        <v>0</v>
      </c>
      <c r="Q79" s="231"/>
      <c r="R79" s="231"/>
      <c r="T79" s="231"/>
      <c r="U79" s="231"/>
      <c r="V79" s="231"/>
      <c r="W79" s="231"/>
      <c r="Y79" s="155">
        <f t="shared" ref="Y79:AB96" si="37">T79-O79</f>
        <v>0</v>
      </c>
      <c r="Z79" s="155">
        <f t="shared" si="37"/>
        <v>0</v>
      </c>
      <c r="AA79" s="155">
        <f t="shared" si="37"/>
        <v>0</v>
      </c>
      <c r="AB79" s="155">
        <f t="shared" si="37"/>
        <v>0</v>
      </c>
      <c r="AC79" s="159"/>
      <c r="AD79" s="156">
        <f t="shared" ref="AD79:AG96" si="38">IFERROR(Y79/O79,0)</f>
        <v>0</v>
      </c>
      <c r="AE79" s="156">
        <f t="shared" si="38"/>
        <v>0</v>
      </c>
      <c r="AF79" s="156">
        <f t="shared" si="38"/>
        <v>0</v>
      </c>
      <c r="AG79" s="156">
        <f t="shared" si="38"/>
        <v>0</v>
      </c>
    </row>
    <row r="80" spans="2:337" s="660" customFormat="1" ht="15" customHeight="1" x14ac:dyDescent="0.3">
      <c r="B80" s="538" t="s">
        <v>7906</v>
      </c>
      <c r="C80" s="539" t="s">
        <v>7905</v>
      </c>
      <c r="D80" s="540">
        <f>2*5*100</f>
        <v>1000</v>
      </c>
      <c r="E80" s="541">
        <v>75000</v>
      </c>
      <c r="F80" s="541">
        <f t="shared" si="32"/>
        <v>75000000</v>
      </c>
      <c r="G80" s="541">
        <f t="shared" si="33"/>
        <v>4239</v>
      </c>
      <c r="H80" s="541">
        <f t="shared" si="34"/>
        <v>17692.852087756546</v>
      </c>
      <c r="I80" s="231">
        <v>0</v>
      </c>
      <c r="J80" s="659"/>
      <c r="K80" s="231">
        <f t="shared" si="25"/>
        <v>0</v>
      </c>
      <c r="L80" s="231">
        <f t="shared" si="35"/>
        <v>0</v>
      </c>
      <c r="M80" s="232">
        <f t="shared" si="31"/>
        <v>0</v>
      </c>
      <c r="N80" s="659"/>
      <c r="O80" s="231"/>
      <c r="P80" s="231">
        <f t="shared" si="36"/>
        <v>0</v>
      </c>
      <c r="Q80" s="231"/>
      <c r="R80" s="231"/>
      <c r="T80" s="231"/>
      <c r="U80" s="231"/>
      <c r="V80" s="231"/>
      <c r="W80" s="231"/>
      <c r="Y80" s="155">
        <f t="shared" si="37"/>
        <v>0</v>
      </c>
      <c r="Z80" s="155">
        <f t="shared" si="37"/>
        <v>0</v>
      </c>
      <c r="AA80" s="155">
        <f t="shared" si="37"/>
        <v>0</v>
      </c>
      <c r="AB80" s="155">
        <f t="shared" si="37"/>
        <v>0</v>
      </c>
      <c r="AC80" s="159"/>
      <c r="AD80" s="156">
        <f t="shared" si="38"/>
        <v>0</v>
      </c>
      <c r="AE80" s="156">
        <f t="shared" si="38"/>
        <v>0</v>
      </c>
      <c r="AF80" s="156">
        <f t="shared" si="38"/>
        <v>0</v>
      </c>
      <c r="AG80" s="156">
        <f t="shared" si="38"/>
        <v>0</v>
      </c>
    </row>
    <row r="81" spans="2:33" s="660" customFormat="1" ht="15" customHeight="1" x14ac:dyDescent="0.3">
      <c r="B81" s="538" t="s">
        <v>7907</v>
      </c>
      <c r="C81" s="539" t="s">
        <v>7905</v>
      </c>
      <c r="D81" s="540">
        <f>2*7*3*5*2</f>
        <v>420</v>
      </c>
      <c r="E81" s="541">
        <v>75000</v>
      </c>
      <c r="F81" s="541">
        <f t="shared" si="32"/>
        <v>31500000</v>
      </c>
      <c r="G81" s="541">
        <f t="shared" si="33"/>
        <v>4239</v>
      </c>
      <c r="H81" s="541">
        <f t="shared" si="34"/>
        <v>7430.9978768577494</v>
      </c>
      <c r="I81" s="231">
        <v>0</v>
      </c>
      <c r="J81" s="659"/>
      <c r="K81" s="231">
        <f t="shared" si="25"/>
        <v>868.51936058325805</v>
      </c>
      <c r="L81" s="231">
        <f t="shared" si="35"/>
        <v>868.51936058325805</v>
      </c>
      <c r="M81" s="232">
        <f t="shared" si="31"/>
        <v>0</v>
      </c>
      <c r="N81" s="659"/>
      <c r="O81" s="231"/>
      <c r="P81" s="231">
        <f t="shared" si="36"/>
        <v>0</v>
      </c>
      <c r="Q81" s="231"/>
      <c r="R81" s="231"/>
      <c r="T81" s="231">
        <v>0</v>
      </c>
      <c r="U81" s="231">
        <v>868.51936058325805</v>
      </c>
      <c r="V81" s="231">
        <v>0</v>
      </c>
      <c r="W81" s="231">
        <v>0</v>
      </c>
      <c r="Y81" s="155">
        <f t="shared" si="37"/>
        <v>0</v>
      </c>
      <c r="Z81" s="155">
        <f t="shared" si="37"/>
        <v>868.51936058325805</v>
      </c>
      <c r="AA81" s="155">
        <f t="shared" si="37"/>
        <v>0</v>
      </c>
      <c r="AB81" s="155">
        <f t="shared" si="37"/>
        <v>0</v>
      </c>
      <c r="AC81" s="159"/>
      <c r="AD81" s="156">
        <f t="shared" si="38"/>
        <v>0</v>
      </c>
      <c r="AE81" s="156">
        <f t="shared" si="38"/>
        <v>0</v>
      </c>
      <c r="AF81" s="156">
        <f t="shared" si="38"/>
        <v>0</v>
      </c>
      <c r="AG81" s="156">
        <f t="shared" si="38"/>
        <v>0</v>
      </c>
    </row>
    <row r="82" spans="2:33" s="660" customFormat="1" ht="15" customHeight="1" x14ac:dyDescent="0.3">
      <c r="B82" s="538" t="s">
        <v>7908</v>
      </c>
      <c r="C82" s="539" t="s">
        <v>7905</v>
      </c>
      <c r="D82" s="540">
        <f>2*10*4</f>
        <v>80</v>
      </c>
      <c r="E82" s="541">
        <v>75000</v>
      </c>
      <c r="F82" s="541">
        <f t="shared" si="32"/>
        <v>6000000</v>
      </c>
      <c r="G82" s="541">
        <f t="shared" si="33"/>
        <v>4239</v>
      </c>
      <c r="H82" s="541">
        <f t="shared" si="34"/>
        <v>1415.4281670205237</v>
      </c>
      <c r="I82" s="231">
        <v>0</v>
      </c>
      <c r="J82" s="659"/>
      <c r="K82" s="231">
        <f t="shared" si="25"/>
        <v>0</v>
      </c>
      <c r="L82" s="231">
        <f t="shared" si="35"/>
        <v>0</v>
      </c>
      <c r="M82" s="232">
        <f t="shared" si="31"/>
        <v>0</v>
      </c>
      <c r="N82" s="659"/>
      <c r="O82" s="231"/>
      <c r="P82" s="231">
        <f t="shared" si="36"/>
        <v>0</v>
      </c>
      <c r="Q82" s="231"/>
      <c r="R82" s="231"/>
      <c r="T82" s="231"/>
      <c r="U82" s="231"/>
      <c r="V82" s="231"/>
      <c r="W82" s="231"/>
      <c r="Y82" s="155">
        <f t="shared" si="37"/>
        <v>0</v>
      </c>
      <c r="Z82" s="155">
        <f t="shared" si="37"/>
        <v>0</v>
      </c>
      <c r="AA82" s="155">
        <f t="shared" si="37"/>
        <v>0</v>
      </c>
      <c r="AB82" s="155">
        <f t="shared" si="37"/>
        <v>0</v>
      </c>
      <c r="AC82" s="159"/>
      <c r="AD82" s="156">
        <f t="shared" si="38"/>
        <v>0</v>
      </c>
      <c r="AE82" s="156">
        <f t="shared" si="38"/>
        <v>0</v>
      </c>
      <c r="AF82" s="156">
        <f t="shared" si="38"/>
        <v>0</v>
      </c>
      <c r="AG82" s="156">
        <f t="shared" si="38"/>
        <v>0</v>
      </c>
    </row>
    <row r="83" spans="2:33" s="660" customFormat="1" ht="15" customHeight="1" x14ac:dyDescent="0.3">
      <c r="B83" s="538" t="s">
        <v>134</v>
      </c>
      <c r="C83" s="539" t="s">
        <v>7905</v>
      </c>
      <c r="D83" s="540">
        <f>20*10</f>
        <v>200</v>
      </c>
      <c r="E83" s="541">
        <v>175000</v>
      </c>
      <c r="F83" s="541">
        <f t="shared" si="32"/>
        <v>35000000</v>
      </c>
      <c r="G83" s="541">
        <f t="shared" si="33"/>
        <v>4239</v>
      </c>
      <c r="H83" s="541">
        <f t="shared" si="34"/>
        <v>8256.6643076197215</v>
      </c>
      <c r="I83" s="231">
        <v>0</v>
      </c>
      <c r="J83" s="659"/>
      <c r="K83" s="231">
        <f t="shared" si="25"/>
        <v>0</v>
      </c>
      <c r="L83" s="231">
        <f t="shared" si="35"/>
        <v>0</v>
      </c>
      <c r="M83" s="232">
        <f t="shared" si="31"/>
        <v>0</v>
      </c>
      <c r="N83" s="659"/>
      <c r="O83" s="231"/>
      <c r="P83" s="231">
        <f t="shared" si="36"/>
        <v>0</v>
      </c>
      <c r="Q83" s="231"/>
      <c r="R83" s="231"/>
      <c r="T83" s="231"/>
      <c r="U83" s="231"/>
      <c r="V83" s="231"/>
      <c r="W83" s="231"/>
      <c r="Y83" s="155">
        <f t="shared" si="37"/>
        <v>0</v>
      </c>
      <c r="Z83" s="155">
        <f t="shared" si="37"/>
        <v>0</v>
      </c>
      <c r="AA83" s="155">
        <f t="shared" si="37"/>
        <v>0</v>
      </c>
      <c r="AB83" s="155">
        <f t="shared" si="37"/>
        <v>0</v>
      </c>
      <c r="AC83" s="159"/>
      <c r="AD83" s="156">
        <f t="shared" si="38"/>
        <v>0</v>
      </c>
      <c r="AE83" s="156">
        <f t="shared" si="38"/>
        <v>0</v>
      </c>
      <c r="AF83" s="156">
        <f t="shared" si="38"/>
        <v>0</v>
      </c>
      <c r="AG83" s="156">
        <f t="shared" si="38"/>
        <v>0</v>
      </c>
    </row>
    <row r="84" spans="2:33" s="660" customFormat="1" ht="15" customHeight="1" x14ac:dyDescent="0.3">
      <c r="B84" s="538" t="s">
        <v>7909</v>
      </c>
      <c r="C84" s="539" t="s">
        <v>7910</v>
      </c>
      <c r="D84" s="540">
        <f>20*10</f>
        <v>200</v>
      </c>
      <c r="E84" s="541">
        <v>175000</v>
      </c>
      <c r="F84" s="541">
        <f t="shared" si="32"/>
        <v>35000000</v>
      </c>
      <c r="G84" s="541">
        <f t="shared" si="33"/>
        <v>4239</v>
      </c>
      <c r="H84" s="541">
        <f t="shared" si="34"/>
        <v>8256.6643076197215</v>
      </c>
      <c r="I84" s="231">
        <v>0</v>
      </c>
      <c r="J84" s="659"/>
      <c r="K84" s="231">
        <f t="shared" si="25"/>
        <v>0</v>
      </c>
      <c r="L84" s="231">
        <f t="shared" si="35"/>
        <v>0</v>
      </c>
      <c r="M84" s="232">
        <f t="shared" si="31"/>
        <v>0</v>
      </c>
      <c r="N84" s="659"/>
      <c r="O84" s="231"/>
      <c r="P84" s="231">
        <f t="shared" si="36"/>
        <v>0</v>
      </c>
      <c r="Q84" s="231"/>
      <c r="R84" s="231"/>
      <c r="T84" s="231"/>
      <c r="U84" s="231"/>
      <c r="V84" s="231"/>
      <c r="W84" s="231"/>
      <c r="Y84" s="155">
        <f t="shared" si="37"/>
        <v>0</v>
      </c>
      <c r="Z84" s="155">
        <f t="shared" si="37"/>
        <v>0</v>
      </c>
      <c r="AA84" s="155">
        <f t="shared" si="37"/>
        <v>0</v>
      </c>
      <c r="AB84" s="155">
        <f t="shared" si="37"/>
        <v>0</v>
      </c>
      <c r="AC84" s="159"/>
      <c r="AD84" s="156">
        <f t="shared" si="38"/>
        <v>0</v>
      </c>
      <c r="AE84" s="156">
        <f t="shared" si="38"/>
        <v>0</v>
      </c>
      <c r="AF84" s="156">
        <f t="shared" si="38"/>
        <v>0</v>
      </c>
      <c r="AG84" s="156">
        <f t="shared" si="38"/>
        <v>0</v>
      </c>
    </row>
    <row r="85" spans="2:33" s="660" customFormat="1" ht="15" customHeight="1" x14ac:dyDescent="0.3">
      <c r="B85" s="538" t="s">
        <v>7911</v>
      </c>
      <c r="C85" s="539" t="s">
        <v>7894</v>
      </c>
      <c r="D85" s="540">
        <f>2*2*10*6</f>
        <v>240</v>
      </c>
      <c r="E85" s="541">
        <v>20000</v>
      </c>
      <c r="F85" s="541">
        <f t="shared" si="32"/>
        <v>4800000</v>
      </c>
      <c r="G85" s="541">
        <f t="shared" si="33"/>
        <v>4239</v>
      </c>
      <c r="H85" s="541">
        <f t="shared" si="34"/>
        <v>1132.3425336164189</v>
      </c>
      <c r="I85" s="231">
        <v>0</v>
      </c>
      <c r="J85" s="659"/>
      <c r="K85" s="231">
        <f t="shared" si="25"/>
        <v>0</v>
      </c>
      <c r="L85" s="231">
        <f t="shared" si="35"/>
        <v>0</v>
      </c>
      <c r="M85" s="232">
        <f t="shared" si="31"/>
        <v>0</v>
      </c>
      <c r="N85" s="659"/>
      <c r="O85" s="231"/>
      <c r="P85" s="231">
        <f t="shared" si="36"/>
        <v>0</v>
      </c>
      <c r="Q85" s="231"/>
      <c r="R85" s="231"/>
      <c r="T85" s="231"/>
      <c r="U85" s="231"/>
      <c r="V85" s="231"/>
      <c r="W85" s="231"/>
      <c r="Y85" s="155">
        <f t="shared" si="37"/>
        <v>0</v>
      </c>
      <c r="Z85" s="155">
        <f t="shared" si="37"/>
        <v>0</v>
      </c>
      <c r="AA85" s="155">
        <f t="shared" si="37"/>
        <v>0</v>
      </c>
      <c r="AB85" s="155">
        <f t="shared" si="37"/>
        <v>0</v>
      </c>
      <c r="AC85" s="159"/>
      <c r="AD85" s="156">
        <f t="shared" si="38"/>
        <v>0</v>
      </c>
      <c r="AE85" s="156">
        <f t="shared" si="38"/>
        <v>0</v>
      </c>
      <c r="AF85" s="156">
        <f t="shared" si="38"/>
        <v>0</v>
      </c>
      <c r="AG85" s="156">
        <f t="shared" si="38"/>
        <v>0</v>
      </c>
    </row>
    <row r="86" spans="2:33" s="660" customFormat="1" ht="15" customHeight="1" x14ac:dyDescent="0.3">
      <c r="B86" s="538" t="s">
        <v>7912</v>
      </c>
      <c r="C86" s="539" t="s">
        <v>7848</v>
      </c>
      <c r="D86" s="540">
        <v>3</v>
      </c>
      <c r="E86" s="541">
        <v>11200000</v>
      </c>
      <c r="F86" s="541">
        <f t="shared" si="32"/>
        <v>33600000</v>
      </c>
      <c r="G86" s="541">
        <f t="shared" si="33"/>
        <v>4239</v>
      </c>
      <c r="H86" s="541">
        <f t="shared" si="34"/>
        <v>7926.397735314933</v>
      </c>
      <c r="I86" s="231">
        <v>0</v>
      </c>
      <c r="J86" s="659"/>
      <c r="K86" s="231">
        <f t="shared" si="25"/>
        <v>0</v>
      </c>
      <c r="L86" s="231">
        <f t="shared" si="35"/>
        <v>0</v>
      </c>
      <c r="M86" s="232">
        <f t="shared" si="31"/>
        <v>0</v>
      </c>
      <c r="N86" s="659"/>
      <c r="O86" s="231"/>
      <c r="P86" s="231">
        <f t="shared" si="36"/>
        <v>0</v>
      </c>
      <c r="Q86" s="231"/>
      <c r="R86" s="231"/>
      <c r="T86" s="231"/>
      <c r="U86" s="231"/>
      <c r="V86" s="231"/>
      <c r="W86" s="231"/>
      <c r="Y86" s="155">
        <f t="shared" si="37"/>
        <v>0</v>
      </c>
      <c r="Z86" s="155">
        <f t="shared" si="37"/>
        <v>0</v>
      </c>
      <c r="AA86" s="155">
        <f t="shared" si="37"/>
        <v>0</v>
      </c>
      <c r="AB86" s="155">
        <f t="shared" si="37"/>
        <v>0</v>
      </c>
      <c r="AC86" s="159"/>
      <c r="AD86" s="156">
        <f t="shared" si="38"/>
        <v>0</v>
      </c>
      <c r="AE86" s="156">
        <f t="shared" si="38"/>
        <v>0</v>
      </c>
      <c r="AF86" s="156">
        <f t="shared" si="38"/>
        <v>0</v>
      </c>
      <c r="AG86" s="156">
        <f t="shared" si="38"/>
        <v>0</v>
      </c>
    </row>
    <row r="87" spans="2:33" s="660" customFormat="1" ht="15" customHeight="1" x14ac:dyDescent="0.3">
      <c r="B87" s="538" t="s">
        <v>7913</v>
      </c>
      <c r="C87" s="539" t="s">
        <v>7914</v>
      </c>
      <c r="D87" s="540">
        <f>3*10*2</f>
        <v>60</v>
      </c>
      <c r="E87" s="541">
        <f>(120000+90000)+5000</f>
        <v>215000</v>
      </c>
      <c r="F87" s="541">
        <f t="shared" si="32"/>
        <v>12900000</v>
      </c>
      <c r="G87" s="541">
        <f t="shared" si="33"/>
        <v>4239</v>
      </c>
      <c r="H87" s="541">
        <f t="shared" si="34"/>
        <v>3043.170559094126</v>
      </c>
      <c r="I87" s="231">
        <v>0</v>
      </c>
      <c r="J87" s="659"/>
      <c r="K87" s="231">
        <f t="shared" si="25"/>
        <v>0</v>
      </c>
      <c r="L87" s="231">
        <f t="shared" si="35"/>
        <v>0</v>
      </c>
      <c r="M87" s="232">
        <f t="shared" si="31"/>
        <v>0</v>
      </c>
      <c r="N87" s="659"/>
      <c r="O87" s="231"/>
      <c r="P87" s="231">
        <f t="shared" si="36"/>
        <v>0</v>
      </c>
      <c r="Q87" s="231"/>
      <c r="R87" s="231"/>
      <c r="T87" s="231"/>
      <c r="U87" s="231"/>
      <c r="V87" s="231"/>
      <c r="W87" s="231"/>
      <c r="Y87" s="155">
        <f t="shared" si="37"/>
        <v>0</v>
      </c>
      <c r="Z87" s="155">
        <f t="shared" si="37"/>
        <v>0</v>
      </c>
      <c r="AA87" s="155">
        <f t="shared" si="37"/>
        <v>0</v>
      </c>
      <c r="AB87" s="155">
        <f t="shared" si="37"/>
        <v>0</v>
      </c>
      <c r="AC87" s="159"/>
      <c r="AD87" s="156">
        <f t="shared" si="38"/>
        <v>0</v>
      </c>
      <c r="AE87" s="156">
        <f t="shared" si="38"/>
        <v>0</v>
      </c>
      <c r="AF87" s="156">
        <f t="shared" si="38"/>
        <v>0</v>
      </c>
      <c r="AG87" s="156">
        <f t="shared" si="38"/>
        <v>0</v>
      </c>
    </row>
    <row r="88" spans="2:33" s="660" customFormat="1" ht="15" customHeight="1" x14ac:dyDescent="0.3">
      <c r="B88" s="538" t="s">
        <v>7915</v>
      </c>
      <c r="C88" s="539" t="s">
        <v>7916</v>
      </c>
      <c r="D88" s="540">
        <v>1</v>
      </c>
      <c r="E88" s="541">
        <f>(3*150000)+(2*120000*3)+(3*30000*20)+(3*5000*20)+(3*20*20000)</f>
        <v>4470000</v>
      </c>
      <c r="F88" s="541">
        <f t="shared" si="32"/>
        <v>4470000</v>
      </c>
      <c r="G88" s="541">
        <f t="shared" si="33"/>
        <v>4239</v>
      </c>
      <c r="H88" s="541">
        <f t="shared" si="34"/>
        <v>1054.4939844302901</v>
      </c>
      <c r="I88" s="231">
        <v>0</v>
      </c>
      <c r="J88" s="659"/>
      <c r="K88" s="231">
        <f t="shared" si="25"/>
        <v>0</v>
      </c>
      <c r="L88" s="231">
        <f t="shared" si="35"/>
        <v>0</v>
      </c>
      <c r="M88" s="232">
        <f t="shared" si="31"/>
        <v>0</v>
      </c>
      <c r="N88" s="659"/>
      <c r="O88" s="231"/>
      <c r="P88" s="231">
        <f t="shared" si="36"/>
        <v>0</v>
      </c>
      <c r="Q88" s="231"/>
      <c r="R88" s="231"/>
      <c r="T88" s="231"/>
      <c r="U88" s="231"/>
      <c r="V88" s="231"/>
      <c r="W88" s="231"/>
      <c r="Y88" s="155">
        <f t="shared" si="37"/>
        <v>0</v>
      </c>
      <c r="Z88" s="155">
        <f t="shared" si="37"/>
        <v>0</v>
      </c>
      <c r="AA88" s="155">
        <f t="shared" si="37"/>
        <v>0</v>
      </c>
      <c r="AB88" s="155">
        <f t="shared" si="37"/>
        <v>0</v>
      </c>
      <c r="AC88" s="159"/>
      <c r="AD88" s="156">
        <f t="shared" si="38"/>
        <v>0</v>
      </c>
      <c r="AE88" s="156">
        <f t="shared" si="38"/>
        <v>0</v>
      </c>
      <c r="AF88" s="156">
        <f t="shared" si="38"/>
        <v>0</v>
      </c>
      <c r="AG88" s="156">
        <f t="shared" si="38"/>
        <v>0</v>
      </c>
    </row>
    <row r="89" spans="2:33" s="660" customFormat="1" ht="15" customHeight="1" x14ac:dyDescent="0.3">
      <c r="B89" s="538" t="s">
        <v>7917</v>
      </c>
      <c r="C89" s="539" t="s">
        <v>3925</v>
      </c>
      <c r="D89" s="540">
        <v>4</v>
      </c>
      <c r="E89" s="541">
        <v>7000000</v>
      </c>
      <c r="F89" s="541">
        <f t="shared" si="32"/>
        <v>28000000</v>
      </c>
      <c r="G89" s="541">
        <f t="shared" si="33"/>
        <v>4239</v>
      </c>
      <c r="H89" s="541">
        <f t="shared" si="34"/>
        <v>6605.3314460957772</v>
      </c>
      <c r="I89" s="231">
        <v>0</v>
      </c>
      <c r="J89" s="659"/>
      <c r="K89" s="231">
        <f t="shared" si="25"/>
        <v>0</v>
      </c>
      <c r="L89" s="231">
        <f t="shared" si="35"/>
        <v>0</v>
      </c>
      <c r="M89" s="232">
        <f t="shared" si="31"/>
        <v>0</v>
      </c>
      <c r="N89" s="659"/>
      <c r="O89" s="231"/>
      <c r="P89" s="231">
        <f t="shared" si="36"/>
        <v>0</v>
      </c>
      <c r="Q89" s="231"/>
      <c r="R89" s="231"/>
      <c r="T89" s="231"/>
      <c r="U89" s="231"/>
      <c r="V89" s="231"/>
      <c r="W89" s="231"/>
      <c r="Y89" s="155">
        <f t="shared" si="37"/>
        <v>0</v>
      </c>
      <c r="Z89" s="155">
        <f t="shared" si="37"/>
        <v>0</v>
      </c>
      <c r="AA89" s="155">
        <f t="shared" si="37"/>
        <v>0</v>
      </c>
      <c r="AB89" s="155">
        <f t="shared" si="37"/>
        <v>0</v>
      </c>
      <c r="AC89" s="159"/>
      <c r="AD89" s="156">
        <f t="shared" si="38"/>
        <v>0</v>
      </c>
      <c r="AE89" s="156">
        <f t="shared" si="38"/>
        <v>0</v>
      </c>
      <c r="AF89" s="156">
        <f t="shared" si="38"/>
        <v>0</v>
      </c>
      <c r="AG89" s="156">
        <f t="shared" si="38"/>
        <v>0</v>
      </c>
    </row>
    <row r="90" spans="2:33" s="660" customFormat="1" ht="15" customHeight="1" x14ac:dyDescent="0.3">
      <c r="B90" s="538" t="s">
        <v>7918</v>
      </c>
      <c r="C90" s="539" t="s">
        <v>7881</v>
      </c>
      <c r="D90" s="540">
        <v>3</v>
      </c>
      <c r="E90" s="541">
        <f>(3*150000)+(2*120000*3)+(3*30000*20)+(3*5000*20)+(3*20*20000)</f>
        <v>4470000</v>
      </c>
      <c r="F90" s="541">
        <f t="shared" si="32"/>
        <v>13410000</v>
      </c>
      <c r="G90" s="541">
        <f t="shared" si="33"/>
        <v>4239</v>
      </c>
      <c r="H90" s="541">
        <f t="shared" si="34"/>
        <v>3163.4819532908705</v>
      </c>
      <c r="I90" s="231">
        <v>3163</v>
      </c>
      <c r="J90" s="659"/>
      <c r="K90" s="231">
        <f t="shared" si="25"/>
        <v>3261.3555345596133</v>
      </c>
      <c r="L90" s="231">
        <f t="shared" si="35"/>
        <v>98.355534559613261</v>
      </c>
      <c r="M90" s="232">
        <f t="shared" si="31"/>
        <v>3.1095647979643776E-2</v>
      </c>
      <c r="N90" s="659"/>
      <c r="O90" s="231"/>
      <c r="P90" s="231">
        <f t="shared" si="36"/>
        <v>3163</v>
      </c>
      <c r="Q90" s="231"/>
      <c r="R90" s="231"/>
      <c r="T90" s="231">
        <v>0</v>
      </c>
      <c r="U90" s="231">
        <v>3261.3555345596133</v>
      </c>
      <c r="V90" s="231">
        <v>0</v>
      </c>
      <c r="W90" s="231">
        <v>0</v>
      </c>
      <c r="Y90" s="155">
        <f t="shared" si="37"/>
        <v>0</v>
      </c>
      <c r="Z90" s="155">
        <f t="shared" si="37"/>
        <v>98.355534559613261</v>
      </c>
      <c r="AA90" s="155">
        <f t="shared" si="37"/>
        <v>0</v>
      </c>
      <c r="AB90" s="155">
        <f t="shared" si="37"/>
        <v>0</v>
      </c>
      <c r="AC90" s="159"/>
      <c r="AD90" s="156">
        <f t="shared" si="38"/>
        <v>0</v>
      </c>
      <c r="AE90" s="156">
        <f t="shared" si="38"/>
        <v>3.1095647979643776E-2</v>
      </c>
      <c r="AF90" s="156">
        <f t="shared" si="38"/>
        <v>0</v>
      </c>
      <c r="AG90" s="156">
        <f t="shared" si="38"/>
        <v>0</v>
      </c>
    </row>
    <row r="91" spans="2:33" s="660" customFormat="1" ht="15" customHeight="1" x14ac:dyDescent="0.3">
      <c r="B91" s="538" t="s">
        <v>7919</v>
      </c>
      <c r="C91" s="539" t="s">
        <v>7920</v>
      </c>
      <c r="D91" s="540">
        <f>3*4*2</f>
        <v>24</v>
      </c>
      <c r="E91" s="541">
        <f>85000*20</f>
        <v>1700000</v>
      </c>
      <c r="F91" s="541">
        <f t="shared" si="32"/>
        <v>40800000</v>
      </c>
      <c r="G91" s="541">
        <f t="shared" si="33"/>
        <v>4239</v>
      </c>
      <c r="H91" s="541">
        <f t="shared" si="34"/>
        <v>9624.9115357395603</v>
      </c>
      <c r="I91" s="231">
        <v>5011</v>
      </c>
      <c r="J91" s="659"/>
      <c r="K91" s="231">
        <f t="shared" si="25"/>
        <v>5376.516249012815</v>
      </c>
      <c r="L91" s="231">
        <f t="shared" si="35"/>
        <v>365.51624901281502</v>
      </c>
      <c r="M91" s="232">
        <f t="shared" si="31"/>
        <v>7.2942775696031734E-2</v>
      </c>
      <c r="N91" s="659"/>
      <c r="O91" s="231"/>
      <c r="P91" s="231">
        <f t="shared" si="36"/>
        <v>5011</v>
      </c>
      <c r="Q91" s="231"/>
      <c r="R91" s="231"/>
      <c r="T91" s="231">
        <v>447.99534011459781</v>
      </c>
      <c r="U91" s="231">
        <v>4785.4789994877083</v>
      </c>
      <c r="V91" s="231">
        <v>143.04190941050936</v>
      </c>
      <c r="W91" s="231">
        <v>0</v>
      </c>
      <c r="Y91" s="155">
        <f t="shared" si="37"/>
        <v>447.99534011459781</v>
      </c>
      <c r="Z91" s="155">
        <f t="shared" si="37"/>
        <v>-225.52100051229172</v>
      </c>
      <c r="AA91" s="155">
        <f t="shared" si="37"/>
        <v>143.04190941050936</v>
      </c>
      <c r="AB91" s="155">
        <f t="shared" si="37"/>
        <v>0</v>
      </c>
      <c r="AC91" s="159"/>
      <c r="AD91" s="156">
        <f t="shared" si="38"/>
        <v>0</v>
      </c>
      <c r="AE91" s="156">
        <f t="shared" si="38"/>
        <v>-4.5005188687346181E-2</v>
      </c>
      <c r="AF91" s="156">
        <f t="shared" si="38"/>
        <v>0</v>
      </c>
      <c r="AG91" s="156">
        <f t="shared" si="38"/>
        <v>0</v>
      </c>
    </row>
    <row r="92" spans="2:33" s="660" customFormat="1" ht="15" customHeight="1" x14ac:dyDescent="0.3">
      <c r="B92" s="538" t="s">
        <v>7921</v>
      </c>
      <c r="C92" s="539" t="s">
        <v>7920</v>
      </c>
      <c r="D92" s="540">
        <v>1</v>
      </c>
      <c r="E92" s="541">
        <f>120000*100</f>
        <v>12000000</v>
      </c>
      <c r="F92" s="541">
        <f t="shared" si="32"/>
        <v>12000000</v>
      </c>
      <c r="G92" s="541">
        <f t="shared" si="33"/>
        <v>4239</v>
      </c>
      <c r="H92" s="541">
        <f t="shared" si="34"/>
        <v>2830.8563340410474</v>
      </c>
      <c r="I92" s="231">
        <v>0</v>
      </c>
      <c r="J92" s="659"/>
      <c r="K92" s="231">
        <f t="shared" si="25"/>
        <v>1659.6437539354349</v>
      </c>
      <c r="L92" s="231">
        <f t="shared" si="35"/>
        <v>1659.6437539354349</v>
      </c>
      <c r="M92" s="232">
        <f t="shared" si="31"/>
        <v>0</v>
      </c>
      <c r="N92" s="659"/>
      <c r="O92" s="231"/>
      <c r="P92" s="231">
        <f t="shared" si="36"/>
        <v>0</v>
      </c>
      <c r="Q92" s="231"/>
      <c r="R92" s="231"/>
      <c r="T92" s="231">
        <v>0</v>
      </c>
      <c r="U92" s="231">
        <v>1659.6437539354349</v>
      </c>
      <c r="V92" s="231">
        <v>0</v>
      </c>
      <c r="W92" s="231">
        <v>0</v>
      </c>
      <c r="Y92" s="155">
        <f t="shared" si="37"/>
        <v>0</v>
      </c>
      <c r="Z92" s="155">
        <f t="shared" si="37"/>
        <v>1659.6437539354349</v>
      </c>
      <c r="AA92" s="155">
        <f t="shared" si="37"/>
        <v>0</v>
      </c>
      <c r="AB92" s="155">
        <f t="shared" si="37"/>
        <v>0</v>
      </c>
      <c r="AC92" s="159"/>
      <c r="AD92" s="156">
        <f t="shared" si="38"/>
        <v>0</v>
      </c>
      <c r="AE92" s="156">
        <f t="shared" si="38"/>
        <v>0</v>
      </c>
      <c r="AF92" s="156">
        <f t="shared" si="38"/>
        <v>0</v>
      </c>
      <c r="AG92" s="156">
        <f t="shared" si="38"/>
        <v>0</v>
      </c>
    </row>
    <row r="93" spans="2:33" s="660" customFormat="1" ht="15" customHeight="1" x14ac:dyDescent="0.3">
      <c r="B93" s="714" t="s">
        <v>7922</v>
      </c>
      <c r="C93" s="539" t="s">
        <v>3925</v>
      </c>
      <c r="D93" s="540">
        <v>1</v>
      </c>
      <c r="E93" s="541"/>
      <c r="F93" s="541"/>
      <c r="G93" s="541">
        <f t="shared" si="33"/>
        <v>4239</v>
      </c>
      <c r="H93" s="541"/>
      <c r="I93" s="231">
        <v>16946</v>
      </c>
      <c r="J93" s="659"/>
      <c r="K93" s="231">
        <f t="shared" si="25"/>
        <v>59252.113053285444</v>
      </c>
      <c r="L93" s="231">
        <f t="shared" si="35"/>
        <v>42306.113053285444</v>
      </c>
      <c r="M93" s="232">
        <f t="shared" si="31"/>
        <v>2.4965250237982675</v>
      </c>
      <c r="N93" s="659"/>
      <c r="O93" s="231"/>
      <c r="P93" s="231">
        <f t="shared" si="36"/>
        <v>16946</v>
      </c>
      <c r="Q93" s="231"/>
      <c r="R93" s="231"/>
      <c r="T93" s="231">
        <v>0</v>
      </c>
      <c r="U93" s="231">
        <v>59252.113053285444</v>
      </c>
      <c r="V93" s="231">
        <v>0</v>
      </c>
      <c r="W93" s="231">
        <v>0</v>
      </c>
      <c r="Y93" s="155">
        <f t="shared" si="37"/>
        <v>0</v>
      </c>
      <c r="Z93" s="155">
        <f t="shared" si="37"/>
        <v>42306.113053285444</v>
      </c>
      <c r="AA93" s="155">
        <f t="shared" si="37"/>
        <v>0</v>
      </c>
      <c r="AB93" s="155">
        <f t="shared" si="37"/>
        <v>0</v>
      </c>
      <c r="AC93" s="159"/>
      <c r="AD93" s="156">
        <f t="shared" si="38"/>
        <v>0</v>
      </c>
      <c r="AE93" s="156">
        <f t="shared" si="38"/>
        <v>2.4965250237982675</v>
      </c>
      <c r="AF93" s="156">
        <f t="shared" si="38"/>
        <v>0</v>
      </c>
      <c r="AG93" s="156">
        <f t="shared" si="38"/>
        <v>0</v>
      </c>
    </row>
    <row r="94" spans="2:33" s="660" customFormat="1" ht="15" customHeight="1" x14ac:dyDescent="0.3">
      <c r="B94" s="714" t="s">
        <v>7923</v>
      </c>
      <c r="C94" s="539" t="s">
        <v>3925</v>
      </c>
      <c r="D94" s="540">
        <v>1</v>
      </c>
      <c r="E94" s="541"/>
      <c r="F94" s="541"/>
      <c r="G94" s="541">
        <f t="shared" si="33"/>
        <v>4239</v>
      </c>
      <c r="H94" s="541"/>
      <c r="I94" s="231">
        <v>26243</v>
      </c>
      <c r="J94" s="659"/>
      <c r="K94" s="231">
        <f t="shared" si="25"/>
        <v>24373.280469389334</v>
      </c>
      <c r="L94" s="231">
        <f t="shared" si="35"/>
        <v>-1869.719530610666</v>
      </c>
      <c r="M94" s="232">
        <f t="shared" si="31"/>
        <v>-7.1246409732525467E-2</v>
      </c>
      <c r="N94" s="659"/>
      <c r="O94" s="231"/>
      <c r="P94" s="231">
        <f t="shared" si="36"/>
        <v>26243</v>
      </c>
      <c r="Q94" s="231"/>
      <c r="R94" s="231"/>
      <c r="T94" s="231">
        <v>0</v>
      </c>
      <c r="U94" s="231">
        <v>24373.280469389334</v>
      </c>
      <c r="V94" s="231">
        <v>0</v>
      </c>
      <c r="W94" s="231">
        <v>0</v>
      </c>
      <c r="Y94" s="155">
        <f t="shared" si="37"/>
        <v>0</v>
      </c>
      <c r="Z94" s="155">
        <f t="shared" si="37"/>
        <v>-1869.719530610666</v>
      </c>
      <c r="AA94" s="155">
        <f t="shared" si="37"/>
        <v>0</v>
      </c>
      <c r="AB94" s="155">
        <f t="shared" si="37"/>
        <v>0</v>
      </c>
      <c r="AC94" s="159"/>
      <c r="AD94" s="156">
        <f t="shared" si="38"/>
        <v>0</v>
      </c>
      <c r="AE94" s="156">
        <f t="shared" si="38"/>
        <v>-7.1246409732525467E-2</v>
      </c>
      <c r="AF94" s="156">
        <f t="shared" si="38"/>
        <v>0</v>
      </c>
      <c r="AG94" s="156">
        <f t="shared" si="38"/>
        <v>0</v>
      </c>
    </row>
    <row r="95" spans="2:33" s="660" customFormat="1" ht="15" customHeight="1" x14ac:dyDescent="0.3">
      <c r="B95" s="714" t="s">
        <v>7924</v>
      </c>
      <c r="C95" s="539" t="s">
        <v>3925</v>
      </c>
      <c r="D95" s="540">
        <v>1</v>
      </c>
      <c r="E95" s="541"/>
      <c r="F95" s="541"/>
      <c r="G95" s="541">
        <f t="shared" si="33"/>
        <v>4239</v>
      </c>
      <c r="H95" s="541"/>
      <c r="I95" s="231">
        <v>1152</v>
      </c>
      <c r="J95" s="659"/>
      <c r="K95" s="231">
        <f t="shared" si="25"/>
        <v>1138.6135989076547</v>
      </c>
      <c r="L95" s="231">
        <f t="shared" si="35"/>
        <v>-13.386401092345295</v>
      </c>
      <c r="M95" s="232">
        <f t="shared" si="31"/>
        <v>-1.1620139837105291E-2</v>
      </c>
      <c r="N95" s="659"/>
      <c r="O95" s="231"/>
      <c r="P95" s="231">
        <f t="shared" si="36"/>
        <v>1152</v>
      </c>
      <c r="Q95" s="231"/>
      <c r="R95" s="231"/>
      <c r="T95" s="231">
        <v>0</v>
      </c>
      <c r="U95" s="231">
        <v>1138.6135989076547</v>
      </c>
      <c r="V95" s="231">
        <v>0</v>
      </c>
      <c r="W95" s="231">
        <v>0</v>
      </c>
      <c r="Y95" s="155">
        <f t="shared" si="37"/>
        <v>0</v>
      </c>
      <c r="Z95" s="155">
        <f t="shared" si="37"/>
        <v>-13.386401092345295</v>
      </c>
      <c r="AA95" s="155">
        <f t="shared" si="37"/>
        <v>0</v>
      </c>
      <c r="AB95" s="155">
        <f t="shared" si="37"/>
        <v>0</v>
      </c>
      <c r="AC95" s="159"/>
      <c r="AD95" s="156">
        <f t="shared" si="38"/>
        <v>0</v>
      </c>
      <c r="AE95" s="156">
        <f t="shared" si="38"/>
        <v>-1.1620139837105291E-2</v>
      </c>
      <c r="AF95" s="156">
        <f t="shared" si="38"/>
        <v>0</v>
      </c>
      <c r="AG95" s="156">
        <f t="shared" si="38"/>
        <v>0</v>
      </c>
    </row>
    <row r="96" spans="2:33" s="660" customFormat="1" ht="15" customHeight="1" x14ac:dyDescent="0.3">
      <c r="B96" s="714" t="s">
        <v>7925</v>
      </c>
      <c r="C96" s="539" t="s">
        <v>3925</v>
      </c>
      <c r="D96" s="540">
        <v>1</v>
      </c>
      <c r="E96" s="541"/>
      <c r="F96" s="541"/>
      <c r="G96" s="541">
        <f t="shared" si="33"/>
        <v>4239</v>
      </c>
      <c r="H96" s="541"/>
      <c r="I96" s="231">
        <v>49605</v>
      </c>
      <c r="J96" s="659"/>
      <c r="K96" s="231">
        <f t="shared" si="25"/>
        <v>26953.009460259553</v>
      </c>
      <c r="L96" s="231">
        <f t="shared" si="35"/>
        <v>-22651.990539740447</v>
      </c>
      <c r="M96" s="232">
        <f t="shared" si="31"/>
        <v>-0.45664732465961994</v>
      </c>
      <c r="N96" s="659"/>
      <c r="O96" s="231"/>
      <c r="P96" s="231">
        <f t="shared" si="36"/>
        <v>49605</v>
      </c>
      <c r="Q96" s="231"/>
      <c r="R96" s="231"/>
      <c r="T96" s="231">
        <v>0</v>
      </c>
      <c r="U96" s="231">
        <f>'Invoice list UGA'!L1492</f>
        <v>26953.009460259553</v>
      </c>
      <c r="V96" s="231">
        <v>0</v>
      </c>
      <c r="W96" s="231">
        <v>0</v>
      </c>
      <c r="Y96" s="155">
        <f t="shared" si="37"/>
        <v>0</v>
      </c>
      <c r="Z96" s="155">
        <f t="shared" si="37"/>
        <v>-22651.990539740447</v>
      </c>
      <c r="AA96" s="155">
        <f t="shared" si="37"/>
        <v>0</v>
      </c>
      <c r="AB96" s="155">
        <f t="shared" si="37"/>
        <v>0</v>
      </c>
      <c r="AC96" s="159"/>
      <c r="AD96" s="156">
        <f t="shared" si="38"/>
        <v>0</v>
      </c>
      <c r="AE96" s="156">
        <f t="shared" si="38"/>
        <v>-0.45664732465961994</v>
      </c>
      <c r="AF96" s="156">
        <f t="shared" si="38"/>
        <v>0</v>
      </c>
      <c r="AG96" s="156">
        <f t="shared" si="38"/>
        <v>0</v>
      </c>
    </row>
    <row r="97" spans="2:33" ht="15.75" customHeight="1" x14ac:dyDescent="0.3">
      <c r="B97" s="871" t="s">
        <v>7926</v>
      </c>
      <c r="C97" s="847"/>
      <c r="D97" s="847"/>
      <c r="E97" s="847"/>
      <c r="F97" s="847"/>
      <c r="G97" s="847"/>
      <c r="H97" s="847"/>
      <c r="I97" s="711"/>
      <c r="J97" s="715"/>
      <c r="K97" s="711"/>
      <c r="L97" s="716"/>
      <c r="M97" s="703"/>
      <c r="N97" s="659"/>
      <c r="O97" s="857"/>
      <c r="P97" s="858"/>
      <c r="Q97" s="858"/>
      <c r="R97" s="859"/>
      <c r="T97" s="857"/>
      <c r="U97" s="858"/>
      <c r="V97" s="858"/>
      <c r="W97" s="859"/>
      <c r="Y97" s="214"/>
      <c r="Z97" s="214"/>
      <c r="AA97" s="214"/>
      <c r="AB97" s="214"/>
      <c r="AC97" s="146"/>
      <c r="AD97" s="422"/>
      <c r="AE97" s="422"/>
      <c r="AF97" s="422"/>
      <c r="AG97" s="422"/>
    </row>
    <row r="98" spans="2:33" s="633" customFormat="1" ht="15" customHeight="1" x14ac:dyDescent="0.3">
      <c r="B98" s="717" t="s">
        <v>7927</v>
      </c>
      <c r="C98" s="539" t="s">
        <v>7928</v>
      </c>
      <c r="D98" s="547">
        <f>5*15*2</f>
        <v>150</v>
      </c>
      <c r="E98" s="548">
        <v>12000</v>
      </c>
      <c r="F98" s="548">
        <f t="shared" ref="F98:F116" si="39">D98*E98</f>
        <v>1800000</v>
      </c>
      <c r="G98" s="548">
        <f t="shared" ref="G98:G116" si="40">$G$6</f>
        <v>4239</v>
      </c>
      <c r="H98" s="548">
        <f t="shared" ref="H98:H116" si="41">IF($G$6=0,0,F98/G98)</f>
        <v>424.62845010615712</v>
      </c>
      <c r="I98" s="231">
        <v>425</v>
      </c>
      <c r="J98" s="718"/>
      <c r="K98" s="231">
        <f t="shared" si="25"/>
        <v>1135.7560869165684</v>
      </c>
      <c r="L98" s="231">
        <f t="shared" ref="L98:L116" si="42">K98-I98</f>
        <v>710.75608691656839</v>
      </c>
      <c r="M98" s="232">
        <f t="shared" si="31"/>
        <v>1.6723672633331021</v>
      </c>
      <c r="N98" s="659"/>
      <c r="O98" s="231"/>
      <c r="P98" s="231"/>
      <c r="Q98" s="231">
        <f t="shared" ref="Q98:Q116" si="43">I98</f>
        <v>425</v>
      </c>
      <c r="R98" s="231"/>
      <c r="T98" s="231">
        <v>0</v>
      </c>
      <c r="U98" s="231">
        <v>0</v>
      </c>
      <c r="V98" s="231">
        <v>1135.7560869165684</v>
      </c>
      <c r="W98" s="231">
        <v>0</v>
      </c>
      <c r="Y98" s="155">
        <f t="shared" ref="Y98:AB116" si="44">T98-O98</f>
        <v>0</v>
      </c>
      <c r="Z98" s="155">
        <f t="shared" si="44"/>
        <v>0</v>
      </c>
      <c r="AA98" s="155">
        <f t="shared" si="44"/>
        <v>710.75608691656839</v>
      </c>
      <c r="AB98" s="155">
        <f t="shared" si="44"/>
        <v>0</v>
      </c>
      <c r="AC98" s="159"/>
      <c r="AD98" s="156">
        <f t="shared" ref="AD98:AG116" si="45">IFERROR(Y98/O98,0)</f>
        <v>0</v>
      </c>
      <c r="AE98" s="156">
        <f t="shared" si="45"/>
        <v>0</v>
      </c>
      <c r="AF98" s="156">
        <f t="shared" si="45"/>
        <v>1.6723672633331021</v>
      </c>
      <c r="AG98" s="156">
        <f t="shared" si="45"/>
        <v>0</v>
      </c>
    </row>
    <row r="99" spans="2:33" s="633" customFormat="1" ht="15" customHeight="1" x14ac:dyDescent="0.3">
      <c r="B99" s="717" t="s">
        <v>7929</v>
      </c>
      <c r="C99" s="539" t="s">
        <v>7930</v>
      </c>
      <c r="D99" s="547">
        <f>5*3*30</f>
        <v>450</v>
      </c>
      <c r="E99" s="548">
        <v>5167</v>
      </c>
      <c r="F99" s="548">
        <f t="shared" si="39"/>
        <v>2325150</v>
      </c>
      <c r="G99" s="548">
        <f t="shared" si="40"/>
        <v>4239</v>
      </c>
      <c r="H99" s="548">
        <f t="shared" si="41"/>
        <v>548.51380042462847</v>
      </c>
      <c r="I99" s="231">
        <v>549</v>
      </c>
      <c r="J99" s="718"/>
      <c r="K99" s="231">
        <f t="shared" si="25"/>
        <v>558.0793634927295</v>
      </c>
      <c r="L99" s="231">
        <f t="shared" si="42"/>
        <v>9.0793634927294988</v>
      </c>
      <c r="M99" s="232">
        <f t="shared" si="31"/>
        <v>1.6538002718997264E-2</v>
      </c>
      <c r="N99" s="659"/>
      <c r="O99" s="231"/>
      <c r="P99" s="231"/>
      <c r="Q99" s="231">
        <f t="shared" si="43"/>
        <v>549</v>
      </c>
      <c r="R99" s="231"/>
      <c r="T99" s="231">
        <v>0</v>
      </c>
      <c r="U99" s="231">
        <v>0</v>
      </c>
      <c r="V99" s="231">
        <v>558.0793634927295</v>
      </c>
      <c r="W99" s="231">
        <v>0</v>
      </c>
      <c r="Y99" s="155">
        <f t="shared" si="44"/>
        <v>0</v>
      </c>
      <c r="Z99" s="155">
        <f t="shared" si="44"/>
        <v>0</v>
      </c>
      <c r="AA99" s="155">
        <f t="shared" si="44"/>
        <v>9.0793634927294988</v>
      </c>
      <c r="AB99" s="155">
        <f t="shared" si="44"/>
        <v>0</v>
      </c>
      <c r="AC99" s="159"/>
      <c r="AD99" s="156">
        <f t="shared" si="45"/>
        <v>0</v>
      </c>
      <c r="AE99" s="156">
        <f t="shared" si="45"/>
        <v>0</v>
      </c>
      <c r="AF99" s="156">
        <f t="shared" si="45"/>
        <v>1.6538002718997264E-2</v>
      </c>
      <c r="AG99" s="156">
        <f t="shared" si="45"/>
        <v>0</v>
      </c>
    </row>
    <row r="100" spans="2:33" s="660" customFormat="1" ht="15" customHeight="1" x14ac:dyDescent="0.3">
      <c r="B100" s="670" t="s">
        <v>7931</v>
      </c>
      <c r="C100" s="539" t="s">
        <v>7932</v>
      </c>
      <c r="D100" s="540">
        <v>3600</v>
      </c>
      <c r="E100" s="541">
        <v>27500</v>
      </c>
      <c r="F100" s="541">
        <f t="shared" si="39"/>
        <v>99000000</v>
      </c>
      <c r="G100" s="541">
        <f t="shared" si="40"/>
        <v>4239</v>
      </c>
      <c r="H100" s="541">
        <f t="shared" si="41"/>
        <v>23354.564755838641</v>
      </c>
      <c r="I100" s="231">
        <v>23355</v>
      </c>
      <c r="J100" s="718"/>
      <c r="K100" s="231">
        <f t="shared" si="25"/>
        <v>24727.972412872776</v>
      </c>
      <c r="L100" s="231">
        <f t="shared" si="42"/>
        <v>1372.9724128727757</v>
      </c>
      <c r="M100" s="232">
        <f t="shared" si="31"/>
        <v>5.8787086828207054E-2</v>
      </c>
      <c r="N100" s="659"/>
      <c r="O100" s="231"/>
      <c r="P100" s="231"/>
      <c r="Q100" s="231">
        <f t="shared" si="43"/>
        <v>23355</v>
      </c>
      <c r="R100" s="231"/>
      <c r="T100" s="231">
        <v>0</v>
      </c>
      <c r="U100" s="231">
        <v>0</v>
      </c>
      <c r="V100" s="231">
        <v>24727.972412872776</v>
      </c>
      <c r="W100" s="231">
        <v>0</v>
      </c>
      <c r="Y100" s="155">
        <f t="shared" si="44"/>
        <v>0</v>
      </c>
      <c r="Z100" s="155">
        <f t="shared" si="44"/>
        <v>0</v>
      </c>
      <c r="AA100" s="155">
        <f t="shared" si="44"/>
        <v>1372.9724128727757</v>
      </c>
      <c r="AB100" s="155">
        <f t="shared" si="44"/>
        <v>0</v>
      </c>
      <c r="AC100" s="159"/>
      <c r="AD100" s="156">
        <f t="shared" si="45"/>
        <v>0</v>
      </c>
      <c r="AE100" s="156">
        <f t="shared" si="45"/>
        <v>0</v>
      </c>
      <c r="AF100" s="156">
        <f t="shared" si="45"/>
        <v>5.8787086828207054E-2</v>
      </c>
      <c r="AG100" s="156">
        <f t="shared" si="45"/>
        <v>0</v>
      </c>
    </row>
    <row r="101" spans="2:33" s="660" customFormat="1" ht="15" customHeight="1" x14ac:dyDescent="0.3">
      <c r="B101" s="670" t="s">
        <v>7933</v>
      </c>
      <c r="C101" s="539" t="s">
        <v>7928</v>
      </c>
      <c r="D101" s="540">
        <f>5*3*30*8</f>
        <v>3600</v>
      </c>
      <c r="E101" s="541">
        <v>10000</v>
      </c>
      <c r="F101" s="541">
        <f t="shared" si="39"/>
        <v>36000000</v>
      </c>
      <c r="G101" s="541">
        <f t="shared" si="40"/>
        <v>4239</v>
      </c>
      <c r="H101" s="541">
        <f t="shared" si="41"/>
        <v>8492.5690021231421</v>
      </c>
      <c r="I101" s="231">
        <v>4493</v>
      </c>
      <c r="J101" s="718"/>
      <c r="K101" s="231">
        <f t="shared" si="25"/>
        <v>8610.8523589006963</v>
      </c>
      <c r="L101" s="231">
        <f t="shared" si="42"/>
        <v>4117.8523589006963</v>
      </c>
      <c r="M101" s="232">
        <f t="shared" si="31"/>
        <v>0.91650397482766444</v>
      </c>
      <c r="N101" s="659"/>
      <c r="O101" s="231"/>
      <c r="P101" s="231"/>
      <c r="Q101" s="231">
        <f t="shared" si="43"/>
        <v>4493</v>
      </c>
      <c r="R101" s="231"/>
      <c r="T101" s="231">
        <v>473.23031696643517</v>
      </c>
      <c r="U101" s="231">
        <v>0</v>
      </c>
      <c r="V101" s="231">
        <v>8137.6220419342608</v>
      </c>
      <c r="W101" s="231">
        <v>0</v>
      </c>
      <c r="Y101" s="155">
        <f t="shared" si="44"/>
        <v>473.23031696643517</v>
      </c>
      <c r="Z101" s="155">
        <f t="shared" si="44"/>
        <v>0</v>
      </c>
      <c r="AA101" s="155">
        <f t="shared" si="44"/>
        <v>3644.6220419342608</v>
      </c>
      <c r="AB101" s="155">
        <f t="shared" si="44"/>
        <v>0</v>
      </c>
      <c r="AC101" s="159"/>
      <c r="AD101" s="156">
        <f t="shared" si="45"/>
        <v>0</v>
      </c>
      <c r="AE101" s="156">
        <f t="shared" si="45"/>
        <v>0</v>
      </c>
      <c r="AF101" s="156">
        <f t="shared" si="45"/>
        <v>0.81117784151663941</v>
      </c>
      <c r="AG101" s="156">
        <f t="shared" si="45"/>
        <v>0</v>
      </c>
    </row>
    <row r="102" spans="2:33" s="660" customFormat="1" ht="15" customHeight="1" x14ac:dyDescent="0.3">
      <c r="B102" s="670" t="s">
        <v>7934</v>
      </c>
      <c r="C102" s="539" t="s">
        <v>7935</v>
      </c>
      <c r="D102" s="540">
        <f>5*3*5</f>
        <v>75</v>
      </c>
      <c r="E102" s="541">
        <v>278000</v>
      </c>
      <c r="F102" s="541">
        <f>D102*E102</f>
        <v>20850000</v>
      </c>
      <c r="G102" s="541">
        <f t="shared" si="40"/>
        <v>4239</v>
      </c>
      <c r="H102" s="541">
        <f t="shared" si="41"/>
        <v>4918.6128803963202</v>
      </c>
      <c r="I102" s="231">
        <v>0</v>
      </c>
      <c r="J102" s="704"/>
      <c r="K102" s="231">
        <f t="shared" si="25"/>
        <v>0</v>
      </c>
      <c r="L102" s="231">
        <f t="shared" si="42"/>
        <v>0</v>
      </c>
      <c r="M102" s="232">
        <f t="shared" si="31"/>
        <v>0</v>
      </c>
      <c r="N102" s="659"/>
      <c r="O102" s="231"/>
      <c r="P102" s="231"/>
      <c r="Q102" s="231">
        <f t="shared" si="43"/>
        <v>0</v>
      </c>
      <c r="R102" s="231"/>
      <c r="T102" s="231"/>
      <c r="U102" s="231"/>
      <c r="V102" s="231"/>
      <c r="W102" s="231"/>
      <c r="Y102" s="155">
        <f t="shared" si="44"/>
        <v>0</v>
      </c>
      <c r="Z102" s="155">
        <f t="shared" si="44"/>
        <v>0</v>
      </c>
      <c r="AA102" s="155">
        <f t="shared" si="44"/>
        <v>0</v>
      </c>
      <c r="AB102" s="155">
        <f t="shared" si="44"/>
        <v>0</v>
      </c>
      <c r="AC102" s="159"/>
      <c r="AD102" s="156">
        <f t="shared" si="45"/>
        <v>0</v>
      </c>
      <c r="AE102" s="156">
        <f t="shared" si="45"/>
        <v>0</v>
      </c>
      <c r="AF102" s="156">
        <f t="shared" si="45"/>
        <v>0</v>
      </c>
      <c r="AG102" s="156">
        <f t="shared" si="45"/>
        <v>0</v>
      </c>
    </row>
    <row r="103" spans="2:33" s="660" customFormat="1" ht="15" customHeight="1" x14ac:dyDescent="0.3">
      <c r="B103" s="670" t="s">
        <v>7936</v>
      </c>
      <c r="C103" s="539" t="s">
        <v>3925</v>
      </c>
      <c r="D103" s="540">
        <v>1</v>
      </c>
      <c r="E103" s="541">
        <v>63585000</v>
      </c>
      <c r="F103" s="541">
        <f>D103*E103</f>
        <v>63585000</v>
      </c>
      <c r="G103" s="541">
        <f t="shared" si="40"/>
        <v>4239</v>
      </c>
      <c r="H103" s="541">
        <f t="shared" si="41"/>
        <v>15000</v>
      </c>
      <c r="I103" s="231">
        <v>3360</v>
      </c>
      <c r="J103" s="704"/>
      <c r="K103" s="231">
        <f t="shared" si="25"/>
        <v>3390.093253029072</v>
      </c>
      <c r="L103" s="231">
        <f t="shared" si="42"/>
        <v>30.093253029072002</v>
      </c>
      <c r="M103" s="232">
        <f t="shared" si="31"/>
        <v>8.9563253062714294E-3</v>
      </c>
      <c r="N103" s="659"/>
      <c r="O103" s="231"/>
      <c r="P103" s="231"/>
      <c r="Q103" s="231">
        <f t="shared" si="43"/>
        <v>3360</v>
      </c>
      <c r="R103" s="231"/>
      <c r="T103" s="231">
        <v>3375.7890620880212</v>
      </c>
      <c r="U103" s="231">
        <v>0</v>
      </c>
      <c r="V103" s="231">
        <v>14.304190941050937</v>
      </c>
      <c r="W103" s="231">
        <v>0</v>
      </c>
      <c r="Y103" s="155">
        <f t="shared" si="44"/>
        <v>3375.7890620880212</v>
      </c>
      <c r="Z103" s="155">
        <f t="shared" si="44"/>
        <v>0</v>
      </c>
      <c r="AA103" s="155">
        <f t="shared" si="44"/>
        <v>-3345.6958090589492</v>
      </c>
      <c r="AB103" s="155">
        <f t="shared" si="44"/>
        <v>0</v>
      </c>
      <c r="AC103" s="159"/>
      <c r="AD103" s="156">
        <f t="shared" si="45"/>
        <v>0</v>
      </c>
      <c r="AE103" s="156">
        <f t="shared" si="45"/>
        <v>0</v>
      </c>
      <c r="AF103" s="156">
        <f t="shared" si="45"/>
        <v>-0.99574280031516349</v>
      </c>
      <c r="AG103" s="156">
        <f t="shared" si="45"/>
        <v>0</v>
      </c>
    </row>
    <row r="104" spans="2:33" s="660" customFormat="1" ht="15" customHeight="1" x14ac:dyDescent="0.3">
      <c r="B104" s="670" t="s">
        <v>7937</v>
      </c>
      <c r="C104" s="539" t="s">
        <v>7938</v>
      </c>
      <c r="D104" s="540">
        <f>3*5*2*6</f>
        <v>180</v>
      </c>
      <c r="E104" s="541">
        <v>150000</v>
      </c>
      <c r="F104" s="541">
        <f t="shared" si="39"/>
        <v>27000000</v>
      </c>
      <c r="G104" s="541">
        <f t="shared" si="40"/>
        <v>4239</v>
      </c>
      <c r="H104" s="541">
        <f t="shared" si="41"/>
        <v>6369.4267515923566</v>
      </c>
      <c r="I104" s="231">
        <v>0</v>
      </c>
      <c r="J104" s="718"/>
      <c r="K104" s="231">
        <f t="shared" si="25"/>
        <v>0</v>
      </c>
      <c r="L104" s="231">
        <f t="shared" si="42"/>
        <v>0</v>
      </c>
      <c r="M104" s="232">
        <f t="shared" si="31"/>
        <v>0</v>
      </c>
      <c r="N104" s="659"/>
      <c r="O104" s="231"/>
      <c r="P104" s="231"/>
      <c r="Q104" s="231">
        <f t="shared" si="43"/>
        <v>0</v>
      </c>
      <c r="R104" s="231"/>
      <c r="T104" s="231"/>
      <c r="U104" s="231"/>
      <c r="V104" s="231"/>
      <c r="W104" s="231"/>
      <c r="Y104" s="155">
        <f t="shared" si="44"/>
        <v>0</v>
      </c>
      <c r="Z104" s="155">
        <f t="shared" si="44"/>
        <v>0</v>
      </c>
      <c r="AA104" s="155">
        <f t="shared" si="44"/>
        <v>0</v>
      </c>
      <c r="AB104" s="155">
        <f t="shared" si="44"/>
        <v>0</v>
      </c>
      <c r="AC104" s="159"/>
      <c r="AD104" s="156">
        <f t="shared" si="45"/>
        <v>0</v>
      </c>
      <c r="AE104" s="156">
        <f t="shared" si="45"/>
        <v>0</v>
      </c>
      <c r="AF104" s="156">
        <f t="shared" si="45"/>
        <v>0</v>
      </c>
      <c r="AG104" s="156">
        <f t="shared" si="45"/>
        <v>0</v>
      </c>
    </row>
    <row r="105" spans="2:33" s="660" customFormat="1" ht="15" customHeight="1" x14ac:dyDescent="0.3">
      <c r="B105" s="670" t="s">
        <v>7939</v>
      </c>
      <c r="C105" s="539" t="s">
        <v>7938</v>
      </c>
      <c r="D105" s="540">
        <f>1*5*2*6</f>
        <v>60</v>
      </c>
      <c r="E105" s="541">
        <v>75000</v>
      </c>
      <c r="F105" s="541">
        <f t="shared" si="39"/>
        <v>4500000</v>
      </c>
      <c r="G105" s="541">
        <f t="shared" si="40"/>
        <v>4239</v>
      </c>
      <c r="H105" s="541">
        <f t="shared" si="41"/>
        <v>1061.5711252653928</v>
      </c>
      <c r="I105" s="231">
        <v>462</v>
      </c>
      <c r="J105" s="718"/>
      <c r="K105" s="231">
        <f t="shared" si="25"/>
        <v>698.52132428798745</v>
      </c>
      <c r="L105" s="231">
        <f t="shared" si="42"/>
        <v>236.52132428798745</v>
      </c>
      <c r="M105" s="232">
        <f t="shared" si="31"/>
        <v>0.51195091837226725</v>
      </c>
      <c r="N105" s="659"/>
      <c r="O105" s="231"/>
      <c r="P105" s="231"/>
      <c r="Q105" s="231">
        <f t="shared" si="43"/>
        <v>462</v>
      </c>
      <c r="R105" s="231"/>
      <c r="T105" s="231">
        <v>250.32334146839139</v>
      </c>
      <c r="U105" s="231">
        <v>0</v>
      </c>
      <c r="V105" s="231">
        <v>448.19798281959606</v>
      </c>
      <c r="W105" s="231">
        <v>0</v>
      </c>
      <c r="Y105" s="155">
        <f t="shared" si="44"/>
        <v>250.32334146839139</v>
      </c>
      <c r="Z105" s="155">
        <f t="shared" si="44"/>
        <v>0</v>
      </c>
      <c r="AA105" s="155">
        <f t="shared" si="44"/>
        <v>-13.802017180403936</v>
      </c>
      <c r="AB105" s="155">
        <f t="shared" si="44"/>
        <v>0</v>
      </c>
      <c r="AC105" s="159"/>
      <c r="AD105" s="156">
        <f t="shared" si="45"/>
        <v>0</v>
      </c>
      <c r="AE105" s="156">
        <f t="shared" si="45"/>
        <v>0</v>
      </c>
      <c r="AF105" s="156">
        <f t="shared" si="45"/>
        <v>-2.987449606148038E-2</v>
      </c>
      <c r="AG105" s="156">
        <f t="shared" si="45"/>
        <v>0</v>
      </c>
    </row>
    <row r="106" spans="2:33" s="660" customFormat="1" ht="15" customHeight="1" x14ac:dyDescent="0.3">
      <c r="B106" s="538" t="s">
        <v>7940</v>
      </c>
      <c r="C106" s="539" t="s">
        <v>7941</v>
      </c>
      <c r="D106" s="540">
        <v>1</v>
      </c>
      <c r="E106" s="544">
        <v>12000000</v>
      </c>
      <c r="F106" s="541">
        <f t="shared" si="39"/>
        <v>12000000</v>
      </c>
      <c r="G106" s="541">
        <f t="shared" si="40"/>
        <v>4239</v>
      </c>
      <c r="H106" s="541">
        <f t="shared" si="41"/>
        <v>2830.8563340410474</v>
      </c>
      <c r="I106" s="231">
        <v>0</v>
      </c>
      <c r="J106" s="718"/>
      <c r="K106" s="231">
        <f t="shared" si="25"/>
        <v>0</v>
      </c>
      <c r="L106" s="231">
        <f t="shared" si="42"/>
        <v>0</v>
      </c>
      <c r="M106" s="232">
        <f t="shared" si="31"/>
        <v>0</v>
      </c>
      <c r="N106" s="659"/>
      <c r="O106" s="231"/>
      <c r="P106" s="231"/>
      <c r="Q106" s="231">
        <f t="shared" si="43"/>
        <v>0</v>
      </c>
      <c r="R106" s="231"/>
      <c r="T106" s="231"/>
      <c r="U106" s="231"/>
      <c r="V106" s="231"/>
      <c r="W106" s="231"/>
      <c r="Y106" s="155">
        <f t="shared" si="44"/>
        <v>0</v>
      </c>
      <c r="Z106" s="155">
        <f t="shared" si="44"/>
        <v>0</v>
      </c>
      <c r="AA106" s="155">
        <f t="shared" si="44"/>
        <v>0</v>
      </c>
      <c r="AB106" s="155">
        <f t="shared" si="44"/>
        <v>0</v>
      </c>
      <c r="AC106" s="159"/>
      <c r="AD106" s="156">
        <f t="shared" si="45"/>
        <v>0</v>
      </c>
      <c r="AE106" s="156">
        <f t="shared" si="45"/>
        <v>0</v>
      </c>
      <c r="AF106" s="156">
        <f t="shared" si="45"/>
        <v>0</v>
      </c>
      <c r="AG106" s="156">
        <f t="shared" si="45"/>
        <v>0</v>
      </c>
    </row>
    <row r="107" spans="2:33" s="660" customFormat="1" ht="15" customHeight="1" x14ac:dyDescent="0.3">
      <c r="B107" s="538" t="s">
        <v>7942</v>
      </c>
      <c r="C107" s="539" t="s">
        <v>7886</v>
      </c>
      <c r="D107" s="540">
        <f>(25+25)*5</f>
        <v>250</v>
      </c>
      <c r="E107" s="544">
        <v>175000</v>
      </c>
      <c r="F107" s="541">
        <f t="shared" si="39"/>
        <v>43750000</v>
      </c>
      <c r="G107" s="541">
        <f t="shared" si="40"/>
        <v>4239</v>
      </c>
      <c r="H107" s="541">
        <f t="shared" si="41"/>
        <v>10320.830384524652</v>
      </c>
      <c r="I107" s="231">
        <v>10321</v>
      </c>
      <c r="J107" s="718"/>
      <c r="K107" s="231">
        <f t="shared" si="25"/>
        <v>14828.924452217349</v>
      </c>
      <c r="L107" s="231">
        <f t="shared" si="42"/>
        <v>4507.9244522173485</v>
      </c>
      <c r="M107" s="232">
        <f t="shared" si="31"/>
        <v>0.43677206203055408</v>
      </c>
      <c r="N107" s="659"/>
      <c r="O107" s="231"/>
      <c r="P107" s="231"/>
      <c r="Q107" s="231">
        <f t="shared" si="43"/>
        <v>10321</v>
      </c>
      <c r="R107" s="231"/>
      <c r="T107" s="231">
        <v>0</v>
      </c>
      <c r="U107" s="231">
        <v>0</v>
      </c>
      <c r="V107" s="231">
        <v>14828.924452217349</v>
      </c>
      <c r="W107" s="231">
        <v>0</v>
      </c>
      <c r="Y107" s="155">
        <f t="shared" si="44"/>
        <v>0</v>
      </c>
      <c r="Z107" s="155">
        <f t="shared" si="44"/>
        <v>0</v>
      </c>
      <c r="AA107" s="155">
        <f t="shared" si="44"/>
        <v>4507.9244522173485</v>
      </c>
      <c r="AB107" s="155">
        <f t="shared" si="44"/>
        <v>0</v>
      </c>
      <c r="AC107" s="159"/>
      <c r="AD107" s="156">
        <f t="shared" si="45"/>
        <v>0</v>
      </c>
      <c r="AE107" s="156">
        <f t="shared" si="45"/>
        <v>0</v>
      </c>
      <c r="AF107" s="156">
        <f t="shared" si="45"/>
        <v>0.43677206203055408</v>
      </c>
      <c r="AG107" s="156">
        <f t="shared" si="45"/>
        <v>0</v>
      </c>
    </row>
    <row r="108" spans="2:33" s="660" customFormat="1" ht="15" customHeight="1" x14ac:dyDescent="0.3">
      <c r="B108" s="538" t="s">
        <v>7943</v>
      </c>
      <c r="C108" s="539" t="s">
        <v>7944</v>
      </c>
      <c r="D108" s="540">
        <v>15</v>
      </c>
      <c r="E108" s="544">
        <v>350000</v>
      </c>
      <c r="F108" s="541">
        <f t="shared" si="39"/>
        <v>5250000</v>
      </c>
      <c r="G108" s="541">
        <f t="shared" si="40"/>
        <v>4239</v>
      </c>
      <c r="H108" s="541">
        <f t="shared" si="41"/>
        <v>1238.4996461429582</v>
      </c>
      <c r="I108" s="231">
        <v>1238</v>
      </c>
      <c r="J108" s="718"/>
      <c r="K108" s="231">
        <f t="shared" si="25"/>
        <v>1112.7958085915759</v>
      </c>
      <c r="L108" s="231">
        <f t="shared" si="42"/>
        <v>-125.20419140842409</v>
      </c>
      <c r="M108" s="232">
        <f t="shared" si="31"/>
        <v>-0.10113424184848473</v>
      </c>
      <c r="N108" s="659"/>
      <c r="O108" s="231"/>
      <c r="P108" s="231"/>
      <c r="Q108" s="231">
        <f t="shared" si="43"/>
        <v>1238</v>
      </c>
      <c r="R108" s="231"/>
      <c r="T108" s="231">
        <v>0</v>
      </c>
      <c r="U108" s="231">
        <v>0</v>
      </c>
      <c r="V108" s="231">
        <v>1112.7958085915759</v>
      </c>
      <c r="W108" s="231">
        <v>0</v>
      </c>
      <c r="Y108" s="155">
        <f t="shared" si="44"/>
        <v>0</v>
      </c>
      <c r="Z108" s="155">
        <f t="shared" si="44"/>
        <v>0</v>
      </c>
      <c r="AA108" s="155">
        <f t="shared" si="44"/>
        <v>-125.20419140842409</v>
      </c>
      <c r="AB108" s="155">
        <f t="shared" si="44"/>
        <v>0</v>
      </c>
      <c r="AC108" s="159"/>
      <c r="AD108" s="156">
        <f t="shared" si="45"/>
        <v>0</v>
      </c>
      <c r="AE108" s="156">
        <f t="shared" si="45"/>
        <v>0</v>
      </c>
      <c r="AF108" s="156">
        <f t="shared" si="45"/>
        <v>-0.10113424184848473</v>
      </c>
      <c r="AG108" s="156">
        <f t="shared" si="45"/>
        <v>0</v>
      </c>
    </row>
    <row r="109" spans="2:33" s="660" customFormat="1" ht="15" customHeight="1" x14ac:dyDescent="0.3">
      <c r="B109" s="538" t="s">
        <v>7945</v>
      </c>
      <c r="C109" s="539" t="s">
        <v>7916</v>
      </c>
      <c r="D109" s="540">
        <v>16</v>
      </c>
      <c r="E109" s="541">
        <f>50000+(10*20000)+(2*20000)</f>
        <v>290000</v>
      </c>
      <c r="F109" s="541">
        <f t="shared" si="39"/>
        <v>4640000</v>
      </c>
      <c r="G109" s="541">
        <f t="shared" si="40"/>
        <v>4239</v>
      </c>
      <c r="H109" s="541">
        <f t="shared" si="41"/>
        <v>1094.5977824958716</v>
      </c>
      <c r="I109" s="231">
        <v>1095</v>
      </c>
      <c r="J109" s="718"/>
      <c r="K109" s="231">
        <f t="shared" si="25"/>
        <v>904.8541786373487</v>
      </c>
      <c r="L109" s="231">
        <f t="shared" si="42"/>
        <v>-190.1458213626513</v>
      </c>
      <c r="M109" s="232">
        <f t="shared" si="31"/>
        <v>-0.17364915192936192</v>
      </c>
      <c r="N109" s="659"/>
      <c r="O109" s="231"/>
      <c r="P109" s="231"/>
      <c r="Q109" s="231">
        <f t="shared" si="43"/>
        <v>1095</v>
      </c>
      <c r="R109" s="231"/>
      <c r="T109" s="231">
        <v>0</v>
      </c>
      <c r="U109" s="231">
        <v>0</v>
      </c>
      <c r="V109" s="231">
        <v>904.8541786373487</v>
      </c>
      <c r="W109" s="231">
        <v>0</v>
      </c>
      <c r="Y109" s="155">
        <f t="shared" si="44"/>
        <v>0</v>
      </c>
      <c r="Z109" s="155">
        <f t="shared" si="44"/>
        <v>0</v>
      </c>
      <c r="AA109" s="155">
        <f t="shared" si="44"/>
        <v>-190.1458213626513</v>
      </c>
      <c r="AB109" s="155">
        <f t="shared" si="44"/>
        <v>0</v>
      </c>
      <c r="AC109" s="159"/>
      <c r="AD109" s="156">
        <f t="shared" si="45"/>
        <v>0</v>
      </c>
      <c r="AE109" s="156">
        <f t="shared" si="45"/>
        <v>0</v>
      </c>
      <c r="AF109" s="156">
        <f t="shared" si="45"/>
        <v>-0.17364915192936192</v>
      </c>
      <c r="AG109" s="156">
        <f t="shared" si="45"/>
        <v>0</v>
      </c>
    </row>
    <row r="110" spans="2:33" s="660" customFormat="1" ht="15" customHeight="1" x14ac:dyDescent="0.3">
      <c r="B110" s="538" t="s">
        <v>6461</v>
      </c>
      <c r="C110" s="539" t="s">
        <v>7946</v>
      </c>
      <c r="D110" s="540">
        <f>5*3*5</f>
        <v>75</v>
      </c>
      <c r="E110" s="541">
        <v>580000</v>
      </c>
      <c r="F110" s="541">
        <f>D110*E110</f>
        <v>43500000</v>
      </c>
      <c r="G110" s="541">
        <f t="shared" si="40"/>
        <v>4239</v>
      </c>
      <c r="H110" s="541">
        <f t="shared" si="41"/>
        <v>10261.854210898797</v>
      </c>
      <c r="I110" s="231">
        <v>4983</v>
      </c>
      <c r="J110" s="718"/>
      <c r="K110" s="231">
        <f t="shared" si="25"/>
        <v>9864.670719631662</v>
      </c>
      <c r="L110" s="231">
        <f t="shared" si="42"/>
        <v>4881.670719631662</v>
      </c>
      <c r="M110" s="232">
        <f t="shared" si="31"/>
        <v>0.97966500494313902</v>
      </c>
      <c r="N110" s="659"/>
      <c r="O110" s="231"/>
      <c r="P110" s="231"/>
      <c r="Q110" s="231">
        <f t="shared" si="43"/>
        <v>4983</v>
      </c>
      <c r="R110" s="231"/>
      <c r="T110" s="231">
        <v>0</v>
      </c>
      <c r="U110" s="231">
        <v>0</v>
      </c>
      <c r="V110" s="231">
        <v>9864.670719631662</v>
      </c>
      <c r="W110" s="231">
        <v>0</v>
      </c>
      <c r="Y110" s="155">
        <f t="shared" si="44"/>
        <v>0</v>
      </c>
      <c r="Z110" s="155">
        <f t="shared" si="44"/>
        <v>0</v>
      </c>
      <c r="AA110" s="155">
        <f t="shared" si="44"/>
        <v>4881.670719631662</v>
      </c>
      <c r="AB110" s="155">
        <f t="shared" si="44"/>
        <v>0</v>
      </c>
      <c r="AC110" s="159"/>
      <c r="AD110" s="156">
        <f t="shared" si="45"/>
        <v>0</v>
      </c>
      <c r="AE110" s="156">
        <f t="shared" si="45"/>
        <v>0</v>
      </c>
      <c r="AF110" s="156">
        <f t="shared" si="45"/>
        <v>0.97966500494313902</v>
      </c>
      <c r="AG110" s="156">
        <f t="shared" si="45"/>
        <v>0</v>
      </c>
    </row>
    <row r="111" spans="2:33" s="660" customFormat="1" ht="15" customHeight="1" x14ac:dyDescent="0.3">
      <c r="B111" s="538" t="s">
        <v>7947</v>
      </c>
      <c r="C111" s="539"/>
      <c r="D111" s="540">
        <v>16</v>
      </c>
      <c r="E111" s="541">
        <f>1075000</f>
        <v>1075000</v>
      </c>
      <c r="F111" s="541">
        <f t="shared" si="39"/>
        <v>17200000</v>
      </c>
      <c r="G111" s="541">
        <f t="shared" si="40"/>
        <v>4239</v>
      </c>
      <c r="H111" s="541">
        <f t="shared" si="41"/>
        <v>4057.5607454588348</v>
      </c>
      <c r="I111" s="231">
        <v>0</v>
      </c>
      <c r="J111" s="718"/>
      <c r="K111" s="231">
        <f t="shared" si="25"/>
        <v>1961.4621827916098</v>
      </c>
      <c r="L111" s="231">
        <f t="shared" si="42"/>
        <v>1961.4621827916098</v>
      </c>
      <c r="M111" s="232">
        <f t="shared" si="31"/>
        <v>0</v>
      </c>
      <c r="N111" s="659"/>
      <c r="O111" s="231"/>
      <c r="P111" s="231"/>
      <c r="Q111" s="231">
        <f t="shared" si="43"/>
        <v>0</v>
      </c>
      <c r="R111" s="231"/>
      <c r="T111" s="231">
        <v>0</v>
      </c>
      <c r="U111" s="231">
        <v>0</v>
      </c>
      <c r="V111" s="231">
        <v>1961.4621827916098</v>
      </c>
      <c r="W111" s="231">
        <v>0</v>
      </c>
      <c r="Y111" s="155">
        <f t="shared" si="44"/>
        <v>0</v>
      </c>
      <c r="Z111" s="155">
        <f t="shared" si="44"/>
        <v>0</v>
      </c>
      <c r="AA111" s="155">
        <f t="shared" si="44"/>
        <v>1961.4621827916098</v>
      </c>
      <c r="AB111" s="155">
        <f t="shared" si="44"/>
        <v>0</v>
      </c>
      <c r="AC111" s="159"/>
      <c r="AD111" s="156">
        <f t="shared" si="45"/>
        <v>0</v>
      </c>
      <c r="AE111" s="156">
        <f t="shared" si="45"/>
        <v>0</v>
      </c>
      <c r="AF111" s="156">
        <f t="shared" si="45"/>
        <v>0</v>
      </c>
      <c r="AG111" s="156">
        <f t="shared" si="45"/>
        <v>0</v>
      </c>
    </row>
    <row r="112" spans="2:33" s="660" customFormat="1" ht="15" customHeight="1" x14ac:dyDescent="0.3">
      <c r="B112" s="538" t="s">
        <v>7948</v>
      </c>
      <c r="C112" s="539" t="s">
        <v>7902</v>
      </c>
      <c r="D112" s="540">
        <v>5</v>
      </c>
      <c r="E112" s="541">
        <v>6360000</v>
      </c>
      <c r="F112" s="541">
        <f t="shared" si="39"/>
        <v>31800000</v>
      </c>
      <c r="G112" s="541">
        <f t="shared" si="40"/>
        <v>4239</v>
      </c>
      <c r="H112" s="541">
        <f t="shared" si="41"/>
        <v>7501.7692852087757</v>
      </c>
      <c r="I112" s="231">
        <v>0</v>
      </c>
      <c r="J112" s="718"/>
      <c r="K112" s="231">
        <f t="shared" si="25"/>
        <v>0</v>
      </c>
      <c r="L112" s="231">
        <f t="shared" si="42"/>
        <v>0</v>
      </c>
      <c r="M112" s="232">
        <f t="shared" si="31"/>
        <v>0</v>
      </c>
      <c r="N112" s="659"/>
      <c r="O112" s="231"/>
      <c r="P112" s="231"/>
      <c r="Q112" s="231">
        <f t="shared" si="43"/>
        <v>0</v>
      </c>
      <c r="R112" s="231"/>
      <c r="T112" s="231"/>
      <c r="U112" s="231"/>
      <c r="V112" s="231"/>
      <c r="W112" s="231"/>
      <c r="Y112" s="155">
        <f t="shared" si="44"/>
        <v>0</v>
      </c>
      <c r="Z112" s="155">
        <f t="shared" si="44"/>
        <v>0</v>
      </c>
      <c r="AA112" s="155">
        <f t="shared" si="44"/>
        <v>0</v>
      </c>
      <c r="AB112" s="155">
        <f t="shared" si="44"/>
        <v>0</v>
      </c>
      <c r="AC112" s="159"/>
      <c r="AD112" s="156">
        <f t="shared" si="45"/>
        <v>0</v>
      </c>
      <c r="AE112" s="156">
        <f t="shared" si="45"/>
        <v>0</v>
      </c>
      <c r="AF112" s="156">
        <f t="shared" si="45"/>
        <v>0</v>
      </c>
      <c r="AG112" s="156">
        <f t="shared" si="45"/>
        <v>0</v>
      </c>
    </row>
    <row r="113" spans="2:33" s="660" customFormat="1" ht="15" customHeight="1" x14ac:dyDescent="0.3">
      <c r="B113" s="538" t="s">
        <v>7949</v>
      </c>
      <c r="C113" s="539" t="s">
        <v>7902</v>
      </c>
      <c r="D113" s="540">
        <v>200</v>
      </c>
      <c r="E113" s="541">
        <v>350000</v>
      </c>
      <c r="F113" s="541">
        <f t="shared" si="39"/>
        <v>70000000</v>
      </c>
      <c r="G113" s="541">
        <f t="shared" si="40"/>
        <v>4239</v>
      </c>
      <c r="H113" s="541">
        <f t="shared" si="41"/>
        <v>16513.328615239443</v>
      </c>
      <c r="I113" s="231">
        <v>0</v>
      </c>
      <c r="J113" s="718"/>
      <c r="K113" s="231">
        <f t="shared" si="25"/>
        <v>0</v>
      </c>
      <c r="L113" s="231">
        <f t="shared" si="42"/>
        <v>0</v>
      </c>
      <c r="M113" s="232">
        <f t="shared" si="31"/>
        <v>0</v>
      </c>
      <c r="N113" s="659"/>
      <c r="O113" s="231"/>
      <c r="P113" s="231"/>
      <c r="Q113" s="231">
        <f t="shared" si="43"/>
        <v>0</v>
      </c>
      <c r="R113" s="231"/>
      <c r="T113" s="231"/>
      <c r="U113" s="231"/>
      <c r="V113" s="231"/>
      <c r="W113" s="231"/>
      <c r="Y113" s="155">
        <f t="shared" si="44"/>
        <v>0</v>
      </c>
      <c r="Z113" s="155">
        <f t="shared" si="44"/>
        <v>0</v>
      </c>
      <c r="AA113" s="155">
        <f t="shared" si="44"/>
        <v>0</v>
      </c>
      <c r="AB113" s="155">
        <f t="shared" si="44"/>
        <v>0</v>
      </c>
      <c r="AC113" s="159"/>
      <c r="AD113" s="156">
        <f t="shared" si="45"/>
        <v>0</v>
      </c>
      <c r="AE113" s="156">
        <f t="shared" si="45"/>
        <v>0</v>
      </c>
      <c r="AF113" s="156">
        <f t="shared" si="45"/>
        <v>0</v>
      </c>
      <c r="AG113" s="156">
        <f t="shared" si="45"/>
        <v>0</v>
      </c>
    </row>
    <row r="114" spans="2:33" s="660" customFormat="1" ht="15" customHeight="1" x14ac:dyDescent="0.3">
      <c r="B114" s="538" t="s">
        <v>7950</v>
      </c>
      <c r="C114" s="539" t="s">
        <v>7902</v>
      </c>
      <c r="D114" s="540">
        <f>5*3*5</f>
        <v>75</v>
      </c>
      <c r="E114" s="541">
        <v>200000</v>
      </c>
      <c r="F114" s="541">
        <f t="shared" si="39"/>
        <v>15000000</v>
      </c>
      <c r="G114" s="541">
        <f t="shared" si="40"/>
        <v>4239</v>
      </c>
      <c r="H114" s="541">
        <f t="shared" si="41"/>
        <v>3538.5704175513092</v>
      </c>
      <c r="I114" s="231">
        <v>0</v>
      </c>
      <c r="J114" s="718"/>
      <c r="K114" s="231">
        <f t="shared" si="25"/>
        <v>0</v>
      </c>
      <c r="L114" s="231">
        <f t="shared" si="42"/>
        <v>0</v>
      </c>
      <c r="M114" s="232">
        <f t="shared" si="31"/>
        <v>0</v>
      </c>
      <c r="N114" s="659"/>
      <c r="O114" s="231"/>
      <c r="P114" s="231"/>
      <c r="Q114" s="231">
        <f t="shared" si="43"/>
        <v>0</v>
      </c>
      <c r="R114" s="231"/>
      <c r="T114" s="231"/>
      <c r="U114" s="231"/>
      <c r="V114" s="231"/>
      <c r="W114" s="231"/>
      <c r="Y114" s="155">
        <f t="shared" si="44"/>
        <v>0</v>
      </c>
      <c r="Z114" s="155">
        <f t="shared" si="44"/>
        <v>0</v>
      </c>
      <c r="AA114" s="155">
        <f t="shared" si="44"/>
        <v>0</v>
      </c>
      <c r="AB114" s="155">
        <f t="shared" si="44"/>
        <v>0</v>
      </c>
      <c r="AC114" s="159"/>
      <c r="AD114" s="156">
        <f t="shared" si="45"/>
        <v>0</v>
      </c>
      <c r="AE114" s="156">
        <f t="shared" si="45"/>
        <v>0</v>
      </c>
      <c r="AF114" s="156">
        <f t="shared" si="45"/>
        <v>0</v>
      </c>
      <c r="AG114" s="156">
        <f t="shared" si="45"/>
        <v>0</v>
      </c>
    </row>
    <row r="115" spans="2:33" s="633" customFormat="1" ht="15" customHeight="1" x14ac:dyDescent="0.3">
      <c r="B115" s="693" t="s">
        <v>7951</v>
      </c>
      <c r="C115" s="539" t="s">
        <v>7902</v>
      </c>
      <c r="D115" s="547">
        <v>1</v>
      </c>
      <c r="E115" s="548">
        <v>1000000</v>
      </c>
      <c r="F115" s="548">
        <f t="shared" si="39"/>
        <v>1000000</v>
      </c>
      <c r="G115" s="548">
        <f t="shared" si="40"/>
        <v>4239</v>
      </c>
      <c r="H115" s="548">
        <f t="shared" si="41"/>
        <v>235.90469450342061</v>
      </c>
      <c r="I115" s="231">
        <v>0</v>
      </c>
      <c r="J115" s="718"/>
      <c r="K115" s="231">
        <f t="shared" si="25"/>
        <v>0</v>
      </c>
      <c r="L115" s="231">
        <f t="shared" si="42"/>
        <v>0</v>
      </c>
      <c r="M115" s="232">
        <f t="shared" si="31"/>
        <v>0</v>
      </c>
      <c r="N115" s="659"/>
      <c r="O115" s="231"/>
      <c r="P115" s="231"/>
      <c r="Q115" s="231">
        <f t="shared" si="43"/>
        <v>0</v>
      </c>
      <c r="R115" s="231"/>
      <c r="T115" s="231"/>
      <c r="U115" s="231"/>
      <c r="V115" s="231"/>
      <c r="W115" s="231"/>
      <c r="Y115" s="155">
        <f t="shared" si="44"/>
        <v>0</v>
      </c>
      <c r="Z115" s="155">
        <f t="shared" si="44"/>
        <v>0</v>
      </c>
      <c r="AA115" s="155">
        <f t="shared" si="44"/>
        <v>0</v>
      </c>
      <c r="AB115" s="155">
        <f t="shared" si="44"/>
        <v>0</v>
      </c>
      <c r="AC115" s="159"/>
      <c r="AD115" s="156">
        <f t="shared" si="45"/>
        <v>0</v>
      </c>
      <c r="AE115" s="156">
        <f t="shared" si="45"/>
        <v>0</v>
      </c>
      <c r="AF115" s="156">
        <f t="shared" si="45"/>
        <v>0</v>
      </c>
      <c r="AG115" s="156">
        <f t="shared" si="45"/>
        <v>0</v>
      </c>
    </row>
    <row r="116" spans="2:33" s="633" customFormat="1" ht="15" customHeight="1" x14ac:dyDescent="0.3">
      <c r="B116" s="538" t="s">
        <v>7952</v>
      </c>
      <c r="C116" s="539" t="s">
        <v>7886</v>
      </c>
      <c r="D116" s="547">
        <f>20*2</f>
        <v>40</v>
      </c>
      <c r="E116" s="548">
        <v>75000</v>
      </c>
      <c r="F116" s="548">
        <f t="shared" si="39"/>
        <v>3000000</v>
      </c>
      <c r="G116" s="548">
        <f t="shared" si="40"/>
        <v>4239</v>
      </c>
      <c r="H116" s="548">
        <f t="shared" si="41"/>
        <v>707.71408351026184</v>
      </c>
      <c r="I116" s="231">
        <v>0</v>
      </c>
      <c r="J116" s="718"/>
      <c r="K116" s="231">
        <f t="shared" si="25"/>
        <v>0</v>
      </c>
      <c r="L116" s="231">
        <f t="shared" si="42"/>
        <v>0</v>
      </c>
      <c r="M116" s="232">
        <f t="shared" si="31"/>
        <v>0</v>
      </c>
      <c r="N116" s="659"/>
      <c r="O116" s="231"/>
      <c r="P116" s="231"/>
      <c r="Q116" s="231">
        <f t="shared" si="43"/>
        <v>0</v>
      </c>
      <c r="R116" s="231"/>
      <c r="T116" s="231"/>
      <c r="U116" s="231"/>
      <c r="V116" s="231"/>
      <c r="W116" s="231"/>
      <c r="Y116" s="155">
        <f t="shared" si="44"/>
        <v>0</v>
      </c>
      <c r="Z116" s="155">
        <f t="shared" si="44"/>
        <v>0</v>
      </c>
      <c r="AA116" s="155">
        <f t="shared" si="44"/>
        <v>0</v>
      </c>
      <c r="AB116" s="155">
        <f t="shared" si="44"/>
        <v>0</v>
      </c>
      <c r="AC116" s="159"/>
      <c r="AD116" s="156">
        <f t="shared" si="45"/>
        <v>0</v>
      </c>
      <c r="AE116" s="156">
        <f t="shared" si="45"/>
        <v>0</v>
      </c>
      <c r="AF116" s="156">
        <f t="shared" si="45"/>
        <v>0</v>
      </c>
      <c r="AG116" s="156">
        <f t="shared" si="45"/>
        <v>0</v>
      </c>
    </row>
    <row r="117" spans="2:33" ht="15.75" customHeight="1" x14ac:dyDescent="0.3">
      <c r="B117" s="871" t="s">
        <v>7953</v>
      </c>
      <c r="C117" s="847"/>
      <c r="D117" s="847"/>
      <c r="E117" s="847"/>
      <c r="F117" s="847"/>
      <c r="G117" s="847"/>
      <c r="H117" s="847"/>
      <c r="I117" s="711"/>
      <c r="J117" s="715"/>
      <c r="K117" s="711"/>
      <c r="L117" s="716"/>
      <c r="M117" s="703"/>
      <c r="N117" s="659"/>
      <c r="O117" s="857"/>
      <c r="P117" s="858"/>
      <c r="Q117" s="858"/>
      <c r="R117" s="859"/>
      <c r="T117" s="857"/>
      <c r="U117" s="858"/>
      <c r="V117" s="858"/>
      <c r="W117" s="859"/>
      <c r="Y117" s="214"/>
      <c r="Z117" s="214"/>
      <c r="AA117" s="214"/>
      <c r="AB117" s="214"/>
      <c r="AC117" s="146"/>
      <c r="AD117" s="422"/>
      <c r="AE117" s="422"/>
      <c r="AF117" s="422"/>
      <c r="AG117" s="422"/>
    </row>
    <row r="118" spans="2:33" s="633" customFormat="1" ht="15" customHeight="1" x14ac:dyDescent="0.3">
      <c r="B118" s="546" t="s">
        <v>7954</v>
      </c>
      <c r="C118" s="539" t="s">
        <v>7920</v>
      </c>
      <c r="D118" s="547">
        <f>5*2</f>
        <v>10</v>
      </c>
      <c r="E118" s="548">
        <f>(20000*20)+(20*20000)+(20*10000)+(50000)+(20000)</f>
        <v>1070000</v>
      </c>
      <c r="F118" s="548">
        <f t="shared" ref="F118:F130" si="46">D118*E118</f>
        <v>10700000</v>
      </c>
      <c r="G118" s="548">
        <f t="shared" ref="G118:G130" si="47">$G$6</f>
        <v>4239</v>
      </c>
      <c r="H118" s="548">
        <f t="shared" ref="H118:H130" si="48">IF($G$6=0,0,F118/G118)</f>
        <v>2524.1802311866004</v>
      </c>
      <c r="I118" s="231">
        <v>2524</v>
      </c>
      <c r="J118" s="718"/>
      <c r="K118" s="231">
        <f t="shared" si="25"/>
        <v>1630.3784488141864</v>
      </c>
      <c r="L118" s="231">
        <f t="shared" ref="L118:L132" si="49">K118-I118</f>
        <v>-893.62155118581359</v>
      </c>
      <c r="M118" s="232">
        <f t="shared" si="31"/>
        <v>-0.35404974294208147</v>
      </c>
      <c r="N118" s="659"/>
      <c r="O118" s="231"/>
      <c r="P118" s="231"/>
      <c r="Q118" s="231"/>
      <c r="R118" s="231">
        <f t="shared" ref="R118:R130" si="50">I118</f>
        <v>2524</v>
      </c>
      <c r="S118" s="660"/>
      <c r="T118" s="231">
        <v>0</v>
      </c>
      <c r="U118" s="231">
        <v>0</v>
      </c>
      <c r="V118" s="231">
        <v>0</v>
      </c>
      <c r="W118" s="231">
        <v>1630.3784488141864</v>
      </c>
      <c r="Y118" s="155">
        <f t="shared" ref="Y118:AB132" si="51">T118-O118</f>
        <v>0</v>
      </c>
      <c r="Z118" s="155">
        <f t="shared" si="51"/>
        <v>0</v>
      </c>
      <c r="AA118" s="155">
        <f t="shared" si="51"/>
        <v>0</v>
      </c>
      <c r="AB118" s="155">
        <f t="shared" si="51"/>
        <v>-893.62155118581359</v>
      </c>
      <c r="AC118" s="159"/>
      <c r="AD118" s="156">
        <f t="shared" ref="AD118:AG132" si="52">IFERROR(Y118/O118,0)</f>
        <v>0</v>
      </c>
      <c r="AE118" s="156">
        <f t="shared" si="52"/>
        <v>0</v>
      </c>
      <c r="AF118" s="156">
        <f t="shared" si="52"/>
        <v>0</v>
      </c>
      <c r="AG118" s="156">
        <f t="shared" si="52"/>
        <v>-0.35404974294208147</v>
      </c>
    </row>
    <row r="119" spans="2:33" s="660" customFormat="1" ht="15" customHeight="1" x14ac:dyDescent="0.3">
      <c r="B119" s="538" t="s">
        <v>169</v>
      </c>
      <c r="C119" s="539" t="s">
        <v>7920</v>
      </c>
      <c r="D119" s="540">
        <f>5*3*5</f>
        <v>75</v>
      </c>
      <c r="E119" s="719">
        <f>(20000*15)+(20000)</f>
        <v>320000</v>
      </c>
      <c r="F119" s="541">
        <f t="shared" si="46"/>
        <v>24000000</v>
      </c>
      <c r="G119" s="541">
        <f t="shared" si="47"/>
        <v>4239</v>
      </c>
      <c r="H119" s="541">
        <f t="shared" si="48"/>
        <v>5661.7126680820948</v>
      </c>
      <c r="I119" s="231">
        <v>0</v>
      </c>
      <c r="J119" s="704"/>
      <c r="K119" s="231">
        <f t="shared" si="25"/>
        <v>0</v>
      </c>
      <c r="L119" s="231">
        <f t="shared" si="49"/>
        <v>0</v>
      </c>
      <c r="M119" s="232">
        <f t="shared" si="31"/>
        <v>0</v>
      </c>
      <c r="N119" s="659"/>
      <c r="O119" s="231"/>
      <c r="P119" s="231"/>
      <c r="Q119" s="231"/>
      <c r="R119" s="231">
        <f t="shared" si="50"/>
        <v>0</v>
      </c>
      <c r="T119" s="231"/>
      <c r="U119" s="231"/>
      <c r="V119" s="231"/>
      <c r="W119" s="231"/>
      <c r="X119" s="720"/>
      <c r="Y119" s="155">
        <f t="shared" si="51"/>
        <v>0</v>
      </c>
      <c r="Z119" s="155">
        <f t="shared" si="51"/>
        <v>0</v>
      </c>
      <c r="AA119" s="155">
        <f t="shared" si="51"/>
        <v>0</v>
      </c>
      <c r="AB119" s="155">
        <f t="shared" si="51"/>
        <v>0</v>
      </c>
      <c r="AC119" s="159"/>
      <c r="AD119" s="156">
        <f t="shared" si="52"/>
        <v>0</v>
      </c>
      <c r="AE119" s="156">
        <f t="shared" si="52"/>
        <v>0</v>
      </c>
      <c r="AF119" s="156">
        <f t="shared" si="52"/>
        <v>0</v>
      </c>
      <c r="AG119" s="156">
        <f t="shared" si="52"/>
        <v>0</v>
      </c>
    </row>
    <row r="120" spans="2:33" s="660" customFormat="1" ht="15" customHeight="1" x14ac:dyDescent="0.3">
      <c r="B120" s="538" t="s">
        <v>7955</v>
      </c>
      <c r="C120" s="539" t="s">
        <v>3925</v>
      </c>
      <c r="D120" s="540">
        <f>5*3*5</f>
        <v>75</v>
      </c>
      <c r="E120" s="541">
        <f>1*1000000</f>
        <v>1000000</v>
      </c>
      <c r="F120" s="541">
        <f t="shared" si="46"/>
        <v>75000000</v>
      </c>
      <c r="G120" s="541">
        <f t="shared" si="47"/>
        <v>4239</v>
      </c>
      <c r="H120" s="541">
        <f t="shared" si="48"/>
        <v>17692.852087756546</v>
      </c>
      <c r="I120" s="231">
        <v>0</v>
      </c>
      <c r="J120" s="704"/>
      <c r="K120" s="231">
        <f t="shared" si="25"/>
        <v>3548.5181277807701</v>
      </c>
      <c r="L120" s="231">
        <f t="shared" si="49"/>
        <v>3548.5181277807701</v>
      </c>
      <c r="M120" s="232">
        <f t="shared" si="31"/>
        <v>0</v>
      </c>
      <c r="N120" s="659"/>
      <c r="O120" s="231"/>
      <c r="P120" s="231"/>
      <c r="Q120" s="231"/>
      <c r="R120" s="231">
        <f t="shared" si="50"/>
        <v>0</v>
      </c>
      <c r="T120" s="231">
        <v>0</v>
      </c>
      <c r="U120" s="231">
        <v>0</v>
      </c>
      <c r="V120" s="231">
        <v>0</v>
      </c>
      <c r="W120" s="231">
        <v>3548.5181277807701</v>
      </c>
      <c r="X120" s="720"/>
      <c r="Y120" s="155">
        <f t="shared" si="51"/>
        <v>0</v>
      </c>
      <c r="Z120" s="155">
        <f t="shared" si="51"/>
        <v>0</v>
      </c>
      <c r="AA120" s="155">
        <f t="shared" si="51"/>
        <v>0</v>
      </c>
      <c r="AB120" s="155">
        <f t="shared" si="51"/>
        <v>3548.5181277807701</v>
      </c>
      <c r="AC120" s="159"/>
      <c r="AD120" s="156">
        <f t="shared" si="52"/>
        <v>0</v>
      </c>
      <c r="AE120" s="156">
        <f t="shared" si="52"/>
        <v>0</v>
      </c>
      <c r="AF120" s="156">
        <f t="shared" si="52"/>
        <v>0</v>
      </c>
      <c r="AG120" s="156">
        <f t="shared" si="52"/>
        <v>0</v>
      </c>
    </row>
    <row r="121" spans="2:33" s="660" customFormat="1" ht="15" customHeight="1" x14ac:dyDescent="0.3">
      <c r="B121" s="538" t="s">
        <v>7956</v>
      </c>
      <c r="C121" s="539" t="s">
        <v>7886</v>
      </c>
      <c r="D121" s="540">
        <f>5*25</f>
        <v>125</v>
      </c>
      <c r="E121" s="541">
        <v>175000</v>
      </c>
      <c r="F121" s="541">
        <f t="shared" si="46"/>
        <v>21875000</v>
      </c>
      <c r="G121" s="541">
        <f t="shared" si="47"/>
        <v>4239</v>
      </c>
      <c r="H121" s="541">
        <f t="shared" si="48"/>
        <v>5160.4151922623259</v>
      </c>
      <c r="I121" s="231">
        <v>0</v>
      </c>
      <c r="J121" s="704"/>
      <c r="K121" s="231">
        <f t="shared" si="25"/>
        <v>257.47543693891686</v>
      </c>
      <c r="L121" s="231">
        <f t="shared" si="49"/>
        <v>257.47543693891686</v>
      </c>
      <c r="M121" s="232">
        <f t="shared" si="31"/>
        <v>0</v>
      </c>
      <c r="N121" s="659"/>
      <c r="O121" s="231"/>
      <c r="P121" s="231"/>
      <c r="Q121" s="231"/>
      <c r="R121" s="231">
        <f t="shared" si="50"/>
        <v>0</v>
      </c>
      <c r="T121" s="231">
        <v>0</v>
      </c>
      <c r="U121" s="231">
        <v>0</v>
      </c>
      <c r="V121" s="231">
        <v>0</v>
      </c>
      <c r="W121" s="231">
        <v>257.47543693891686</v>
      </c>
      <c r="X121" s="720"/>
      <c r="Y121" s="155">
        <f t="shared" si="51"/>
        <v>0</v>
      </c>
      <c r="Z121" s="155">
        <f t="shared" si="51"/>
        <v>0</v>
      </c>
      <c r="AA121" s="155">
        <f t="shared" si="51"/>
        <v>0</v>
      </c>
      <c r="AB121" s="155">
        <f t="shared" si="51"/>
        <v>257.47543693891686</v>
      </c>
      <c r="AC121" s="159"/>
      <c r="AD121" s="156">
        <f t="shared" si="52"/>
        <v>0</v>
      </c>
      <c r="AE121" s="156">
        <f t="shared" si="52"/>
        <v>0</v>
      </c>
      <c r="AF121" s="156">
        <f t="shared" si="52"/>
        <v>0</v>
      </c>
      <c r="AG121" s="156">
        <f t="shared" si="52"/>
        <v>0</v>
      </c>
    </row>
    <row r="122" spans="2:33" s="660" customFormat="1" ht="15" customHeight="1" x14ac:dyDescent="0.3">
      <c r="B122" s="538" t="s">
        <v>7957</v>
      </c>
      <c r="C122" s="539" t="s">
        <v>7881</v>
      </c>
      <c r="D122" s="540">
        <v>1</v>
      </c>
      <c r="E122" s="541">
        <f>(25*175000)*2</f>
        <v>8750000</v>
      </c>
      <c r="F122" s="541">
        <f t="shared" si="46"/>
        <v>8750000</v>
      </c>
      <c r="G122" s="541">
        <f t="shared" si="47"/>
        <v>4239</v>
      </c>
      <c r="H122" s="541">
        <f t="shared" si="48"/>
        <v>2064.1660769049304</v>
      </c>
      <c r="I122" s="231">
        <v>0</v>
      </c>
      <c r="J122" s="718"/>
      <c r="K122" s="231">
        <f t="shared" si="25"/>
        <v>1728.9161150370423</v>
      </c>
      <c r="L122" s="231">
        <f t="shared" si="49"/>
        <v>1728.9161150370423</v>
      </c>
      <c r="M122" s="232">
        <f t="shared" si="31"/>
        <v>0</v>
      </c>
      <c r="N122" s="659"/>
      <c r="O122" s="231"/>
      <c r="P122" s="231"/>
      <c r="Q122" s="231"/>
      <c r="R122" s="231">
        <f t="shared" si="50"/>
        <v>0</v>
      </c>
      <c r="T122" s="231">
        <v>0</v>
      </c>
      <c r="U122" s="231">
        <v>0</v>
      </c>
      <c r="V122" s="231">
        <v>0</v>
      </c>
      <c r="W122" s="231">
        <v>1728.9161150370423</v>
      </c>
      <c r="Y122" s="155">
        <f t="shared" si="51"/>
        <v>0</v>
      </c>
      <c r="Z122" s="155">
        <f t="shared" si="51"/>
        <v>0</v>
      </c>
      <c r="AA122" s="155">
        <f t="shared" si="51"/>
        <v>0</v>
      </c>
      <c r="AB122" s="155">
        <f t="shared" si="51"/>
        <v>1728.9161150370423</v>
      </c>
      <c r="AC122" s="159"/>
      <c r="AD122" s="156">
        <f t="shared" si="52"/>
        <v>0</v>
      </c>
      <c r="AE122" s="156">
        <f t="shared" si="52"/>
        <v>0</v>
      </c>
      <c r="AF122" s="156">
        <f t="shared" si="52"/>
        <v>0</v>
      </c>
      <c r="AG122" s="156">
        <f t="shared" si="52"/>
        <v>0</v>
      </c>
    </row>
    <row r="123" spans="2:33" s="660" customFormat="1" ht="15" customHeight="1" x14ac:dyDescent="0.3">
      <c r="B123" s="538" t="s">
        <v>7958</v>
      </c>
      <c r="C123" s="539"/>
      <c r="D123" s="540">
        <v>18</v>
      </c>
      <c r="E123" s="544">
        <v>500000</v>
      </c>
      <c r="F123" s="541">
        <f t="shared" si="46"/>
        <v>9000000</v>
      </c>
      <c r="G123" s="541">
        <f t="shared" si="47"/>
        <v>4239</v>
      </c>
      <c r="H123" s="541">
        <f t="shared" si="48"/>
        <v>2123.1422505307855</v>
      </c>
      <c r="I123" s="231">
        <v>0</v>
      </c>
      <c r="J123" s="718"/>
      <c r="K123" s="231">
        <f t="shared" si="25"/>
        <v>0</v>
      </c>
      <c r="L123" s="231">
        <f t="shared" si="49"/>
        <v>0</v>
      </c>
      <c r="M123" s="232">
        <f t="shared" si="31"/>
        <v>0</v>
      </c>
      <c r="N123" s="659"/>
      <c r="O123" s="231"/>
      <c r="P123" s="231"/>
      <c r="Q123" s="231"/>
      <c r="R123" s="231">
        <f t="shared" si="50"/>
        <v>0</v>
      </c>
      <c r="T123" s="231"/>
      <c r="U123" s="231"/>
      <c r="V123" s="231"/>
      <c r="W123" s="231"/>
      <c r="Y123" s="155">
        <f t="shared" si="51"/>
        <v>0</v>
      </c>
      <c r="Z123" s="155">
        <f t="shared" si="51"/>
        <v>0</v>
      </c>
      <c r="AA123" s="155">
        <f t="shared" si="51"/>
        <v>0</v>
      </c>
      <c r="AB123" s="155">
        <f t="shared" si="51"/>
        <v>0</v>
      </c>
      <c r="AC123" s="159"/>
      <c r="AD123" s="156">
        <f t="shared" si="52"/>
        <v>0</v>
      </c>
      <c r="AE123" s="156">
        <f t="shared" si="52"/>
        <v>0</v>
      </c>
      <c r="AF123" s="156">
        <f t="shared" si="52"/>
        <v>0</v>
      </c>
      <c r="AG123" s="156">
        <f t="shared" si="52"/>
        <v>0</v>
      </c>
    </row>
    <row r="124" spans="2:33" s="660" customFormat="1" ht="15" customHeight="1" x14ac:dyDescent="0.3">
      <c r="B124" s="538" t="s">
        <v>7959</v>
      </c>
      <c r="C124" s="539" t="s">
        <v>7960</v>
      </c>
      <c r="D124" s="540">
        <v>18</v>
      </c>
      <c r="E124" s="544">
        <f>3*100000</f>
        <v>300000</v>
      </c>
      <c r="F124" s="541">
        <f t="shared" si="46"/>
        <v>5400000</v>
      </c>
      <c r="G124" s="541">
        <f t="shared" si="47"/>
        <v>4239</v>
      </c>
      <c r="H124" s="541">
        <f t="shared" si="48"/>
        <v>1273.8853503184714</v>
      </c>
      <c r="I124" s="231">
        <v>0</v>
      </c>
      <c r="J124" s="718"/>
      <c r="K124" s="231">
        <f t="shared" si="25"/>
        <v>0</v>
      </c>
      <c r="L124" s="231">
        <f t="shared" si="49"/>
        <v>0</v>
      </c>
      <c r="M124" s="232">
        <f t="shared" si="31"/>
        <v>0</v>
      </c>
      <c r="N124" s="659"/>
      <c r="O124" s="231"/>
      <c r="P124" s="231"/>
      <c r="Q124" s="231"/>
      <c r="R124" s="231">
        <f t="shared" si="50"/>
        <v>0</v>
      </c>
      <c r="T124" s="231"/>
      <c r="U124" s="231"/>
      <c r="V124" s="231"/>
      <c r="W124" s="231"/>
      <c r="Y124" s="155">
        <f t="shared" si="51"/>
        <v>0</v>
      </c>
      <c r="Z124" s="155">
        <f t="shared" si="51"/>
        <v>0</v>
      </c>
      <c r="AA124" s="155">
        <f t="shared" si="51"/>
        <v>0</v>
      </c>
      <c r="AB124" s="155">
        <f t="shared" si="51"/>
        <v>0</v>
      </c>
      <c r="AC124" s="159"/>
      <c r="AD124" s="156">
        <f t="shared" si="52"/>
        <v>0</v>
      </c>
      <c r="AE124" s="156">
        <f t="shared" si="52"/>
        <v>0</v>
      </c>
      <c r="AF124" s="156">
        <f t="shared" si="52"/>
        <v>0</v>
      </c>
      <c r="AG124" s="156">
        <f t="shared" si="52"/>
        <v>0</v>
      </c>
    </row>
    <row r="125" spans="2:33" s="660" customFormat="1" ht="15" customHeight="1" x14ac:dyDescent="0.3">
      <c r="B125" s="538" t="s">
        <v>7961</v>
      </c>
      <c r="C125" s="539" t="s">
        <v>7962</v>
      </c>
      <c r="D125" s="540">
        <v>1</v>
      </c>
      <c r="E125" s="544">
        <f>(175000*12)+(1*500000)+(1*4000000)+(2*640000*12)</f>
        <v>21960000</v>
      </c>
      <c r="F125" s="541">
        <f>D125*E125</f>
        <v>21960000</v>
      </c>
      <c r="G125" s="541">
        <f t="shared" si="47"/>
        <v>4239</v>
      </c>
      <c r="H125" s="541">
        <f t="shared" si="48"/>
        <v>5180.4670912951169</v>
      </c>
      <c r="I125" s="231">
        <v>0</v>
      </c>
      <c r="J125" s="704"/>
      <c r="K125" s="231">
        <f t="shared" si="25"/>
        <v>0</v>
      </c>
      <c r="L125" s="231">
        <f t="shared" si="49"/>
        <v>0</v>
      </c>
      <c r="M125" s="232">
        <f t="shared" si="31"/>
        <v>0</v>
      </c>
      <c r="N125" s="659"/>
      <c r="O125" s="231"/>
      <c r="P125" s="231"/>
      <c r="Q125" s="231"/>
      <c r="R125" s="231">
        <f t="shared" si="50"/>
        <v>0</v>
      </c>
      <c r="T125" s="231"/>
      <c r="U125" s="231"/>
      <c r="V125" s="231"/>
      <c r="W125" s="231"/>
      <c r="X125" s="720"/>
      <c r="Y125" s="155">
        <f t="shared" si="51"/>
        <v>0</v>
      </c>
      <c r="Z125" s="155">
        <f t="shared" si="51"/>
        <v>0</v>
      </c>
      <c r="AA125" s="155">
        <f t="shared" si="51"/>
        <v>0</v>
      </c>
      <c r="AB125" s="155">
        <f t="shared" si="51"/>
        <v>0</v>
      </c>
      <c r="AC125" s="159"/>
      <c r="AD125" s="156">
        <f t="shared" si="52"/>
        <v>0</v>
      </c>
      <c r="AE125" s="156">
        <f t="shared" si="52"/>
        <v>0</v>
      </c>
      <c r="AF125" s="156">
        <f t="shared" si="52"/>
        <v>0</v>
      </c>
      <c r="AG125" s="156">
        <f t="shared" si="52"/>
        <v>0</v>
      </c>
    </row>
    <row r="126" spans="2:33" s="660" customFormat="1" ht="15" customHeight="1" x14ac:dyDescent="0.3">
      <c r="B126" s="538" t="s">
        <v>3921</v>
      </c>
      <c r="C126" s="539" t="s">
        <v>59</v>
      </c>
      <c r="D126" s="540">
        <v>1</v>
      </c>
      <c r="E126" s="541">
        <v>127170000</v>
      </c>
      <c r="F126" s="541">
        <f>D126*E126</f>
        <v>127170000</v>
      </c>
      <c r="G126" s="541">
        <f t="shared" si="47"/>
        <v>4239</v>
      </c>
      <c r="H126" s="541">
        <f t="shared" si="48"/>
        <v>30000</v>
      </c>
      <c r="I126" s="231">
        <v>0</v>
      </c>
      <c r="J126" s="718"/>
      <c r="K126" s="231">
        <f t="shared" si="25"/>
        <v>8091.315290908401</v>
      </c>
      <c r="L126" s="231">
        <f t="shared" si="49"/>
        <v>8091.315290908401</v>
      </c>
      <c r="M126" s="232">
        <f t="shared" si="31"/>
        <v>0</v>
      </c>
      <c r="N126" s="659"/>
      <c r="O126" s="231"/>
      <c r="P126" s="231"/>
      <c r="Q126" s="231"/>
      <c r="R126" s="231">
        <f t="shared" si="50"/>
        <v>0</v>
      </c>
      <c r="T126" s="231">
        <v>0</v>
      </c>
      <c r="U126" s="231">
        <v>0</v>
      </c>
      <c r="V126" s="231">
        <v>0</v>
      </c>
      <c r="W126" s="231">
        <v>8091.315290908401</v>
      </c>
      <c r="Y126" s="155">
        <f t="shared" si="51"/>
        <v>0</v>
      </c>
      <c r="Z126" s="155">
        <f t="shared" si="51"/>
        <v>0</v>
      </c>
      <c r="AA126" s="155">
        <f t="shared" si="51"/>
        <v>0</v>
      </c>
      <c r="AB126" s="155">
        <f t="shared" si="51"/>
        <v>8091.315290908401</v>
      </c>
      <c r="AC126" s="159"/>
      <c r="AD126" s="156">
        <f t="shared" si="52"/>
        <v>0</v>
      </c>
      <c r="AE126" s="156">
        <f t="shared" si="52"/>
        <v>0</v>
      </c>
      <c r="AF126" s="156">
        <f t="shared" si="52"/>
        <v>0</v>
      </c>
      <c r="AG126" s="156">
        <f t="shared" si="52"/>
        <v>0</v>
      </c>
    </row>
    <row r="127" spans="2:33" s="660" customFormat="1" ht="15" customHeight="1" x14ac:dyDescent="0.3">
      <c r="B127" s="538" t="s">
        <v>7963</v>
      </c>
      <c r="C127" s="539" t="s">
        <v>7928</v>
      </c>
      <c r="D127" s="540">
        <v>4</v>
      </c>
      <c r="E127" s="541">
        <f>(20*75000)</f>
        <v>1500000</v>
      </c>
      <c r="F127" s="541">
        <f t="shared" si="46"/>
        <v>6000000</v>
      </c>
      <c r="G127" s="541">
        <f t="shared" si="47"/>
        <v>4239</v>
      </c>
      <c r="H127" s="541">
        <f t="shared" si="48"/>
        <v>1415.4281670205237</v>
      </c>
      <c r="I127" s="231">
        <v>0</v>
      </c>
      <c r="J127" s="718"/>
      <c r="K127" s="231">
        <f t="shared" si="25"/>
        <v>0</v>
      </c>
      <c r="L127" s="231">
        <f t="shared" si="49"/>
        <v>0</v>
      </c>
      <c r="M127" s="232">
        <f t="shared" si="31"/>
        <v>0</v>
      </c>
      <c r="N127" s="659"/>
      <c r="O127" s="231"/>
      <c r="P127" s="231"/>
      <c r="Q127" s="231"/>
      <c r="R127" s="231">
        <f t="shared" si="50"/>
        <v>0</v>
      </c>
      <c r="T127" s="231"/>
      <c r="U127" s="231"/>
      <c r="V127" s="231"/>
      <c r="W127" s="231"/>
      <c r="Y127" s="155">
        <f t="shared" si="51"/>
        <v>0</v>
      </c>
      <c r="Z127" s="155">
        <f t="shared" si="51"/>
        <v>0</v>
      </c>
      <c r="AA127" s="155">
        <f t="shared" si="51"/>
        <v>0</v>
      </c>
      <c r="AB127" s="155">
        <f t="shared" si="51"/>
        <v>0</v>
      </c>
      <c r="AC127" s="159"/>
      <c r="AD127" s="156">
        <f t="shared" si="52"/>
        <v>0</v>
      </c>
      <c r="AE127" s="156">
        <f t="shared" si="52"/>
        <v>0</v>
      </c>
      <c r="AF127" s="156">
        <f t="shared" si="52"/>
        <v>0</v>
      </c>
      <c r="AG127" s="156">
        <f t="shared" si="52"/>
        <v>0</v>
      </c>
    </row>
    <row r="128" spans="2:33" s="633" customFormat="1" ht="15" customHeight="1" x14ac:dyDescent="0.3">
      <c r="B128" s="538" t="s">
        <v>7964</v>
      </c>
      <c r="C128" s="539" t="s">
        <v>7965</v>
      </c>
      <c r="D128" s="540">
        <v>10</v>
      </c>
      <c r="E128" s="541">
        <f>(2*(20000+10000)+20000)</f>
        <v>80000</v>
      </c>
      <c r="F128" s="541">
        <f t="shared" si="46"/>
        <v>800000</v>
      </c>
      <c r="G128" s="541">
        <f t="shared" si="47"/>
        <v>4239</v>
      </c>
      <c r="H128" s="541">
        <f t="shared" si="48"/>
        <v>188.7237556027365</v>
      </c>
      <c r="I128" s="231">
        <v>0</v>
      </c>
      <c r="J128" s="718"/>
      <c r="K128" s="231">
        <f t="shared" si="25"/>
        <v>0</v>
      </c>
      <c r="L128" s="231">
        <f t="shared" si="49"/>
        <v>0</v>
      </c>
      <c r="M128" s="232">
        <f t="shared" si="31"/>
        <v>0</v>
      </c>
      <c r="N128" s="659"/>
      <c r="O128" s="231"/>
      <c r="P128" s="231"/>
      <c r="Q128" s="231"/>
      <c r="R128" s="231">
        <f t="shared" si="50"/>
        <v>0</v>
      </c>
      <c r="T128" s="231"/>
      <c r="U128" s="231"/>
      <c r="V128" s="231"/>
      <c r="W128" s="231"/>
      <c r="Y128" s="155">
        <f t="shared" si="51"/>
        <v>0</v>
      </c>
      <c r="Z128" s="155">
        <f t="shared" si="51"/>
        <v>0</v>
      </c>
      <c r="AA128" s="155">
        <f t="shared" si="51"/>
        <v>0</v>
      </c>
      <c r="AB128" s="155">
        <f t="shared" si="51"/>
        <v>0</v>
      </c>
      <c r="AC128" s="159"/>
      <c r="AD128" s="156">
        <f t="shared" si="52"/>
        <v>0</v>
      </c>
      <c r="AE128" s="156">
        <f t="shared" si="52"/>
        <v>0</v>
      </c>
      <c r="AF128" s="156">
        <f t="shared" si="52"/>
        <v>0</v>
      </c>
      <c r="AG128" s="156">
        <f t="shared" si="52"/>
        <v>0</v>
      </c>
    </row>
    <row r="129" spans="2:33" s="633" customFormat="1" ht="15" customHeight="1" x14ac:dyDescent="0.3">
      <c r="B129" s="538" t="s">
        <v>7966</v>
      </c>
      <c r="C129" s="539" t="s">
        <v>3925</v>
      </c>
      <c r="D129" s="540">
        <v>1</v>
      </c>
      <c r="E129" s="541">
        <f>(75000*25)*2+(250000*25)</f>
        <v>10000000</v>
      </c>
      <c r="F129" s="541">
        <f t="shared" si="46"/>
        <v>10000000</v>
      </c>
      <c r="G129" s="541">
        <f t="shared" si="47"/>
        <v>4239</v>
      </c>
      <c r="H129" s="541">
        <f t="shared" si="48"/>
        <v>2359.0469450342061</v>
      </c>
      <c r="I129" s="231">
        <v>0</v>
      </c>
      <c r="J129" s="718"/>
      <c r="K129" s="231">
        <f t="shared" si="25"/>
        <v>0</v>
      </c>
      <c r="L129" s="231">
        <f t="shared" si="49"/>
        <v>0</v>
      </c>
      <c r="M129" s="232">
        <f t="shared" si="31"/>
        <v>0</v>
      </c>
      <c r="N129" s="659"/>
      <c r="O129" s="231"/>
      <c r="P129" s="231"/>
      <c r="Q129" s="231"/>
      <c r="R129" s="231">
        <f t="shared" si="50"/>
        <v>0</v>
      </c>
      <c r="T129" s="231"/>
      <c r="U129" s="231"/>
      <c r="V129" s="231"/>
      <c r="W129" s="231"/>
      <c r="Y129" s="155">
        <f t="shared" si="51"/>
        <v>0</v>
      </c>
      <c r="Z129" s="155">
        <f t="shared" si="51"/>
        <v>0</v>
      </c>
      <c r="AA129" s="155">
        <f t="shared" si="51"/>
        <v>0</v>
      </c>
      <c r="AB129" s="155">
        <f t="shared" si="51"/>
        <v>0</v>
      </c>
      <c r="AC129" s="159"/>
      <c r="AD129" s="156">
        <f t="shared" si="52"/>
        <v>0</v>
      </c>
      <c r="AE129" s="156">
        <f t="shared" si="52"/>
        <v>0</v>
      </c>
      <c r="AF129" s="156">
        <f t="shared" si="52"/>
        <v>0</v>
      </c>
      <c r="AG129" s="156">
        <f t="shared" si="52"/>
        <v>0</v>
      </c>
    </row>
    <row r="130" spans="2:33" s="633" customFormat="1" ht="15" customHeight="1" x14ac:dyDescent="0.3">
      <c r="B130" s="538" t="s">
        <v>7967</v>
      </c>
      <c r="C130" s="539" t="s">
        <v>3925</v>
      </c>
      <c r="D130" s="540">
        <v>8</v>
      </c>
      <c r="E130" s="541">
        <v>200000</v>
      </c>
      <c r="F130" s="541">
        <f t="shared" si="46"/>
        <v>1600000</v>
      </c>
      <c r="G130" s="541">
        <f t="shared" si="47"/>
        <v>4239</v>
      </c>
      <c r="H130" s="541">
        <f t="shared" si="48"/>
        <v>377.44751120547301</v>
      </c>
      <c r="I130" s="231">
        <v>0</v>
      </c>
      <c r="J130" s="718"/>
      <c r="K130" s="231">
        <f t="shared" si="25"/>
        <v>0</v>
      </c>
      <c r="L130" s="231">
        <f t="shared" si="49"/>
        <v>0</v>
      </c>
      <c r="M130" s="232">
        <f t="shared" si="31"/>
        <v>0</v>
      </c>
      <c r="N130" s="659"/>
      <c r="O130" s="231"/>
      <c r="P130" s="231"/>
      <c r="Q130" s="231"/>
      <c r="R130" s="231">
        <f t="shared" si="50"/>
        <v>0</v>
      </c>
      <c r="T130" s="231"/>
      <c r="U130" s="231"/>
      <c r="V130" s="231"/>
      <c r="W130" s="231"/>
      <c r="Y130" s="155">
        <f t="shared" si="51"/>
        <v>0</v>
      </c>
      <c r="Z130" s="155">
        <f t="shared" si="51"/>
        <v>0</v>
      </c>
      <c r="AA130" s="155">
        <f t="shared" si="51"/>
        <v>0</v>
      </c>
      <c r="AB130" s="155">
        <f t="shared" si="51"/>
        <v>0</v>
      </c>
      <c r="AC130" s="159"/>
      <c r="AD130" s="156">
        <f t="shared" si="52"/>
        <v>0</v>
      </c>
      <c r="AE130" s="156">
        <f t="shared" si="52"/>
        <v>0</v>
      </c>
      <c r="AF130" s="156">
        <f t="shared" si="52"/>
        <v>0</v>
      </c>
      <c r="AG130" s="156">
        <f t="shared" si="52"/>
        <v>0</v>
      </c>
    </row>
    <row r="131" spans="2:33" ht="15" customHeight="1" x14ac:dyDescent="0.3">
      <c r="B131" s="673" t="s">
        <v>183</v>
      </c>
      <c r="C131" s="673"/>
      <c r="D131" s="696"/>
      <c r="E131" s="696"/>
      <c r="F131" s="697">
        <f>SUM(F68:F130)</f>
        <v>1845085150</v>
      </c>
      <c r="G131" s="697"/>
      <c r="H131" s="697">
        <f>SUM(H68:H130)</f>
        <v>435264.24864354788</v>
      </c>
      <c r="I131" s="697">
        <f>SUM(I68:I130)</f>
        <v>248477</v>
      </c>
      <c r="J131" s="698"/>
      <c r="K131" s="697">
        <f>SUM(K68:K130)</f>
        <v>309488.54076703696</v>
      </c>
      <c r="L131" s="697">
        <f t="shared" si="49"/>
        <v>61011.54076703696</v>
      </c>
      <c r="M131" s="699">
        <f t="shared" si="31"/>
        <v>0.24554200496237866</v>
      </c>
      <c r="N131" s="659"/>
      <c r="O131" s="697">
        <f>SUM(O68:O130)</f>
        <v>93552</v>
      </c>
      <c r="P131" s="697">
        <f>SUM(P68:P130)</f>
        <v>102120</v>
      </c>
      <c r="Q131" s="697">
        <f>SUM(Q68:Q130)</f>
        <v>50281</v>
      </c>
      <c r="R131" s="697">
        <f>SUM(R68:R130)</f>
        <v>2524</v>
      </c>
      <c r="T131" s="697">
        <f>SUM(T68:T130)</f>
        <v>107101.18682420139</v>
      </c>
      <c r="U131" s="697">
        <f t="shared" ref="U131:W131" si="53">SUM(U68:U130)</f>
        <v>123293.06919309922</v>
      </c>
      <c r="V131" s="697">
        <f t="shared" si="53"/>
        <v>63837.681330257037</v>
      </c>
      <c r="W131" s="697">
        <f t="shared" si="53"/>
        <v>15256.603419479317</v>
      </c>
      <c r="Y131" s="168">
        <f t="shared" si="51"/>
        <v>13549.186824201388</v>
      </c>
      <c r="Z131" s="168">
        <f t="shared" si="51"/>
        <v>21173.069193099218</v>
      </c>
      <c r="AA131" s="168">
        <f t="shared" si="51"/>
        <v>13556.681330257037</v>
      </c>
      <c r="AB131" s="168">
        <f t="shared" si="51"/>
        <v>12732.603419479317</v>
      </c>
      <c r="AC131" s="167"/>
      <c r="AD131" s="169">
        <f t="shared" si="52"/>
        <v>0.14483054156192693</v>
      </c>
      <c r="AE131" s="169">
        <f t="shared" si="52"/>
        <v>0.20733518598804562</v>
      </c>
      <c r="AF131" s="169">
        <f t="shared" si="52"/>
        <v>0.26961837135810818</v>
      </c>
      <c r="AG131" s="169">
        <f t="shared" si="52"/>
        <v>5.0446130822025825</v>
      </c>
    </row>
    <row r="132" spans="2:33" ht="15" customHeight="1" x14ac:dyDescent="0.3">
      <c r="B132" s="672" t="s">
        <v>184</v>
      </c>
      <c r="C132" s="672"/>
      <c r="D132" s="721"/>
      <c r="E132" s="721"/>
      <c r="F132" s="722">
        <f>+F131+F65</f>
        <v>2409841150</v>
      </c>
      <c r="G132" s="723"/>
      <c r="H132" s="722">
        <f>+H131+H65</f>
        <v>709859.50362585508</v>
      </c>
      <c r="I132" s="722">
        <f>+I131+I65</f>
        <v>454556.95999999996</v>
      </c>
      <c r="J132" s="724"/>
      <c r="K132" s="722">
        <f>+K131+K65</f>
        <v>522731.20992372034</v>
      </c>
      <c r="L132" s="722">
        <f t="shared" si="49"/>
        <v>68174.249923720374</v>
      </c>
      <c r="M132" s="699">
        <f t="shared" si="31"/>
        <v>0.14997955354972539</v>
      </c>
      <c r="N132" s="659"/>
      <c r="O132" s="722">
        <f>+O131+O65</f>
        <v>142369.74</v>
      </c>
      <c r="P132" s="722">
        <f>+P131+P65</f>
        <v>161746.74</v>
      </c>
      <c r="Q132" s="722">
        <f>+Q131+Q65</f>
        <v>99098.739999999991</v>
      </c>
      <c r="R132" s="722">
        <f>+R131+R65</f>
        <v>51341.74</v>
      </c>
      <c r="T132" s="722">
        <f>T131+T65</f>
        <v>159011.09982525103</v>
      </c>
      <c r="U132" s="722">
        <f t="shared" ref="U132:W132" si="54">U131+U65</f>
        <v>177870.71380465484</v>
      </c>
      <c r="V132" s="722">
        <f t="shared" si="54"/>
        <v>115661.76918566036</v>
      </c>
      <c r="W132" s="722">
        <f t="shared" si="54"/>
        <v>70187.627108154062</v>
      </c>
      <c r="Y132" s="168">
        <f t="shared" si="51"/>
        <v>16641.359825251042</v>
      </c>
      <c r="Z132" s="168">
        <f t="shared" si="51"/>
        <v>16123.973804654845</v>
      </c>
      <c r="AA132" s="168">
        <f t="shared" si="51"/>
        <v>16563.029185660373</v>
      </c>
      <c r="AB132" s="168">
        <f t="shared" si="51"/>
        <v>18845.887108154064</v>
      </c>
      <c r="AC132" s="255"/>
      <c r="AD132" s="169">
        <f t="shared" si="52"/>
        <v>0.11688832068704377</v>
      </c>
      <c r="AE132" s="169">
        <f t="shared" si="52"/>
        <v>9.968654579779998E-2</v>
      </c>
      <c r="AF132" s="169">
        <f t="shared" si="52"/>
        <v>0.16713662742493371</v>
      </c>
      <c r="AG132" s="169">
        <f t="shared" si="52"/>
        <v>0.36706755766660937</v>
      </c>
    </row>
    <row r="133" spans="2:33" ht="15" customHeight="1" x14ac:dyDescent="0.3">
      <c r="B133" s="860" t="s">
        <v>16</v>
      </c>
      <c r="C133" s="847"/>
      <c r="D133" s="847"/>
      <c r="E133" s="847"/>
      <c r="F133" s="847"/>
      <c r="G133" s="679"/>
      <c r="H133" s="679"/>
      <c r="I133" s="680"/>
      <c r="J133" s="676"/>
      <c r="K133" s="680"/>
      <c r="L133" s="681"/>
      <c r="M133" s="682"/>
      <c r="N133" s="659"/>
      <c r="O133" s="679"/>
      <c r="P133" s="679"/>
      <c r="Q133" s="679"/>
      <c r="R133" s="679"/>
      <c r="T133" s="679"/>
      <c r="U133" s="679"/>
      <c r="V133" s="679"/>
      <c r="W133" s="679"/>
      <c r="Y133" s="172"/>
      <c r="Z133" s="416"/>
      <c r="AA133" s="172"/>
      <c r="AB133" s="172"/>
      <c r="AC133" s="146"/>
      <c r="AD133" s="172"/>
      <c r="AE133" s="416"/>
      <c r="AF133" s="172"/>
      <c r="AG133" s="172"/>
    </row>
    <row r="134" spans="2:33" ht="15" customHeight="1" x14ac:dyDescent="0.3">
      <c r="B134" s="600" t="s">
        <v>17</v>
      </c>
      <c r="C134" s="600"/>
      <c r="D134" s="600"/>
      <c r="E134" s="600"/>
      <c r="F134" s="683"/>
      <c r="G134" s="683"/>
      <c r="H134" s="683"/>
      <c r="I134" s="684"/>
      <c r="J134" s="676"/>
      <c r="K134" s="684"/>
      <c r="L134" s="685"/>
      <c r="M134" s="686"/>
      <c r="N134" s="659"/>
      <c r="O134" s="683"/>
      <c r="P134" s="683"/>
      <c r="Q134" s="683"/>
      <c r="R134" s="683"/>
      <c r="T134" s="683"/>
      <c r="U134" s="683"/>
      <c r="V134" s="683"/>
      <c r="W134" s="683"/>
      <c r="Y134" s="592"/>
      <c r="Z134" s="592"/>
      <c r="AA134" s="592"/>
      <c r="AB134" s="592"/>
      <c r="AC134" s="146"/>
      <c r="AD134" s="511"/>
      <c r="AE134" s="511"/>
      <c r="AF134" s="511"/>
      <c r="AG134" s="511"/>
    </row>
    <row r="135" spans="2:33" s="633" customFormat="1" ht="19.5" customHeight="1" x14ac:dyDescent="0.3">
      <c r="B135" s="538" t="s">
        <v>7968</v>
      </c>
      <c r="C135" s="539" t="s">
        <v>7969</v>
      </c>
      <c r="D135" s="547">
        <v>24</v>
      </c>
      <c r="E135" s="547">
        <v>6056465</v>
      </c>
      <c r="F135" s="548">
        <f t="shared" ref="F135:F143" si="55">D135*E135</f>
        <v>145355160</v>
      </c>
      <c r="G135" s="548">
        <f t="shared" ref="G135:G143" si="56">$G$6</f>
        <v>4239</v>
      </c>
      <c r="H135" s="548">
        <f t="shared" ref="H135:H143" si="57">IF($G$6=0,0,F135/G135)</f>
        <v>34289.964614295823</v>
      </c>
      <c r="I135" s="231">
        <v>34290</v>
      </c>
      <c r="J135" s="718"/>
      <c r="K135" s="231">
        <f t="shared" ref="K135:K159" si="58">SUM(T135:W135)</f>
        <v>28321.427400078668</v>
      </c>
      <c r="L135" s="231">
        <f t="shared" ref="L135:L145" si="59">K135-I135</f>
        <v>-5968.5725999213319</v>
      </c>
      <c r="M135" s="232">
        <f t="shared" si="31"/>
        <v>-0.17406160979648094</v>
      </c>
      <c r="N135" s="659"/>
      <c r="O135" s="231">
        <f t="shared" ref="O135:R145" si="60">$I135/4</f>
        <v>8572.5</v>
      </c>
      <c r="P135" s="231">
        <f t="shared" si="60"/>
        <v>8572.5</v>
      </c>
      <c r="Q135" s="231">
        <f t="shared" si="60"/>
        <v>8572.5</v>
      </c>
      <c r="R135" s="231">
        <f t="shared" si="60"/>
        <v>8572.5</v>
      </c>
      <c r="T135" s="231">
        <v>7080.356850019667</v>
      </c>
      <c r="U135" s="231">
        <v>7080.356850019667</v>
      </c>
      <c r="V135" s="231">
        <v>7080.356850019667</v>
      </c>
      <c r="W135" s="231">
        <v>7080.356850019667</v>
      </c>
      <c r="Y135" s="155">
        <f t="shared" ref="Y135:AB145" si="61">T135-O135</f>
        <v>-1492.143149980333</v>
      </c>
      <c r="Z135" s="155">
        <f t="shared" si="61"/>
        <v>-1492.143149980333</v>
      </c>
      <c r="AA135" s="155">
        <f t="shared" si="61"/>
        <v>-1492.143149980333</v>
      </c>
      <c r="AB135" s="155">
        <f t="shared" si="61"/>
        <v>-1492.143149980333</v>
      </c>
      <c r="AC135" s="418"/>
      <c r="AD135" s="156">
        <f t="shared" ref="AD135:AG145" si="62">IFERROR(Y135/O135,0)</f>
        <v>-0.17406160979648094</v>
      </c>
      <c r="AE135" s="156">
        <f t="shared" si="62"/>
        <v>-0.17406160979648094</v>
      </c>
      <c r="AF135" s="156">
        <f t="shared" si="62"/>
        <v>-0.17406160979648094</v>
      </c>
      <c r="AG135" s="156">
        <f t="shared" si="62"/>
        <v>-0.17406160979648094</v>
      </c>
    </row>
    <row r="136" spans="2:33" s="633" customFormat="1" ht="15" customHeight="1" x14ac:dyDescent="0.3">
      <c r="B136" s="538" t="s">
        <v>7970</v>
      </c>
      <c r="C136" s="539" t="s">
        <v>7969</v>
      </c>
      <c r="D136" s="540">
        <v>24</v>
      </c>
      <c r="E136" s="547">
        <v>6947057</v>
      </c>
      <c r="F136" s="548">
        <f t="shared" si="55"/>
        <v>166729368</v>
      </c>
      <c r="G136" s="548">
        <f t="shared" si="56"/>
        <v>4239</v>
      </c>
      <c r="H136" s="548">
        <f t="shared" si="57"/>
        <v>39332.240622788391</v>
      </c>
      <c r="I136" s="231">
        <v>39332</v>
      </c>
      <c r="J136" s="718"/>
      <c r="K136" s="231">
        <f t="shared" si="58"/>
        <v>47575.55059629387</v>
      </c>
      <c r="L136" s="231">
        <f t="shared" si="59"/>
        <v>8243.5505962938696</v>
      </c>
      <c r="M136" s="232">
        <f t="shared" si="31"/>
        <v>0.2095888995294892</v>
      </c>
      <c r="N136" s="659"/>
      <c r="O136" s="231">
        <f t="shared" si="60"/>
        <v>9833</v>
      </c>
      <c r="P136" s="231">
        <f t="shared" si="60"/>
        <v>9833</v>
      </c>
      <c r="Q136" s="231">
        <f t="shared" si="60"/>
        <v>9833</v>
      </c>
      <c r="R136" s="231">
        <f t="shared" si="60"/>
        <v>9833</v>
      </c>
      <c r="T136" s="231">
        <v>11893.887649073467</v>
      </c>
      <c r="U136" s="231">
        <v>11893.887649073467</v>
      </c>
      <c r="V136" s="231">
        <v>11893.887649073467</v>
      </c>
      <c r="W136" s="231">
        <v>11893.887649073467</v>
      </c>
      <c r="Y136" s="155">
        <f t="shared" si="61"/>
        <v>2060.8876490734674</v>
      </c>
      <c r="Z136" s="155">
        <f t="shared" si="61"/>
        <v>2060.8876490734674</v>
      </c>
      <c r="AA136" s="155">
        <f t="shared" si="61"/>
        <v>2060.8876490734674</v>
      </c>
      <c r="AB136" s="155">
        <f t="shared" si="61"/>
        <v>2060.8876490734674</v>
      </c>
      <c r="AC136" s="146"/>
      <c r="AD136" s="156">
        <f t="shared" si="62"/>
        <v>0.2095888995294892</v>
      </c>
      <c r="AE136" s="156">
        <f t="shared" si="62"/>
        <v>0.2095888995294892</v>
      </c>
      <c r="AF136" s="156">
        <f t="shared" si="62"/>
        <v>0.2095888995294892</v>
      </c>
      <c r="AG136" s="156">
        <f t="shared" si="62"/>
        <v>0.2095888995294892</v>
      </c>
    </row>
    <row r="137" spans="2:33" s="633" customFormat="1" ht="15" customHeight="1" x14ac:dyDescent="0.3">
      <c r="B137" s="538" t="s">
        <v>7971</v>
      </c>
      <c r="C137" s="539" t="s">
        <v>7969</v>
      </c>
      <c r="D137" s="547">
        <v>72</v>
      </c>
      <c r="E137" s="547">
        <v>6018336</v>
      </c>
      <c r="F137" s="548">
        <f t="shared" si="55"/>
        <v>433320192</v>
      </c>
      <c r="G137" s="548">
        <f t="shared" si="56"/>
        <v>4239</v>
      </c>
      <c r="H137" s="548">
        <f t="shared" si="57"/>
        <v>102222.26751592357</v>
      </c>
      <c r="I137" s="231">
        <v>97587</v>
      </c>
      <c r="J137" s="718"/>
      <c r="K137" s="231">
        <f t="shared" si="58"/>
        <v>97635.693708260049</v>
      </c>
      <c r="L137" s="231">
        <f t="shared" si="59"/>
        <v>48.693708260048879</v>
      </c>
      <c r="M137" s="232">
        <f t="shared" si="31"/>
        <v>4.9897740744206582E-4</v>
      </c>
      <c r="N137" s="659"/>
      <c r="O137" s="231">
        <f t="shared" si="60"/>
        <v>24396.75</v>
      </c>
      <c r="P137" s="231">
        <f t="shared" si="60"/>
        <v>24396.75</v>
      </c>
      <c r="Q137" s="231">
        <f t="shared" si="60"/>
        <v>24396.75</v>
      </c>
      <c r="R137" s="231">
        <f t="shared" si="60"/>
        <v>24396.75</v>
      </c>
      <c r="T137" s="231">
        <v>24408.923427065012</v>
      </c>
      <c r="U137" s="231">
        <v>24408.923427065012</v>
      </c>
      <c r="V137" s="231">
        <v>24408.923427065012</v>
      </c>
      <c r="W137" s="231">
        <v>24408.923427065012</v>
      </c>
      <c r="Y137" s="155">
        <f t="shared" si="61"/>
        <v>12.17342706501222</v>
      </c>
      <c r="Z137" s="155">
        <f t="shared" si="61"/>
        <v>12.17342706501222</v>
      </c>
      <c r="AA137" s="155">
        <f t="shared" si="61"/>
        <v>12.17342706501222</v>
      </c>
      <c r="AB137" s="155">
        <f t="shared" si="61"/>
        <v>12.17342706501222</v>
      </c>
      <c r="AC137" s="146"/>
      <c r="AD137" s="156">
        <f t="shared" si="62"/>
        <v>4.9897740744206582E-4</v>
      </c>
      <c r="AE137" s="156">
        <f t="shared" si="62"/>
        <v>4.9897740744206582E-4</v>
      </c>
      <c r="AF137" s="156">
        <f t="shared" si="62"/>
        <v>4.9897740744206582E-4</v>
      </c>
      <c r="AG137" s="156">
        <f t="shared" si="62"/>
        <v>4.9897740744206582E-4</v>
      </c>
    </row>
    <row r="138" spans="2:33" s="633" customFormat="1" ht="15" customHeight="1" x14ac:dyDescent="0.3">
      <c r="B138" s="538" t="s">
        <v>7972</v>
      </c>
      <c r="C138" s="539" t="s">
        <v>7969</v>
      </c>
      <c r="D138" s="547">
        <v>24</v>
      </c>
      <c r="E138" s="547">
        <v>6947054</v>
      </c>
      <c r="F138" s="548">
        <f t="shared" si="55"/>
        <v>166729296</v>
      </c>
      <c r="G138" s="548">
        <f t="shared" si="56"/>
        <v>4239</v>
      </c>
      <c r="H138" s="548">
        <f t="shared" si="57"/>
        <v>39332.223637650386</v>
      </c>
      <c r="I138" s="231">
        <v>19666</v>
      </c>
      <c r="J138" s="718"/>
      <c r="K138" s="231">
        <f t="shared" si="58"/>
        <v>33682.007832351446</v>
      </c>
      <c r="L138" s="231">
        <f t="shared" si="59"/>
        <v>14016.007832351446</v>
      </c>
      <c r="M138" s="232">
        <f t="shared" si="31"/>
        <v>0.71270252376443843</v>
      </c>
      <c r="N138" s="659"/>
      <c r="O138" s="231">
        <f t="shared" si="60"/>
        <v>4916.5</v>
      </c>
      <c r="P138" s="231">
        <f t="shared" si="60"/>
        <v>4916.5</v>
      </c>
      <c r="Q138" s="231">
        <f t="shared" si="60"/>
        <v>4916.5</v>
      </c>
      <c r="R138" s="231">
        <f t="shared" si="60"/>
        <v>4916.5</v>
      </c>
      <c r="T138" s="231">
        <v>8420.5019580878616</v>
      </c>
      <c r="U138" s="231">
        <v>8420.5019580878616</v>
      </c>
      <c r="V138" s="231">
        <v>8420.5019580878616</v>
      </c>
      <c r="W138" s="231">
        <v>8420.5019580878616</v>
      </c>
      <c r="Y138" s="155">
        <f t="shared" si="61"/>
        <v>3504.0019580878616</v>
      </c>
      <c r="Z138" s="155">
        <f t="shared" si="61"/>
        <v>3504.0019580878616</v>
      </c>
      <c r="AA138" s="155">
        <f t="shared" si="61"/>
        <v>3504.0019580878616</v>
      </c>
      <c r="AB138" s="155">
        <f t="shared" si="61"/>
        <v>3504.0019580878616</v>
      </c>
      <c r="AC138" s="146"/>
      <c r="AD138" s="156">
        <f t="shared" si="62"/>
        <v>0.71270252376443843</v>
      </c>
      <c r="AE138" s="156">
        <f t="shared" si="62"/>
        <v>0.71270252376443843</v>
      </c>
      <c r="AF138" s="156">
        <f t="shared" si="62"/>
        <v>0.71270252376443843</v>
      </c>
      <c r="AG138" s="156">
        <f t="shared" si="62"/>
        <v>0.71270252376443843</v>
      </c>
    </row>
    <row r="139" spans="2:33" s="633" customFormat="1" ht="15" customHeight="1" x14ac:dyDescent="0.3">
      <c r="B139" s="546" t="s">
        <v>7973</v>
      </c>
      <c r="C139" s="539" t="s">
        <v>7969</v>
      </c>
      <c r="D139" s="547">
        <v>24</v>
      </c>
      <c r="E139" s="547">
        <v>3921114</v>
      </c>
      <c r="F139" s="548">
        <f t="shared" si="55"/>
        <v>94106736</v>
      </c>
      <c r="G139" s="548">
        <f t="shared" si="56"/>
        <v>4239</v>
      </c>
      <c r="H139" s="548">
        <f t="shared" si="57"/>
        <v>22200.220806794056</v>
      </c>
      <c r="I139" s="231">
        <v>22200</v>
      </c>
      <c r="J139" s="718"/>
      <c r="K139" s="231">
        <f t="shared" si="58"/>
        <v>21651.796409993814</v>
      </c>
      <c r="L139" s="231">
        <f t="shared" si="59"/>
        <v>-548.20359000618555</v>
      </c>
      <c r="M139" s="232">
        <f t="shared" ref="M139:M161" si="63">IFERROR(L139/I139,0)</f>
        <v>-2.4693855405684032E-2</v>
      </c>
      <c r="N139" s="659"/>
      <c r="O139" s="231">
        <f t="shared" si="60"/>
        <v>5550</v>
      </c>
      <c r="P139" s="231">
        <f t="shared" si="60"/>
        <v>5550</v>
      </c>
      <c r="Q139" s="231">
        <f t="shared" si="60"/>
        <v>5550</v>
      </c>
      <c r="R139" s="231">
        <f t="shared" si="60"/>
        <v>5550</v>
      </c>
      <c r="T139" s="231">
        <v>5412.9491024984536</v>
      </c>
      <c r="U139" s="231">
        <v>5412.9491024984536</v>
      </c>
      <c r="V139" s="231">
        <v>5412.9491024984536</v>
      </c>
      <c r="W139" s="231">
        <v>5412.9491024984536</v>
      </c>
      <c r="Y139" s="155">
        <f t="shared" si="61"/>
        <v>-137.05089750154639</v>
      </c>
      <c r="Z139" s="155">
        <f t="shared" si="61"/>
        <v>-137.05089750154639</v>
      </c>
      <c r="AA139" s="155">
        <f t="shared" si="61"/>
        <v>-137.05089750154639</v>
      </c>
      <c r="AB139" s="155">
        <f t="shared" si="61"/>
        <v>-137.05089750154639</v>
      </c>
      <c r="AC139" s="146"/>
      <c r="AD139" s="156">
        <f t="shared" si="62"/>
        <v>-2.4693855405684032E-2</v>
      </c>
      <c r="AE139" s="156">
        <f t="shared" si="62"/>
        <v>-2.4693855405684032E-2</v>
      </c>
      <c r="AF139" s="156">
        <f t="shared" si="62"/>
        <v>-2.4693855405684032E-2</v>
      </c>
      <c r="AG139" s="156">
        <f t="shared" si="62"/>
        <v>-2.4693855405684032E-2</v>
      </c>
    </row>
    <row r="140" spans="2:33" s="633" customFormat="1" ht="15" customHeight="1" x14ac:dyDescent="0.3">
      <c r="B140" s="546" t="s">
        <v>7974</v>
      </c>
      <c r="C140" s="539" t="s">
        <v>7969</v>
      </c>
      <c r="D140" s="547">
        <v>24</v>
      </c>
      <c r="E140" s="547">
        <v>6947054</v>
      </c>
      <c r="F140" s="548">
        <f t="shared" si="55"/>
        <v>166729296</v>
      </c>
      <c r="G140" s="548">
        <f t="shared" si="56"/>
        <v>4239</v>
      </c>
      <c r="H140" s="548">
        <f t="shared" si="57"/>
        <v>39332.223637650386</v>
      </c>
      <c r="I140" s="231">
        <v>39332</v>
      </c>
      <c r="J140" s="718"/>
      <c r="K140" s="231">
        <f t="shared" si="58"/>
        <v>31723.637516592011</v>
      </c>
      <c r="L140" s="231">
        <f t="shared" si="59"/>
        <v>-7608.3624834079892</v>
      </c>
      <c r="M140" s="232">
        <f t="shared" si="63"/>
        <v>-0.1934395017646697</v>
      </c>
      <c r="N140" s="659"/>
      <c r="O140" s="231">
        <f t="shared" si="60"/>
        <v>9833</v>
      </c>
      <c r="P140" s="231">
        <f t="shared" si="60"/>
        <v>9833</v>
      </c>
      <c r="Q140" s="231">
        <f t="shared" si="60"/>
        <v>9833</v>
      </c>
      <c r="R140" s="231">
        <f t="shared" si="60"/>
        <v>9833</v>
      </c>
      <c r="T140" s="231">
        <v>7930.9093791480027</v>
      </c>
      <c r="U140" s="231">
        <v>7930.9093791480027</v>
      </c>
      <c r="V140" s="231">
        <v>7930.9093791480027</v>
      </c>
      <c r="W140" s="231">
        <v>7930.9093791480027</v>
      </c>
      <c r="Y140" s="155">
        <f t="shared" si="61"/>
        <v>-1902.0906208519973</v>
      </c>
      <c r="Z140" s="155">
        <f t="shared" si="61"/>
        <v>-1902.0906208519973</v>
      </c>
      <c r="AA140" s="155">
        <f t="shared" si="61"/>
        <v>-1902.0906208519973</v>
      </c>
      <c r="AB140" s="155">
        <f t="shared" si="61"/>
        <v>-1902.0906208519973</v>
      </c>
      <c r="AC140" s="146"/>
      <c r="AD140" s="156">
        <f t="shared" si="62"/>
        <v>-0.1934395017646697</v>
      </c>
      <c r="AE140" s="156">
        <f t="shared" si="62"/>
        <v>-0.1934395017646697</v>
      </c>
      <c r="AF140" s="156">
        <f t="shared" si="62"/>
        <v>-0.1934395017646697</v>
      </c>
      <c r="AG140" s="156">
        <f t="shared" si="62"/>
        <v>-0.1934395017646697</v>
      </c>
    </row>
    <row r="141" spans="2:33" s="633" customFormat="1" ht="15" customHeight="1" x14ac:dyDescent="0.3">
      <c r="B141" s="546" t="s">
        <v>7975</v>
      </c>
      <c r="C141" s="539" t="s">
        <v>7969</v>
      </c>
      <c r="D141" s="547">
        <v>24</v>
      </c>
      <c r="E141" s="547">
        <v>2437278</v>
      </c>
      <c r="F141" s="548">
        <f t="shared" si="55"/>
        <v>58494672</v>
      </c>
      <c r="G141" s="548">
        <f t="shared" si="56"/>
        <v>4239</v>
      </c>
      <c r="H141" s="548">
        <f t="shared" si="57"/>
        <v>13799.167728237791</v>
      </c>
      <c r="I141" s="231">
        <v>13799</v>
      </c>
      <c r="J141" s="718"/>
      <c r="K141" s="231">
        <f t="shared" si="58"/>
        <v>18112.132178978838</v>
      </c>
      <c r="L141" s="231">
        <f t="shared" si="59"/>
        <v>4313.1321789788381</v>
      </c>
      <c r="M141" s="232">
        <f t="shared" si="63"/>
        <v>0.31256845995933313</v>
      </c>
      <c r="N141" s="659"/>
      <c r="O141" s="231">
        <f t="shared" si="60"/>
        <v>3449.75</v>
      </c>
      <c r="P141" s="231">
        <f t="shared" si="60"/>
        <v>3449.75</v>
      </c>
      <c r="Q141" s="231">
        <f t="shared" si="60"/>
        <v>3449.75</v>
      </c>
      <c r="R141" s="231">
        <f t="shared" si="60"/>
        <v>3449.75</v>
      </c>
      <c r="T141" s="231">
        <v>4528.0330447447095</v>
      </c>
      <c r="U141" s="231">
        <v>4528.0330447447095</v>
      </c>
      <c r="V141" s="231">
        <v>4528.0330447447095</v>
      </c>
      <c r="W141" s="231">
        <v>4528.0330447447095</v>
      </c>
      <c r="Y141" s="155">
        <f t="shared" si="61"/>
        <v>1078.2830447447095</v>
      </c>
      <c r="Z141" s="155">
        <f t="shared" si="61"/>
        <v>1078.2830447447095</v>
      </c>
      <c r="AA141" s="155">
        <f t="shared" si="61"/>
        <v>1078.2830447447095</v>
      </c>
      <c r="AB141" s="155">
        <f t="shared" si="61"/>
        <v>1078.2830447447095</v>
      </c>
      <c r="AC141" s="146"/>
      <c r="AD141" s="156">
        <f t="shared" si="62"/>
        <v>0.31256845995933313</v>
      </c>
      <c r="AE141" s="156">
        <f t="shared" si="62"/>
        <v>0.31256845995933313</v>
      </c>
      <c r="AF141" s="156">
        <f t="shared" si="62"/>
        <v>0.31256845995933313</v>
      </c>
      <c r="AG141" s="156">
        <f t="shared" si="62"/>
        <v>0.31256845995933313</v>
      </c>
    </row>
    <row r="142" spans="2:33" s="633" customFormat="1" ht="15" customHeight="1" x14ac:dyDescent="0.3">
      <c r="B142" s="546" t="s">
        <v>7976</v>
      </c>
      <c r="C142" s="539" t="s">
        <v>7969</v>
      </c>
      <c r="D142" s="547">
        <v>72</v>
      </c>
      <c r="E142" s="547">
        <v>3009168</v>
      </c>
      <c r="F142" s="548">
        <f t="shared" si="55"/>
        <v>216660096</v>
      </c>
      <c r="G142" s="548">
        <f t="shared" si="56"/>
        <v>4239</v>
      </c>
      <c r="H142" s="548">
        <f t="shared" si="57"/>
        <v>51111.133757961783</v>
      </c>
      <c r="I142" s="231">
        <v>34446</v>
      </c>
      <c r="J142" s="718"/>
      <c r="K142" s="231">
        <f t="shared" si="58"/>
        <v>10827.571296756001</v>
      </c>
      <c r="L142" s="231">
        <f t="shared" si="59"/>
        <v>-23618.428703243997</v>
      </c>
      <c r="M142" s="232">
        <f t="shared" si="63"/>
        <v>-0.68566535165894438</v>
      </c>
      <c r="N142" s="659"/>
      <c r="O142" s="231">
        <f t="shared" si="60"/>
        <v>8611.5</v>
      </c>
      <c r="P142" s="231">
        <f t="shared" si="60"/>
        <v>8611.5</v>
      </c>
      <c r="Q142" s="231">
        <f t="shared" si="60"/>
        <v>8611.5</v>
      </c>
      <c r="R142" s="231">
        <f t="shared" si="60"/>
        <v>8611.5</v>
      </c>
      <c r="T142" s="231">
        <v>2706.8928241890003</v>
      </c>
      <c r="U142" s="231">
        <v>2706.8928241890003</v>
      </c>
      <c r="V142" s="231">
        <v>2706.8928241890003</v>
      </c>
      <c r="W142" s="231">
        <v>2706.8928241890003</v>
      </c>
      <c r="Y142" s="155">
        <f t="shared" si="61"/>
        <v>-5904.6071758109993</v>
      </c>
      <c r="Z142" s="155">
        <f t="shared" si="61"/>
        <v>-5904.6071758109993</v>
      </c>
      <c r="AA142" s="155">
        <f t="shared" si="61"/>
        <v>-5904.6071758109993</v>
      </c>
      <c r="AB142" s="155">
        <f t="shared" si="61"/>
        <v>-5904.6071758109993</v>
      </c>
      <c r="AC142" s="146"/>
      <c r="AD142" s="156">
        <f t="shared" si="62"/>
        <v>-0.68566535165894438</v>
      </c>
      <c r="AE142" s="156">
        <f t="shared" si="62"/>
        <v>-0.68566535165894438</v>
      </c>
      <c r="AF142" s="156">
        <f t="shared" si="62"/>
        <v>-0.68566535165894438</v>
      </c>
      <c r="AG142" s="156">
        <f t="shared" si="62"/>
        <v>-0.68566535165894438</v>
      </c>
    </row>
    <row r="143" spans="2:33" s="633" customFormat="1" ht="15" customHeight="1" x14ac:dyDescent="0.3">
      <c r="B143" s="546" t="s">
        <v>7977</v>
      </c>
      <c r="C143" s="539" t="s">
        <v>7969</v>
      </c>
      <c r="D143" s="547">
        <v>1</v>
      </c>
      <c r="E143" s="547">
        <v>1500000</v>
      </c>
      <c r="F143" s="548">
        <f t="shared" si="55"/>
        <v>1500000</v>
      </c>
      <c r="G143" s="548">
        <f t="shared" si="56"/>
        <v>4239</v>
      </c>
      <c r="H143" s="548">
        <f t="shared" si="57"/>
        <v>353.85704175513092</v>
      </c>
      <c r="I143" s="231">
        <v>354</v>
      </c>
      <c r="J143" s="718"/>
      <c r="K143" s="231">
        <f t="shared" si="58"/>
        <v>0</v>
      </c>
      <c r="L143" s="231">
        <f t="shared" si="59"/>
        <v>-354</v>
      </c>
      <c r="M143" s="232">
        <f t="shared" si="63"/>
        <v>-1</v>
      </c>
      <c r="N143" s="659"/>
      <c r="O143" s="231">
        <f t="shared" si="60"/>
        <v>88.5</v>
      </c>
      <c r="P143" s="231">
        <f t="shared" si="60"/>
        <v>88.5</v>
      </c>
      <c r="Q143" s="231">
        <f t="shared" si="60"/>
        <v>88.5</v>
      </c>
      <c r="R143" s="231">
        <f t="shared" si="60"/>
        <v>88.5</v>
      </c>
      <c r="T143" s="231"/>
      <c r="U143" s="231"/>
      <c r="V143" s="231"/>
      <c r="W143" s="231"/>
      <c r="Y143" s="155">
        <f t="shared" si="61"/>
        <v>-88.5</v>
      </c>
      <c r="Z143" s="155">
        <f t="shared" si="61"/>
        <v>-88.5</v>
      </c>
      <c r="AA143" s="155">
        <f t="shared" si="61"/>
        <v>-88.5</v>
      </c>
      <c r="AB143" s="155">
        <f t="shared" si="61"/>
        <v>-88.5</v>
      </c>
      <c r="AC143" s="146"/>
      <c r="AD143" s="156">
        <f t="shared" si="62"/>
        <v>-1</v>
      </c>
      <c r="AE143" s="156">
        <f t="shared" si="62"/>
        <v>-1</v>
      </c>
      <c r="AF143" s="156">
        <f t="shared" si="62"/>
        <v>-1</v>
      </c>
      <c r="AG143" s="156">
        <f t="shared" si="62"/>
        <v>-1</v>
      </c>
    </row>
    <row r="144" spans="2:33" s="633" customFormat="1" ht="15" customHeight="1" x14ac:dyDescent="0.3">
      <c r="B144" s="546" t="s">
        <v>4028</v>
      </c>
      <c r="C144" s="539" t="s">
        <v>7978</v>
      </c>
      <c r="D144" s="547">
        <v>1</v>
      </c>
      <c r="E144" s="547"/>
      <c r="F144" s="548"/>
      <c r="G144" s="548"/>
      <c r="H144" s="548"/>
      <c r="I144" s="231">
        <v>0</v>
      </c>
      <c r="J144" s="718"/>
      <c r="K144" s="231">
        <f t="shared" si="58"/>
        <v>1053.7420659907525</v>
      </c>
      <c r="L144" s="231">
        <f t="shared" si="59"/>
        <v>1053.7420659907525</v>
      </c>
      <c r="M144" s="232">
        <f t="shared" si="63"/>
        <v>0</v>
      </c>
      <c r="N144" s="659"/>
      <c r="O144" s="231"/>
      <c r="P144" s="231">
        <v>0</v>
      </c>
      <c r="Q144" s="231"/>
      <c r="R144" s="231"/>
      <c r="T144" s="231">
        <v>263.43551649768813</v>
      </c>
      <c r="U144" s="231">
        <v>263.43551649768813</v>
      </c>
      <c r="V144" s="231">
        <v>263.43551649768813</v>
      </c>
      <c r="W144" s="231">
        <v>263.43551649768813</v>
      </c>
      <c r="Y144" s="155">
        <f t="shared" si="61"/>
        <v>263.43551649768813</v>
      </c>
      <c r="Z144" s="155">
        <f t="shared" si="61"/>
        <v>263.43551649768813</v>
      </c>
      <c r="AA144" s="155">
        <f t="shared" si="61"/>
        <v>263.43551649768813</v>
      </c>
      <c r="AB144" s="155">
        <f t="shared" si="61"/>
        <v>263.43551649768813</v>
      </c>
      <c r="AC144" s="145"/>
      <c r="AD144" s="156">
        <f t="shared" si="62"/>
        <v>0</v>
      </c>
      <c r="AE144" s="156">
        <f t="shared" si="62"/>
        <v>0</v>
      </c>
      <c r="AF144" s="156">
        <f t="shared" si="62"/>
        <v>0</v>
      </c>
      <c r="AG144" s="156">
        <f t="shared" si="62"/>
        <v>0</v>
      </c>
    </row>
    <row r="145" spans="2:337" s="633" customFormat="1" ht="15" customHeight="1" x14ac:dyDescent="0.3">
      <c r="B145" s="546" t="s">
        <v>7979</v>
      </c>
      <c r="C145" s="539"/>
      <c r="D145" s="547"/>
      <c r="E145" s="547"/>
      <c r="F145" s="548"/>
      <c r="G145" s="548"/>
      <c r="H145" s="548"/>
      <c r="I145" s="231">
        <v>0</v>
      </c>
      <c r="J145" s="718"/>
      <c r="K145" s="231">
        <f t="shared" si="58"/>
        <v>0</v>
      </c>
      <c r="L145" s="231">
        <f t="shared" si="59"/>
        <v>0</v>
      </c>
      <c r="M145" s="232">
        <f t="shared" si="63"/>
        <v>0</v>
      </c>
      <c r="N145" s="659"/>
      <c r="O145" s="231">
        <f t="shared" si="60"/>
        <v>0</v>
      </c>
      <c r="P145" s="231">
        <f t="shared" si="60"/>
        <v>0</v>
      </c>
      <c r="Q145" s="231">
        <f t="shared" si="60"/>
        <v>0</v>
      </c>
      <c r="R145" s="231">
        <f t="shared" si="60"/>
        <v>0</v>
      </c>
      <c r="T145" s="231"/>
      <c r="U145" s="231"/>
      <c r="V145" s="231"/>
      <c r="W145" s="231"/>
      <c r="Y145" s="155">
        <f t="shared" si="61"/>
        <v>0</v>
      </c>
      <c r="Z145" s="155">
        <f t="shared" si="61"/>
        <v>0</v>
      </c>
      <c r="AA145" s="155">
        <f t="shared" si="61"/>
        <v>0</v>
      </c>
      <c r="AB145" s="155">
        <f t="shared" si="61"/>
        <v>0</v>
      </c>
      <c r="AC145" s="145"/>
      <c r="AD145" s="156">
        <f t="shared" si="62"/>
        <v>0</v>
      </c>
      <c r="AE145" s="156">
        <f t="shared" si="62"/>
        <v>0</v>
      </c>
      <c r="AF145" s="156">
        <f t="shared" si="62"/>
        <v>0</v>
      </c>
      <c r="AG145" s="156">
        <f t="shared" si="62"/>
        <v>0</v>
      </c>
    </row>
    <row r="146" spans="2:337" ht="15" customHeight="1" x14ac:dyDescent="0.3">
      <c r="B146" s="600" t="s">
        <v>18</v>
      </c>
      <c r="C146" s="600"/>
      <c r="D146" s="600"/>
      <c r="E146" s="600"/>
      <c r="F146" s="600"/>
      <c r="G146" s="600"/>
      <c r="H146" s="600"/>
      <c r="I146" s="601"/>
      <c r="J146" s="602"/>
      <c r="K146" s="601"/>
      <c r="L146" s="600"/>
      <c r="M146" s="601"/>
      <c r="N146" s="659"/>
      <c r="O146" s="600"/>
      <c r="P146" s="600"/>
      <c r="Q146" s="600"/>
      <c r="R146" s="600"/>
      <c r="T146" s="600"/>
      <c r="U146" s="600"/>
      <c r="V146" s="600"/>
      <c r="W146" s="600"/>
      <c r="Y146" s="600"/>
      <c r="Z146" s="605"/>
      <c r="AA146" s="600"/>
      <c r="AB146" s="600"/>
      <c r="AC146" s="146"/>
      <c r="AD146" s="511"/>
      <c r="AE146" s="511"/>
      <c r="AF146" s="511"/>
      <c r="AG146" s="511"/>
    </row>
    <row r="147" spans="2:337" s="729" customFormat="1" ht="15" customHeight="1" x14ac:dyDescent="0.3">
      <c r="B147" s="725" t="s">
        <v>208</v>
      </c>
      <c r="C147" s="655" t="s">
        <v>209</v>
      </c>
      <c r="D147" s="726">
        <v>20</v>
      </c>
      <c r="E147" s="726">
        <v>4416.666666666667</v>
      </c>
      <c r="F147" s="727"/>
      <c r="G147" s="727"/>
      <c r="H147" s="727">
        <f>D147*E147</f>
        <v>88333.333333333343</v>
      </c>
      <c r="I147" s="231">
        <v>88333.333333333343</v>
      </c>
      <c r="J147" s="718"/>
      <c r="K147" s="231">
        <f t="shared" si="58"/>
        <v>119006.66000000005</v>
      </c>
      <c r="L147" s="231">
        <f t="shared" ref="L147" si="64">K147-I147</f>
        <v>30673.326666666704</v>
      </c>
      <c r="M147" s="728">
        <f t="shared" si="63"/>
        <v>0.3472452075471702</v>
      </c>
      <c r="N147" s="659"/>
      <c r="O147" s="231">
        <f>$I147/4</f>
        <v>22083.333333333336</v>
      </c>
      <c r="P147" s="231">
        <f t="shared" ref="P147:R147" si="65">$I147/4</f>
        <v>22083.333333333336</v>
      </c>
      <c r="Q147" s="231">
        <f t="shared" si="65"/>
        <v>22083.333333333336</v>
      </c>
      <c r="R147" s="231">
        <f t="shared" si="65"/>
        <v>22083.333333333336</v>
      </c>
      <c r="S147" s="633"/>
      <c r="T147" s="231">
        <v>29751.665000000012</v>
      </c>
      <c r="U147" s="231">
        <v>29751.665000000012</v>
      </c>
      <c r="V147" s="231">
        <v>29751.665000000012</v>
      </c>
      <c r="W147" s="231">
        <v>29751.665000000012</v>
      </c>
      <c r="X147" s="633"/>
      <c r="Y147" s="155">
        <f>T147-O147</f>
        <v>7668.331666666676</v>
      </c>
      <c r="Z147" s="155">
        <f>U147-P147</f>
        <v>7668.331666666676</v>
      </c>
      <c r="AA147" s="155">
        <f>V147-Q147</f>
        <v>7668.331666666676</v>
      </c>
      <c r="AB147" s="155">
        <f>W147-R147</f>
        <v>7668.331666666676</v>
      </c>
      <c r="AC147" s="146"/>
      <c r="AD147" s="156">
        <f>IFERROR(Y147/O147,0)</f>
        <v>0.3472452075471702</v>
      </c>
      <c r="AE147" s="156">
        <f>IFERROR(Z147/P147,0)</f>
        <v>0.3472452075471702</v>
      </c>
      <c r="AF147" s="156">
        <f>IFERROR(AA147/Q147,0)</f>
        <v>0.3472452075471702</v>
      </c>
      <c r="AG147" s="156">
        <f>IFERROR(AB147/R147,0)</f>
        <v>0.3472452075471702</v>
      </c>
      <c r="AH147" s="633"/>
      <c r="AI147" s="633"/>
      <c r="AJ147" s="633"/>
      <c r="AK147" s="633"/>
      <c r="AL147" s="633"/>
      <c r="AM147" s="633"/>
      <c r="AN147" s="633"/>
      <c r="AO147" s="633"/>
      <c r="AP147" s="633"/>
      <c r="AQ147" s="633"/>
      <c r="AR147" s="633"/>
      <c r="AS147" s="633"/>
      <c r="AT147" s="633"/>
      <c r="AU147" s="633"/>
      <c r="AV147" s="633"/>
      <c r="AW147" s="633"/>
      <c r="AX147" s="633"/>
      <c r="AY147" s="633"/>
      <c r="AZ147" s="633"/>
      <c r="BA147" s="633"/>
      <c r="BB147" s="633"/>
      <c r="BC147" s="633"/>
      <c r="BD147" s="633"/>
      <c r="BE147" s="633"/>
      <c r="BF147" s="633"/>
      <c r="BG147" s="633"/>
      <c r="BH147" s="633"/>
      <c r="BI147" s="633"/>
      <c r="BJ147" s="633"/>
      <c r="BK147" s="633"/>
      <c r="BL147" s="633"/>
      <c r="BM147" s="633"/>
      <c r="BN147" s="633"/>
      <c r="BO147" s="633"/>
      <c r="BP147" s="633"/>
      <c r="BQ147" s="633"/>
      <c r="BR147" s="633"/>
      <c r="BS147" s="633"/>
      <c r="BT147" s="633"/>
      <c r="BU147" s="633"/>
      <c r="BV147" s="633"/>
      <c r="BW147" s="633"/>
      <c r="BX147" s="633"/>
      <c r="BY147" s="633"/>
      <c r="BZ147" s="633"/>
      <c r="CA147" s="633"/>
      <c r="CB147" s="633"/>
      <c r="CC147" s="633"/>
      <c r="CD147" s="633"/>
      <c r="CE147" s="633"/>
      <c r="CF147" s="633"/>
      <c r="CG147" s="633"/>
      <c r="CH147" s="633"/>
      <c r="CI147" s="633"/>
      <c r="CJ147" s="633"/>
      <c r="CK147" s="633"/>
      <c r="CL147" s="633"/>
      <c r="CM147" s="633"/>
      <c r="CN147" s="633"/>
      <c r="CO147" s="633"/>
      <c r="CP147" s="633"/>
      <c r="CQ147" s="633"/>
      <c r="CR147" s="633"/>
      <c r="CS147" s="633"/>
      <c r="CT147" s="633"/>
      <c r="CU147" s="633"/>
      <c r="CV147" s="633"/>
      <c r="CW147" s="633"/>
      <c r="CX147" s="633"/>
      <c r="CY147" s="633"/>
      <c r="CZ147" s="633"/>
      <c r="DA147" s="633"/>
      <c r="DB147" s="633"/>
      <c r="DC147" s="633"/>
      <c r="DD147" s="633"/>
      <c r="DE147" s="633"/>
      <c r="DF147" s="633"/>
      <c r="DG147" s="633"/>
      <c r="DH147" s="633"/>
      <c r="DI147" s="633"/>
      <c r="DJ147" s="633"/>
      <c r="DK147" s="633"/>
      <c r="DL147" s="633"/>
      <c r="DM147" s="633"/>
      <c r="DN147" s="633"/>
      <c r="DO147" s="633"/>
      <c r="DP147" s="633"/>
      <c r="DQ147" s="633"/>
      <c r="DR147" s="633"/>
      <c r="DS147" s="633"/>
      <c r="DT147" s="633"/>
      <c r="DU147" s="633"/>
      <c r="DV147" s="633"/>
      <c r="DW147" s="633"/>
      <c r="DX147" s="633"/>
      <c r="DY147" s="633"/>
      <c r="DZ147" s="633"/>
      <c r="EA147" s="633"/>
      <c r="EB147" s="633"/>
      <c r="EC147" s="633"/>
      <c r="ED147" s="633"/>
      <c r="EE147" s="633"/>
      <c r="EF147" s="633"/>
      <c r="EG147" s="633"/>
      <c r="EH147" s="633"/>
      <c r="EI147" s="633"/>
      <c r="EJ147" s="633"/>
      <c r="EK147" s="633"/>
      <c r="EL147" s="633"/>
      <c r="EM147" s="633"/>
      <c r="EN147" s="633"/>
      <c r="EO147" s="633"/>
      <c r="EP147" s="633"/>
      <c r="EQ147" s="633"/>
      <c r="ER147" s="633"/>
      <c r="ES147" s="633"/>
      <c r="ET147" s="633"/>
      <c r="EU147" s="633"/>
      <c r="EV147" s="633"/>
      <c r="EW147" s="633"/>
      <c r="EX147" s="633"/>
      <c r="EY147" s="633"/>
      <c r="EZ147" s="633"/>
      <c r="FA147" s="633"/>
      <c r="FB147" s="633"/>
      <c r="FC147" s="633"/>
      <c r="FD147" s="633"/>
      <c r="FE147" s="633"/>
      <c r="FF147" s="633"/>
      <c r="FG147" s="633"/>
      <c r="FH147" s="633"/>
      <c r="FI147" s="633"/>
      <c r="FJ147" s="633"/>
      <c r="FK147" s="633"/>
      <c r="FL147" s="633"/>
      <c r="FM147" s="633"/>
      <c r="FN147" s="633"/>
      <c r="FO147" s="633"/>
      <c r="FP147" s="633"/>
      <c r="FQ147" s="633"/>
      <c r="FR147" s="633"/>
      <c r="FS147" s="633"/>
      <c r="FT147" s="633"/>
      <c r="FU147" s="633"/>
      <c r="FV147" s="633"/>
      <c r="FW147" s="633"/>
      <c r="FX147" s="633"/>
      <c r="FY147" s="633"/>
      <c r="FZ147" s="633"/>
      <c r="GA147" s="633"/>
      <c r="GB147" s="633"/>
      <c r="GC147" s="633"/>
      <c r="GD147" s="633"/>
      <c r="GE147" s="633"/>
      <c r="GF147" s="633"/>
      <c r="GG147" s="633"/>
      <c r="GH147" s="633"/>
      <c r="GI147" s="633"/>
      <c r="GJ147" s="633"/>
      <c r="GK147" s="633"/>
      <c r="GL147" s="633"/>
      <c r="GM147" s="633"/>
      <c r="GN147" s="633"/>
      <c r="GO147" s="633"/>
      <c r="GP147" s="633"/>
      <c r="GQ147" s="633"/>
      <c r="GR147" s="633"/>
      <c r="GS147" s="633"/>
      <c r="GT147" s="633"/>
      <c r="GU147" s="633"/>
      <c r="GV147" s="633"/>
      <c r="GW147" s="633"/>
      <c r="GX147" s="633"/>
      <c r="GY147" s="633"/>
      <c r="GZ147" s="633"/>
      <c r="HA147" s="633"/>
      <c r="HB147" s="633"/>
      <c r="HC147" s="633"/>
      <c r="HD147" s="633"/>
      <c r="HE147" s="633"/>
      <c r="HF147" s="633"/>
      <c r="HG147" s="633"/>
      <c r="HH147" s="633"/>
      <c r="HI147" s="633"/>
      <c r="HJ147" s="633"/>
      <c r="HK147" s="633"/>
      <c r="HL147" s="633"/>
      <c r="HM147" s="633"/>
      <c r="HN147" s="633"/>
      <c r="HO147" s="633"/>
      <c r="HP147" s="633"/>
      <c r="HQ147" s="633"/>
      <c r="HR147" s="633"/>
      <c r="HS147" s="633"/>
      <c r="HT147" s="633"/>
      <c r="HU147" s="633"/>
      <c r="HV147" s="633"/>
      <c r="HW147" s="633"/>
      <c r="HX147" s="633"/>
      <c r="HY147" s="633"/>
      <c r="HZ147" s="633"/>
      <c r="IA147" s="633"/>
      <c r="IB147" s="633"/>
      <c r="IC147" s="633"/>
      <c r="ID147" s="633"/>
      <c r="IE147" s="633"/>
      <c r="IF147" s="633"/>
      <c r="IG147" s="633"/>
      <c r="IH147" s="633"/>
      <c r="II147" s="633"/>
      <c r="IJ147" s="633"/>
      <c r="IK147" s="633"/>
      <c r="IL147" s="633"/>
      <c r="IM147" s="633"/>
      <c r="IN147" s="633"/>
      <c r="IO147" s="633"/>
      <c r="IP147" s="633"/>
      <c r="IQ147" s="633"/>
      <c r="IR147" s="633"/>
      <c r="IS147" s="633"/>
      <c r="IT147" s="633"/>
      <c r="IU147" s="633"/>
      <c r="IV147" s="633"/>
      <c r="IW147" s="633"/>
      <c r="IX147" s="633"/>
      <c r="IY147" s="633"/>
      <c r="IZ147" s="633"/>
      <c r="JA147" s="633"/>
      <c r="JB147" s="633"/>
      <c r="JC147" s="633"/>
      <c r="JD147" s="633"/>
      <c r="JE147" s="633"/>
      <c r="JF147" s="633"/>
      <c r="JG147" s="633"/>
      <c r="JH147" s="633"/>
      <c r="JI147" s="633"/>
      <c r="JJ147" s="633"/>
      <c r="JK147" s="633"/>
      <c r="JL147" s="633"/>
      <c r="JM147" s="633"/>
      <c r="JN147" s="633"/>
      <c r="JO147" s="633"/>
      <c r="JP147" s="633"/>
      <c r="JQ147" s="633"/>
      <c r="JR147" s="633"/>
      <c r="JS147" s="633"/>
      <c r="JT147" s="633"/>
      <c r="JU147" s="633"/>
      <c r="JV147" s="633"/>
      <c r="JW147" s="633"/>
      <c r="JX147" s="633"/>
      <c r="JY147" s="633"/>
      <c r="JZ147" s="633"/>
      <c r="KA147" s="633"/>
      <c r="KB147" s="633"/>
      <c r="KC147" s="633"/>
      <c r="KD147" s="633"/>
      <c r="KE147" s="633"/>
      <c r="KF147" s="633"/>
      <c r="KG147" s="633"/>
      <c r="KH147" s="633"/>
      <c r="KI147" s="633"/>
      <c r="KJ147" s="633"/>
      <c r="KK147" s="633"/>
      <c r="KL147" s="633"/>
      <c r="KM147" s="633"/>
      <c r="KN147" s="633"/>
      <c r="KO147" s="633"/>
      <c r="KP147" s="633"/>
      <c r="KQ147" s="633"/>
      <c r="KR147" s="633"/>
      <c r="KS147" s="633"/>
      <c r="KT147" s="633"/>
      <c r="KU147" s="633"/>
      <c r="KV147" s="633"/>
      <c r="KW147" s="633"/>
      <c r="KX147" s="633"/>
      <c r="KY147" s="633"/>
      <c r="KZ147" s="633"/>
      <c r="LA147" s="633"/>
      <c r="LB147" s="633"/>
      <c r="LC147" s="633"/>
      <c r="LD147" s="633"/>
      <c r="LE147" s="633"/>
      <c r="LF147" s="633"/>
      <c r="LG147" s="633"/>
      <c r="LH147" s="633"/>
      <c r="LI147" s="633"/>
      <c r="LJ147" s="633"/>
      <c r="LK147" s="633"/>
      <c r="LL147" s="633"/>
      <c r="LM147" s="633"/>
      <c r="LN147" s="633"/>
      <c r="LO147" s="633"/>
      <c r="LP147" s="633"/>
      <c r="LQ147" s="633"/>
      <c r="LR147" s="633"/>
      <c r="LS147" s="633"/>
      <c r="LT147" s="633"/>
      <c r="LU147" s="633"/>
      <c r="LV147" s="633"/>
      <c r="LW147" s="633"/>
      <c r="LX147" s="633"/>
      <c r="LY147" s="633"/>
    </row>
    <row r="148" spans="2:337" ht="15" customHeight="1" x14ac:dyDescent="0.3">
      <c r="B148" s="600" t="s">
        <v>210</v>
      </c>
      <c r="C148" s="600"/>
      <c r="D148" s="600"/>
      <c r="E148" s="600"/>
      <c r="F148" s="600"/>
      <c r="G148" s="600"/>
      <c r="H148" s="600"/>
      <c r="I148" s="601"/>
      <c r="J148" s="602"/>
      <c r="K148" s="601"/>
      <c r="L148" s="730"/>
      <c r="M148" s="731"/>
      <c r="N148" s="659"/>
      <c r="O148" s="600"/>
      <c r="P148" s="600"/>
      <c r="Q148" s="600"/>
      <c r="R148" s="600"/>
      <c r="T148" s="600"/>
      <c r="U148" s="600"/>
      <c r="V148" s="600"/>
      <c r="W148" s="600"/>
      <c r="Y148" s="600"/>
      <c r="Z148" s="605"/>
      <c r="AA148" s="600"/>
      <c r="AB148" s="600"/>
      <c r="AC148" s="146"/>
      <c r="AD148" s="511"/>
      <c r="AE148" s="511"/>
      <c r="AF148" s="511"/>
      <c r="AG148" s="511"/>
    </row>
    <row r="149" spans="2:337" s="660" customFormat="1" ht="15" customHeight="1" x14ac:dyDescent="0.3">
      <c r="B149" s="538" t="s">
        <v>211</v>
      </c>
      <c r="C149" s="539" t="s">
        <v>212</v>
      </c>
      <c r="D149" s="540">
        <v>147.4</v>
      </c>
      <c r="E149" s="732">
        <v>48</v>
      </c>
      <c r="F149" s="541"/>
      <c r="G149" s="541"/>
      <c r="H149" s="541">
        <f>D149*E149</f>
        <v>7075.2000000000007</v>
      </c>
      <c r="I149" s="231">
        <v>0</v>
      </c>
      <c r="J149" s="659"/>
      <c r="K149" s="231">
        <f t="shared" si="58"/>
        <v>0</v>
      </c>
      <c r="L149" s="231">
        <f t="shared" ref="L149:L161" si="66">K149-I149</f>
        <v>0</v>
      </c>
      <c r="M149" s="232">
        <f t="shared" si="63"/>
        <v>0</v>
      </c>
      <c r="N149" s="659"/>
      <c r="O149" s="231"/>
      <c r="P149" s="231">
        <f>I149</f>
        <v>0</v>
      </c>
      <c r="Q149" s="231"/>
      <c r="R149" s="231"/>
      <c r="T149" s="231"/>
      <c r="U149" s="231"/>
      <c r="V149" s="231"/>
      <c r="W149" s="231"/>
      <c r="Y149" s="155">
        <f t="shared" ref="Y149:AB161" si="67">T149-O149</f>
        <v>0</v>
      </c>
      <c r="Z149" s="155">
        <f t="shared" si="67"/>
        <v>0</v>
      </c>
      <c r="AA149" s="155">
        <f t="shared" si="67"/>
        <v>0</v>
      </c>
      <c r="AB149" s="155">
        <f t="shared" si="67"/>
        <v>0</v>
      </c>
      <c r="AC149" s="225"/>
      <c r="AD149" s="156">
        <f t="shared" ref="AD149:AG161" si="68">IFERROR(Y149/O149,0)</f>
        <v>0</v>
      </c>
      <c r="AE149" s="156">
        <f t="shared" si="68"/>
        <v>0</v>
      </c>
      <c r="AF149" s="156">
        <f t="shared" si="68"/>
        <v>0</v>
      </c>
      <c r="AG149" s="156">
        <f t="shared" si="68"/>
        <v>0</v>
      </c>
    </row>
    <row r="150" spans="2:337" s="665" customFormat="1" ht="15" customHeight="1" x14ac:dyDescent="0.3">
      <c r="B150" s="749" t="s">
        <v>214</v>
      </c>
      <c r="C150" s="733" t="s">
        <v>215</v>
      </c>
      <c r="D150" s="607">
        <v>24</v>
      </c>
      <c r="E150" s="608">
        <v>870.85</v>
      </c>
      <c r="F150" s="609"/>
      <c r="G150" s="609"/>
      <c r="H150" s="609">
        <f t="shared" ref="H150:H159" si="69">D150*E150</f>
        <v>20900.400000000001</v>
      </c>
      <c r="I150" s="231">
        <v>20900.400000000001</v>
      </c>
      <c r="J150" s="659"/>
      <c r="K150" s="231">
        <f t="shared" si="58"/>
        <v>18991.23</v>
      </c>
      <c r="L150" s="231">
        <f t="shared" si="66"/>
        <v>-1909.1700000000019</v>
      </c>
      <c r="M150" s="728">
        <f t="shared" si="63"/>
        <v>-9.1346098639260576E-2</v>
      </c>
      <c r="N150" s="659"/>
      <c r="O150" s="231">
        <f t="shared" ref="O150:R159" si="70">$I150/4</f>
        <v>5225.1000000000004</v>
      </c>
      <c r="P150" s="231">
        <f t="shared" si="70"/>
        <v>5225.1000000000004</v>
      </c>
      <c r="Q150" s="231">
        <f t="shared" si="70"/>
        <v>5225.1000000000004</v>
      </c>
      <c r="R150" s="231">
        <f t="shared" si="70"/>
        <v>5225.1000000000004</v>
      </c>
      <c r="S150" s="660"/>
      <c r="T150" s="231">
        <v>4747.8074999999999</v>
      </c>
      <c r="U150" s="231">
        <v>4747.8074999999999</v>
      </c>
      <c r="V150" s="231">
        <v>4747.8074999999999</v>
      </c>
      <c r="W150" s="231">
        <v>4747.8074999999999</v>
      </c>
      <c r="X150" s="660"/>
      <c r="Y150" s="155">
        <f t="shared" si="67"/>
        <v>-477.29250000000047</v>
      </c>
      <c r="Z150" s="155">
        <f t="shared" si="67"/>
        <v>-477.29250000000047</v>
      </c>
      <c r="AA150" s="155">
        <f t="shared" si="67"/>
        <v>-477.29250000000047</v>
      </c>
      <c r="AB150" s="155">
        <f t="shared" si="67"/>
        <v>-477.29250000000047</v>
      </c>
      <c r="AC150" s="225"/>
      <c r="AD150" s="156">
        <f t="shared" si="68"/>
        <v>-9.1346098639260576E-2</v>
      </c>
      <c r="AE150" s="156">
        <f t="shared" si="68"/>
        <v>-9.1346098639260576E-2</v>
      </c>
      <c r="AF150" s="156">
        <f t="shared" si="68"/>
        <v>-9.1346098639260576E-2</v>
      </c>
      <c r="AG150" s="156">
        <f t="shared" si="68"/>
        <v>-9.1346098639260576E-2</v>
      </c>
      <c r="AH150" s="660"/>
      <c r="AI150" s="660"/>
      <c r="AJ150" s="660"/>
      <c r="AK150" s="660"/>
      <c r="AL150" s="660"/>
      <c r="AM150" s="660"/>
      <c r="AN150" s="660"/>
      <c r="AO150" s="660"/>
      <c r="AP150" s="660"/>
      <c r="AQ150" s="660"/>
      <c r="AR150" s="660"/>
      <c r="AS150" s="660"/>
      <c r="AT150" s="660"/>
      <c r="AU150" s="660"/>
      <c r="AV150" s="660"/>
      <c r="AW150" s="660"/>
      <c r="AX150" s="660"/>
      <c r="AY150" s="660"/>
      <c r="AZ150" s="660"/>
      <c r="BA150" s="660"/>
      <c r="BB150" s="660"/>
      <c r="BC150" s="660"/>
      <c r="BD150" s="660"/>
      <c r="BE150" s="660"/>
      <c r="BF150" s="660"/>
      <c r="BG150" s="660"/>
      <c r="BH150" s="660"/>
      <c r="BI150" s="660"/>
      <c r="BJ150" s="660"/>
      <c r="BK150" s="660"/>
      <c r="BL150" s="660"/>
      <c r="BM150" s="660"/>
      <c r="BN150" s="660"/>
      <c r="BO150" s="660"/>
      <c r="BP150" s="660"/>
      <c r="BQ150" s="660"/>
      <c r="BR150" s="660"/>
      <c r="BS150" s="660"/>
      <c r="BT150" s="660"/>
      <c r="BU150" s="660"/>
      <c r="BV150" s="660"/>
      <c r="BW150" s="660"/>
      <c r="BX150" s="660"/>
      <c r="BY150" s="660"/>
      <c r="BZ150" s="660"/>
      <c r="CA150" s="660"/>
      <c r="CB150" s="660"/>
      <c r="CC150" s="660"/>
      <c r="CD150" s="660"/>
      <c r="CE150" s="660"/>
      <c r="CF150" s="660"/>
      <c r="CG150" s="660"/>
      <c r="CH150" s="660"/>
      <c r="CI150" s="660"/>
      <c r="CJ150" s="660"/>
      <c r="CK150" s="660"/>
      <c r="CL150" s="660"/>
      <c r="CM150" s="660"/>
      <c r="CN150" s="660"/>
      <c r="CO150" s="660"/>
      <c r="CP150" s="660"/>
      <c r="CQ150" s="660"/>
      <c r="CR150" s="660"/>
      <c r="CS150" s="660"/>
      <c r="CT150" s="660"/>
      <c r="CU150" s="660"/>
      <c r="CV150" s="660"/>
      <c r="CW150" s="660"/>
      <c r="CX150" s="660"/>
      <c r="CY150" s="660"/>
      <c r="CZ150" s="660"/>
      <c r="DA150" s="660"/>
      <c r="DB150" s="660"/>
      <c r="DC150" s="660"/>
      <c r="DD150" s="660"/>
      <c r="DE150" s="660"/>
      <c r="DF150" s="660"/>
      <c r="DG150" s="660"/>
      <c r="DH150" s="660"/>
      <c r="DI150" s="660"/>
      <c r="DJ150" s="660"/>
      <c r="DK150" s="660"/>
      <c r="DL150" s="660"/>
      <c r="DM150" s="660"/>
      <c r="DN150" s="660"/>
      <c r="DO150" s="660"/>
      <c r="DP150" s="660"/>
      <c r="DQ150" s="660"/>
      <c r="DR150" s="660"/>
      <c r="DS150" s="660"/>
      <c r="DT150" s="660"/>
      <c r="DU150" s="660"/>
      <c r="DV150" s="660"/>
      <c r="DW150" s="660"/>
      <c r="DX150" s="660"/>
      <c r="DY150" s="660"/>
      <c r="DZ150" s="660"/>
      <c r="EA150" s="660"/>
      <c r="EB150" s="660"/>
      <c r="EC150" s="660"/>
      <c r="ED150" s="660"/>
      <c r="EE150" s="660"/>
      <c r="EF150" s="660"/>
      <c r="EG150" s="660"/>
      <c r="EH150" s="660"/>
      <c r="EI150" s="660"/>
      <c r="EJ150" s="660"/>
      <c r="EK150" s="660"/>
      <c r="EL150" s="660"/>
      <c r="EM150" s="660"/>
      <c r="EN150" s="660"/>
      <c r="EO150" s="660"/>
      <c r="EP150" s="660"/>
      <c r="EQ150" s="660"/>
      <c r="ER150" s="660"/>
      <c r="ES150" s="660"/>
      <c r="ET150" s="660"/>
      <c r="EU150" s="660"/>
      <c r="EV150" s="660"/>
      <c r="EW150" s="660"/>
      <c r="EX150" s="660"/>
      <c r="EY150" s="660"/>
      <c r="EZ150" s="660"/>
      <c r="FA150" s="660"/>
      <c r="FB150" s="660"/>
      <c r="FC150" s="660"/>
      <c r="FD150" s="660"/>
      <c r="FE150" s="660"/>
      <c r="FF150" s="660"/>
      <c r="FG150" s="660"/>
      <c r="FH150" s="660"/>
      <c r="FI150" s="660"/>
      <c r="FJ150" s="660"/>
      <c r="FK150" s="660"/>
      <c r="FL150" s="660"/>
      <c r="FM150" s="660"/>
      <c r="FN150" s="660"/>
      <c r="FO150" s="660"/>
      <c r="FP150" s="660"/>
      <c r="FQ150" s="660"/>
      <c r="FR150" s="660"/>
      <c r="FS150" s="660"/>
      <c r="FT150" s="660"/>
      <c r="FU150" s="660"/>
      <c r="FV150" s="660"/>
      <c r="FW150" s="660"/>
      <c r="FX150" s="660"/>
      <c r="FY150" s="660"/>
      <c r="FZ150" s="660"/>
      <c r="GA150" s="660"/>
      <c r="GB150" s="660"/>
      <c r="GC150" s="660"/>
      <c r="GD150" s="660"/>
      <c r="GE150" s="660"/>
      <c r="GF150" s="660"/>
      <c r="GG150" s="660"/>
      <c r="GH150" s="660"/>
      <c r="GI150" s="660"/>
      <c r="GJ150" s="660"/>
      <c r="GK150" s="660"/>
      <c r="GL150" s="660"/>
      <c r="GM150" s="660"/>
      <c r="GN150" s="660"/>
      <c r="GO150" s="660"/>
      <c r="GP150" s="660"/>
      <c r="GQ150" s="660"/>
      <c r="GR150" s="660"/>
      <c r="GS150" s="660"/>
      <c r="GT150" s="660"/>
      <c r="GU150" s="660"/>
      <c r="GV150" s="660"/>
      <c r="GW150" s="660"/>
      <c r="GX150" s="660"/>
      <c r="GY150" s="660"/>
      <c r="GZ150" s="660"/>
      <c r="HA150" s="660"/>
      <c r="HB150" s="660"/>
      <c r="HC150" s="660"/>
      <c r="HD150" s="660"/>
      <c r="HE150" s="660"/>
      <c r="HF150" s="660"/>
      <c r="HG150" s="660"/>
      <c r="HH150" s="660"/>
      <c r="HI150" s="660"/>
      <c r="HJ150" s="660"/>
      <c r="HK150" s="660"/>
      <c r="HL150" s="660"/>
      <c r="HM150" s="660"/>
      <c r="HN150" s="660"/>
      <c r="HO150" s="660"/>
      <c r="HP150" s="660"/>
      <c r="HQ150" s="660"/>
      <c r="HR150" s="660"/>
      <c r="HS150" s="660"/>
      <c r="HT150" s="660"/>
      <c r="HU150" s="660"/>
      <c r="HV150" s="660"/>
      <c r="HW150" s="660"/>
      <c r="HX150" s="660"/>
      <c r="HY150" s="660"/>
      <c r="HZ150" s="660"/>
      <c r="IA150" s="660"/>
      <c r="IB150" s="660"/>
      <c r="IC150" s="660"/>
      <c r="ID150" s="660"/>
      <c r="IE150" s="660"/>
      <c r="IF150" s="660"/>
      <c r="IG150" s="660"/>
      <c r="IH150" s="660"/>
      <c r="II150" s="660"/>
      <c r="IJ150" s="660"/>
      <c r="IK150" s="660"/>
      <c r="IL150" s="660"/>
      <c r="IM150" s="660"/>
      <c r="IN150" s="660"/>
      <c r="IO150" s="660"/>
      <c r="IP150" s="660"/>
      <c r="IQ150" s="660"/>
      <c r="IR150" s="660"/>
      <c r="IS150" s="660"/>
      <c r="IT150" s="660"/>
      <c r="IU150" s="660"/>
      <c r="IV150" s="660"/>
      <c r="IW150" s="660"/>
      <c r="IX150" s="660"/>
      <c r="IY150" s="660"/>
      <c r="IZ150" s="660"/>
      <c r="JA150" s="660"/>
      <c r="JB150" s="660"/>
      <c r="JC150" s="660"/>
      <c r="JD150" s="660"/>
      <c r="JE150" s="660"/>
      <c r="JF150" s="660"/>
      <c r="JG150" s="660"/>
      <c r="JH150" s="660"/>
      <c r="JI150" s="660"/>
      <c r="JJ150" s="660"/>
      <c r="JK150" s="660"/>
      <c r="JL150" s="660"/>
      <c r="JM150" s="660"/>
      <c r="JN150" s="660"/>
      <c r="JO150" s="660"/>
      <c r="JP150" s="660"/>
      <c r="JQ150" s="660"/>
      <c r="JR150" s="660"/>
      <c r="JS150" s="660"/>
      <c r="JT150" s="660"/>
      <c r="JU150" s="660"/>
      <c r="JV150" s="660"/>
      <c r="JW150" s="660"/>
      <c r="JX150" s="660"/>
      <c r="JY150" s="660"/>
      <c r="JZ150" s="660"/>
      <c r="KA150" s="660"/>
      <c r="KB150" s="660"/>
      <c r="KC150" s="660"/>
      <c r="KD150" s="660"/>
      <c r="KE150" s="660"/>
      <c r="KF150" s="660"/>
      <c r="KG150" s="660"/>
      <c r="KH150" s="660"/>
      <c r="KI150" s="660"/>
      <c r="KJ150" s="660"/>
      <c r="KK150" s="660"/>
      <c r="KL150" s="660"/>
      <c r="KM150" s="660"/>
      <c r="KN150" s="660"/>
      <c r="KO150" s="660"/>
      <c r="KP150" s="660"/>
      <c r="KQ150" s="660"/>
      <c r="KR150" s="660"/>
      <c r="KS150" s="660"/>
      <c r="KT150" s="660"/>
      <c r="KU150" s="660"/>
      <c r="KV150" s="660"/>
      <c r="KW150" s="660"/>
      <c r="KX150" s="660"/>
      <c r="KY150" s="660"/>
      <c r="KZ150" s="660"/>
      <c r="LA150" s="660"/>
      <c r="LB150" s="660"/>
      <c r="LC150" s="660"/>
      <c r="LD150" s="660"/>
      <c r="LE150" s="660"/>
      <c r="LF150" s="660"/>
      <c r="LG150" s="660"/>
      <c r="LH150" s="660"/>
      <c r="LI150" s="660"/>
      <c r="LJ150" s="660"/>
      <c r="LK150" s="660"/>
      <c r="LL150" s="660"/>
      <c r="LM150" s="660"/>
      <c r="LN150" s="660"/>
      <c r="LO150" s="660"/>
      <c r="LP150" s="660"/>
      <c r="LQ150" s="660"/>
      <c r="LR150" s="660"/>
      <c r="LS150" s="660"/>
      <c r="LT150" s="660"/>
      <c r="LU150" s="660"/>
      <c r="LV150" s="660"/>
      <c r="LW150" s="660"/>
      <c r="LX150" s="660"/>
      <c r="LY150" s="660"/>
    </row>
    <row r="151" spans="2:337" s="665" customFormat="1" ht="15" customHeight="1" x14ac:dyDescent="0.3">
      <c r="B151" s="749" t="s">
        <v>216</v>
      </c>
      <c r="C151" s="733" t="s">
        <v>215</v>
      </c>
      <c r="D151" s="607">
        <v>24</v>
      </c>
      <c r="E151" s="608">
        <v>771.77</v>
      </c>
      <c r="F151" s="609"/>
      <c r="G151" s="609"/>
      <c r="H151" s="609">
        <f t="shared" si="69"/>
        <v>18522.48</v>
      </c>
      <c r="I151" s="231">
        <v>18522.48</v>
      </c>
      <c r="J151" s="659"/>
      <c r="K151" s="231">
        <f t="shared" si="58"/>
        <v>17810.079999999998</v>
      </c>
      <c r="L151" s="231">
        <f t="shared" si="66"/>
        <v>-712.40000000000146</v>
      </c>
      <c r="M151" s="728">
        <f t="shared" si="63"/>
        <v>-3.8461372343228419E-2</v>
      </c>
      <c r="N151" s="659"/>
      <c r="O151" s="231">
        <f t="shared" si="70"/>
        <v>4630.62</v>
      </c>
      <c r="P151" s="231">
        <f t="shared" si="70"/>
        <v>4630.62</v>
      </c>
      <c r="Q151" s="231">
        <f t="shared" si="70"/>
        <v>4630.62</v>
      </c>
      <c r="R151" s="231">
        <f t="shared" si="70"/>
        <v>4630.62</v>
      </c>
      <c r="S151" s="660"/>
      <c r="T151" s="231">
        <v>4452.5199999999995</v>
      </c>
      <c r="U151" s="231">
        <v>4452.5199999999995</v>
      </c>
      <c r="V151" s="231">
        <v>4452.5199999999995</v>
      </c>
      <c r="W151" s="231">
        <v>4452.5199999999995</v>
      </c>
      <c r="X151" s="660"/>
      <c r="Y151" s="155">
        <f t="shared" si="67"/>
        <v>-178.10000000000036</v>
      </c>
      <c r="Z151" s="155">
        <f t="shared" si="67"/>
        <v>-178.10000000000036</v>
      </c>
      <c r="AA151" s="155">
        <f t="shared" si="67"/>
        <v>-178.10000000000036</v>
      </c>
      <c r="AB151" s="155">
        <f t="shared" si="67"/>
        <v>-178.10000000000036</v>
      </c>
      <c r="AC151" s="225"/>
      <c r="AD151" s="156">
        <f t="shared" si="68"/>
        <v>-3.8461372343228419E-2</v>
      </c>
      <c r="AE151" s="156">
        <f t="shared" si="68"/>
        <v>-3.8461372343228419E-2</v>
      </c>
      <c r="AF151" s="156">
        <f t="shared" si="68"/>
        <v>-3.8461372343228419E-2</v>
      </c>
      <c r="AG151" s="156">
        <f t="shared" si="68"/>
        <v>-3.8461372343228419E-2</v>
      </c>
      <c r="AH151" s="660"/>
      <c r="AI151" s="660"/>
      <c r="AJ151" s="660"/>
      <c r="AK151" s="660"/>
      <c r="AL151" s="660"/>
      <c r="AM151" s="660"/>
      <c r="AN151" s="660"/>
      <c r="AO151" s="660"/>
      <c r="AP151" s="660"/>
      <c r="AQ151" s="660"/>
      <c r="AR151" s="660"/>
      <c r="AS151" s="660"/>
      <c r="AT151" s="660"/>
      <c r="AU151" s="660"/>
      <c r="AV151" s="660"/>
      <c r="AW151" s="660"/>
      <c r="AX151" s="660"/>
      <c r="AY151" s="660"/>
      <c r="AZ151" s="660"/>
      <c r="BA151" s="660"/>
      <c r="BB151" s="660"/>
      <c r="BC151" s="660"/>
      <c r="BD151" s="660"/>
      <c r="BE151" s="660"/>
      <c r="BF151" s="660"/>
      <c r="BG151" s="660"/>
      <c r="BH151" s="660"/>
      <c r="BI151" s="660"/>
      <c r="BJ151" s="660"/>
      <c r="BK151" s="660"/>
      <c r="BL151" s="660"/>
      <c r="BM151" s="660"/>
      <c r="BN151" s="660"/>
      <c r="BO151" s="660"/>
      <c r="BP151" s="660"/>
      <c r="BQ151" s="660"/>
      <c r="BR151" s="660"/>
      <c r="BS151" s="660"/>
      <c r="BT151" s="660"/>
      <c r="BU151" s="660"/>
      <c r="BV151" s="660"/>
      <c r="BW151" s="660"/>
      <c r="BX151" s="660"/>
      <c r="BY151" s="660"/>
      <c r="BZ151" s="660"/>
      <c r="CA151" s="660"/>
      <c r="CB151" s="660"/>
      <c r="CC151" s="660"/>
      <c r="CD151" s="660"/>
      <c r="CE151" s="660"/>
      <c r="CF151" s="660"/>
      <c r="CG151" s="660"/>
      <c r="CH151" s="660"/>
      <c r="CI151" s="660"/>
      <c r="CJ151" s="660"/>
      <c r="CK151" s="660"/>
      <c r="CL151" s="660"/>
      <c r="CM151" s="660"/>
      <c r="CN151" s="660"/>
      <c r="CO151" s="660"/>
      <c r="CP151" s="660"/>
      <c r="CQ151" s="660"/>
      <c r="CR151" s="660"/>
      <c r="CS151" s="660"/>
      <c r="CT151" s="660"/>
      <c r="CU151" s="660"/>
      <c r="CV151" s="660"/>
      <c r="CW151" s="660"/>
      <c r="CX151" s="660"/>
      <c r="CY151" s="660"/>
      <c r="CZ151" s="660"/>
      <c r="DA151" s="660"/>
      <c r="DB151" s="660"/>
      <c r="DC151" s="660"/>
      <c r="DD151" s="660"/>
      <c r="DE151" s="660"/>
      <c r="DF151" s="660"/>
      <c r="DG151" s="660"/>
      <c r="DH151" s="660"/>
      <c r="DI151" s="660"/>
      <c r="DJ151" s="660"/>
      <c r="DK151" s="660"/>
      <c r="DL151" s="660"/>
      <c r="DM151" s="660"/>
      <c r="DN151" s="660"/>
      <c r="DO151" s="660"/>
      <c r="DP151" s="660"/>
      <c r="DQ151" s="660"/>
      <c r="DR151" s="660"/>
      <c r="DS151" s="660"/>
      <c r="DT151" s="660"/>
      <c r="DU151" s="660"/>
      <c r="DV151" s="660"/>
      <c r="DW151" s="660"/>
      <c r="DX151" s="660"/>
      <c r="DY151" s="660"/>
      <c r="DZ151" s="660"/>
      <c r="EA151" s="660"/>
      <c r="EB151" s="660"/>
      <c r="EC151" s="660"/>
      <c r="ED151" s="660"/>
      <c r="EE151" s="660"/>
      <c r="EF151" s="660"/>
      <c r="EG151" s="660"/>
      <c r="EH151" s="660"/>
      <c r="EI151" s="660"/>
      <c r="EJ151" s="660"/>
      <c r="EK151" s="660"/>
      <c r="EL151" s="660"/>
      <c r="EM151" s="660"/>
      <c r="EN151" s="660"/>
      <c r="EO151" s="660"/>
      <c r="EP151" s="660"/>
      <c r="EQ151" s="660"/>
      <c r="ER151" s="660"/>
      <c r="ES151" s="660"/>
      <c r="ET151" s="660"/>
      <c r="EU151" s="660"/>
      <c r="EV151" s="660"/>
      <c r="EW151" s="660"/>
      <c r="EX151" s="660"/>
      <c r="EY151" s="660"/>
      <c r="EZ151" s="660"/>
      <c r="FA151" s="660"/>
      <c r="FB151" s="660"/>
      <c r="FC151" s="660"/>
      <c r="FD151" s="660"/>
      <c r="FE151" s="660"/>
      <c r="FF151" s="660"/>
      <c r="FG151" s="660"/>
      <c r="FH151" s="660"/>
      <c r="FI151" s="660"/>
      <c r="FJ151" s="660"/>
      <c r="FK151" s="660"/>
      <c r="FL151" s="660"/>
      <c r="FM151" s="660"/>
      <c r="FN151" s="660"/>
      <c r="FO151" s="660"/>
      <c r="FP151" s="660"/>
      <c r="FQ151" s="660"/>
      <c r="FR151" s="660"/>
      <c r="FS151" s="660"/>
      <c r="FT151" s="660"/>
      <c r="FU151" s="660"/>
      <c r="FV151" s="660"/>
      <c r="FW151" s="660"/>
      <c r="FX151" s="660"/>
      <c r="FY151" s="660"/>
      <c r="FZ151" s="660"/>
      <c r="GA151" s="660"/>
      <c r="GB151" s="660"/>
      <c r="GC151" s="660"/>
      <c r="GD151" s="660"/>
      <c r="GE151" s="660"/>
      <c r="GF151" s="660"/>
      <c r="GG151" s="660"/>
      <c r="GH151" s="660"/>
      <c r="GI151" s="660"/>
      <c r="GJ151" s="660"/>
      <c r="GK151" s="660"/>
      <c r="GL151" s="660"/>
      <c r="GM151" s="660"/>
      <c r="GN151" s="660"/>
      <c r="GO151" s="660"/>
      <c r="GP151" s="660"/>
      <c r="GQ151" s="660"/>
      <c r="GR151" s="660"/>
      <c r="GS151" s="660"/>
      <c r="GT151" s="660"/>
      <c r="GU151" s="660"/>
      <c r="GV151" s="660"/>
      <c r="GW151" s="660"/>
      <c r="GX151" s="660"/>
      <c r="GY151" s="660"/>
      <c r="GZ151" s="660"/>
      <c r="HA151" s="660"/>
      <c r="HB151" s="660"/>
      <c r="HC151" s="660"/>
      <c r="HD151" s="660"/>
      <c r="HE151" s="660"/>
      <c r="HF151" s="660"/>
      <c r="HG151" s="660"/>
      <c r="HH151" s="660"/>
      <c r="HI151" s="660"/>
      <c r="HJ151" s="660"/>
      <c r="HK151" s="660"/>
      <c r="HL151" s="660"/>
      <c r="HM151" s="660"/>
      <c r="HN151" s="660"/>
      <c r="HO151" s="660"/>
      <c r="HP151" s="660"/>
      <c r="HQ151" s="660"/>
      <c r="HR151" s="660"/>
      <c r="HS151" s="660"/>
      <c r="HT151" s="660"/>
      <c r="HU151" s="660"/>
      <c r="HV151" s="660"/>
      <c r="HW151" s="660"/>
      <c r="HX151" s="660"/>
      <c r="HY151" s="660"/>
      <c r="HZ151" s="660"/>
      <c r="IA151" s="660"/>
      <c r="IB151" s="660"/>
      <c r="IC151" s="660"/>
      <c r="ID151" s="660"/>
      <c r="IE151" s="660"/>
      <c r="IF151" s="660"/>
      <c r="IG151" s="660"/>
      <c r="IH151" s="660"/>
      <c r="II151" s="660"/>
      <c r="IJ151" s="660"/>
      <c r="IK151" s="660"/>
      <c r="IL151" s="660"/>
      <c r="IM151" s="660"/>
      <c r="IN151" s="660"/>
      <c r="IO151" s="660"/>
      <c r="IP151" s="660"/>
      <c r="IQ151" s="660"/>
      <c r="IR151" s="660"/>
      <c r="IS151" s="660"/>
      <c r="IT151" s="660"/>
      <c r="IU151" s="660"/>
      <c r="IV151" s="660"/>
      <c r="IW151" s="660"/>
      <c r="IX151" s="660"/>
      <c r="IY151" s="660"/>
      <c r="IZ151" s="660"/>
      <c r="JA151" s="660"/>
      <c r="JB151" s="660"/>
      <c r="JC151" s="660"/>
      <c r="JD151" s="660"/>
      <c r="JE151" s="660"/>
      <c r="JF151" s="660"/>
      <c r="JG151" s="660"/>
      <c r="JH151" s="660"/>
      <c r="JI151" s="660"/>
      <c r="JJ151" s="660"/>
      <c r="JK151" s="660"/>
      <c r="JL151" s="660"/>
      <c r="JM151" s="660"/>
      <c r="JN151" s="660"/>
      <c r="JO151" s="660"/>
      <c r="JP151" s="660"/>
      <c r="JQ151" s="660"/>
      <c r="JR151" s="660"/>
      <c r="JS151" s="660"/>
      <c r="JT151" s="660"/>
      <c r="JU151" s="660"/>
      <c r="JV151" s="660"/>
      <c r="JW151" s="660"/>
      <c r="JX151" s="660"/>
      <c r="JY151" s="660"/>
      <c r="JZ151" s="660"/>
      <c r="KA151" s="660"/>
      <c r="KB151" s="660"/>
      <c r="KC151" s="660"/>
      <c r="KD151" s="660"/>
      <c r="KE151" s="660"/>
      <c r="KF151" s="660"/>
      <c r="KG151" s="660"/>
      <c r="KH151" s="660"/>
      <c r="KI151" s="660"/>
      <c r="KJ151" s="660"/>
      <c r="KK151" s="660"/>
      <c r="KL151" s="660"/>
      <c r="KM151" s="660"/>
      <c r="KN151" s="660"/>
      <c r="KO151" s="660"/>
      <c r="KP151" s="660"/>
      <c r="KQ151" s="660"/>
      <c r="KR151" s="660"/>
      <c r="KS151" s="660"/>
      <c r="KT151" s="660"/>
      <c r="KU151" s="660"/>
      <c r="KV151" s="660"/>
      <c r="KW151" s="660"/>
      <c r="KX151" s="660"/>
      <c r="KY151" s="660"/>
      <c r="KZ151" s="660"/>
      <c r="LA151" s="660"/>
      <c r="LB151" s="660"/>
      <c r="LC151" s="660"/>
      <c r="LD151" s="660"/>
      <c r="LE151" s="660"/>
      <c r="LF151" s="660"/>
      <c r="LG151" s="660"/>
      <c r="LH151" s="660"/>
      <c r="LI151" s="660"/>
      <c r="LJ151" s="660"/>
      <c r="LK151" s="660"/>
      <c r="LL151" s="660"/>
      <c r="LM151" s="660"/>
      <c r="LN151" s="660"/>
      <c r="LO151" s="660"/>
      <c r="LP151" s="660"/>
      <c r="LQ151" s="660"/>
      <c r="LR151" s="660"/>
      <c r="LS151" s="660"/>
      <c r="LT151" s="660"/>
      <c r="LU151" s="660"/>
      <c r="LV151" s="660"/>
      <c r="LW151" s="660"/>
      <c r="LX151" s="660"/>
      <c r="LY151" s="660"/>
    </row>
    <row r="152" spans="2:337" s="665" customFormat="1" ht="15" customHeight="1" x14ac:dyDescent="0.3">
      <c r="B152" s="749" t="s">
        <v>217</v>
      </c>
      <c r="C152" s="733" t="s">
        <v>215</v>
      </c>
      <c r="D152" s="607">
        <v>24</v>
      </c>
      <c r="E152" s="608">
        <v>931.5</v>
      </c>
      <c r="F152" s="609"/>
      <c r="G152" s="609"/>
      <c r="H152" s="609">
        <f t="shared" si="69"/>
        <v>22356</v>
      </c>
      <c r="I152" s="231">
        <v>22356</v>
      </c>
      <c r="J152" s="659"/>
      <c r="K152" s="231">
        <f t="shared" si="58"/>
        <v>5224.87</v>
      </c>
      <c r="L152" s="231">
        <f t="shared" si="66"/>
        <v>-17131.13</v>
      </c>
      <c r="M152" s="728">
        <f t="shared" si="63"/>
        <v>-0.76628779745929509</v>
      </c>
      <c r="N152" s="659"/>
      <c r="O152" s="231">
        <f t="shared" si="70"/>
        <v>5589</v>
      </c>
      <c r="P152" s="231">
        <f t="shared" si="70"/>
        <v>5589</v>
      </c>
      <c r="Q152" s="231">
        <f t="shared" si="70"/>
        <v>5589</v>
      </c>
      <c r="R152" s="231">
        <f t="shared" si="70"/>
        <v>5589</v>
      </c>
      <c r="S152" s="660"/>
      <c r="T152" s="231">
        <v>1306.2175</v>
      </c>
      <c r="U152" s="231">
        <v>1306.2175</v>
      </c>
      <c r="V152" s="231">
        <v>1306.2175</v>
      </c>
      <c r="W152" s="231">
        <v>1306.2175</v>
      </c>
      <c r="X152" s="660"/>
      <c r="Y152" s="155">
        <f t="shared" si="67"/>
        <v>-4282.7825000000003</v>
      </c>
      <c r="Z152" s="155">
        <f t="shared" si="67"/>
        <v>-4282.7825000000003</v>
      </c>
      <c r="AA152" s="155">
        <f t="shared" si="67"/>
        <v>-4282.7825000000003</v>
      </c>
      <c r="AB152" s="155">
        <f t="shared" si="67"/>
        <v>-4282.7825000000003</v>
      </c>
      <c r="AC152" s="225"/>
      <c r="AD152" s="156">
        <f t="shared" si="68"/>
        <v>-0.76628779745929509</v>
      </c>
      <c r="AE152" s="156">
        <f t="shared" si="68"/>
        <v>-0.76628779745929509</v>
      </c>
      <c r="AF152" s="156">
        <f t="shared" si="68"/>
        <v>-0.76628779745929509</v>
      </c>
      <c r="AG152" s="156">
        <f t="shared" si="68"/>
        <v>-0.76628779745929509</v>
      </c>
      <c r="AH152" s="660"/>
      <c r="AI152" s="660"/>
      <c r="AJ152" s="660"/>
      <c r="AK152" s="660"/>
      <c r="AL152" s="660"/>
      <c r="AM152" s="660"/>
      <c r="AN152" s="660"/>
      <c r="AO152" s="660"/>
      <c r="AP152" s="660"/>
      <c r="AQ152" s="660"/>
      <c r="AR152" s="660"/>
      <c r="AS152" s="660"/>
      <c r="AT152" s="660"/>
      <c r="AU152" s="660"/>
      <c r="AV152" s="660"/>
      <c r="AW152" s="660"/>
      <c r="AX152" s="660"/>
      <c r="AY152" s="660"/>
      <c r="AZ152" s="660"/>
      <c r="BA152" s="660"/>
      <c r="BB152" s="660"/>
      <c r="BC152" s="660"/>
      <c r="BD152" s="660"/>
      <c r="BE152" s="660"/>
      <c r="BF152" s="660"/>
      <c r="BG152" s="660"/>
      <c r="BH152" s="660"/>
      <c r="BI152" s="660"/>
      <c r="BJ152" s="660"/>
      <c r="BK152" s="660"/>
      <c r="BL152" s="660"/>
      <c r="BM152" s="660"/>
      <c r="BN152" s="660"/>
      <c r="BO152" s="660"/>
      <c r="BP152" s="660"/>
      <c r="BQ152" s="660"/>
      <c r="BR152" s="660"/>
      <c r="BS152" s="660"/>
      <c r="BT152" s="660"/>
      <c r="BU152" s="660"/>
      <c r="BV152" s="660"/>
      <c r="BW152" s="660"/>
      <c r="BX152" s="660"/>
      <c r="BY152" s="660"/>
      <c r="BZ152" s="660"/>
      <c r="CA152" s="660"/>
      <c r="CB152" s="660"/>
      <c r="CC152" s="660"/>
      <c r="CD152" s="660"/>
      <c r="CE152" s="660"/>
      <c r="CF152" s="660"/>
      <c r="CG152" s="660"/>
      <c r="CH152" s="660"/>
      <c r="CI152" s="660"/>
      <c r="CJ152" s="660"/>
      <c r="CK152" s="660"/>
      <c r="CL152" s="660"/>
      <c r="CM152" s="660"/>
      <c r="CN152" s="660"/>
      <c r="CO152" s="660"/>
      <c r="CP152" s="660"/>
      <c r="CQ152" s="660"/>
      <c r="CR152" s="660"/>
      <c r="CS152" s="660"/>
      <c r="CT152" s="660"/>
      <c r="CU152" s="660"/>
      <c r="CV152" s="660"/>
      <c r="CW152" s="660"/>
      <c r="CX152" s="660"/>
      <c r="CY152" s="660"/>
      <c r="CZ152" s="660"/>
      <c r="DA152" s="660"/>
      <c r="DB152" s="660"/>
      <c r="DC152" s="660"/>
      <c r="DD152" s="660"/>
      <c r="DE152" s="660"/>
      <c r="DF152" s="660"/>
      <c r="DG152" s="660"/>
      <c r="DH152" s="660"/>
      <c r="DI152" s="660"/>
      <c r="DJ152" s="660"/>
      <c r="DK152" s="660"/>
      <c r="DL152" s="660"/>
      <c r="DM152" s="660"/>
      <c r="DN152" s="660"/>
      <c r="DO152" s="660"/>
      <c r="DP152" s="660"/>
      <c r="DQ152" s="660"/>
      <c r="DR152" s="660"/>
      <c r="DS152" s="660"/>
      <c r="DT152" s="660"/>
      <c r="DU152" s="660"/>
      <c r="DV152" s="660"/>
      <c r="DW152" s="660"/>
      <c r="DX152" s="660"/>
      <c r="DY152" s="660"/>
      <c r="DZ152" s="660"/>
      <c r="EA152" s="660"/>
      <c r="EB152" s="660"/>
      <c r="EC152" s="660"/>
      <c r="ED152" s="660"/>
      <c r="EE152" s="660"/>
      <c r="EF152" s="660"/>
      <c r="EG152" s="660"/>
      <c r="EH152" s="660"/>
      <c r="EI152" s="660"/>
      <c r="EJ152" s="660"/>
      <c r="EK152" s="660"/>
      <c r="EL152" s="660"/>
      <c r="EM152" s="660"/>
      <c r="EN152" s="660"/>
      <c r="EO152" s="660"/>
      <c r="EP152" s="660"/>
      <c r="EQ152" s="660"/>
      <c r="ER152" s="660"/>
      <c r="ES152" s="660"/>
      <c r="ET152" s="660"/>
      <c r="EU152" s="660"/>
      <c r="EV152" s="660"/>
      <c r="EW152" s="660"/>
      <c r="EX152" s="660"/>
      <c r="EY152" s="660"/>
      <c r="EZ152" s="660"/>
      <c r="FA152" s="660"/>
      <c r="FB152" s="660"/>
      <c r="FC152" s="660"/>
      <c r="FD152" s="660"/>
      <c r="FE152" s="660"/>
      <c r="FF152" s="660"/>
      <c r="FG152" s="660"/>
      <c r="FH152" s="660"/>
      <c r="FI152" s="660"/>
      <c r="FJ152" s="660"/>
      <c r="FK152" s="660"/>
      <c r="FL152" s="660"/>
      <c r="FM152" s="660"/>
      <c r="FN152" s="660"/>
      <c r="FO152" s="660"/>
      <c r="FP152" s="660"/>
      <c r="FQ152" s="660"/>
      <c r="FR152" s="660"/>
      <c r="FS152" s="660"/>
      <c r="FT152" s="660"/>
      <c r="FU152" s="660"/>
      <c r="FV152" s="660"/>
      <c r="FW152" s="660"/>
      <c r="FX152" s="660"/>
      <c r="FY152" s="660"/>
      <c r="FZ152" s="660"/>
      <c r="GA152" s="660"/>
      <c r="GB152" s="660"/>
      <c r="GC152" s="660"/>
      <c r="GD152" s="660"/>
      <c r="GE152" s="660"/>
      <c r="GF152" s="660"/>
      <c r="GG152" s="660"/>
      <c r="GH152" s="660"/>
      <c r="GI152" s="660"/>
      <c r="GJ152" s="660"/>
      <c r="GK152" s="660"/>
      <c r="GL152" s="660"/>
      <c r="GM152" s="660"/>
      <c r="GN152" s="660"/>
      <c r="GO152" s="660"/>
      <c r="GP152" s="660"/>
      <c r="GQ152" s="660"/>
      <c r="GR152" s="660"/>
      <c r="GS152" s="660"/>
      <c r="GT152" s="660"/>
      <c r="GU152" s="660"/>
      <c r="GV152" s="660"/>
      <c r="GW152" s="660"/>
      <c r="GX152" s="660"/>
      <c r="GY152" s="660"/>
      <c r="GZ152" s="660"/>
      <c r="HA152" s="660"/>
      <c r="HB152" s="660"/>
      <c r="HC152" s="660"/>
      <c r="HD152" s="660"/>
      <c r="HE152" s="660"/>
      <c r="HF152" s="660"/>
      <c r="HG152" s="660"/>
      <c r="HH152" s="660"/>
      <c r="HI152" s="660"/>
      <c r="HJ152" s="660"/>
      <c r="HK152" s="660"/>
      <c r="HL152" s="660"/>
      <c r="HM152" s="660"/>
      <c r="HN152" s="660"/>
      <c r="HO152" s="660"/>
      <c r="HP152" s="660"/>
      <c r="HQ152" s="660"/>
      <c r="HR152" s="660"/>
      <c r="HS152" s="660"/>
      <c r="HT152" s="660"/>
      <c r="HU152" s="660"/>
      <c r="HV152" s="660"/>
      <c r="HW152" s="660"/>
      <c r="HX152" s="660"/>
      <c r="HY152" s="660"/>
      <c r="HZ152" s="660"/>
      <c r="IA152" s="660"/>
      <c r="IB152" s="660"/>
      <c r="IC152" s="660"/>
      <c r="ID152" s="660"/>
      <c r="IE152" s="660"/>
      <c r="IF152" s="660"/>
      <c r="IG152" s="660"/>
      <c r="IH152" s="660"/>
      <c r="II152" s="660"/>
      <c r="IJ152" s="660"/>
      <c r="IK152" s="660"/>
      <c r="IL152" s="660"/>
      <c r="IM152" s="660"/>
      <c r="IN152" s="660"/>
      <c r="IO152" s="660"/>
      <c r="IP152" s="660"/>
      <c r="IQ152" s="660"/>
      <c r="IR152" s="660"/>
      <c r="IS152" s="660"/>
      <c r="IT152" s="660"/>
      <c r="IU152" s="660"/>
      <c r="IV152" s="660"/>
      <c r="IW152" s="660"/>
      <c r="IX152" s="660"/>
      <c r="IY152" s="660"/>
      <c r="IZ152" s="660"/>
      <c r="JA152" s="660"/>
      <c r="JB152" s="660"/>
      <c r="JC152" s="660"/>
      <c r="JD152" s="660"/>
      <c r="JE152" s="660"/>
      <c r="JF152" s="660"/>
      <c r="JG152" s="660"/>
      <c r="JH152" s="660"/>
      <c r="JI152" s="660"/>
      <c r="JJ152" s="660"/>
      <c r="JK152" s="660"/>
      <c r="JL152" s="660"/>
      <c r="JM152" s="660"/>
      <c r="JN152" s="660"/>
      <c r="JO152" s="660"/>
      <c r="JP152" s="660"/>
      <c r="JQ152" s="660"/>
      <c r="JR152" s="660"/>
      <c r="JS152" s="660"/>
      <c r="JT152" s="660"/>
      <c r="JU152" s="660"/>
      <c r="JV152" s="660"/>
      <c r="JW152" s="660"/>
      <c r="JX152" s="660"/>
      <c r="JY152" s="660"/>
      <c r="JZ152" s="660"/>
      <c r="KA152" s="660"/>
      <c r="KB152" s="660"/>
      <c r="KC152" s="660"/>
      <c r="KD152" s="660"/>
      <c r="KE152" s="660"/>
      <c r="KF152" s="660"/>
      <c r="KG152" s="660"/>
      <c r="KH152" s="660"/>
      <c r="KI152" s="660"/>
      <c r="KJ152" s="660"/>
      <c r="KK152" s="660"/>
      <c r="KL152" s="660"/>
      <c r="KM152" s="660"/>
      <c r="KN152" s="660"/>
      <c r="KO152" s="660"/>
      <c r="KP152" s="660"/>
      <c r="KQ152" s="660"/>
      <c r="KR152" s="660"/>
      <c r="KS152" s="660"/>
      <c r="KT152" s="660"/>
      <c r="KU152" s="660"/>
      <c r="KV152" s="660"/>
      <c r="KW152" s="660"/>
      <c r="KX152" s="660"/>
      <c r="KY152" s="660"/>
      <c r="KZ152" s="660"/>
      <c r="LA152" s="660"/>
      <c r="LB152" s="660"/>
      <c r="LC152" s="660"/>
      <c r="LD152" s="660"/>
      <c r="LE152" s="660"/>
      <c r="LF152" s="660"/>
      <c r="LG152" s="660"/>
      <c r="LH152" s="660"/>
      <c r="LI152" s="660"/>
      <c r="LJ152" s="660"/>
      <c r="LK152" s="660"/>
      <c r="LL152" s="660"/>
      <c r="LM152" s="660"/>
      <c r="LN152" s="660"/>
      <c r="LO152" s="660"/>
      <c r="LP152" s="660"/>
      <c r="LQ152" s="660"/>
      <c r="LR152" s="660"/>
      <c r="LS152" s="660"/>
      <c r="LT152" s="660"/>
      <c r="LU152" s="660"/>
      <c r="LV152" s="660"/>
      <c r="LW152" s="660"/>
      <c r="LX152" s="660"/>
      <c r="LY152" s="660"/>
    </row>
    <row r="153" spans="2:337" s="665" customFormat="1" ht="15" customHeight="1" x14ac:dyDescent="0.3">
      <c r="B153" s="749" t="s">
        <v>218</v>
      </c>
      <c r="C153" s="733" t="s">
        <v>215</v>
      </c>
      <c r="D153" s="607">
        <v>24</v>
      </c>
      <c r="E153" s="608">
        <v>432.98</v>
      </c>
      <c r="F153" s="609"/>
      <c r="G153" s="609"/>
      <c r="H153" s="609">
        <f t="shared" si="69"/>
        <v>10391.52</v>
      </c>
      <c r="I153" s="231">
        <v>10391.52</v>
      </c>
      <c r="J153" s="659"/>
      <c r="K153" s="231">
        <f t="shared" si="58"/>
        <v>15315.400000000001</v>
      </c>
      <c r="L153" s="231">
        <f t="shared" si="66"/>
        <v>4923.880000000001</v>
      </c>
      <c r="M153" s="728">
        <f t="shared" si="63"/>
        <v>0.47383635887723846</v>
      </c>
      <c r="N153" s="659"/>
      <c r="O153" s="231">
        <f t="shared" si="70"/>
        <v>2597.88</v>
      </c>
      <c r="P153" s="231">
        <f t="shared" si="70"/>
        <v>2597.88</v>
      </c>
      <c r="Q153" s="231">
        <f t="shared" si="70"/>
        <v>2597.88</v>
      </c>
      <c r="R153" s="231">
        <f t="shared" si="70"/>
        <v>2597.88</v>
      </c>
      <c r="S153" s="660"/>
      <c r="T153" s="231">
        <v>3828.8500000000004</v>
      </c>
      <c r="U153" s="231">
        <v>3828.8500000000004</v>
      </c>
      <c r="V153" s="231">
        <v>3828.8500000000004</v>
      </c>
      <c r="W153" s="231">
        <v>3828.8500000000004</v>
      </c>
      <c r="X153" s="660"/>
      <c r="Y153" s="155">
        <f t="shared" si="67"/>
        <v>1230.9700000000003</v>
      </c>
      <c r="Z153" s="155">
        <f t="shared" si="67"/>
        <v>1230.9700000000003</v>
      </c>
      <c r="AA153" s="155">
        <f t="shared" si="67"/>
        <v>1230.9700000000003</v>
      </c>
      <c r="AB153" s="155">
        <f t="shared" si="67"/>
        <v>1230.9700000000003</v>
      </c>
      <c r="AC153" s="225"/>
      <c r="AD153" s="156">
        <f t="shared" si="68"/>
        <v>0.47383635887723846</v>
      </c>
      <c r="AE153" s="156">
        <f t="shared" si="68"/>
        <v>0.47383635887723846</v>
      </c>
      <c r="AF153" s="156">
        <f t="shared" si="68"/>
        <v>0.47383635887723846</v>
      </c>
      <c r="AG153" s="156">
        <f t="shared" si="68"/>
        <v>0.47383635887723846</v>
      </c>
      <c r="AH153" s="660"/>
      <c r="AI153" s="660"/>
      <c r="AJ153" s="660"/>
      <c r="AK153" s="660"/>
      <c r="AL153" s="660"/>
      <c r="AM153" s="660"/>
      <c r="AN153" s="660"/>
      <c r="AO153" s="660"/>
      <c r="AP153" s="660"/>
      <c r="AQ153" s="660"/>
      <c r="AR153" s="660"/>
      <c r="AS153" s="660"/>
      <c r="AT153" s="660"/>
      <c r="AU153" s="660"/>
      <c r="AV153" s="660"/>
      <c r="AW153" s="660"/>
      <c r="AX153" s="660"/>
      <c r="AY153" s="660"/>
      <c r="AZ153" s="660"/>
      <c r="BA153" s="660"/>
      <c r="BB153" s="660"/>
      <c r="BC153" s="660"/>
      <c r="BD153" s="660"/>
      <c r="BE153" s="660"/>
      <c r="BF153" s="660"/>
      <c r="BG153" s="660"/>
      <c r="BH153" s="660"/>
      <c r="BI153" s="660"/>
      <c r="BJ153" s="660"/>
      <c r="BK153" s="660"/>
      <c r="BL153" s="660"/>
      <c r="BM153" s="660"/>
      <c r="BN153" s="660"/>
      <c r="BO153" s="660"/>
      <c r="BP153" s="660"/>
      <c r="BQ153" s="660"/>
      <c r="BR153" s="660"/>
      <c r="BS153" s="660"/>
      <c r="BT153" s="660"/>
      <c r="BU153" s="660"/>
      <c r="BV153" s="660"/>
      <c r="BW153" s="660"/>
      <c r="BX153" s="660"/>
      <c r="BY153" s="660"/>
      <c r="BZ153" s="660"/>
      <c r="CA153" s="660"/>
      <c r="CB153" s="660"/>
      <c r="CC153" s="660"/>
      <c r="CD153" s="660"/>
      <c r="CE153" s="660"/>
      <c r="CF153" s="660"/>
      <c r="CG153" s="660"/>
      <c r="CH153" s="660"/>
      <c r="CI153" s="660"/>
      <c r="CJ153" s="660"/>
      <c r="CK153" s="660"/>
      <c r="CL153" s="660"/>
      <c r="CM153" s="660"/>
      <c r="CN153" s="660"/>
      <c r="CO153" s="660"/>
      <c r="CP153" s="660"/>
      <c r="CQ153" s="660"/>
      <c r="CR153" s="660"/>
      <c r="CS153" s="660"/>
      <c r="CT153" s="660"/>
      <c r="CU153" s="660"/>
      <c r="CV153" s="660"/>
      <c r="CW153" s="660"/>
      <c r="CX153" s="660"/>
      <c r="CY153" s="660"/>
      <c r="CZ153" s="660"/>
      <c r="DA153" s="660"/>
      <c r="DB153" s="660"/>
      <c r="DC153" s="660"/>
      <c r="DD153" s="660"/>
      <c r="DE153" s="660"/>
      <c r="DF153" s="660"/>
      <c r="DG153" s="660"/>
      <c r="DH153" s="660"/>
      <c r="DI153" s="660"/>
      <c r="DJ153" s="660"/>
      <c r="DK153" s="660"/>
      <c r="DL153" s="660"/>
      <c r="DM153" s="660"/>
      <c r="DN153" s="660"/>
      <c r="DO153" s="660"/>
      <c r="DP153" s="660"/>
      <c r="DQ153" s="660"/>
      <c r="DR153" s="660"/>
      <c r="DS153" s="660"/>
      <c r="DT153" s="660"/>
      <c r="DU153" s="660"/>
      <c r="DV153" s="660"/>
      <c r="DW153" s="660"/>
      <c r="DX153" s="660"/>
      <c r="DY153" s="660"/>
      <c r="DZ153" s="660"/>
      <c r="EA153" s="660"/>
      <c r="EB153" s="660"/>
      <c r="EC153" s="660"/>
      <c r="ED153" s="660"/>
      <c r="EE153" s="660"/>
      <c r="EF153" s="660"/>
      <c r="EG153" s="660"/>
      <c r="EH153" s="660"/>
      <c r="EI153" s="660"/>
      <c r="EJ153" s="660"/>
      <c r="EK153" s="660"/>
      <c r="EL153" s="660"/>
      <c r="EM153" s="660"/>
      <c r="EN153" s="660"/>
      <c r="EO153" s="660"/>
      <c r="EP153" s="660"/>
      <c r="EQ153" s="660"/>
      <c r="ER153" s="660"/>
      <c r="ES153" s="660"/>
      <c r="ET153" s="660"/>
      <c r="EU153" s="660"/>
      <c r="EV153" s="660"/>
      <c r="EW153" s="660"/>
      <c r="EX153" s="660"/>
      <c r="EY153" s="660"/>
      <c r="EZ153" s="660"/>
      <c r="FA153" s="660"/>
      <c r="FB153" s="660"/>
      <c r="FC153" s="660"/>
      <c r="FD153" s="660"/>
      <c r="FE153" s="660"/>
      <c r="FF153" s="660"/>
      <c r="FG153" s="660"/>
      <c r="FH153" s="660"/>
      <c r="FI153" s="660"/>
      <c r="FJ153" s="660"/>
      <c r="FK153" s="660"/>
      <c r="FL153" s="660"/>
      <c r="FM153" s="660"/>
      <c r="FN153" s="660"/>
      <c r="FO153" s="660"/>
      <c r="FP153" s="660"/>
      <c r="FQ153" s="660"/>
      <c r="FR153" s="660"/>
      <c r="FS153" s="660"/>
      <c r="FT153" s="660"/>
      <c r="FU153" s="660"/>
      <c r="FV153" s="660"/>
      <c r="FW153" s="660"/>
      <c r="FX153" s="660"/>
      <c r="FY153" s="660"/>
      <c r="FZ153" s="660"/>
      <c r="GA153" s="660"/>
      <c r="GB153" s="660"/>
      <c r="GC153" s="660"/>
      <c r="GD153" s="660"/>
      <c r="GE153" s="660"/>
      <c r="GF153" s="660"/>
      <c r="GG153" s="660"/>
      <c r="GH153" s="660"/>
      <c r="GI153" s="660"/>
      <c r="GJ153" s="660"/>
      <c r="GK153" s="660"/>
      <c r="GL153" s="660"/>
      <c r="GM153" s="660"/>
      <c r="GN153" s="660"/>
      <c r="GO153" s="660"/>
      <c r="GP153" s="660"/>
      <c r="GQ153" s="660"/>
      <c r="GR153" s="660"/>
      <c r="GS153" s="660"/>
      <c r="GT153" s="660"/>
      <c r="GU153" s="660"/>
      <c r="GV153" s="660"/>
      <c r="GW153" s="660"/>
      <c r="GX153" s="660"/>
      <c r="GY153" s="660"/>
      <c r="GZ153" s="660"/>
      <c r="HA153" s="660"/>
      <c r="HB153" s="660"/>
      <c r="HC153" s="660"/>
      <c r="HD153" s="660"/>
      <c r="HE153" s="660"/>
      <c r="HF153" s="660"/>
      <c r="HG153" s="660"/>
      <c r="HH153" s="660"/>
      <c r="HI153" s="660"/>
      <c r="HJ153" s="660"/>
      <c r="HK153" s="660"/>
      <c r="HL153" s="660"/>
      <c r="HM153" s="660"/>
      <c r="HN153" s="660"/>
      <c r="HO153" s="660"/>
      <c r="HP153" s="660"/>
      <c r="HQ153" s="660"/>
      <c r="HR153" s="660"/>
      <c r="HS153" s="660"/>
      <c r="HT153" s="660"/>
      <c r="HU153" s="660"/>
      <c r="HV153" s="660"/>
      <c r="HW153" s="660"/>
      <c r="HX153" s="660"/>
      <c r="HY153" s="660"/>
      <c r="HZ153" s="660"/>
      <c r="IA153" s="660"/>
      <c r="IB153" s="660"/>
      <c r="IC153" s="660"/>
      <c r="ID153" s="660"/>
      <c r="IE153" s="660"/>
      <c r="IF153" s="660"/>
      <c r="IG153" s="660"/>
      <c r="IH153" s="660"/>
      <c r="II153" s="660"/>
      <c r="IJ153" s="660"/>
      <c r="IK153" s="660"/>
      <c r="IL153" s="660"/>
      <c r="IM153" s="660"/>
      <c r="IN153" s="660"/>
      <c r="IO153" s="660"/>
      <c r="IP153" s="660"/>
      <c r="IQ153" s="660"/>
      <c r="IR153" s="660"/>
      <c r="IS153" s="660"/>
      <c r="IT153" s="660"/>
      <c r="IU153" s="660"/>
      <c r="IV153" s="660"/>
      <c r="IW153" s="660"/>
      <c r="IX153" s="660"/>
      <c r="IY153" s="660"/>
      <c r="IZ153" s="660"/>
      <c r="JA153" s="660"/>
      <c r="JB153" s="660"/>
      <c r="JC153" s="660"/>
      <c r="JD153" s="660"/>
      <c r="JE153" s="660"/>
      <c r="JF153" s="660"/>
      <c r="JG153" s="660"/>
      <c r="JH153" s="660"/>
      <c r="JI153" s="660"/>
      <c r="JJ153" s="660"/>
      <c r="JK153" s="660"/>
      <c r="JL153" s="660"/>
      <c r="JM153" s="660"/>
      <c r="JN153" s="660"/>
      <c r="JO153" s="660"/>
      <c r="JP153" s="660"/>
      <c r="JQ153" s="660"/>
      <c r="JR153" s="660"/>
      <c r="JS153" s="660"/>
      <c r="JT153" s="660"/>
      <c r="JU153" s="660"/>
      <c r="JV153" s="660"/>
      <c r="JW153" s="660"/>
      <c r="JX153" s="660"/>
      <c r="JY153" s="660"/>
      <c r="JZ153" s="660"/>
      <c r="KA153" s="660"/>
      <c r="KB153" s="660"/>
      <c r="KC153" s="660"/>
      <c r="KD153" s="660"/>
      <c r="KE153" s="660"/>
      <c r="KF153" s="660"/>
      <c r="KG153" s="660"/>
      <c r="KH153" s="660"/>
      <c r="KI153" s="660"/>
      <c r="KJ153" s="660"/>
      <c r="KK153" s="660"/>
      <c r="KL153" s="660"/>
      <c r="KM153" s="660"/>
      <c r="KN153" s="660"/>
      <c r="KO153" s="660"/>
      <c r="KP153" s="660"/>
      <c r="KQ153" s="660"/>
      <c r="KR153" s="660"/>
      <c r="KS153" s="660"/>
      <c r="KT153" s="660"/>
      <c r="KU153" s="660"/>
      <c r="KV153" s="660"/>
      <c r="KW153" s="660"/>
      <c r="KX153" s="660"/>
      <c r="KY153" s="660"/>
      <c r="KZ153" s="660"/>
      <c r="LA153" s="660"/>
      <c r="LB153" s="660"/>
      <c r="LC153" s="660"/>
      <c r="LD153" s="660"/>
      <c r="LE153" s="660"/>
      <c r="LF153" s="660"/>
      <c r="LG153" s="660"/>
      <c r="LH153" s="660"/>
      <c r="LI153" s="660"/>
      <c r="LJ153" s="660"/>
      <c r="LK153" s="660"/>
      <c r="LL153" s="660"/>
      <c r="LM153" s="660"/>
      <c r="LN153" s="660"/>
      <c r="LO153" s="660"/>
      <c r="LP153" s="660"/>
      <c r="LQ153" s="660"/>
      <c r="LR153" s="660"/>
      <c r="LS153" s="660"/>
      <c r="LT153" s="660"/>
      <c r="LU153" s="660"/>
      <c r="LV153" s="660"/>
      <c r="LW153" s="660"/>
      <c r="LX153" s="660"/>
      <c r="LY153" s="660"/>
    </row>
    <row r="154" spans="2:337" s="665" customFormat="1" ht="15" customHeight="1" x14ac:dyDescent="0.3">
      <c r="B154" s="749" t="s">
        <v>219</v>
      </c>
      <c r="C154" s="733" t="s">
        <v>215</v>
      </c>
      <c r="D154" s="607">
        <v>24</v>
      </c>
      <c r="E154" s="608">
        <v>532.72</v>
      </c>
      <c r="F154" s="609"/>
      <c r="G154" s="609"/>
      <c r="H154" s="609">
        <f t="shared" si="69"/>
        <v>12785.28</v>
      </c>
      <c r="I154" s="231">
        <v>12785.28</v>
      </c>
      <c r="J154" s="659"/>
      <c r="K154" s="231">
        <f t="shared" si="58"/>
        <v>10345.32</v>
      </c>
      <c r="L154" s="231">
        <f t="shared" si="66"/>
        <v>-2439.9600000000009</v>
      </c>
      <c r="M154" s="728">
        <f t="shared" si="63"/>
        <v>-0.19084134254392557</v>
      </c>
      <c r="N154" s="659"/>
      <c r="O154" s="231">
        <f t="shared" si="70"/>
        <v>3196.32</v>
      </c>
      <c r="P154" s="231">
        <f t="shared" si="70"/>
        <v>3196.32</v>
      </c>
      <c r="Q154" s="231">
        <f t="shared" si="70"/>
        <v>3196.32</v>
      </c>
      <c r="R154" s="231">
        <f t="shared" si="70"/>
        <v>3196.32</v>
      </c>
      <c r="S154" s="660"/>
      <c r="T154" s="231">
        <v>2586.33</v>
      </c>
      <c r="U154" s="231">
        <v>2586.33</v>
      </c>
      <c r="V154" s="231">
        <v>2586.33</v>
      </c>
      <c r="W154" s="231">
        <v>2586.33</v>
      </c>
      <c r="X154" s="660"/>
      <c r="Y154" s="155">
        <f t="shared" si="67"/>
        <v>-609.99000000000024</v>
      </c>
      <c r="Z154" s="155">
        <f t="shared" si="67"/>
        <v>-609.99000000000024</v>
      </c>
      <c r="AA154" s="155">
        <f t="shared" si="67"/>
        <v>-609.99000000000024</v>
      </c>
      <c r="AB154" s="155">
        <f t="shared" si="67"/>
        <v>-609.99000000000024</v>
      </c>
      <c r="AC154" s="225"/>
      <c r="AD154" s="156">
        <f t="shared" si="68"/>
        <v>-0.19084134254392557</v>
      </c>
      <c r="AE154" s="156">
        <f t="shared" si="68"/>
        <v>-0.19084134254392557</v>
      </c>
      <c r="AF154" s="156">
        <f t="shared" si="68"/>
        <v>-0.19084134254392557</v>
      </c>
      <c r="AG154" s="156">
        <f t="shared" si="68"/>
        <v>-0.19084134254392557</v>
      </c>
      <c r="AH154" s="660"/>
      <c r="AI154" s="660"/>
      <c r="AJ154" s="660"/>
      <c r="AK154" s="660"/>
      <c r="AL154" s="660"/>
      <c r="AM154" s="660"/>
      <c r="AN154" s="660"/>
      <c r="AO154" s="660"/>
      <c r="AP154" s="660"/>
      <c r="AQ154" s="660"/>
      <c r="AR154" s="660"/>
      <c r="AS154" s="660"/>
      <c r="AT154" s="660"/>
      <c r="AU154" s="660"/>
      <c r="AV154" s="660"/>
      <c r="AW154" s="660"/>
      <c r="AX154" s="660"/>
      <c r="AY154" s="660"/>
      <c r="AZ154" s="660"/>
      <c r="BA154" s="660"/>
      <c r="BB154" s="660"/>
      <c r="BC154" s="660"/>
      <c r="BD154" s="660"/>
      <c r="BE154" s="660"/>
      <c r="BF154" s="660"/>
      <c r="BG154" s="660"/>
      <c r="BH154" s="660"/>
      <c r="BI154" s="660"/>
      <c r="BJ154" s="660"/>
      <c r="BK154" s="660"/>
      <c r="BL154" s="660"/>
      <c r="BM154" s="660"/>
      <c r="BN154" s="660"/>
      <c r="BO154" s="660"/>
      <c r="BP154" s="660"/>
      <c r="BQ154" s="660"/>
      <c r="BR154" s="660"/>
      <c r="BS154" s="660"/>
      <c r="BT154" s="660"/>
      <c r="BU154" s="660"/>
      <c r="BV154" s="660"/>
      <c r="BW154" s="660"/>
      <c r="BX154" s="660"/>
      <c r="BY154" s="660"/>
      <c r="BZ154" s="660"/>
      <c r="CA154" s="660"/>
      <c r="CB154" s="660"/>
      <c r="CC154" s="660"/>
      <c r="CD154" s="660"/>
      <c r="CE154" s="660"/>
      <c r="CF154" s="660"/>
      <c r="CG154" s="660"/>
      <c r="CH154" s="660"/>
      <c r="CI154" s="660"/>
      <c r="CJ154" s="660"/>
      <c r="CK154" s="660"/>
      <c r="CL154" s="660"/>
      <c r="CM154" s="660"/>
      <c r="CN154" s="660"/>
      <c r="CO154" s="660"/>
      <c r="CP154" s="660"/>
      <c r="CQ154" s="660"/>
      <c r="CR154" s="660"/>
      <c r="CS154" s="660"/>
      <c r="CT154" s="660"/>
      <c r="CU154" s="660"/>
      <c r="CV154" s="660"/>
      <c r="CW154" s="660"/>
      <c r="CX154" s="660"/>
      <c r="CY154" s="660"/>
      <c r="CZ154" s="660"/>
      <c r="DA154" s="660"/>
      <c r="DB154" s="660"/>
      <c r="DC154" s="660"/>
      <c r="DD154" s="660"/>
      <c r="DE154" s="660"/>
      <c r="DF154" s="660"/>
      <c r="DG154" s="660"/>
      <c r="DH154" s="660"/>
      <c r="DI154" s="660"/>
      <c r="DJ154" s="660"/>
      <c r="DK154" s="660"/>
      <c r="DL154" s="660"/>
      <c r="DM154" s="660"/>
      <c r="DN154" s="660"/>
      <c r="DO154" s="660"/>
      <c r="DP154" s="660"/>
      <c r="DQ154" s="660"/>
      <c r="DR154" s="660"/>
      <c r="DS154" s="660"/>
      <c r="DT154" s="660"/>
      <c r="DU154" s="660"/>
      <c r="DV154" s="660"/>
      <c r="DW154" s="660"/>
      <c r="DX154" s="660"/>
      <c r="DY154" s="660"/>
      <c r="DZ154" s="660"/>
      <c r="EA154" s="660"/>
      <c r="EB154" s="660"/>
      <c r="EC154" s="660"/>
      <c r="ED154" s="660"/>
      <c r="EE154" s="660"/>
      <c r="EF154" s="660"/>
      <c r="EG154" s="660"/>
      <c r="EH154" s="660"/>
      <c r="EI154" s="660"/>
      <c r="EJ154" s="660"/>
      <c r="EK154" s="660"/>
      <c r="EL154" s="660"/>
      <c r="EM154" s="660"/>
      <c r="EN154" s="660"/>
      <c r="EO154" s="660"/>
      <c r="EP154" s="660"/>
      <c r="EQ154" s="660"/>
      <c r="ER154" s="660"/>
      <c r="ES154" s="660"/>
      <c r="ET154" s="660"/>
      <c r="EU154" s="660"/>
      <c r="EV154" s="660"/>
      <c r="EW154" s="660"/>
      <c r="EX154" s="660"/>
      <c r="EY154" s="660"/>
      <c r="EZ154" s="660"/>
      <c r="FA154" s="660"/>
      <c r="FB154" s="660"/>
      <c r="FC154" s="660"/>
      <c r="FD154" s="660"/>
      <c r="FE154" s="660"/>
      <c r="FF154" s="660"/>
      <c r="FG154" s="660"/>
      <c r="FH154" s="660"/>
      <c r="FI154" s="660"/>
      <c r="FJ154" s="660"/>
      <c r="FK154" s="660"/>
      <c r="FL154" s="660"/>
      <c r="FM154" s="660"/>
      <c r="FN154" s="660"/>
      <c r="FO154" s="660"/>
      <c r="FP154" s="660"/>
      <c r="FQ154" s="660"/>
      <c r="FR154" s="660"/>
      <c r="FS154" s="660"/>
      <c r="FT154" s="660"/>
      <c r="FU154" s="660"/>
      <c r="FV154" s="660"/>
      <c r="FW154" s="660"/>
      <c r="FX154" s="660"/>
      <c r="FY154" s="660"/>
      <c r="FZ154" s="660"/>
      <c r="GA154" s="660"/>
      <c r="GB154" s="660"/>
      <c r="GC154" s="660"/>
      <c r="GD154" s="660"/>
      <c r="GE154" s="660"/>
      <c r="GF154" s="660"/>
      <c r="GG154" s="660"/>
      <c r="GH154" s="660"/>
      <c r="GI154" s="660"/>
      <c r="GJ154" s="660"/>
      <c r="GK154" s="660"/>
      <c r="GL154" s="660"/>
      <c r="GM154" s="660"/>
      <c r="GN154" s="660"/>
      <c r="GO154" s="660"/>
      <c r="GP154" s="660"/>
      <c r="GQ154" s="660"/>
      <c r="GR154" s="660"/>
      <c r="GS154" s="660"/>
      <c r="GT154" s="660"/>
      <c r="GU154" s="660"/>
      <c r="GV154" s="660"/>
      <c r="GW154" s="660"/>
      <c r="GX154" s="660"/>
      <c r="GY154" s="660"/>
      <c r="GZ154" s="660"/>
      <c r="HA154" s="660"/>
      <c r="HB154" s="660"/>
      <c r="HC154" s="660"/>
      <c r="HD154" s="660"/>
      <c r="HE154" s="660"/>
      <c r="HF154" s="660"/>
      <c r="HG154" s="660"/>
      <c r="HH154" s="660"/>
      <c r="HI154" s="660"/>
      <c r="HJ154" s="660"/>
      <c r="HK154" s="660"/>
      <c r="HL154" s="660"/>
      <c r="HM154" s="660"/>
      <c r="HN154" s="660"/>
      <c r="HO154" s="660"/>
      <c r="HP154" s="660"/>
      <c r="HQ154" s="660"/>
      <c r="HR154" s="660"/>
      <c r="HS154" s="660"/>
      <c r="HT154" s="660"/>
      <c r="HU154" s="660"/>
      <c r="HV154" s="660"/>
      <c r="HW154" s="660"/>
      <c r="HX154" s="660"/>
      <c r="HY154" s="660"/>
      <c r="HZ154" s="660"/>
      <c r="IA154" s="660"/>
      <c r="IB154" s="660"/>
      <c r="IC154" s="660"/>
      <c r="ID154" s="660"/>
      <c r="IE154" s="660"/>
      <c r="IF154" s="660"/>
      <c r="IG154" s="660"/>
      <c r="IH154" s="660"/>
      <c r="II154" s="660"/>
      <c r="IJ154" s="660"/>
      <c r="IK154" s="660"/>
      <c r="IL154" s="660"/>
      <c r="IM154" s="660"/>
      <c r="IN154" s="660"/>
      <c r="IO154" s="660"/>
      <c r="IP154" s="660"/>
      <c r="IQ154" s="660"/>
      <c r="IR154" s="660"/>
      <c r="IS154" s="660"/>
      <c r="IT154" s="660"/>
      <c r="IU154" s="660"/>
      <c r="IV154" s="660"/>
      <c r="IW154" s="660"/>
      <c r="IX154" s="660"/>
      <c r="IY154" s="660"/>
      <c r="IZ154" s="660"/>
      <c r="JA154" s="660"/>
      <c r="JB154" s="660"/>
      <c r="JC154" s="660"/>
      <c r="JD154" s="660"/>
      <c r="JE154" s="660"/>
      <c r="JF154" s="660"/>
      <c r="JG154" s="660"/>
      <c r="JH154" s="660"/>
      <c r="JI154" s="660"/>
      <c r="JJ154" s="660"/>
      <c r="JK154" s="660"/>
      <c r="JL154" s="660"/>
      <c r="JM154" s="660"/>
      <c r="JN154" s="660"/>
      <c r="JO154" s="660"/>
      <c r="JP154" s="660"/>
      <c r="JQ154" s="660"/>
      <c r="JR154" s="660"/>
      <c r="JS154" s="660"/>
      <c r="JT154" s="660"/>
      <c r="JU154" s="660"/>
      <c r="JV154" s="660"/>
      <c r="JW154" s="660"/>
      <c r="JX154" s="660"/>
      <c r="JY154" s="660"/>
      <c r="JZ154" s="660"/>
      <c r="KA154" s="660"/>
      <c r="KB154" s="660"/>
      <c r="KC154" s="660"/>
      <c r="KD154" s="660"/>
      <c r="KE154" s="660"/>
      <c r="KF154" s="660"/>
      <c r="KG154" s="660"/>
      <c r="KH154" s="660"/>
      <c r="KI154" s="660"/>
      <c r="KJ154" s="660"/>
      <c r="KK154" s="660"/>
      <c r="KL154" s="660"/>
      <c r="KM154" s="660"/>
      <c r="KN154" s="660"/>
      <c r="KO154" s="660"/>
      <c r="KP154" s="660"/>
      <c r="KQ154" s="660"/>
      <c r="KR154" s="660"/>
      <c r="KS154" s="660"/>
      <c r="KT154" s="660"/>
      <c r="KU154" s="660"/>
      <c r="KV154" s="660"/>
      <c r="KW154" s="660"/>
      <c r="KX154" s="660"/>
      <c r="KY154" s="660"/>
      <c r="KZ154" s="660"/>
      <c r="LA154" s="660"/>
      <c r="LB154" s="660"/>
      <c r="LC154" s="660"/>
      <c r="LD154" s="660"/>
      <c r="LE154" s="660"/>
      <c r="LF154" s="660"/>
      <c r="LG154" s="660"/>
      <c r="LH154" s="660"/>
      <c r="LI154" s="660"/>
      <c r="LJ154" s="660"/>
      <c r="LK154" s="660"/>
      <c r="LL154" s="660"/>
      <c r="LM154" s="660"/>
      <c r="LN154" s="660"/>
      <c r="LO154" s="660"/>
      <c r="LP154" s="660"/>
      <c r="LQ154" s="660"/>
      <c r="LR154" s="660"/>
      <c r="LS154" s="660"/>
      <c r="LT154" s="660"/>
      <c r="LU154" s="660"/>
      <c r="LV154" s="660"/>
      <c r="LW154" s="660"/>
      <c r="LX154" s="660"/>
      <c r="LY154" s="660"/>
    </row>
    <row r="155" spans="2:337" s="665" customFormat="1" ht="15" customHeight="1" x14ac:dyDescent="0.3">
      <c r="B155" s="749" t="s">
        <v>220</v>
      </c>
      <c r="C155" s="733" t="s">
        <v>215</v>
      </c>
      <c r="D155" s="607">
        <v>24</v>
      </c>
      <c r="E155" s="608">
        <v>146.65</v>
      </c>
      <c r="F155" s="609"/>
      <c r="G155" s="609"/>
      <c r="H155" s="609">
        <f t="shared" si="69"/>
        <v>3519.6000000000004</v>
      </c>
      <c r="I155" s="231">
        <v>3519.6000000000004</v>
      </c>
      <c r="J155" s="659"/>
      <c r="K155" s="231">
        <f t="shared" si="58"/>
        <v>4062.06</v>
      </c>
      <c r="L155" s="231">
        <f t="shared" si="66"/>
        <v>542.45999999999958</v>
      </c>
      <c r="M155" s="728">
        <f t="shared" si="63"/>
        <v>0.15412546880327296</v>
      </c>
      <c r="N155" s="659"/>
      <c r="O155" s="231">
        <f t="shared" si="70"/>
        <v>879.90000000000009</v>
      </c>
      <c r="P155" s="231">
        <f t="shared" si="70"/>
        <v>879.90000000000009</v>
      </c>
      <c r="Q155" s="231">
        <f t="shared" si="70"/>
        <v>879.90000000000009</v>
      </c>
      <c r="R155" s="231">
        <f t="shared" si="70"/>
        <v>879.90000000000009</v>
      </c>
      <c r="S155" s="660"/>
      <c r="T155" s="231">
        <v>1015.515</v>
      </c>
      <c r="U155" s="231">
        <v>1015.515</v>
      </c>
      <c r="V155" s="231">
        <v>1015.515</v>
      </c>
      <c r="W155" s="231">
        <v>1015.515</v>
      </c>
      <c r="X155" s="660"/>
      <c r="Y155" s="155">
        <f t="shared" si="67"/>
        <v>135.6149999999999</v>
      </c>
      <c r="Z155" s="155">
        <f t="shared" si="67"/>
        <v>135.6149999999999</v>
      </c>
      <c r="AA155" s="155">
        <f t="shared" si="67"/>
        <v>135.6149999999999</v>
      </c>
      <c r="AB155" s="155">
        <f t="shared" si="67"/>
        <v>135.6149999999999</v>
      </c>
      <c r="AC155" s="225"/>
      <c r="AD155" s="156">
        <f t="shared" si="68"/>
        <v>0.15412546880327296</v>
      </c>
      <c r="AE155" s="156">
        <f t="shared" si="68"/>
        <v>0.15412546880327296</v>
      </c>
      <c r="AF155" s="156">
        <f t="shared" si="68"/>
        <v>0.15412546880327296</v>
      </c>
      <c r="AG155" s="156">
        <f t="shared" si="68"/>
        <v>0.15412546880327296</v>
      </c>
      <c r="AH155" s="660"/>
      <c r="AI155" s="660"/>
      <c r="AJ155" s="660"/>
      <c r="AK155" s="660"/>
      <c r="AL155" s="660"/>
      <c r="AM155" s="660"/>
      <c r="AN155" s="660"/>
      <c r="AO155" s="660"/>
      <c r="AP155" s="660"/>
      <c r="AQ155" s="660"/>
      <c r="AR155" s="660"/>
      <c r="AS155" s="660"/>
      <c r="AT155" s="660"/>
      <c r="AU155" s="660"/>
      <c r="AV155" s="660"/>
      <c r="AW155" s="660"/>
      <c r="AX155" s="660"/>
      <c r="AY155" s="660"/>
      <c r="AZ155" s="660"/>
      <c r="BA155" s="660"/>
      <c r="BB155" s="660"/>
      <c r="BC155" s="660"/>
      <c r="BD155" s="660"/>
      <c r="BE155" s="660"/>
      <c r="BF155" s="660"/>
      <c r="BG155" s="660"/>
      <c r="BH155" s="660"/>
      <c r="BI155" s="660"/>
      <c r="BJ155" s="660"/>
      <c r="BK155" s="660"/>
      <c r="BL155" s="660"/>
      <c r="BM155" s="660"/>
      <c r="BN155" s="660"/>
      <c r="BO155" s="660"/>
      <c r="BP155" s="660"/>
      <c r="BQ155" s="660"/>
      <c r="BR155" s="660"/>
      <c r="BS155" s="660"/>
      <c r="BT155" s="660"/>
      <c r="BU155" s="660"/>
      <c r="BV155" s="660"/>
      <c r="BW155" s="660"/>
      <c r="BX155" s="660"/>
      <c r="BY155" s="660"/>
      <c r="BZ155" s="660"/>
      <c r="CA155" s="660"/>
      <c r="CB155" s="660"/>
      <c r="CC155" s="660"/>
      <c r="CD155" s="660"/>
      <c r="CE155" s="660"/>
      <c r="CF155" s="660"/>
      <c r="CG155" s="660"/>
      <c r="CH155" s="660"/>
      <c r="CI155" s="660"/>
      <c r="CJ155" s="660"/>
      <c r="CK155" s="660"/>
      <c r="CL155" s="660"/>
      <c r="CM155" s="660"/>
      <c r="CN155" s="660"/>
      <c r="CO155" s="660"/>
      <c r="CP155" s="660"/>
      <c r="CQ155" s="660"/>
      <c r="CR155" s="660"/>
      <c r="CS155" s="660"/>
      <c r="CT155" s="660"/>
      <c r="CU155" s="660"/>
      <c r="CV155" s="660"/>
      <c r="CW155" s="660"/>
      <c r="CX155" s="660"/>
      <c r="CY155" s="660"/>
      <c r="CZ155" s="660"/>
      <c r="DA155" s="660"/>
      <c r="DB155" s="660"/>
      <c r="DC155" s="660"/>
      <c r="DD155" s="660"/>
      <c r="DE155" s="660"/>
      <c r="DF155" s="660"/>
      <c r="DG155" s="660"/>
      <c r="DH155" s="660"/>
      <c r="DI155" s="660"/>
      <c r="DJ155" s="660"/>
      <c r="DK155" s="660"/>
      <c r="DL155" s="660"/>
      <c r="DM155" s="660"/>
      <c r="DN155" s="660"/>
      <c r="DO155" s="660"/>
      <c r="DP155" s="660"/>
      <c r="DQ155" s="660"/>
      <c r="DR155" s="660"/>
      <c r="DS155" s="660"/>
      <c r="DT155" s="660"/>
      <c r="DU155" s="660"/>
      <c r="DV155" s="660"/>
      <c r="DW155" s="660"/>
      <c r="DX155" s="660"/>
      <c r="DY155" s="660"/>
      <c r="DZ155" s="660"/>
      <c r="EA155" s="660"/>
      <c r="EB155" s="660"/>
      <c r="EC155" s="660"/>
      <c r="ED155" s="660"/>
      <c r="EE155" s="660"/>
      <c r="EF155" s="660"/>
      <c r="EG155" s="660"/>
      <c r="EH155" s="660"/>
      <c r="EI155" s="660"/>
      <c r="EJ155" s="660"/>
      <c r="EK155" s="660"/>
      <c r="EL155" s="660"/>
      <c r="EM155" s="660"/>
      <c r="EN155" s="660"/>
      <c r="EO155" s="660"/>
      <c r="EP155" s="660"/>
      <c r="EQ155" s="660"/>
      <c r="ER155" s="660"/>
      <c r="ES155" s="660"/>
      <c r="ET155" s="660"/>
      <c r="EU155" s="660"/>
      <c r="EV155" s="660"/>
      <c r="EW155" s="660"/>
      <c r="EX155" s="660"/>
      <c r="EY155" s="660"/>
      <c r="EZ155" s="660"/>
      <c r="FA155" s="660"/>
      <c r="FB155" s="660"/>
      <c r="FC155" s="660"/>
      <c r="FD155" s="660"/>
      <c r="FE155" s="660"/>
      <c r="FF155" s="660"/>
      <c r="FG155" s="660"/>
      <c r="FH155" s="660"/>
      <c r="FI155" s="660"/>
      <c r="FJ155" s="660"/>
      <c r="FK155" s="660"/>
      <c r="FL155" s="660"/>
      <c r="FM155" s="660"/>
      <c r="FN155" s="660"/>
      <c r="FO155" s="660"/>
      <c r="FP155" s="660"/>
      <c r="FQ155" s="660"/>
      <c r="FR155" s="660"/>
      <c r="FS155" s="660"/>
      <c r="FT155" s="660"/>
      <c r="FU155" s="660"/>
      <c r="FV155" s="660"/>
      <c r="FW155" s="660"/>
      <c r="FX155" s="660"/>
      <c r="FY155" s="660"/>
      <c r="FZ155" s="660"/>
      <c r="GA155" s="660"/>
      <c r="GB155" s="660"/>
      <c r="GC155" s="660"/>
      <c r="GD155" s="660"/>
      <c r="GE155" s="660"/>
      <c r="GF155" s="660"/>
      <c r="GG155" s="660"/>
      <c r="GH155" s="660"/>
      <c r="GI155" s="660"/>
      <c r="GJ155" s="660"/>
      <c r="GK155" s="660"/>
      <c r="GL155" s="660"/>
      <c r="GM155" s="660"/>
      <c r="GN155" s="660"/>
      <c r="GO155" s="660"/>
      <c r="GP155" s="660"/>
      <c r="GQ155" s="660"/>
      <c r="GR155" s="660"/>
      <c r="GS155" s="660"/>
      <c r="GT155" s="660"/>
      <c r="GU155" s="660"/>
      <c r="GV155" s="660"/>
      <c r="GW155" s="660"/>
      <c r="GX155" s="660"/>
      <c r="GY155" s="660"/>
      <c r="GZ155" s="660"/>
      <c r="HA155" s="660"/>
      <c r="HB155" s="660"/>
      <c r="HC155" s="660"/>
      <c r="HD155" s="660"/>
      <c r="HE155" s="660"/>
      <c r="HF155" s="660"/>
      <c r="HG155" s="660"/>
      <c r="HH155" s="660"/>
      <c r="HI155" s="660"/>
      <c r="HJ155" s="660"/>
      <c r="HK155" s="660"/>
      <c r="HL155" s="660"/>
      <c r="HM155" s="660"/>
      <c r="HN155" s="660"/>
      <c r="HO155" s="660"/>
      <c r="HP155" s="660"/>
      <c r="HQ155" s="660"/>
      <c r="HR155" s="660"/>
      <c r="HS155" s="660"/>
      <c r="HT155" s="660"/>
      <c r="HU155" s="660"/>
      <c r="HV155" s="660"/>
      <c r="HW155" s="660"/>
      <c r="HX155" s="660"/>
      <c r="HY155" s="660"/>
      <c r="HZ155" s="660"/>
      <c r="IA155" s="660"/>
      <c r="IB155" s="660"/>
      <c r="IC155" s="660"/>
      <c r="ID155" s="660"/>
      <c r="IE155" s="660"/>
      <c r="IF155" s="660"/>
      <c r="IG155" s="660"/>
      <c r="IH155" s="660"/>
      <c r="II155" s="660"/>
      <c r="IJ155" s="660"/>
      <c r="IK155" s="660"/>
      <c r="IL155" s="660"/>
      <c r="IM155" s="660"/>
      <c r="IN155" s="660"/>
      <c r="IO155" s="660"/>
      <c r="IP155" s="660"/>
      <c r="IQ155" s="660"/>
      <c r="IR155" s="660"/>
      <c r="IS155" s="660"/>
      <c r="IT155" s="660"/>
      <c r="IU155" s="660"/>
      <c r="IV155" s="660"/>
      <c r="IW155" s="660"/>
      <c r="IX155" s="660"/>
      <c r="IY155" s="660"/>
      <c r="IZ155" s="660"/>
      <c r="JA155" s="660"/>
      <c r="JB155" s="660"/>
      <c r="JC155" s="660"/>
      <c r="JD155" s="660"/>
      <c r="JE155" s="660"/>
      <c r="JF155" s="660"/>
      <c r="JG155" s="660"/>
      <c r="JH155" s="660"/>
      <c r="JI155" s="660"/>
      <c r="JJ155" s="660"/>
      <c r="JK155" s="660"/>
      <c r="JL155" s="660"/>
      <c r="JM155" s="660"/>
      <c r="JN155" s="660"/>
      <c r="JO155" s="660"/>
      <c r="JP155" s="660"/>
      <c r="JQ155" s="660"/>
      <c r="JR155" s="660"/>
      <c r="JS155" s="660"/>
      <c r="JT155" s="660"/>
      <c r="JU155" s="660"/>
      <c r="JV155" s="660"/>
      <c r="JW155" s="660"/>
      <c r="JX155" s="660"/>
      <c r="JY155" s="660"/>
      <c r="JZ155" s="660"/>
      <c r="KA155" s="660"/>
      <c r="KB155" s="660"/>
      <c r="KC155" s="660"/>
      <c r="KD155" s="660"/>
      <c r="KE155" s="660"/>
      <c r="KF155" s="660"/>
      <c r="KG155" s="660"/>
      <c r="KH155" s="660"/>
      <c r="KI155" s="660"/>
      <c r="KJ155" s="660"/>
      <c r="KK155" s="660"/>
      <c r="KL155" s="660"/>
      <c r="KM155" s="660"/>
      <c r="KN155" s="660"/>
      <c r="KO155" s="660"/>
      <c r="KP155" s="660"/>
      <c r="KQ155" s="660"/>
      <c r="KR155" s="660"/>
      <c r="KS155" s="660"/>
      <c r="KT155" s="660"/>
      <c r="KU155" s="660"/>
      <c r="KV155" s="660"/>
      <c r="KW155" s="660"/>
      <c r="KX155" s="660"/>
      <c r="KY155" s="660"/>
      <c r="KZ155" s="660"/>
      <c r="LA155" s="660"/>
      <c r="LB155" s="660"/>
      <c r="LC155" s="660"/>
      <c r="LD155" s="660"/>
      <c r="LE155" s="660"/>
      <c r="LF155" s="660"/>
      <c r="LG155" s="660"/>
      <c r="LH155" s="660"/>
      <c r="LI155" s="660"/>
      <c r="LJ155" s="660"/>
      <c r="LK155" s="660"/>
      <c r="LL155" s="660"/>
      <c r="LM155" s="660"/>
      <c r="LN155" s="660"/>
      <c r="LO155" s="660"/>
      <c r="LP155" s="660"/>
      <c r="LQ155" s="660"/>
      <c r="LR155" s="660"/>
      <c r="LS155" s="660"/>
      <c r="LT155" s="660"/>
      <c r="LU155" s="660"/>
      <c r="LV155" s="660"/>
      <c r="LW155" s="660"/>
      <c r="LX155" s="660"/>
      <c r="LY155" s="660"/>
    </row>
    <row r="156" spans="2:337" s="665" customFormat="1" ht="15" customHeight="1" x14ac:dyDescent="0.3">
      <c r="B156" s="749" t="s">
        <v>221</v>
      </c>
      <c r="C156" s="733" t="s">
        <v>215</v>
      </c>
      <c r="D156" s="607">
        <v>24</v>
      </c>
      <c r="E156" s="608">
        <v>193.28</v>
      </c>
      <c r="F156" s="609"/>
      <c r="G156" s="609"/>
      <c r="H156" s="609">
        <f t="shared" si="69"/>
        <v>4638.72</v>
      </c>
      <c r="I156" s="231">
        <v>4638.72</v>
      </c>
      <c r="J156" s="659"/>
      <c r="K156" s="231">
        <f t="shared" si="58"/>
        <v>1484.3</v>
      </c>
      <c r="L156" s="231">
        <f t="shared" si="66"/>
        <v>-3154.42</v>
      </c>
      <c r="M156" s="728">
        <f t="shared" si="63"/>
        <v>-0.68001948813465785</v>
      </c>
      <c r="N156" s="659"/>
      <c r="O156" s="231">
        <f t="shared" si="70"/>
        <v>1159.68</v>
      </c>
      <c r="P156" s="231">
        <f t="shared" si="70"/>
        <v>1159.68</v>
      </c>
      <c r="Q156" s="231">
        <f t="shared" si="70"/>
        <v>1159.68</v>
      </c>
      <c r="R156" s="231">
        <f t="shared" si="70"/>
        <v>1159.68</v>
      </c>
      <c r="S156" s="660"/>
      <c r="T156" s="231">
        <v>371.07499999999999</v>
      </c>
      <c r="U156" s="231">
        <v>371.07499999999999</v>
      </c>
      <c r="V156" s="231">
        <v>371.07499999999999</v>
      </c>
      <c r="W156" s="231">
        <v>371.07499999999999</v>
      </c>
      <c r="X156" s="660"/>
      <c r="Y156" s="155">
        <f t="shared" si="67"/>
        <v>-788.60500000000002</v>
      </c>
      <c r="Z156" s="155">
        <f t="shared" si="67"/>
        <v>-788.60500000000002</v>
      </c>
      <c r="AA156" s="155">
        <f t="shared" si="67"/>
        <v>-788.60500000000002</v>
      </c>
      <c r="AB156" s="155">
        <f t="shared" si="67"/>
        <v>-788.60500000000002</v>
      </c>
      <c r="AC156" s="225"/>
      <c r="AD156" s="156">
        <f t="shared" si="68"/>
        <v>-0.68001948813465785</v>
      </c>
      <c r="AE156" s="156">
        <f t="shared" si="68"/>
        <v>-0.68001948813465785</v>
      </c>
      <c r="AF156" s="156">
        <f t="shared" si="68"/>
        <v>-0.68001948813465785</v>
      </c>
      <c r="AG156" s="156">
        <f t="shared" si="68"/>
        <v>-0.68001948813465785</v>
      </c>
      <c r="AH156" s="660"/>
      <c r="AI156" s="660"/>
      <c r="AJ156" s="660"/>
      <c r="AK156" s="660"/>
      <c r="AL156" s="660"/>
      <c r="AM156" s="660"/>
      <c r="AN156" s="660"/>
      <c r="AO156" s="660"/>
      <c r="AP156" s="660"/>
      <c r="AQ156" s="660"/>
      <c r="AR156" s="660"/>
      <c r="AS156" s="660"/>
      <c r="AT156" s="660"/>
      <c r="AU156" s="660"/>
      <c r="AV156" s="660"/>
      <c r="AW156" s="660"/>
      <c r="AX156" s="660"/>
      <c r="AY156" s="660"/>
      <c r="AZ156" s="660"/>
      <c r="BA156" s="660"/>
      <c r="BB156" s="660"/>
      <c r="BC156" s="660"/>
      <c r="BD156" s="660"/>
      <c r="BE156" s="660"/>
      <c r="BF156" s="660"/>
      <c r="BG156" s="660"/>
      <c r="BH156" s="660"/>
      <c r="BI156" s="660"/>
      <c r="BJ156" s="660"/>
      <c r="BK156" s="660"/>
      <c r="BL156" s="660"/>
      <c r="BM156" s="660"/>
      <c r="BN156" s="660"/>
      <c r="BO156" s="660"/>
      <c r="BP156" s="660"/>
      <c r="BQ156" s="660"/>
      <c r="BR156" s="660"/>
      <c r="BS156" s="660"/>
      <c r="BT156" s="660"/>
      <c r="BU156" s="660"/>
      <c r="BV156" s="660"/>
      <c r="BW156" s="660"/>
      <c r="BX156" s="660"/>
      <c r="BY156" s="660"/>
      <c r="BZ156" s="660"/>
      <c r="CA156" s="660"/>
      <c r="CB156" s="660"/>
      <c r="CC156" s="660"/>
      <c r="CD156" s="660"/>
      <c r="CE156" s="660"/>
      <c r="CF156" s="660"/>
      <c r="CG156" s="660"/>
      <c r="CH156" s="660"/>
      <c r="CI156" s="660"/>
      <c r="CJ156" s="660"/>
      <c r="CK156" s="660"/>
      <c r="CL156" s="660"/>
      <c r="CM156" s="660"/>
      <c r="CN156" s="660"/>
      <c r="CO156" s="660"/>
      <c r="CP156" s="660"/>
      <c r="CQ156" s="660"/>
      <c r="CR156" s="660"/>
      <c r="CS156" s="660"/>
      <c r="CT156" s="660"/>
      <c r="CU156" s="660"/>
      <c r="CV156" s="660"/>
      <c r="CW156" s="660"/>
      <c r="CX156" s="660"/>
      <c r="CY156" s="660"/>
      <c r="CZ156" s="660"/>
      <c r="DA156" s="660"/>
      <c r="DB156" s="660"/>
      <c r="DC156" s="660"/>
      <c r="DD156" s="660"/>
      <c r="DE156" s="660"/>
      <c r="DF156" s="660"/>
      <c r="DG156" s="660"/>
      <c r="DH156" s="660"/>
      <c r="DI156" s="660"/>
      <c r="DJ156" s="660"/>
      <c r="DK156" s="660"/>
      <c r="DL156" s="660"/>
      <c r="DM156" s="660"/>
      <c r="DN156" s="660"/>
      <c r="DO156" s="660"/>
      <c r="DP156" s="660"/>
      <c r="DQ156" s="660"/>
      <c r="DR156" s="660"/>
      <c r="DS156" s="660"/>
      <c r="DT156" s="660"/>
      <c r="DU156" s="660"/>
      <c r="DV156" s="660"/>
      <c r="DW156" s="660"/>
      <c r="DX156" s="660"/>
      <c r="DY156" s="660"/>
      <c r="DZ156" s="660"/>
      <c r="EA156" s="660"/>
      <c r="EB156" s="660"/>
      <c r="EC156" s="660"/>
      <c r="ED156" s="660"/>
      <c r="EE156" s="660"/>
      <c r="EF156" s="660"/>
      <c r="EG156" s="660"/>
      <c r="EH156" s="660"/>
      <c r="EI156" s="660"/>
      <c r="EJ156" s="660"/>
      <c r="EK156" s="660"/>
      <c r="EL156" s="660"/>
      <c r="EM156" s="660"/>
      <c r="EN156" s="660"/>
      <c r="EO156" s="660"/>
      <c r="EP156" s="660"/>
      <c r="EQ156" s="660"/>
      <c r="ER156" s="660"/>
      <c r="ES156" s="660"/>
      <c r="ET156" s="660"/>
      <c r="EU156" s="660"/>
      <c r="EV156" s="660"/>
      <c r="EW156" s="660"/>
      <c r="EX156" s="660"/>
      <c r="EY156" s="660"/>
      <c r="EZ156" s="660"/>
      <c r="FA156" s="660"/>
      <c r="FB156" s="660"/>
      <c r="FC156" s="660"/>
      <c r="FD156" s="660"/>
      <c r="FE156" s="660"/>
      <c r="FF156" s="660"/>
      <c r="FG156" s="660"/>
      <c r="FH156" s="660"/>
      <c r="FI156" s="660"/>
      <c r="FJ156" s="660"/>
      <c r="FK156" s="660"/>
      <c r="FL156" s="660"/>
      <c r="FM156" s="660"/>
      <c r="FN156" s="660"/>
      <c r="FO156" s="660"/>
      <c r="FP156" s="660"/>
      <c r="FQ156" s="660"/>
      <c r="FR156" s="660"/>
      <c r="FS156" s="660"/>
      <c r="FT156" s="660"/>
      <c r="FU156" s="660"/>
      <c r="FV156" s="660"/>
      <c r="FW156" s="660"/>
      <c r="FX156" s="660"/>
      <c r="FY156" s="660"/>
      <c r="FZ156" s="660"/>
      <c r="GA156" s="660"/>
      <c r="GB156" s="660"/>
      <c r="GC156" s="660"/>
      <c r="GD156" s="660"/>
      <c r="GE156" s="660"/>
      <c r="GF156" s="660"/>
      <c r="GG156" s="660"/>
      <c r="GH156" s="660"/>
      <c r="GI156" s="660"/>
      <c r="GJ156" s="660"/>
      <c r="GK156" s="660"/>
      <c r="GL156" s="660"/>
      <c r="GM156" s="660"/>
      <c r="GN156" s="660"/>
      <c r="GO156" s="660"/>
      <c r="GP156" s="660"/>
      <c r="GQ156" s="660"/>
      <c r="GR156" s="660"/>
      <c r="GS156" s="660"/>
      <c r="GT156" s="660"/>
      <c r="GU156" s="660"/>
      <c r="GV156" s="660"/>
      <c r="GW156" s="660"/>
      <c r="GX156" s="660"/>
      <c r="GY156" s="660"/>
      <c r="GZ156" s="660"/>
      <c r="HA156" s="660"/>
      <c r="HB156" s="660"/>
      <c r="HC156" s="660"/>
      <c r="HD156" s="660"/>
      <c r="HE156" s="660"/>
      <c r="HF156" s="660"/>
      <c r="HG156" s="660"/>
      <c r="HH156" s="660"/>
      <c r="HI156" s="660"/>
      <c r="HJ156" s="660"/>
      <c r="HK156" s="660"/>
      <c r="HL156" s="660"/>
      <c r="HM156" s="660"/>
      <c r="HN156" s="660"/>
      <c r="HO156" s="660"/>
      <c r="HP156" s="660"/>
      <c r="HQ156" s="660"/>
      <c r="HR156" s="660"/>
      <c r="HS156" s="660"/>
      <c r="HT156" s="660"/>
      <c r="HU156" s="660"/>
      <c r="HV156" s="660"/>
      <c r="HW156" s="660"/>
      <c r="HX156" s="660"/>
      <c r="HY156" s="660"/>
      <c r="HZ156" s="660"/>
      <c r="IA156" s="660"/>
      <c r="IB156" s="660"/>
      <c r="IC156" s="660"/>
      <c r="ID156" s="660"/>
      <c r="IE156" s="660"/>
      <c r="IF156" s="660"/>
      <c r="IG156" s="660"/>
      <c r="IH156" s="660"/>
      <c r="II156" s="660"/>
      <c r="IJ156" s="660"/>
      <c r="IK156" s="660"/>
      <c r="IL156" s="660"/>
      <c r="IM156" s="660"/>
      <c r="IN156" s="660"/>
      <c r="IO156" s="660"/>
      <c r="IP156" s="660"/>
      <c r="IQ156" s="660"/>
      <c r="IR156" s="660"/>
      <c r="IS156" s="660"/>
      <c r="IT156" s="660"/>
      <c r="IU156" s="660"/>
      <c r="IV156" s="660"/>
      <c r="IW156" s="660"/>
      <c r="IX156" s="660"/>
      <c r="IY156" s="660"/>
      <c r="IZ156" s="660"/>
      <c r="JA156" s="660"/>
      <c r="JB156" s="660"/>
      <c r="JC156" s="660"/>
      <c r="JD156" s="660"/>
      <c r="JE156" s="660"/>
      <c r="JF156" s="660"/>
      <c r="JG156" s="660"/>
      <c r="JH156" s="660"/>
      <c r="JI156" s="660"/>
      <c r="JJ156" s="660"/>
      <c r="JK156" s="660"/>
      <c r="JL156" s="660"/>
      <c r="JM156" s="660"/>
      <c r="JN156" s="660"/>
      <c r="JO156" s="660"/>
      <c r="JP156" s="660"/>
      <c r="JQ156" s="660"/>
      <c r="JR156" s="660"/>
      <c r="JS156" s="660"/>
      <c r="JT156" s="660"/>
      <c r="JU156" s="660"/>
      <c r="JV156" s="660"/>
      <c r="JW156" s="660"/>
      <c r="JX156" s="660"/>
      <c r="JY156" s="660"/>
      <c r="JZ156" s="660"/>
      <c r="KA156" s="660"/>
      <c r="KB156" s="660"/>
      <c r="KC156" s="660"/>
      <c r="KD156" s="660"/>
      <c r="KE156" s="660"/>
      <c r="KF156" s="660"/>
      <c r="KG156" s="660"/>
      <c r="KH156" s="660"/>
      <c r="KI156" s="660"/>
      <c r="KJ156" s="660"/>
      <c r="KK156" s="660"/>
      <c r="KL156" s="660"/>
      <c r="KM156" s="660"/>
      <c r="KN156" s="660"/>
      <c r="KO156" s="660"/>
      <c r="KP156" s="660"/>
      <c r="KQ156" s="660"/>
      <c r="KR156" s="660"/>
      <c r="KS156" s="660"/>
      <c r="KT156" s="660"/>
      <c r="KU156" s="660"/>
      <c r="KV156" s="660"/>
      <c r="KW156" s="660"/>
      <c r="KX156" s="660"/>
      <c r="KY156" s="660"/>
      <c r="KZ156" s="660"/>
      <c r="LA156" s="660"/>
      <c r="LB156" s="660"/>
      <c r="LC156" s="660"/>
      <c r="LD156" s="660"/>
      <c r="LE156" s="660"/>
      <c r="LF156" s="660"/>
      <c r="LG156" s="660"/>
      <c r="LH156" s="660"/>
      <c r="LI156" s="660"/>
      <c r="LJ156" s="660"/>
      <c r="LK156" s="660"/>
      <c r="LL156" s="660"/>
      <c r="LM156" s="660"/>
      <c r="LN156" s="660"/>
      <c r="LO156" s="660"/>
      <c r="LP156" s="660"/>
      <c r="LQ156" s="660"/>
      <c r="LR156" s="660"/>
      <c r="LS156" s="660"/>
      <c r="LT156" s="660"/>
      <c r="LU156" s="660"/>
      <c r="LV156" s="660"/>
      <c r="LW156" s="660"/>
      <c r="LX156" s="660"/>
      <c r="LY156" s="660"/>
    </row>
    <row r="157" spans="2:337" s="665" customFormat="1" ht="15" customHeight="1" x14ac:dyDescent="0.3">
      <c r="B157" s="749" t="s">
        <v>222</v>
      </c>
      <c r="C157" s="733" t="s">
        <v>215</v>
      </c>
      <c r="D157" s="607">
        <v>24</v>
      </c>
      <c r="E157" s="608">
        <v>358.01</v>
      </c>
      <c r="F157" s="609"/>
      <c r="G157" s="609"/>
      <c r="H157" s="609">
        <f t="shared" si="69"/>
        <v>8592.24</v>
      </c>
      <c r="I157" s="231">
        <v>8592.24</v>
      </c>
      <c r="J157" s="659"/>
      <c r="K157" s="231">
        <f t="shared" si="58"/>
        <v>8330.619999999999</v>
      </c>
      <c r="L157" s="231">
        <f t="shared" si="66"/>
        <v>-261.6200000000008</v>
      </c>
      <c r="M157" s="728">
        <f t="shared" si="63"/>
        <v>-3.0448404606947758E-2</v>
      </c>
      <c r="N157" s="659"/>
      <c r="O157" s="231">
        <f t="shared" si="70"/>
        <v>2148.06</v>
      </c>
      <c r="P157" s="231">
        <f t="shared" si="70"/>
        <v>2148.06</v>
      </c>
      <c r="Q157" s="231">
        <f t="shared" si="70"/>
        <v>2148.06</v>
      </c>
      <c r="R157" s="231">
        <f t="shared" si="70"/>
        <v>2148.06</v>
      </c>
      <c r="S157" s="660"/>
      <c r="T157" s="231">
        <v>2082.6549999999997</v>
      </c>
      <c r="U157" s="231">
        <v>2082.6549999999997</v>
      </c>
      <c r="V157" s="231">
        <v>2082.6549999999997</v>
      </c>
      <c r="W157" s="231">
        <v>2082.6549999999997</v>
      </c>
      <c r="X157" s="660"/>
      <c r="Y157" s="155">
        <f t="shared" si="67"/>
        <v>-65.4050000000002</v>
      </c>
      <c r="Z157" s="155">
        <f t="shared" si="67"/>
        <v>-65.4050000000002</v>
      </c>
      <c r="AA157" s="155">
        <f t="shared" si="67"/>
        <v>-65.4050000000002</v>
      </c>
      <c r="AB157" s="155">
        <f t="shared" si="67"/>
        <v>-65.4050000000002</v>
      </c>
      <c r="AC157" s="225"/>
      <c r="AD157" s="156">
        <f t="shared" si="68"/>
        <v>-3.0448404606947758E-2</v>
      </c>
      <c r="AE157" s="156">
        <f t="shared" si="68"/>
        <v>-3.0448404606947758E-2</v>
      </c>
      <c r="AF157" s="156">
        <f t="shared" si="68"/>
        <v>-3.0448404606947758E-2</v>
      </c>
      <c r="AG157" s="156">
        <f t="shared" si="68"/>
        <v>-3.0448404606947758E-2</v>
      </c>
      <c r="AH157" s="660"/>
      <c r="AI157" s="660"/>
      <c r="AJ157" s="660"/>
      <c r="AK157" s="660"/>
      <c r="AL157" s="660"/>
      <c r="AM157" s="660"/>
      <c r="AN157" s="660"/>
      <c r="AO157" s="660"/>
      <c r="AP157" s="660"/>
      <c r="AQ157" s="660"/>
      <c r="AR157" s="660"/>
      <c r="AS157" s="660"/>
      <c r="AT157" s="660"/>
      <c r="AU157" s="660"/>
      <c r="AV157" s="660"/>
      <c r="AW157" s="660"/>
      <c r="AX157" s="660"/>
      <c r="AY157" s="660"/>
      <c r="AZ157" s="660"/>
      <c r="BA157" s="660"/>
      <c r="BB157" s="660"/>
      <c r="BC157" s="660"/>
      <c r="BD157" s="660"/>
      <c r="BE157" s="660"/>
      <c r="BF157" s="660"/>
      <c r="BG157" s="660"/>
      <c r="BH157" s="660"/>
      <c r="BI157" s="660"/>
      <c r="BJ157" s="660"/>
      <c r="BK157" s="660"/>
      <c r="BL157" s="660"/>
      <c r="BM157" s="660"/>
      <c r="BN157" s="660"/>
      <c r="BO157" s="660"/>
      <c r="BP157" s="660"/>
      <c r="BQ157" s="660"/>
      <c r="BR157" s="660"/>
      <c r="BS157" s="660"/>
      <c r="BT157" s="660"/>
      <c r="BU157" s="660"/>
      <c r="BV157" s="660"/>
      <c r="BW157" s="660"/>
      <c r="BX157" s="660"/>
      <c r="BY157" s="660"/>
      <c r="BZ157" s="660"/>
      <c r="CA157" s="660"/>
      <c r="CB157" s="660"/>
      <c r="CC157" s="660"/>
      <c r="CD157" s="660"/>
      <c r="CE157" s="660"/>
      <c r="CF157" s="660"/>
      <c r="CG157" s="660"/>
      <c r="CH157" s="660"/>
      <c r="CI157" s="660"/>
      <c r="CJ157" s="660"/>
      <c r="CK157" s="660"/>
      <c r="CL157" s="660"/>
      <c r="CM157" s="660"/>
      <c r="CN157" s="660"/>
      <c r="CO157" s="660"/>
      <c r="CP157" s="660"/>
      <c r="CQ157" s="660"/>
      <c r="CR157" s="660"/>
      <c r="CS157" s="660"/>
      <c r="CT157" s="660"/>
      <c r="CU157" s="660"/>
      <c r="CV157" s="660"/>
      <c r="CW157" s="660"/>
      <c r="CX157" s="660"/>
      <c r="CY157" s="660"/>
      <c r="CZ157" s="660"/>
      <c r="DA157" s="660"/>
      <c r="DB157" s="660"/>
      <c r="DC157" s="660"/>
      <c r="DD157" s="660"/>
      <c r="DE157" s="660"/>
      <c r="DF157" s="660"/>
      <c r="DG157" s="660"/>
      <c r="DH157" s="660"/>
      <c r="DI157" s="660"/>
      <c r="DJ157" s="660"/>
      <c r="DK157" s="660"/>
      <c r="DL157" s="660"/>
      <c r="DM157" s="660"/>
      <c r="DN157" s="660"/>
      <c r="DO157" s="660"/>
      <c r="DP157" s="660"/>
      <c r="DQ157" s="660"/>
      <c r="DR157" s="660"/>
      <c r="DS157" s="660"/>
      <c r="DT157" s="660"/>
      <c r="DU157" s="660"/>
      <c r="DV157" s="660"/>
      <c r="DW157" s="660"/>
      <c r="DX157" s="660"/>
      <c r="DY157" s="660"/>
      <c r="DZ157" s="660"/>
      <c r="EA157" s="660"/>
      <c r="EB157" s="660"/>
      <c r="EC157" s="660"/>
      <c r="ED157" s="660"/>
      <c r="EE157" s="660"/>
      <c r="EF157" s="660"/>
      <c r="EG157" s="660"/>
      <c r="EH157" s="660"/>
      <c r="EI157" s="660"/>
      <c r="EJ157" s="660"/>
      <c r="EK157" s="660"/>
      <c r="EL157" s="660"/>
      <c r="EM157" s="660"/>
      <c r="EN157" s="660"/>
      <c r="EO157" s="660"/>
      <c r="EP157" s="660"/>
      <c r="EQ157" s="660"/>
      <c r="ER157" s="660"/>
      <c r="ES157" s="660"/>
      <c r="ET157" s="660"/>
      <c r="EU157" s="660"/>
      <c r="EV157" s="660"/>
      <c r="EW157" s="660"/>
      <c r="EX157" s="660"/>
      <c r="EY157" s="660"/>
      <c r="EZ157" s="660"/>
      <c r="FA157" s="660"/>
      <c r="FB157" s="660"/>
      <c r="FC157" s="660"/>
      <c r="FD157" s="660"/>
      <c r="FE157" s="660"/>
      <c r="FF157" s="660"/>
      <c r="FG157" s="660"/>
      <c r="FH157" s="660"/>
      <c r="FI157" s="660"/>
      <c r="FJ157" s="660"/>
      <c r="FK157" s="660"/>
      <c r="FL157" s="660"/>
      <c r="FM157" s="660"/>
      <c r="FN157" s="660"/>
      <c r="FO157" s="660"/>
      <c r="FP157" s="660"/>
      <c r="FQ157" s="660"/>
      <c r="FR157" s="660"/>
      <c r="FS157" s="660"/>
      <c r="FT157" s="660"/>
      <c r="FU157" s="660"/>
      <c r="FV157" s="660"/>
      <c r="FW157" s="660"/>
      <c r="FX157" s="660"/>
      <c r="FY157" s="660"/>
      <c r="FZ157" s="660"/>
      <c r="GA157" s="660"/>
      <c r="GB157" s="660"/>
      <c r="GC157" s="660"/>
      <c r="GD157" s="660"/>
      <c r="GE157" s="660"/>
      <c r="GF157" s="660"/>
      <c r="GG157" s="660"/>
      <c r="GH157" s="660"/>
      <c r="GI157" s="660"/>
      <c r="GJ157" s="660"/>
      <c r="GK157" s="660"/>
      <c r="GL157" s="660"/>
      <c r="GM157" s="660"/>
      <c r="GN157" s="660"/>
      <c r="GO157" s="660"/>
      <c r="GP157" s="660"/>
      <c r="GQ157" s="660"/>
      <c r="GR157" s="660"/>
      <c r="GS157" s="660"/>
      <c r="GT157" s="660"/>
      <c r="GU157" s="660"/>
      <c r="GV157" s="660"/>
      <c r="GW157" s="660"/>
      <c r="GX157" s="660"/>
      <c r="GY157" s="660"/>
      <c r="GZ157" s="660"/>
      <c r="HA157" s="660"/>
      <c r="HB157" s="660"/>
      <c r="HC157" s="660"/>
      <c r="HD157" s="660"/>
      <c r="HE157" s="660"/>
      <c r="HF157" s="660"/>
      <c r="HG157" s="660"/>
      <c r="HH157" s="660"/>
      <c r="HI157" s="660"/>
      <c r="HJ157" s="660"/>
      <c r="HK157" s="660"/>
      <c r="HL157" s="660"/>
      <c r="HM157" s="660"/>
      <c r="HN157" s="660"/>
      <c r="HO157" s="660"/>
      <c r="HP157" s="660"/>
      <c r="HQ157" s="660"/>
      <c r="HR157" s="660"/>
      <c r="HS157" s="660"/>
      <c r="HT157" s="660"/>
      <c r="HU157" s="660"/>
      <c r="HV157" s="660"/>
      <c r="HW157" s="660"/>
      <c r="HX157" s="660"/>
      <c r="HY157" s="660"/>
      <c r="HZ157" s="660"/>
      <c r="IA157" s="660"/>
      <c r="IB157" s="660"/>
      <c r="IC157" s="660"/>
      <c r="ID157" s="660"/>
      <c r="IE157" s="660"/>
      <c r="IF157" s="660"/>
      <c r="IG157" s="660"/>
      <c r="IH157" s="660"/>
      <c r="II157" s="660"/>
      <c r="IJ157" s="660"/>
      <c r="IK157" s="660"/>
      <c r="IL157" s="660"/>
      <c r="IM157" s="660"/>
      <c r="IN157" s="660"/>
      <c r="IO157" s="660"/>
      <c r="IP157" s="660"/>
      <c r="IQ157" s="660"/>
      <c r="IR157" s="660"/>
      <c r="IS157" s="660"/>
      <c r="IT157" s="660"/>
      <c r="IU157" s="660"/>
      <c r="IV157" s="660"/>
      <c r="IW157" s="660"/>
      <c r="IX157" s="660"/>
      <c r="IY157" s="660"/>
      <c r="IZ157" s="660"/>
      <c r="JA157" s="660"/>
      <c r="JB157" s="660"/>
      <c r="JC157" s="660"/>
      <c r="JD157" s="660"/>
      <c r="JE157" s="660"/>
      <c r="JF157" s="660"/>
      <c r="JG157" s="660"/>
      <c r="JH157" s="660"/>
      <c r="JI157" s="660"/>
      <c r="JJ157" s="660"/>
      <c r="JK157" s="660"/>
      <c r="JL157" s="660"/>
      <c r="JM157" s="660"/>
      <c r="JN157" s="660"/>
      <c r="JO157" s="660"/>
      <c r="JP157" s="660"/>
      <c r="JQ157" s="660"/>
      <c r="JR157" s="660"/>
      <c r="JS157" s="660"/>
      <c r="JT157" s="660"/>
      <c r="JU157" s="660"/>
      <c r="JV157" s="660"/>
      <c r="JW157" s="660"/>
      <c r="JX157" s="660"/>
      <c r="JY157" s="660"/>
      <c r="JZ157" s="660"/>
      <c r="KA157" s="660"/>
      <c r="KB157" s="660"/>
      <c r="KC157" s="660"/>
      <c r="KD157" s="660"/>
      <c r="KE157" s="660"/>
      <c r="KF157" s="660"/>
      <c r="KG157" s="660"/>
      <c r="KH157" s="660"/>
      <c r="KI157" s="660"/>
      <c r="KJ157" s="660"/>
      <c r="KK157" s="660"/>
      <c r="KL157" s="660"/>
      <c r="KM157" s="660"/>
      <c r="KN157" s="660"/>
      <c r="KO157" s="660"/>
      <c r="KP157" s="660"/>
      <c r="KQ157" s="660"/>
      <c r="KR157" s="660"/>
      <c r="KS157" s="660"/>
      <c r="KT157" s="660"/>
      <c r="KU157" s="660"/>
      <c r="KV157" s="660"/>
      <c r="KW157" s="660"/>
      <c r="KX157" s="660"/>
      <c r="KY157" s="660"/>
      <c r="KZ157" s="660"/>
      <c r="LA157" s="660"/>
      <c r="LB157" s="660"/>
      <c r="LC157" s="660"/>
      <c r="LD157" s="660"/>
      <c r="LE157" s="660"/>
      <c r="LF157" s="660"/>
      <c r="LG157" s="660"/>
      <c r="LH157" s="660"/>
      <c r="LI157" s="660"/>
      <c r="LJ157" s="660"/>
      <c r="LK157" s="660"/>
      <c r="LL157" s="660"/>
      <c r="LM157" s="660"/>
      <c r="LN157" s="660"/>
      <c r="LO157" s="660"/>
      <c r="LP157" s="660"/>
      <c r="LQ157" s="660"/>
      <c r="LR157" s="660"/>
      <c r="LS157" s="660"/>
      <c r="LT157" s="660"/>
      <c r="LU157" s="660"/>
      <c r="LV157" s="660"/>
      <c r="LW157" s="660"/>
      <c r="LX157" s="660"/>
      <c r="LY157" s="660"/>
    </row>
    <row r="158" spans="2:337" s="665" customFormat="1" ht="15" customHeight="1" x14ac:dyDescent="0.3">
      <c r="B158" s="749" t="s">
        <v>223</v>
      </c>
      <c r="C158" s="733" t="s">
        <v>215</v>
      </c>
      <c r="D158" s="607">
        <v>24</v>
      </c>
      <c r="E158" s="608">
        <v>414.62</v>
      </c>
      <c r="F158" s="609"/>
      <c r="G158" s="609"/>
      <c r="H158" s="609">
        <f t="shared" si="69"/>
        <v>9950.880000000001</v>
      </c>
      <c r="I158" s="231">
        <v>9950.880000000001</v>
      </c>
      <c r="J158" s="659"/>
      <c r="K158" s="231">
        <f t="shared" si="58"/>
        <v>26206.370000000003</v>
      </c>
      <c r="L158" s="231">
        <f t="shared" si="66"/>
        <v>16255.490000000002</v>
      </c>
      <c r="M158" s="728">
        <f t="shared" si="63"/>
        <v>1.6335731111218303</v>
      </c>
      <c r="N158" s="659"/>
      <c r="O158" s="231">
        <f t="shared" si="70"/>
        <v>2487.7200000000003</v>
      </c>
      <c r="P158" s="231">
        <f t="shared" si="70"/>
        <v>2487.7200000000003</v>
      </c>
      <c r="Q158" s="231">
        <f t="shared" si="70"/>
        <v>2487.7200000000003</v>
      </c>
      <c r="R158" s="231">
        <f t="shared" si="70"/>
        <v>2487.7200000000003</v>
      </c>
      <c r="S158" s="660"/>
      <c r="T158" s="231">
        <v>6551.5925000000007</v>
      </c>
      <c r="U158" s="231">
        <v>6551.5925000000007</v>
      </c>
      <c r="V158" s="231">
        <v>6551.5925000000007</v>
      </c>
      <c r="W158" s="231">
        <v>6551.5925000000007</v>
      </c>
      <c r="X158" s="660"/>
      <c r="Y158" s="155">
        <f t="shared" si="67"/>
        <v>4063.8725000000004</v>
      </c>
      <c r="Z158" s="155">
        <f t="shared" si="67"/>
        <v>4063.8725000000004</v>
      </c>
      <c r="AA158" s="155">
        <f t="shared" si="67"/>
        <v>4063.8725000000004</v>
      </c>
      <c r="AB158" s="155">
        <f t="shared" si="67"/>
        <v>4063.8725000000004</v>
      </c>
      <c r="AC158" s="225"/>
      <c r="AD158" s="156">
        <f t="shared" si="68"/>
        <v>1.6335731111218303</v>
      </c>
      <c r="AE158" s="156">
        <f t="shared" si="68"/>
        <v>1.6335731111218303</v>
      </c>
      <c r="AF158" s="156">
        <f t="shared" si="68"/>
        <v>1.6335731111218303</v>
      </c>
      <c r="AG158" s="156">
        <f t="shared" si="68"/>
        <v>1.6335731111218303</v>
      </c>
      <c r="AH158" s="660"/>
      <c r="AI158" s="660"/>
      <c r="AJ158" s="660"/>
      <c r="AK158" s="660"/>
      <c r="AL158" s="660"/>
      <c r="AM158" s="660"/>
      <c r="AN158" s="660"/>
      <c r="AO158" s="660"/>
      <c r="AP158" s="660"/>
      <c r="AQ158" s="660"/>
      <c r="AR158" s="660"/>
      <c r="AS158" s="660"/>
      <c r="AT158" s="660"/>
      <c r="AU158" s="660"/>
      <c r="AV158" s="660"/>
      <c r="AW158" s="660"/>
      <c r="AX158" s="660"/>
      <c r="AY158" s="660"/>
      <c r="AZ158" s="660"/>
      <c r="BA158" s="660"/>
      <c r="BB158" s="660"/>
      <c r="BC158" s="660"/>
      <c r="BD158" s="660"/>
      <c r="BE158" s="660"/>
      <c r="BF158" s="660"/>
      <c r="BG158" s="660"/>
      <c r="BH158" s="660"/>
      <c r="BI158" s="660"/>
      <c r="BJ158" s="660"/>
      <c r="BK158" s="660"/>
      <c r="BL158" s="660"/>
      <c r="BM158" s="660"/>
      <c r="BN158" s="660"/>
      <c r="BO158" s="660"/>
      <c r="BP158" s="660"/>
      <c r="BQ158" s="660"/>
      <c r="BR158" s="660"/>
      <c r="BS158" s="660"/>
      <c r="BT158" s="660"/>
      <c r="BU158" s="660"/>
      <c r="BV158" s="660"/>
      <c r="BW158" s="660"/>
      <c r="BX158" s="660"/>
      <c r="BY158" s="660"/>
      <c r="BZ158" s="660"/>
      <c r="CA158" s="660"/>
      <c r="CB158" s="660"/>
      <c r="CC158" s="660"/>
      <c r="CD158" s="660"/>
      <c r="CE158" s="660"/>
      <c r="CF158" s="660"/>
      <c r="CG158" s="660"/>
      <c r="CH158" s="660"/>
      <c r="CI158" s="660"/>
      <c r="CJ158" s="660"/>
      <c r="CK158" s="660"/>
      <c r="CL158" s="660"/>
      <c r="CM158" s="660"/>
      <c r="CN158" s="660"/>
      <c r="CO158" s="660"/>
      <c r="CP158" s="660"/>
      <c r="CQ158" s="660"/>
      <c r="CR158" s="660"/>
      <c r="CS158" s="660"/>
      <c r="CT158" s="660"/>
      <c r="CU158" s="660"/>
      <c r="CV158" s="660"/>
      <c r="CW158" s="660"/>
      <c r="CX158" s="660"/>
      <c r="CY158" s="660"/>
      <c r="CZ158" s="660"/>
      <c r="DA158" s="660"/>
      <c r="DB158" s="660"/>
      <c r="DC158" s="660"/>
      <c r="DD158" s="660"/>
      <c r="DE158" s="660"/>
      <c r="DF158" s="660"/>
      <c r="DG158" s="660"/>
      <c r="DH158" s="660"/>
      <c r="DI158" s="660"/>
      <c r="DJ158" s="660"/>
      <c r="DK158" s="660"/>
      <c r="DL158" s="660"/>
      <c r="DM158" s="660"/>
      <c r="DN158" s="660"/>
      <c r="DO158" s="660"/>
      <c r="DP158" s="660"/>
      <c r="DQ158" s="660"/>
      <c r="DR158" s="660"/>
      <c r="DS158" s="660"/>
      <c r="DT158" s="660"/>
      <c r="DU158" s="660"/>
      <c r="DV158" s="660"/>
      <c r="DW158" s="660"/>
      <c r="DX158" s="660"/>
      <c r="DY158" s="660"/>
      <c r="DZ158" s="660"/>
      <c r="EA158" s="660"/>
      <c r="EB158" s="660"/>
      <c r="EC158" s="660"/>
      <c r="ED158" s="660"/>
      <c r="EE158" s="660"/>
      <c r="EF158" s="660"/>
      <c r="EG158" s="660"/>
      <c r="EH158" s="660"/>
      <c r="EI158" s="660"/>
      <c r="EJ158" s="660"/>
      <c r="EK158" s="660"/>
      <c r="EL158" s="660"/>
      <c r="EM158" s="660"/>
      <c r="EN158" s="660"/>
      <c r="EO158" s="660"/>
      <c r="EP158" s="660"/>
      <c r="EQ158" s="660"/>
      <c r="ER158" s="660"/>
      <c r="ES158" s="660"/>
      <c r="ET158" s="660"/>
      <c r="EU158" s="660"/>
      <c r="EV158" s="660"/>
      <c r="EW158" s="660"/>
      <c r="EX158" s="660"/>
      <c r="EY158" s="660"/>
      <c r="EZ158" s="660"/>
      <c r="FA158" s="660"/>
      <c r="FB158" s="660"/>
      <c r="FC158" s="660"/>
      <c r="FD158" s="660"/>
      <c r="FE158" s="660"/>
      <c r="FF158" s="660"/>
      <c r="FG158" s="660"/>
      <c r="FH158" s="660"/>
      <c r="FI158" s="660"/>
      <c r="FJ158" s="660"/>
      <c r="FK158" s="660"/>
      <c r="FL158" s="660"/>
      <c r="FM158" s="660"/>
      <c r="FN158" s="660"/>
      <c r="FO158" s="660"/>
      <c r="FP158" s="660"/>
      <c r="FQ158" s="660"/>
      <c r="FR158" s="660"/>
      <c r="FS158" s="660"/>
      <c r="FT158" s="660"/>
      <c r="FU158" s="660"/>
      <c r="FV158" s="660"/>
      <c r="FW158" s="660"/>
      <c r="FX158" s="660"/>
      <c r="FY158" s="660"/>
      <c r="FZ158" s="660"/>
      <c r="GA158" s="660"/>
      <c r="GB158" s="660"/>
      <c r="GC158" s="660"/>
      <c r="GD158" s="660"/>
      <c r="GE158" s="660"/>
      <c r="GF158" s="660"/>
      <c r="GG158" s="660"/>
      <c r="GH158" s="660"/>
      <c r="GI158" s="660"/>
      <c r="GJ158" s="660"/>
      <c r="GK158" s="660"/>
      <c r="GL158" s="660"/>
      <c r="GM158" s="660"/>
      <c r="GN158" s="660"/>
      <c r="GO158" s="660"/>
      <c r="GP158" s="660"/>
      <c r="GQ158" s="660"/>
      <c r="GR158" s="660"/>
      <c r="GS158" s="660"/>
      <c r="GT158" s="660"/>
      <c r="GU158" s="660"/>
      <c r="GV158" s="660"/>
      <c r="GW158" s="660"/>
      <c r="GX158" s="660"/>
      <c r="GY158" s="660"/>
      <c r="GZ158" s="660"/>
      <c r="HA158" s="660"/>
      <c r="HB158" s="660"/>
      <c r="HC158" s="660"/>
      <c r="HD158" s="660"/>
      <c r="HE158" s="660"/>
      <c r="HF158" s="660"/>
      <c r="HG158" s="660"/>
      <c r="HH158" s="660"/>
      <c r="HI158" s="660"/>
      <c r="HJ158" s="660"/>
      <c r="HK158" s="660"/>
      <c r="HL158" s="660"/>
      <c r="HM158" s="660"/>
      <c r="HN158" s="660"/>
      <c r="HO158" s="660"/>
      <c r="HP158" s="660"/>
      <c r="HQ158" s="660"/>
      <c r="HR158" s="660"/>
      <c r="HS158" s="660"/>
      <c r="HT158" s="660"/>
      <c r="HU158" s="660"/>
      <c r="HV158" s="660"/>
      <c r="HW158" s="660"/>
      <c r="HX158" s="660"/>
      <c r="HY158" s="660"/>
      <c r="HZ158" s="660"/>
      <c r="IA158" s="660"/>
      <c r="IB158" s="660"/>
      <c r="IC158" s="660"/>
      <c r="ID158" s="660"/>
      <c r="IE158" s="660"/>
      <c r="IF158" s="660"/>
      <c r="IG158" s="660"/>
      <c r="IH158" s="660"/>
      <c r="II158" s="660"/>
      <c r="IJ158" s="660"/>
      <c r="IK158" s="660"/>
      <c r="IL158" s="660"/>
      <c r="IM158" s="660"/>
      <c r="IN158" s="660"/>
      <c r="IO158" s="660"/>
      <c r="IP158" s="660"/>
      <c r="IQ158" s="660"/>
      <c r="IR158" s="660"/>
      <c r="IS158" s="660"/>
      <c r="IT158" s="660"/>
      <c r="IU158" s="660"/>
      <c r="IV158" s="660"/>
      <c r="IW158" s="660"/>
      <c r="IX158" s="660"/>
      <c r="IY158" s="660"/>
      <c r="IZ158" s="660"/>
      <c r="JA158" s="660"/>
      <c r="JB158" s="660"/>
      <c r="JC158" s="660"/>
      <c r="JD158" s="660"/>
      <c r="JE158" s="660"/>
      <c r="JF158" s="660"/>
      <c r="JG158" s="660"/>
      <c r="JH158" s="660"/>
      <c r="JI158" s="660"/>
      <c r="JJ158" s="660"/>
      <c r="JK158" s="660"/>
      <c r="JL158" s="660"/>
      <c r="JM158" s="660"/>
      <c r="JN158" s="660"/>
      <c r="JO158" s="660"/>
      <c r="JP158" s="660"/>
      <c r="JQ158" s="660"/>
      <c r="JR158" s="660"/>
      <c r="JS158" s="660"/>
      <c r="JT158" s="660"/>
      <c r="JU158" s="660"/>
      <c r="JV158" s="660"/>
      <c r="JW158" s="660"/>
      <c r="JX158" s="660"/>
      <c r="JY158" s="660"/>
      <c r="JZ158" s="660"/>
      <c r="KA158" s="660"/>
      <c r="KB158" s="660"/>
      <c r="KC158" s="660"/>
      <c r="KD158" s="660"/>
      <c r="KE158" s="660"/>
      <c r="KF158" s="660"/>
      <c r="KG158" s="660"/>
      <c r="KH158" s="660"/>
      <c r="KI158" s="660"/>
      <c r="KJ158" s="660"/>
      <c r="KK158" s="660"/>
      <c r="KL158" s="660"/>
      <c r="KM158" s="660"/>
      <c r="KN158" s="660"/>
      <c r="KO158" s="660"/>
      <c r="KP158" s="660"/>
      <c r="KQ158" s="660"/>
      <c r="KR158" s="660"/>
      <c r="KS158" s="660"/>
      <c r="KT158" s="660"/>
      <c r="KU158" s="660"/>
      <c r="KV158" s="660"/>
      <c r="KW158" s="660"/>
      <c r="KX158" s="660"/>
      <c r="KY158" s="660"/>
      <c r="KZ158" s="660"/>
      <c r="LA158" s="660"/>
      <c r="LB158" s="660"/>
      <c r="LC158" s="660"/>
      <c r="LD158" s="660"/>
      <c r="LE158" s="660"/>
      <c r="LF158" s="660"/>
      <c r="LG158" s="660"/>
      <c r="LH158" s="660"/>
      <c r="LI158" s="660"/>
      <c r="LJ158" s="660"/>
      <c r="LK158" s="660"/>
      <c r="LL158" s="660"/>
      <c r="LM158" s="660"/>
      <c r="LN158" s="660"/>
      <c r="LO158" s="660"/>
      <c r="LP158" s="660"/>
      <c r="LQ158" s="660"/>
      <c r="LR158" s="660"/>
      <c r="LS158" s="660"/>
      <c r="LT158" s="660"/>
      <c r="LU158" s="660"/>
      <c r="LV158" s="660"/>
      <c r="LW158" s="660"/>
      <c r="LX158" s="660"/>
      <c r="LY158" s="660"/>
    </row>
    <row r="159" spans="2:337" s="665" customFormat="1" ht="15" customHeight="1" x14ac:dyDescent="0.3">
      <c r="B159" s="749" t="s">
        <v>224</v>
      </c>
      <c r="C159" s="733" t="s">
        <v>215</v>
      </c>
      <c r="D159" s="607">
        <v>24</v>
      </c>
      <c r="E159" s="608">
        <v>199.63</v>
      </c>
      <c r="F159" s="609"/>
      <c r="G159" s="609"/>
      <c r="H159" s="609">
        <f t="shared" si="69"/>
        <v>4791.12</v>
      </c>
      <c r="I159" s="231">
        <v>4791.12</v>
      </c>
      <c r="J159" s="659"/>
      <c r="K159" s="231">
        <f t="shared" si="58"/>
        <v>4645.2400000000007</v>
      </c>
      <c r="L159" s="231">
        <f t="shared" si="66"/>
        <v>-145.8799999999992</v>
      </c>
      <c r="M159" s="728">
        <f t="shared" si="63"/>
        <v>-3.044799545826429E-2</v>
      </c>
      <c r="N159" s="659"/>
      <c r="O159" s="231">
        <f t="shared" si="70"/>
        <v>1197.78</v>
      </c>
      <c r="P159" s="231">
        <f t="shared" si="70"/>
        <v>1197.78</v>
      </c>
      <c r="Q159" s="231">
        <f t="shared" si="70"/>
        <v>1197.78</v>
      </c>
      <c r="R159" s="231">
        <f t="shared" si="70"/>
        <v>1197.78</v>
      </c>
      <c r="S159" s="660"/>
      <c r="T159" s="231">
        <v>1161.3100000000002</v>
      </c>
      <c r="U159" s="231">
        <v>1161.3100000000002</v>
      </c>
      <c r="V159" s="231">
        <v>1161.3100000000002</v>
      </c>
      <c r="W159" s="231">
        <v>1161.3100000000002</v>
      </c>
      <c r="X159" s="660"/>
      <c r="Y159" s="155">
        <f t="shared" si="67"/>
        <v>-36.4699999999998</v>
      </c>
      <c r="Z159" s="155">
        <f t="shared" si="67"/>
        <v>-36.4699999999998</v>
      </c>
      <c r="AA159" s="155">
        <f t="shared" si="67"/>
        <v>-36.4699999999998</v>
      </c>
      <c r="AB159" s="155">
        <f t="shared" si="67"/>
        <v>-36.4699999999998</v>
      </c>
      <c r="AC159" s="225"/>
      <c r="AD159" s="156">
        <f t="shared" si="68"/>
        <v>-3.044799545826429E-2</v>
      </c>
      <c r="AE159" s="156">
        <f t="shared" si="68"/>
        <v>-3.044799545826429E-2</v>
      </c>
      <c r="AF159" s="156">
        <f t="shared" si="68"/>
        <v>-3.044799545826429E-2</v>
      </c>
      <c r="AG159" s="156">
        <f t="shared" si="68"/>
        <v>-3.044799545826429E-2</v>
      </c>
      <c r="AH159" s="660"/>
      <c r="AI159" s="660"/>
      <c r="AJ159" s="660"/>
      <c r="AK159" s="660"/>
      <c r="AL159" s="660"/>
      <c r="AM159" s="660"/>
      <c r="AN159" s="660"/>
      <c r="AO159" s="660"/>
      <c r="AP159" s="660"/>
      <c r="AQ159" s="660"/>
      <c r="AR159" s="660"/>
      <c r="AS159" s="660"/>
      <c r="AT159" s="660"/>
      <c r="AU159" s="660"/>
      <c r="AV159" s="660"/>
      <c r="AW159" s="660"/>
      <c r="AX159" s="660"/>
      <c r="AY159" s="660"/>
      <c r="AZ159" s="660"/>
      <c r="BA159" s="660"/>
      <c r="BB159" s="660"/>
      <c r="BC159" s="660"/>
      <c r="BD159" s="660"/>
      <c r="BE159" s="660"/>
      <c r="BF159" s="660"/>
      <c r="BG159" s="660"/>
      <c r="BH159" s="660"/>
      <c r="BI159" s="660"/>
      <c r="BJ159" s="660"/>
      <c r="BK159" s="660"/>
      <c r="BL159" s="660"/>
      <c r="BM159" s="660"/>
      <c r="BN159" s="660"/>
      <c r="BO159" s="660"/>
      <c r="BP159" s="660"/>
      <c r="BQ159" s="660"/>
      <c r="BR159" s="660"/>
      <c r="BS159" s="660"/>
      <c r="BT159" s="660"/>
      <c r="BU159" s="660"/>
      <c r="BV159" s="660"/>
      <c r="BW159" s="660"/>
      <c r="BX159" s="660"/>
      <c r="BY159" s="660"/>
      <c r="BZ159" s="660"/>
      <c r="CA159" s="660"/>
      <c r="CB159" s="660"/>
      <c r="CC159" s="660"/>
      <c r="CD159" s="660"/>
      <c r="CE159" s="660"/>
      <c r="CF159" s="660"/>
      <c r="CG159" s="660"/>
      <c r="CH159" s="660"/>
      <c r="CI159" s="660"/>
      <c r="CJ159" s="660"/>
      <c r="CK159" s="660"/>
      <c r="CL159" s="660"/>
      <c r="CM159" s="660"/>
      <c r="CN159" s="660"/>
      <c r="CO159" s="660"/>
      <c r="CP159" s="660"/>
      <c r="CQ159" s="660"/>
      <c r="CR159" s="660"/>
      <c r="CS159" s="660"/>
      <c r="CT159" s="660"/>
      <c r="CU159" s="660"/>
      <c r="CV159" s="660"/>
      <c r="CW159" s="660"/>
      <c r="CX159" s="660"/>
      <c r="CY159" s="660"/>
      <c r="CZ159" s="660"/>
      <c r="DA159" s="660"/>
      <c r="DB159" s="660"/>
      <c r="DC159" s="660"/>
      <c r="DD159" s="660"/>
      <c r="DE159" s="660"/>
      <c r="DF159" s="660"/>
      <c r="DG159" s="660"/>
      <c r="DH159" s="660"/>
      <c r="DI159" s="660"/>
      <c r="DJ159" s="660"/>
      <c r="DK159" s="660"/>
      <c r="DL159" s="660"/>
      <c r="DM159" s="660"/>
      <c r="DN159" s="660"/>
      <c r="DO159" s="660"/>
      <c r="DP159" s="660"/>
      <c r="DQ159" s="660"/>
      <c r="DR159" s="660"/>
      <c r="DS159" s="660"/>
      <c r="DT159" s="660"/>
      <c r="DU159" s="660"/>
      <c r="DV159" s="660"/>
      <c r="DW159" s="660"/>
      <c r="DX159" s="660"/>
      <c r="DY159" s="660"/>
      <c r="DZ159" s="660"/>
      <c r="EA159" s="660"/>
      <c r="EB159" s="660"/>
      <c r="EC159" s="660"/>
      <c r="ED159" s="660"/>
      <c r="EE159" s="660"/>
      <c r="EF159" s="660"/>
      <c r="EG159" s="660"/>
      <c r="EH159" s="660"/>
      <c r="EI159" s="660"/>
      <c r="EJ159" s="660"/>
      <c r="EK159" s="660"/>
      <c r="EL159" s="660"/>
      <c r="EM159" s="660"/>
      <c r="EN159" s="660"/>
      <c r="EO159" s="660"/>
      <c r="EP159" s="660"/>
      <c r="EQ159" s="660"/>
      <c r="ER159" s="660"/>
      <c r="ES159" s="660"/>
      <c r="ET159" s="660"/>
      <c r="EU159" s="660"/>
      <c r="EV159" s="660"/>
      <c r="EW159" s="660"/>
      <c r="EX159" s="660"/>
      <c r="EY159" s="660"/>
      <c r="EZ159" s="660"/>
      <c r="FA159" s="660"/>
      <c r="FB159" s="660"/>
      <c r="FC159" s="660"/>
      <c r="FD159" s="660"/>
      <c r="FE159" s="660"/>
      <c r="FF159" s="660"/>
      <c r="FG159" s="660"/>
      <c r="FH159" s="660"/>
      <c r="FI159" s="660"/>
      <c r="FJ159" s="660"/>
      <c r="FK159" s="660"/>
      <c r="FL159" s="660"/>
      <c r="FM159" s="660"/>
      <c r="FN159" s="660"/>
      <c r="FO159" s="660"/>
      <c r="FP159" s="660"/>
      <c r="FQ159" s="660"/>
      <c r="FR159" s="660"/>
      <c r="FS159" s="660"/>
      <c r="FT159" s="660"/>
      <c r="FU159" s="660"/>
      <c r="FV159" s="660"/>
      <c r="FW159" s="660"/>
      <c r="FX159" s="660"/>
      <c r="FY159" s="660"/>
      <c r="FZ159" s="660"/>
      <c r="GA159" s="660"/>
      <c r="GB159" s="660"/>
      <c r="GC159" s="660"/>
      <c r="GD159" s="660"/>
      <c r="GE159" s="660"/>
      <c r="GF159" s="660"/>
      <c r="GG159" s="660"/>
      <c r="GH159" s="660"/>
      <c r="GI159" s="660"/>
      <c r="GJ159" s="660"/>
      <c r="GK159" s="660"/>
      <c r="GL159" s="660"/>
      <c r="GM159" s="660"/>
      <c r="GN159" s="660"/>
      <c r="GO159" s="660"/>
      <c r="GP159" s="660"/>
      <c r="GQ159" s="660"/>
      <c r="GR159" s="660"/>
      <c r="GS159" s="660"/>
      <c r="GT159" s="660"/>
      <c r="GU159" s="660"/>
      <c r="GV159" s="660"/>
      <c r="GW159" s="660"/>
      <c r="GX159" s="660"/>
      <c r="GY159" s="660"/>
      <c r="GZ159" s="660"/>
      <c r="HA159" s="660"/>
      <c r="HB159" s="660"/>
      <c r="HC159" s="660"/>
      <c r="HD159" s="660"/>
      <c r="HE159" s="660"/>
      <c r="HF159" s="660"/>
      <c r="HG159" s="660"/>
      <c r="HH159" s="660"/>
      <c r="HI159" s="660"/>
      <c r="HJ159" s="660"/>
      <c r="HK159" s="660"/>
      <c r="HL159" s="660"/>
      <c r="HM159" s="660"/>
      <c r="HN159" s="660"/>
      <c r="HO159" s="660"/>
      <c r="HP159" s="660"/>
      <c r="HQ159" s="660"/>
      <c r="HR159" s="660"/>
      <c r="HS159" s="660"/>
      <c r="HT159" s="660"/>
      <c r="HU159" s="660"/>
      <c r="HV159" s="660"/>
      <c r="HW159" s="660"/>
      <c r="HX159" s="660"/>
      <c r="HY159" s="660"/>
      <c r="HZ159" s="660"/>
      <c r="IA159" s="660"/>
      <c r="IB159" s="660"/>
      <c r="IC159" s="660"/>
      <c r="ID159" s="660"/>
      <c r="IE159" s="660"/>
      <c r="IF159" s="660"/>
      <c r="IG159" s="660"/>
      <c r="IH159" s="660"/>
      <c r="II159" s="660"/>
      <c r="IJ159" s="660"/>
      <c r="IK159" s="660"/>
      <c r="IL159" s="660"/>
      <c r="IM159" s="660"/>
      <c r="IN159" s="660"/>
      <c r="IO159" s="660"/>
      <c r="IP159" s="660"/>
      <c r="IQ159" s="660"/>
      <c r="IR159" s="660"/>
      <c r="IS159" s="660"/>
      <c r="IT159" s="660"/>
      <c r="IU159" s="660"/>
      <c r="IV159" s="660"/>
      <c r="IW159" s="660"/>
      <c r="IX159" s="660"/>
      <c r="IY159" s="660"/>
      <c r="IZ159" s="660"/>
      <c r="JA159" s="660"/>
      <c r="JB159" s="660"/>
      <c r="JC159" s="660"/>
      <c r="JD159" s="660"/>
      <c r="JE159" s="660"/>
      <c r="JF159" s="660"/>
      <c r="JG159" s="660"/>
      <c r="JH159" s="660"/>
      <c r="JI159" s="660"/>
      <c r="JJ159" s="660"/>
      <c r="JK159" s="660"/>
      <c r="JL159" s="660"/>
      <c r="JM159" s="660"/>
      <c r="JN159" s="660"/>
      <c r="JO159" s="660"/>
      <c r="JP159" s="660"/>
      <c r="JQ159" s="660"/>
      <c r="JR159" s="660"/>
      <c r="JS159" s="660"/>
      <c r="JT159" s="660"/>
      <c r="JU159" s="660"/>
      <c r="JV159" s="660"/>
      <c r="JW159" s="660"/>
      <c r="JX159" s="660"/>
      <c r="JY159" s="660"/>
      <c r="JZ159" s="660"/>
      <c r="KA159" s="660"/>
      <c r="KB159" s="660"/>
      <c r="KC159" s="660"/>
      <c r="KD159" s="660"/>
      <c r="KE159" s="660"/>
      <c r="KF159" s="660"/>
      <c r="KG159" s="660"/>
      <c r="KH159" s="660"/>
      <c r="KI159" s="660"/>
      <c r="KJ159" s="660"/>
      <c r="KK159" s="660"/>
      <c r="KL159" s="660"/>
      <c r="KM159" s="660"/>
      <c r="KN159" s="660"/>
      <c r="KO159" s="660"/>
      <c r="KP159" s="660"/>
      <c r="KQ159" s="660"/>
      <c r="KR159" s="660"/>
      <c r="KS159" s="660"/>
      <c r="KT159" s="660"/>
      <c r="KU159" s="660"/>
      <c r="KV159" s="660"/>
      <c r="KW159" s="660"/>
      <c r="KX159" s="660"/>
      <c r="KY159" s="660"/>
      <c r="KZ159" s="660"/>
      <c r="LA159" s="660"/>
      <c r="LB159" s="660"/>
      <c r="LC159" s="660"/>
      <c r="LD159" s="660"/>
      <c r="LE159" s="660"/>
      <c r="LF159" s="660"/>
      <c r="LG159" s="660"/>
      <c r="LH159" s="660"/>
      <c r="LI159" s="660"/>
      <c r="LJ159" s="660"/>
      <c r="LK159" s="660"/>
      <c r="LL159" s="660"/>
      <c r="LM159" s="660"/>
      <c r="LN159" s="660"/>
      <c r="LO159" s="660"/>
      <c r="LP159" s="660"/>
      <c r="LQ159" s="660"/>
      <c r="LR159" s="660"/>
      <c r="LS159" s="660"/>
      <c r="LT159" s="660"/>
      <c r="LU159" s="660"/>
      <c r="LV159" s="660"/>
      <c r="LW159" s="660"/>
      <c r="LX159" s="660"/>
      <c r="LY159" s="660"/>
    </row>
    <row r="160" spans="2:337" ht="15" customHeight="1" x14ac:dyDescent="0.3">
      <c r="B160" s="672" t="s">
        <v>20</v>
      </c>
      <c r="C160" s="672"/>
      <c r="D160" s="721"/>
      <c r="E160" s="721"/>
      <c r="F160" s="722">
        <f>SUM(F135:F159)</f>
        <v>1449624816</v>
      </c>
      <c r="G160" s="722"/>
      <c r="H160" s="722">
        <f>SUM(H135:H159)</f>
        <v>553830.07269639068</v>
      </c>
      <c r="I160" s="722">
        <f>SUM(I135:I159)</f>
        <v>505787.57333333336</v>
      </c>
      <c r="J160" s="724"/>
      <c r="K160" s="722">
        <f>SUM(K135:K159)</f>
        <v>522005.70900529542</v>
      </c>
      <c r="L160" s="722">
        <f t="shared" si="66"/>
        <v>16218.135671962053</v>
      </c>
      <c r="M160" s="699">
        <f t="shared" si="63"/>
        <v>3.2065112958545701E-2</v>
      </c>
      <c r="N160" s="659"/>
      <c r="O160" s="722">
        <f>SUM(O135:O159)</f>
        <v>126446.89333333334</v>
      </c>
      <c r="P160" s="722">
        <f>SUM(P135:P159)</f>
        <v>126446.89333333334</v>
      </c>
      <c r="Q160" s="722">
        <f>SUM(Q135:Q159)</f>
        <v>126446.89333333334</v>
      </c>
      <c r="R160" s="722">
        <f>SUM(R135:R159)</f>
        <v>126446.89333333334</v>
      </c>
      <c r="T160" s="722">
        <f>SUM(T135:T159)</f>
        <v>130501.42725132385</v>
      </c>
      <c r="U160" s="722">
        <f t="shared" ref="U160:W160" si="71">SUM(U135:U159)</f>
        <v>130501.42725132385</v>
      </c>
      <c r="V160" s="722">
        <f t="shared" si="71"/>
        <v>130501.42725132385</v>
      </c>
      <c r="W160" s="722">
        <f t="shared" si="71"/>
        <v>130501.42725132385</v>
      </c>
      <c r="Y160" s="168">
        <f t="shared" si="67"/>
        <v>4054.5339179905131</v>
      </c>
      <c r="Z160" s="168">
        <f t="shared" si="67"/>
        <v>4054.5339179905131</v>
      </c>
      <c r="AA160" s="168">
        <f t="shared" si="67"/>
        <v>4054.5339179905131</v>
      </c>
      <c r="AB160" s="168">
        <f t="shared" si="67"/>
        <v>4054.5339179905131</v>
      </c>
      <c r="AC160" s="255"/>
      <c r="AD160" s="169">
        <f t="shared" si="68"/>
        <v>3.2065112958545701E-2</v>
      </c>
      <c r="AE160" s="169">
        <f t="shared" si="68"/>
        <v>3.2065112958545701E-2</v>
      </c>
      <c r="AF160" s="169">
        <f t="shared" si="68"/>
        <v>3.2065112958545701E-2</v>
      </c>
      <c r="AG160" s="169">
        <f t="shared" si="68"/>
        <v>3.2065112958545701E-2</v>
      </c>
    </row>
    <row r="161" spans="2:33" ht="15" customHeight="1" x14ac:dyDescent="0.3">
      <c r="B161" s="734" t="s">
        <v>21</v>
      </c>
      <c r="C161" s="735"/>
      <c r="D161" s="735"/>
      <c r="E161" s="735"/>
      <c r="F161" s="736">
        <f>F160+F132+F31</f>
        <v>4810431578.8000002</v>
      </c>
      <c r="G161" s="737"/>
      <c r="H161" s="736">
        <f>H160+H132+H31</f>
        <v>1488026.8286930881</v>
      </c>
      <c r="I161" s="736">
        <f>I160+I132+I31</f>
        <v>1050523.5333333332</v>
      </c>
      <c r="J161" s="738"/>
      <c r="K161" s="736">
        <f>K160+K132+K31</f>
        <v>1144531.098550349</v>
      </c>
      <c r="L161" s="736">
        <f t="shared" si="66"/>
        <v>94007.565217015799</v>
      </c>
      <c r="M161" s="739">
        <f t="shared" si="63"/>
        <v>8.9486396291121456E-2</v>
      </c>
      <c r="N161" s="659"/>
      <c r="O161" s="736">
        <f>O160+O132+O31</f>
        <v>339738.8833333333</v>
      </c>
      <c r="P161" s="736">
        <f>P160+P132+P31</f>
        <v>295535.8833333333</v>
      </c>
      <c r="Q161" s="736">
        <f>Q160+Q132+Q31</f>
        <v>234481.88333333333</v>
      </c>
      <c r="R161" s="736">
        <f>R160+R132+R31</f>
        <v>180766.88333333333</v>
      </c>
      <c r="T161" s="740">
        <f>T160+T132+T31</f>
        <v>366945.62483847915</v>
      </c>
      <c r="U161" s="740">
        <f>U160+U132+U31</f>
        <v>316855.48484418134</v>
      </c>
      <c r="V161" s="740">
        <f>V160+V132+V31</f>
        <v>256094.06951568928</v>
      </c>
      <c r="W161" s="740">
        <f>W160+W132+W31</f>
        <v>204635.91935199918</v>
      </c>
      <c r="Y161" s="313">
        <f t="shared" si="67"/>
        <v>27206.741505145852</v>
      </c>
      <c r="Z161" s="313">
        <f t="shared" si="67"/>
        <v>21319.601510848035</v>
      </c>
      <c r="AA161" s="313">
        <f t="shared" si="67"/>
        <v>21612.186182355945</v>
      </c>
      <c r="AB161" s="313">
        <f t="shared" si="67"/>
        <v>23869.036018665851</v>
      </c>
      <c r="AC161" s="312"/>
      <c r="AD161" s="308">
        <f t="shared" si="68"/>
        <v>8.0081329632357909E-2</v>
      </c>
      <c r="AE161" s="308">
        <f t="shared" si="68"/>
        <v>7.2138791643117581E-2</v>
      </c>
      <c r="AF161" s="308">
        <f t="shared" si="68"/>
        <v>9.216996159840897E-2</v>
      </c>
      <c r="AG161" s="308">
        <f t="shared" si="68"/>
        <v>0.13204319053646266</v>
      </c>
    </row>
    <row r="162" spans="2:33" ht="15.75" customHeight="1" x14ac:dyDescent="0.3">
      <c r="B162" s="741"/>
      <c r="C162" s="742"/>
      <c r="D162" s="742"/>
      <c r="E162" s="742"/>
      <c r="F162" s="630"/>
      <c r="G162" s="630"/>
      <c r="H162" s="630"/>
      <c r="I162" s="743"/>
      <c r="J162" s="631"/>
      <c r="K162" s="743"/>
      <c r="L162" s="630"/>
      <c r="M162" s="632"/>
      <c r="N162" s="631"/>
      <c r="O162" s="630"/>
      <c r="P162" s="630"/>
      <c r="Q162" s="630"/>
      <c r="R162" s="630"/>
    </row>
    <row r="163" spans="2:33" ht="15.75" customHeight="1" x14ac:dyDescent="0.3">
      <c r="B163" s="741"/>
      <c r="C163" s="742"/>
      <c r="D163" s="742"/>
      <c r="E163" s="742"/>
      <c r="F163" s="630"/>
      <c r="G163" s="630"/>
      <c r="H163" s="630"/>
      <c r="I163" s="630"/>
      <c r="J163" s="631"/>
      <c r="K163" s="630"/>
      <c r="L163" s="630"/>
      <c r="M163" s="632"/>
      <c r="N163" s="631"/>
      <c r="O163" s="630"/>
      <c r="P163" s="630"/>
      <c r="Q163" s="630"/>
      <c r="R163" s="630"/>
      <c r="T163" s="744"/>
      <c r="Z163" s="745"/>
      <c r="AF163" s="745"/>
    </row>
    <row r="164" spans="2:33" ht="15.75" customHeight="1" x14ac:dyDescent="0.3">
      <c r="B164" s="741"/>
      <c r="C164" s="742"/>
      <c r="D164" s="742"/>
      <c r="E164" s="742"/>
      <c r="F164" s="630"/>
      <c r="G164" s="630"/>
      <c r="H164" s="630"/>
      <c r="I164" s="630"/>
      <c r="J164" s="631"/>
      <c r="K164" s="630"/>
      <c r="L164" s="630"/>
      <c r="M164" s="632"/>
      <c r="N164" s="631"/>
      <c r="O164" s="630"/>
      <c r="P164" s="630"/>
      <c r="Q164" s="630"/>
      <c r="R164" s="630"/>
    </row>
    <row r="165" spans="2:33" ht="15.75" customHeight="1" x14ac:dyDescent="0.3">
      <c r="B165" s="741"/>
      <c r="C165" s="742"/>
      <c r="D165" s="742"/>
      <c r="E165" s="742"/>
      <c r="F165" s="630"/>
      <c r="G165" s="630"/>
      <c r="H165" s="630"/>
      <c r="I165" s="630"/>
      <c r="J165" s="631"/>
      <c r="K165" s="630"/>
      <c r="L165" s="630"/>
      <c r="M165" s="632"/>
      <c r="N165" s="631"/>
      <c r="O165" s="630"/>
      <c r="P165" s="630"/>
      <c r="Q165" s="630"/>
      <c r="R165" s="630"/>
    </row>
    <row r="166" spans="2:33" ht="15.75" customHeight="1" x14ac:dyDescent="0.3">
      <c r="B166" s="741"/>
      <c r="C166" s="742"/>
      <c r="D166" s="742"/>
      <c r="E166" s="742"/>
      <c r="F166" s="630"/>
      <c r="G166" s="630"/>
      <c r="H166" s="630"/>
      <c r="I166" s="630"/>
      <c r="J166" s="631"/>
      <c r="K166" s="630"/>
      <c r="L166" s="630"/>
      <c r="M166" s="632"/>
      <c r="N166" s="631"/>
      <c r="O166" s="630"/>
      <c r="P166" s="630"/>
      <c r="Q166" s="630"/>
      <c r="R166" s="630"/>
    </row>
    <row r="167" spans="2:33" ht="15.75" customHeight="1" x14ac:dyDescent="0.3">
      <c r="B167" s="741"/>
      <c r="C167" s="742"/>
      <c r="D167" s="742"/>
      <c r="E167" s="742"/>
      <c r="F167" s="630"/>
      <c r="G167" s="630"/>
      <c r="H167" s="630"/>
      <c r="I167" s="630"/>
      <c r="J167" s="631"/>
      <c r="K167" s="630"/>
      <c r="L167" s="630"/>
      <c r="M167" s="632"/>
      <c r="N167" s="631"/>
      <c r="O167" s="630"/>
      <c r="P167" s="630"/>
      <c r="Q167" s="630"/>
      <c r="R167" s="630"/>
    </row>
    <row r="168" spans="2:33" ht="15.75" customHeight="1" x14ac:dyDescent="0.3">
      <c r="B168" s="741"/>
      <c r="C168" s="742"/>
      <c r="D168" s="742"/>
      <c r="E168" s="742"/>
      <c r="F168" s="630"/>
      <c r="G168" s="630"/>
      <c r="H168" s="630"/>
      <c r="I168" s="630"/>
      <c r="J168" s="631"/>
      <c r="K168" s="630"/>
      <c r="L168" s="630"/>
      <c r="M168" s="632"/>
      <c r="N168" s="631"/>
      <c r="O168" s="630"/>
      <c r="P168" s="630"/>
      <c r="Q168" s="630"/>
      <c r="R168" s="630"/>
    </row>
    <row r="169" spans="2:33" ht="15.75" customHeight="1" x14ac:dyDescent="0.3">
      <c r="B169" s="741"/>
      <c r="C169" s="742"/>
      <c r="D169" s="742"/>
      <c r="E169" s="742"/>
      <c r="F169" s="630"/>
      <c r="G169" s="630"/>
      <c r="H169" s="630"/>
      <c r="I169" s="630"/>
      <c r="J169" s="631"/>
      <c r="K169" s="630"/>
      <c r="L169" s="630"/>
      <c r="M169" s="632"/>
      <c r="N169" s="631"/>
      <c r="O169" s="630"/>
      <c r="P169" s="630"/>
      <c r="Q169" s="630"/>
      <c r="R169" s="630"/>
    </row>
    <row r="170" spans="2:33" ht="15.75" customHeight="1" x14ac:dyDescent="0.3">
      <c r="B170" s="741"/>
      <c r="C170" s="742"/>
      <c r="D170" s="742"/>
      <c r="E170" s="742"/>
      <c r="F170" s="630"/>
      <c r="G170" s="630"/>
      <c r="H170" s="630"/>
      <c r="I170" s="630"/>
      <c r="J170" s="631"/>
      <c r="K170" s="630"/>
      <c r="L170" s="630"/>
      <c r="M170" s="632"/>
      <c r="N170" s="631"/>
      <c r="O170" s="630"/>
      <c r="P170" s="630"/>
      <c r="Q170" s="630"/>
      <c r="R170" s="630"/>
    </row>
    <row r="171" spans="2:33" ht="15.75" customHeight="1" x14ac:dyDescent="0.3">
      <c r="B171" s="741"/>
      <c r="C171" s="742"/>
      <c r="D171" s="742"/>
      <c r="E171" s="742"/>
      <c r="F171" s="630"/>
      <c r="G171" s="630"/>
      <c r="H171" s="630"/>
      <c r="I171" s="630"/>
      <c r="J171" s="631"/>
      <c r="K171" s="630"/>
      <c r="L171" s="630"/>
      <c r="M171" s="632"/>
      <c r="N171" s="631"/>
      <c r="O171" s="630"/>
      <c r="P171" s="630"/>
      <c r="Q171" s="630"/>
      <c r="R171" s="630"/>
    </row>
    <row r="172" spans="2:33" ht="15.75" customHeight="1" x14ac:dyDescent="0.3">
      <c r="B172" s="741"/>
      <c r="C172" s="742"/>
      <c r="D172" s="742"/>
      <c r="E172" s="742"/>
      <c r="F172" s="630"/>
      <c r="G172" s="630"/>
      <c r="H172" s="630"/>
      <c r="I172" s="630"/>
      <c r="J172" s="631"/>
      <c r="K172" s="630"/>
      <c r="L172" s="630"/>
      <c r="M172" s="632"/>
      <c r="N172" s="631"/>
      <c r="O172" s="630"/>
      <c r="P172" s="630"/>
      <c r="Q172" s="630"/>
      <c r="R172" s="630"/>
    </row>
    <row r="173" spans="2:33" ht="15.75" customHeight="1" x14ac:dyDescent="0.3">
      <c r="B173" s="741"/>
      <c r="C173" s="742"/>
      <c r="D173" s="742"/>
      <c r="E173" s="742"/>
      <c r="F173" s="630"/>
      <c r="G173" s="630"/>
      <c r="H173" s="630"/>
      <c r="I173" s="630"/>
      <c r="J173" s="631"/>
      <c r="K173" s="630"/>
      <c r="L173" s="630"/>
      <c r="M173" s="632"/>
      <c r="N173" s="631"/>
      <c r="O173" s="630"/>
      <c r="P173" s="630"/>
      <c r="Q173" s="630"/>
      <c r="R173" s="630"/>
    </row>
    <row r="174" spans="2:33" ht="15.75" customHeight="1" x14ac:dyDescent="0.3">
      <c r="B174" s="741"/>
      <c r="C174" s="742"/>
      <c r="D174" s="742"/>
      <c r="E174" s="742"/>
      <c r="F174" s="630"/>
      <c r="G174" s="630"/>
      <c r="H174" s="630"/>
      <c r="I174" s="630"/>
      <c r="J174" s="631"/>
      <c r="K174" s="630"/>
      <c r="L174" s="630"/>
      <c r="M174" s="632"/>
      <c r="N174" s="631"/>
      <c r="O174" s="630"/>
      <c r="P174" s="630"/>
      <c r="Q174" s="630"/>
      <c r="R174" s="630"/>
    </row>
    <row r="175" spans="2:33" ht="15.75" customHeight="1" x14ac:dyDescent="0.3">
      <c r="B175" s="741"/>
      <c r="C175" s="742"/>
      <c r="D175" s="742"/>
      <c r="E175" s="742"/>
      <c r="F175" s="630"/>
      <c r="G175" s="630"/>
      <c r="H175" s="630"/>
      <c r="I175" s="630"/>
      <c r="J175" s="631"/>
      <c r="K175" s="630"/>
      <c r="L175" s="630"/>
      <c r="M175" s="632"/>
      <c r="N175" s="631"/>
      <c r="O175" s="630"/>
      <c r="P175" s="630"/>
      <c r="Q175" s="630"/>
      <c r="R175" s="630"/>
    </row>
    <row r="176" spans="2:33" ht="15.75" customHeight="1" x14ac:dyDescent="0.3">
      <c r="B176" s="741"/>
      <c r="C176" s="742"/>
      <c r="D176" s="742"/>
      <c r="E176" s="742"/>
      <c r="F176" s="630"/>
      <c r="G176" s="630"/>
      <c r="H176" s="630"/>
      <c r="I176" s="630"/>
      <c r="J176" s="631"/>
      <c r="K176" s="630"/>
      <c r="L176" s="630"/>
      <c r="M176" s="632"/>
      <c r="N176" s="631"/>
      <c r="O176" s="630"/>
      <c r="P176" s="630"/>
      <c r="Q176" s="630"/>
      <c r="R176" s="630"/>
    </row>
    <row r="177" spans="2:18" ht="15.75" customHeight="1" x14ac:dyDescent="0.3">
      <c r="B177" s="741"/>
      <c r="C177" s="742"/>
      <c r="D177" s="742"/>
      <c r="E177" s="742"/>
      <c r="F177" s="630"/>
      <c r="G177" s="630"/>
      <c r="H177" s="630"/>
      <c r="I177" s="630"/>
      <c r="J177" s="631"/>
      <c r="K177" s="630"/>
      <c r="L177" s="630"/>
      <c r="M177" s="632"/>
      <c r="N177" s="631"/>
      <c r="O177" s="630"/>
      <c r="P177" s="630"/>
      <c r="Q177" s="630"/>
      <c r="R177" s="630"/>
    </row>
    <row r="178" spans="2:18" ht="15.75" customHeight="1" x14ac:dyDescent="0.3">
      <c r="B178" s="741"/>
      <c r="C178" s="742"/>
      <c r="D178" s="742"/>
      <c r="E178" s="742"/>
      <c r="F178" s="630"/>
      <c r="G178" s="630"/>
      <c r="H178" s="630"/>
      <c r="I178" s="630"/>
      <c r="J178" s="631"/>
      <c r="K178" s="630"/>
      <c r="L178" s="630"/>
      <c r="M178" s="632"/>
      <c r="N178" s="631"/>
      <c r="O178" s="630"/>
      <c r="P178" s="630"/>
      <c r="Q178" s="630"/>
      <c r="R178" s="630"/>
    </row>
    <row r="179" spans="2:18" ht="15.75" customHeight="1" x14ac:dyDescent="0.3">
      <c r="B179" s="741"/>
      <c r="C179" s="742"/>
      <c r="D179" s="742"/>
      <c r="E179" s="742"/>
      <c r="F179" s="630"/>
      <c r="G179" s="630"/>
      <c r="H179" s="630"/>
      <c r="I179" s="630"/>
      <c r="J179" s="631"/>
      <c r="K179" s="630"/>
      <c r="L179" s="630"/>
      <c r="M179" s="632"/>
      <c r="N179" s="631"/>
      <c r="O179" s="630"/>
      <c r="P179" s="630"/>
      <c r="Q179" s="630"/>
      <c r="R179" s="630"/>
    </row>
    <row r="180" spans="2:18" ht="15.75" customHeight="1" x14ac:dyDescent="0.3">
      <c r="B180" s="741"/>
      <c r="C180" s="742"/>
      <c r="D180" s="742"/>
      <c r="E180" s="742"/>
      <c r="F180" s="630"/>
      <c r="G180" s="630"/>
      <c r="H180" s="630"/>
      <c r="I180" s="630"/>
      <c r="J180" s="631"/>
      <c r="K180" s="630"/>
      <c r="L180" s="630"/>
      <c r="M180" s="632"/>
      <c r="N180" s="631"/>
      <c r="O180" s="630"/>
      <c r="P180" s="630"/>
      <c r="Q180" s="630"/>
      <c r="R180" s="630"/>
    </row>
    <row r="181" spans="2:18" ht="15.75" customHeight="1" x14ac:dyDescent="0.3">
      <c r="B181" s="741"/>
      <c r="C181" s="742"/>
      <c r="D181" s="742"/>
      <c r="E181" s="742"/>
      <c r="F181" s="630"/>
      <c r="G181" s="630"/>
      <c r="H181" s="630"/>
      <c r="I181" s="630"/>
      <c r="J181" s="631"/>
      <c r="K181" s="630"/>
      <c r="L181" s="630"/>
      <c r="M181" s="632"/>
      <c r="N181" s="631"/>
      <c r="O181" s="630"/>
      <c r="P181" s="630"/>
      <c r="Q181" s="630"/>
      <c r="R181" s="630"/>
    </row>
    <row r="182" spans="2:18" ht="15.75" customHeight="1" x14ac:dyDescent="0.3">
      <c r="B182" s="741"/>
      <c r="C182" s="742"/>
      <c r="D182" s="742"/>
      <c r="E182" s="742"/>
      <c r="F182" s="630"/>
      <c r="G182" s="630"/>
      <c r="H182" s="630"/>
      <c r="I182" s="630"/>
      <c r="J182" s="631"/>
      <c r="K182" s="630"/>
      <c r="L182" s="630"/>
      <c r="M182" s="632"/>
      <c r="N182" s="631"/>
      <c r="O182" s="630"/>
      <c r="P182" s="630"/>
      <c r="Q182" s="630"/>
      <c r="R182" s="630"/>
    </row>
    <row r="183" spans="2:18" ht="15.75" customHeight="1" x14ac:dyDescent="0.3">
      <c r="B183" s="741"/>
      <c r="C183" s="742"/>
      <c r="D183" s="742"/>
      <c r="E183" s="742"/>
      <c r="F183" s="630"/>
      <c r="G183" s="630"/>
      <c r="H183" s="630"/>
      <c r="I183" s="630"/>
      <c r="J183" s="631"/>
      <c r="K183" s="630"/>
      <c r="L183" s="630"/>
      <c r="M183" s="632"/>
      <c r="N183" s="631"/>
      <c r="O183" s="630"/>
      <c r="P183" s="630"/>
      <c r="Q183" s="630"/>
      <c r="R183" s="630"/>
    </row>
    <row r="184" spans="2:18" ht="15.75" customHeight="1" x14ac:dyDescent="0.3">
      <c r="B184" s="741"/>
      <c r="C184" s="742"/>
      <c r="D184" s="742"/>
      <c r="E184" s="742"/>
      <c r="F184" s="630"/>
      <c r="G184" s="630"/>
      <c r="H184" s="630"/>
      <c r="I184" s="630"/>
      <c r="J184" s="631"/>
      <c r="K184" s="630"/>
      <c r="L184" s="630"/>
      <c r="M184" s="632"/>
      <c r="N184" s="631"/>
      <c r="O184" s="630"/>
      <c r="P184" s="630"/>
      <c r="Q184" s="630"/>
      <c r="R184" s="630"/>
    </row>
    <row r="185" spans="2:18" ht="15.75" customHeight="1" x14ac:dyDescent="0.3">
      <c r="B185" s="741"/>
      <c r="C185" s="742"/>
      <c r="D185" s="742"/>
      <c r="E185" s="742"/>
      <c r="F185" s="630"/>
      <c r="G185" s="630"/>
      <c r="H185" s="630"/>
      <c r="I185" s="630"/>
      <c r="J185" s="631"/>
      <c r="K185" s="630"/>
      <c r="L185" s="630"/>
      <c r="M185" s="632"/>
      <c r="N185" s="631"/>
      <c r="O185" s="630"/>
      <c r="P185" s="630"/>
      <c r="Q185" s="630"/>
      <c r="R185" s="630"/>
    </row>
    <row r="186" spans="2:18" ht="15.75" customHeight="1" x14ac:dyDescent="0.3">
      <c r="B186" s="741"/>
      <c r="C186" s="742"/>
      <c r="D186" s="742"/>
      <c r="E186" s="742"/>
      <c r="F186" s="630"/>
      <c r="G186" s="630"/>
      <c r="H186" s="630"/>
      <c r="I186" s="630"/>
      <c r="J186" s="631"/>
      <c r="K186" s="630"/>
      <c r="L186" s="630"/>
      <c r="M186" s="632"/>
      <c r="N186" s="631"/>
      <c r="O186" s="630"/>
      <c r="P186" s="630"/>
      <c r="Q186" s="630"/>
      <c r="R186" s="630"/>
    </row>
    <row r="187" spans="2:18" ht="15.75" customHeight="1" x14ac:dyDescent="0.3">
      <c r="B187" s="741"/>
      <c r="C187" s="742"/>
      <c r="D187" s="742"/>
      <c r="E187" s="742"/>
      <c r="F187" s="630"/>
      <c r="G187" s="630"/>
      <c r="H187" s="630"/>
      <c r="I187" s="630"/>
      <c r="J187" s="631"/>
      <c r="K187" s="630"/>
      <c r="L187" s="630"/>
      <c r="M187" s="632"/>
      <c r="N187" s="631"/>
      <c r="O187" s="630"/>
      <c r="P187" s="630"/>
      <c r="Q187" s="630"/>
      <c r="R187" s="630"/>
    </row>
    <row r="188" spans="2:18" ht="15.75" customHeight="1" x14ac:dyDescent="0.3">
      <c r="B188" s="741"/>
      <c r="C188" s="742"/>
      <c r="D188" s="742"/>
      <c r="E188" s="742"/>
      <c r="F188" s="630"/>
      <c r="G188" s="630"/>
      <c r="H188" s="630"/>
      <c r="I188" s="630"/>
      <c r="J188" s="631"/>
      <c r="K188" s="630"/>
      <c r="L188" s="630"/>
      <c r="M188" s="632"/>
      <c r="N188" s="631"/>
      <c r="O188" s="630"/>
      <c r="P188" s="630"/>
      <c r="Q188" s="630"/>
      <c r="R188" s="630"/>
    </row>
    <row r="189" spans="2:18" ht="15.75" customHeight="1" x14ac:dyDescent="0.3">
      <c r="B189" s="741"/>
      <c r="C189" s="742"/>
      <c r="D189" s="742"/>
      <c r="E189" s="742"/>
      <c r="F189" s="630"/>
      <c r="G189" s="630"/>
      <c r="H189" s="630"/>
      <c r="I189" s="630"/>
      <c r="J189" s="631"/>
      <c r="K189" s="630"/>
      <c r="L189" s="630"/>
      <c r="M189" s="632"/>
      <c r="N189" s="631"/>
      <c r="O189" s="630"/>
      <c r="P189" s="630"/>
      <c r="Q189" s="630"/>
      <c r="R189" s="630"/>
    </row>
    <row r="190" spans="2:18" ht="15.75" customHeight="1" x14ac:dyDescent="0.3">
      <c r="B190" s="741"/>
      <c r="C190" s="742"/>
      <c r="D190" s="742"/>
      <c r="E190" s="742"/>
      <c r="F190" s="630"/>
      <c r="G190" s="630"/>
      <c r="H190" s="630"/>
      <c r="I190" s="630"/>
      <c r="J190" s="631"/>
      <c r="K190" s="630"/>
      <c r="L190" s="630"/>
      <c r="M190" s="632"/>
      <c r="N190" s="631"/>
      <c r="O190" s="630"/>
      <c r="P190" s="630"/>
      <c r="Q190" s="630"/>
      <c r="R190" s="630"/>
    </row>
    <row r="191" spans="2:18" ht="15.75" customHeight="1" x14ac:dyDescent="0.3">
      <c r="B191" s="741"/>
      <c r="C191" s="742"/>
      <c r="D191" s="742"/>
      <c r="E191" s="742"/>
      <c r="F191" s="630"/>
      <c r="G191" s="630"/>
      <c r="H191" s="630"/>
      <c r="I191" s="630"/>
      <c r="J191" s="631"/>
      <c r="K191" s="630"/>
      <c r="L191" s="630"/>
      <c r="M191" s="632"/>
      <c r="N191" s="631"/>
      <c r="O191" s="630"/>
      <c r="P191" s="630"/>
      <c r="Q191" s="630"/>
      <c r="R191" s="630"/>
    </row>
    <row r="192" spans="2:18" ht="15.75" customHeight="1" x14ac:dyDescent="0.3">
      <c r="B192" s="741"/>
      <c r="C192" s="742"/>
      <c r="D192" s="742"/>
      <c r="E192" s="742"/>
      <c r="F192" s="630"/>
      <c r="G192" s="630"/>
      <c r="H192" s="630"/>
      <c r="I192" s="630"/>
      <c r="J192" s="631"/>
      <c r="K192" s="630"/>
      <c r="L192" s="630"/>
      <c r="M192" s="632"/>
      <c r="N192" s="631"/>
      <c r="O192" s="630"/>
      <c r="P192" s="630"/>
      <c r="Q192" s="630"/>
      <c r="R192" s="630"/>
    </row>
    <row r="193" spans="2:18" ht="15.75" customHeight="1" x14ac:dyDescent="0.3">
      <c r="B193" s="741"/>
      <c r="C193" s="742"/>
      <c r="D193" s="742"/>
      <c r="E193" s="742"/>
      <c r="F193" s="630"/>
      <c r="G193" s="630"/>
      <c r="H193" s="630"/>
      <c r="I193" s="630"/>
      <c r="J193" s="631"/>
      <c r="K193" s="630"/>
      <c r="L193" s="630"/>
      <c r="M193" s="632"/>
      <c r="N193" s="631"/>
      <c r="O193" s="630"/>
      <c r="P193" s="630"/>
      <c r="Q193" s="630"/>
      <c r="R193" s="630"/>
    </row>
    <row r="194" spans="2:18" ht="15.75" customHeight="1" x14ac:dyDescent="0.3">
      <c r="B194" s="741"/>
      <c r="C194" s="742"/>
      <c r="D194" s="742"/>
      <c r="E194" s="742"/>
      <c r="F194" s="630"/>
      <c r="G194" s="630"/>
      <c r="H194" s="630"/>
      <c r="I194" s="630"/>
      <c r="J194" s="631"/>
      <c r="K194" s="630"/>
      <c r="L194" s="630"/>
      <c r="M194" s="632"/>
      <c r="N194" s="631"/>
      <c r="O194" s="630"/>
      <c r="P194" s="630"/>
      <c r="Q194" s="630"/>
      <c r="R194" s="630"/>
    </row>
    <row r="195" spans="2:18" ht="15.75" customHeight="1" x14ac:dyDescent="0.3">
      <c r="B195" s="741"/>
      <c r="C195" s="742"/>
      <c r="D195" s="742"/>
      <c r="E195" s="742"/>
      <c r="F195" s="630"/>
      <c r="G195" s="630"/>
      <c r="H195" s="630"/>
      <c r="I195" s="630"/>
      <c r="J195" s="631"/>
      <c r="K195" s="630"/>
      <c r="L195" s="630"/>
      <c r="M195" s="632"/>
      <c r="N195" s="631"/>
      <c r="O195" s="630"/>
      <c r="P195" s="630"/>
      <c r="Q195" s="630"/>
      <c r="R195" s="630"/>
    </row>
    <row r="196" spans="2:18" ht="15.75" customHeight="1" x14ac:dyDescent="0.3">
      <c r="B196" s="741"/>
      <c r="C196" s="742"/>
      <c r="D196" s="742"/>
      <c r="E196" s="742"/>
      <c r="F196" s="630"/>
      <c r="G196" s="630"/>
      <c r="H196" s="630"/>
      <c r="I196" s="630"/>
      <c r="J196" s="631"/>
      <c r="K196" s="630"/>
      <c r="L196" s="630"/>
      <c r="M196" s="632"/>
      <c r="N196" s="631"/>
      <c r="O196" s="630"/>
      <c r="P196" s="630"/>
      <c r="Q196" s="630"/>
      <c r="R196" s="630"/>
    </row>
    <row r="197" spans="2:18" ht="15.75" customHeight="1" x14ac:dyDescent="0.3">
      <c r="B197" s="741"/>
      <c r="C197" s="742"/>
      <c r="D197" s="742"/>
      <c r="E197" s="742"/>
      <c r="F197" s="630"/>
      <c r="G197" s="630"/>
      <c r="H197" s="630"/>
      <c r="I197" s="630"/>
      <c r="J197" s="631"/>
      <c r="K197" s="630"/>
      <c r="L197" s="630"/>
      <c r="M197" s="632"/>
      <c r="N197" s="631"/>
      <c r="O197" s="630"/>
      <c r="P197" s="630"/>
      <c r="Q197" s="630"/>
      <c r="R197" s="630"/>
    </row>
    <row r="198" spans="2:18" ht="15.75" customHeight="1" x14ac:dyDescent="0.3">
      <c r="B198" s="741"/>
      <c r="C198" s="742"/>
      <c r="D198" s="742"/>
      <c r="E198" s="742"/>
      <c r="F198" s="630"/>
      <c r="G198" s="630"/>
      <c r="H198" s="630"/>
      <c r="I198" s="630"/>
      <c r="J198" s="631"/>
      <c r="K198" s="630"/>
      <c r="L198" s="630"/>
      <c r="M198" s="632"/>
      <c r="N198" s="631"/>
      <c r="O198" s="630"/>
      <c r="P198" s="630"/>
      <c r="Q198" s="630"/>
      <c r="R198" s="630"/>
    </row>
    <row r="199" spans="2:18" ht="15.75" customHeight="1" x14ac:dyDescent="0.3">
      <c r="B199" s="741"/>
      <c r="C199" s="742"/>
      <c r="D199" s="742"/>
      <c r="E199" s="742"/>
      <c r="F199" s="630"/>
      <c r="G199" s="630"/>
      <c r="H199" s="630"/>
      <c r="I199" s="630"/>
      <c r="J199" s="631"/>
      <c r="K199" s="630"/>
      <c r="L199" s="630"/>
      <c r="M199" s="632"/>
      <c r="N199" s="631"/>
      <c r="O199" s="630"/>
      <c r="P199" s="630"/>
      <c r="Q199" s="630"/>
      <c r="R199" s="630"/>
    </row>
    <row r="200" spans="2:18" ht="15.75" customHeight="1" x14ac:dyDescent="0.3">
      <c r="B200" s="741"/>
      <c r="C200" s="742"/>
      <c r="D200" s="742"/>
      <c r="E200" s="742"/>
      <c r="F200" s="630"/>
      <c r="G200" s="630"/>
      <c r="H200" s="630"/>
      <c r="I200" s="630"/>
      <c r="J200" s="631"/>
      <c r="K200" s="630"/>
      <c r="L200" s="630"/>
      <c r="M200" s="632"/>
      <c r="N200" s="631"/>
      <c r="O200" s="630"/>
      <c r="P200" s="630"/>
      <c r="Q200" s="630"/>
      <c r="R200" s="630"/>
    </row>
    <row r="201" spans="2:18" ht="15.75" customHeight="1" x14ac:dyDescent="0.3">
      <c r="B201" s="741"/>
      <c r="C201" s="742"/>
      <c r="D201" s="742"/>
      <c r="E201" s="742"/>
      <c r="F201" s="630"/>
      <c r="G201" s="630"/>
      <c r="H201" s="630"/>
      <c r="I201" s="630"/>
      <c r="J201" s="631"/>
      <c r="K201" s="630"/>
      <c r="L201" s="630"/>
      <c r="M201" s="632"/>
      <c r="N201" s="631"/>
      <c r="O201" s="630"/>
      <c r="P201" s="630"/>
      <c r="Q201" s="630"/>
      <c r="R201" s="630"/>
    </row>
    <row r="202" spans="2:18" ht="15.75" customHeight="1" x14ac:dyDescent="0.3">
      <c r="B202" s="741"/>
      <c r="C202" s="742"/>
      <c r="D202" s="742"/>
      <c r="E202" s="742"/>
      <c r="F202" s="630"/>
      <c r="G202" s="630"/>
      <c r="H202" s="630"/>
      <c r="I202" s="630"/>
      <c r="J202" s="631"/>
      <c r="K202" s="630"/>
      <c r="L202" s="630"/>
      <c r="M202" s="632"/>
      <c r="N202" s="631"/>
      <c r="O202" s="630"/>
      <c r="P202" s="630"/>
      <c r="Q202" s="630"/>
      <c r="R202" s="630"/>
    </row>
    <row r="203" spans="2:18" ht="15.75" customHeight="1" x14ac:dyDescent="0.3">
      <c r="B203" s="741"/>
      <c r="C203" s="742"/>
      <c r="D203" s="742"/>
      <c r="E203" s="742"/>
      <c r="F203" s="630"/>
      <c r="G203" s="630"/>
      <c r="H203" s="630"/>
      <c r="I203" s="630"/>
      <c r="J203" s="631"/>
      <c r="K203" s="630"/>
      <c r="L203" s="630"/>
      <c r="M203" s="632"/>
      <c r="N203" s="631"/>
      <c r="O203" s="630"/>
      <c r="P203" s="630"/>
      <c r="Q203" s="630"/>
      <c r="R203" s="630"/>
    </row>
    <row r="204" spans="2:18" ht="15.75" customHeight="1" x14ac:dyDescent="0.3">
      <c r="B204" s="741"/>
      <c r="C204" s="742"/>
      <c r="D204" s="742"/>
      <c r="E204" s="742"/>
      <c r="F204" s="630"/>
      <c r="G204" s="630"/>
      <c r="H204" s="630"/>
      <c r="I204" s="630"/>
      <c r="J204" s="631"/>
      <c r="K204" s="630"/>
      <c r="L204" s="630"/>
      <c r="M204" s="632"/>
      <c r="N204" s="631"/>
      <c r="O204" s="630"/>
      <c r="P204" s="630"/>
      <c r="Q204" s="630"/>
      <c r="R204" s="630"/>
    </row>
    <row r="205" spans="2:18" ht="15.75" customHeight="1" x14ac:dyDescent="0.3">
      <c r="B205" s="741"/>
      <c r="C205" s="742"/>
      <c r="D205" s="742"/>
      <c r="E205" s="742"/>
      <c r="F205" s="630"/>
      <c r="G205" s="630"/>
      <c r="H205" s="630"/>
      <c r="I205" s="630"/>
      <c r="J205" s="631"/>
      <c r="K205" s="630"/>
      <c r="L205" s="630"/>
      <c r="M205" s="632"/>
      <c r="N205" s="631"/>
      <c r="O205" s="630"/>
      <c r="P205" s="630"/>
      <c r="Q205" s="630"/>
      <c r="R205" s="630"/>
    </row>
    <row r="206" spans="2:18" ht="15.75" customHeight="1" x14ac:dyDescent="0.3">
      <c r="B206" s="741"/>
      <c r="C206" s="742"/>
      <c r="D206" s="742"/>
      <c r="E206" s="742"/>
      <c r="F206" s="630"/>
      <c r="G206" s="630"/>
      <c r="H206" s="630"/>
      <c r="I206" s="630"/>
      <c r="J206" s="631"/>
      <c r="K206" s="630"/>
      <c r="L206" s="630"/>
      <c r="M206" s="632"/>
      <c r="N206" s="631"/>
      <c r="O206" s="630"/>
      <c r="P206" s="630"/>
      <c r="Q206" s="630"/>
      <c r="R206" s="630"/>
    </row>
    <row r="207" spans="2:18" ht="15.75" customHeight="1" x14ac:dyDescent="0.3">
      <c r="B207" s="741"/>
      <c r="C207" s="742"/>
      <c r="D207" s="742"/>
      <c r="E207" s="742"/>
      <c r="F207" s="630"/>
      <c r="G207" s="630"/>
      <c r="H207" s="630"/>
      <c r="I207" s="630"/>
      <c r="J207" s="631"/>
      <c r="K207" s="630"/>
      <c r="L207" s="630"/>
      <c r="M207" s="632"/>
      <c r="N207" s="631"/>
      <c r="O207" s="630"/>
      <c r="P207" s="630"/>
      <c r="Q207" s="630"/>
      <c r="R207" s="630"/>
    </row>
    <row r="208" spans="2:18" ht="15.75" customHeight="1" x14ac:dyDescent="0.3">
      <c r="B208" s="741"/>
      <c r="C208" s="742"/>
      <c r="D208" s="742"/>
      <c r="E208" s="742"/>
      <c r="F208" s="630"/>
      <c r="G208" s="630"/>
      <c r="H208" s="630"/>
      <c r="I208" s="630"/>
      <c r="J208" s="631"/>
      <c r="K208" s="630"/>
      <c r="L208" s="630"/>
      <c r="M208" s="632"/>
      <c r="N208" s="631"/>
      <c r="O208" s="630"/>
      <c r="P208" s="630"/>
      <c r="Q208" s="630"/>
      <c r="R208" s="630"/>
    </row>
    <row r="209" spans="2:18" ht="15.75" customHeight="1" x14ac:dyDescent="0.3">
      <c r="B209" s="741"/>
      <c r="C209" s="742"/>
      <c r="D209" s="742"/>
      <c r="E209" s="742"/>
      <c r="F209" s="630"/>
      <c r="G209" s="630"/>
      <c r="H209" s="630"/>
      <c r="I209" s="630"/>
      <c r="J209" s="631"/>
      <c r="K209" s="630"/>
      <c r="L209" s="630"/>
      <c r="M209" s="632"/>
      <c r="N209" s="631"/>
      <c r="O209" s="630"/>
      <c r="P209" s="630"/>
      <c r="Q209" s="630"/>
      <c r="R209" s="630"/>
    </row>
    <row r="210" spans="2:18" ht="15.75" customHeight="1" x14ac:dyDescent="0.3">
      <c r="B210" s="741"/>
      <c r="C210" s="742"/>
      <c r="D210" s="742"/>
      <c r="E210" s="742"/>
      <c r="F210" s="630"/>
      <c r="G210" s="630"/>
      <c r="H210" s="630"/>
      <c r="I210" s="630"/>
      <c r="J210" s="631"/>
      <c r="K210" s="630"/>
      <c r="L210" s="630"/>
      <c r="M210" s="632"/>
      <c r="N210" s="631"/>
      <c r="O210" s="630"/>
      <c r="P210" s="630"/>
      <c r="Q210" s="630"/>
      <c r="R210" s="630"/>
    </row>
    <row r="211" spans="2:18" ht="15.75" customHeight="1" x14ac:dyDescent="0.3">
      <c r="B211" s="741"/>
      <c r="C211" s="742"/>
      <c r="D211" s="742"/>
      <c r="E211" s="742"/>
      <c r="F211" s="630"/>
      <c r="G211" s="630"/>
      <c r="H211" s="630"/>
      <c r="I211" s="630"/>
      <c r="J211" s="631"/>
      <c r="K211" s="630"/>
      <c r="L211" s="630"/>
      <c r="M211" s="632"/>
      <c r="N211" s="631"/>
      <c r="O211" s="630"/>
      <c r="P211" s="630"/>
      <c r="Q211" s="630"/>
      <c r="R211" s="630"/>
    </row>
    <row r="212" spans="2:18" ht="15.75" customHeight="1" x14ac:dyDescent="0.3">
      <c r="B212" s="741"/>
      <c r="C212" s="742"/>
      <c r="D212" s="742"/>
      <c r="E212" s="742"/>
      <c r="F212" s="630"/>
      <c r="G212" s="630"/>
      <c r="H212" s="630"/>
      <c r="I212" s="630"/>
      <c r="J212" s="631"/>
      <c r="K212" s="630"/>
      <c r="L212" s="630"/>
      <c r="M212" s="632"/>
      <c r="N212" s="631"/>
      <c r="O212" s="630"/>
      <c r="P212" s="630"/>
      <c r="Q212" s="630"/>
      <c r="R212" s="630"/>
    </row>
    <row r="213" spans="2:18" ht="15.75" customHeight="1" x14ac:dyDescent="0.3">
      <c r="B213" s="741"/>
      <c r="C213" s="742"/>
      <c r="D213" s="742"/>
      <c r="E213" s="742"/>
      <c r="F213" s="630"/>
      <c r="G213" s="630"/>
      <c r="H213" s="630"/>
      <c r="I213" s="630"/>
      <c r="J213" s="631"/>
      <c r="K213" s="630"/>
      <c r="L213" s="630"/>
      <c r="M213" s="632"/>
      <c r="N213" s="631"/>
      <c r="O213" s="630"/>
      <c r="P213" s="630"/>
      <c r="Q213" s="630"/>
      <c r="R213" s="630"/>
    </row>
    <row r="214" spans="2:18" ht="15.75" customHeight="1" x14ac:dyDescent="0.3">
      <c r="B214" s="741"/>
      <c r="C214" s="742"/>
      <c r="D214" s="742"/>
      <c r="E214" s="742"/>
      <c r="F214" s="630"/>
      <c r="G214" s="630"/>
      <c r="H214" s="630"/>
      <c r="I214" s="630"/>
      <c r="J214" s="631"/>
      <c r="K214" s="630"/>
      <c r="L214" s="630"/>
      <c r="M214" s="632"/>
      <c r="N214" s="631"/>
      <c r="O214" s="630"/>
      <c r="P214" s="630"/>
      <c r="Q214" s="630"/>
      <c r="R214" s="630"/>
    </row>
    <row r="215" spans="2:18" ht="15.75" customHeight="1" x14ac:dyDescent="0.3">
      <c r="B215" s="741"/>
      <c r="C215" s="742"/>
      <c r="D215" s="742"/>
      <c r="E215" s="742"/>
      <c r="F215" s="630"/>
      <c r="G215" s="630"/>
      <c r="H215" s="630"/>
      <c r="I215" s="630"/>
      <c r="J215" s="631"/>
      <c r="K215" s="630"/>
      <c r="L215" s="630"/>
      <c r="M215" s="632"/>
      <c r="N215" s="631"/>
      <c r="O215" s="630"/>
      <c r="P215" s="630"/>
      <c r="Q215" s="630"/>
      <c r="R215" s="630"/>
    </row>
    <row r="216" spans="2:18" ht="15.75" customHeight="1" x14ac:dyDescent="0.3">
      <c r="B216" s="741"/>
      <c r="C216" s="742"/>
      <c r="D216" s="742"/>
      <c r="E216" s="742"/>
      <c r="F216" s="630"/>
      <c r="G216" s="630"/>
      <c r="H216" s="630"/>
      <c r="I216" s="630"/>
      <c r="J216" s="631"/>
      <c r="K216" s="630"/>
      <c r="L216" s="630"/>
      <c r="M216" s="632"/>
      <c r="N216" s="631"/>
      <c r="O216" s="630"/>
      <c r="P216" s="630"/>
      <c r="Q216" s="630"/>
      <c r="R216" s="630"/>
    </row>
    <row r="217" spans="2:18" ht="15.75" customHeight="1" x14ac:dyDescent="0.3">
      <c r="B217" s="741"/>
      <c r="C217" s="742"/>
      <c r="D217" s="742"/>
      <c r="E217" s="742"/>
      <c r="F217" s="630"/>
      <c r="G217" s="630"/>
      <c r="H217" s="630"/>
      <c r="I217" s="630"/>
      <c r="J217" s="631"/>
      <c r="K217" s="630"/>
      <c r="L217" s="630"/>
      <c r="M217" s="632"/>
      <c r="N217" s="631"/>
      <c r="O217" s="630"/>
      <c r="P217" s="630"/>
      <c r="Q217" s="630"/>
      <c r="R217" s="630"/>
    </row>
    <row r="218" spans="2:18" ht="15.75" customHeight="1" x14ac:dyDescent="0.3">
      <c r="B218" s="741"/>
      <c r="C218" s="742"/>
      <c r="D218" s="742"/>
      <c r="E218" s="742"/>
      <c r="F218" s="630"/>
      <c r="G218" s="630"/>
      <c r="H218" s="630"/>
      <c r="I218" s="630"/>
      <c r="J218" s="631"/>
      <c r="K218" s="630"/>
      <c r="L218" s="630"/>
      <c r="M218" s="632"/>
      <c r="N218" s="631"/>
      <c r="O218" s="630"/>
      <c r="P218" s="630"/>
      <c r="Q218" s="630"/>
      <c r="R218" s="630"/>
    </row>
    <row r="219" spans="2:18" ht="15.75" customHeight="1" x14ac:dyDescent="0.3">
      <c r="B219" s="741"/>
      <c r="C219" s="742"/>
      <c r="D219" s="742"/>
      <c r="E219" s="742"/>
      <c r="F219" s="630"/>
      <c r="G219" s="630"/>
      <c r="H219" s="630"/>
      <c r="I219" s="630"/>
      <c r="J219" s="631"/>
      <c r="K219" s="630"/>
      <c r="L219" s="630"/>
      <c r="M219" s="632"/>
      <c r="N219" s="631"/>
      <c r="O219" s="630"/>
      <c r="P219" s="630"/>
      <c r="Q219" s="630"/>
      <c r="R219" s="630"/>
    </row>
    <row r="220" spans="2:18" ht="15.75" customHeight="1" x14ac:dyDescent="0.3">
      <c r="B220" s="741"/>
      <c r="C220" s="742"/>
      <c r="D220" s="742"/>
      <c r="E220" s="742"/>
      <c r="F220" s="630"/>
      <c r="G220" s="630"/>
      <c r="H220" s="630"/>
      <c r="I220" s="630"/>
      <c r="J220" s="631"/>
      <c r="K220" s="630"/>
      <c r="L220" s="630"/>
      <c r="M220" s="632"/>
      <c r="N220" s="631"/>
      <c r="O220" s="630"/>
      <c r="P220" s="630"/>
      <c r="Q220" s="630"/>
      <c r="R220" s="630"/>
    </row>
    <row r="221" spans="2:18" ht="15.75" customHeight="1" x14ac:dyDescent="0.3">
      <c r="B221" s="741"/>
      <c r="C221" s="742"/>
      <c r="D221" s="742"/>
      <c r="E221" s="742"/>
      <c r="F221" s="630"/>
      <c r="G221" s="630"/>
      <c r="H221" s="630"/>
      <c r="I221" s="630"/>
      <c r="J221" s="631"/>
      <c r="K221" s="630"/>
      <c r="L221" s="630"/>
      <c r="M221" s="632"/>
      <c r="N221" s="631"/>
      <c r="O221" s="630"/>
      <c r="P221" s="630"/>
      <c r="Q221" s="630"/>
      <c r="R221" s="630"/>
    </row>
    <row r="222" spans="2:18" ht="15.75" customHeight="1" x14ac:dyDescent="0.3">
      <c r="B222" s="741"/>
      <c r="C222" s="742"/>
      <c r="D222" s="742"/>
      <c r="E222" s="742"/>
      <c r="F222" s="630"/>
      <c r="G222" s="630"/>
      <c r="H222" s="630"/>
      <c r="I222" s="630"/>
      <c r="J222" s="631"/>
      <c r="K222" s="630"/>
      <c r="L222" s="630"/>
      <c r="M222" s="632"/>
      <c r="N222" s="631"/>
      <c r="O222" s="630"/>
      <c r="P222" s="630"/>
      <c r="Q222" s="630"/>
      <c r="R222" s="630"/>
    </row>
    <row r="223" spans="2:18" ht="15.75" customHeight="1" x14ac:dyDescent="0.3">
      <c r="B223" s="741"/>
      <c r="C223" s="742"/>
      <c r="D223" s="742"/>
      <c r="E223" s="742"/>
      <c r="F223" s="630"/>
      <c r="G223" s="630"/>
      <c r="H223" s="630"/>
      <c r="I223" s="630"/>
      <c r="J223" s="631"/>
      <c r="K223" s="630"/>
      <c r="L223" s="630"/>
      <c r="M223" s="632"/>
      <c r="N223" s="631"/>
      <c r="O223" s="630"/>
      <c r="P223" s="630"/>
      <c r="Q223" s="630"/>
      <c r="R223" s="630"/>
    </row>
    <row r="224" spans="2:18" ht="15.75" customHeight="1" x14ac:dyDescent="0.3">
      <c r="B224" s="741"/>
      <c r="C224" s="742"/>
      <c r="D224" s="742"/>
      <c r="E224" s="742"/>
      <c r="F224" s="630"/>
      <c r="G224" s="630"/>
      <c r="H224" s="630"/>
      <c r="I224" s="630"/>
      <c r="J224" s="631"/>
      <c r="K224" s="630"/>
      <c r="L224" s="630"/>
      <c r="M224" s="632"/>
      <c r="N224" s="631"/>
      <c r="O224" s="630"/>
      <c r="P224" s="630"/>
      <c r="Q224" s="630"/>
      <c r="R224" s="630"/>
    </row>
    <row r="225" spans="2:18" ht="15.75" customHeight="1" x14ac:dyDescent="0.3">
      <c r="B225" s="741"/>
      <c r="C225" s="742"/>
      <c r="D225" s="742"/>
      <c r="E225" s="742"/>
      <c r="F225" s="630"/>
      <c r="G225" s="630"/>
      <c r="H225" s="630"/>
      <c r="I225" s="630"/>
      <c r="J225" s="631"/>
      <c r="K225" s="630"/>
      <c r="L225" s="630"/>
      <c r="M225" s="632"/>
      <c r="N225" s="631"/>
      <c r="O225" s="630"/>
      <c r="P225" s="630"/>
      <c r="Q225" s="630"/>
      <c r="R225" s="630"/>
    </row>
    <row r="226" spans="2:18" ht="15.75" customHeight="1" x14ac:dyDescent="0.3">
      <c r="B226" s="741"/>
      <c r="C226" s="742"/>
      <c r="D226" s="742"/>
      <c r="E226" s="742"/>
      <c r="F226" s="630"/>
      <c r="G226" s="630"/>
      <c r="H226" s="630"/>
      <c r="I226" s="630"/>
      <c r="J226" s="631"/>
      <c r="K226" s="630"/>
      <c r="L226" s="630"/>
      <c r="M226" s="632"/>
      <c r="N226" s="631"/>
      <c r="O226" s="630"/>
      <c r="P226" s="630"/>
      <c r="Q226" s="630"/>
      <c r="R226" s="630"/>
    </row>
    <row r="227" spans="2:18" ht="15.75" customHeight="1" x14ac:dyDescent="0.3">
      <c r="B227" s="741"/>
      <c r="C227" s="742"/>
      <c r="D227" s="742"/>
      <c r="E227" s="742"/>
      <c r="F227" s="630"/>
      <c r="G227" s="630"/>
      <c r="H227" s="630"/>
      <c r="I227" s="630"/>
      <c r="J227" s="631"/>
      <c r="K227" s="630"/>
      <c r="L227" s="630"/>
      <c r="M227" s="632"/>
      <c r="N227" s="631"/>
      <c r="O227" s="630"/>
      <c r="P227" s="630"/>
      <c r="Q227" s="630"/>
      <c r="R227" s="630"/>
    </row>
    <row r="228" spans="2:18" ht="15.75" customHeight="1" x14ac:dyDescent="0.3">
      <c r="B228" s="741"/>
      <c r="C228" s="742"/>
      <c r="D228" s="742"/>
      <c r="E228" s="742"/>
      <c r="F228" s="630"/>
      <c r="G228" s="630"/>
      <c r="H228" s="630"/>
      <c r="I228" s="630"/>
      <c r="J228" s="631"/>
      <c r="K228" s="630"/>
      <c r="L228" s="630"/>
      <c r="M228" s="632"/>
      <c r="N228" s="631"/>
      <c r="O228" s="630"/>
      <c r="P228" s="630"/>
      <c r="Q228" s="630"/>
      <c r="R228" s="630"/>
    </row>
    <row r="229" spans="2:18" ht="15.75" customHeight="1" x14ac:dyDescent="0.3">
      <c r="B229" s="741"/>
      <c r="C229" s="742"/>
      <c r="D229" s="742"/>
      <c r="E229" s="742"/>
      <c r="F229" s="630"/>
      <c r="G229" s="630"/>
      <c r="H229" s="630"/>
      <c r="I229" s="630"/>
      <c r="J229" s="631"/>
      <c r="K229" s="630"/>
      <c r="L229" s="630"/>
      <c r="M229" s="632"/>
      <c r="N229" s="631"/>
      <c r="O229" s="630"/>
      <c r="P229" s="630"/>
      <c r="Q229" s="630"/>
      <c r="R229" s="630"/>
    </row>
    <row r="230" spans="2:18" ht="15.75" customHeight="1" x14ac:dyDescent="0.3">
      <c r="B230" s="741"/>
      <c r="C230" s="742"/>
      <c r="D230" s="742"/>
      <c r="E230" s="742"/>
      <c r="F230" s="630"/>
      <c r="G230" s="630"/>
      <c r="H230" s="630"/>
      <c r="I230" s="630"/>
      <c r="J230" s="631"/>
      <c r="K230" s="630"/>
      <c r="L230" s="630"/>
      <c r="M230" s="632"/>
      <c r="N230" s="631"/>
      <c r="O230" s="630"/>
      <c r="P230" s="630"/>
      <c r="Q230" s="630"/>
      <c r="R230" s="630"/>
    </row>
    <row r="231" spans="2:18" ht="15.75" customHeight="1" x14ac:dyDescent="0.3">
      <c r="B231" s="741"/>
      <c r="C231" s="742"/>
      <c r="D231" s="742"/>
      <c r="E231" s="742"/>
      <c r="F231" s="630"/>
      <c r="G231" s="630"/>
      <c r="H231" s="630"/>
      <c r="I231" s="630"/>
      <c r="J231" s="631"/>
      <c r="K231" s="630"/>
      <c r="L231" s="630"/>
      <c r="M231" s="632"/>
      <c r="N231" s="631"/>
      <c r="O231" s="630"/>
      <c r="P231" s="630"/>
      <c r="Q231" s="630"/>
      <c r="R231" s="630"/>
    </row>
    <row r="232" spans="2:18" ht="15.75" customHeight="1" x14ac:dyDescent="0.3">
      <c r="B232" s="741"/>
      <c r="C232" s="742"/>
      <c r="D232" s="742"/>
      <c r="E232" s="742"/>
      <c r="F232" s="630"/>
      <c r="G232" s="630"/>
      <c r="H232" s="630"/>
      <c r="I232" s="630"/>
      <c r="J232" s="631"/>
      <c r="K232" s="630"/>
      <c r="L232" s="630"/>
      <c r="M232" s="632"/>
      <c r="N232" s="631"/>
      <c r="O232" s="630"/>
      <c r="P232" s="630"/>
      <c r="Q232" s="630"/>
      <c r="R232" s="630"/>
    </row>
    <row r="233" spans="2:18" ht="15.75" customHeight="1" x14ac:dyDescent="0.3">
      <c r="B233" s="741"/>
      <c r="C233" s="742"/>
      <c r="D233" s="742"/>
      <c r="E233" s="742"/>
      <c r="F233" s="630"/>
      <c r="G233" s="630"/>
      <c r="H233" s="630"/>
      <c r="I233" s="630"/>
      <c r="J233" s="631"/>
      <c r="K233" s="630"/>
      <c r="L233" s="630"/>
      <c r="M233" s="632"/>
      <c r="N233" s="631"/>
      <c r="O233" s="630"/>
      <c r="P233" s="630"/>
      <c r="Q233" s="630"/>
      <c r="R233" s="630"/>
    </row>
    <row r="234" spans="2:18" ht="15.75" customHeight="1" x14ac:dyDescent="0.3">
      <c r="B234" s="741"/>
      <c r="C234" s="742"/>
      <c r="D234" s="742"/>
      <c r="E234" s="742"/>
      <c r="F234" s="630"/>
      <c r="G234" s="630"/>
      <c r="H234" s="630"/>
      <c r="I234" s="630"/>
      <c r="J234" s="631"/>
      <c r="K234" s="630"/>
      <c r="L234" s="630"/>
      <c r="M234" s="632"/>
      <c r="N234" s="631"/>
      <c r="O234" s="630"/>
      <c r="P234" s="630"/>
      <c r="Q234" s="630"/>
      <c r="R234" s="630"/>
    </row>
    <row r="235" spans="2:18" ht="15.75" customHeight="1" x14ac:dyDescent="0.3">
      <c r="B235" s="741"/>
      <c r="C235" s="742"/>
      <c r="D235" s="742"/>
      <c r="E235" s="742"/>
      <c r="F235" s="630"/>
      <c r="G235" s="630"/>
      <c r="H235" s="630"/>
      <c r="I235" s="630"/>
      <c r="J235" s="631"/>
      <c r="K235" s="630"/>
      <c r="L235" s="630"/>
      <c r="M235" s="632"/>
      <c r="N235" s="631"/>
      <c r="O235" s="630"/>
      <c r="P235" s="630"/>
      <c r="Q235" s="630"/>
      <c r="R235" s="630"/>
    </row>
    <row r="236" spans="2:18" ht="15.75" customHeight="1" x14ac:dyDescent="0.3">
      <c r="B236" s="741"/>
      <c r="C236" s="742"/>
      <c r="D236" s="742"/>
      <c r="E236" s="742"/>
      <c r="F236" s="630"/>
      <c r="G236" s="630"/>
      <c r="H236" s="630"/>
      <c r="I236" s="630"/>
      <c r="J236" s="631"/>
      <c r="K236" s="630"/>
      <c r="L236" s="630"/>
      <c r="M236" s="632"/>
      <c r="N236" s="631"/>
      <c r="O236" s="630"/>
      <c r="P236" s="630"/>
      <c r="Q236" s="630"/>
      <c r="R236" s="630"/>
    </row>
    <row r="237" spans="2:18" ht="15.75" customHeight="1" x14ac:dyDescent="0.3">
      <c r="B237" s="741"/>
      <c r="C237" s="742"/>
      <c r="D237" s="742"/>
      <c r="E237" s="742"/>
      <c r="F237" s="630"/>
      <c r="G237" s="630"/>
      <c r="H237" s="630"/>
      <c r="I237" s="630"/>
      <c r="J237" s="631"/>
      <c r="K237" s="630"/>
      <c r="L237" s="630"/>
      <c r="M237" s="632"/>
      <c r="N237" s="631"/>
      <c r="O237" s="630"/>
      <c r="P237" s="630"/>
      <c r="Q237" s="630"/>
      <c r="R237" s="630"/>
    </row>
    <row r="238" spans="2:18" ht="15.75" customHeight="1" x14ac:dyDescent="0.3">
      <c r="B238" s="741"/>
      <c r="C238" s="742"/>
      <c r="D238" s="742"/>
      <c r="E238" s="742"/>
      <c r="F238" s="630"/>
      <c r="G238" s="630"/>
      <c r="H238" s="630"/>
      <c r="I238" s="630"/>
      <c r="J238" s="631"/>
      <c r="K238" s="630"/>
      <c r="L238" s="630"/>
      <c r="M238" s="632"/>
      <c r="N238" s="631"/>
      <c r="O238" s="630"/>
      <c r="P238" s="630"/>
      <c r="Q238" s="630"/>
      <c r="R238" s="630"/>
    </row>
    <row r="239" spans="2:18" ht="15.75" customHeight="1" x14ac:dyDescent="0.3">
      <c r="B239" s="741"/>
      <c r="C239" s="742"/>
      <c r="D239" s="742"/>
      <c r="E239" s="742"/>
      <c r="F239" s="630"/>
      <c r="G239" s="630"/>
      <c r="H239" s="630"/>
      <c r="I239" s="630"/>
      <c r="J239" s="631"/>
      <c r="K239" s="630"/>
      <c r="L239" s="630"/>
      <c r="M239" s="632"/>
      <c r="N239" s="631"/>
      <c r="O239" s="630"/>
      <c r="P239" s="630"/>
      <c r="Q239" s="630"/>
      <c r="R239" s="630"/>
    </row>
    <row r="240" spans="2:18" ht="15.75" customHeight="1" x14ac:dyDescent="0.3">
      <c r="B240" s="741"/>
      <c r="C240" s="742"/>
      <c r="D240" s="742"/>
      <c r="E240" s="742"/>
      <c r="F240" s="630"/>
      <c r="G240" s="630"/>
      <c r="H240" s="630"/>
      <c r="I240" s="630"/>
      <c r="J240" s="631"/>
      <c r="K240" s="630"/>
      <c r="L240" s="630"/>
      <c r="M240" s="632"/>
      <c r="N240" s="631"/>
      <c r="O240" s="630"/>
      <c r="P240" s="630"/>
      <c r="Q240" s="630"/>
      <c r="R240" s="630"/>
    </row>
    <row r="241" spans="2:18" ht="15.75" customHeight="1" x14ac:dyDescent="0.3">
      <c r="B241" s="741"/>
      <c r="C241" s="742"/>
      <c r="D241" s="742"/>
      <c r="E241" s="742"/>
      <c r="F241" s="630"/>
      <c r="G241" s="630"/>
      <c r="H241" s="630"/>
      <c r="I241" s="630"/>
      <c r="J241" s="631"/>
      <c r="K241" s="630"/>
      <c r="L241" s="630"/>
      <c r="M241" s="632"/>
      <c r="N241" s="631"/>
      <c r="O241" s="630"/>
      <c r="P241" s="630"/>
      <c r="Q241" s="630"/>
      <c r="R241" s="630"/>
    </row>
    <row r="242" spans="2:18" ht="15.75" customHeight="1" x14ac:dyDescent="0.3">
      <c r="B242" s="741"/>
      <c r="C242" s="742"/>
      <c r="D242" s="742"/>
      <c r="E242" s="742"/>
      <c r="F242" s="630"/>
      <c r="G242" s="630"/>
      <c r="H242" s="630"/>
      <c r="I242" s="630"/>
      <c r="J242" s="631"/>
      <c r="K242" s="630"/>
      <c r="L242" s="630"/>
      <c r="M242" s="632"/>
      <c r="N242" s="631"/>
      <c r="O242" s="630"/>
      <c r="P242" s="630"/>
      <c r="Q242" s="630"/>
      <c r="R242" s="630"/>
    </row>
    <row r="243" spans="2:18" ht="15.75" customHeight="1" x14ac:dyDescent="0.3">
      <c r="B243" s="741"/>
      <c r="C243" s="742"/>
      <c r="D243" s="742"/>
      <c r="E243" s="742"/>
      <c r="F243" s="630"/>
      <c r="G243" s="630"/>
      <c r="H243" s="630"/>
      <c r="I243" s="630"/>
      <c r="J243" s="631"/>
      <c r="K243" s="630"/>
      <c r="L243" s="630"/>
      <c r="M243" s="632"/>
      <c r="N243" s="631"/>
      <c r="O243" s="630"/>
      <c r="P243" s="630"/>
      <c r="Q243" s="630"/>
      <c r="R243" s="630"/>
    </row>
    <row r="244" spans="2:18" ht="15.75" customHeight="1" x14ac:dyDescent="0.3">
      <c r="B244" s="741"/>
      <c r="C244" s="742"/>
      <c r="D244" s="742"/>
      <c r="E244" s="742"/>
      <c r="F244" s="630"/>
      <c r="G244" s="630"/>
      <c r="H244" s="630"/>
      <c r="I244" s="630"/>
      <c r="J244" s="631"/>
      <c r="K244" s="630"/>
      <c r="L244" s="630"/>
      <c r="M244" s="632"/>
      <c r="N244" s="631"/>
      <c r="O244" s="630"/>
      <c r="P244" s="630"/>
      <c r="Q244" s="630"/>
      <c r="R244" s="630"/>
    </row>
    <row r="245" spans="2:18" ht="15.75" customHeight="1" x14ac:dyDescent="0.3">
      <c r="B245" s="741"/>
      <c r="C245" s="742"/>
      <c r="D245" s="742"/>
      <c r="E245" s="742"/>
      <c r="F245" s="630"/>
      <c r="G245" s="630"/>
      <c r="H245" s="630"/>
      <c r="I245" s="630"/>
      <c r="J245" s="631"/>
      <c r="K245" s="630"/>
      <c r="L245" s="630"/>
      <c r="M245" s="632"/>
      <c r="N245" s="631"/>
      <c r="O245" s="630"/>
      <c r="P245" s="630"/>
      <c r="Q245" s="630"/>
      <c r="R245" s="630"/>
    </row>
    <row r="246" spans="2:18" ht="15.75" customHeight="1" x14ac:dyDescent="0.3">
      <c r="B246" s="741"/>
      <c r="C246" s="742"/>
      <c r="D246" s="742"/>
      <c r="E246" s="742"/>
      <c r="F246" s="630"/>
      <c r="G246" s="630"/>
      <c r="H246" s="630"/>
      <c r="I246" s="630"/>
      <c r="J246" s="631"/>
      <c r="K246" s="630"/>
      <c r="L246" s="630"/>
      <c r="M246" s="632"/>
      <c r="N246" s="631"/>
      <c r="O246" s="630"/>
      <c r="P246" s="630"/>
      <c r="Q246" s="630"/>
      <c r="R246" s="630"/>
    </row>
    <row r="247" spans="2:18" ht="15.75" customHeight="1" x14ac:dyDescent="0.3">
      <c r="B247" s="741"/>
      <c r="C247" s="742"/>
      <c r="D247" s="742"/>
      <c r="E247" s="742"/>
      <c r="F247" s="630"/>
      <c r="G247" s="630"/>
      <c r="H247" s="630"/>
      <c r="I247" s="630"/>
      <c r="J247" s="631"/>
      <c r="K247" s="630"/>
      <c r="L247" s="630"/>
      <c r="M247" s="632"/>
      <c r="N247" s="631"/>
      <c r="O247" s="630"/>
      <c r="P247" s="630"/>
      <c r="Q247" s="630"/>
      <c r="R247" s="630"/>
    </row>
    <row r="248" spans="2:18" ht="15.75" customHeight="1" x14ac:dyDescent="0.3">
      <c r="B248" s="741"/>
      <c r="C248" s="742"/>
      <c r="D248" s="742"/>
      <c r="E248" s="742"/>
      <c r="F248" s="630"/>
      <c r="G248" s="630"/>
      <c r="H248" s="630"/>
      <c r="I248" s="630"/>
      <c r="J248" s="631"/>
      <c r="K248" s="630"/>
      <c r="L248" s="630"/>
      <c r="M248" s="632"/>
      <c r="N248" s="631"/>
      <c r="O248" s="630"/>
      <c r="P248" s="630"/>
      <c r="Q248" s="630"/>
      <c r="R248" s="630"/>
    </row>
    <row r="249" spans="2:18" ht="15.75" customHeight="1" x14ac:dyDescent="0.3">
      <c r="B249" s="741"/>
      <c r="C249" s="742"/>
      <c r="D249" s="742"/>
      <c r="E249" s="742"/>
      <c r="F249" s="630"/>
      <c r="G249" s="630"/>
      <c r="H249" s="630"/>
      <c r="I249" s="630"/>
      <c r="J249" s="631"/>
      <c r="K249" s="630"/>
      <c r="L249" s="630"/>
      <c r="M249" s="632"/>
      <c r="N249" s="631"/>
      <c r="O249" s="630"/>
      <c r="P249" s="630"/>
      <c r="Q249" s="630"/>
      <c r="R249" s="630"/>
    </row>
    <row r="250" spans="2:18" ht="15.75" customHeight="1" x14ac:dyDescent="0.3">
      <c r="B250" s="741"/>
      <c r="C250" s="742"/>
      <c r="D250" s="742"/>
      <c r="E250" s="742"/>
      <c r="F250" s="630"/>
      <c r="G250" s="630"/>
      <c r="H250" s="630"/>
      <c r="I250" s="630"/>
      <c r="J250" s="631"/>
      <c r="K250" s="630"/>
      <c r="L250" s="630"/>
      <c r="M250" s="632"/>
      <c r="N250" s="631"/>
      <c r="O250" s="630"/>
      <c r="P250" s="630"/>
      <c r="Q250" s="630"/>
      <c r="R250" s="630"/>
    </row>
    <row r="251" spans="2:18" ht="15.75" customHeight="1" x14ac:dyDescent="0.3">
      <c r="B251" s="741"/>
      <c r="C251" s="742"/>
      <c r="D251" s="742"/>
      <c r="E251" s="742"/>
      <c r="F251" s="630"/>
      <c r="G251" s="630"/>
      <c r="H251" s="630"/>
      <c r="I251" s="630"/>
      <c r="J251" s="631"/>
      <c r="K251" s="630"/>
      <c r="L251" s="630"/>
      <c r="M251" s="632"/>
      <c r="N251" s="631"/>
      <c r="O251" s="630"/>
      <c r="P251" s="630"/>
      <c r="Q251" s="630"/>
      <c r="R251" s="630"/>
    </row>
    <row r="252" spans="2:18" ht="15.75" customHeight="1" x14ac:dyDescent="0.3">
      <c r="B252" s="741"/>
      <c r="C252" s="742"/>
      <c r="D252" s="742"/>
      <c r="E252" s="742"/>
      <c r="F252" s="630"/>
      <c r="G252" s="630"/>
      <c r="H252" s="630"/>
      <c r="I252" s="630"/>
      <c r="J252" s="631"/>
      <c r="K252" s="630"/>
      <c r="L252" s="630"/>
      <c r="M252" s="632"/>
      <c r="N252" s="631"/>
      <c r="O252" s="630"/>
      <c r="P252" s="630"/>
      <c r="Q252" s="630"/>
      <c r="R252" s="630"/>
    </row>
    <row r="253" spans="2:18" ht="15.75" customHeight="1" x14ac:dyDescent="0.3">
      <c r="B253" s="741"/>
      <c r="C253" s="742"/>
      <c r="D253" s="742"/>
      <c r="E253" s="742"/>
      <c r="F253" s="630"/>
      <c r="G253" s="630"/>
      <c r="H253" s="630"/>
      <c r="I253" s="630"/>
      <c r="J253" s="631"/>
      <c r="K253" s="630"/>
      <c r="L253" s="630"/>
      <c r="M253" s="632"/>
      <c r="N253" s="631"/>
      <c r="O253" s="630"/>
      <c r="P253" s="630"/>
      <c r="Q253" s="630"/>
      <c r="R253" s="630"/>
    </row>
    <row r="254" spans="2:18" ht="15.75" customHeight="1" x14ac:dyDescent="0.3">
      <c r="B254" s="741"/>
      <c r="C254" s="742"/>
      <c r="D254" s="742"/>
      <c r="E254" s="742"/>
      <c r="F254" s="630"/>
      <c r="G254" s="630"/>
      <c r="H254" s="630"/>
      <c r="I254" s="630"/>
      <c r="J254" s="631"/>
      <c r="K254" s="630"/>
      <c r="L254" s="630"/>
      <c r="M254" s="632"/>
      <c r="N254" s="631"/>
      <c r="O254" s="630"/>
      <c r="P254" s="630"/>
      <c r="Q254" s="630"/>
      <c r="R254" s="630"/>
    </row>
    <row r="255" spans="2:18" ht="15.75" customHeight="1" x14ac:dyDescent="0.3">
      <c r="B255" s="741"/>
      <c r="C255" s="742"/>
      <c r="D255" s="742"/>
      <c r="E255" s="742"/>
      <c r="F255" s="630"/>
      <c r="G255" s="630"/>
      <c r="H255" s="630"/>
      <c r="I255" s="630"/>
      <c r="J255" s="631"/>
      <c r="K255" s="630"/>
      <c r="L255" s="630"/>
      <c r="M255" s="632"/>
      <c r="N255" s="631"/>
      <c r="O255" s="630"/>
      <c r="P255" s="630"/>
      <c r="Q255" s="630"/>
      <c r="R255" s="630"/>
    </row>
    <row r="256" spans="2:18" ht="15.75" customHeight="1" x14ac:dyDescent="0.3">
      <c r="B256" s="741"/>
      <c r="C256" s="742"/>
      <c r="D256" s="742"/>
      <c r="E256" s="742"/>
      <c r="F256" s="630"/>
      <c r="G256" s="630"/>
      <c r="H256" s="630"/>
      <c r="I256" s="630"/>
      <c r="J256" s="631"/>
      <c r="K256" s="630"/>
      <c r="L256" s="630"/>
      <c r="M256" s="632"/>
      <c r="N256" s="631"/>
      <c r="O256" s="630"/>
      <c r="P256" s="630"/>
      <c r="Q256" s="630"/>
      <c r="R256" s="630"/>
    </row>
    <row r="257" spans="2:18" ht="15.75" customHeight="1" x14ac:dyDescent="0.3">
      <c r="B257" s="741"/>
      <c r="C257" s="742"/>
      <c r="D257" s="742"/>
      <c r="E257" s="742"/>
      <c r="F257" s="630"/>
      <c r="G257" s="630"/>
      <c r="H257" s="630"/>
      <c r="I257" s="630"/>
      <c r="J257" s="631"/>
      <c r="K257" s="630"/>
      <c r="L257" s="630"/>
      <c r="M257" s="632"/>
      <c r="N257" s="631"/>
      <c r="O257" s="630"/>
      <c r="P257" s="630"/>
      <c r="Q257" s="630"/>
      <c r="R257" s="630"/>
    </row>
    <row r="258" spans="2:18" ht="15.75" customHeight="1" x14ac:dyDescent="0.3">
      <c r="B258" s="741"/>
      <c r="C258" s="742"/>
      <c r="D258" s="742"/>
      <c r="E258" s="742"/>
      <c r="F258" s="630"/>
      <c r="G258" s="630"/>
      <c r="H258" s="630"/>
      <c r="I258" s="630"/>
      <c r="J258" s="631"/>
      <c r="K258" s="630"/>
      <c r="L258" s="630"/>
      <c r="M258" s="632"/>
      <c r="N258" s="631"/>
      <c r="O258" s="630"/>
      <c r="P258" s="630"/>
      <c r="Q258" s="630"/>
      <c r="R258" s="630"/>
    </row>
    <row r="259" spans="2:18" ht="15.75" customHeight="1" x14ac:dyDescent="0.3">
      <c r="B259" s="741"/>
      <c r="C259" s="742"/>
      <c r="D259" s="742"/>
      <c r="E259" s="742"/>
      <c r="F259" s="630"/>
      <c r="G259" s="630"/>
      <c r="H259" s="630"/>
      <c r="I259" s="630"/>
      <c r="J259" s="631"/>
      <c r="K259" s="630"/>
      <c r="L259" s="630"/>
      <c r="M259" s="632"/>
      <c r="N259" s="631"/>
      <c r="O259" s="630"/>
      <c r="P259" s="630"/>
      <c r="Q259" s="630"/>
      <c r="R259" s="630"/>
    </row>
    <row r="260" spans="2:18" ht="15.75" customHeight="1" x14ac:dyDescent="0.3">
      <c r="B260" s="741"/>
      <c r="C260" s="742"/>
      <c r="D260" s="742"/>
      <c r="E260" s="742"/>
      <c r="F260" s="630"/>
      <c r="G260" s="630"/>
      <c r="H260" s="630"/>
      <c r="I260" s="630"/>
      <c r="J260" s="631"/>
      <c r="K260" s="630"/>
      <c r="L260" s="630"/>
      <c r="M260" s="632"/>
      <c r="N260" s="631"/>
      <c r="O260" s="630"/>
      <c r="P260" s="630"/>
      <c r="Q260" s="630"/>
      <c r="R260" s="630"/>
    </row>
    <row r="261" spans="2:18" ht="15.75" customHeight="1" x14ac:dyDescent="0.3">
      <c r="B261" s="741"/>
      <c r="C261" s="742"/>
      <c r="D261" s="742"/>
      <c r="E261" s="742"/>
      <c r="F261" s="630"/>
      <c r="G261" s="630"/>
      <c r="H261" s="630"/>
      <c r="I261" s="630"/>
      <c r="J261" s="631"/>
      <c r="K261" s="630"/>
      <c r="L261" s="630"/>
      <c r="M261" s="632"/>
      <c r="N261" s="631"/>
      <c r="O261" s="630"/>
      <c r="P261" s="630"/>
      <c r="Q261" s="630"/>
      <c r="R261" s="630"/>
    </row>
    <row r="262" spans="2:18" ht="15.75" customHeight="1" x14ac:dyDescent="0.3">
      <c r="B262" s="741"/>
      <c r="C262" s="742"/>
      <c r="D262" s="742"/>
      <c r="E262" s="742"/>
      <c r="F262" s="630"/>
      <c r="G262" s="630"/>
      <c r="H262" s="630"/>
      <c r="I262" s="630"/>
      <c r="J262" s="631"/>
      <c r="K262" s="630"/>
      <c r="L262" s="630"/>
      <c r="M262" s="632"/>
      <c r="N262" s="631"/>
      <c r="O262" s="630"/>
      <c r="P262" s="630"/>
      <c r="Q262" s="630"/>
      <c r="R262" s="630"/>
    </row>
    <row r="263" spans="2:18" ht="15.75" customHeight="1" x14ac:dyDescent="0.3">
      <c r="B263" s="741"/>
      <c r="C263" s="742"/>
      <c r="D263" s="742"/>
      <c r="E263" s="742"/>
      <c r="F263" s="630"/>
      <c r="G263" s="630"/>
      <c r="H263" s="630"/>
      <c r="I263" s="630"/>
      <c r="J263" s="631"/>
      <c r="K263" s="630"/>
      <c r="L263" s="630"/>
      <c r="M263" s="632"/>
      <c r="N263" s="631"/>
      <c r="O263" s="630"/>
      <c r="P263" s="630"/>
      <c r="Q263" s="630"/>
      <c r="R263" s="630"/>
    </row>
    <row r="264" spans="2:18" ht="15.75" customHeight="1" x14ac:dyDescent="0.3">
      <c r="B264" s="741"/>
      <c r="C264" s="742"/>
      <c r="D264" s="742"/>
      <c r="E264" s="742"/>
      <c r="F264" s="630"/>
      <c r="G264" s="630"/>
      <c r="H264" s="630"/>
      <c r="I264" s="630"/>
      <c r="J264" s="631"/>
      <c r="K264" s="630"/>
      <c r="L264" s="630"/>
      <c r="M264" s="632"/>
      <c r="N264" s="631"/>
      <c r="O264" s="630"/>
      <c r="P264" s="630"/>
      <c r="Q264" s="630"/>
      <c r="R264" s="630"/>
    </row>
    <row r="265" spans="2:18" ht="15.75" customHeight="1" x14ac:dyDescent="0.3">
      <c r="B265" s="741"/>
      <c r="C265" s="742"/>
      <c r="D265" s="742"/>
      <c r="E265" s="742"/>
      <c r="F265" s="630"/>
      <c r="G265" s="630"/>
      <c r="H265" s="630"/>
      <c r="I265" s="630"/>
      <c r="J265" s="631"/>
      <c r="K265" s="630"/>
      <c r="L265" s="630"/>
      <c r="M265" s="632"/>
      <c r="N265" s="631"/>
      <c r="O265" s="630"/>
      <c r="P265" s="630"/>
      <c r="Q265" s="630"/>
      <c r="R265" s="630"/>
    </row>
    <row r="266" spans="2:18" ht="15.75" customHeight="1" x14ac:dyDescent="0.3">
      <c r="B266" s="741"/>
      <c r="C266" s="742"/>
      <c r="D266" s="742"/>
      <c r="E266" s="742"/>
      <c r="F266" s="630"/>
      <c r="G266" s="630"/>
      <c r="H266" s="630"/>
      <c r="I266" s="630"/>
      <c r="J266" s="631"/>
      <c r="K266" s="630"/>
      <c r="L266" s="630"/>
      <c r="M266" s="632"/>
      <c r="N266" s="631"/>
      <c r="O266" s="630"/>
      <c r="P266" s="630"/>
      <c r="Q266" s="630"/>
      <c r="R266" s="630"/>
    </row>
    <row r="267" spans="2:18" ht="15.75" customHeight="1" x14ac:dyDescent="0.3">
      <c r="B267" s="741"/>
      <c r="C267" s="742"/>
      <c r="D267" s="742"/>
      <c r="E267" s="742"/>
      <c r="F267" s="630"/>
      <c r="G267" s="630"/>
      <c r="H267" s="630"/>
      <c r="I267" s="630"/>
      <c r="J267" s="631"/>
      <c r="K267" s="630"/>
      <c r="L267" s="630"/>
      <c r="M267" s="632"/>
      <c r="N267" s="631"/>
      <c r="O267" s="630"/>
      <c r="P267" s="630"/>
      <c r="Q267" s="630"/>
      <c r="R267" s="630"/>
    </row>
    <row r="268" spans="2:18" ht="15.75" customHeight="1" x14ac:dyDescent="0.3">
      <c r="B268" s="741"/>
      <c r="C268" s="742"/>
      <c r="D268" s="742"/>
      <c r="E268" s="742"/>
      <c r="F268" s="630"/>
      <c r="G268" s="630"/>
      <c r="H268" s="630"/>
      <c r="I268" s="630"/>
      <c r="J268" s="631"/>
      <c r="K268" s="630"/>
      <c r="L268" s="630"/>
      <c r="M268" s="632"/>
      <c r="N268" s="631"/>
      <c r="O268" s="630"/>
      <c r="P268" s="630"/>
      <c r="Q268" s="630"/>
      <c r="R268" s="630"/>
    </row>
    <row r="269" spans="2:18" ht="15.75" customHeight="1" x14ac:dyDescent="0.3">
      <c r="B269" s="741"/>
      <c r="C269" s="742"/>
      <c r="D269" s="742"/>
      <c r="E269" s="742"/>
      <c r="F269" s="630"/>
      <c r="G269" s="630"/>
      <c r="H269" s="630"/>
      <c r="I269" s="630"/>
      <c r="J269" s="631"/>
      <c r="K269" s="630"/>
      <c r="L269" s="630"/>
      <c r="M269" s="632"/>
      <c r="N269" s="631"/>
      <c r="O269" s="630"/>
      <c r="P269" s="630"/>
      <c r="Q269" s="630"/>
      <c r="R269" s="630"/>
    </row>
    <row r="270" spans="2:18" ht="15.75" customHeight="1" x14ac:dyDescent="0.3">
      <c r="B270" s="741"/>
      <c r="C270" s="742"/>
      <c r="D270" s="742"/>
      <c r="E270" s="742"/>
      <c r="F270" s="630"/>
      <c r="G270" s="630"/>
      <c r="H270" s="630"/>
      <c r="I270" s="630"/>
      <c r="J270" s="631"/>
      <c r="K270" s="630"/>
      <c r="L270" s="630"/>
      <c r="M270" s="632"/>
      <c r="N270" s="631"/>
      <c r="O270" s="630"/>
      <c r="P270" s="630"/>
      <c r="Q270" s="630"/>
      <c r="R270" s="630"/>
    </row>
    <row r="271" spans="2:18" ht="15.75" customHeight="1" x14ac:dyDescent="0.3">
      <c r="B271" s="741"/>
      <c r="C271" s="742"/>
      <c r="D271" s="742"/>
      <c r="E271" s="742"/>
      <c r="F271" s="630"/>
      <c r="G271" s="630"/>
      <c r="H271" s="630"/>
      <c r="I271" s="630"/>
      <c r="J271" s="631"/>
      <c r="K271" s="630"/>
      <c r="L271" s="630"/>
      <c r="M271" s="632"/>
      <c r="N271" s="631"/>
      <c r="O271" s="630"/>
      <c r="P271" s="630"/>
      <c r="Q271" s="630"/>
      <c r="R271" s="630"/>
    </row>
    <row r="272" spans="2:18" ht="15.75" customHeight="1" x14ac:dyDescent="0.3">
      <c r="B272" s="741"/>
      <c r="C272" s="742"/>
      <c r="D272" s="742"/>
      <c r="E272" s="742"/>
      <c r="F272" s="630"/>
      <c r="G272" s="630"/>
      <c r="H272" s="630"/>
      <c r="I272" s="630"/>
      <c r="J272" s="631"/>
      <c r="K272" s="630"/>
      <c r="L272" s="630"/>
      <c r="M272" s="632"/>
      <c r="N272" s="631"/>
      <c r="O272" s="630"/>
      <c r="P272" s="630"/>
      <c r="Q272" s="630"/>
      <c r="R272" s="630"/>
    </row>
    <row r="273" spans="2:18" ht="15.75" customHeight="1" x14ac:dyDescent="0.3">
      <c r="B273" s="741"/>
      <c r="C273" s="742"/>
      <c r="D273" s="742"/>
      <c r="E273" s="742"/>
      <c r="F273" s="630"/>
      <c r="G273" s="630"/>
      <c r="H273" s="630"/>
      <c r="I273" s="630"/>
      <c r="J273" s="631"/>
      <c r="K273" s="630"/>
      <c r="L273" s="630"/>
      <c r="M273" s="632"/>
      <c r="N273" s="631"/>
      <c r="O273" s="630"/>
      <c r="P273" s="630"/>
      <c r="Q273" s="630"/>
      <c r="R273" s="630"/>
    </row>
    <row r="274" spans="2:18" ht="15.75" customHeight="1" x14ac:dyDescent="0.3">
      <c r="B274" s="741"/>
      <c r="C274" s="742"/>
      <c r="D274" s="742"/>
      <c r="E274" s="742"/>
      <c r="F274" s="630"/>
      <c r="G274" s="630"/>
      <c r="H274" s="630"/>
      <c r="I274" s="630"/>
      <c r="J274" s="631"/>
      <c r="K274" s="630"/>
      <c r="L274" s="630"/>
      <c r="M274" s="632"/>
      <c r="N274" s="631"/>
      <c r="O274" s="630"/>
      <c r="P274" s="630"/>
      <c r="Q274" s="630"/>
      <c r="R274" s="630"/>
    </row>
    <row r="275" spans="2:18" ht="15.75" customHeight="1" x14ac:dyDescent="0.3">
      <c r="B275" s="741"/>
      <c r="C275" s="742"/>
      <c r="D275" s="742"/>
      <c r="E275" s="742"/>
      <c r="F275" s="630"/>
      <c r="G275" s="630"/>
      <c r="H275" s="630"/>
      <c r="I275" s="630"/>
      <c r="J275" s="631"/>
      <c r="K275" s="630"/>
      <c r="L275" s="630"/>
      <c r="M275" s="632"/>
      <c r="N275" s="631"/>
      <c r="O275" s="630"/>
      <c r="P275" s="630"/>
      <c r="Q275" s="630"/>
      <c r="R275" s="630"/>
    </row>
    <row r="276" spans="2:18" ht="15.75" customHeight="1" x14ac:dyDescent="0.3">
      <c r="B276" s="741"/>
      <c r="C276" s="742"/>
      <c r="D276" s="742"/>
      <c r="E276" s="742"/>
      <c r="F276" s="630"/>
      <c r="G276" s="630"/>
      <c r="H276" s="630"/>
      <c r="I276" s="630"/>
      <c r="J276" s="631"/>
      <c r="K276" s="630"/>
      <c r="L276" s="630"/>
      <c r="M276" s="632"/>
      <c r="N276" s="631"/>
      <c r="O276" s="630"/>
      <c r="P276" s="630"/>
      <c r="Q276" s="630"/>
      <c r="R276" s="630"/>
    </row>
    <row r="277" spans="2:18" ht="15.75" customHeight="1" x14ac:dyDescent="0.3">
      <c r="B277" s="741"/>
      <c r="C277" s="742"/>
      <c r="D277" s="742"/>
      <c r="E277" s="742"/>
      <c r="F277" s="630"/>
      <c r="G277" s="630"/>
      <c r="H277" s="630"/>
      <c r="I277" s="630"/>
      <c r="J277" s="631"/>
      <c r="K277" s="630"/>
      <c r="L277" s="630"/>
      <c r="M277" s="632"/>
      <c r="N277" s="631"/>
      <c r="O277" s="630"/>
      <c r="P277" s="630"/>
      <c r="Q277" s="630"/>
      <c r="R277" s="630"/>
    </row>
    <row r="278" spans="2:18" ht="15.75" customHeight="1" x14ac:dyDescent="0.3">
      <c r="B278" s="741"/>
      <c r="C278" s="742"/>
      <c r="D278" s="742"/>
      <c r="E278" s="742"/>
      <c r="F278" s="630"/>
      <c r="G278" s="630"/>
      <c r="H278" s="630"/>
      <c r="I278" s="630"/>
      <c r="J278" s="631"/>
      <c r="K278" s="630"/>
      <c r="L278" s="630"/>
      <c r="M278" s="632"/>
      <c r="N278" s="631"/>
      <c r="O278" s="630"/>
      <c r="P278" s="630"/>
      <c r="Q278" s="630"/>
      <c r="R278" s="630"/>
    </row>
    <row r="279" spans="2:18" ht="15.75" customHeight="1" x14ac:dyDescent="0.3">
      <c r="B279" s="741"/>
      <c r="C279" s="742"/>
      <c r="D279" s="742"/>
      <c r="E279" s="742"/>
      <c r="F279" s="630"/>
      <c r="G279" s="630"/>
      <c r="H279" s="630"/>
      <c r="I279" s="630"/>
      <c r="J279" s="631"/>
      <c r="K279" s="630"/>
      <c r="L279" s="630"/>
      <c r="M279" s="632"/>
      <c r="N279" s="631"/>
      <c r="O279" s="630"/>
      <c r="P279" s="630"/>
      <c r="Q279" s="630"/>
      <c r="R279" s="630"/>
    </row>
    <row r="280" spans="2:18" ht="15.75" customHeight="1" x14ac:dyDescent="0.3">
      <c r="B280" s="741"/>
      <c r="C280" s="742"/>
      <c r="D280" s="742"/>
      <c r="E280" s="742"/>
      <c r="F280" s="630"/>
      <c r="G280" s="630"/>
      <c r="H280" s="630"/>
      <c r="I280" s="630"/>
      <c r="J280" s="631"/>
      <c r="K280" s="630"/>
      <c r="L280" s="630"/>
      <c r="M280" s="632"/>
      <c r="N280" s="631"/>
      <c r="O280" s="630"/>
      <c r="P280" s="630"/>
      <c r="Q280" s="630"/>
      <c r="R280" s="630"/>
    </row>
    <row r="281" spans="2:18" ht="15.75" customHeight="1" x14ac:dyDescent="0.3">
      <c r="B281" s="741"/>
      <c r="C281" s="742"/>
      <c r="D281" s="742"/>
      <c r="E281" s="742"/>
      <c r="F281" s="630"/>
      <c r="G281" s="630"/>
      <c r="H281" s="630"/>
      <c r="I281" s="630"/>
      <c r="J281" s="631"/>
      <c r="K281" s="630"/>
      <c r="L281" s="630"/>
      <c r="M281" s="632"/>
      <c r="N281" s="631"/>
      <c r="O281" s="630"/>
      <c r="P281" s="630"/>
      <c r="Q281" s="630"/>
      <c r="R281" s="630"/>
    </row>
    <row r="282" spans="2:18" ht="15.75" customHeight="1" x14ac:dyDescent="0.3">
      <c r="B282" s="741"/>
      <c r="C282" s="742"/>
      <c r="D282" s="742"/>
      <c r="E282" s="742"/>
      <c r="F282" s="630"/>
      <c r="G282" s="630"/>
      <c r="H282" s="630"/>
      <c r="I282" s="630"/>
      <c r="J282" s="631"/>
      <c r="K282" s="630"/>
      <c r="L282" s="630"/>
      <c r="M282" s="632"/>
      <c r="N282" s="631"/>
      <c r="O282" s="630"/>
      <c r="P282" s="630"/>
      <c r="Q282" s="630"/>
      <c r="R282" s="630"/>
    </row>
    <row r="283" spans="2:18" ht="15.75" customHeight="1" x14ac:dyDescent="0.3">
      <c r="B283" s="741"/>
      <c r="C283" s="742"/>
      <c r="D283" s="742"/>
      <c r="E283" s="742"/>
      <c r="F283" s="630"/>
      <c r="G283" s="630"/>
      <c r="H283" s="630"/>
      <c r="I283" s="630"/>
      <c r="J283" s="631"/>
      <c r="K283" s="630"/>
      <c r="L283" s="630"/>
      <c r="M283" s="632"/>
      <c r="N283" s="631"/>
      <c r="O283" s="630"/>
      <c r="P283" s="630"/>
      <c r="Q283" s="630"/>
      <c r="R283" s="630"/>
    </row>
    <row r="284" spans="2:18" ht="15.75" customHeight="1" x14ac:dyDescent="0.3">
      <c r="B284" s="741"/>
      <c r="C284" s="742"/>
      <c r="D284" s="742"/>
      <c r="E284" s="742"/>
      <c r="F284" s="630"/>
      <c r="G284" s="630"/>
      <c r="H284" s="630"/>
      <c r="I284" s="630"/>
      <c r="J284" s="631"/>
      <c r="K284" s="630"/>
      <c r="L284" s="630"/>
      <c r="M284" s="632"/>
      <c r="N284" s="631"/>
      <c r="O284" s="630"/>
      <c r="P284" s="630"/>
      <c r="Q284" s="630"/>
      <c r="R284" s="630"/>
    </row>
    <row r="285" spans="2:18" ht="15.75" customHeight="1" x14ac:dyDescent="0.3">
      <c r="B285" s="741"/>
      <c r="C285" s="742"/>
      <c r="D285" s="742"/>
      <c r="E285" s="742"/>
      <c r="F285" s="630"/>
      <c r="G285" s="630"/>
      <c r="H285" s="630"/>
      <c r="I285" s="630"/>
      <c r="J285" s="631"/>
      <c r="K285" s="630"/>
      <c r="L285" s="630"/>
      <c r="M285" s="632"/>
      <c r="N285" s="631"/>
      <c r="O285" s="630"/>
      <c r="P285" s="630"/>
      <c r="Q285" s="630"/>
      <c r="R285" s="630"/>
    </row>
    <row r="286" spans="2:18" ht="15.75" customHeight="1" x14ac:dyDescent="0.3">
      <c r="B286" s="741"/>
      <c r="C286" s="742"/>
      <c r="D286" s="742"/>
      <c r="E286" s="742"/>
      <c r="F286" s="630"/>
      <c r="G286" s="630"/>
      <c r="H286" s="630"/>
      <c r="I286" s="630"/>
      <c r="J286" s="631"/>
      <c r="K286" s="630"/>
      <c r="L286" s="630"/>
      <c r="M286" s="632"/>
      <c r="N286" s="631"/>
      <c r="O286" s="630"/>
      <c r="P286" s="630"/>
      <c r="Q286" s="630"/>
      <c r="R286" s="630"/>
    </row>
    <row r="287" spans="2:18" ht="15.75" customHeight="1" x14ac:dyDescent="0.3">
      <c r="B287" s="741"/>
      <c r="C287" s="742"/>
      <c r="D287" s="742"/>
      <c r="E287" s="742"/>
      <c r="F287" s="630"/>
      <c r="G287" s="630"/>
      <c r="H287" s="630"/>
      <c r="I287" s="630"/>
      <c r="J287" s="631"/>
      <c r="K287" s="630"/>
      <c r="L287" s="630"/>
      <c r="M287" s="632"/>
      <c r="N287" s="631"/>
      <c r="O287" s="630"/>
      <c r="P287" s="630"/>
      <c r="Q287" s="630"/>
      <c r="R287" s="630"/>
    </row>
    <row r="288" spans="2:18" ht="15.75" customHeight="1" x14ac:dyDescent="0.3">
      <c r="B288" s="741"/>
      <c r="C288" s="742"/>
      <c r="D288" s="742"/>
      <c r="E288" s="742"/>
      <c r="F288" s="630"/>
      <c r="G288" s="630"/>
      <c r="H288" s="630"/>
      <c r="I288" s="630"/>
      <c r="J288" s="631"/>
      <c r="K288" s="630"/>
      <c r="L288" s="630"/>
      <c r="M288" s="632"/>
      <c r="N288" s="631"/>
      <c r="O288" s="630"/>
      <c r="P288" s="630"/>
      <c r="Q288" s="630"/>
      <c r="R288" s="630"/>
    </row>
    <row r="289" spans="2:18" ht="15.75" customHeight="1" x14ac:dyDescent="0.3">
      <c r="B289" s="741"/>
      <c r="C289" s="742"/>
      <c r="D289" s="742"/>
      <c r="E289" s="742"/>
      <c r="F289" s="630"/>
      <c r="G289" s="630"/>
      <c r="H289" s="630"/>
      <c r="I289" s="630"/>
      <c r="J289" s="631"/>
      <c r="K289" s="630"/>
      <c r="L289" s="630"/>
      <c r="M289" s="632"/>
      <c r="N289" s="631"/>
      <c r="O289" s="630"/>
      <c r="P289" s="630"/>
      <c r="Q289" s="630"/>
      <c r="R289" s="630"/>
    </row>
    <row r="290" spans="2:18" ht="15.75" customHeight="1" x14ac:dyDescent="0.3">
      <c r="B290" s="741"/>
      <c r="C290" s="742"/>
      <c r="D290" s="742"/>
      <c r="E290" s="742"/>
      <c r="F290" s="630"/>
      <c r="G290" s="630"/>
      <c r="H290" s="630"/>
      <c r="I290" s="630"/>
      <c r="J290" s="631"/>
      <c r="K290" s="630"/>
      <c r="L290" s="630"/>
      <c r="M290" s="632"/>
      <c r="N290" s="631"/>
      <c r="O290" s="630"/>
      <c r="P290" s="630"/>
      <c r="Q290" s="630"/>
      <c r="R290" s="630"/>
    </row>
    <row r="291" spans="2:18" ht="15.75" customHeight="1" x14ac:dyDescent="0.3">
      <c r="B291" s="741"/>
      <c r="C291" s="742"/>
      <c r="D291" s="742"/>
      <c r="E291" s="742"/>
      <c r="F291" s="630"/>
      <c r="G291" s="630"/>
      <c r="H291" s="630"/>
      <c r="I291" s="630"/>
      <c r="J291" s="631"/>
      <c r="K291" s="630"/>
      <c r="L291" s="630"/>
      <c r="M291" s="632"/>
      <c r="N291" s="631"/>
      <c r="O291" s="630"/>
      <c r="P291" s="630"/>
      <c r="Q291" s="630"/>
      <c r="R291" s="630"/>
    </row>
    <row r="292" spans="2:18" ht="15.75" customHeight="1" x14ac:dyDescent="0.3">
      <c r="B292" s="741"/>
      <c r="C292" s="742"/>
      <c r="D292" s="742"/>
      <c r="E292" s="742"/>
      <c r="F292" s="630"/>
      <c r="G292" s="630"/>
      <c r="H292" s="630"/>
      <c r="I292" s="630"/>
      <c r="J292" s="631"/>
      <c r="K292" s="630"/>
      <c r="L292" s="630"/>
      <c r="M292" s="632"/>
      <c r="N292" s="631"/>
      <c r="O292" s="630"/>
      <c r="P292" s="630"/>
      <c r="Q292" s="630"/>
      <c r="R292" s="630"/>
    </row>
    <row r="293" spans="2:18" ht="15.75" customHeight="1" x14ac:dyDescent="0.3">
      <c r="B293" s="741"/>
      <c r="C293" s="742"/>
      <c r="D293" s="742"/>
      <c r="E293" s="742"/>
      <c r="F293" s="630"/>
      <c r="G293" s="630"/>
      <c r="H293" s="630"/>
      <c r="I293" s="630"/>
      <c r="J293" s="631"/>
      <c r="K293" s="630"/>
      <c r="L293" s="630"/>
      <c r="M293" s="632"/>
      <c r="N293" s="631"/>
      <c r="O293" s="630"/>
      <c r="P293" s="630"/>
      <c r="Q293" s="630"/>
      <c r="R293" s="630"/>
    </row>
    <row r="294" spans="2:18" ht="15.75" customHeight="1" x14ac:dyDescent="0.3">
      <c r="B294" s="741"/>
      <c r="C294" s="742"/>
      <c r="D294" s="742"/>
      <c r="E294" s="742"/>
      <c r="F294" s="630"/>
      <c r="G294" s="630"/>
      <c r="H294" s="630"/>
      <c r="I294" s="630"/>
      <c r="J294" s="631"/>
      <c r="K294" s="630"/>
      <c r="L294" s="630"/>
      <c r="M294" s="632"/>
      <c r="N294" s="631"/>
      <c r="O294" s="630"/>
      <c r="P294" s="630"/>
      <c r="Q294" s="630"/>
      <c r="R294" s="630"/>
    </row>
    <row r="295" spans="2:18" ht="15.75" customHeight="1" x14ac:dyDescent="0.3">
      <c r="B295" s="741"/>
      <c r="C295" s="742"/>
      <c r="D295" s="742"/>
      <c r="E295" s="742"/>
      <c r="F295" s="630"/>
      <c r="G295" s="630"/>
      <c r="H295" s="630"/>
      <c r="I295" s="630"/>
      <c r="J295" s="631"/>
      <c r="K295" s="630"/>
      <c r="L295" s="630"/>
      <c r="M295" s="632"/>
      <c r="N295" s="631"/>
      <c r="O295" s="630"/>
      <c r="P295" s="630"/>
      <c r="Q295" s="630"/>
      <c r="R295" s="630"/>
    </row>
    <row r="296" spans="2:18" ht="15.75" customHeight="1" x14ac:dyDescent="0.3">
      <c r="B296" s="741"/>
      <c r="C296" s="742"/>
      <c r="D296" s="742"/>
      <c r="E296" s="742"/>
      <c r="F296" s="630"/>
      <c r="G296" s="630"/>
      <c r="H296" s="630"/>
      <c r="I296" s="630"/>
      <c r="J296" s="631"/>
      <c r="K296" s="630"/>
      <c r="L296" s="630"/>
      <c r="M296" s="632"/>
      <c r="N296" s="631"/>
      <c r="O296" s="630"/>
      <c r="P296" s="630"/>
      <c r="Q296" s="630"/>
      <c r="R296" s="630"/>
    </row>
    <row r="297" spans="2:18" ht="15.75" customHeight="1" x14ac:dyDescent="0.3">
      <c r="B297" s="741"/>
      <c r="C297" s="742"/>
      <c r="D297" s="742"/>
      <c r="E297" s="742"/>
      <c r="F297" s="630"/>
      <c r="G297" s="630"/>
      <c r="H297" s="630"/>
      <c r="I297" s="630"/>
      <c r="J297" s="631"/>
      <c r="K297" s="630"/>
      <c r="L297" s="630"/>
      <c r="M297" s="632"/>
      <c r="N297" s="631"/>
      <c r="O297" s="630"/>
      <c r="P297" s="630"/>
      <c r="Q297" s="630"/>
      <c r="R297" s="630"/>
    </row>
    <row r="298" spans="2:18" ht="15.75" customHeight="1" x14ac:dyDescent="0.3">
      <c r="B298" s="741"/>
      <c r="C298" s="742"/>
      <c r="D298" s="742"/>
      <c r="E298" s="742"/>
      <c r="F298" s="630"/>
      <c r="G298" s="630"/>
      <c r="H298" s="630"/>
      <c r="I298" s="630"/>
      <c r="J298" s="631"/>
      <c r="K298" s="630"/>
      <c r="L298" s="630"/>
      <c r="M298" s="632"/>
      <c r="N298" s="631"/>
      <c r="O298" s="630"/>
      <c r="P298" s="630"/>
      <c r="Q298" s="630"/>
      <c r="R298" s="630"/>
    </row>
    <row r="299" spans="2:18" ht="15.75" customHeight="1" x14ac:dyDescent="0.3">
      <c r="B299" s="741"/>
      <c r="C299" s="742"/>
      <c r="D299" s="742"/>
      <c r="E299" s="742"/>
      <c r="F299" s="630"/>
      <c r="G299" s="630"/>
      <c r="H299" s="630"/>
      <c r="I299" s="630"/>
      <c r="J299" s="631"/>
      <c r="K299" s="630"/>
      <c r="L299" s="630"/>
      <c r="M299" s="632"/>
      <c r="N299" s="631"/>
      <c r="O299" s="630"/>
      <c r="P299" s="630"/>
      <c r="Q299" s="630"/>
      <c r="R299" s="630"/>
    </row>
    <row r="300" spans="2:18" ht="15.75" customHeight="1" x14ac:dyDescent="0.3">
      <c r="B300" s="741"/>
      <c r="C300" s="742"/>
      <c r="D300" s="742"/>
      <c r="E300" s="742"/>
      <c r="F300" s="630"/>
      <c r="G300" s="630"/>
      <c r="H300" s="630"/>
      <c r="I300" s="630"/>
      <c r="J300" s="631"/>
      <c r="K300" s="630"/>
      <c r="L300" s="630"/>
      <c r="M300" s="632"/>
      <c r="N300" s="631"/>
      <c r="O300" s="630"/>
      <c r="P300" s="630"/>
      <c r="Q300" s="630"/>
      <c r="R300" s="630"/>
    </row>
    <row r="301" spans="2:18" ht="15.75" customHeight="1" x14ac:dyDescent="0.3">
      <c r="B301" s="741"/>
      <c r="C301" s="742"/>
      <c r="D301" s="742"/>
      <c r="E301" s="742"/>
      <c r="F301" s="630"/>
      <c r="G301" s="630"/>
      <c r="H301" s="630"/>
      <c r="I301" s="630"/>
      <c r="J301" s="631"/>
      <c r="K301" s="630"/>
      <c r="L301" s="630"/>
      <c r="M301" s="632"/>
      <c r="N301" s="631"/>
      <c r="O301" s="630"/>
      <c r="P301" s="630"/>
      <c r="Q301" s="630"/>
      <c r="R301" s="630"/>
    </row>
    <row r="302" spans="2:18" ht="15.75" customHeight="1" x14ac:dyDescent="0.3">
      <c r="B302" s="741"/>
      <c r="C302" s="742"/>
      <c r="D302" s="742"/>
      <c r="E302" s="742"/>
      <c r="F302" s="630"/>
      <c r="G302" s="630"/>
      <c r="H302" s="630"/>
      <c r="I302" s="630"/>
      <c r="J302" s="631"/>
      <c r="K302" s="630"/>
      <c r="L302" s="630"/>
      <c r="M302" s="632"/>
      <c r="N302" s="631"/>
      <c r="O302" s="630"/>
      <c r="P302" s="630"/>
      <c r="Q302" s="630"/>
      <c r="R302" s="630"/>
    </row>
    <row r="303" spans="2:18" ht="15.75" customHeight="1" x14ac:dyDescent="0.3">
      <c r="B303" s="741"/>
      <c r="C303" s="742"/>
      <c r="D303" s="742"/>
      <c r="E303" s="742"/>
      <c r="F303" s="630"/>
      <c r="G303" s="630"/>
      <c r="H303" s="630"/>
      <c r="I303" s="630"/>
      <c r="J303" s="631"/>
      <c r="K303" s="630"/>
      <c r="L303" s="630"/>
      <c r="M303" s="632"/>
      <c r="N303" s="631"/>
      <c r="O303" s="630"/>
      <c r="P303" s="630"/>
      <c r="Q303" s="630"/>
      <c r="R303" s="630"/>
    </row>
    <row r="304" spans="2:18" ht="15.75" customHeight="1" x14ac:dyDescent="0.3">
      <c r="B304" s="741"/>
      <c r="C304" s="742"/>
      <c r="D304" s="742"/>
      <c r="E304" s="742"/>
      <c r="F304" s="630"/>
      <c r="G304" s="630"/>
      <c r="H304" s="630"/>
      <c r="I304" s="630"/>
      <c r="J304" s="631"/>
      <c r="K304" s="630"/>
      <c r="L304" s="630"/>
      <c r="M304" s="632"/>
      <c r="N304" s="631"/>
      <c r="O304" s="630"/>
      <c r="P304" s="630"/>
      <c r="Q304" s="630"/>
      <c r="R304" s="630"/>
    </row>
    <row r="305" spans="2:18" ht="15.75" customHeight="1" x14ac:dyDescent="0.3">
      <c r="B305" s="741"/>
      <c r="C305" s="742"/>
      <c r="D305" s="742"/>
      <c r="E305" s="742"/>
      <c r="F305" s="630"/>
      <c r="G305" s="630"/>
      <c r="H305" s="630"/>
      <c r="I305" s="630"/>
      <c r="J305" s="631"/>
      <c r="K305" s="630"/>
      <c r="L305" s="630"/>
      <c r="M305" s="632"/>
      <c r="N305" s="631"/>
      <c r="O305" s="630"/>
      <c r="P305" s="630"/>
      <c r="Q305" s="630"/>
      <c r="R305" s="630"/>
    </row>
    <row r="306" spans="2:18" ht="15.75" customHeight="1" x14ac:dyDescent="0.3">
      <c r="B306" s="741"/>
      <c r="C306" s="742"/>
      <c r="D306" s="742"/>
      <c r="E306" s="742"/>
      <c r="F306" s="630"/>
      <c r="G306" s="630"/>
      <c r="H306" s="630"/>
      <c r="I306" s="630"/>
      <c r="J306" s="631"/>
      <c r="K306" s="630"/>
      <c r="L306" s="630"/>
      <c r="M306" s="632"/>
      <c r="N306" s="631"/>
      <c r="O306" s="630"/>
      <c r="P306" s="630"/>
      <c r="Q306" s="630"/>
      <c r="R306" s="630"/>
    </row>
    <row r="307" spans="2:18" ht="15.75" customHeight="1" x14ac:dyDescent="0.3">
      <c r="B307" s="741"/>
      <c r="C307" s="742"/>
      <c r="D307" s="742"/>
      <c r="E307" s="742"/>
      <c r="F307" s="630"/>
      <c r="G307" s="630"/>
      <c r="H307" s="630"/>
      <c r="I307" s="630"/>
      <c r="J307" s="631"/>
      <c r="K307" s="630"/>
      <c r="L307" s="630"/>
      <c r="M307" s="632"/>
      <c r="N307" s="631"/>
      <c r="O307" s="630"/>
      <c r="P307" s="630"/>
      <c r="Q307" s="630"/>
      <c r="R307" s="630"/>
    </row>
    <row r="308" spans="2:18" ht="15.75" customHeight="1" x14ac:dyDescent="0.3">
      <c r="B308" s="741"/>
      <c r="C308" s="742"/>
      <c r="D308" s="742"/>
      <c r="E308" s="742"/>
      <c r="F308" s="630"/>
      <c r="G308" s="630"/>
      <c r="H308" s="630"/>
      <c r="I308" s="630"/>
      <c r="J308" s="631"/>
      <c r="K308" s="630"/>
      <c r="L308" s="630"/>
      <c r="M308" s="632"/>
      <c r="N308" s="631"/>
      <c r="O308" s="630"/>
      <c r="P308" s="630"/>
      <c r="Q308" s="630"/>
      <c r="R308" s="630"/>
    </row>
    <row r="309" spans="2:18" ht="15.75" customHeight="1" x14ac:dyDescent="0.3">
      <c r="B309" s="741"/>
      <c r="C309" s="742"/>
      <c r="D309" s="742"/>
      <c r="E309" s="742"/>
      <c r="F309" s="630"/>
      <c r="G309" s="630"/>
      <c r="H309" s="630"/>
      <c r="I309" s="630"/>
      <c r="J309" s="631"/>
      <c r="K309" s="630"/>
      <c r="L309" s="630"/>
      <c r="M309" s="632"/>
      <c r="N309" s="631"/>
      <c r="O309" s="630"/>
      <c r="P309" s="630"/>
      <c r="Q309" s="630"/>
      <c r="R309" s="630"/>
    </row>
    <row r="310" spans="2:18" ht="15.75" customHeight="1" x14ac:dyDescent="0.3">
      <c r="B310" s="741"/>
      <c r="C310" s="742"/>
      <c r="D310" s="742"/>
      <c r="E310" s="742"/>
      <c r="F310" s="630"/>
      <c r="G310" s="630"/>
      <c r="H310" s="630"/>
      <c r="I310" s="630"/>
      <c r="J310" s="631"/>
      <c r="K310" s="630"/>
      <c r="L310" s="630"/>
      <c r="M310" s="632"/>
      <c r="N310" s="631"/>
      <c r="O310" s="630"/>
      <c r="P310" s="630"/>
      <c r="Q310" s="630"/>
      <c r="R310" s="630"/>
    </row>
    <row r="311" spans="2:18" ht="15.75" customHeight="1" x14ac:dyDescent="0.3">
      <c r="B311" s="741"/>
      <c r="C311" s="742"/>
      <c r="D311" s="742"/>
      <c r="E311" s="742"/>
      <c r="F311" s="630"/>
      <c r="G311" s="630"/>
      <c r="H311" s="630"/>
      <c r="I311" s="630"/>
      <c r="J311" s="631"/>
      <c r="K311" s="630"/>
      <c r="L311" s="630"/>
      <c r="M311" s="632"/>
      <c r="N311" s="631"/>
      <c r="O311" s="630"/>
      <c r="P311" s="630"/>
      <c r="Q311" s="630"/>
      <c r="R311" s="630"/>
    </row>
    <row r="312" spans="2:18" ht="15.75" customHeight="1" x14ac:dyDescent="0.3">
      <c r="B312" s="741"/>
      <c r="C312" s="742"/>
      <c r="D312" s="742"/>
      <c r="E312" s="742"/>
      <c r="F312" s="630"/>
      <c r="G312" s="630"/>
      <c r="H312" s="630"/>
      <c r="I312" s="630"/>
      <c r="J312" s="631"/>
      <c r="K312" s="630"/>
      <c r="L312" s="630"/>
      <c r="M312" s="632"/>
      <c r="N312" s="631"/>
      <c r="O312" s="630"/>
      <c r="P312" s="630"/>
      <c r="Q312" s="630"/>
      <c r="R312" s="630"/>
    </row>
    <row r="313" spans="2:18" ht="15.75" customHeight="1" x14ac:dyDescent="0.3">
      <c r="B313" s="741"/>
      <c r="C313" s="742"/>
      <c r="D313" s="742"/>
      <c r="E313" s="742"/>
      <c r="F313" s="630"/>
      <c r="G313" s="630"/>
      <c r="H313" s="630"/>
      <c r="I313" s="630"/>
      <c r="J313" s="631"/>
      <c r="K313" s="630"/>
      <c r="L313" s="630"/>
      <c r="M313" s="632"/>
      <c r="N313" s="631"/>
      <c r="O313" s="630"/>
      <c r="P313" s="630"/>
      <c r="Q313" s="630"/>
      <c r="R313" s="630"/>
    </row>
    <row r="314" spans="2:18" ht="15.75" customHeight="1" x14ac:dyDescent="0.3">
      <c r="B314" s="741"/>
      <c r="C314" s="742"/>
      <c r="D314" s="742"/>
      <c r="E314" s="742"/>
      <c r="F314" s="630"/>
      <c r="G314" s="630"/>
      <c r="H314" s="630"/>
      <c r="I314" s="630"/>
      <c r="J314" s="631"/>
      <c r="K314" s="630"/>
      <c r="L314" s="630"/>
      <c r="M314" s="632"/>
      <c r="N314" s="631"/>
      <c r="O314" s="630"/>
      <c r="P314" s="630"/>
      <c r="Q314" s="630"/>
      <c r="R314" s="630"/>
    </row>
    <row r="315" spans="2:18" ht="15.75" customHeight="1" x14ac:dyDescent="0.3">
      <c r="B315" s="741"/>
      <c r="C315" s="742"/>
      <c r="D315" s="742"/>
      <c r="E315" s="742"/>
      <c r="F315" s="630"/>
      <c r="G315" s="630"/>
      <c r="H315" s="630"/>
      <c r="I315" s="630"/>
      <c r="J315" s="631"/>
      <c r="K315" s="630"/>
      <c r="L315" s="630"/>
      <c r="M315" s="632"/>
      <c r="N315" s="631"/>
      <c r="O315" s="630"/>
      <c r="P315" s="630"/>
      <c r="Q315" s="630"/>
      <c r="R315" s="630"/>
    </row>
    <row r="316" spans="2:18" ht="15.75" customHeight="1" x14ac:dyDescent="0.3">
      <c r="B316" s="741"/>
      <c r="C316" s="742"/>
      <c r="D316" s="742"/>
      <c r="E316" s="742"/>
      <c r="F316" s="630"/>
      <c r="G316" s="630"/>
      <c r="H316" s="630"/>
      <c r="I316" s="630"/>
      <c r="J316" s="631"/>
      <c r="K316" s="630"/>
      <c r="L316" s="630"/>
      <c r="M316" s="632"/>
      <c r="N316" s="631"/>
      <c r="O316" s="630"/>
      <c r="P316" s="630"/>
      <c r="Q316" s="630"/>
      <c r="R316" s="630"/>
    </row>
    <row r="317" spans="2:18" ht="15.75" customHeight="1" x14ac:dyDescent="0.3">
      <c r="B317" s="741"/>
      <c r="C317" s="742"/>
      <c r="D317" s="742"/>
      <c r="E317" s="742"/>
      <c r="F317" s="630"/>
      <c r="G317" s="630"/>
      <c r="H317" s="630"/>
      <c r="I317" s="630"/>
      <c r="J317" s="631"/>
      <c r="K317" s="630"/>
      <c r="L317" s="630"/>
      <c r="M317" s="632"/>
      <c r="N317" s="631"/>
      <c r="O317" s="630"/>
      <c r="P317" s="630"/>
      <c r="Q317" s="630"/>
      <c r="R317" s="630"/>
    </row>
    <row r="318" spans="2:18" ht="15.75" customHeight="1" x14ac:dyDescent="0.3">
      <c r="B318" s="741"/>
      <c r="C318" s="742"/>
      <c r="D318" s="742"/>
      <c r="E318" s="742"/>
      <c r="F318" s="630"/>
      <c r="G318" s="630"/>
      <c r="H318" s="630"/>
      <c r="I318" s="630"/>
      <c r="J318" s="631"/>
      <c r="K318" s="630"/>
      <c r="L318" s="630"/>
      <c r="M318" s="632"/>
      <c r="N318" s="631"/>
      <c r="O318" s="630"/>
      <c r="P318" s="630"/>
      <c r="Q318" s="630"/>
      <c r="R318" s="630"/>
    </row>
    <row r="319" spans="2:18" ht="15.75" customHeight="1" x14ac:dyDescent="0.3">
      <c r="B319" s="741"/>
      <c r="C319" s="742"/>
      <c r="D319" s="742"/>
      <c r="E319" s="742"/>
      <c r="F319" s="630"/>
      <c r="G319" s="630"/>
      <c r="H319" s="630"/>
      <c r="I319" s="630"/>
      <c r="J319" s="631"/>
      <c r="K319" s="630"/>
      <c r="L319" s="630"/>
      <c r="M319" s="632"/>
      <c r="N319" s="631"/>
      <c r="O319" s="630"/>
      <c r="P319" s="630"/>
      <c r="Q319" s="630"/>
      <c r="R319" s="630"/>
    </row>
    <row r="320" spans="2:18" ht="15.75" customHeight="1" x14ac:dyDescent="0.3">
      <c r="B320" s="741"/>
      <c r="C320" s="742"/>
      <c r="D320" s="742"/>
      <c r="E320" s="742"/>
      <c r="F320" s="630"/>
      <c r="G320" s="630"/>
      <c r="H320" s="630"/>
      <c r="I320" s="630"/>
      <c r="J320" s="631"/>
      <c r="K320" s="630"/>
      <c r="L320" s="630"/>
      <c r="M320" s="632"/>
      <c r="N320" s="631"/>
      <c r="O320" s="630"/>
      <c r="P320" s="630"/>
      <c r="Q320" s="630"/>
      <c r="R320" s="630"/>
    </row>
    <row r="321" spans="2:18" ht="15.75" customHeight="1" x14ac:dyDescent="0.3">
      <c r="B321" s="741"/>
      <c r="C321" s="742"/>
      <c r="D321" s="742"/>
      <c r="E321" s="742"/>
      <c r="F321" s="630"/>
      <c r="G321" s="630"/>
      <c r="H321" s="630"/>
      <c r="I321" s="630"/>
      <c r="J321" s="631"/>
      <c r="K321" s="630"/>
      <c r="L321" s="630"/>
      <c r="M321" s="632"/>
      <c r="N321" s="631"/>
      <c r="O321" s="630"/>
      <c r="P321" s="630"/>
      <c r="Q321" s="630"/>
      <c r="R321" s="630"/>
    </row>
    <row r="322" spans="2:18" ht="15.75" customHeight="1" x14ac:dyDescent="0.3">
      <c r="B322" s="741"/>
      <c r="C322" s="742"/>
      <c r="D322" s="742"/>
      <c r="E322" s="742"/>
      <c r="F322" s="630"/>
      <c r="G322" s="630"/>
      <c r="H322" s="630"/>
      <c r="I322" s="630"/>
      <c r="J322" s="631"/>
      <c r="K322" s="630"/>
      <c r="L322" s="630"/>
      <c r="M322" s="632"/>
      <c r="N322" s="631"/>
      <c r="O322" s="630"/>
      <c r="P322" s="630"/>
      <c r="Q322" s="630"/>
      <c r="R322" s="630"/>
    </row>
    <row r="323" spans="2:18" ht="15.75" customHeight="1" x14ac:dyDescent="0.3">
      <c r="B323" s="741"/>
      <c r="C323" s="742"/>
      <c r="D323" s="742"/>
      <c r="E323" s="742"/>
      <c r="F323" s="630"/>
      <c r="G323" s="630"/>
      <c r="H323" s="630"/>
      <c r="I323" s="630"/>
      <c r="J323" s="631"/>
      <c r="K323" s="630"/>
      <c r="L323" s="630"/>
      <c r="M323" s="632"/>
      <c r="N323" s="631"/>
      <c r="O323" s="630"/>
      <c r="P323" s="630"/>
      <c r="Q323" s="630"/>
      <c r="R323" s="630"/>
    </row>
    <row r="324" spans="2:18" ht="15.75" customHeight="1" x14ac:dyDescent="0.3">
      <c r="B324" s="741"/>
      <c r="C324" s="742"/>
      <c r="D324" s="742"/>
      <c r="E324" s="742"/>
      <c r="F324" s="630"/>
      <c r="G324" s="630"/>
      <c r="H324" s="630"/>
      <c r="I324" s="630"/>
      <c r="J324" s="631"/>
      <c r="K324" s="630"/>
      <c r="L324" s="630"/>
      <c r="M324" s="632"/>
      <c r="N324" s="631"/>
      <c r="O324" s="630"/>
      <c r="P324" s="630"/>
      <c r="Q324" s="630"/>
      <c r="R324" s="630"/>
    </row>
    <row r="325" spans="2:18" ht="15.75" customHeight="1" x14ac:dyDescent="0.3">
      <c r="B325" s="741"/>
      <c r="C325" s="742"/>
      <c r="D325" s="742"/>
      <c r="E325" s="742"/>
      <c r="F325" s="630"/>
      <c r="G325" s="630"/>
      <c r="H325" s="630"/>
      <c r="I325" s="630"/>
      <c r="J325" s="631"/>
      <c r="K325" s="630"/>
      <c r="L325" s="630"/>
      <c r="M325" s="632"/>
      <c r="N325" s="631"/>
      <c r="O325" s="630"/>
      <c r="P325" s="630"/>
      <c r="Q325" s="630"/>
      <c r="R325" s="630"/>
    </row>
    <row r="326" spans="2:18" ht="15.75" customHeight="1" x14ac:dyDescent="0.3">
      <c r="B326" s="741"/>
      <c r="C326" s="742"/>
      <c r="D326" s="742"/>
      <c r="E326" s="742"/>
      <c r="F326" s="630"/>
      <c r="G326" s="630"/>
      <c r="H326" s="630"/>
      <c r="I326" s="630"/>
      <c r="J326" s="631"/>
      <c r="K326" s="630"/>
      <c r="L326" s="630"/>
      <c r="M326" s="632"/>
      <c r="N326" s="631"/>
      <c r="O326" s="630"/>
      <c r="P326" s="630"/>
      <c r="Q326" s="630"/>
      <c r="R326" s="630"/>
    </row>
    <row r="327" spans="2:18" ht="15.75" customHeight="1" x14ac:dyDescent="0.3">
      <c r="B327" s="741"/>
      <c r="C327" s="742"/>
      <c r="D327" s="742"/>
      <c r="E327" s="742"/>
      <c r="F327" s="630"/>
      <c r="G327" s="630"/>
      <c r="H327" s="630"/>
      <c r="I327" s="630"/>
      <c r="J327" s="631"/>
      <c r="K327" s="630"/>
      <c r="L327" s="630"/>
      <c r="M327" s="632"/>
      <c r="N327" s="631"/>
      <c r="O327" s="630"/>
      <c r="P327" s="630"/>
      <c r="Q327" s="630"/>
      <c r="R327" s="630"/>
    </row>
    <row r="328" spans="2:18" ht="15.75" customHeight="1" x14ac:dyDescent="0.3">
      <c r="B328" s="741"/>
      <c r="C328" s="742"/>
      <c r="D328" s="742"/>
      <c r="E328" s="742"/>
      <c r="F328" s="630"/>
      <c r="G328" s="630"/>
      <c r="H328" s="630"/>
      <c r="I328" s="630"/>
      <c r="J328" s="631"/>
      <c r="K328" s="630"/>
      <c r="L328" s="630"/>
      <c r="M328" s="632"/>
      <c r="N328" s="631"/>
      <c r="O328" s="630"/>
      <c r="P328" s="630"/>
      <c r="Q328" s="630"/>
      <c r="R328" s="630"/>
    </row>
    <row r="329" spans="2:18" ht="15.75" customHeight="1" x14ac:dyDescent="0.3">
      <c r="B329" s="741"/>
      <c r="C329" s="742"/>
      <c r="D329" s="742"/>
      <c r="E329" s="742"/>
      <c r="F329" s="630"/>
      <c r="G329" s="630"/>
      <c r="H329" s="630"/>
      <c r="I329" s="630"/>
      <c r="J329" s="631"/>
      <c r="K329" s="630"/>
      <c r="L329" s="630"/>
      <c r="M329" s="632"/>
      <c r="N329" s="631"/>
      <c r="O329" s="630"/>
      <c r="P329" s="630"/>
      <c r="Q329" s="630"/>
      <c r="R329" s="630"/>
    </row>
    <row r="330" spans="2:18" ht="15.75" customHeight="1" x14ac:dyDescent="0.3">
      <c r="B330" s="741"/>
      <c r="C330" s="742"/>
      <c r="D330" s="742"/>
      <c r="E330" s="742"/>
      <c r="F330" s="630"/>
      <c r="G330" s="630"/>
      <c r="H330" s="630"/>
      <c r="I330" s="630"/>
      <c r="J330" s="631"/>
      <c r="K330" s="630"/>
      <c r="L330" s="630"/>
      <c r="M330" s="632"/>
      <c r="N330" s="631"/>
      <c r="O330" s="630"/>
      <c r="P330" s="630"/>
      <c r="Q330" s="630"/>
      <c r="R330" s="630"/>
    </row>
    <row r="331" spans="2:18" ht="15.75" customHeight="1" x14ac:dyDescent="0.3">
      <c r="B331" s="741"/>
      <c r="C331" s="742"/>
      <c r="D331" s="742"/>
      <c r="E331" s="742"/>
      <c r="F331" s="630"/>
      <c r="G331" s="630"/>
      <c r="H331" s="630"/>
      <c r="I331" s="630"/>
      <c r="J331" s="631"/>
      <c r="K331" s="630"/>
      <c r="L331" s="630"/>
      <c r="M331" s="632"/>
      <c r="N331" s="631"/>
      <c r="O331" s="630"/>
      <c r="P331" s="630"/>
      <c r="Q331" s="630"/>
      <c r="R331" s="630"/>
    </row>
    <row r="332" spans="2:18" ht="15.75" customHeight="1" x14ac:dyDescent="0.3">
      <c r="B332" s="741"/>
      <c r="C332" s="742"/>
      <c r="D332" s="742"/>
      <c r="E332" s="742"/>
      <c r="F332" s="630"/>
      <c r="G332" s="630"/>
      <c r="H332" s="630"/>
      <c r="I332" s="630"/>
      <c r="J332" s="631"/>
      <c r="K332" s="630"/>
      <c r="L332" s="630"/>
      <c r="M332" s="632"/>
      <c r="N332" s="631"/>
      <c r="O332" s="630"/>
      <c r="P332" s="630"/>
      <c r="Q332" s="630"/>
      <c r="R332" s="630"/>
    </row>
    <row r="333" spans="2:18" ht="15.75" customHeight="1" x14ac:dyDescent="0.3">
      <c r="B333" s="741"/>
      <c r="C333" s="742"/>
      <c r="D333" s="742"/>
      <c r="E333" s="742"/>
      <c r="F333" s="630"/>
      <c r="G333" s="630"/>
      <c r="H333" s="630"/>
      <c r="I333" s="630"/>
      <c r="J333" s="631"/>
      <c r="K333" s="630"/>
      <c r="L333" s="630"/>
      <c r="M333" s="632"/>
      <c r="N333" s="631"/>
      <c r="O333" s="630"/>
      <c r="P333" s="630"/>
      <c r="Q333" s="630"/>
      <c r="R333" s="630"/>
    </row>
    <row r="334" spans="2:18" ht="15.75" customHeight="1" x14ac:dyDescent="0.3">
      <c r="B334" s="741"/>
      <c r="C334" s="742"/>
      <c r="D334" s="742"/>
      <c r="E334" s="742"/>
      <c r="F334" s="630"/>
      <c r="G334" s="630"/>
      <c r="H334" s="630"/>
      <c r="I334" s="630"/>
      <c r="J334" s="631"/>
      <c r="K334" s="630"/>
      <c r="L334" s="630"/>
      <c r="M334" s="632"/>
      <c r="N334" s="631"/>
      <c r="O334" s="630"/>
      <c r="P334" s="630"/>
      <c r="Q334" s="630"/>
      <c r="R334" s="630"/>
    </row>
    <row r="335" spans="2:18" ht="15.75" customHeight="1" x14ac:dyDescent="0.3">
      <c r="B335" s="741"/>
      <c r="C335" s="742"/>
      <c r="D335" s="742"/>
      <c r="E335" s="742"/>
      <c r="F335" s="630"/>
      <c r="G335" s="630"/>
      <c r="H335" s="630"/>
      <c r="I335" s="630"/>
      <c r="J335" s="631"/>
      <c r="K335" s="630"/>
      <c r="L335" s="630"/>
      <c r="M335" s="632"/>
      <c r="N335" s="631"/>
      <c r="O335" s="630"/>
      <c r="P335" s="630"/>
      <c r="Q335" s="630"/>
      <c r="R335" s="630"/>
    </row>
    <row r="336" spans="2:18" ht="15.75" customHeight="1" x14ac:dyDescent="0.3">
      <c r="B336" s="741"/>
      <c r="C336" s="742"/>
      <c r="D336" s="742"/>
      <c r="E336" s="742"/>
      <c r="F336" s="630"/>
      <c r="G336" s="630"/>
      <c r="H336" s="630"/>
      <c r="I336" s="630"/>
      <c r="J336" s="631"/>
      <c r="K336" s="630"/>
      <c r="L336" s="630"/>
      <c r="M336" s="632"/>
      <c r="N336" s="631"/>
      <c r="O336" s="630"/>
      <c r="P336" s="630"/>
      <c r="Q336" s="630"/>
      <c r="R336" s="630"/>
    </row>
    <row r="337" spans="2:18" ht="15.75" customHeight="1" x14ac:dyDescent="0.3">
      <c r="B337" s="741"/>
      <c r="C337" s="742"/>
      <c r="D337" s="742"/>
      <c r="E337" s="742"/>
      <c r="F337" s="630"/>
      <c r="G337" s="630"/>
      <c r="H337" s="630"/>
      <c r="I337" s="630"/>
      <c r="J337" s="631"/>
      <c r="K337" s="630"/>
      <c r="L337" s="630"/>
      <c r="M337" s="632"/>
      <c r="N337" s="631"/>
      <c r="O337" s="630"/>
      <c r="P337" s="630"/>
      <c r="Q337" s="630"/>
      <c r="R337" s="630"/>
    </row>
    <row r="338" spans="2:18" ht="15.75" customHeight="1" x14ac:dyDescent="0.3">
      <c r="B338" s="741"/>
      <c r="C338" s="742"/>
      <c r="D338" s="742"/>
      <c r="E338" s="742"/>
      <c r="F338" s="630"/>
      <c r="G338" s="630"/>
      <c r="H338" s="630"/>
      <c r="I338" s="630"/>
      <c r="J338" s="631"/>
      <c r="K338" s="630"/>
      <c r="L338" s="630"/>
      <c r="M338" s="632"/>
      <c r="N338" s="631"/>
      <c r="O338" s="630"/>
      <c r="P338" s="630"/>
      <c r="Q338" s="630"/>
      <c r="R338" s="630"/>
    </row>
    <row r="339" spans="2:18" ht="15.75" customHeight="1" x14ac:dyDescent="0.3">
      <c r="B339" s="741"/>
      <c r="C339" s="742"/>
      <c r="D339" s="742"/>
      <c r="E339" s="742"/>
      <c r="F339" s="630"/>
      <c r="G339" s="630"/>
      <c r="H339" s="630"/>
      <c r="I339" s="630"/>
      <c r="J339" s="631"/>
      <c r="K339" s="630"/>
      <c r="L339" s="630"/>
      <c r="M339" s="632"/>
      <c r="N339" s="631"/>
      <c r="O339" s="630"/>
      <c r="P339" s="630"/>
      <c r="Q339" s="630"/>
      <c r="R339" s="630"/>
    </row>
    <row r="340" spans="2:18" ht="15.75" customHeight="1" x14ac:dyDescent="0.3">
      <c r="B340" s="741"/>
      <c r="C340" s="742"/>
      <c r="D340" s="742"/>
      <c r="E340" s="742"/>
      <c r="F340" s="630"/>
      <c r="G340" s="630"/>
      <c r="H340" s="630"/>
      <c r="I340" s="630"/>
      <c r="J340" s="631"/>
      <c r="K340" s="630"/>
      <c r="L340" s="630"/>
      <c r="M340" s="632"/>
      <c r="N340" s="631"/>
      <c r="O340" s="630"/>
      <c r="P340" s="630"/>
      <c r="Q340" s="630"/>
      <c r="R340" s="630"/>
    </row>
    <row r="341" spans="2:18" ht="15.75" customHeight="1" x14ac:dyDescent="0.3">
      <c r="B341" s="741"/>
      <c r="C341" s="742"/>
      <c r="D341" s="742"/>
      <c r="E341" s="742"/>
      <c r="F341" s="630"/>
      <c r="G341" s="630"/>
      <c r="H341" s="630"/>
      <c r="I341" s="630"/>
      <c r="J341" s="631"/>
      <c r="K341" s="630"/>
      <c r="L341" s="630"/>
      <c r="M341" s="632"/>
      <c r="N341" s="631"/>
      <c r="O341" s="630"/>
      <c r="P341" s="630"/>
      <c r="Q341" s="630"/>
      <c r="R341" s="630"/>
    </row>
    <row r="342" spans="2:18" ht="15.75" customHeight="1" x14ac:dyDescent="0.3">
      <c r="B342" s="741"/>
      <c r="C342" s="742"/>
      <c r="D342" s="742"/>
      <c r="E342" s="742"/>
      <c r="F342" s="630"/>
      <c r="G342" s="630"/>
      <c r="H342" s="630"/>
      <c r="I342" s="630"/>
      <c r="J342" s="631"/>
      <c r="K342" s="630"/>
      <c r="L342" s="630"/>
      <c r="M342" s="632"/>
      <c r="N342" s="631"/>
      <c r="O342" s="630"/>
      <c r="P342" s="630"/>
      <c r="Q342" s="630"/>
      <c r="R342" s="630"/>
    </row>
    <row r="343" spans="2:18" ht="15.75" customHeight="1" x14ac:dyDescent="0.3">
      <c r="B343" s="741"/>
      <c r="C343" s="742"/>
      <c r="D343" s="742"/>
      <c r="E343" s="742"/>
      <c r="F343" s="630"/>
      <c r="G343" s="630"/>
      <c r="H343" s="630"/>
      <c r="I343" s="630"/>
      <c r="J343" s="631"/>
      <c r="K343" s="630"/>
      <c r="L343" s="630"/>
      <c r="M343" s="632"/>
      <c r="N343" s="631"/>
      <c r="O343" s="630"/>
      <c r="P343" s="630"/>
      <c r="Q343" s="630"/>
      <c r="R343" s="630"/>
    </row>
    <row r="344" spans="2:18" ht="15.75" customHeight="1" x14ac:dyDescent="0.3">
      <c r="B344" s="741"/>
      <c r="C344" s="742"/>
      <c r="D344" s="742"/>
      <c r="E344" s="742"/>
      <c r="F344" s="630"/>
      <c r="G344" s="630"/>
      <c r="H344" s="630"/>
      <c r="I344" s="630"/>
      <c r="J344" s="631"/>
      <c r="K344" s="630"/>
      <c r="L344" s="630"/>
      <c r="M344" s="632"/>
      <c r="N344" s="631"/>
      <c r="O344" s="630"/>
      <c r="P344" s="630"/>
      <c r="Q344" s="630"/>
      <c r="R344" s="630"/>
    </row>
    <row r="345" spans="2:18" ht="15.75" customHeight="1" x14ac:dyDescent="0.3">
      <c r="B345" s="741"/>
      <c r="C345" s="742"/>
      <c r="D345" s="742"/>
      <c r="E345" s="742"/>
      <c r="F345" s="630"/>
      <c r="G345" s="630"/>
      <c r="H345" s="630"/>
      <c r="I345" s="630"/>
      <c r="J345" s="631"/>
      <c r="K345" s="630"/>
      <c r="L345" s="630"/>
      <c r="M345" s="632"/>
      <c r="N345" s="631"/>
      <c r="O345" s="630"/>
      <c r="P345" s="630"/>
      <c r="Q345" s="630"/>
      <c r="R345" s="630"/>
    </row>
    <row r="346" spans="2:18" ht="15.75" customHeight="1" x14ac:dyDescent="0.3">
      <c r="B346" s="741"/>
      <c r="C346" s="742"/>
      <c r="D346" s="742"/>
      <c r="E346" s="742"/>
      <c r="F346" s="630"/>
      <c r="G346" s="630"/>
      <c r="H346" s="630"/>
      <c r="I346" s="630"/>
      <c r="J346" s="631"/>
      <c r="K346" s="630"/>
      <c r="L346" s="630"/>
      <c r="M346" s="632"/>
      <c r="N346" s="631"/>
      <c r="O346" s="630"/>
      <c r="P346" s="630"/>
      <c r="Q346" s="630"/>
      <c r="R346" s="630"/>
    </row>
    <row r="347" spans="2:18" ht="15.75" customHeight="1" x14ac:dyDescent="0.3">
      <c r="B347" s="741"/>
      <c r="C347" s="742"/>
      <c r="D347" s="742"/>
      <c r="E347" s="742"/>
      <c r="F347" s="630"/>
      <c r="G347" s="630"/>
      <c r="H347" s="630"/>
      <c r="I347" s="630"/>
      <c r="J347" s="631"/>
      <c r="K347" s="630"/>
      <c r="L347" s="630"/>
      <c r="M347" s="632"/>
      <c r="N347" s="631"/>
      <c r="O347" s="630"/>
      <c r="P347" s="630"/>
      <c r="Q347" s="630"/>
      <c r="R347" s="630"/>
    </row>
    <row r="348" spans="2:18" ht="15.75" customHeight="1" x14ac:dyDescent="0.3">
      <c r="B348" s="741"/>
      <c r="C348" s="742"/>
      <c r="D348" s="742"/>
      <c r="E348" s="742"/>
      <c r="F348" s="630"/>
      <c r="G348" s="630"/>
      <c r="H348" s="630"/>
      <c r="I348" s="630"/>
      <c r="J348" s="631"/>
      <c r="K348" s="630"/>
      <c r="L348" s="630"/>
      <c r="M348" s="632"/>
      <c r="N348" s="631"/>
      <c r="O348" s="630"/>
      <c r="P348" s="630"/>
      <c r="Q348" s="630"/>
      <c r="R348" s="630"/>
    </row>
    <row r="349" spans="2:18" ht="15.75" customHeight="1" x14ac:dyDescent="0.3">
      <c r="B349" s="741"/>
      <c r="C349" s="742"/>
      <c r="D349" s="742"/>
      <c r="E349" s="742"/>
      <c r="F349" s="630"/>
      <c r="G349" s="630"/>
      <c r="H349" s="630"/>
      <c r="I349" s="630"/>
      <c r="J349" s="631"/>
      <c r="K349" s="630"/>
      <c r="L349" s="630"/>
      <c r="M349" s="632"/>
      <c r="N349" s="631"/>
      <c r="O349" s="630"/>
      <c r="P349" s="630"/>
      <c r="Q349" s="630"/>
      <c r="R349" s="630"/>
    </row>
    <row r="350" spans="2:18" ht="15.75" customHeight="1" x14ac:dyDescent="0.3">
      <c r="B350" s="741"/>
      <c r="C350" s="742"/>
      <c r="D350" s="742"/>
      <c r="E350" s="742"/>
      <c r="F350" s="630"/>
      <c r="G350" s="630"/>
      <c r="H350" s="630"/>
      <c r="I350" s="630"/>
      <c r="J350" s="631"/>
      <c r="K350" s="630"/>
      <c r="L350" s="630"/>
      <c r="M350" s="632"/>
      <c r="N350" s="631"/>
      <c r="O350" s="630"/>
      <c r="P350" s="630"/>
      <c r="Q350" s="630"/>
      <c r="R350" s="630"/>
    </row>
    <row r="351" spans="2:18" ht="15.75" customHeight="1" x14ac:dyDescent="0.3">
      <c r="B351" s="741"/>
      <c r="C351" s="742"/>
      <c r="D351" s="742"/>
      <c r="E351" s="742"/>
      <c r="F351" s="630"/>
      <c r="G351" s="630"/>
      <c r="H351" s="630"/>
      <c r="I351" s="630"/>
      <c r="J351" s="631"/>
      <c r="K351" s="630"/>
      <c r="L351" s="630"/>
      <c r="M351" s="632"/>
      <c r="N351" s="631"/>
      <c r="O351" s="630"/>
      <c r="P351" s="630"/>
      <c r="Q351" s="630"/>
      <c r="R351" s="630"/>
    </row>
    <row r="352" spans="2:18" ht="15.75" customHeight="1" x14ac:dyDescent="0.3">
      <c r="B352" s="741"/>
      <c r="C352" s="742"/>
      <c r="D352" s="742"/>
      <c r="E352" s="742"/>
      <c r="F352" s="630"/>
      <c r="G352" s="630"/>
      <c r="H352" s="630"/>
      <c r="I352" s="630"/>
      <c r="J352" s="631"/>
      <c r="K352" s="630"/>
      <c r="L352" s="630"/>
      <c r="M352" s="632"/>
      <c r="N352" s="631"/>
      <c r="O352" s="630"/>
      <c r="P352" s="630"/>
      <c r="Q352" s="630"/>
      <c r="R352" s="630"/>
    </row>
    <row r="353" spans="2:18" ht="15.75" customHeight="1" x14ac:dyDescent="0.3">
      <c r="B353" s="741"/>
      <c r="C353" s="742"/>
      <c r="D353" s="742"/>
      <c r="E353" s="742"/>
      <c r="F353" s="630"/>
      <c r="G353" s="630"/>
      <c r="H353" s="630"/>
      <c r="I353" s="630"/>
      <c r="J353" s="631"/>
      <c r="K353" s="630"/>
      <c r="L353" s="630"/>
      <c r="M353" s="632"/>
      <c r="N353" s="631"/>
      <c r="O353" s="630"/>
      <c r="P353" s="630"/>
      <c r="Q353" s="630"/>
      <c r="R353" s="630"/>
    </row>
    <row r="354" spans="2:18" ht="15.75" customHeight="1" x14ac:dyDescent="0.3">
      <c r="B354" s="741"/>
      <c r="C354" s="742"/>
      <c r="D354" s="742"/>
      <c r="E354" s="742"/>
      <c r="F354" s="630"/>
      <c r="G354" s="630"/>
      <c r="H354" s="630"/>
      <c r="I354" s="630"/>
      <c r="J354" s="631"/>
      <c r="K354" s="630"/>
      <c r="L354" s="630"/>
      <c r="M354" s="632"/>
      <c r="N354" s="631"/>
      <c r="O354" s="630"/>
      <c r="P354" s="630"/>
      <c r="Q354" s="630"/>
      <c r="R354" s="630"/>
    </row>
    <row r="355" spans="2:18" ht="15.75" customHeight="1" x14ac:dyDescent="0.3">
      <c r="B355" s="741"/>
      <c r="C355" s="742"/>
      <c r="D355" s="742"/>
      <c r="E355" s="742"/>
      <c r="F355" s="630"/>
      <c r="G355" s="630"/>
      <c r="H355" s="630"/>
      <c r="I355" s="630"/>
      <c r="J355" s="631"/>
      <c r="K355" s="630"/>
      <c r="L355" s="630"/>
      <c r="M355" s="632"/>
      <c r="N355" s="631"/>
      <c r="O355" s="630"/>
      <c r="P355" s="630"/>
      <c r="Q355" s="630"/>
      <c r="R355" s="630"/>
    </row>
    <row r="356" spans="2:18" ht="15.75" customHeight="1" x14ac:dyDescent="0.3">
      <c r="B356" s="741"/>
      <c r="C356" s="742"/>
      <c r="D356" s="742"/>
      <c r="E356" s="742"/>
      <c r="F356" s="630"/>
      <c r="G356" s="630"/>
      <c r="H356" s="630"/>
      <c r="I356" s="630"/>
      <c r="J356" s="631"/>
      <c r="K356" s="630"/>
      <c r="L356" s="630"/>
      <c r="M356" s="632"/>
      <c r="N356" s="631"/>
      <c r="O356" s="630"/>
      <c r="P356" s="630"/>
      <c r="Q356" s="630"/>
      <c r="R356" s="630"/>
    </row>
    <row r="357" spans="2:18" ht="15.75" customHeight="1" x14ac:dyDescent="0.3">
      <c r="B357" s="741"/>
      <c r="C357" s="742"/>
      <c r="D357" s="742"/>
      <c r="E357" s="742"/>
      <c r="F357" s="630"/>
      <c r="G357" s="630"/>
      <c r="H357" s="630"/>
      <c r="I357" s="630"/>
      <c r="J357" s="631"/>
      <c r="K357" s="630"/>
      <c r="L357" s="630"/>
      <c r="M357" s="632"/>
      <c r="N357" s="631"/>
      <c r="O357" s="630"/>
      <c r="P357" s="630"/>
      <c r="Q357" s="630"/>
      <c r="R357" s="630"/>
    </row>
    <row r="358" spans="2:18" ht="15.75" customHeight="1" x14ac:dyDescent="0.3">
      <c r="B358" s="741"/>
      <c r="C358" s="742"/>
      <c r="D358" s="742"/>
      <c r="E358" s="742"/>
      <c r="F358" s="630"/>
      <c r="G358" s="630"/>
      <c r="H358" s="630"/>
      <c r="I358" s="630"/>
      <c r="J358" s="631"/>
      <c r="K358" s="630"/>
      <c r="L358" s="630"/>
      <c r="M358" s="632"/>
      <c r="N358" s="631"/>
      <c r="O358" s="630"/>
      <c r="P358" s="630"/>
      <c r="Q358" s="630"/>
      <c r="R358" s="630"/>
    </row>
    <row r="359" spans="2:18" ht="15.75" customHeight="1" x14ac:dyDescent="0.3">
      <c r="B359" s="741"/>
      <c r="C359" s="742"/>
      <c r="D359" s="742"/>
      <c r="E359" s="742"/>
      <c r="F359" s="630"/>
      <c r="G359" s="630"/>
      <c r="H359" s="630"/>
      <c r="I359" s="630"/>
      <c r="J359" s="631"/>
      <c r="K359" s="630"/>
      <c r="L359" s="630"/>
      <c r="M359" s="632"/>
      <c r="N359" s="631"/>
      <c r="O359" s="630"/>
      <c r="P359" s="630"/>
      <c r="Q359" s="630"/>
      <c r="R359" s="630"/>
    </row>
    <row r="360" spans="2:18" ht="15.75" customHeight="1" x14ac:dyDescent="0.3">
      <c r="B360" s="741"/>
      <c r="C360" s="742"/>
      <c r="D360" s="742"/>
      <c r="E360" s="742"/>
      <c r="F360" s="630"/>
      <c r="G360" s="630"/>
      <c r="H360" s="630"/>
      <c r="I360" s="630"/>
      <c r="J360" s="631"/>
      <c r="K360" s="630"/>
      <c r="L360" s="630"/>
      <c r="M360" s="632"/>
      <c r="N360" s="631"/>
      <c r="O360" s="630"/>
      <c r="P360" s="630"/>
      <c r="Q360" s="630"/>
      <c r="R360" s="630"/>
    </row>
    <row r="361" spans="2:18" ht="15.75" customHeight="1" x14ac:dyDescent="0.3">
      <c r="B361" s="741"/>
      <c r="C361" s="742"/>
      <c r="D361" s="742"/>
      <c r="E361" s="742"/>
      <c r="F361" s="630"/>
      <c r="G361" s="630"/>
      <c r="H361" s="630"/>
      <c r="I361" s="630"/>
      <c r="J361" s="631"/>
      <c r="K361" s="630"/>
      <c r="L361" s="630"/>
      <c r="M361" s="632"/>
      <c r="N361" s="631"/>
      <c r="O361" s="630"/>
      <c r="P361" s="630"/>
      <c r="Q361" s="630"/>
      <c r="R361" s="630"/>
    </row>
    <row r="362" spans="2:18" ht="15.75" customHeight="1" x14ac:dyDescent="0.3">
      <c r="B362" s="741"/>
      <c r="C362" s="742"/>
      <c r="D362" s="742"/>
      <c r="E362" s="742"/>
      <c r="F362" s="630"/>
      <c r="G362" s="630"/>
      <c r="H362" s="630"/>
      <c r="I362" s="630"/>
      <c r="J362" s="631"/>
      <c r="K362" s="630"/>
      <c r="L362" s="630"/>
      <c r="M362" s="632"/>
      <c r="N362" s="631"/>
      <c r="O362" s="630"/>
      <c r="P362" s="630"/>
      <c r="Q362" s="630"/>
      <c r="R362" s="630"/>
    </row>
    <row r="363" spans="2:18" ht="15.75" customHeight="1" x14ac:dyDescent="0.3">
      <c r="B363" s="741"/>
      <c r="C363" s="742"/>
      <c r="D363" s="742"/>
      <c r="E363" s="742"/>
      <c r="F363" s="630"/>
      <c r="G363" s="630"/>
      <c r="H363" s="630"/>
      <c r="I363" s="630"/>
      <c r="J363" s="631"/>
      <c r="K363" s="630"/>
      <c r="L363" s="630"/>
      <c r="M363" s="632"/>
      <c r="N363" s="631"/>
      <c r="O363" s="630"/>
      <c r="P363" s="630"/>
      <c r="Q363" s="630"/>
      <c r="R363" s="630"/>
    </row>
    <row r="364" spans="2:18" ht="15.75" customHeight="1" x14ac:dyDescent="0.3">
      <c r="B364" s="741"/>
      <c r="C364" s="742"/>
      <c r="D364" s="742"/>
      <c r="E364" s="742"/>
      <c r="F364" s="630"/>
      <c r="G364" s="630"/>
      <c r="H364" s="630"/>
      <c r="I364" s="630"/>
      <c r="J364" s="631"/>
      <c r="K364" s="630"/>
      <c r="L364" s="630"/>
      <c r="M364" s="632"/>
      <c r="N364" s="631"/>
      <c r="O364" s="630"/>
      <c r="P364" s="630"/>
      <c r="Q364" s="630"/>
      <c r="R364" s="630"/>
    </row>
    <row r="365" spans="2:18" ht="15.75" customHeight="1" x14ac:dyDescent="0.3">
      <c r="B365" s="741"/>
      <c r="C365" s="742"/>
      <c r="D365" s="742"/>
      <c r="E365" s="742"/>
      <c r="F365" s="630"/>
      <c r="G365" s="630"/>
      <c r="H365" s="630"/>
      <c r="I365" s="630"/>
      <c r="J365" s="631"/>
      <c r="K365" s="630"/>
      <c r="L365" s="630"/>
      <c r="M365" s="632"/>
      <c r="N365" s="631"/>
      <c r="O365" s="630"/>
      <c r="P365" s="630"/>
      <c r="Q365" s="630"/>
      <c r="R365" s="630"/>
    </row>
    <row r="366" spans="2:18" ht="15.75" customHeight="1" x14ac:dyDescent="0.3">
      <c r="B366" s="741"/>
      <c r="C366" s="742"/>
      <c r="D366" s="742"/>
      <c r="E366" s="742"/>
      <c r="F366" s="630"/>
      <c r="G366" s="630"/>
      <c r="H366" s="630"/>
      <c r="I366" s="630"/>
      <c r="J366" s="631"/>
      <c r="K366" s="630"/>
      <c r="L366" s="630"/>
      <c r="M366" s="632"/>
      <c r="N366" s="631"/>
      <c r="O366" s="630"/>
      <c r="P366" s="630"/>
      <c r="Q366" s="630"/>
      <c r="R366" s="630"/>
    </row>
    <row r="367" spans="2:18" ht="15.75" customHeight="1" x14ac:dyDescent="0.3">
      <c r="B367" s="741"/>
      <c r="C367" s="742"/>
      <c r="D367" s="742"/>
      <c r="E367" s="742"/>
      <c r="F367" s="630"/>
      <c r="G367" s="630"/>
      <c r="H367" s="630"/>
      <c r="I367" s="630"/>
      <c r="J367" s="631"/>
      <c r="K367" s="630"/>
      <c r="L367" s="630"/>
      <c r="M367" s="632"/>
      <c r="N367" s="631"/>
      <c r="O367" s="630"/>
      <c r="P367" s="630"/>
      <c r="Q367" s="630"/>
      <c r="R367" s="630"/>
    </row>
    <row r="368" spans="2:18" ht="15.75" customHeight="1" x14ac:dyDescent="0.3">
      <c r="B368" s="741"/>
      <c r="C368" s="742"/>
      <c r="D368" s="742"/>
      <c r="E368" s="742"/>
      <c r="F368" s="630"/>
      <c r="G368" s="630"/>
      <c r="H368" s="630"/>
      <c r="I368" s="630"/>
      <c r="J368" s="631"/>
      <c r="K368" s="630"/>
      <c r="L368" s="630"/>
      <c r="M368" s="632"/>
      <c r="N368" s="631"/>
      <c r="O368" s="630"/>
      <c r="P368" s="630"/>
      <c r="Q368" s="630"/>
      <c r="R368" s="630"/>
    </row>
    <row r="369" spans="2:18" ht="15.75" customHeight="1" x14ac:dyDescent="0.3">
      <c r="B369" s="741"/>
      <c r="C369" s="742"/>
      <c r="D369" s="742"/>
      <c r="E369" s="742"/>
      <c r="F369" s="630"/>
      <c r="G369" s="630"/>
      <c r="H369" s="630"/>
      <c r="I369" s="630"/>
      <c r="J369" s="631"/>
      <c r="K369" s="630"/>
      <c r="L369" s="630"/>
      <c r="M369" s="632"/>
      <c r="N369" s="631"/>
      <c r="O369" s="630"/>
      <c r="P369" s="630"/>
      <c r="Q369" s="630"/>
      <c r="R369" s="630"/>
    </row>
    <row r="370" spans="2:18" ht="15.75" customHeight="1" x14ac:dyDescent="0.3">
      <c r="B370" s="741"/>
      <c r="C370" s="742"/>
      <c r="D370" s="742"/>
      <c r="E370" s="742"/>
      <c r="F370" s="630"/>
      <c r="G370" s="630"/>
      <c r="H370" s="630"/>
      <c r="I370" s="630"/>
      <c r="J370" s="631"/>
      <c r="K370" s="630"/>
      <c r="L370" s="630"/>
      <c r="M370" s="632"/>
      <c r="N370" s="631"/>
      <c r="O370" s="630"/>
      <c r="P370" s="630"/>
      <c r="Q370" s="630"/>
      <c r="R370" s="630"/>
    </row>
    <row r="371" spans="2:18" ht="15.75" customHeight="1" x14ac:dyDescent="0.3">
      <c r="B371" s="741"/>
      <c r="C371" s="742"/>
      <c r="D371" s="742"/>
      <c r="E371" s="742"/>
      <c r="F371" s="630"/>
      <c r="G371" s="630"/>
      <c r="H371" s="630"/>
      <c r="I371" s="630"/>
      <c r="J371" s="631"/>
      <c r="K371" s="630"/>
      <c r="L371" s="630"/>
      <c r="M371" s="632"/>
      <c r="N371" s="631"/>
      <c r="O371" s="630"/>
      <c r="P371" s="630"/>
      <c r="Q371" s="630"/>
      <c r="R371" s="630"/>
    </row>
    <row r="372" spans="2:18" ht="15.75" customHeight="1" x14ac:dyDescent="0.3">
      <c r="B372" s="741"/>
      <c r="C372" s="742"/>
      <c r="D372" s="742"/>
      <c r="E372" s="742"/>
      <c r="F372" s="630"/>
      <c r="G372" s="630"/>
      <c r="H372" s="630"/>
      <c r="I372" s="630"/>
      <c r="J372" s="631"/>
      <c r="K372" s="630"/>
      <c r="L372" s="630"/>
      <c r="M372" s="632"/>
      <c r="N372" s="631"/>
      <c r="O372" s="630"/>
      <c r="P372" s="630"/>
      <c r="Q372" s="630"/>
      <c r="R372" s="630"/>
    </row>
    <row r="373" spans="2:18" ht="15.75" customHeight="1" x14ac:dyDescent="0.3">
      <c r="B373" s="741"/>
      <c r="C373" s="742"/>
      <c r="D373" s="742"/>
      <c r="E373" s="742"/>
      <c r="F373" s="630"/>
      <c r="G373" s="630"/>
      <c r="H373" s="630"/>
      <c r="I373" s="630"/>
      <c r="J373" s="631"/>
      <c r="K373" s="630"/>
      <c r="L373" s="630"/>
      <c r="M373" s="632"/>
      <c r="N373" s="631"/>
      <c r="O373" s="630"/>
      <c r="P373" s="630"/>
      <c r="Q373" s="630"/>
      <c r="R373" s="630"/>
    </row>
    <row r="374" spans="2:18" ht="15.75" customHeight="1" x14ac:dyDescent="0.3">
      <c r="B374" s="741"/>
      <c r="C374" s="742"/>
      <c r="D374" s="742"/>
      <c r="E374" s="742"/>
      <c r="F374" s="630"/>
      <c r="G374" s="630"/>
      <c r="H374" s="630"/>
      <c r="I374" s="630"/>
      <c r="J374" s="631"/>
      <c r="K374" s="630"/>
      <c r="L374" s="630"/>
      <c r="M374" s="632"/>
      <c r="N374" s="631"/>
      <c r="O374" s="630"/>
      <c r="P374" s="630"/>
      <c r="Q374" s="630"/>
      <c r="R374" s="630"/>
    </row>
    <row r="375" spans="2:18" ht="15.75" customHeight="1" x14ac:dyDescent="0.3">
      <c r="B375" s="741"/>
      <c r="C375" s="742"/>
      <c r="D375" s="742"/>
      <c r="E375" s="742"/>
      <c r="F375" s="630"/>
      <c r="G375" s="630"/>
      <c r="H375" s="630"/>
      <c r="I375" s="630"/>
      <c r="J375" s="631"/>
      <c r="K375" s="630"/>
      <c r="L375" s="630"/>
      <c r="M375" s="632"/>
      <c r="N375" s="631"/>
      <c r="O375" s="630"/>
      <c r="P375" s="630"/>
      <c r="Q375" s="630"/>
      <c r="R375" s="630"/>
    </row>
    <row r="376" spans="2:18" ht="15.75" customHeight="1" x14ac:dyDescent="0.3">
      <c r="B376" s="741"/>
      <c r="C376" s="742"/>
      <c r="D376" s="742"/>
      <c r="E376" s="742"/>
      <c r="F376" s="630"/>
      <c r="G376" s="630"/>
      <c r="H376" s="630"/>
      <c r="I376" s="630"/>
      <c r="J376" s="631"/>
      <c r="K376" s="630"/>
      <c r="L376" s="630"/>
      <c r="M376" s="632"/>
      <c r="N376" s="631"/>
      <c r="O376" s="630"/>
      <c r="P376" s="630"/>
      <c r="Q376" s="630"/>
      <c r="R376" s="630"/>
    </row>
    <row r="377" spans="2:18" ht="15.75" customHeight="1" x14ac:dyDescent="0.3">
      <c r="B377" s="741"/>
      <c r="C377" s="742"/>
      <c r="D377" s="742"/>
      <c r="E377" s="742"/>
      <c r="F377" s="630"/>
      <c r="G377" s="630"/>
      <c r="H377" s="630"/>
      <c r="I377" s="630"/>
      <c r="J377" s="631"/>
      <c r="K377" s="630"/>
      <c r="L377" s="630"/>
      <c r="M377" s="632"/>
      <c r="N377" s="631"/>
      <c r="O377" s="630"/>
      <c r="P377" s="630"/>
      <c r="Q377" s="630"/>
      <c r="R377" s="630"/>
    </row>
    <row r="378" spans="2:18" ht="15.75" customHeight="1" x14ac:dyDescent="0.3">
      <c r="B378" s="741"/>
      <c r="C378" s="742"/>
      <c r="D378" s="742"/>
      <c r="E378" s="742"/>
      <c r="F378" s="630"/>
      <c r="G378" s="630"/>
      <c r="H378" s="630"/>
      <c r="I378" s="630"/>
      <c r="J378" s="631"/>
      <c r="K378" s="630"/>
      <c r="L378" s="630"/>
      <c r="M378" s="632"/>
      <c r="N378" s="631"/>
      <c r="O378" s="630"/>
      <c r="P378" s="630"/>
      <c r="Q378" s="630"/>
      <c r="R378" s="630"/>
    </row>
    <row r="379" spans="2:18" ht="15.75" customHeight="1" x14ac:dyDescent="0.3">
      <c r="B379" s="741"/>
      <c r="C379" s="742"/>
      <c r="D379" s="742"/>
      <c r="E379" s="742"/>
      <c r="F379" s="630"/>
      <c r="G379" s="630"/>
      <c r="H379" s="630"/>
      <c r="I379" s="630"/>
      <c r="J379" s="631"/>
      <c r="K379" s="630"/>
      <c r="L379" s="630"/>
      <c r="M379" s="632"/>
      <c r="N379" s="631"/>
      <c r="O379" s="630"/>
      <c r="P379" s="630"/>
      <c r="Q379" s="630"/>
      <c r="R379" s="630"/>
    </row>
    <row r="380" spans="2:18" ht="15.75" customHeight="1" x14ac:dyDescent="0.3">
      <c r="B380" s="741"/>
      <c r="C380" s="742"/>
      <c r="D380" s="742"/>
      <c r="E380" s="742"/>
      <c r="F380" s="630"/>
      <c r="G380" s="630"/>
      <c r="H380" s="630"/>
      <c r="I380" s="630"/>
      <c r="J380" s="631"/>
      <c r="K380" s="630"/>
      <c r="L380" s="630"/>
      <c r="M380" s="632"/>
      <c r="N380" s="631"/>
      <c r="O380" s="630"/>
      <c r="P380" s="630"/>
      <c r="Q380" s="630"/>
      <c r="R380" s="630"/>
    </row>
    <row r="381" spans="2:18" ht="15.75" customHeight="1" x14ac:dyDescent="0.3">
      <c r="B381" s="741"/>
      <c r="C381" s="742"/>
      <c r="D381" s="742"/>
      <c r="E381" s="742"/>
      <c r="F381" s="630"/>
      <c r="G381" s="630"/>
      <c r="H381" s="630"/>
      <c r="I381" s="630"/>
      <c r="J381" s="631"/>
      <c r="K381" s="630"/>
      <c r="L381" s="630"/>
      <c r="M381" s="632"/>
      <c r="N381" s="631"/>
      <c r="O381" s="630"/>
      <c r="P381" s="630"/>
      <c r="Q381" s="630"/>
      <c r="R381" s="630"/>
    </row>
    <row r="382" spans="2:18" ht="15.75" customHeight="1" x14ac:dyDescent="0.3">
      <c r="B382" s="741"/>
      <c r="C382" s="742"/>
      <c r="D382" s="742"/>
      <c r="E382" s="742"/>
      <c r="F382" s="630"/>
      <c r="G382" s="630"/>
      <c r="H382" s="630"/>
      <c r="I382" s="630"/>
      <c r="J382" s="631"/>
      <c r="K382" s="630"/>
      <c r="L382" s="630"/>
      <c r="M382" s="632"/>
      <c r="N382" s="631"/>
      <c r="O382" s="630"/>
      <c r="P382" s="630"/>
      <c r="Q382" s="630"/>
      <c r="R382" s="630"/>
    </row>
    <row r="383" spans="2:18" ht="15.75" customHeight="1" x14ac:dyDescent="0.3">
      <c r="B383" s="741"/>
      <c r="C383" s="742"/>
      <c r="D383" s="742"/>
      <c r="E383" s="742"/>
      <c r="F383" s="630"/>
      <c r="G383" s="630"/>
      <c r="H383" s="630"/>
      <c r="I383" s="630"/>
      <c r="J383" s="631"/>
      <c r="K383" s="630"/>
      <c r="L383" s="630"/>
      <c r="M383" s="632"/>
      <c r="N383" s="631"/>
      <c r="O383" s="630"/>
      <c r="P383" s="630"/>
      <c r="Q383" s="630"/>
      <c r="R383" s="630"/>
    </row>
    <row r="384" spans="2:18" ht="15.75" customHeight="1" x14ac:dyDescent="0.3">
      <c r="B384" s="741"/>
      <c r="C384" s="742"/>
      <c r="D384" s="742"/>
      <c r="E384" s="742"/>
      <c r="F384" s="630"/>
      <c r="G384" s="630"/>
      <c r="H384" s="630"/>
      <c r="I384" s="630"/>
      <c r="J384" s="631"/>
      <c r="K384" s="630"/>
      <c r="L384" s="630"/>
      <c r="M384" s="632"/>
      <c r="N384" s="631"/>
      <c r="O384" s="630"/>
      <c r="P384" s="630"/>
      <c r="Q384" s="630"/>
      <c r="R384" s="630"/>
    </row>
    <row r="385" spans="2:18" ht="15.75" customHeight="1" x14ac:dyDescent="0.3">
      <c r="B385" s="741"/>
      <c r="C385" s="742"/>
      <c r="D385" s="742"/>
      <c r="E385" s="742"/>
      <c r="F385" s="630"/>
      <c r="G385" s="630"/>
      <c r="H385" s="630"/>
      <c r="I385" s="630"/>
      <c r="J385" s="631"/>
      <c r="K385" s="630"/>
      <c r="L385" s="630"/>
      <c r="M385" s="632"/>
      <c r="N385" s="631"/>
      <c r="O385" s="630"/>
      <c r="P385" s="630"/>
      <c r="Q385" s="630"/>
      <c r="R385" s="630"/>
    </row>
    <row r="386" spans="2:18" ht="15.75" customHeight="1" x14ac:dyDescent="0.3">
      <c r="B386" s="741"/>
      <c r="C386" s="742"/>
      <c r="D386" s="742"/>
      <c r="E386" s="742"/>
      <c r="F386" s="630"/>
      <c r="G386" s="630"/>
      <c r="H386" s="630"/>
      <c r="I386" s="630"/>
      <c r="J386" s="631"/>
      <c r="K386" s="630"/>
      <c r="L386" s="630"/>
      <c r="M386" s="632"/>
      <c r="N386" s="631"/>
      <c r="O386" s="630"/>
      <c r="P386" s="630"/>
      <c r="Q386" s="630"/>
      <c r="R386" s="630"/>
    </row>
    <row r="387" spans="2:18" ht="15.75" customHeight="1" x14ac:dyDescent="0.3">
      <c r="B387" s="741"/>
      <c r="C387" s="742"/>
      <c r="D387" s="742"/>
      <c r="E387" s="742"/>
      <c r="F387" s="630"/>
      <c r="G387" s="630"/>
      <c r="H387" s="630"/>
      <c r="I387" s="630"/>
      <c r="J387" s="631"/>
      <c r="K387" s="630"/>
      <c r="L387" s="630"/>
      <c r="M387" s="632"/>
      <c r="N387" s="631"/>
      <c r="O387" s="630"/>
      <c r="P387" s="630"/>
      <c r="Q387" s="630"/>
      <c r="R387" s="630"/>
    </row>
    <row r="388" spans="2:18" ht="15.75" customHeight="1" x14ac:dyDescent="0.3">
      <c r="B388" s="741"/>
      <c r="C388" s="742"/>
      <c r="D388" s="742"/>
      <c r="E388" s="742"/>
      <c r="F388" s="630"/>
      <c r="G388" s="630"/>
      <c r="H388" s="630"/>
      <c r="I388" s="630"/>
      <c r="J388" s="631"/>
      <c r="K388" s="630"/>
      <c r="L388" s="630"/>
      <c r="M388" s="632"/>
      <c r="N388" s="631"/>
      <c r="O388" s="630"/>
      <c r="P388" s="630"/>
      <c r="Q388" s="630"/>
      <c r="R388" s="630"/>
    </row>
    <row r="389" spans="2:18" ht="15.75" customHeight="1" x14ac:dyDescent="0.3">
      <c r="B389" s="741"/>
      <c r="C389" s="742"/>
      <c r="D389" s="742"/>
      <c r="E389" s="742"/>
      <c r="F389" s="630"/>
      <c r="G389" s="630"/>
      <c r="H389" s="630"/>
      <c r="I389" s="630"/>
      <c r="J389" s="631"/>
      <c r="K389" s="630"/>
      <c r="L389" s="630"/>
      <c r="M389" s="632"/>
      <c r="N389" s="631"/>
      <c r="O389" s="630"/>
      <c r="P389" s="630"/>
      <c r="Q389" s="630"/>
      <c r="R389" s="630"/>
    </row>
    <row r="390" spans="2:18" ht="15.75" customHeight="1" x14ac:dyDescent="0.3">
      <c r="B390" s="741"/>
      <c r="C390" s="742"/>
      <c r="D390" s="742"/>
      <c r="E390" s="742"/>
      <c r="F390" s="630"/>
      <c r="G390" s="630"/>
      <c r="H390" s="630"/>
      <c r="I390" s="630"/>
      <c r="J390" s="631"/>
      <c r="K390" s="630"/>
      <c r="L390" s="630"/>
      <c r="M390" s="632"/>
      <c r="N390" s="631"/>
      <c r="O390" s="630"/>
      <c r="P390" s="630"/>
      <c r="Q390" s="630"/>
      <c r="R390" s="630"/>
    </row>
    <row r="391" spans="2:18" ht="15.75" customHeight="1" x14ac:dyDescent="0.3">
      <c r="B391" s="741"/>
      <c r="C391" s="742"/>
      <c r="D391" s="742"/>
      <c r="E391" s="742"/>
      <c r="F391" s="630"/>
      <c r="G391" s="630"/>
      <c r="H391" s="630"/>
      <c r="I391" s="630"/>
      <c r="J391" s="631"/>
      <c r="K391" s="630"/>
      <c r="L391" s="630"/>
      <c r="M391" s="632"/>
      <c r="N391" s="631"/>
      <c r="O391" s="630"/>
      <c r="P391" s="630"/>
      <c r="Q391" s="630"/>
      <c r="R391" s="630"/>
    </row>
    <row r="392" spans="2:18" ht="15.75" customHeight="1" x14ac:dyDescent="0.3">
      <c r="B392" s="741"/>
      <c r="C392" s="742"/>
      <c r="D392" s="742"/>
      <c r="E392" s="742"/>
      <c r="F392" s="630"/>
      <c r="G392" s="630"/>
      <c r="H392" s="630"/>
      <c r="I392" s="630"/>
      <c r="J392" s="631"/>
      <c r="K392" s="630"/>
      <c r="L392" s="630"/>
      <c r="M392" s="632"/>
      <c r="N392" s="631"/>
      <c r="O392" s="630"/>
      <c r="P392" s="630"/>
      <c r="Q392" s="630"/>
      <c r="R392" s="630"/>
    </row>
    <row r="393" spans="2:18" ht="15.75" customHeight="1" x14ac:dyDescent="0.3">
      <c r="B393" s="741"/>
      <c r="C393" s="742"/>
      <c r="D393" s="742"/>
      <c r="E393" s="742"/>
      <c r="F393" s="630"/>
      <c r="G393" s="630"/>
      <c r="H393" s="630"/>
      <c r="I393" s="630"/>
      <c r="J393" s="631"/>
      <c r="K393" s="630"/>
      <c r="L393" s="630"/>
      <c r="M393" s="632"/>
      <c r="N393" s="631"/>
      <c r="O393" s="630"/>
      <c r="P393" s="630"/>
      <c r="Q393" s="630"/>
      <c r="R393" s="630"/>
    </row>
    <row r="394" spans="2:18" ht="15.75" customHeight="1" x14ac:dyDescent="0.3">
      <c r="B394" s="741"/>
      <c r="C394" s="742"/>
      <c r="D394" s="742"/>
      <c r="E394" s="742"/>
      <c r="F394" s="630"/>
      <c r="G394" s="630"/>
      <c r="H394" s="630"/>
      <c r="I394" s="630"/>
      <c r="J394" s="631"/>
      <c r="K394" s="630"/>
      <c r="L394" s="630"/>
      <c r="M394" s="632"/>
      <c r="N394" s="631"/>
      <c r="O394" s="630"/>
      <c r="P394" s="630"/>
      <c r="Q394" s="630"/>
      <c r="R394" s="630"/>
    </row>
    <row r="395" spans="2:18" ht="15.75" customHeight="1" x14ac:dyDescent="0.3">
      <c r="B395" s="741"/>
      <c r="C395" s="742"/>
      <c r="D395" s="742"/>
      <c r="E395" s="742"/>
      <c r="F395" s="630"/>
      <c r="G395" s="630"/>
      <c r="H395" s="630"/>
      <c r="I395" s="630"/>
      <c r="J395" s="631"/>
      <c r="K395" s="630"/>
      <c r="L395" s="630"/>
      <c r="M395" s="632"/>
      <c r="N395" s="631"/>
      <c r="O395" s="630"/>
      <c r="P395" s="630"/>
      <c r="Q395" s="630"/>
      <c r="R395" s="630"/>
    </row>
    <row r="396" spans="2:18" ht="15.75" customHeight="1" x14ac:dyDescent="0.3">
      <c r="B396" s="741"/>
      <c r="C396" s="742"/>
      <c r="D396" s="742"/>
      <c r="E396" s="742"/>
      <c r="F396" s="630"/>
      <c r="G396" s="630"/>
      <c r="H396" s="630"/>
      <c r="I396" s="630"/>
      <c r="J396" s="631"/>
      <c r="K396" s="630"/>
      <c r="L396" s="630"/>
      <c r="M396" s="632"/>
      <c r="N396" s="631"/>
      <c r="O396" s="630"/>
      <c r="P396" s="630"/>
      <c r="Q396" s="630"/>
      <c r="R396" s="630"/>
    </row>
    <row r="397" spans="2:18" ht="15.75" customHeight="1" x14ac:dyDescent="0.3">
      <c r="B397" s="741"/>
      <c r="C397" s="742"/>
      <c r="D397" s="742"/>
      <c r="E397" s="742"/>
      <c r="F397" s="630"/>
      <c r="G397" s="630"/>
      <c r="H397" s="630"/>
      <c r="I397" s="630"/>
      <c r="J397" s="631"/>
      <c r="K397" s="630"/>
      <c r="L397" s="630"/>
      <c r="M397" s="632"/>
      <c r="N397" s="631"/>
      <c r="O397" s="630"/>
      <c r="P397" s="630"/>
      <c r="Q397" s="630"/>
      <c r="R397" s="630"/>
    </row>
    <row r="398" spans="2:18" ht="15.75" customHeight="1" x14ac:dyDescent="0.3">
      <c r="B398" s="741"/>
      <c r="C398" s="742"/>
      <c r="D398" s="742"/>
      <c r="E398" s="742"/>
      <c r="F398" s="630"/>
      <c r="G398" s="630"/>
      <c r="H398" s="630"/>
      <c r="I398" s="630"/>
      <c r="J398" s="631"/>
      <c r="K398" s="630"/>
      <c r="L398" s="630"/>
      <c r="M398" s="632"/>
      <c r="N398" s="631"/>
      <c r="O398" s="630"/>
      <c r="P398" s="630"/>
      <c r="Q398" s="630"/>
      <c r="R398" s="630"/>
    </row>
    <row r="399" spans="2:18" ht="15.75" customHeight="1" x14ac:dyDescent="0.3">
      <c r="B399" s="741"/>
      <c r="C399" s="742"/>
      <c r="D399" s="742"/>
      <c r="E399" s="742"/>
      <c r="F399" s="630"/>
      <c r="G399" s="630"/>
      <c r="H399" s="630"/>
      <c r="I399" s="630"/>
      <c r="J399" s="631"/>
      <c r="K399" s="630"/>
      <c r="L399" s="630"/>
      <c r="M399" s="632"/>
      <c r="N399" s="631"/>
      <c r="O399" s="630"/>
      <c r="P399" s="630"/>
      <c r="Q399" s="630"/>
      <c r="R399" s="630"/>
    </row>
    <row r="400" spans="2:18" ht="15.75" customHeight="1" x14ac:dyDescent="0.3">
      <c r="B400" s="741"/>
      <c r="C400" s="742"/>
      <c r="D400" s="742"/>
      <c r="E400" s="742"/>
      <c r="F400" s="630"/>
      <c r="G400" s="630"/>
      <c r="H400" s="630"/>
      <c r="I400" s="630"/>
      <c r="J400" s="631"/>
      <c r="K400" s="630"/>
      <c r="L400" s="630"/>
      <c r="M400" s="632"/>
      <c r="N400" s="631"/>
      <c r="O400" s="630"/>
      <c r="P400" s="630"/>
      <c r="Q400" s="630"/>
      <c r="R400" s="630"/>
    </row>
    <row r="401" spans="2:18" ht="15.75" customHeight="1" x14ac:dyDescent="0.3">
      <c r="B401" s="741"/>
      <c r="C401" s="742"/>
      <c r="D401" s="742"/>
      <c r="E401" s="742"/>
      <c r="F401" s="630"/>
      <c r="G401" s="630"/>
      <c r="H401" s="630"/>
      <c r="I401" s="630"/>
      <c r="J401" s="631"/>
      <c r="K401" s="630"/>
      <c r="L401" s="630"/>
      <c r="M401" s="632"/>
      <c r="N401" s="631"/>
      <c r="O401" s="630"/>
      <c r="P401" s="630"/>
      <c r="Q401" s="630"/>
      <c r="R401" s="630"/>
    </row>
    <row r="402" spans="2:18" ht="15.75" customHeight="1" x14ac:dyDescent="0.3">
      <c r="B402" s="741"/>
      <c r="C402" s="742"/>
      <c r="D402" s="742"/>
      <c r="E402" s="742"/>
      <c r="F402" s="630"/>
      <c r="G402" s="630"/>
      <c r="H402" s="630"/>
      <c r="I402" s="630"/>
      <c r="J402" s="631"/>
      <c r="K402" s="630"/>
      <c r="L402" s="630"/>
      <c r="M402" s="632"/>
      <c r="N402" s="631"/>
      <c r="O402" s="630"/>
      <c r="P402" s="630"/>
      <c r="Q402" s="630"/>
      <c r="R402" s="630"/>
    </row>
    <row r="403" spans="2:18" ht="15.75" customHeight="1" x14ac:dyDescent="0.3">
      <c r="B403" s="741"/>
      <c r="C403" s="742"/>
      <c r="D403" s="742"/>
      <c r="E403" s="742"/>
      <c r="F403" s="630"/>
      <c r="G403" s="630"/>
      <c r="H403" s="630"/>
      <c r="I403" s="630"/>
      <c r="J403" s="631"/>
      <c r="K403" s="630"/>
      <c r="L403" s="630"/>
      <c r="M403" s="632"/>
      <c r="N403" s="631"/>
      <c r="O403" s="630"/>
      <c r="P403" s="630"/>
      <c r="Q403" s="630"/>
      <c r="R403" s="630"/>
    </row>
    <row r="404" spans="2:18" ht="15.75" customHeight="1" x14ac:dyDescent="0.3">
      <c r="B404" s="741"/>
      <c r="C404" s="742"/>
      <c r="D404" s="742"/>
      <c r="E404" s="742"/>
      <c r="F404" s="630"/>
      <c r="G404" s="630"/>
      <c r="H404" s="630"/>
      <c r="I404" s="630"/>
      <c r="J404" s="631"/>
      <c r="K404" s="630"/>
      <c r="L404" s="630"/>
      <c r="M404" s="632"/>
      <c r="N404" s="631"/>
      <c r="O404" s="630"/>
      <c r="P404" s="630"/>
      <c r="Q404" s="630"/>
      <c r="R404" s="630"/>
    </row>
    <row r="405" spans="2:18" ht="15.75" customHeight="1" x14ac:dyDescent="0.3">
      <c r="B405" s="741"/>
      <c r="C405" s="742"/>
      <c r="D405" s="742"/>
      <c r="E405" s="742"/>
      <c r="F405" s="630"/>
      <c r="G405" s="630"/>
      <c r="H405" s="630"/>
      <c r="I405" s="630"/>
      <c r="J405" s="631"/>
      <c r="K405" s="630"/>
      <c r="L405" s="630"/>
      <c r="M405" s="632"/>
      <c r="N405" s="631"/>
      <c r="O405" s="630"/>
      <c r="P405" s="630"/>
      <c r="Q405" s="630"/>
      <c r="R405" s="630"/>
    </row>
    <row r="406" spans="2:18" ht="15.75" customHeight="1" x14ac:dyDescent="0.3">
      <c r="B406" s="741"/>
      <c r="C406" s="742"/>
      <c r="D406" s="742"/>
      <c r="E406" s="742"/>
      <c r="F406" s="630"/>
      <c r="G406" s="630"/>
      <c r="H406" s="630"/>
      <c r="I406" s="630"/>
      <c r="J406" s="631"/>
      <c r="K406" s="630"/>
      <c r="L406" s="630"/>
      <c r="M406" s="632"/>
      <c r="N406" s="631"/>
      <c r="O406" s="630"/>
      <c r="P406" s="630"/>
      <c r="Q406" s="630"/>
      <c r="R406" s="630"/>
    </row>
    <row r="407" spans="2:18" ht="15.75" customHeight="1" x14ac:dyDescent="0.3">
      <c r="B407" s="741"/>
      <c r="C407" s="742"/>
      <c r="D407" s="742"/>
      <c r="E407" s="742"/>
      <c r="F407" s="630"/>
      <c r="G407" s="630"/>
      <c r="H407" s="630"/>
      <c r="I407" s="630"/>
      <c r="J407" s="631"/>
      <c r="K407" s="630"/>
      <c r="L407" s="630"/>
      <c r="M407" s="632"/>
      <c r="N407" s="631"/>
      <c r="O407" s="630"/>
      <c r="P407" s="630"/>
      <c r="Q407" s="630"/>
      <c r="R407" s="630"/>
    </row>
    <row r="408" spans="2:18" ht="15.75" customHeight="1" x14ac:dyDescent="0.3">
      <c r="B408" s="741"/>
      <c r="C408" s="742"/>
      <c r="D408" s="742"/>
      <c r="E408" s="742"/>
      <c r="F408" s="630"/>
      <c r="G408" s="630"/>
      <c r="H408" s="630"/>
      <c r="I408" s="630"/>
      <c r="J408" s="631"/>
      <c r="K408" s="630"/>
      <c r="L408" s="630"/>
      <c r="M408" s="632"/>
      <c r="N408" s="631"/>
      <c r="O408" s="630"/>
      <c r="P408" s="630"/>
      <c r="Q408" s="630"/>
      <c r="R408" s="630"/>
    </row>
    <row r="409" spans="2:18" ht="15.75" customHeight="1" x14ac:dyDescent="0.3">
      <c r="B409" s="741"/>
      <c r="C409" s="742"/>
      <c r="D409" s="742"/>
      <c r="E409" s="742"/>
      <c r="F409" s="630"/>
      <c r="G409" s="630"/>
      <c r="H409" s="630"/>
      <c r="I409" s="630"/>
      <c r="J409" s="631"/>
      <c r="K409" s="630"/>
      <c r="L409" s="630"/>
      <c r="M409" s="632"/>
      <c r="N409" s="631"/>
      <c r="O409" s="630"/>
      <c r="P409" s="630"/>
      <c r="Q409" s="630"/>
      <c r="R409" s="630"/>
    </row>
    <row r="410" spans="2:18" ht="15.75" customHeight="1" x14ac:dyDescent="0.3">
      <c r="B410" s="741"/>
      <c r="C410" s="742"/>
      <c r="D410" s="742"/>
      <c r="E410" s="742"/>
      <c r="F410" s="630"/>
      <c r="G410" s="630"/>
      <c r="H410" s="630"/>
      <c r="I410" s="630"/>
      <c r="J410" s="631"/>
      <c r="K410" s="630"/>
      <c r="L410" s="630"/>
      <c r="M410" s="632"/>
      <c r="N410" s="631"/>
      <c r="O410" s="630"/>
      <c r="P410" s="630"/>
      <c r="Q410" s="630"/>
      <c r="R410" s="630"/>
    </row>
    <row r="411" spans="2:18" ht="15.75" customHeight="1" x14ac:dyDescent="0.3">
      <c r="B411" s="741"/>
      <c r="C411" s="742"/>
      <c r="D411" s="742"/>
      <c r="E411" s="742"/>
      <c r="F411" s="630"/>
      <c r="G411" s="630"/>
      <c r="H411" s="630"/>
      <c r="I411" s="630"/>
      <c r="J411" s="631"/>
      <c r="K411" s="630"/>
      <c r="L411" s="630"/>
      <c r="M411" s="632"/>
      <c r="N411" s="631"/>
      <c r="O411" s="630"/>
      <c r="P411" s="630"/>
      <c r="Q411" s="630"/>
      <c r="R411" s="630"/>
    </row>
    <row r="412" spans="2:18" ht="15.75" customHeight="1" x14ac:dyDescent="0.3">
      <c r="B412" s="741"/>
      <c r="C412" s="742"/>
      <c r="D412" s="742"/>
      <c r="E412" s="742"/>
      <c r="F412" s="630"/>
      <c r="G412" s="630"/>
      <c r="H412" s="630"/>
      <c r="I412" s="630"/>
      <c r="J412" s="631"/>
      <c r="K412" s="630"/>
      <c r="L412" s="630"/>
      <c r="M412" s="632"/>
      <c r="N412" s="631"/>
      <c r="O412" s="630"/>
      <c r="P412" s="630"/>
      <c r="Q412" s="630"/>
      <c r="R412" s="630"/>
    </row>
    <row r="413" spans="2:18" ht="15.75" customHeight="1" x14ac:dyDescent="0.3">
      <c r="B413" s="741"/>
      <c r="C413" s="742"/>
      <c r="D413" s="742"/>
      <c r="E413" s="742"/>
      <c r="F413" s="630"/>
      <c r="G413" s="630"/>
      <c r="H413" s="630"/>
      <c r="I413" s="630"/>
      <c r="J413" s="631"/>
      <c r="K413" s="630"/>
      <c r="L413" s="630"/>
      <c r="M413" s="632"/>
      <c r="N413" s="631"/>
      <c r="O413" s="630"/>
      <c r="P413" s="630"/>
      <c r="Q413" s="630"/>
      <c r="R413" s="630"/>
    </row>
    <row r="414" spans="2:18" ht="15.75" customHeight="1" x14ac:dyDescent="0.3">
      <c r="B414" s="741"/>
      <c r="C414" s="742"/>
      <c r="D414" s="742"/>
      <c r="E414" s="742"/>
      <c r="F414" s="630"/>
      <c r="G414" s="630"/>
      <c r="H414" s="630"/>
      <c r="I414" s="630"/>
      <c r="J414" s="631"/>
      <c r="K414" s="630"/>
      <c r="L414" s="630"/>
      <c r="M414" s="632"/>
      <c r="N414" s="631"/>
      <c r="O414" s="630"/>
      <c r="P414" s="630"/>
      <c r="Q414" s="630"/>
      <c r="R414" s="630"/>
    </row>
    <row r="415" spans="2:18" ht="15.75" customHeight="1" x14ac:dyDescent="0.3">
      <c r="B415" s="741"/>
      <c r="C415" s="742"/>
      <c r="D415" s="742"/>
      <c r="E415" s="742"/>
      <c r="F415" s="630"/>
      <c r="G415" s="630"/>
      <c r="H415" s="630"/>
      <c r="I415" s="630"/>
      <c r="J415" s="631"/>
      <c r="K415" s="630"/>
      <c r="L415" s="630"/>
      <c r="M415" s="632"/>
      <c r="N415" s="631"/>
      <c r="O415" s="630"/>
      <c r="P415" s="630"/>
      <c r="Q415" s="630"/>
      <c r="R415" s="630"/>
    </row>
    <row r="416" spans="2:18" ht="15.75" customHeight="1" x14ac:dyDescent="0.3">
      <c r="B416" s="741"/>
      <c r="C416" s="742"/>
      <c r="D416" s="742"/>
      <c r="E416" s="742"/>
      <c r="F416" s="630"/>
      <c r="G416" s="630"/>
      <c r="H416" s="630"/>
      <c r="I416" s="630"/>
      <c r="J416" s="631"/>
      <c r="K416" s="630"/>
      <c r="L416" s="630"/>
      <c r="M416" s="632"/>
      <c r="N416" s="631"/>
      <c r="O416" s="630"/>
      <c r="P416" s="630"/>
      <c r="Q416" s="630"/>
      <c r="R416" s="630"/>
    </row>
    <row r="417" spans="2:18" ht="15.75" customHeight="1" x14ac:dyDescent="0.3">
      <c r="B417" s="741"/>
      <c r="C417" s="742"/>
      <c r="D417" s="742"/>
      <c r="E417" s="742"/>
      <c r="F417" s="630"/>
      <c r="G417" s="630"/>
      <c r="H417" s="630"/>
      <c r="I417" s="630"/>
      <c r="J417" s="631"/>
      <c r="K417" s="630"/>
      <c r="L417" s="630"/>
      <c r="M417" s="632"/>
      <c r="N417" s="631"/>
      <c r="O417" s="630"/>
      <c r="P417" s="630"/>
      <c r="Q417" s="630"/>
      <c r="R417" s="630"/>
    </row>
    <row r="418" spans="2:18" ht="15.75" customHeight="1" x14ac:dyDescent="0.3">
      <c r="B418" s="741"/>
      <c r="C418" s="742"/>
      <c r="D418" s="742"/>
      <c r="E418" s="742"/>
      <c r="F418" s="630"/>
      <c r="G418" s="630"/>
      <c r="H418" s="630"/>
      <c r="I418" s="630"/>
      <c r="J418" s="631"/>
      <c r="K418" s="630"/>
      <c r="L418" s="630"/>
      <c r="M418" s="632"/>
      <c r="N418" s="631"/>
      <c r="O418" s="630"/>
      <c r="P418" s="630"/>
      <c r="Q418" s="630"/>
      <c r="R418" s="630"/>
    </row>
    <row r="419" spans="2:18" ht="15.75" customHeight="1" x14ac:dyDescent="0.3">
      <c r="B419" s="741"/>
      <c r="C419" s="742"/>
      <c r="D419" s="742"/>
      <c r="E419" s="742"/>
      <c r="F419" s="630"/>
      <c r="G419" s="630"/>
      <c r="H419" s="630"/>
      <c r="I419" s="630"/>
      <c r="J419" s="631"/>
      <c r="K419" s="630"/>
      <c r="L419" s="630"/>
      <c r="M419" s="632"/>
      <c r="N419" s="631"/>
      <c r="O419" s="630"/>
      <c r="P419" s="630"/>
      <c r="Q419" s="630"/>
      <c r="R419" s="630"/>
    </row>
    <row r="420" spans="2:18" ht="15.75" customHeight="1" x14ac:dyDescent="0.3">
      <c r="B420" s="741"/>
      <c r="C420" s="742"/>
      <c r="D420" s="742"/>
      <c r="E420" s="742"/>
      <c r="F420" s="630"/>
      <c r="G420" s="630"/>
      <c r="H420" s="630"/>
      <c r="I420" s="630"/>
      <c r="J420" s="631"/>
      <c r="K420" s="630"/>
      <c r="L420" s="630"/>
      <c r="M420" s="632"/>
      <c r="N420" s="631"/>
      <c r="O420" s="630"/>
      <c r="P420" s="630"/>
      <c r="Q420" s="630"/>
      <c r="R420" s="630"/>
    </row>
    <row r="421" spans="2:18" ht="15.75" customHeight="1" x14ac:dyDescent="0.3">
      <c r="B421" s="741"/>
      <c r="C421" s="742"/>
      <c r="D421" s="742"/>
      <c r="E421" s="742"/>
      <c r="F421" s="630"/>
      <c r="G421" s="630"/>
      <c r="H421" s="630"/>
      <c r="I421" s="630"/>
      <c r="J421" s="631"/>
      <c r="K421" s="630"/>
      <c r="L421" s="630"/>
      <c r="M421" s="632"/>
      <c r="N421" s="631"/>
      <c r="O421" s="630"/>
      <c r="P421" s="630"/>
      <c r="Q421" s="630"/>
      <c r="R421" s="630"/>
    </row>
    <row r="422" spans="2:18" ht="15.75" customHeight="1" x14ac:dyDescent="0.3">
      <c r="B422" s="741"/>
      <c r="C422" s="742"/>
      <c r="D422" s="742"/>
      <c r="E422" s="742"/>
      <c r="F422" s="630"/>
      <c r="G422" s="630"/>
      <c r="H422" s="630"/>
      <c r="I422" s="630"/>
      <c r="J422" s="631"/>
      <c r="K422" s="630"/>
      <c r="L422" s="630"/>
      <c r="M422" s="632"/>
      <c r="N422" s="631"/>
      <c r="O422" s="630"/>
      <c r="P422" s="630"/>
      <c r="Q422" s="630"/>
      <c r="R422" s="630"/>
    </row>
    <row r="423" spans="2:18" ht="15.75" customHeight="1" x14ac:dyDescent="0.3">
      <c r="B423" s="741"/>
      <c r="C423" s="742"/>
      <c r="D423" s="742"/>
      <c r="E423" s="742"/>
      <c r="F423" s="630"/>
      <c r="G423" s="630"/>
      <c r="H423" s="630"/>
      <c r="I423" s="630"/>
      <c r="J423" s="631"/>
      <c r="K423" s="630"/>
      <c r="L423" s="630"/>
      <c r="M423" s="632"/>
      <c r="N423" s="631"/>
      <c r="O423" s="630"/>
      <c r="P423" s="630"/>
      <c r="Q423" s="630"/>
      <c r="R423" s="630"/>
    </row>
    <row r="424" spans="2:18" ht="15.75" customHeight="1" x14ac:dyDescent="0.3">
      <c r="B424" s="741"/>
      <c r="C424" s="742"/>
      <c r="D424" s="742"/>
      <c r="E424" s="742"/>
      <c r="F424" s="630"/>
      <c r="G424" s="630"/>
      <c r="H424" s="630"/>
      <c r="I424" s="630"/>
      <c r="J424" s="631"/>
      <c r="K424" s="630"/>
      <c r="L424" s="630"/>
      <c r="M424" s="632"/>
      <c r="N424" s="631"/>
      <c r="O424" s="630"/>
      <c r="P424" s="630"/>
      <c r="Q424" s="630"/>
      <c r="R424" s="630"/>
    </row>
    <row r="425" spans="2:18" ht="15.75" customHeight="1" x14ac:dyDescent="0.3">
      <c r="B425" s="741"/>
      <c r="C425" s="742"/>
      <c r="D425" s="742"/>
      <c r="E425" s="742"/>
      <c r="F425" s="630"/>
      <c r="G425" s="630"/>
      <c r="H425" s="630"/>
      <c r="I425" s="630"/>
      <c r="J425" s="631"/>
      <c r="K425" s="630"/>
      <c r="L425" s="630"/>
      <c r="M425" s="632"/>
      <c r="N425" s="631"/>
      <c r="O425" s="630"/>
      <c r="P425" s="630"/>
      <c r="Q425" s="630"/>
      <c r="R425" s="630"/>
    </row>
    <row r="426" spans="2:18" ht="15.75" customHeight="1" x14ac:dyDescent="0.3">
      <c r="B426" s="741"/>
      <c r="C426" s="742"/>
      <c r="D426" s="742"/>
      <c r="E426" s="742"/>
      <c r="F426" s="630"/>
      <c r="G426" s="630"/>
      <c r="H426" s="630"/>
      <c r="I426" s="630"/>
      <c r="J426" s="631"/>
      <c r="K426" s="630"/>
      <c r="L426" s="630"/>
      <c r="M426" s="632"/>
      <c r="N426" s="631"/>
      <c r="O426" s="630"/>
      <c r="P426" s="630"/>
      <c r="Q426" s="630"/>
      <c r="R426" s="630"/>
    </row>
    <row r="427" spans="2:18" ht="15.75" customHeight="1" x14ac:dyDescent="0.3">
      <c r="B427" s="741"/>
      <c r="C427" s="742"/>
      <c r="D427" s="742"/>
      <c r="E427" s="742"/>
      <c r="F427" s="630"/>
      <c r="G427" s="630"/>
      <c r="H427" s="630"/>
      <c r="I427" s="630"/>
      <c r="J427" s="631"/>
      <c r="K427" s="630"/>
      <c r="L427" s="630"/>
      <c r="M427" s="632"/>
      <c r="N427" s="631"/>
      <c r="O427" s="630"/>
      <c r="P427" s="630"/>
      <c r="Q427" s="630"/>
      <c r="R427" s="630"/>
    </row>
    <row r="428" spans="2:18" ht="15.75" customHeight="1" x14ac:dyDescent="0.3">
      <c r="B428" s="741"/>
      <c r="C428" s="742"/>
      <c r="D428" s="742"/>
      <c r="E428" s="742"/>
      <c r="F428" s="630"/>
      <c r="G428" s="630"/>
      <c r="H428" s="630"/>
      <c r="I428" s="630"/>
      <c r="J428" s="631"/>
      <c r="K428" s="630"/>
      <c r="L428" s="630"/>
      <c r="M428" s="632"/>
      <c r="N428" s="631"/>
      <c r="O428" s="630"/>
      <c r="P428" s="630"/>
      <c r="Q428" s="630"/>
      <c r="R428" s="630"/>
    </row>
    <row r="429" spans="2:18" ht="15.75" customHeight="1" x14ac:dyDescent="0.3">
      <c r="B429" s="741"/>
      <c r="C429" s="742"/>
      <c r="D429" s="742"/>
      <c r="E429" s="742"/>
      <c r="F429" s="630"/>
      <c r="G429" s="630"/>
      <c r="H429" s="630"/>
      <c r="I429" s="630"/>
      <c r="J429" s="631"/>
      <c r="K429" s="630"/>
      <c r="L429" s="630"/>
      <c r="M429" s="632"/>
      <c r="N429" s="631"/>
      <c r="O429" s="630"/>
      <c r="P429" s="630"/>
      <c r="Q429" s="630"/>
      <c r="R429" s="630"/>
    </row>
    <row r="430" spans="2:18" ht="15.75" customHeight="1" x14ac:dyDescent="0.3">
      <c r="B430" s="741"/>
      <c r="C430" s="742"/>
      <c r="D430" s="742"/>
      <c r="E430" s="742"/>
      <c r="F430" s="630"/>
      <c r="G430" s="630"/>
      <c r="H430" s="630"/>
      <c r="I430" s="630"/>
      <c r="J430" s="631"/>
      <c r="K430" s="630"/>
      <c r="L430" s="630"/>
      <c r="M430" s="632"/>
      <c r="N430" s="631"/>
      <c r="O430" s="630"/>
      <c r="P430" s="630"/>
      <c r="Q430" s="630"/>
      <c r="R430" s="630"/>
    </row>
    <row r="431" spans="2:18" ht="15.75" customHeight="1" x14ac:dyDescent="0.3">
      <c r="B431" s="741"/>
      <c r="C431" s="742"/>
      <c r="D431" s="742"/>
      <c r="E431" s="742"/>
      <c r="F431" s="630"/>
      <c r="G431" s="630"/>
      <c r="H431" s="630"/>
      <c r="I431" s="630"/>
      <c r="J431" s="631"/>
      <c r="K431" s="630"/>
      <c r="L431" s="630"/>
      <c r="M431" s="632"/>
      <c r="N431" s="631"/>
      <c r="O431" s="630"/>
      <c r="P431" s="630"/>
      <c r="Q431" s="630"/>
      <c r="R431" s="630"/>
    </row>
    <row r="432" spans="2:18" ht="15.75" customHeight="1" x14ac:dyDescent="0.3">
      <c r="B432" s="741"/>
      <c r="C432" s="742"/>
      <c r="D432" s="742"/>
      <c r="E432" s="742"/>
      <c r="F432" s="630"/>
      <c r="G432" s="630"/>
      <c r="H432" s="630"/>
      <c r="I432" s="630"/>
      <c r="J432" s="631"/>
      <c r="K432" s="630"/>
      <c r="L432" s="630"/>
      <c r="M432" s="632"/>
      <c r="N432" s="631"/>
      <c r="O432" s="630"/>
      <c r="P432" s="630"/>
      <c r="Q432" s="630"/>
      <c r="R432" s="630"/>
    </row>
    <row r="433" spans="2:18" ht="15.75" customHeight="1" x14ac:dyDescent="0.3">
      <c r="B433" s="741"/>
      <c r="C433" s="742"/>
      <c r="D433" s="742"/>
      <c r="E433" s="742"/>
      <c r="F433" s="630"/>
      <c r="G433" s="630"/>
      <c r="H433" s="630"/>
      <c r="I433" s="630"/>
      <c r="J433" s="631"/>
      <c r="K433" s="630"/>
      <c r="L433" s="630"/>
      <c r="M433" s="632"/>
      <c r="N433" s="631"/>
      <c r="O433" s="630"/>
      <c r="P433" s="630"/>
      <c r="Q433" s="630"/>
      <c r="R433" s="630"/>
    </row>
    <row r="434" spans="2:18" ht="15.75" customHeight="1" x14ac:dyDescent="0.3">
      <c r="B434" s="741"/>
      <c r="C434" s="742"/>
      <c r="D434" s="742"/>
      <c r="E434" s="742"/>
      <c r="F434" s="630"/>
      <c r="G434" s="630"/>
      <c r="H434" s="630"/>
      <c r="I434" s="630"/>
      <c r="J434" s="631"/>
      <c r="K434" s="630"/>
      <c r="L434" s="630"/>
      <c r="M434" s="632"/>
      <c r="N434" s="631"/>
      <c r="O434" s="630"/>
      <c r="P434" s="630"/>
      <c r="Q434" s="630"/>
      <c r="R434" s="630"/>
    </row>
    <row r="435" spans="2:18" ht="15.75" customHeight="1" x14ac:dyDescent="0.3">
      <c r="B435" s="741"/>
      <c r="C435" s="742"/>
      <c r="D435" s="742"/>
      <c r="E435" s="742"/>
      <c r="F435" s="630"/>
      <c r="G435" s="630"/>
      <c r="H435" s="630"/>
      <c r="I435" s="630"/>
      <c r="J435" s="631"/>
      <c r="K435" s="630"/>
      <c r="L435" s="630"/>
      <c r="M435" s="632"/>
      <c r="N435" s="631"/>
      <c r="O435" s="630"/>
      <c r="P435" s="630"/>
      <c r="Q435" s="630"/>
      <c r="R435" s="630"/>
    </row>
    <row r="436" spans="2:18" ht="15.75" customHeight="1" x14ac:dyDescent="0.3">
      <c r="B436" s="741"/>
      <c r="C436" s="742"/>
      <c r="D436" s="742"/>
      <c r="E436" s="742"/>
      <c r="F436" s="630"/>
      <c r="G436" s="630"/>
      <c r="H436" s="630"/>
      <c r="I436" s="630"/>
      <c r="J436" s="631"/>
      <c r="K436" s="630"/>
      <c r="L436" s="630"/>
      <c r="M436" s="632"/>
      <c r="N436" s="631"/>
      <c r="O436" s="630"/>
      <c r="P436" s="630"/>
      <c r="Q436" s="630"/>
      <c r="R436" s="630"/>
    </row>
    <row r="437" spans="2:18" ht="15.75" customHeight="1" x14ac:dyDescent="0.3">
      <c r="B437" s="741"/>
      <c r="C437" s="742"/>
      <c r="D437" s="742"/>
      <c r="E437" s="742"/>
      <c r="F437" s="630"/>
      <c r="G437" s="630"/>
      <c r="H437" s="630"/>
      <c r="I437" s="630"/>
      <c r="J437" s="631"/>
      <c r="K437" s="630"/>
      <c r="L437" s="630"/>
      <c r="M437" s="632"/>
      <c r="N437" s="631"/>
      <c r="O437" s="630"/>
      <c r="P437" s="630"/>
      <c r="Q437" s="630"/>
      <c r="R437" s="630"/>
    </row>
    <row r="438" spans="2:18" ht="15.75" customHeight="1" x14ac:dyDescent="0.3">
      <c r="B438" s="741"/>
      <c r="C438" s="742"/>
      <c r="D438" s="742"/>
      <c r="E438" s="742"/>
      <c r="F438" s="630"/>
      <c r="G438" s="630"/>
      <c r="H438" s="630"/>
      <c r="I438" s="630"/>
      <c r="J438" s="631"/>
      <c r="K438" s="630"/>
      <c r="L438" s="630"/>
      <c r="M438" s="632"/>
      <c r="N438" s="631"/>
      <c r="O438" s="630"/>
      <c r="P438" s="630"/>
      <c r="Q438" s="630"/>
      <c r="R438" s="630"/>
    </row>
    <row r="439" spans="2:18" ht="15.75" customHeight="1" x14ac:dyDescent="0.3">
      <c r="B439" s="741"/>
      <c r="C439" s="742"/>
      <c r="D439" s="742"/>
      <c r="E439" s="742"/>
      <c r="F439" s="630"/>
      <c r="G439" s="630"/>
      <c r="H439" s="630"/>
      <c r="I439" s="630"/>
      <c r="J439" s="631"/>
      <c r="K439" s="630"/>
      <c r="L439" s="630"/>
      <c r="M439" s="632"/>
      <c r="N439" s="631"/>
      <c r="O439" s="630"/>
      <c r="P439" s="630"/>
      <c r="Q439" s="630"/>
      <c r="R439" s="630"/>
    </row>
    <row r="440" spans="2:18" ht="15.75" customHeight="1" x14ac:dyDescent="0.3">
      <c r="B440" s="741"/>
      <c r="C440" s="742"/>
      <c r="D440" s="742"/>
      <c r="E440" s="742"/>
      <c r="F440" s="630"/>
      <c r="G440" s="630"/>
      <c r="H440" s="630"/>
      <c r="I440" s="630"/>
      <c r="J440" s="631"/>
      <c r="K440" s="630"/>
      <c r="L440" s="630"/>
      <c r="M440" s="632"/>
      <c r="N440" s="631"/>
      <c r="O440" s="630"/>
      <c r="P440" s="630"/>
      <c r="Q440" s="630"/>
      <c r="R440" s="630"/>
    </row>
    <row r="441" spans="2:18" ht="15.75" customHeight="1" x14ac:dyDescent="0.3">
      <c r="B441" s="741"/>
      <c r="C441" s="742"/>
      <c r="D441" s="742"/>
      <c r="E441" s="742"/>
      <c r="F441" s="630"/>
      <c r="G441" s="630"/>
      <c r="H441" s="630"/>
      <c r="I441" s="630"/>
      <c r="J441" s="631"/>
      <c r="K441" s="630"/>
      <c r="L441" s="630"/>
      <c r="M441" s="632"/>
      <c r="N441" s="631"/>
      <c r="O441" s="630"/>
      <c r="P441" s="630"/>
      <c r="Q441" s="630"/>
      <c r="R441" s="630"/>
    </row>
    <row r="442" spans="2:18" ht="15.75" customHeight="1" x14ac:dyDescent="0.3">
      <c r="B442" s="741"/>
      <c r="C442" s="742"/>
      <c r="D442" s="742"/>
      <c r="E442" s="742"/>
      <c r="F442" s="630"/>
      <c r="G442" s="630"/>
      <c r="H442" s="630"/>
      <c r="I442" s="630"/>
      <c r="J442" s="631"/>
      <c r="K442" s="630"/>
      <c r="L442" s="630"/>
      <c r="M442" s="632"/>
      <c r="N442" s="631"/>
      <c r="O442" s="630"/>
      <c r="P442" s="630"/>
      <c r="Q442" s="630"/>
      <c r="R442" s="630"/>
    </row>
    <row r="443" spans="2:18" ht="15.75" customHeight="1" x14ac:dyDescent="0.3">
      <c r="B443" s="741"/>
      <c r="C443" s="742"/>
      <c r="D443" s="742"/>
      <c r="E443" s="742"/>
      <c r="F443" s="630"/>
      <c r="G443" s="630"/>
      <c r="H443" s="630"/>
      <c r="I443" s="630"/>
      <c r="J443" s="631"/>
      <c r="K443" s="630"/>
      <c r="L443" s="630"/>
      <c r="M443" s="632"/>
      <c r="N443" s="631"/>
      <c r="O443" s="630"/>
      <c r="P443" s="630"/>
      <c r="Q443" s="630"/>
      <c r="R443" s="630"/>
    </row>
    <row r="444" spans="2:18" ht="15.75" customHeight="1" x14ac:dyDescent="0.3">
      <c r="B444" s="741"/>
      <c r="C444" s="742"/>
      <c r="D444" s="742"/>
      <c r="E444" s="742"/>
      <c r="F444" s="630"/>
      <c r="G444" s="630"/>
      <c r="H444" s="630"/>
      <c r="I444" s="630"/>
      <c r="J444" s="631"/>
      <c r="K444" s="630"/>
      <c r="L444" s="630"/>
      <c r="M444" s="632"/>
      <c r="N444" s="631"/>
      <c r="O444" s="630"/>
      <c r="P444" s="630"/>
      <c r="Q444" s="630"/>
      <c r="R444" s="630"/>
    </row>
    <row r="445" spans="2:18" ht="15.75" customHeight="1" x14ac:dyDescent="0.3">
      <c r="B445" s="741"/>
      <c r="C445" s="742"/>
      <c r="D445" s="742"/>
      <c r="E445" s="742"/>
      <c r="F445" s="630"/>
      <c r="G445" s="630"/>
      <c r="H445" s="630"/>
      <c r="I445" s="630"/>
      <c r="J445" s="631"/>
      <c r="K445" s="630"/>
      <c r="L445" s="630"/>
      <c r="M445" s="632"/>
      <c r="N445" s="631"/>
      <c r="O445" s="630"/>
      <c r="P445" s="630"/>
      <c r="Q445" s="630"/>
      <c r="R445" s="630"/>
    </row>
    <row r="446" spans="2:18" ht="15.75" customHeight="1" x14ac:dyDescent="0.3">
      <c r="B446" s="741"/>
      <c r="C446" s="742"/>
      <c r="D446" s="742"/>
      <c r="E446" s="742"/>
      <c r="F446" s="630"/>
      <c r="G446" s="630"/>
      <c r="H446" s="630"/>
      <c r="I446" s="630"/>
      <c r="J446" s="631"/>
      <c r="K446" s="630"/>
      <c r="L446" s="630"/>
      <c r="M446" s="632"/>
      <c r="N446" s="631"/>
      <c r="O446" s="630"/>
      <c r="P446" s="630"/>
      <c r="Q446" s="630"/>
      <c r="R446" s="630"/>
    </row>
    <row r="447" spans="2:18" ht="15.75" customHeight="1" x14ac:dyDescent="0.3">
      <c r="B447" s="741"/>
      <c r="C447" s="742"/>
      <c r="D447" s="742"/>
      <c r="E447" s="742"/>
      <c r="F447" s="630"/>
      <c r="G447" s="630"/>
      <c r="H447" s="630"/>
      <c r="I447" s="630"/>
      <c r="J447" s="631"/>
      <c r="K447" s="630"/>
      <c r="L447" s="630"/>
      <c r="M447" s="632"/>
      <c r="N447" s="631"/>
      <c r="O447" s="630"/>
      <c r="P447" s="630"/>
      <c r="Q447" s="630"/>
      <c r="R447" s="630"/>
    </row>
    <row r="448" spans="2:18" ht="15.75" customHeight="1" x14ac:dyDescent="0.3">
      <c r="B448" s="741"/>
      <c r="C448" s="742"/>
      <c r="D448" s="742"/>
      <c r="E448" s="742"/>
      <c r="F448" s="630"/>
      <c r="G448" s="630"/>
      <c r="H448" s="630"/>
      <c r="I448" s="630"/>
      <c r="J448" s="631"/>
      <c r="K448" s="630"/>
      <c r="L448" s="630"/>
      <c r="M448" s="632"/>
      <c r="N448" s="631"/>
      <c r="O448" s="630"/>
      <c r="P448" s="630"/>
      <c r="Q448" s="630"/>
      <c r="R448" s="630"/>
    </row>
    <row r="449" spans="2:18" ht="15.75" customHeight="1" x14ac:dyDescent="0.3">
      <c r="B449" s="741"/>
      <c r="C449" s="742"/>
      <c r="D449" s="742"/>
      <c r="E449" s="742"/>
      <c r="F449" s="630"/>
      <c r="G449" s="630"/>
      <c r="H449" s="630"/>
      <c r="I449" s="630"/>
      <c r="J449" s="631"/>
      <c r="K449" s="630"/>
      <c r="L449" s="630"/>
      <c r="M449" s="632"/>
      <c r="N449" s="631"/>
      <c r="O449" s="630"/>
      <c r="P449" s="630"/>
      <c r="Q449" s="630"/>
      <c r="R449" s="630"/>
    </row>
    <row r="450" spans="2:18" ht="15.75" customHeight="1" x14ac:dyDescent="0.3">
      <c r="B450" s="741"/>
      <c r="C450" s="742"/>
      <c r="D450" s="742"/>
      <c r="E450" s="742"/>
      <c r="F450" s="630"/>
      <c r="G450" s="630"/>
      <c r="H450" s="630"/>
      <c r="I450" s="630"/>
      <c r="J450" s="631"/>
      <c r="K450" s="630"/>
      <c r="L450" s="630"/>
      <c r="M450" s="632"/>
      <c r="N450" s="631"/>
      <c r="O450" s="630"/>
      <c r="P450" s="630"/>
      <c r="Q450" s="630"/>
      <c r="R450" s="630"/>
    </row>
    <row r="451" spans="2:18" ht="15.75" customHeight="1" x14ac:dyDescent="0.3">
      <c r="B451" s="741"/>
      <c r="C451" s="742"/>
      <c r="D451" s="742"/>
      <c r="E451" s="742"/>
      <c r="F451" s="630"/>
      <c r="G451" s="630"/>
      <c r="H451" s="630"/>
      <c r="I451" s="630"/>
      <c r="J451" s="631"/>
      <c r="K451" s="630"/>
      <c r="L451" s="630"/>
      <c r="M451" s="632"/>
      <c r="N451" s="631"/>
      <c r="O451" s="630"/>
      <c r="P451" s="630"/>
      <c r="Q451" s="630"/>
      <c r="R451" s="630"/>
    </row>
    <row r="452" spans="2:18" ht="15.75" customHeight="1" x14ac:dyDescent="0.3">
      <c r="B452" s="741"/>
      <c r="C452" s="742"/>
      <c r="D452" s="742"/>
      <c r="E452" s="742"/>
      <c r="F452" s="630"/>
      <c r="G452" s="630"/>
      <c r="H452" s="630"/>
      <c r="I452" s="630"/>
      <c r="J452" s="631"/>
      <c r="K452" s="630"/>
      <c r="L452" s="630"/>
      <c r="M452" s="632"/>
      <c r="N452" s="631"/>
      <c r="O452" s="630"/>
      <c r="P452" s="630"/>
      <c r="Q452" s="630"/>
      <c r="R452" s="630"/>
    </row>
    <row r="453" spans="2:18" ht="15.75" customHeight="1" x14ac:dyDescent="0.3">
      <c r="B453" s="741"/>
      <c r="C453" s="742"/>
      <c r="D453" s="742"/>
      <c r="E453" s="742"/>
      <c r="F453" s="630"/>
      <c r="G453" s="630"/>
      <c r="H453" s="630"/>
      <c r="I453" s="630"/>
      <c r="J453" s="631"/>
      <c r="K453" s="630"/>
      <c r="L453" s="630"/>
      <c r="M453" s="632"/>
      <c r="N453" s="631"/>
      <c r="O453" s="630"/>
      <c r="P453" s="630"/>
      <c r="Q453" s="630"/>
      <c r="R453" s="630"/>
    </row>
    <row r="454" spans="2:18" ht="15.75" customHeight="1" x14ac:dyDescent="0.3">
      <c r="B454" s="741"/>
      <c r="C454" s="742"/>
      <c r="D454" s="742"/>
      <c r="E454" s="742"/>
      <c r="F454" s="630"/>
      <c r="G454" s="630"/>
      <c r="H454" s="630"/>
      <c r="I454" s="630"/>
      <c r="J454" s="631"/>
      <c r="K454" s="630"/>
      <c r="L454" s="630"/>
      <c r="M454" s="632"/>
      <c r="N454" s="631"/>
      <c r="O454" s="630"/>
      <c r="P454" s="630"/>
      <c r="Q454" s="630"/>
      <c r="R454" s="630"/>
    </row>
    <row r="455" spans="2:18" ht="15.75" customHeight="1" x14ac:dyDescent="0.3">
      <c r="B455" s="741"/>
      <c r="C455" s="742"/>
      <c r="D455" s="742"/>
      <c r="E455" s="742"/>
      <c r="F455" s="630"/>
      <c r="G455" s="630"/>
      <c r="H455" s="630"/>
      <c r="I455" s="630"/>
      <c r="J455" s="631"/>
      <c r="K455" s="630"/>
      <c r="L455" s="630"/>
      <c r="M455" s="632"/>
      <c r="N455" s="631"/>
      <c r="O455" s="630"/>
      <c r="P455" s="630"/>
      <c r="Q455" s="630"/>
      <c r="R455" s="630"/>
    </row>
    <row r="456" spans="2:18" ht="15.75" customHeight="1" x14ac:dyDescent="0.3">
      <c r="B456" s="741"/>
      <c r="C456" s="742"/>
      <c r="D456" s="742"/>
      <c r="E456" s="742"/>
      <c r="F456" s="630"/>
      <c r="G456" s="630"/>
      <c r="H456" s="630"/>
      <c r="I456" s="630"/>
      <c r="J456" s="631"/>
      <c r="K456" s="630"/>
      <c r="L456" s="630"/>
      <c r="M456" s="632"/>
      <c r="N456" s="631"/>
      <c r="O456" s="630"/>
      <c r="P456" s="630"/>
      <c r="Q456" s="630"/>
      <c r="R456" s="630"/>
    </row>
    <row r="457" spans="2:18" ht="15.75" customHeight="1" x14ac:dyDescent="0.3">
      <c r="B457" s="741"/>
      <c r="C457" s="742"/>
      <c r="D457" s="742"/>
      <c r="E457" s="742"/>
      <c r="F457" s="630"/>
      <c r="G457" s="630"/>
      <c r="H457" s="630"/>
      <c r="I457" s="630"/>
      <c r="J457" s="631"/>
      <c r="K457" s="630"/>
      <c r="L457" s="630"/>
      <c r="M457" s="632"/>
      <c r="N457" s="631"/>
      <c r="O457" s="630"/>
      <c r="P457" s="630"/>
      <c r="Q457" s="630"/>
      <c r="R457" s="630"/>
    </row>
    <row r="458" spans="2:18" ht="15.75" customHeight="1" x14ac:dyDescent="0.3">
      <c r="B458" s="741"/>
      <c r="C458" s="742"/>
      <c r="D458" s="742"/>
      <c r="E458" s="742"/>
      <c r="F458" s="630"/>
      <c r="G458" s="630"/>
      <c r="H458" s="630"/>
      <c r="I458" s="630"/>
      <c r="J458" s="631"/>
      <c r="K458" s="630"/>
      <c r="L458" s="630"/>
      <c r="M458" s="632"/>
      <c r="N458" s="631"/>
      <c r="O458" s="630"/>
      <c r="P458" s="630"/>
      <c r="Q458" s="630"/>
      <c r="R458" s="630"/>
    </row>
    <row r="459" spans="2:18" ht="15.75" customHeight="1" x14ac:dyDescent="0.3">
      <c r="B459" s="741"/>
      <c r="C459" s="742"/>
      <c r="D459" s="742"/>
      <c r="E459" s="742"/>
      <c r="F459" s="630"/>
      <c r="G459" s="630"/>
      <c r="H459" s="630"/>
      <c r="I459" s="630"/>
      <c r="J459" s="631"/>
      <c r="K459" s="630"/>
      <c r="L459" s="630"/>
      <c r="M459" s="632"/>
      <c r="N459" s="631"/>
      <c r="O459" s="630"/>
      <c r="P459" s="630"/>
      <c r="Q459" s="630"/>
      <c r="R459" s="630"/>
    </row>
    <row r="460" spans="2:18" ht="15.75" customHeight="1" x14ac:dyDescent="0.3">
      <c r="B460" s="741"/>
      <c r="C460" s="742"/>
      <c r="D460" s="742"/>
      <c r="E460" s="742"/>
      <c r="F460" s="630"/>
      <c r="G460" s="630"/>
      <c r="H460" s="630"/>
      <c r="I460" s="630"/>
      <c r="J460" s="631"/>
      <c r="K460" s="630"/>
      <c r="L460" s="630"/>
      <c r="M460" s="632"/>
      <c r="N460" s="631"/>
      <c r="O460" s="630"/>
      <c r="P460" s="630"/>
      <c r="Q460" s="630"/>
      <c r="R460" s="630"/>
    </row>
    <row r="461" spans="2:18" ht="15.75" customHeight="1" x14ac:dyDescent="0.3">
      <c r="B461" s="741"/>
      <c r="C461" s="742"/>
      <c r="D461" s="742"/>
      <c r="E461" s="742"/>
      <c r="F461" s="630"/>
      <c r="G461" s="630"/>
      <c r="H461" s="630"/>
      <c r="I461" s="630"/>
      <c r="J461" s="631"/>
      <c r="K461" s="630"/>
      <c r="L461" s="630"/>
      <c r="M461" s="632"/>
      <c r="N461" s="631"/>
      <c r="O461" s="630"/>
      <c r="P461" s="630"/>
      <c r="Q461" s="630"/>
      <c r="R461" s="630"/>
    </row>
    <row r="462" spans="2:18" ht="15.75" customHeight="1" x14ac:dyDescent="0.3">
      <c r="B462" s="741"/>
      <c r="C462" s="742"/>
      <c r="D462" s="742"/>
      <c r="E462" s="742"/>
      <c r="F462" s="630"/>
      <c r="G462" s="630"/>
      <c r="H462" s="630"/>
      <c r="I462" s="630"/>
      <c r="J462" s="631"/>
      <c r="K462" s="630"/>
      <c r="L462" s="630"/>
      <c r="M462" s="632"/>
      <c r="N462" s="631"/>
      <c r="O462" s="630"/>
      <c r="P462" s="630"/>
      <c r="Q462" s="630"/>
      <c r="R462" s="630"/>
    </row>
    <row r="463" spans="2:18" ht="15.75" customHeight="1" x14ac:dyDescent="0.3">
      <c r="B463" s="741"/>
      <c r="C463" s="742"/>
      <c r="D463" s="742"/>
      <c r="E463" s="742"/>
      <c r="F463" s="630"/>
      <c r="G463" s="630"/>
      <c r="H463" s="630"/>
      <c r="I463" s="630"/>
      <c r="J463" s="631"/>
      <c r="K463" s="630"/>
      <c r="L463" s="630"/>
      <c r="M463" s="632"/>
      <c r="N463" s="631"/>
      <c r="O463" s="630"/>
      <c r="P463" s="630"/>
      <c r="Q463" s="630"/>
      <c r="R463" s="630"/>
    </row>
    <row r="464" spans="2:18" ht="15.75" customHeight="1" x14ac:dyDescent="0.3">
      <c r="B464" s="741"/>
      <c r="C464" s="742"/>
      <c r="D464" s="742"/>
      <c r="E464" s="742"/>
      <c r="F464" s="630"/>
      <c r="G464" s="630"/>
      <c r="H464" s="630"/>
      <c r="I464" s="630"/>
      <c r="J464" s="631"/>
      <c r="K464" s="630"/>
      <c r="L464" s="630"/>
      <c r="M464" s="632"/>
      <c r="N464" s="631"/>
      <c r="O464" s="630"/>
      <c r="P464" s="630"/>
      <c r="Q464" s="630"/>
      <c r="R464" s="630"/>
    </row>
    <row r="465" spans="2:18" ht="15.75" customHeight="1" x14ac:dyDescent="0.3">
      <c r="B465" s="741"/>
      <c r="C465" s="742"/>
      <c r="D465" s="742"/>
      <c r="E465" s="742"/>
      <c r="F465" s="630"/>
      <c r="G465" s="630"/>
      <c r="H465" s="630"/>
      <c r="I465" s="630"/>
      <c r="J465" s="631"/>
      <c r="K465" s="630"/>
      <c r="L465" s="630"/>
      <c r="M465" s="632"/>
      <c r="N465" s="631"/>
      <c r="O465" s="630"/>
      <c r="P465" s="630"/>
      <c r="Q465" s="630"/>
      <c r="R465" s="630"/>
    </row>
    <row r="466" spans="2:18" ht="15.75" customHeight="1" x14ac:dyDescent="0.3">
      <c r="B466" s="741"/>
      <c r="C466" s="742"/>
      <c r="D466" s="742"/>
      <c r="E466" s="742"/>
      <c r="F466" s="630"/>
      <c r="G466" s="630"/>
      <c r="H466" s="630"/>
      <c r="I466" s="630"/>
      <c r="J466" s="631"/>
      <c r="K466" s="630"/>
      <c r="L466" s="630"/>
      <c r="M466" s="632"/>
      <c r="N466" s="631"/>
      <c r="O466" s="630"/>
      <c r="P466" s="630"/>
      <c r="Q466" s="630"/>
      <c r="R466" s="630"/>
    </row>
    <row r="467" spans="2:18" ht="15.75" customHeight="1" x14ac:dyDescent="0.3">
      <c r="B467" s="741"/>
      <c r="C467" s="742"/>
      <c r="D467" s="742"/>
      <c r="E467" s="742"/>
      <c r="F467" s="630"/>
      <c r="G467" s="630"/>
      <c r="H467" s="630"/>
      <c r="I467" s="630"/>
      <c r="J467" s="631"/>
      <c r="K467" s="630"/>
      <c r="L467" s="630"/>
      <c r="M467" s="632"/>
      <c r="N467" s="631"/>
      <c r="O467" s="630"/>
      <c r="P467" s="630"/>
      <c r="Q467" s="630"/>
      <c r="R467" s="630"/>
    </row>
    <row r="468" spans="2:18" ht="15.75" customHeight="1" x14ac:dyDescent="0.3">
      <c r="B468" s="741"/>
      <c r="C468" s="742"/>
      <c r="D468" s="742"/>
      <c r="E468" s="742"/>
      <c r="F468" s="630"/>
      <c r="G468" s="630"/>
      <c r="H468" s="630"/>
      <c r="I468" s="630"/>
      <c r="J468" s="631"/>
      <c r="K468" s="630"/>
      <c r="L468" s="630"/>
      <c r="M468" s="632"/>
      <c r="N468" s="631"/>
      <c r="O468" s="630"/>
      <c r="P468" s="630"/>
      <c r="Q468" s="630"/>
      <c r="R468" s="630"/>
    </row>
    <row r="469" spans="2:18" ht="15.75" customHeight="1" x14ac:dyDescent="0.3">
      <c r="B469" s="741"/>
      <c r="C469" s="742"/>
      <c r="D469" s="742"/>
      <c r="E469" s="742"/>
      <c r="F469" s="630"/>
      <c r="G469" s="630"/>
      <c r="H469" s="630"/>
      <c r="I469" s="630"/>
      <c r="J469" s="631"/>
      <c r="K469" s="630"/>
      <c r="L469" s="630"/>
      <c r="M469" s="632"/>
      <c r="N469" s="631"/>
      <c r="O469" s="630"/>
      <c r="P469" s="630"/>
      <c r="Q469" s="630"/>
      <c r="R469" s="630"/>
    </row>
    <row r="470" spans="2:18" ht="15.75" customHeight="1" x14ac:dyDescent="0.3">
      <c r="B470" s="741"/>
      <c r="C470" s="742"/>
      <c r="D470" s="742"/>
      <c r="E470" s="742"/>
      <c r="F470" s="630"/>
      <c r="G470" s="630"/>
      <c r="H470" s="630"/>
      <c r="I470" s="630"/>
      <c r="J470" s="631"/>
      <c r="K470" s="630"/>
      <c r="L470" s="630"/>
      <c r="M470" s="632"/>
      <c r="N470" s="631"/>
      <c r="O470" s="630"/>
      <c r="P470" s="630"/>
      <c r="Q470" s="630"/>
      <c r="R470" s="630"/>
    </row>
    <row r="471" spans="2:18" ht="15.75" customHeight="1" x14ac:dyDescent="0.3">
      <c r="B471" s="741"/>
      <c r="C471" s="742"/>
      <c r="D471" s="742"/>
      <c r="E471" s="742"/>
      <c r="F471" s="630"/>
      <c r="G471" s="630"/>
      <c r="H471" s="630"/>
      <c r="I471" s="630"/>
      <c r="J471" s="631"/>
      <c r="K471" s="630"/>
      <c r="L471" s="630"/>
      <c r="M471" s="632"/>
      <c r="N471" s="631"/>
      <c r="O471" s="630"/>
      <c r="P471" s="630"/>
      <c r="Q471" s="630"/>
      <c r="R471" s="630"/>
    </row>
    <row r="472" spans="2:18" ht="15.75" customHeight="1" x14ac:dyDescent="0.3">
      <c r="B472" s="741"/>
      <c r="C472" s="742"/>
      <c r="D472" s="742"/>
      <c r="E472" s="742"/>
      <c r="F472" s="630"/>
      <c r="G472" s="630"/>
      <c r="H472" s="630"/>
      <c r="I472" s="630"/>
      <c r="J472" s="631"/>
      <c r="K472" s="630"/>
      <c r="L472" s="630"/>
      <c r="M472" s="632"/>
      <c r="N472" s="631"/>
      <c r="O472" s="630"/>
      <c r="P472" s="630"/>
      <c r="Q472" s="630"/>
      <c r="R472" s="630"/>
    </row>
    <row r="473" spans="2:18" ht="15.75" customHeight="1" x14ac:dyDescent="0.3">
      <c r="B473" s="741"/>
      <c r="C473" s="742"/>
      <c r="D473" s="742"/>
      <c r="E473" s="742"/>
      <c r="F473" s="630"/>
      <c r="G473" s="630"/>
      <c r="H473" s="630"/>
      <c r="I473" s="630"/>
      <c r="J473" s="631"/>
      <c r="K473" s="630"/>
      <c r="L473" s="630"/>
      <c r="M473" s="632"/>
      <c r="N473" s="631"/>
      <c r="O473" s="630"/>
      <c r="P473" s="630"/>
      <c r="Q473" s="630"/>
      <c r="R473" s="630"/>
    </row>
    <row r="474" spans="2:18" ht="15.75" customHeight="1" x14ac:dyDescent="0.3">
      <c r="B474" s="741"/>
      <c r="C474" s="742"/>
      <c r="D474" s="742"/>
      <c r="E474" s="742"/>
      <c r="F474" s="630"/>
      <c r="G474" s="630"/>
      <c r="H474" s="630"/>
      <c r="I474" s="630"/>
      <c r="J474" s="631"/>
      <c r="K474" s="630"/>
      <c r="L474" s="630"/>
      <c r="M474" s="632"/>
      <c r="N474" s="631"/>
      <c r="O474" s="630"/>
      <c r="P474" s="630"/>
      <c r="Q474" s="630"/>
      <c r="R474" s="630"/>
    </row>
    <row r="475" spans="2:18" ht="15.75" customHeight="1" x14ac:dyDescent="0.3">
      <c r="B475" s="741"/>
      <c r="C475" s="742"/>
      <c r="D475" s="742"/>
      <c r="E475" s="742"/>
      <c r="F475" s="630"/>
      <c r="G475" s="630"/>
      <c r="H475" s="630"/>
      <c r="I475" s="630"/>
      <c r="J475" s="631"/>
      <c r="K475" s="630"/>
      <c r="L475" s="630"/>
      <c r="M475" s="632"/>
      <c r="N475" s="631"/>
      <c r="O475" s="630"/>
      <c r="P475" s="630"/>
      <c r="Q475" s="630"/>
      <c r="R475" s="630"/>
    </row>
    <row r="476" spans="2:18" ht="15.75" customHeight="1" x14ac:dyDescent="0.3">
      <c r="B476" s="741"/>
      <c r="C476" s="742"/>
      <c r="D476" s="742"/>
      <c r="E476" s="742"/>
      <c r="F476" s="630"/>
      <c r="G476" s="630"/>
      <c r="H476" s="630"/>
      <c r="I476" s="630"/>
      <c r="J476" s="631"/>
      <c r="K476" s="630"/>
      <c r="L476" s="630"/>
      <c r="M476" s="632"/>
      <c r="N476" s="631"/>
      <c r="O476" s="630"/>
      <c r="P476" s="630"/>
      <c r="Q476" s="630"/>
      <c r="R476" s="630"/>
    </row>
    <row r="477" spans="2:18" ht="15.75" customHeight="1" x14ac:dyDescent="0.3">
      <c r="B477" s="741"/>
      <c r="C477" s="742"/>
      <c r="D477" s="742"/>
      <c r="E477" s="742"/>
      <c r="F477" s="630"/>
      <c r="G477" s="630"/>
      <c r="H477" s="630"/>
      <c r="I477" s="630"/>
      <c r="J477" s="631"/>
      <c r="K477" s="630"/>
      <c r="L477" s="630"/>
      <c r="M477" s="632"/>
      <c r="N477" s="631"/>
      <c r="O477" s="630"/>
      <c r="P477" s="630"/>
      <c r="Q477" s="630"/>
      <c r="R477" s="630"/>
    </row>
    <row r="478" spans="2:18" ht="15.75" customHeight="1" x14ac:dyDescent="0.3">
      <c r="B478" s="741"/>
      <c r="C478" s="742"/>
      <c r="D478" s="742"/>
      <c r="E478" s="742"/>
      <c r="F478" s="630"/>
      <c r="G478" s="630"/>
      <c r="H478" s="630"/>
      <c r="I478" s="630"/>
      <c r="J478" s="631"/>
      <c r="K478" s="630"/>
      <c r="L478" s="630"/>
      <c r="M478" s="632"/>
      <c r="N478" s="631"/>
      <c r="O478" s="630"/>
      <c r="P478" s="630"/>
      <c r="Q478" s="630"/>
      <c r="R478" s="630"/>
    </row>
    <row r="479" spans="2:18" ht="15.75" customHeight="1" x14ac:dyDescent="0.3">
      <c r="B479" s="741"/>
      <c r="C479" s="742"/>
      <c r="D479" s="742"/>
      <c r="E479" s="742"/>
      <c r="F479" s="630"/>
      <c r="G479" s="630"/>
      <c r="H479" s="630"/>
      <c r="I479" s="630"/>
      <c r="J479" s="631"/>
      <c r="K479" s="630"/>
      <c r="L479" s="630"/>
      <c r="M479" s="632"/>
      <c r="N479" s="631"/>
      <c r="O479" s="630"/>
      <c r="P479" s="630"/>
      <c r="Q479" s="630"/>
      <c r="R479" s="630"/>
    </row>
    <row r="480" spans="2:18" ht="15.75" customHeight="1" x14ac:dyDescent="0.3">
      <c r="B480" s="741"/>
      <c r="C480" s="742"/>
      <c r="D480" s="742"/>
      <c r="E480" s="742"/>
      <c r="F480" s="630"/>
      <c r="G480" s="630"/>
      <c r="H480" s="630"/>
      <c r="I480" s="630"/>
      <c r="J480" s="631"/>
      <c r="K480" s="630"/>
      <c r="L480" s="630"/>
      <c r="M480" s="632"/>
      <c r="N480" s="631"/>
      <c r="O480" s="630"/>
      <c r="P480" s="630"/>
      <c r="Q480" s="630"/>
      <c r="R480" s="630"/>
    </row>
    <row r="481" spans="2:18" ht="15.75" customHeight="1" x14ac:dyDescent="0.3">
      <c r="B481" s="741"/>
      <c r="C481" s="742"/>
      <c r="D481" s="742"/>
      <c r="E481" s="742"/>
      <c r="F481" s="630"/>
      <c r="G481" s="630"/>
      <c r="H481" s="630"/>
      <c r="I481" s="630"/>
      <c r="J481" s="631"/>
      <c r="K481" s="630"/>
      <c r="L481" s="630"/>
      <c r="M481" s="632"/>
      <c r="N481" s="631"/>
      <c r="O481" s="630"/>
      <c r="P481" s="630"/>
      <c r="Q481" s="630"/>
      <c r="R481" s="630"/>
    </row>
    <row r="482" spans="2:18" ht="15.75" customHeight="1" x14ac:dyDescent="0.3">
      <c r="B482" s="741"/>
      <c r="C482" s="742"/>
      <c r="D482" s="742"/>
      <c r="E482" s="742"/>
      <c r="F482" s="630"/>
      <c r="G482" s="630"/>
      <c r="H482" s="630"/>
      <c r="I482" s="630"/>
      <c r="J482" s="631"/>
      <c r="K482" s="630"/>
      <c r="L482" s="630"/>
      <c r="M482" s="632"/>
      <c r="N482" s="631"/>
      <c r="O482" s="630"/>
      <c r="P482" s="630"/>
      <c r="Q482" s="630"/>
      <c r="R482" s="630"/>
    </row>
    <row r="483" spans="2:18" ht="15.75" customHeight="1" x14ac:dyDescent="0.3">
      <c r="B483" s="741"/>
      <c r="C483" s="742"/>
      <c r="D483" s="742"/>
      <c r="E483" s="742"/>
      <c r="F483" s="630"/>
      <c r="G483" s="630"/>
      <c r="H483" s="630"/>
      <c r="I483" s="630"/>
      <c r="J483" s="631"/>
      <c r="K483" s="630"/>
      <c r="L483" s="630"/>
      <c r="M483" s="632"/>
      <c r="N483" s="631"/>
      <c r="O483" s="630"/>
      <c r="P483" s="630"/>
      <c r="Q483" s="630"/>
      <c r="R483" s="630"/>
    </row>
    <row r="484" spans="2:18" ht="15.75" customHeight="1" x14ac:dyDescent="0.3">
      <c r="B484" s="741"/>
      <c r="C484" s="742"/>
      <c r="D484" s="742"/>
      <c r="E484" s="742"/>
      <c r="F484" s="630"/>
      <c r="G484" s="630"/>
      <c r="H484" s="630"/>
      <c r="I484" s="630"/>
      <c r="J484" s="631"/>
      <c r="K484" s="630"/>
      <c r="L484" s="630"/>
      <c r="M484" s="632"/>
      <c r="N484" s="631"/>
      <c r="O484" s="630"/>
      <c r="P484" s="630"/>
      <c r="Q484" s="630"/>
      <c r="R484" s="630"/>
    </row>
    <row r="485" spans="2:18" ht="15.75" customHeight="1" x14ac:dyDescent="0.3">
      <c r="B485" s="741"/>
      <c r="C485" s="742"/>
      <c r="D485" s="742"/>
      <c r="E485" s="742"/>
      <c r="F485" s="630"/>
      <c r="G485" s="630"/>
      <c r="H485" s="630"/>
      <c r="I485" s="630"/>
      <c r="J485" s="631"/>
      <c r="K485" s="630"/>
      <c r="L485" s="630"/>
      <c r="M485" s="632"/>
      <c r="N485" s="631"/>
      <c r="O485" s="630"/>
      <c r="P485" s="630"/>
      <c r="Q485" s="630"/>
      <c r="R485" s="630"/>
    </row>
    <row r="486" spans="2:18" ht="15.75" customHeight="1" x14ac:dyDescent="0.3">
      <c r="B486" s="741"/>
      <c r="C486" s="742"/>
      <c r="D486" s="742"/>
      <c r="E486" s="742"/>
      <c r="F486" s="630"/>
      <c r="G486" s="630"/>
      <c r="H486" s="630"/>
      <c r="I486" s="630"/>
      <c r="J486" s="631"/>
      <c r="K486" s="630"/>
      <c r="L486" s="630"/>
      <c r="M486" s="632"/>
      <c r="N486" s="631"/>
      <c r="O486" s="630"/>
      <c r="P486" s="630"/>
      <c r="Q486" s="630"/>
      <c r="R486" s="630"/>
    </row>
    <row r="487" spans="2:18" ht="15.75" customHeight="1" x14ac:dyDescent="0.3">
      <c r="B487" s="741"/>
      <c r="C487" s="742"/>
      <c r="D487" s="742"/>
      <c r="E487" s="742"/>
      <c r="F487" s="630"/>
      <c r="G487" s="630"/>
      <c r="H487" s="630"/>
      <c r="I487" s="630"/>
      <c r="J487" s="631"/>
      <c r="K487" s="630"/>
      <c r="L487" s="630"/>
      <c r="M487" s="632"/>
      <c r="N487" s="631"/>
      <c r="O487" s="630"/>
      <c r="P487" s="630"/>
      <c r="Q487" s="630"/>
      <c r="R487" s="630"/>
    </row>
    <row r="488" spans="2:18" ht="15.75" customHeight="1" x14ac:dyDescent="0.3">
      <c r="B488" s="741"/>
      <c r="C488" s="742"/>
      <c r="D488" s="742"/>
      <c r="E488" s="742"/>
      <c r="F488" s="630"/>
      <c r="G488" s="630"/>
      <c r="H488" s="630"/>
      <c r="I488" s="630"/>
      <c r="J488" s="631"/>
      <c r="K488" s="630"/>
      <c r="L488" s="630"/>
      <c r="M488" s="632"/>
      <c r="N488" s="631"/>
      <c r="O488" s="630"/>
      <c r="P488" s="630"/>
      <c r="Q488" s="630"/>
      <c r="R488" s="630"/>
    </row>
    <row r="489" spans="2:18" ht="15.75" customHeight="1" x14ac:dyDescent="0.3">
      <c r="B489" s="741"/>
      <c r="C489" s="742"/>
      <c r="D489" s="742"/>
      <c r="E489" s="742"/>
      <c r="F489" s="630"/>
      <c r="G489" s="630"/>
      <c r="H489" s="630"/>
      <c r="I489" s="630"/>
      <c r="J489" s="631"/>
      <c r="K489" s="630"/>
      <c r="L489" s="630"/>
      <c r="M489" s="632"/>
      <c r="N489" s="631"/>
      <c r="O489" s="630"/>
      <c r="P489" s="630"/>
      <c r="Q489" s="630"/>
      <c r="R489" s="630"/>
    </row>
    <row r="490" spans="2:18" ht="15.75" customHeight="1" x14ac:dyDescent="0.3">
      <c r="B490" s="741"/>
      <c r="C490" s="742"/>
      <c r="D490" s="742"/>
      <c r="E490" s="742"/>
      <c r="F490" s="630"/>
      <c r="G490" s="630"/>
      <c r="H490" s="630"/>
      <c r="I490" s="630"/>
      <c r="J490" s="631"/>
      <c r="K490" s="630"/>
      <c r="L490" s="630"/>
      <c r="M490" s="632"/>
      <c r="N490" s="631"/>
      <c r="O490" s="630"/>
      <c r="P490" s="630"/>
      <c r="Q490" s="630"/>
      <c r="R490" s="630"/>
    </row>
    <row r="491" spans="2:18" ht="15.75" customHeight="1" x14ac:dyDescent="0.3">
      <c r="B491" s="741"/>
      <c r="C491" s="742"/>
      <c r="D491" s="742"/>
      <c r="E491" s="742"/>
      <c r="F491" s="630"/>
      <c r="G491" s="630"/>
      <c r="H491" s="630"/>
      <c r="I491" s="630"/>
      <c r="J491" s="631"/>
      <c r="K491" s="630"/>
      <c r="L491" s="630"/>
      <c r="M491" s="632"/>
      <c r="N491" s="631"/>
      <c r="O491" s="630"/>
      <c r="P491" s="630"/>
      <c r="Q491" s="630"/>
      <c r="R491" s="630"/>
    </row>
    <row r="492" spans="2:18" ht="15.75" customHeight="1" x14ac:dyDescent="0.3">
      <c r="B492" s="741"/>
      <c r="C492" s="742"/>
      <c r="D492" s="742"/>
      <c r="E492" s="742"/>
      <c r="F492" s="630"/>
      <c r="G492" s="630"/>
      <c r="H492" s="630"/>
      <c r="I492" s="630"/>
      <c r="J492" s="631"/>
      <c r="K492" s="630"/>
      <c r="L492" s="630"/>
      <c r="M492" s="632"/>
      <c r="N492" s="631"/>
      <c r="O492" s="630"/>
      <c r="P492" s="630"/>
      <c r="Q492" s="630"/>
      <c r="R492" s="630"/>
    </row>
    <row r="493" spans="2:18" ht="15.75" customHeight="1" x14ac:dyDescent="0.3">
      <c r="B493" s="741"/>
      <c r="C493" s="742"/>
      <c r="D493" s="742"/>
      <c r="E493" s="742"/>
      <c r="F493" s="630"/>
      <c r="G493" s="630"/>
      <c r="H493" s="630"/>
      <c r="I493" s="630"/>
      <c r="J493" s="631"/>
      <c r="K493" s="630"/>
      <c r="L493" s="630"/>
      <c r="M493" s="632"/>
      <c r="N493" s="631"/>
      <c r="O493" s="630"/>
      <c r="P493" s="630"/>
      <c r="Q493" s="630"/>
      <c r="R493" s="630"/>
    </row>
    <row r="494" spans="2:18" ht="15.75" customHeight="1" x14ac:dyDescent="0.3">
      <c r="B494" s="741"/>
      <c r="C494" s="742"/>
      <c r="D494" s="742"/>
      <c r="E494" s="742"/>
      <c r="F494" s="630"/>
      <c r="G494" s="630"/>
      <c r="H494" s="630"/>
      <c r="I494" s="630"/>
      <c r="J494" s="631"/>
      <c r="K494" s="630"/>
      <c r="L494" s="630"/>
      <c r="M494" s="632"/>
      <c r="N494" s="631"/>
      <c r="O494" s="630"/>
      <c r="P494" s="630"/>
      <c r="Q494" s="630"/>
      <c r="R494" s="630"/>
    </row>
    <row r="495" spans="2:18" ht="15.75" customHeight="1" x14ac:dyDescent="0.3">
      <c r="B495" s="741"/>
      <c r="C495" s="742"/>
      <c r="D495" s="742"/>
      <c r="E495" s="742"/>
      <c r="F495" s="630"/>
      <c r="G495" s="630"/>
      <c r="H495" s="630"/>
      <c r="I495" s="630"/>
      <c r="J495" s="631"/>
      <c r="K495" s="630"/>
      <c r="L495" s="630"/>
      <c r="M495" s="632"/>
      <c r="N495" s="631"/>
      <c r="O495" s="630"/>
      <c r="P495" s="630"/>
      <c r="Q495" s="630"/>
      <c r="R495" s="630"/>
    </row>
    <row r="496" spans="2:18" ht="15.75" customHeight="1" x14ac:dyDescent="0.3">
      <c r="B496" s="741"/>
      <c r="C496" s="742"/>
      <c r="D496" s="742"/>
      <c r="E496" s="742"/>
      <c r="F496" s="630"/>
      <c r="G496" s="630"/>
      <c r="H496" s="630"/>
      <c r="I496" s="630"/>
      <c r="J496" s="631"/>
      <c r="K496" s="630"/>
      <c r="L496" s="630"/>
      <c r="M496" s="632"/>
      <c r="N496" s="631"/>
      <c r="O496" s="630"/>
      <c r="P496" s="630"/>
      <c r="Q496" s="630"/>
      <c r="R496" s="630"/>
    </row>
    <row r="497" spans="2:18" ht="15.75" customHeight="1" x14ac:dyDescent="0.3">
      <c r="B497" s="741"/>
      <c r="C497" s="742"/>
      <c r="D497" s="742"/>
      <c r="E497" s="742"/>
      <c r="F497" s="630"/>
      <c r="G497" s="630"/>
      <c r="H497" s="630"/>
      <c r="I497" s="630"/>
      <c r="J497" s="631"/>
      <c r="K497" s="630"/>
      <c r="L497" s="630"/>
      <c r="M497" s="632"/>
      <c r="N497" s="631"/>
      <c r="O497" s="630"/>
      <c r="P497" s="630"/>
      <c r="Q497" s="630"/>
      <c r="R497" s="630"/>
    </row>
    <row r="498" spans="2:18" ht="15.75" customHeight="1" x14ac:dyDescent="0.3">
      <c r="B498" s="741"/>
      <c r="C498" s="742"/>
      <c r="D498" s="742"/>
      <c r="E498" s="742"/>
      <c r="F498" s="630"/>
      <c r="G498" s="630"/>
      <c r="H498" s="630"/>
      <c r="I498" s="630"/>
      <c r="J498" s="631"/>
      <c r="K498" s="630"/>
      <c r="L498" s="630"/>
      <c r="M498" s="632"/>
      <c r="N498" s="631"/>
      <c r="O498" s="630"/>
      <c r="P498" s="630"/>
      <c r="Q498" s="630"/>
      <c r="R498" s="630"/>
    </row>
    <row r="499" spans="2:18" ht="15.75" customHeight="1" x14ac:dyDescent="0.3">
      <c r="B499" s="741"/>
      <c r="C499" s="742"/>
      <c r="D499" s="742"/>
      <c r="E499" s="742"/>
      <c r="F499" s="630"/>
      <c r="G499" s="630"/>
      <c r="H499" s="630"/>
      <c r="I499" s="630"/>
      <c r="J499" s="631"/>
      <c r="K499" s="630"/>
      <c r="L499" s="630"/>
      <c r="M499" s="632"/>
      <c r="N499" s="631"/>
      <c r="O499" s="630"/>
      <c r="P499" s="630"/>
      <c r="Q499" s="630"/>
      <c r="R499" s="630"/>
    </row>
    <row r="500" spans="2:18" ht="15.75" customHeight="1" x14ac:dyDescent="0.3">
      <c r="B500" s="741"/>
      <c r="C500" s="742"/>
      <c r="D500" s="742"/>
      <c r="E500" s="742"/>
      <c r="F500" s="630"/>
      <c r="G500" s="630"/>
      <c r="H500" s="630"/>
      <c r="I500" s="630"/>
      <c r="J500" s="631"/>
      <c r="K500" s="630"/>
      <c r="L500" s="630"/>
      <c r="M500" s="632"/>
      <c r="N500" s="631"/>
      <c r="O500" s="630"/>
      <c r="P500" s="630"/>
      <c r="Q500" s="630"/>
      <c r="R500" s="630"/>
    </row>
    <row r="501" spans="2:18" ht="15.75" customHeight="1" x14ac:dyDescent="0.3">
      <c r="B501" s="741"/>
      <c r="C501" s="742"/>
      <c r="D501" s="742"/>
      <c r="E501" s="742"/>
      <c r="F501" s="630"/>
      <c r="G501" s="630"/>
      <c r="H501" s="630"/>
      <c r="I501" s="630"/>
      <c r="J501" s="631"/>
      <c r="K501" s="630"/>
      <c r="L501" s="630"/>
      <c r="M501" s="632"/>
      <c r="N501" s="631"/>
      <c r="O501" s="630"/>
      <c r="P501" s="630"/>
      <c r="Q501" s="630"/>
      <c r="R501" s="630"/>
    </row>
    <row r="502" spans="2:18" ht="15.75" customHeight="1" x14ac:dyDescent="0.3">
      <c r="B502" s="741"/>
      <c r="C502" s="742"/>
      <c r="D502" s="742"/>
      <c r="E502" s="742"/>
      <c r="F502" s="630"/>
      <c r="G502" s="630"/>
      <c r="H502" s="630"/>
      <c r="I502" s="630"/>
      <c r="J502" s="631"/>
      <c r="K502" s="630"/>
      <c r="L502" s="630"/>
      <c r="M502" s="632"/>
      <c r="N502" s="631"/>
      <c r="O502" s="630"/>
      <c r="P502" s="630"/>
      <c r="Q502" s="630"/>
      <c r="R502" s="630"/>
    </row>
    <row r="503" spans="2:18" ht="15.75" customHeight="1" x14ac:dyDescent="0.3">
      <c r="B503" s="741"/>
      <c r="C503" s="742"/>
      <c r="D503" s="742"/>
      <c r="E503" s="742"/>
      <c r="F503" s="630"/>
      <c r="G503" s="630"/>
      <c r="H503" s="630"/>
      <c r="I503" s="630"/>
      <c r="J503" s="631"/>
      <c r="K503" s="630"/>
      <c r="L503" s="630"/>
      <c r="M503" s="632"/>
      <c r="N503" s="631"/>
      <c r="O503" s="630"/>
      <c r="P503" s="630"/>
      <c r="Q503" s="630"/>
      <c r="R503" s="630"/>
    </row>
    <row r="504" spans="2:18" ht="15.75" customHeight="1" x14ac:dyDescent="0.3">
      <c r="B504" s="741"/>
      <c r="C504" s="742"/>
      <c r="D504" s="742"/>
      <c r="E504" s="742"/>
      <c r="F504" s="630"/>
      <c r="G504" s="630"/>
      <c r="H504" s="630"/>
      <c r="I504" s="630"/>
      <c r="J504" s="631"/>
      <c r="K504" s="630"/>
      <c r="L504" s="630"/>
      <c r="M504" s="632"/>
      <c r="N504" s="631"/>
      <c r="O504" s="630"/>
      <c r="P504" s="630"/>
      <c r="Q504" s="630"/>
      <c r="R504" s="630"/>
    </row>
    <row r="505" spans="2:18" ht="15.75" customHeight="1" x14ac:dyDescent="0.3">
      <c r="B505" s="741"/>
      <c r="C505" s="742"/>
      <c r="D505" s="742"/>
      <c r="E505" s="742"/>
      <c r="F505" s="630"/>
      <c r="G505" s="630"/>
      <c r="H505" s="630"/>
      <c r="I505" s="630"/>
      <c r="J505" s="631"/>
      <c r="K505" s="630"/>
      <c r="L505" s="630"/>
      <c r="M505" s="632"/>
      <c r="N505" s="631"/>
      <c r="O505" s="630"/>
      <c r="P505" s="630"/>
      <c r="Q505" s="630"/>
      <c r="R505" s="630"/>
    </row>
    <row r="506" spans="2:18" ht="15.75" customHeight="1" x14ac:dyDescent="0.3">
      <c r="B506" s="741"/>
      <c r="C506" s="742"/>
      <c r="D506" s="742"/>
      <c r="E506" s="742"/>
      <c r="F506" s="630"/>
      <c r="G506" s="630"/>
      <c r="H506" s="630"/>
      <c r="I506" s="630"/>
      <c r="J506" s="631"/>
      <c r="K506" s="630"/>
      <c r="L506" s="630"/>
      <c r="M506" s="632"/>
      <c r="N506" s="631"/>
      <c r="O506" s="630"/>
      <c r="P506" s="630"/>
      <c r="Q506" s="630"/>
      <c r="R506" s="630"/>
    </row>
    <row r="507" spans="2:18" ht="15.75" customHeight="1" x14ac:dyDescent="0.3">
      <c r="B507" s="741"/>
      <c r="C507" s="742"/>
      <c r="D507" s="742"/>
      <c r="E507" s="742"/>
      <c r="F507" s="630"/>
      <c r="G507" s="630"/>
      <c r="H507" s="630"/>
      <c r="I507" s="630"/>
      <c r="J507" s="631"/>
      <c r="K507" s="630"/>
      <c r="L507" s="630"/>
      <c r="M507" s="632"/>
      <c r="N507" s="631"/>
      <c r="O507" s="630"/>
      <c r="P507" s="630"/>
      <c r="Q507" s="630"/>
      <c r="R507" s="630"/>
    </row>
    <row r="508" spans="2:18" ht="15.75" customHeight="1" x14ac:dyDescent="0.3">
      <c r="B508" s="741"/>
      <c r="C508" s="742"/>
      <c r="D508" s="742"/>
      <c r="E508" s="742"/>
      <c r="F508" s="630"/>
      <c r="G508" s="630"/>
      <c r="H508" s="630"/>
      <c r="I508" s="630"/>
      <c r="J508" s="631"/>
      <c r="K508" s="630"/>
      <c r="L508" s="630"/>
      <c r="M508" s="632"/>
      <c r="N508" s="631"/>
      <c r="O508" s="630"/>
      <c r="P508" s="630"/>
      <c r="Q508" s="630"/>
      <c r="R508" s="630"/>
    </row>
    <row r="509" spans="2:18" ht="15.75" customHeight="1" x14ac:dyDescent="0.3">
      <c r="B509" s="741"/>
      <c r="C509" s="742"/>
      <c r="D509" s="742"/>
      <c r="E509" s="742"/>
      <c r="F509" s="630"/>
      <c r="G509" s="630"/>
      <c r="H509" s="630"/>
      <c r="I509" s="630"/>
      <c r="J509" s="631"/>
      <c r="K509" s="630"/>
      <c r="L509" s="630"/>
      <c r="M509" s="632"/>
      <c r="N509" s="631"/>
      <c r="O509" s="630"/>
      <c r="P509" s="630"/>
      <c r="Q509" s="630"/>
      <c r="R509" s="630"/>
    </row>
    <row r="510" spans="2:18" ht="15.75" customHeight="1" x14ac:dyDescent="0.3">
      <c r="B510" s="741"/>
      <c r="C510" s="742"/>
      <c r="D510" s="742"/>
      <c r="E510" s="742"/>
      <c r="F510" s="630"/>
      <c r="G510" s="630"/>
      <c r="H510" s="630"/>
      <c r="I510" s="630"/>
      <c r="J510" s="631"/>
      <c r="K510" s="630"/>
      <c r="L510" s="630"/>
      <c r="M510" s="632"/>
      <c r="N510" s="631"/>
      <c r="O510" s="630"/>
      <c r="P510" s="630"/>
      <c r="Q510" s="630"/>
      <c r="R510" s="630"/>
    </row>
    <row r="511" spans="2:18" ht="15.75" customHeight="1" x14ac:dyDescent="0.3">
      <c r="B511" s="741"/>
      <c r="C511" s="742"/>
      <c r="D511" s="742"/>
      <c r="E511" s="742"/>
      <c r="F511" s="630"/>
      <c r="G511" s="630"/>
      <c r="H511" s="630"/>
      <c r="I511" s="630"/>
      <c r="J511" s="631"/>
      <c r="K511" s="630"/>
      <c r="L511" s="630"/>
      <c r="M511" s="632"/>
      <c r="N511" s="631"/>
      <c r="O511" s="630"/>
      <c r="P511" s="630"/>
      <c r="Q511" s="630"/>
      <c r="R511" s="630"/>
    </row>
    <row r="512" spans="2:18" ht="15.75" customHeight="1" x14ac:dyDescent="0.3">
      <c r="B512" s="741"/>
      <c r="C512" s="742"/>
      <c r="D512" s="742"/>
      <c r="E512" s="742"/>
      <c r="F512" s="630"/>
      <c r="G512" s="630"/>
      <c r="H512" s="630"/>
      <c r="I512" s="630"/>
      <c r="J512" s="631"/>
      <c r="K512" s="630"/>
      <c r="L512" s="630"/>
      <c r="M512" s="632"/>
      <c r="N512" s="631"/>
      <c r="O512" s="630"/>
      <c r="P512" s="630"/>
      <c r="Q512" s="630"/>
      <c r="R512" s="630"/>
    </row>
    <row r="513" spans="2:18" ht="15.75" customHeight="1" x14ac:dyDescent="0.3">
      <c r="B513" s="741"/>
      <c r="C513" s="742"/>
      <c r="D513" s="742"/>
      <c r="E513" s="742"/>
      <c r="F513" s="630"/>
      <c r="G513" s="630"/>
      <c r="H513" s="630"/>
      <c r="I513" s="630"/>
      <c r="J513" s="631"/>
      <c r="K513" s="630"/>
      <c r="L513" s="630"/>
      <c r="M513" s="632"/>
      <c r="N513" s="631"/>
      <c r="O513" s="630"/>
      <c r="P513" s="630"/>
      <c r="Q513" s="630"/>
      <c r="R513" s="630"/>
    </row>
    <row r="514" spans="2:18" ht="15.75" customHeight="1" x14ac:dyDescent="0.3">
      <c r="B514" s="741"/>
      <c r="C514" s="742"/>
      <c r="D514" s="742"/>
      <c r="E514" s="742"/>
      <c r="F514" s="630"/>
      <c r="G514" s="630"/>
      <c r="H514" s="630"/>
      <c r="I514" s="630"/>
      <c r="J514" s="631"/>
      <c r="K514" s="630"/>
      <c r="L514" s="630"/>
      <c r="M514" s="632"/>
      <c r="N514" s="631"/>
      <c r="O514" s="630"/>
      <c r="P514" s="630"/>
      <c r="Q514" s="630"/>
      <c r="R514" s="630"/>
    </row>
    <row r="515" spans="2:18" ht="15.75" customHeight="1" x14ac:dyDescent="0.3">
      <c r="B515" s="741"/>
      <c r="C515" s="742"/>
      <c r="D515" s="742"/>
      <c r="E515" s="742"/>
      <c r="F515" s="630"/>
      <c r="G515" s="630"/>
      <c r="H515" s="630"/>
      <c r="I515" s="630"/>
      <c r="J515" s="631"/>
      <c r="K515" s="630"/>
      <c r="L515" s="630"/>
      <c r="M515" s="632"/>
      <c r="N515" s="631"/>
      <c r="O515" s="630"/>
      <c r="P515" s="630"/>
      <c r="Q515" s="630"/>
      <c r="R515" s="630"/>
    </row>
    <row r="516" spans="2:18" ht="15.75" customHeight="1" x14ac:dyDescent="0.3">
      <c r="B516" s="741"/>
      <c r="C516" s="742"/>
      <c r="D516" s="742"/>
      <c r="E516" s="742"/>
      <c r="F516" s="630"/>
      <c r="G516" s="630"/>
      <c r="H516" s="630"/>
      <c r="I516" s="630"/>
      <c r="J516" s="631"/>
      <c r="K516" s="630"/>
      <c r="L516" s="630"/>
      <c r="M516" s="632"/>
      <c r="N516" s="631"/>
      <c r="O516" s="630"/>
      <c r="P516" s="630"/>
      <c r="Q516" s="630"/>
      <c r="R516" s="630"/>
    </row>
    <row r="517" spans="2:18" ht="15.75" customHeight="1" x14ac:dyDescent="0.3">
      <c r="B517" s="741"/>
      <c r="C517" s="742"/>
      <c r="D517" s="742"/>
      <c r="E517" s="742"/>
      <c r="F517" s="630"/>
      <c r="G517" s="630"/>
      <c r="H517" s="630"/>
      <c r="I517" s="630"/>
      <c r="J517" s="631"/>
      <c r="K517" s="630"/>
      <c r="L517" s="630"/>
      <c r="M517" s="632"/>
      <c r="N517" s="631"/>
      <c r="O517" s="630"/>
      <c r="P517" s="630"/>
      <c r="Q517" s="630"/>
      <c r="R517" s="630"/>
    </row>
    <row r="518" spans="2:18" ht="15.75" customHeight="1" x14ac:dyDescent="0.3">
      <c r="B518" s="741"/>
      <c r="C518" s="742"/>
      <c r="D518" s="742"/>
      <c r="E518" s="742"/>
      <c r="F518" s="630"/>
      <c r="G518" s="630"/>
      <c r="H518" s="630"/>
      <c r="I518" s="630"/>
      <c r="J518" s="631"/>
      <c r="K518" s="630"/>
      <c r="L518" s="630"/>
      <c r="M518" s="632"/>
      <c r="N518" s="631"/>
      <c r="O518" s="630"/>
      <c r="P518" s="630"/>
      <c r="Q518" s="630"/>
      <c r="R518" s="630"/>
    </row>
    <row r="519" spans="2:18" ht="15.75" customHeight="1" x14ac:dyDescent="0.3">
      <c r="B519" s="741"/>
      <c r="C519" s="742"/>
      <c r="D519" s="742"/>
      <c r="E519" s="742"/>
      <c r="F519" s="630"/>
      <c r="G519" s="630"/>
      <c r="H519" s="630"/>
      <c r="I519" s="630"/>
      <c r="J519" s="631"/>
      <c r="K519" s="630"/>
      <c r="L519" s="630"/>
      <c r="M519" s="632"/>
      <c r="N519" s="631"/>
      <c r="O519" s="630"/>
      <c r="P519" s="630"/>
      <c r="Q519" s="630"/>
      <c r="R519" s="630"/>
    </row>
    <row r="520" spans="2:18" ht="15.75" customHeight="1" x14ac:dyDescent="0.3">
      <c r="B520" s="741"/>
      <c r="C520" s="742"/>
      <c r="D520" s="742"/>
      <c r="E520" s="742"/>
      <c r="F520" s="630"/>
      <c r="G520" s="630"/>
      <c r="H520" s="630"/>
      <c r="I520" s="630"/>
      <c r="J520" s="631"/>
      <c r="K520" s="630"/>
      <c r="L520" s="630"/>
      <c r="M520" s="632"/>
      <c r="N520" s="631"/>
      <c r="O520" s="630"/>
      <c r="P520" s="630"/>
      <c r="Q520" s="630"/>
      <c r="R520" s="630"/>
    </row>
    <row r="521" spans="2:18" ht="15.75" customHeight="1" x14ac:dyDescent="0.3">
      <c r="B521" s="741"/>
      <c r="C521" s="742"/>
      <c r="D521" s="742"/>
      <c r="E521" s="742"/>
      <c r="F521" s="630"/>
      <c r="G521" s="630"/>
      <c r="H521" s="630"/>
      <c r="I521" s="630"/>
      <c r="J521" s="631"/>
      <c r="K521" s="630"/>
      <c r="L521" s="630"/>
      <c r="M521" s="632"/>
      <c r="N521" s="631"/>
      <c r="O521" s="630"/>
      <c r="P521" s="630"/>
      <c r="Q521" s="630"/>
      <c r="R521" s="630"/>
    </row>
    <row r="522" spans="2:18" ht="15.75" customHeight="1" x14ac:dyDescent="0.3">
      <c r="B522" s="741"/>
      <c r="C522" s="742"/>
      <c r="D522" s="742"/>
      <c r="E522" s="742"/>
      <c r="F522" s="630"/>
      <c r="G522" s="630"/>
      <c r="H522" s="630"/>
      <c r="I522" s="630"/>
      <c r="J522" s="631"/>
      <c r="K522" s="630"/>
      <c r="L522" s="630"/>
      <c r="M522" s="632"/>
      <c r="N522" s="631"/>
      <c r="O522" s="630"/>
      <c r="P522" s="630"/>
      <c r="Q522" s="630"/>
      <c r="R522" s="630"/>
    </row>
    <row r="523" spans="2:18" ht="15.75" customHeight="1" x14ac:dyDescent="0.3">
      <c r="B523" s="741"/>
      <c r="C523" s="742"/>
      <c r="D523" s="742"/>
      <c r="E523" s="742"/>
      <c r="F523" s="630"/>
      <c r="G523" s="630"/>
      <c r="H523" s="630"/>
      <c r="I523" s="630"/>
      <c r="J523" s="631"/>
      <c r="K523" s="630"/>
      <c r="L523" s="630"/>
      <c r="M523" s="632"/>
      <c r="N523" s="631"/>
      <c r="O523" s="630"/>
      <c r="P523" s="630"/>
      <c r="Q523" s="630"/>
      <c r="R523" s="630"/>
    </row>
    <row r="524" spans="2:18" ht="15.75" customHeight="1" x14ac:dyDescent="0.3">
      <c r="B524" s="741"/>
      <c r="C524" s="742"/>
      <c r="D524" s="742"/>
      <c r="E524" s="742"/>
      <c r="F524" s="630"/>
      <c r="G524" s="630"/>
      <c r="H524" s="630"/>
      <c r="I524" s="630"/>
      <c r="J524" s="631"/>
      <c r="K524" s="630"/>
      <c r="L524" s="630"/>
      <c r="M524" s="632"/>
      <c r="N524" s="631"/>
      <c r="O524" s="630"/>
      <c r="P524" s="630"/>
      <c r="Q524" s="630"/>
      <c r="R524" s="630"/>
    </row>
    <row r="525" spans="2:18" ht="15.75" customHeight="1" x14ac:dyDescent="0.3">
      <c r="B525" s="741"/>
      <c r="C525" s="742"/>
      <c r="D525" s="742"/>
      <c r="E525" s="742"/>
      <c r="F525" s="630"/>
      <c r="G525" s="630"/>
      <c r="H525" s="630"/>
      <c r="I525" s="630"/>
      <c r="J525" s="631"/>
      <c r="K525" s="630"/>
      <c r="L525" s="630"/>
      <c r="M525" s="632"/>
      <c r="N525" s="631"/>
      <c r="O525" s="630"/>
      <c r="P525" s="630"/>
      <c r="Q525" s="630"/>
      <c r="R525" s="630"/>
    </row>
    <row r="526" spans="2:18" ht="15.75" customHeight="1" x14ac:dyDescent="0.3">
      <c r="B526" s="741"/>
      <c r="C526" s="742"/>
      <c r="D526" s="742"/>
      <c r="E526" s="742"/>
      <c r="F526" s="630"/>
      <c r="G526" s="630"/>
      <c r="H526" s="630"/>
      <c r="I526" s="630"/>
      <c r="J526" s="631"/>
      <c r="K526" s="630"/>
      <c r="L526" s="630"/>
      <c r="M526" s="632"/>
      <c r="N526" s="631"/>
      <c r="O526" s="630"/>
      <c r="P526" s="630"/>
      <c r="Q526" s="630"/>
      <c r="R526" s="630"/>
    </row>
    <row r="527" spans="2:18" ht="15.75" customHeight="1" x14ac:dyDescent="0.3">
      <c r="B527" s="741"/>
      <c r="C527" s="742"/>
      <c r="D527" s="742"/>
      <c r="E527" s="742"/>
      <c r="F527" s="630"/>
      <c r="G527" s="630"/>
      <c r="H527" s="630"/>
      <c r="I527" s="630"/>
      <c r="J527" s="631"/>
      <c r="K527" s="630"/>
      <c r="L527" s="630"/>
      <c r="M527" s="632"/>
      <c r="N527" s="631"/>
      <c r="O527" s="630"/>
      <c r="P527" s="630"/>
      <c r="Q527" s="630"/>
      <c r="R527" s="630"/>
    </row>
    <row r="528" spans="2:18" ht="15.75" customHeight="1" x14ac:dyDescent="0.3">
      <c r="B528" s="741"/>
      <c r="C528" s="742"/>
      <c r="D528" s="742"/>
      <c r="E528" s="742"/>
      <c r="F528" s="630"/>
      <c r="G528" s="630"/>
      <c r="H528" s="630"/>
      <c r="I528" s="630"/>
      <c r="J528" s="631"/>
      <c r="K528" s="630"/>
      <c r="L528" s="630"/>
      <c r="M528" s="632"/>
      <c r="N528" s="631"/>
      <c r="O528" s="630"/>
      <c r="P528" s="630"/>
      <c r="Q528" s="630"/>
      <c r="R528" s="630"/>
    </row>
    <row r="529" spans="2:18" ht="15.75" customHeight="1" x14ac:dyDescent="0.3">
      <c r="B529" s="741"/>
      <c r="C529" s="742"/>
      <c r="D529" s="742"/>
      <c r="E529" s="742"/>
      <c r="F529" s="630"/>
      <c r="G529" s="630"/>
      <c r="H529" s="630"/>
      <c r="I529" s="630"/>
      <c r="J529" s="631"/>
      <c r="K529" s="630"/>
      <c r="L529" s="630"/>
      <c r="M529" s="632"/>
      <c r="N529" s="631"/>
      <c r="O529" s="630"/>
      <c r="P529" s="630"/>
      <c r="Q529" s="630"/>
      <c r="R529" s="630"/>
    </row>
    <row r="530" spans="2:18" ht="15.75" customHeight="1" x14ac:dyDescent="0.3">
      <c r="B530" s="741"/>
      <c r="C530" s="742"/>
      <c r="D530" s="742"/>
      <c r="E530" s="742"/>
      <c r="F530" s="630"/>
      <c r="G530" s="630"/>
      <c r="H530" s="630"/>
      <c r="I530" s="630"/>
      <c r="J530" s="631"/>
      <c r="K530" s="630"/>
      <c r="L530" s="630"/>
      <c r="M530" s="632"/>
      <c r="N530" s="631"/>
      <c r="O530" s="630"/>
      <c r="P530" s="630"/>
      <c r="Q530" s="630"/>
      <c r="R530" s="630"/>
    </row>
    <row r="531" spans="2:18" ht="15.75" customHeight="1" x14ac:dyDescent="0.3">
      <c r="B531" s="741"/>
      <c r="C531" s="742"/>
      <c r="D531" s="742"/>
      <c r="E531" s="742"/>
      <c r="F531" s="630"/>
      <c r="G531" s="630"/>
      <c r="H531" s="630"/>
      <c r="I531" s="630"/>
      <c r="J531" s="631"/>
      <c r="K531" s="630"/>
      <c r="L531" s="630"/>
      <c r="M531" s="632"/>
      <c r="N531" s="631"/>
      <c r="O531" s="630"/>
      <c r="P531" s="630"/>
      <c r="Q531" s="630"/>
      <c r="R531" s="630"/>
    </row>
    <row r="532" spans="2:18" ht="15.75" customHeight="1" x14ac:dyDescent="0.3">
      <c r="B532" s="741"/>
      <c r="C532" s="742"/>
      <c r="D532" s="742"/>
      <c r="E532" s="742"/>
      <c r="F532" s="630"/>
      <c r="G532" s="630"/>
      <c r="H532" s="630"/>
      <c r="I532" s="630"/>
      <c r="J532" s="631"/>
      <c r="K532" s="630"/>
      <c r="L532" s="630"/>
      <c r="M532" s="632"/>
      <c r="N532" s="631"/>
      <c r="O532" s="630"/>
      <c r="P532" s="630"/>
      <c r="Q532" s="630"/>
      <c r="R532" s="630"/>
    </row>
    <row r="533" spans="2:18" ht="15.75" customHeight="1" x14ac:dyDescent="0.3">
      <c r="B533" s="741"/>
      <c r="C533" s="742"/>
      <c r="D533" s="742"/>
      <c r="E533" s="742"/>
      <c r="F533" s="630"/>
      <c r="G533" s="630"/>
      <c r="H533" s="630"/>
      <c r="I533" s="630"/>
      <c r="J533" s="631"/>
      <c r="K533" s="630"/>
      <c r="L533" s="630"/>
      <c r="M533" s="632"/>
      <c r="N533" s="631"/>
      <c r="O533" s="630"/>
      <c r="P533" s="630"/>
      <c r="Q533" s="630"/>
      <c r="R533" s="630"/>
    </row>
    <row r="534" spans="2:18" ht="15.75" customHeight="1" x14ac:dyDescent="0.3">
      <c r="B534" s="741"/>
      <c r="C534" s="742"/>
      <c r="D534" s="742"/>
      <c r="E534" s="742"/>
      <c r="F534" s="630"/>
      <c r="G534" s="630"/>
      <c r="H534" s="630"/>
      <c r="I534" s="630"/>
      <c r="J534" s="631"/>
      <c r="K534" s="630"/>
      <c r="L534" s="630"/>
      <c r="M534" s="632"/>
      <c r="N534" s="631"/>
      <c r="O534" s="630"/>
      <c r="P534" s="630"/>
      <c r="Q534" s="630"/>
      <c r="R534" s="630"/>
    </row>
    <row r="535" spans="2:18" ht="15.75" customHeight="1" x14ac:dyDescent="0.3">
      <c r="B535" s="741"/>
      <c r="C535" s="742"/>
      <c r="D535" s="742"/>
      <c r="E535" s="742"/>
      <c r="F535" s="630"/>
      <c r="G535" s="630"/>
      <c r="H535" s="630"/>
      <c r="I535" s="630"/>
      <c r="J535" s="631"/>
      <c r="K535" s="630"/>
      <c r="L535" s="630"/>
      <c r="M535" s="632"/>
      <c r="N535" s="631"/>
      <c r="O535" s="630"/>
      <c r="P535" s="630"/>
      <c r="Q535" s="630"/>
      <c r="R535" s="630"/>
    </row>
    <row r="536" spans="2:18" ht="15.75" customHeight="1" x14ac:dyDescent="0.3">
      <c r="B536" s="741"/>
      <c r="C536" s="742"/>
      <c r="D536" s="742"/>
      <c r="E536" s="742"/>
      <c r="F536" s="630"/>
      <c r="G536" s="630"/>
      <c r="H536" s="630"/>
      <c r="I536" s="630"/>
      <c r="J536" s="631"/>
      <c r="K536" s="630"/>
      <c r="L536" s="630"/>
      <c r="M536" s="632"/>
      <c r="N536" s="631"/>
      <c r="O536" s="630"/>
      <c r="P536" s="630"/>
      <c r="Q536" s="630"/>
      <c r="R536" s="630"/>
    </row>
    <row r="537" spans="2:18" ht="15.75" customHeight="1" x14ac:dyDescent="0.3">
      <c r="B537" s="741"/>
      <c r="C537" s="742"/>
      <c r="D537" s="742"/>
      <c r="E537" s="742"/>
      <c r="F537" s="630"/>
      <c r="G537" s="630"/>
      <c r="H537" s="630"/>
      <c r="I537" s="630"/>
      <c r="J537" s="631"/>
      <c r="K537" s="630"/>
      <c r="L537" s="630"/>
      <c r="M537" s="632"/>
      <c r="N537" s="631"/>
      <c r="O537" s="630"/>
      <c r="P537" s="630"/>
      <c r="Q537" s="630"/>
      <c r="R537" s="630"/>
    </row>
    <row r="538" spans="2:18" ht="15.75" customHeight="1" x14ac:dyDescent="0.3">
      <c r="B538" s="741"/>
      <c r="C538" s="742"/>
      <c r="D538" s="742"/>
      <c r="E538" s="742"/>
      <c r="F538" s="630"/>
      <c r="G538" s="630"/>
      <c r="H538" s="630"/>
      <c r="I538" s="630"/>
      <c r="J538" s="631"/>
      <c r="K538" s="630"/>
      <c r="L538" s="630"/>
      <c r="M538" s="632"/>
      <c r="N538" s="631"/>
      <c r="O538" s="630"/>
      <c r="P538" s="630"/>
      <c r="Q538" s="630"/>
      <c r="R538" s="630"/>
    </row>
    <row r="539" spans="2:18" ht="15.75" customHeight="1" x14ac:dyDescent="0.3">
      <c r="B539" s="741"/>
      <c r="C539" s="742"/>
      <c r="D539" s="742"/>
      <c r="E539" s="742"/>
      <c r="F539" s="630"/>
      <c r="G539" s="630"/>
      <c r="H539" s="630"/>
      <c r="I539" s="630"/>
      <c r="J539" s="631"/>
      <c r="K539" s="630"/>
      <c r="L539" s="630"/>
      <c r="M539" s="632"/>
      <c r="N539" s="631"/>
      <c r="O539" s="630"/>
      <c r="P539" s="630"/>
      <c r="Q539" s="630"/>
      <c r="R539" s="630"/>
    </row>
    <row r="540" spans="2:18" ht="15.75" customHeight="1" x14ac:dyDescent="0.3">
      <c r="B540" s="741"/>
      <c r="C540" s="742"/>
      <c r="D540" s="742"/>
      <c r="E540" s="742"/>
      <c r="F540" s="630"/>
      <c r="G540" s="630"/>
      <c r="H540" s="630"/>
      <c r="I540" s="630"/>
      <c r="J540" s="631"/>
      <c r="K540" s="630"/>
      <c r="L540" s="630"/>
      <c r="M540" s="632"/>
      <c r="N540" s="631"/>
      <c r="O540" s="630"/>
      <c r="P540" s="630"/>
      <c r="Q540" s="630"/>
      <c r="R540" s="630"/>
    </row>
    <row r="541" spans="2:18" ht="15.75" customHeight="1" x14ac:dyDescent="0.3">
      <c r="B541" s="741"/>
      <c r="C541" s="742"/>
      <c r="D541" s="742"/>
      <c r="E541" s="742"/>
      <c r="F541" s="630"/>
      <c r="G541" s="630"/>
      <c r="H541" s="630"/>
      <c r="I541" s="630"/>
      <c r="J541" s="631"/>
      <c r="K541" s="630"/>
      <c r="L541" s="630"/>
      <c r="M541" s="632"/>
      <c r="N541" s="631"/>
      <c r="O541" s="630"/>
      <c r="P541" s="630"/>
      <c r="Q541" s="630"/>
      <c r="R541" s="630"/>
    </row>
    <row r="542" spans="2:18" ht="15.75" customHeight="1" x14ac:dyDescent="0.3">
      <c r="B542" s="741"/>
      <c r="C542" s="742"/>
      <c r="D542" s="742"/>
      <c r="E542" s="742"/>
      <c r="F542" s="630"/>
      <c r="G542" s="630"/>
      <c r="H542" s="630"/>
      <c r="I542" s="630"/>
      <c r="J542" s="631"/>
      <c r="K542" s="630"/>
      <c r="L542" s="630"/>
      <c r="M542" s="632"/>
      <c r="N542" s="631"/>
      <c r="O542" s="630"/>
      <c r="P542" s="630"/>
      <c r="Q542" s="630"/>
      <c r="R542" s="630"/>
    </row>
    <row r="543" spans="2:18" ht="15.75" customHeight="1" x14ac:dyDescent="0.3">
      <c r="B543" s="741"/>
      <c r="C543" s="742"/>
      <c r="D543" s="742"/>
      <c r="E543" s="742"/>
      <c r="F543" s="630"/>
      <c r="G543" s="630"/>
      <c r="H543" s="630"/>
      <c r="I543" s="630"/>
      <c r="J543" s="631"/>
      <c r="K543" s="630"/>
      <c r="L543" s="630"/>
      <c r="M543" s="632"/>
      <c r="N543" s="631"/>
      <c r="O543" s="630"/>
      <c r="P543" s="630"/>
      <c r="Q543" s="630"/>
      <c r="R543" s="630"/>
    </row>
    <row r="544" spans="2:18" ht="15.75" customHeight="1" x14ac:dyDescent="0.3">
      <c r="B544" s="741"/>
      <c r="C544" s="742"/>
      <c r="D544" s="742"/>
      <c r="E544" s="742"/>
      <c r="F544" s="630"/>
      <c r="G544" s="630"/>
      <c r="H544" s="630"/>
      <c r="I544" s="630"/>
      <c r="J544" s="631"/>
      <c r="K544" s="630"/>
      <c r="L544" s="630"/>
      <c r="M544" s="632"/>
      <c r="N544" s="631"/>
      <c r="O544" s="630"/>
      <c r="P544" s="630"/>
      <c r="Q544" s="630"/>
      <c r="R544" s="630"/>
    </row>
    <row r="545" spans="2:18" ht="15.75" customHeight="1" x14ac:dyDescent="0.3">
      <c r="B545" s="741"/>
      <c r="C545" s="742"/>
      <c r="D545" s="742"/>
      <c r="E545" s="742"/>
      <c r="F545" s="630"/>
      <c r="G545" s="630"/>
      <c r="H545" s="630"/>
      <c r="I545" s="630"/>
      <c r="J545" s="631"/>
      <c r="K545" s="630"/>
      <c r="L545" s="630"/>
      <c r="M545" s="632"/>
      <c r="N545" s="631"/>
      <c r="O545" s="630"/>
      <c r="P545" s="630"/>
      <c r="Q545" s="630"/>
      <c r="R545" s="630"/>
    </row>
    <row r="546" spans="2:18" ht="15.75" customHeight="1" x14ac:dyDescent="0.3">
      <c r="B546" s="741"/>
      <c r="C546" s="742"/>
      <c r="D546" s="742"/>
      <c r="E546" s="742"/>
      <c r="F546" s="630"/>
      <c r="G546" s="630"/>
      <c r="H546" s="630"/>
      <c r="I546" s="630"/>
      <c r="J546" s="631"/>
      <c r="K546" s="630"/>
      <c r="L546" s="630"/>
      <c r="M546" s="632"/>
      <c r="N546" s="631"/>
      <c r="O546" s="630"/>
      <c r="P546" s="630"/>
      <c r="Q546" s="630"/>
      <c r="R546" s="630"/>
    </row>
    <row r="547" spans="2:18" ht="15.75" customHeight="1" x14ac:dyDescent="0.3">
      <c r="B547" s="741"/>
      <c r="C547" s="742"/>
      <c r="D547" s="742"/>
      <c r="E547" s="742"/>
      <c r="F547" s="630"/>
      <c r="G547" s="630"/>
      <c r="H547" s="630"/>
      <c r="I547" s="630"/>
      <c r="J547" s="631"/>
      <c r="K547" s="630"/>
      <c r="L547" s="630"/>
      <c r="M547" s="632"/>
      <c r="N547" s="631"/>
      <c r="O547" s="630"/>
      <c r="P547" s="630"/>
      <c r="Q547" s="630"/>
      <c r="R547" s="630"/>
    </row>
    <row r="548" spans="2:18" ht="15.75" customHeight="1" x14ac:dyDescent="0.3">
      <c r="B548" s="741"/>
      <c r="C548" s="742"/>
      <c r="D548" s="742"/>
      <c r="E548" s="742"/>
      <c r="F548" s="630"/>
      <c r="G548" s="630"/>
      <c r="H548" s="630"/>
      <c r="I548" s="630"/>
      <c r="J548" s="631"/>
      <c r="K548" s="630"/>
      <c r="L548" s="630"/>
      <c r="M548" s="632"/>
      <c r="N548" s="631"/>
      <c r="O548" s="630"/>
      <c r="P548" s="630"/>
      <c r="Q548" s="630"/>
      <c r="R548" s="630"/>
    </row>
    <row r="549" spans="2:18" ht="15.75" customHeight="1" x14ac:dyDescent="0.3">
      <c r="B549" s="741"/>
      <c r="C549" s="742"/>
      <c r="D549" s="742"/>
      <c r="E549" s="742"/>
      <c r="F549" s="630"/>
      <c r="G549" s="630"/>
      <c r="H549" s="630"/>
      <c r="I549" s="630"/>
      <c r="J549" s="631"/>
      <c r="K549" s="630"/>
      <c r="L549" s="630"/>
      <c r="M549" s="632"/>
      <c r="N549" s="631"/>
      <c r="O549" s="630"/>
      <c r="P549" s="630"/>
      <c r="Q549" s="630"/>
      <c r="R549" s="630"/>
    </row>
    <row r="550" spans="2:18" ht="15.75" customHeight="1" x14ac:dyDescent="0.3">
      <c r="B550" s="741"/>
      <c r="C550" s="742"/>
      <c r="D550" s="742"/>
      <c r="E550" s="742"/>
      <c r="F550" s="630"/>
      <c r="G550" s="630"/>
      <c r="H550" s="630"/>
      <c r="I550" s="630"/>
      <c r="J550" s="631"/>
      <c r="K550" s="630"/>
      <c r="L550" s="630"/>
      <c r="M550" s="632"/>
      <c r="N550" s="631"/>
      <c r="O550" s="630"/>
      <c r="P550" s="630"/>
      <c r="Q550" s="630"/>
      <c r="R550" s="630"/>
    </row>
    <row r="551" spans="2:18" ht="15.75" customHeight="1" x14ac:dyDescent="0.3">
      <c r="B551" s="741"/>
      <c r="C551" s="742"/>
      <c r="D551" s="742"/>
      <c r="E551" s="742"/>
      <c r="F551" s="630"/>
      <c r="G551" s="630"/>
      <c r="H551" s="630"/>
      <c r="I551" s="630"/>
      <c r="J551" s="631"/>
      <c r="K551" s="630"/>
      <c r="L551" s="630"/>
      <c r="M551" s="632"/>
      <c r="N551" s="631"/>
      <c r="O551" s="630"/>
      <c r="P551" s="630"/>
      <c r="Q551" s="630"/>
      <c r="R551" s="630"/>
    </row>
    <row r="552" spans="2:18" ht="15.75" customHeight="1" x14ac:dyDescent="0.3">
      <c r="B552" s="741"/>
      <c r="C552" s="742"/>
      <c r="D552" s="742"/>
      <c r="E552" s="742"/>
      <c r="F552" s="630"/>
      <c r="G552" s="630"/>
      <c r="H552" s="630"/>
      <c r="I552" s="630"/>
      <c r="J552" s="631"/>
      <c r="K552" s="630"/>
      <c r="L552" s="630"/>
      <c r="M552" s="632"/>
      <c r="N552" s="631"/>
      <c r="O552" s="630"/>
      <c r="P552" s="630"/>
      <c r="Q552" s="630"/>
      <c r="R552" s="630"/>
    </row>
    <row r="553" spans="2:18" ht="15.75" customHeight="1" x14ac:dyDescent="0.3">
      <c r="B553" s="741"/>
      <c r="C553" s="742"/>
      <c r="D553" s="742"/>
      <c r="E553" s="742"/>
      <c r="F553" s="630"/>
      <c r="G553" s="630"/>
      <c r="H553" s="630"/>
      <c r="I553" s="630"/>
      <c r="J553" s="631"/>
      <c r="K553" s="630"/>
      <c r="L553" s="630"/>
      <c r="M553" s="632"/>
      <c r="N553" s="631"/>
      <c r="O553" s="630"/>
      <c r="P553" s="630"/>
      <c r="Q553" s="630"/>
      <c r="R553" s="630"/>
    </row>
    <row r="554" spans="2:18" ht="15.75" customHeight="1" x14ac:dyDescent="0.3">
      <c r="B554" s="741"/>
      <c r="C554" s="742"/>
      <c r="D554" s="742"/>
      <c r="E554" s="742"/>
      <c r="F554" s="630"/>
      <c r="G554" s="630"/>
      <c r="H554" s="630"/>
      <c r="I554" s="630"/>
      <c r="J554" s="631"/>
      <c r="K554" s="630"/>
      <c r="L554" s="630"/>
      <c r="M554" s="632"/>
      <c r="N554" s="631"/>
      <c r="O554" s="630"/>
      <c r="P554" s="630"/>
      <c r="Q554" s="630"/>
      <c r="R554" s="630"/>
    </row>
    <row r="555" spans="2:18" ht="15.75" customHeight="1" x14ac:dyDescent="0.3">
      <c r="B555" s="741"/>
      <c r="C555" s="742"/>
      <c r="D555" s="742"/>
      <c r="E555" s="742"/>
      <c r="F555" s="630"/>
      <c r="G555" s="630"/>
      <c r="H555" s="630"/>
      <c r="I555" s="630"/>
      <c r="J555" s="631"/>
      <c r="K555" s="630"/>
      <c r="L555" s="630"/>
      <c r="M555" s="632"/>
      <c r="N555" s="631"/>
      <c r="O555" s="630"/>
      <c r="P555" s="630"/>
      <c r="Q555" s="630"/>
      <c r="R555" s="630"/>
    </row>
    <row r="556" spans="2:18" ht="15.75" customHeight="1" x14ac:dyDescent="0.3">
      <c r="B556" s="741"/>
      <c r="C556" s="742"/>
      <c r="D556" s="742"/>
      <c r="E556" s="742"/>
      <c r="F556" s="630"/>
      <c r="G556" s="630"/>
      <c r="H556" s="630"/>
      <c r="I556" s="630"/>
      <c r="J556" s="631"/>
      <c r="K556" s="630"/>
      <c r="L556" s="630"/>
      <c r="M556" s="632"/>
      <c r="N556" s="631"/>
      <c r="O556" s="630"/>
      <c r="P556" s="630"/>
      <c r="Q556" s="630"/>
      <c r="R556" s="630"/>
    </row>
    <row r="557" spans="2:18" ht="15.75" customHeight="1" x14ac:dyDescent="0.3">
      <c r="B557" s="741"/>
      <c r="C557" s="742"/>
      <c r="D557" s="742"/>
      <c r="E557" s="742"/>
      <c r="F557" s="630"/>
      <c r="G557" s="630"/>
      <c r="H557" s="630"/>
      <c r="I557" s="630"/>
      <c r="J557" s="631"/>
      <c r="K557" s="630"/>
      <c r="L557" s="630"/>
      <c r="M557" s="632"/>
      <c r="N557" s="631"/>
      <c r="O557" s="630"/>
      <c r="P557" s="630"/>
      <c r="Q557" s="630"/>
      <c r="R557" s="630"/>
    </row>
    <row r="558" spans="2:18" ht="15.75" customHeight="1" x14ac:dyDescent="0.3">
      <c r="B558" s="741"/>
      <c r="C558" s="742"/>
      <c r="D558" s="742"/>
      <c r="E558" s="742"/>
      <c r="F558" s="630"/>
      <c r="G558" s="630"/>
      <c r="H558" s="630"/>
      <c r="I558" s="630"/>
      <c r="J558" s="631"/>
      <c r="K558" s="630"/>
      <c r="L558" s="630"/>
      <c r="M558" s="632"/>
      <c r="N558" s="631"/>
      <c r="O558" s="630"/>
      <c r="P558" s="630"/>
      <c r="Q558" s="630"/>
      <c r="R558" s="630"/>
    </row>
    <row r="559" spans="2:18" ht="15.75" customHeight="1" x14ac:dyDescent="0.3">
      <c r="B559" s="741"/>
      <c r="C559" s="742"/>
      <c r="D559" s="742"/>
      <c r="E559" s="742"/>
      <c r="F559" s="630"/>
      <c r="G559" s="630"/>
      <c r="H559" s="630"/>
      <c r="I559" s="630"/>
      <c r="J559" s="631"/>
      <c r="K559" s="630"/>
      <c r="L559" s="630"/>
      <c r="M559" s="632"/>
      <c r="N559" s="631"/>
      <c r="O559" s="630"/>
      <c r="P559" s="630"/>
      <c r="Q559" s="630"/>
      <c r="R559" s="630"/>
    </row>
    <row r="560" spans="2:18" ht="15.75" customHeight="1" x14ac:dyDescent="0.3">
      <c r="B560" s="741"/>
      <c r="C560" s="742"/>
      <c r="D560" s="742"/>
      <c r="E560" s="742"/>
      <c r="F560" s="630"/>
      <c r="G560" s="630"/>
      <c r="H560" s="630"/>
      <c r="I560" s="630"/>
      <c r="J560" s="631"/>
      <c r="K560" s="630"/>
      <c r="L560" s="630"/>
      <c r="M560" s="632"/>
      <c r="N560" s="631"/>
      <c r="O560" s="630"/>
      <c r="P560" s="630"/>
      <c r="Q560" s="630"/>
      <c r="R560" s="630"/>
    </row>
    <row r="561" spans="2:18" ht="15.75" customHeight="1" x14ac:dyDescent="0.3">
      <c r="B561" s="741"/>
      <c r="C561" s="742"/>
      <c r="D561" s="742"/>
      <c r="E561" s="742"/>
      <c r="F561" s="630"/>
      <c r="G561" s="630"/>
      <c r="H561" s="630"/>
      <c r="I561" s="630"/>
      <c r="J561" s="631"/>
      <c r="K561" s="630"/>
      <c r="L561" s="630"/>
      <c r="M561" s="632"/>
      <c r="N561" s="631"/>
      <c r="O561" s="630"/>
      <c r="P561" s="630"/>
      <c r="Q561" s="630"/>
      <c r="R561" s="630"/>
    </row>
    <row r="562" spans="2:18" ht="15.75" customHeight="1" x14ac:dyDescent="0.3">
      <c r="B562" s="741"/>
      <c r="C562" s="742"/>
      <c r="D562" s="742"/>
      <c r="E562" s="742"/>
      <c r="F562" s="630"/>
      <c r="G562" s="630"/>
      <c r="H562" s="630"/>
      <c r="I562" s="630"/>
      <c r="J562" s="631"/>
      <c r="K562" s="630"/>
      <c r="L562" s="630"/>
      <c r="M562" s="632"/>
      <c r="N562" s="631"/>
      <c r="O562" s="630"/>
      <c r="P562" s="630"/>
      <c r="Q562" s="630"/>
      <c r="R562" s="630"/>
    </row>
    <row r="563" spans="2:18" ht="15.75" customHeight="1" x14ac:dyDescent="0.3">
      <c r="B563" s="741"/>
      <c r="C563" s="742"/>
      <c r="D563" s="742"/>
      <c r="E563" s="742"/>
      <c r="F563" s="630"/>
      <c r="G563" s="630"/>
      <c r="H563" s="630"/>
      <c r="I563" s="630"/>
      <c r="J563" s="631"/>
      <c r="K563" s="630"/>
      <c r="L563" s="630"/>
      <c r="M563" s="632"/>
      <c r="N563" s="631"/>
      <c r="O563" s="630"/>
      <c r="P563" s="630"/>
      <c r="Q563" s="630"/>
      <c r="R563" s="630"/>
    </row>
    <row r="564" spans="2:18" ht="15.75" customHeight="1" x14ac:dyDescent="0.3">
      <c r="B564" s="741"/>
      <c r="C564" s="742"/>
      <c r="D564" s="742"/>
      <c r="E564" s="742"/>
      <c r="F564" s="630"/>
      <c r="G564" s="630"/>
      <c r="H564" s="630"/>
      <c r="I564" s="630"/>
      <c r="J564" s="631"/>
      <c r="K564" s="630"/>
      <c r="L564" s="630"/>
      <c r="M564" s="632"/>
      <c r="N564" s="631"/>
      <c r="O564" s="630"/>
      <c r="P564" s="630"/>
      <c r="Q564" s="630"/>
      <c r="R564" s="630"/>
    </row>
    <row r="565" spans="2:18" ht="15.75" customHeight="1" x14ac:dyDescent="0.3">
      <c r="B565" s="741"/>
      <c r="C565" s="742"/>
      <c r="D565" s="742"/>
      <c r="E565" s="742"/>
      <c r="F565" s="630"/>
      <c r="G565" s="630"/>
      <c r="H565" s="630"/>
      <c r="I565" s="630"/>
      <c r="J565" s="631"/>
      <c r="K565" s="630"/>
      <c r="L565" s="630"/>
      <c r="M565" s="632"/>
      <c r="N565" s="631"/>
      <c r="O565" s="630"/>
      <c r="P565" s="630"/>
      <c r="Q565" s="630"/>
      <c r="R565" s="630"/>
    </row>
    <row r="566" spans="2:18" ht="15.75" customHeight="1" x14ac:dyDescent="0.3">
      <c r="B566" s="741"/>
      <c r="C566" s="742"/>
      <c r="D566" s="742"/>
      <c r="E566" s="742"/>
      <c r="F566" s="630"/>
      <c r="G566" s="630"/>
      <c r="H566" s="630"/>
      <c r="I566" s="630"/>
      <c r="J566" s="631"/>
      <c r="K566" s="630"/>
      <c r="L566" s="630"/>
      <c r="M566" s="632"/>
      <c r="N566" s="631"/>
      <c r="O566" s="630"/>
      <c r="P566" s="630"/>
      <c r="Q566" s="630"/>
      <c r="R566" s="630"/>
    </row>
    <row r="567" spans="2:18" ht="15.75" customHeight="1" x14ac:dyDescent="0.3">
      <c r="B567" s="741"/>
      <c r="C567" s="742"/>
      <c r="D567" s="742"/>
      <c r="E567" s="742"/>
      <c r="F567" s="630"/>
      <c r="G567" s="630"/>
      <c r="H567" s="630"/>
      <c r="I567" s="630"/>
      <c r="J567" s="631"/>
      <c r="K567" s="630"/>
      <c r="L567" s="630"/>
      <c r="M567" s="632"/>
      <c r="N567" s="631"/>
      <c r="O567" s="630"/>
      <c r="P567" s="630"/>
      <c r="Q567" s="630"/>
      <c r="R567" s="630"/>
    </row>
    <row r="568" spans="2:18" ht="15.75" customHeight="1" x14ac:dyDescent="0.3">
      <c r="B568" s="741"/>
      <c r="C568" s="742"/>
      <c r="D568" s="742"/>
      <c r="E568" s="742"/>
      <c r="F568" s="630"/>
      <c r="G568" s="630"/>
      <c r="H568" s="630"/>
      <c r="I568" s="630"/>
      <c r="J568" s="631"/>
      <c r="K568" s="630"/>
      <c r="L568" s="630"/>
      <c r="M568" s="632"/>
      <c r="N568" s="631"/>
      <c r="O568" s="630"/>
      <c r="P568" s="630"/>
      <c r="Q568" s="630"/>
      <c r="R568" s="630"/>
    </row>
    <row r="569" spans="2:18" ht="15.75" customHeight="1" x14ac:dyDescent="0.3">
      <c r="B569" s="741"/>
      <c r="C569" s="742"/>
      <c r="D569" s="742"/>
      <c r="E569" s="742"/>
      <c r="F569" s="630"/>
      <c r="G569" s="630"/>
      <c r="H569" s="630"/>
      <c r="I569" s="630"/>
      <c r="J569" s="631"/>
      <c r="K569" s="630"/>
      <c r="L569" s="630"/>
      <c r="M569" s="632"/>
      <c r="N569" s="631"/>
      <c r="O569" s="630"/>
      <c r="P569" s="630"/>
      <c r="Q569" s="630"/>
      <c r="R569" s="630"/>
    </row>
    <row r="570" spans="2:18" ht="15.75" customHeight="1" x14ac:dyDescent="0.3">
      <c r="B570" s="741"/>
      <c r="C570" s="742"/>
      <c r="D570" s="742"/>
      <c r="E570" s="742"/>
      <c r="F570" s="630"/>
      <c r="G570" s="630"/>
      <c r="H570" s="630"/>
      <c r="I570" s="630"/>
      <c r="J570" s="631"/>
      <c r="K570" s="630"/>
      <c r="L570" s="630"/>
      <c r="M570" s="632"/>
      <c r="N570" s="631"/>
      <c r="O570" s="630"/>
      <c r="P570" s="630"/>
      <c r="Q570" s="630"/>
      <c r="R570" s="630"/>
    </row>
    <row r="571" spans="2:18" ht="15.75" customHeight="1" x14ac:dyDescent="0.3">
      <c r="B571" s="741"/>
      <c r="C571" s="742"/>
      <c r="D571" s="742"/>
      <c r="E571" s="742"/>
      <c r="F571" s="630"/>
      <c r="G571" s="630"/>
      <c r="H571" s="630"/>
      <c r="I571" s="630"/>
      <c r="J571" s="631"/>
      <c r="K571" s="630"/>
      <c r="L571" s="630"/>
      <c r="M571" s="632"/>
      <c r="N571" s="631"/>
      <c r="O571" s="630"/>
      <c r="P571" s="630"/>
      <c r="Q571" s="630"/>
      <c r="R571" s="630"/>
    </row>
    <row r="572" spans="2:18" ht="15.75" customHeight="1" x14ac:dyDescent="0.3">
      <c r="B572" s="741"/>
      <c r="C572" s="742"/>
      <c r="D572" s="742"/>
      <c r="E572" s="742"/>
      <c r="F572" s="630"/>
      <c r="G572" s="630"/>
      <c r="H572" s="630"/>
      <c r="I572" s="630"/>
      <c r="J572" s="631"/>
      <c r="K572" s="630"/>
      <c r="L572" s="630"/>
      <c r="M572" s="632"/>
      <c r="N572" s="631"/>
      <c r="O572" s="630"/>
      <c r="P572" s="630"/>
      <c r="Q572" s="630"/>
      <c r="R572" s="630"/>
    </row>
    <row r="573" spans="2:18" ht="15.75" customHeight="1" x14ac:dyDescent="0.3">
      <c r="B573" s="741"/>
      <c r="C573" s="742"/>
      <c r="D573" s="742"/>
      <c r="E573" s="742"/>
      <c r="F573" s="630"/>
      <c r="G573" s="630"/>
      <c r="H573" s="630"/>
      <c r="I573" s="630"/>
      <c r="J573" s="631"/>
      <c r="K573" s="630"/>
      <c r="L573" s="630"/>
      <c r="M573" s="632"/>
      <c r="N573" s="631"/>
      <c r="O573" s="630"/>
      <c r="P573" s="630"/>
      <c r="Q573" s="630"/>
      <c r="R573" s="630"/>
    </row>
    <row r="574" spans="2:18" ht="15.75" customHeight="1" x14ac:dyDescent="0.3">
      <c r="B574" s="741"/>
      <c r="C574" s="742"/>
      <c r="D574" s="742"/>
      <c r="E574" s="742"/>
      <c r="F574" s="630"/>
      <c r="G574" s="630"/>
      <c r="H574" s="630"/>
      <c r="I574" s="630"/>
      <c r="J574" s="631"/>
      <c r="K574" s="630"/>
      <c r="L574" s="630"/>
      <c r="M574" s="632"/>
      <c r="N574" s="631"/>
      <c r="O574" s="630"/>
      <c r="P574" s="630"/>
      <c r="Q574" s="630"/>
      <c r="R574" s="630"/>
    </row>
    <row r="575" spans="2:18" ht="15.75" customHeight="1" x14ac:dyDescent="0.3">
      <c r="B575" s="741"/>
      <c r="C575" s="742"/>
      <c r="D575" s="742"/>
      <c r="E575" s="742"/>
      <c r="F575" s="630"/>
      <c r="G575" s="630"/>
      <c r="H575" s="630"/>
      <c r="I575" s="630"/>
      <c r="J575" s="631"/>
      <c r="K575" s="630"/>
      <c r="L575" s="630"/>
      <c r="M575" s="632"/>
      <c r="N575" s="631"/>
      <c r="O575" s="630"/>
      <c r="P575" s="630"/>
      <c r="Q575" s="630"/>
      <c r="R575" s="630"/>
    </row>
    <row r="576" spans="2:18" ht="15.75" customHeight="1" x14ac:dyDescent="0.3">
      <c r="B576" s="741"/>
      <c r="C576" s="742"/>
      <c r="D576" s="742"/>
      <c r="E576" s="742"/>
      <c r="F576" s="630"/>
      <c r="G576" s="630"/>
      <c r="H576" s="630"/>
      <c r="I576" s="630"/>
      <c r="J576" s="631"/>
      <c r="K576" s="630"/>
      <c r="L576" s="630"/>
      <c r="M576" s="632"/>
      <c r="N576" s="631"/>
      <c r="O576" s="630"/>
      <c r="P576" s="630"/>
      <c r="Q576" s="630"/>
      <c r="R576" s="630"/>
    </row>
    <row r="577" spans="2:18" ht="15.75" customHeight="1" x14ac:dyDescent="0.3">
      <c r="B577" s="741"/>
      <c r="C577" s="742"/>
      <c r="D577" s="742"/>
      <c r="E577" s="742"/>
      <c r="F577" s="630"/>
      <c r="G577" s="630"/>
      <c r="H577" s="630"/>
      <c r="I577" s="630"/>
      <c r="J577" s="631"/>
      <c r="K577" s="630"/>
      <c r="L577" s="630"/>
      <c r="M577" s="632"/>
      <c r="N577" s="631"/>
      <c r="O577" s="630"/>
      <c r="P577" s="630"/>
      <c r="Q577" s="630"/>
      <c r="R577" s="630"/>
    </row>
    <row r="578" spans="2:18" ht="15.75" customHeight="1" x14ac:dyDescent="0.3">
      <c r="B578" s="741"/>
      <c r="C578" s="742"/>
      <c r="D578" s="742"/>
      <c r="E578" s="742"/>
      <c r="F578" s="630"/>
      <c r="G578" s="630"/>
      <c r="H578" s="630"/>
      <c r="I578" s="630"/>
      <c r="J578" s="631"/>
      <c r="K578" s="630"/>
      <c r="L578" s="630"/>
      <c r="M578" s="632"/>
      <c r="N578" s="631"/>
      <c r="O578" s="630"/>
      <c r="P578" s="630"/>
      <c r="Q578" s="630"/>
      <c r="R578" s="630"/>
    </row>
    <row r="579" spans="2:18" ht="15.75" customHeight="1" x14ac:dyDescent="0.3">
      <c r="B579" s="741"/>
      <c r="C579" s="742"/>
      <c r="D579" s="742"/>
      <c r="E579" s="742"/>
      <c r="F579" s="630"/>
      <c r="G579" s="630"/>
      <c r="H579" s="630"/>
      <c r="I579" s="630"/>
      <c r="J579" s="631"/>
      <c r="K579" s="630"/>
      <c r="L579" s="630"/>
      <c r="M579" s="632"/>
      <c r="N579" s="631"/>
      <c r="O579" s="630"/>
      <c r="P579" s="630"/>
      <c r="Q579" s="630"/>
      <c r="R579" s="630"/>
    </row>
    <row r="580" spans="2:18" ht="15.75" customHeight="1" x14ac:dyDescent="0.3">
      <c r="B580" s="741"/>
      <c r="C580" s="742"/>
      <c r="D580" s="742"/>
      <c r="E580" s="742"/>
      <c r="F580" s="630"/>
      <c r="G580" s="630"/>
      <c r="H580" s="630"/>
      <c r="I580" s="630"/>
      <c r="J580" s="631"/>
      <c r="K580" s="630"/>
      <c r="L580" s="630"/>
      <c r="M580" s="632"/>
      <c r="N580" s="631"/>
      <c r="O580" s="630"/>
      <c r="P580" s="630"/>
      <c r="Q580" s="630"/>
      <c r="R580" s="630"/>
    </row>
    <row r="581" spans="2:18" ht="15.75" customHeight="1" x14ac:dyDescent="0.3">
      <c r="B581" s="741"/>
      <c r="C581" s="742"/>
      <c r="D581" s="742"/>
      <c r="E581" s="742"/>
      <c r="F581" s="630"/>
      <c r="G581" s="630"/>
      <c r="H581" s="630"/>
      <c r="I581" s="630"/>
      <c r="J581" s="631"/>
      <c r="K581" s="630"/>
      <c r="L581" s="630"/>
      <c r="M581" s="632"/>
      <c r="N581" s="631"/>
      <c r="O581" s="630"/>
      <c r="P581" s="630"/>
      <c r="Q581" s="630"/>
      <c r="R581" s="630"/>
    </row>
    <row r="582" spans="2:18" ht="15.75" customHeight="1" x14ac:dyDescent="0.3">
      <c r="B582" s="741"/>
      <c r="C582" s="742"/>
      <c r="D582" s="742"/>
      <c r="E582" s="742"/>
      <c r="F582" s="630"/>
      <c r="G582" s="630"/>
      <c r="H582" s="630"/>
      <c r="I582" s="630"/>
      <c r="J582" s="631"/>
      <c r="K582" s="630"/>
      <c r="L582" s="630"/>
      <c r="M582" s="632"/>
      <c r="N582" s="631"/>
      <c r="O582" s="630"/>
      <c r="P582" s="630"/>
      <c r="Q582" s="630"/>
      <c r="R582" s="630"/>
    </row>
    <row r="583" spans="2:18" ht="15.75" customHeight="1" x14ac:dyDescent="0.3">
      <c r="B583" s="741"/>
      <c r="C583" s="742"/>
      <c r="D583" s="742"/>
      <c r="E583" s="742"/>
      <c r="F583" s="630"/>
      <c r="G583" s="630"/>
      <c r="H583" s="630"/>
      <c r="I583" s="630"/>
      <c r="J583" s="631"/>
      <c r="K583" s="630"/>
      <c r="L583" s="630"/>
      <c r="M583" s="632"/>
      <c r="N583" s="631"/>
      <c r="O583" s="630"/>
      <c r="P583" s="630"/>
      <c r="Q583" s="630"/>
      <c r="R583" s="630"/>
    </row>
    <row r="584" spans="2:18" ht="15.75" customHeight="1" x14ac:dyDescent="0.3">
      <c r="B584" s="741"/>
      <c r="C584" s="742"/>
      <c r="D584" s="742"/>
      <c r="E584" s="742"/>
      <c r="F584" s="630"/>
      <c r="G584" s="630"/>
      <c r="H584" s="630"/>
      <c r="I584" s="630"/>
      <c r="J584" s="631"/>
      <c r="K584" s="630"/>
      <c r="L584" s="630"/>
      <c r="M584" s="632"/>
      <c r="N584" s="631"/>
      <c r="O584" s="630"/>
      <c r="P584" s="630"/>
      <c r="Q584" s="630"/>
      <c r="R584" s="630"/>
    </row>
    <row r="585" spans="2:18" ht="15.75" customHeight="1" x14ac:dyDescent="0.3">
      <c r="B585" s="741"/>
      <c r="C585" s="742"/>
      <c r="D585" s="742"/>
      <c r="E585" s="742"/>
      <c r="F585" s="630"/>
      <c r="G585" s="630"/>
      <c r="H585" s="630"/>
      <c r="I585" s="630"/>
      <c r="J585" s="631"/>
      <c r="K585" s="630"/>
      <c r="L585" s="630"/>
      <c r="M585" s="632"/>
      <c r="N585" s="631"/>
      <c r="O585" s="630"/>
      <c r="P585" s="630"/>
      <c r="Q585" s="630"/>
      <c r="R585" s="630"/>
    </row>
    <row r="586" spans="2:18" ht="15.75" customHeight="1" x14ac:dyDescent="0.3">
      <c r="B586" s="741"/>
      <c r="C586" s="742"/>
      <c r="D586" s="742"/>
      <c r="E586" s="742"/>
      <c r="F586" s="630"/>
      <c r="G586" s="630"/>
      <c r="H586" s="630"/>
      <c r="I586" s="630"/>
      <c r="J586" s="631"/>
      <c r="K586" s="630"/>
      <c r="L586" s="630"/>
      <c r="M586" s="632"/>
      <c r="N586" s="631"/>
      <c r="O586" s="630"/>
      <c r="P586" s="630"/>
      <c r="Q586" s="630"/>
      <c r="R586" s="630"/>
    </row>
    <row r="587" spans="2:18" ht="15.75" customHeight="1" x14ac:dyDescent="0.3">
      <c r="B587" s="741"/>
      <c r="C587" s="742"/>
      <c r="D587" s="742"/>
      <c r="E587" s="742"/>
      <c r="F587" s="630"/>
      <c r="G587" s="630"/>
      <c r="H587" s="630"/>
      <c r="I587" s="630"/>
      <c r="J587" s="631"/>
      <c r="K587" s="630"/>
      <c r="L587" s="630"/>
      <c r="M587" s="632"/>
      <c r="N587" s="631"/>
      <c r="O587" s="630"/>
      <c r="P587" s="630"/>
      <c r="Q587" s="630"/>
      <c r="R587" s="630"/>
    </row>
    <row r="588" spans="2:18" ht="15.75" customHeight="1" x14ac:dyDescent="0.3">
      <c r="B588" s="741"/>
      <c r="C588" s="742"/>
      <c r="D588" s="742"/>
      <c r="E588" s="742"/>
      <c r="F588" s="630"/>
      <c r="G588" s="630"/>
      <c r="H588" s="630"/>
      <c r="I588" s="630"/>
      <c r="J588" s="631"/>
      <c r="K588" s="630"/>
      <c r="L588" s="630"/>
      <c r="M588" s="632"/>
      <c r="N588" s="631"/>
      <c r="O588" s="630"/>
      <c r="P588" s="630"/>
      <c r="Q588" s="630"/>
      <c r="R588" s="630"/>
    </row>
    <row r="589" spans="2:18" ht="15.75" customHeight="1" x14ac:dyDescent="0.3">
      <c r="B589" s="741"/>
      <c r="C589" s="742"/>
      <c r="D589" s="742"/>
      <c r="E589" s="742"/>
      <c r="F589" s="630"/>
      <c r="G589" s="630"/>
      <c r="H589" s="630"/>
      <c r="I589" s="630"/>
      <c r="J589" s="631"/>
      <c r="K589" s="630"/>
      <c r="L589" s="630"/>
      <c r="M589" s="632"/>
      <c r="N589" s="631"/>
      <c r="O589" s="630"/>
      <c r="P589" s="630"/>
      <c r="Q589" s="630"/>
      <c r="R589" s="630"/>
    </row>
    <row r="590" spans="2:18" ht="15.75" customHeight="1" x14ac:dyDescent="0.3">
      <c r="B590" s="741"/>
      <c r="C590" s="742"/>
      <c r="D590" s="742"/>
      <c r="E590" s="742"/>
      <c r="F590" s="630"/>
      <c r="G590" s="630"/>
      <c r="H590" s="630"/>
      <c r="I590" s="630"/>
      <c r="J590" s="631"/>
      <c r="K590" s="630"/>
      <c r="L590" s="630"/>
      <c r="M590" s="632"/>
      <c r="N590" s="631"/>
      <c r="O590" s="630"/>
      <c r="P590" s="630"/>
      <c r="Q590" s="630"/>
      <c r="R590" s="630"/>
    </row>
    <row r="591" spans="2:18" ht="15.75" customHeight="1" x14ac:dyDescent="0.3">
      <c r="B591" s="741"/>
      <c r="C591" s="742"/>
      <c r="D591" s="742"/>
      <c r="E591" s="742"/>
      <c r="F591" s="630"/>
      <c r="G591" s="630"/>
      <c r="H591" s="630"/>
      <c r="I591" s="630"/>
      <c r="J591" s="631"/>
      <c r="K591" s="630"/>
      <c r="L591" s="630"/>
      <c r="M591" s="632"/>
      <c r="N591" s="631"/>
      <c r="O591" s="630"/>
      <c r="P591" s="630"/>
      <c r="Q591" s="630"/>
      <c r="R591" s="630"/>
    </row>
    <row r="592" spans="2:18" ht="15.75" customHeight="1" x14ac:dyDescent="0.3">
      <c r="B592" s="741"/>
      <c r="C592" s="742"/>
      <c r="D592" s="742"/>
      <c r="E592" s="742"/>
      <c r="F592" s="630"/>
      <c r="G592" s="630"/>
      <c r="H592" s="630"/>
      <c r="I592" s="630"/>
      <c r="J592" s="631"/>
      <c r="K592" s="630"/>
      <c r="L592" s="630"/>
      <c r="M592" s="632"/>
      <c r="N592" s="631"/>
      <c r="O592" s="630"/>
      <c r="P592" s="630"/>
      <c r="Q592" s="630"/>
      <c r="R592" s="630"/>
    </row>
    <row r="593" spans="2:18" ht="15.75" customHeight="1" x14ac:dyDescent="0.3">
      <c r="B593" s="741"/>
      <c r="C593" s="742"/>
      <c r="D593" s="742"/>
      <c r="E593" s="742"/>
      <c r="F593" s="630"/>
      <c r="G593" s="630"/>
      <c r="H593" s="630"/>
      <c r="I593" s="630"/>
      <c r="J593" s="631"/>
      <c r="K593" s="630"/>
      <c r="L593" s="630"/>
      <c r="M593" s="632"/>
      <c r="N593" s="631"/>
      <c r="O593" s="630"/>
      <c r="P593" s="630"/>
      <c r="Q593" s="630"/>
      <c r="R593" s="630"/>
    </row>
    <row r="594" spans="2:18" ht="15.75" customHeight="1" x14ac:dyDescent="0.3">
      <c r="B594" s="741"/>
      <c r="C594" s="742"/>
      <c r="D594" s="742"/>
      <c r="E594" s="742"/>
      <c r="F594" s="630"/>
      <c r="G594" s="630"/>
      <c r="H594" s="630"/>
      <c r="I594" s="630"/>
      <c r="J594" s="631"/>
      <c r="K594" s="630"/>
      <c r="L594" s="630"/>
      <c r="M594" s="632"/>
      <c r="N594" s="631"/>
      <c r="O594" s="630"/>
      <c r="P594" s="630"/>
      <c r="Q594" s="630"/>
      <c r="R594" s="630"/>
    </row>
    <row r="595" spans="2:18" ht="15.75" customHeight="1" x14ac:dyDescent="0.3">
      <c r="B595" s="741"/>
      <c r="C595" s="742"/>
      <c r="D595" s="742"/>
      <c r="E595" s="742"/>
      <c r="F595" s="630"/>
      <c r="G595" s="630"/>
      <c r="H595" s="630"/>
      <c r="I595" s="630"/>
      <c r="J595" s="631"/>
      <c r="K595" s="630"/>
      <c r="L595" s="630"/>
      <c r="M595" s="632"/>
      <c r="N595" s="631"/>
      <c r="O595" s="630"/>
      <c r="P595" s="630"/>
      <c r="Q595" s="630"/>
      <c r="R595" s="630"/>
    </row>
    <row r="596" spans="2:18" ht="15.75" customHeight="1" x14ac:dyDescent="0.3">
      <c r="B596" s="741"/>
      <c r="C596" s="742"/>
      <c r="D596" s="742"/>
      <c r="E596" s="742"/>
      <c r="F596" s="630"/>
      <c r="G596" s="630"/>
      <c r="H596" s="630"/>
      <c r="I596" s="630"/>
      <c r="J596" s="631"/>
      <c r="K596" s="630"/>
      <c r="L596" s="630"/>
      <c r="M596" s="632"/>
      <c r="N596" s="631"/>
      <c r="O596" s="630"/>
      <c r="P596" s="630"/>
      <c r="Q596" s="630"/>
      <c r="R596" s="630"/>
    </row>
    <row r="597" spans="2:18" ht="15.75" customHeight="1" x14ac:dyDescent="0.3">
      <c r="B597" s="741"/>
      <c r="C597" s="742"/>
      <c r="D597" s="742"/>
      <c r="E597" s="742"/>
      <c r="F597" s="630"/>
      <c r="G597" s="630"/>
      <c r="H597" s="630"/>
      <c r="I597" s="630"/>
      <c r="J597" s="631"/>
      <c r="K597" s="630"/>
      <c r="L597" s="630"/>
      <c r="M597" s="632"/>
      <c r="N597" s="631"/>
      <c r="O597" s="630"/>
      <c r="P597" s="630"/>
      <c r="Q597" s="630"/>
      <c r="R597" s="630"/>
    </row>
    <row r="598" spans="2:18" ht="15.75" customHeight="1" x14ac:dyDescent="0.3">
      <c r="B598" s="741"/>
      <c r="C598" s="742"/>
      <c r="D598" s="742"/>
      <c r="E598" s="742"/>
      <c r="F598" s="630"/>
      <c r="G598" s="630"/>
      <c r="H598" s="630"/>
      <c r="I598" s="630"/>
      <c r="J598" s="631"/>
      <c r="K598" s="630"/>
      <c r="L598" s="630"/>
      <c r="M598" s="632"/>
      <c r="N598" s="631"/>
      <c r="O598" s="630"/>
      <c r="P598" s="630"/>
      <c r="Q598" s="630"/>
      <c r="R598" s="630"/>
    </row>
    <row r="599" spans="2:18" ht="15.75" customHeight="1" x14ac:dyDescent="0.3">
      <c r="B599" s="741"/>
      <c r="C599" s="742"/>
      <c r="D599" s="742"/>
      <c r="E599" s="742"/>
      <c r="F599" s="630"/>
      <c r="G599" s="630"/>
      <c r="H599" s="630"/>
      <c r="I599" s="630"/>
      <c r="J599" s="631"/>
      <c r="K599" s="630"/>
      <c r="L599" s="630"/>
      <c r="M599" s="632"/>
      <c r="N599" s="631"/>
      <c r="O599" s="630"/>
      <c r="P599" s="630"/>
      <c r="Q599" s="630"/>
      <c r="R599" s="630"/>
    </row>
    <row r="600" spans="2:18" ht="15.75" customHeight="1" x14ac:dyDescent="0.3">
      <c r="B600" s="741"/>
      <c r="C600" s="742"/>
      <c r="D600" s="742"/>
      <c r="E600" s="742"/>
      <c r="F600" s="630"/>
      <c r="G600" s="630"/>
      <c r="H600" s="630"/>
      <c r="I600" s="630"/>
      <c r="J600" s="631"/>
      <c r="K600" s="630"/>
      <c r="L600" s="630"/>
      <c r="M600" s="632"/>
      <c r="N600" s="631"/>
      <c r="O600" s="630"/>
      <c r="P600" s="630"/>
      <c r="Q600" s="630"/>
      <c r="R600" s="630"/>
    </row>
    <row r="601" spans="2:18" ht="15.75" customHeight="1" x14ac:dyDescent="0.3">
      <c r="B601" s="741"/>
      <c r="C601" s="742"/>
      <c r="D601" s="742"/>
      <c r="E601" s="742"/>
      <c r="F601" s="630"/>
      <c r="G601" s="630"/>
      <c r="H601" s="630"/>
      <c r="I601" s="630"/>
      <c r="J601" s="631"/>
      <c r="K601" s="630"/>
      <c r="L601" s="630"/>
      <c r="M601" s="632"/>
      <c r="N601" s="631"/>
      <c r="O601" s="630"/>
      <c r="P601" s="630"/>
      <c r="Q601" s="630"/>
      <c r="R601" s="630"/>
    </row>
    <row r="602" spans="2:18" ht="15.75" customHeight="1" x14ac:dyDescent="0.3">
      <c r="B602" s="741"/>
      <c r="C602" s="742"/>
      <c r="D602" s="742"/>
      <c r="E602" s="742"/>
      <c r="F602" s="630"/>
      <c r="G602" s="630"/>
      <c r="H602" s="630"/>
      <c r="I602" s="630"/>
      <c r="J602" s="631"/>
      <c r="K602" s="630"/>
      <c r="L602" s="630"/>
      <c r="M602" s="632"/>
      <c r="N602" s="631"/>
      <c r="O602" s="630"/>
      <c r="P602" s="630"/>
      <c r="Q602" s="630"/>
      <c r="R602" s="630"/>
    </row>
    <row r="603" spans="2:18" ht="15.75" customHeight="1" x14ac:dyDescent="0.3">
      <c r="B603" s="741"/>
      <c r="C603" s="742"/>
      <c r="D603" s="742"/>
      <c r="E603" s="742"/>
      <c r="F603" s="630"/>
      <c r="G603" s="630"/>
      <c r="H603" s="630"/>
      <c r="I603" s="630"/>
      <c r="J603" s="631"/>
      <c r="K603" s="630"/>
      <c r="L603" s="630"/>
      <c r="M603" s="632"/>
      <c r="N603" s="631"/>
      <c r="O603" s="630"/>
      <c r="P603" s="630"/>
      <c r="Q603" s="630"/>
      <c r="R603" s="630"/>
    </row>
    <row r="604" spans="2:18" ht="15.75" customHeight="1" x14ac:dyDescent="0.3">
      <c r="B604" s="741"/>
      <c r="C604" s="742"/>
      <c r="D604" s="742"/>
      <c r="E604" s="742"/>
      <c r="F604" s="630"/>
      <c r="G604" s="630"/>
      <c r="H604" s="630"/>
      <c r="I604" s="630"/>
      <c r="J604" s="631"/>
      <c r="K604" s="630"/>
      <c r="L604" s="630"/>
      <c r="M604" s="632"/>
      <c r="N604" s="631"/>
      <c r="O604" s="630"/>
      <c r="P604" s="630"/>
      <c r="Q604" s="630"/>
      <c r="R604" s="630"/>
    </row>
    <row r="605" spans="2:18" ht="15.75" customHeight="1" x14ac:dyDescent="0.3">
      <c r="B605" s="741"/>
      <c r="C605" s="742"/>
      <c r="D605" s="742"/>
      <c r="E605" s="742"/>
      <c r="F605" s="630"/>
      <c r="G605" s="630"/>
      <c r="H605" s="630"/>
      <c r="I605" s="630"/>
      <c r="J605" s="631"/>
      <c r="K605" s="630"/>
      <c r="L605" s="630"/>
      <c r="M605" s="632"/>
      <c r="N605" s="631"/>
      <c r="O605" s="630"/>
      <c r="P605" s="630"/>
      <c r="Q605" s="630"/>
      <c r="R605" s="630"/>
    </row>
    <row r="606" spans="2:18" ht="15.75" customHeight="1" x14ac:dyDescent="0.3">
      <c r="B606" s="741"/>
      <c r="C606" s="742"/>
      <c r="D606" s="742"/>
      <c r="E606" s="742"/>
      <c r="F606" s="630"/>
      <c r="G606" s="630"/>
      <c r="H606" s="630"/>
      <c r="I606" s="630"/>
      <c r="J606" s="631"/>
      <c r="K606" s="630"/>
      <c r="L606" s="630"/>
      <c r="M606" s="632"/>
      <c r="N606" s="631"/>
      <c r="O606" s="630"/>
      <c r="P606" s="630"/>
      <c r="Q606" s="630"/>
      <c r="R606" s="630"/>
    </row>
    <row r="607" spans="2:18" ht="15.75" customHeight="1" x14ac:dyDescent="0.3">
      <c r="B607" s="741"/>
      <c r="C607" s="742"/>
      <c r="D607" s="742"/>
      <c r="E607" s="742"/>
      <c r="F607" s="630"/>
      <c r="G607" s="630"/>
      <c r="H607" s="630"/>
      <c r="I607" s="630"/>
      <c r="J607" s="631"/>
      <c r="K607" s="630"/>
      <c r="L607" s="630"/>
      <c r="M607" s="632"/>
      <c r="N607" s="631"/>
      <c r="O607" s="630"/>
      <c r="P607" s="630"/>
      <c r="Q607" s="630"/>
      <c r="R607" s="630"/>
    </row>
    <row r="608" spans="2:18" ht="15.75" customHeight="1" x14ac:dyDescent="0.3">
      <c r="B608" s="741"/>
      <c r="C608" s="742"/>
      <c r="D608" s="742"/>
      <c r="E608" s="742"/>
      <c r="F608" s="630"/>
      <c r="G608" s="630"/>
      <c r="H608" s="630"/>
      <c r="I608" s="630"/>
      <c r="J608" s="631"/>
      <c r="K608" s="630"/>
      <c r="L608" s="630"/>
      <c r="M608" s="632"/>
      <c r="N608" s="631"/>
      <c r="O608" s="630"/>
      <c r="P608" s="630"/>
      <c r="Q608" s="630"/>
      <c r="R608" s="630"/>
    </row>
    <row r="609" spans="2:18" ht="15.75" customHeight="1" x14ac:dyDescent="0.3">
      <c r="B609" s="741"/>
      <c r="C609" s="742"/>
      <c r="D609" s="742"/>
      <c r="E609" s="742"/>
      <c r="F609" s="630"/>
      <c r="G609" s="630"/>
      <c r="H609" s="630"/>
      <c r="I609" s="630"/>
      <c r="J609" s="631"/>
      <c r="K609" s="630"/>
      <c r="L609" s="630"/>
      <c r="M609" s="632"/>
      <c r="N609" s="631"/>
      <c r="O609" s="630"/>
      <c r="P609" s="630"/>
      <c r="Q609" s="630"/>
      <c r="R609" s="630"/>
    </row>
    <row r="610" spans="2:18" ht="15.75" customHeight="1" x14ac:dyDescent="0.3">
      <c r="B610" s="741"/>
      <c r="C610" s="742"/>
      <c r="D610" s="742"/>
      <c r="E610" s="742"/>
      <c r="F610" s="630"/>
      <c r="G610" s="630"/>
      <c r="H610" s="630"/>
      <c r="I610" s="630"/>
      <c r="J610" s="631"/>
      <c r="K610" s="630"/>
      <c r="L610" s="630"/>
      <c r="M610" s="632"/>
      <c r="N610" s="631"/>
      <c r="O610" s="630"/>
      <c r="P610" s="630"/>
      <c r="Q610" s="630"/>
      <c r="R610" s="630"/>
    </row>
    <row r="611" spans="2:18" ht="15.75" customHeight="1" x14ac:dyDescent="0.3">
      <c r="B611" s="741"/>
      <c r="C611" s="742"/>
      <c r="D611" s="742"/>
      <c r="E611" s="742"/>
      <c r="F611" s="630"/>
      <c r="G611" s="630"/>
      <c r="H611" s="630"/>
      <c r="I611" s="630"/>
      <c r="J611" s="631"/>
      <c r="K611" s="630"/>
      <c r="L611" s="630"/>
      <c r="M611" s="632"/>
      <c r="N611" s="631"/>
      <c r="O611" s="630"/>
      <c r="P611" s="630"/>
      <c r="Q611" s="630"/>
      <c r="R611" s="630"/>
    </row>
    <row r="612" spans="2:18" ht="15.75" customHeight="1" x14ac:dyDescent="0.3">
      <c r="B612" s="741"/>
      <c r="C612" s="742"/>
      <c r="D612" s="742"/>
      <c r="E612" s="742"/>
      <c r="F612" s="630"/>
      <c r="G612" s="630"/>
      <c r="H612" s="630"/>
      <c r="I612" s="630"/>
      <c r="J612" s="631"/>
      <c r="K612" s="630"/>
      <c r="L612" s="630"/>
      <c r="M612" s="632"/>
      <c r="N612" s="631"/>
      <c r="O612" s="630"/>
      <c r="P612" s="630"/>
      <c r="Q612" s="630"/>
      <c r="R612" s="630"/>
    </row>
    <row r="613" spans="2:18" ht="15.75" customHeight="1" x14ac:dyDescent="0.3">
      <c r="B613" s="741"/>
      <c r="C613" s="742"/>
      <c r="D613" s="742"/>
      <c r="E613" s="742"/>
      <c r="F613" s="630"/>
      <c r="G613" s="630"/>
      <c r="H613" s="630"/>
      <c r="I613" s="630"/>
      <c r="J613" s="631"/>
      <c r="K613" s="630"/>
      <c r="L613" s="630"/>
      <c r="M613" s="632"/>
      <c r="N613" s="631"/>
      <c r="O613" s="630"/>
      <c r="P613" s="630"/>
      <c r="Q613" s="630"/>
      <c r="R613" s="630"/>
    </row>
    <row r="614" spans="2:18" ht="15.75" customHeight="1" x14ac:dyDescent="0.3">
      <c r="B614" s="741"/>
      <c r="C614" s="742"/>
      <c r="D614" s="742"/>
      <c r="E614" s="742"/>
      <c r="F614" s="630"/>
      <c r="G614" s="630"/>
      <c r="H614" s="630"/>
      <c r="I614" s="630"/>
      <c r="J614" s="631"/>
      <c r="K614" s="630"/>
      <c r="L614" s="630"/>
      <c r="M614" s="632"/>
      <c r="N614" s="631"/>
      <c r="O614" s="630"/>
      <c r="P614" s="630"/>
      <c r="Q614" s="630"/>
      <c r="R614" s="630"/>
    </row>
    <row r="615" spans="2:18" ht="15.75" customHeight="1" x14ac:dyDescent="0.3">
      <c r="B615" s="741"/>
      <c r="C615" s="742"/>
      <c r="D615" s="742"/>
      <c r="E615" s="742"/>
      <c r="F615" s="630"/>
      <c r="G615" s="630"/>
      <c r="H615" s="630"/>
      <c r="I615" s="630"/>
      <c r="J615" s="631"/>
      <c r="K615" s="630"/>
      <c r="L615" s="630"/>
      <c r="M615" s="632"/>
      <c r="N615" s="631"/>
      <c r="O615" s="630"/>
      <c r="P615" s="630"/>
      <c r="Q615" s="630"/>
      <c r="R615" s="630"/>
    </row>
    <row r="616" spans="2:18" ht="15.75" customHeight="1" x14ac:dyDescent="0.3">
      <c r="B616" s="741"/>
      <c r="C616" s="742"/>
      <c r="D616" s="742"/>
      <c r="E616" s="742"/>
      <c r="F616" s="630"/>
      <c r="G616" s="630"/>
      <c r="H616" s="630"/>
      <c r="I616" s="630"/>
      <c r="J616" s="631"/>
      <c r="K616" s="630"/>
      <c r="L616" s="630"/>
      <c r="M616" s="632"/>
      <c r="N616" s="631"/>
      <c r="O616" s="630"/>
      <c r="P616" s="630"/>
      <c r="Q616" s="630"/>
      <c r="R616" s="630"/>
    </row>
    <row r="617" spans="2:18" ht="15.75" customHeight="1" x14ac:dyDescent="0.3">
      <c r="B617" s="741"/>
      <c r="C617" s="742"/>
      <c r="D617" s="742"/>
      <c r="E617" s="742"/>
      <c r="F617" s="630"/>
      <c r="G617" s="630"/>
      <c r="H617" s="630"/>
      <c r="I617" s="630"/>
      <c r="J617" s="631"/>
      <c r="K617" s="630"/>
      <c r="L617" s="630"/>
      <c r="M617" s="632"/>
      <c r="N617" s="631"/>
      <c r="O617" s="630"/>
      <c r="P617" s="630"/>
      <c r="Q617" s="630"/>
      <c r="R617" s="630"/>
    </row>
    <row r="618" spans="2:18" ht="15.75" customHeight="1" x14ac:dyDescent="0.3">
      <c r="B618" s="741"/>
      <c r="C618" s="742"/>
      <c r="D618" s="742"/>
      <c r="E618" s="742"/>
      <c r="F618" s="630"/>
      <c r="G618" s="630"/>
      <c r="H618" s="630"/>
      <c r="I618" s="630"/>
      <c r="J618" s="631"/>
      <c r="K618" s="630"/>
      <c r="L618" s="630"/>
      <c r="M618" s="632"/>
      <c r="N618" s="631"/>
      <c r="O618" s="630"/>
      <c r="P618" s="630"/>
      <c r="Q618" s="630"/>
      <c r="R618" s="630"/>
    </row>
    <row r="619" spans="2:18" ht="15.75" customHeight="1" x14ac:dyDescent="0.3">
      <c r="B619" s="741"/>
      <c r="C619" s="742"/>
      <c r="D619" s="742"/>
      <c r="E619" s="742"/>
      <c r="F619" s="630"/>
      <c r="G619" s="630"/>
      <c r="H619" s="630"/>
      <c r="I619" s="630"/>
      <c r="J619" s="631"/>
      <c r="K619" s="630"/>
      <c r="L619" s="630"/>
      <c r="M619" s="632"/>
      <c r="N619" s="631"/>
      <c r="O619" s="630"/>
      <c r="P619" s="630"/>
      <c r="Q619" s="630"/>
      <c r="R619" s="630"/>
    </row>
    <row r="620" spans="2:18" ht="15.75" customHeight="1" x14ac:dyDescent="0.3">
      <c r="B620" s="741"/>
      <c r="C620" s="742"/>
      <c r="D620" s="742"/>
      <c r="E620" s="742"/>
      <c r="F620" s="630"/>
      <c r="G620" s="630"/>
      <c r="H620" s="630"/>
      <c r="I620" s="630"/>
      <c r="J620" s="631"/>
      <c r="K620" s="630"/>
      <c r="L620" s="630"/>
      <c r="M620" s="632"/>
      <c r="N620" s="631"/>
      <c r="O620" s="630"/>
      <c r="P620" s="630"/>
      <c r="Q620" s="630"/>
      <c r="R620" s="630"/>
    </row>
    <row r="621" spans="2:18" ht="15.75" customHeight="1" x14ac:dyDescent="0.3">
      <c r="B621" s="741"/>
      <c r="C621" s="742"/>
      <c r="D621" s="742"/>
      <c r="E621" s="742"/>
      <c r="F621" s="630"/>
      <c r="G621" s="630"/>
      <c r="H621" s="630"/>
      <c r="I621" s="630"/>
      <c r="J621" s="631"/>
      <c r="K621" s="630"/>
      <c r="L621" s="630"/>
      <c r="M621" s="632"/>
      <c r="N621" s="631"/>
      <c r="O621" s="630"/>
      <c r="P621" s="630"/>
      <c r="Q621" s="630"/>
      <c r="R621" s="630"/>
    </row>
    <row r="622" spans="2:18" ht="15.75" customHeight="1" x14ac:dyDescent="0.3">
      <c r="B622" s="741"/>
      <c r="C622" s="742"/>
      <c r="D622" s="742"/>
      <c r="E622" s="742"/>
      <c r="F622" s="630"/>
      <c r="G622" s="630"/>
      <c r="H622" s="630"/>
      <c r="I622" s="630"/>
      <c r="J622" s="631"/>
      <c r="K622" s="630"/>
      <c r="L622" s="630"/>
      <c r="M622" s="632"/>
      <c r="N622" s="631"/>
      <c r="O622" s="630"/>
      <c r="P622" s="630"/>
      <c r="Q622" s="630"/>
      <c r="R622" s="630"/>
    </row>
    <row r="623" spans="2:18" ht="15.75" customHeight="1" x14ac:dyDescent="0.3">
      <c r="B623" s="741"/>
      <c r="C623" s="742"/>
      <c r="D623" s="742"/>
      <c r="E623" s="742"/>
      <c r="F623" s="630"/>
      <c r="G623" s="630"/>
      <c r="H623" s="630"/>
      <c r="I623" s="630"/>
      <c r="J623" s="631"/>
      <c r="K623" s="630"/>
      <c r="L623" s="630"/>
      <c r="M623" s="632"/>
      <c r="N623" s="631"/>
      <c r="O623" s="630"/>
      <c r="P623" s="630"/>
      <c r="Q623" s="630"/>
      <c r="R623" s="630"/>
    </row>
    <row r="624" spans="2:18" ht="15.75" customHeight="1" x14ac:dyDescent="0.3">
      <c r="B624" s="741"/>
      <c r="C624" s="742"/>
      <c r="D624" s="742"/>
      <c r="E624" s="742"/>
      <c r="F624" s="630"/>
      <c r="G624" s="630"/>
      <c r="H624" s="630"/>
      <c r="I624" s="630"/>
      <c r="J624" s="631"/>
      <c r="K624" s="630"/>
      <c r="L624" s="630"/>
      <c r="M624" s="632"/>
      <c r="N624" s="631"/>
      <c r="O624" s="630"/>
      <c r="P624" s="630"/>
      <c r="Q624" s="630"/>
      <c r="R624" s="630"/>
    </row>
    <row r="625" spans="2:18" ht="15.75" customHeight="1" x14ac:dyDescent="0.3">
      <c r="B625" s="741"/>
      <c r="C625" s="742"/>
      <c r="D625" s="742"/>
      <c r="E625" s="742"/>
      <c r="F625" s="630"/>
      <c r="G625" s="630"/>
      <c r="H625" s="630"/>
      <c r="I625" s="630"/>
      <c r="J625" s="631"/>
      <c r="K625" s="630"/>
      <c r="L625" s="630"/>
      <c r="M625" s="632"/>
      <c r="N625" s="631"/>
      <c r="O625" s="630"/>
      <c r="P625" s="630"/>
      <c r="Q625" s="630"/>
      <c r="R625" s="630"/>
    </row>
    <row r="626" spans="2:18" ht="15.75" customHeight="1" x14ac:dyDescent="0.3">
      <c r="B626" s="741"/>
      <c r="C626" s="742"/>
      <c r="D626" s="742"/>
      <c r="E626" s="742"/>
      <c r="F626" s="630"/>
      <c r="G626" s="630"/>
      <c r="H626" s="630"/>
      <c r="I626" s="630"/>
      <c r="J626" s="631"/>
      <c r="K626" s="630"/>
      <c r="L626" s="630"/>
      <c r="M626" s="632"/>
      <c r="N626" s="631"/>
      <c r="O626" s="630"/>
      <c r="P626" s="630"/>
      <c r="Q626" s="630"/>
      <c r="R626" s="630"/>
    </row>
    <row r="627" spans="2:18" ht="15.75" customHeight="1" x14ac:dyDescent="0.3">
      <c r="B627" s="741"/>
      <c r="C627" s="742"/>
      <c r="D627" s="742"/>
      <c r="E627" s="742"/>
      <c r="F627" s="630"/>
      <c r="G627" s="630"/>
      <c r="H627" s="630"/>
      <c r="I627" s="630"/>
      <c r="J627" s="631"/>
      <c r="K627" s="630"/>
      <c r="L627" s="630"/>
      <c r="M627" s="632"/>
      <c r="N627" s="631"/>
      <c r="O627" s="630"/>
      <c r="P627" s="630"/>
      <c r="Q627" s="630"/>
      <c r="R627" s="630"/>
    </row>
    <row r="628" spans="2:18" ht="15.75" customHeight="1" x14ac:dyDescent="0.3">
      <c r="B628" s="741"/>
      <c r="C628" s="742"/>
      <c r="D628" s="742"/>
      <c r="E628" s="742"/>
      <c r="F628" s="630"/>
      <c r="G628" s="630"/>
      <c r="H628" s="630"/>
      <c r="I628" s="630"/>
      <c r="J628" s="631"/>
      <c r="K628" s="630"/>
      <c r="L628" s="630"/>
      <c r="M628" s="632"/>
      <c r="N628" s="631"/>
      <c r="O628" s="630"/>
      <c r="P628" s="630"/>
      <c r="Q628" s="630"/>
      <c r="R628" s="630"/>
    </row>
    <row r="629" spans="2:18" ht="15.75" customHeight="1" x14ac:dyDescent="0.3">
      <c r="B629" s="741"/>
      <c r="C629" s="742"/>
      <c r="D629" s="742"/>
      <c r="E629" s="742"/>
      <c r="F629" s="630"/>
      <c r="G629" s="630"/>
      <c r="H629" s="630"/>
      <c r="I629" s="630"/>
      <c r="J629" s="631"/>
      <c r="K629" s="630"/>
      <c r="L629" s="630"/>
      <c r="M629" s="632"/>
      <c r="N629" s="631"/>
      <c r="O629" s="630"/>
      <c r="P629" s="630"/>
      <c r="Q629" s="630"/>
      <c r="R629" s="630"/>
    </row>
    <row r="630" spans="2:18" ht="15.75" customHeight="1" x14ac:dyDescent="0.3">
      <c r="B630" s="741"/>
      <c r="C630" s="742"/>
      <c r="D630" s="742"/>
      <c r="E630" s="742"/>
      <c r="F630" s="630"/>
      <c r="G630" s="630"/>
      <c r="H630" s="630"/>
      <c r="I630" s="630"/>
      <c r="J630" s="631"/>
      <c r="K630" s="630"/>
      <c r="L630" s="630"/>
      <c r="M630" s="632"/>
      <c r="N630" s="631"/>
      <c r="O630" s="630"/>
      <c r="P630" s="630"/>
      <c r="Q630" s="630"/>
      <c r="R630" s="630"/>
    </row>
    <row r="631" spans="2:18" ht="15.75" customHeight="1" x14ac:dyDescent="0.3">
      <c r="B631" s="741"/>
      <c r="C631" s="742"/>
      <c r="D631" s="742"/>
      <c r="E631" s="742"/>
      <c r="F631" s="630"/>
      <c r="G631" s="630"/>
      <c r="H631" s="630"/>
      <c r="I631" s="630"/>
      <c r="J631" s="631"/>
      <c r="K631" s="630"/>
      <c r="L631" s="630"/>
      <c r="M631" s="632"/>
      <c r="N631" s="631"/>
      <c r="O631" s="630"/>
      <c r="P631" s="630"/>
      <c r="Q631" s="630"/>
      <c r="R631" s="630"/>
    </row>
    <row r="632" spans="2:18" ht="15.75" customHeight="1" x14ac:dyDescent="0.3">
      <c r="B632" s="741"/>
      <c r="C632" s="742"/>
      <c r="D632" s="742"/>
      <c r="E632" s="742"/>
      <c r="F632" s="630"/>
      <c r="G632" s="630"/>
      <c r="H632" s="630"/>
      <c r="I632" s="630"/>
      <c r="J632" s="631"/>
      <c r="K632" s="630"/>
      <c r="L632" s="630"/>
      <c r="M632" s="632"/>
      <c r="N632" s="631"/>
      <c r="O632" s="630"/>
      <c r="P632" s="630"/>
      <c r="Q632" s="630"/>
      <c r="R632" s="630"/>
    </row>
    <row r="633" spans="2:18" ht="15.75" customHeight="1" x14ac:dyDescent="0.3">
      <c r="B633" s="741"/>
      <c r="C633" s="742"/>
      <c r="D633" s="742"/>
      <c r="E633" s="742"/>
      <c r="F633" s="630"/>
      <c r="G633" s="630"/>
      <c r="H633" s="630"/>
      <c r="I633" s="630"/>
      <c r="J633" s="631"/>
      <c r="K633" s="630"/>
      <c r="L633" s="630"/>
      <c r="M633" s="632"/>
      <c r="N633" s="631"/>
      <c r="O633" s="630"/>
      <c r="P633" s="630"/>
      <c r="Q633" s="630"/>
      <c r="R633" s="630"/>
    </row>
    <row r="634" spans="2:18" ht="15.75" customHeight="1" x14ac:dyDescent="0.3">
      <c r="B634" s="741"/>
      <c r="C634" s="742"/>
      <c r="D634" s="742"/>
      <c r="E634" s="742"/>
      <c r="F634" s="630"/>
      <c r="G634" s="630"/>
      <c r="H634" s="630"/>
      <c r="I634" s="630"/>
      <c r="J634" s="631"/>
      <c r="K634" s="630"/>
      <c r="L634" s="630"/>
      <c r="M634" s="632"/>
      <c r="N634" s="631"/>
      <c r="O634" s="630"/>
      <c r="P634" s="630"/>
      <c r="Q634" s="630"/>
      <c r="R634" s="630"/>
    </row>
    <row r="635" spans="2:18" ht="15.75" customHeight="1" x14ac:dyDescent="0.3">
      <c r="B635" s="741"/>
      <c r="C635" s="742"/>
      <c r="D635" s="742"/>
      <c r="E635" s="742"/>
      <c r="F635" s="630"/>
      <c r="G635" s="630"/>
      <c r="H635" s="630"/>
      <c r="I635" s="630"/>
      <c r="J635" s="631"/>
      <c r="K635" s="630"/>
      <c r="L635" s="630"/>
      <c r="M635" s="632"/>
      <c r="N635" s="631"/>
      <c r="O635" s="630"/>
      <c r="P635" s="630"/>
      <c r="Q635" s="630"/>
      <c r="R635" s="630"/>
    </row>
    <row r="636" spans="2:18" ht="15.75" customHeight="1" x14ac:dyDescent="0.3">
      <c r="B636" s="741"/>
      <c r="C636" s="742"/>
      <c r="D636" s="742"/>
      <c r="E636" s="742"/>
      <c r="F636" s="630"/>
      <c r="G636" s="630"/>
      <c r="H636" s="630"/>
      <c r="I636" s="630"/>
      <c r="J636" s="631"/>
      <c r="K636" s="630"/>
      <c r="L636" s="630"/>
      <c r="M636" s="632"/>
      <c r="N636" s="631"/>
      <c r="O636" s="630"/>
      <c r="P636" s="630"/>
      <c r="Q636" s="630"/>
      <c r="R636" s="630"/>
    </row>
    <row r="637" spans="2:18" ht="15.75" customHeight="1" x14ac:dyDescent="0.3">
      <c r="B637" s="741"/>
      <c r="C637" s="742"/>
      <c r="D637" s="742"/>
      <c r="E637" s="742"/>
      <c r="F637" s="630"/>
      <c r="G637" s="630"/>
      <c r="H637" s="630"/>
      <c r="I637" s="630"/>
      <c r="J637" s="631"/>
      <c r="K637" s="630"/>
      <c r="L637" s="630"/>
      <c r="M637" s="632"/>
      <c r="N637" s="631"/>
      <c r="O637" s="630"/>
      <c r="P637" s="630"/>
      <c r="Q637" s="630"/>
      <c r="R637" s="630"/>
    </row>
    <row r="638" spans="2:18" ht="15.75" customHeight="1" x14ac:dyDescent="0.3">
      <c r="B638" s="741"/>
      <c r="C638" s="742"/>
      <c r="D638" s="742"/>
      <c r="E638" s="742"/>
      <c r="F638" s="630"/>
      <c r="G638" s="630"/>
      <c r="H638" s="630"/>
      <c r="I638" s="630"/>
      <c r="J638" s="631"/>
      <c r="K638" s="630"/>
      <c r="L638" s="630"/>
      <c r="M638" s="632"/>
      <c r="N638" s="631"/>
      <c r="O638" s="630"/>
      <c r="P638" s="630"/>
      <c r="Q638" s="630"/>
      <c r="R638" s="630"/>
    </row>
    <row r="639" spans="2:18" ht="15.75" customHeight="1" x14ac:dyDescent="0.3">
      <c r="B639" s="741"/>
      <c r="C639" s="742"/>
      <c r="D639" s="742"/>
      <c r="E639" s="742"/>
      <c r="F639" s="630"/>
      <c r="G639" s="630"/>
      <c r="H639" s="630"/>
      <c r="I639" s="630"/>
      <c r="J639" s="631"/>
      <c r="K639" s="630"/>
      <c r="L639" s="630"/>
      <c r="M639" s="632"/>
      <c r="N639" s="631"/>
      <c r="O639" s="630"/>
      <c r="P639" s="630"/>
      <c r="Q639" s="630"/>
      <c r="R639" s="630"/>
    </row>
    <row r="640" spans="2:18" ht="15.75" customHeight="1" x14ac:dyDescent="0.3">
      <c r="B640" s="741"/>
      <c r="C640" s="742"/>
      <c r="D640" s="742"/>
      <c r="E640" s="742"/>
      <c r="F640" s="630"/>
      <c r="G640" s="630"/>
      <c r="H640" s="630"/>
      <c r="I640" s="630"/>
      <c r="J640" s="631"/>
      <c r="K640" s="630"/>
      <c r="L640" s="630"/>
      <c r="M640" s="632"/>
      <c r="N640" s="631"/>
      <c r="O640" s="630"/>
      <c r="P640" s="630"/>
      <c r="Q640" s="630"/>
      <c r="R640" s="630"/>
    </row>
    <row r="641" spans="2:18" ht="15.75" customHeight="1" x14ac:dyDescent="0.3">
      <c r="B641" s="741"/>
      <c r="C641" s="742"/>
      <c r="D641" s="742"/>
      <c r="E641" s="742"/>
      <c r="F641" s="630"/>
      <c r="G641" s="630"/>
      <c r="H641" s="630"/>
      <c r="I641" s="630"/>
      <c r="J641" s="631"/>
      <c r="K641" s="630"/>
      <c r="L641" s="630"/>
      <c r="M641" s="632"/>
      <c r="N641" s="631"/>
      <c r="O641" s="630"/>
      <c r="P641" s="630"/>
      <c r="Q641" s="630"/>
      <c r="R641" s="630"/>
    </row>
    <row r="642" spans="2:18" ht="15.75" customHeight="1" x14ac:dyDescent="0.3">
      <c r="B642" s="741"/>
      <c r="C642" s="742"/>
      <c r="D642" s="742"/>
      <c r="E642" s="742"/>
      <c r="F642" s="630"/>
      <c r="G642" s="630"/>
      <c r="H642" s="630"/>
      <c r="I642" s="630"/>
      <c r="J642" s="631"/>
      <c r="K642" s="630"/>
      <c r="L642" s="630"/>
      <c r="M642" s="632"/>
      <c r="N642" s="631"/>
      <c r="O642" s="630"/>
      <c r="P642" s="630"/>
      <c r="Q642" s="630"/>
      <c r="R642" s="630"/>
    </row>
    <row r="643" spans="2:18" ht="15.75" customHeight="1" x14ac:dyDescent="0.3">
      <c r="B643" s="741"/>
      <c r="C643" s="742"/>
      <c r="D643" s="742"/>
      <c r="E643" s="742"/>
      <c r="F643" s="630"/>
      <c r="G643" s="630"/>
      <c r="H643" s="630"/>
      <c r="I643" s="630"/>
      <c r="J643" s="631"/>
      <c r="K643" s="630"/>
      <c r="L643" s="630"/>
      <c r="M643" s="632"/>
      <c r="N643" s="631"/>
      <c r="O643" s="630"/>
      <c r="P643" s="630"/>
      <c r="Q643" s="630"/>
      <c r="R643" s="630"/>
    </row>
    <row r="644" spans="2:18" ht="15.75" customHeight="1" x14ac:dyDescent="0.3">
      <c r="B644" s="741"/>
      <c r="C644" s="742"/>
      <c r="D644" s="742"/>
      <c r="E644" s="742"/>
      <c r="F644" s="630"/>
      <c r="G644" s="630"/>
      <c r="H644" s="630"/>
      <c r="I644" s="630"/>
      <c r="J644" s="631"/>
      <c r="K644" s="630"/>
      <c r="L644" s="630"/>
      <c r="M644" s="632"/>
      <c r="N644" s="631"/>
      <c r="O644" s="630"/>
      <c r="P644" s="630"/>
      <c r="Q644" s="630"/>
      <c r="R644" s="630"/>
    </row>
    <row r="645" spans="2:18" ht="15.75" customHeight="1" x14ac:dyDescent="0.3">
      <c r="B645" s="741"/>
      <c r="C645" s="742"/>
      <c r="D645" s="742"/>
      <c r="E645" s="742"/>
      <c r="F645" s="630"/>
      <c r="G645" s="630"/>
      <c r="H645" s="630"/>
      <c r="I645" s="630"/>
      <c r="J645" s="631"/>
      <c r="K645" s="630"/>
      <c r="L645" s="630"/>
      <c r="M645" s="632"/>
      <c r="N645" s="631"/>
      <c r="O645" s="630"/>
      <c r="P645" s="630"/>
      <c r="Q645" s="630"/>
      <c r="R645" s="630"/>
    </row>
    <row r="646" spans="2:18" ht="15.75" customHeight="1" x14ac:dyDescent="0.3">
      <c r="B646" s="741"/>
      <c r="C646" s="742"/>
      <c r="D646" s="742"/>
      <c r="E646" s="742"/>
      <c r="F646" s="630"/>
      <c r="G646" s="630"/>
      <c r="H646" s="630"/>
      <c r="I646" s="630"/>
      <c r="J646" s="631"/>
      <c r="K646" s="630"/>
      <c r="L646" s="630"/>
      <c r="M646" s="632"/>
      <c r="N646" s="631"/>
      <c r="O646" s="630"/>
      <c r="P646" s="630"/>
      <c r="Q646" s="630"/>
      <c r="R646" s="630"/>
    </row>
    <row r="647" spans="2:18" ht="15.75" customHeight="1" x14ac:dyDescent="0.3">
      <c r="B647" s="741"/>
      <c r="C647" s="742"/>
      <c r="D647" s="742"/>
      <c r="E647" s="742"/>
      <c r="F647" s="630"/>
      <c r="G647" s="630"/>
      <c r="H647" s="630"/>
      <c r="I647" s="630"/>
      <c r="J647" s="631"/>
      <c r="K647" s="630"/>
      <c r="L647" s="630"/>
      <c r="M647" s="632"/>
      <c r="N647" s="631"/>
      <c r="O647" s="630"/>
      <c r="P647" s="630"/>
      <c r="Q647" s="630"/>
      <c r="R647" s="630"/>
    </row>
    <row r="648" spans="2:18" ht="15.75" customHeight="1" x14ac:dyDescent="0.3">
      <c r="B648" s="741"/>
      <c r="C648" s="742"/>
      <c r="D648" s="742"/>
      <c r="E648" s="742"/>
      <c r="F648" s="630"/>
      <c r="G648" s="630"/>
      <c r="H648" s="630"/>
      <c r="I648" s="630"/>
      <c r="J648" s="631"/>
      <c r="K648" s="630"/>
      <c r="L648" s="630"/>
      <c r="M648" s="632"/>
      <c r="N648" s="631"/>
      <c r="O648" s="630"/>
      <c r="P648" s="630"/>
      <c r="Q648" s="630"/>
      <c r="R648" s="630"/>
    </row>
    <row r="649" spans="2:18" ht="15.75" customHeight="1" x14ac:dyDescent="0.3">
      <c r="B649" s="741"/>
      <c r="C649" s="742"/>
      <c r="D649" s="742"/>
      <c r="E649" s="742"/>
      <c r="F649" s="630"/>
      <c r="G649" s="630"/>
      <c r="H649" s="630"/>
      <c r="I649" s="630"/>
      <c r="J649" s="631"/>
      <c r="K649" s="630"/>
      <c r="L649" s="630"/>
      <c r="M649" s="632"/>
      <c r="N649" s="631"/>
      <c r="O649" s="630"/>
      <c r="P649" s="630"/>
      <c r="Q649" s="630"/>
      <c r="R649" s="630"/>
    </row>
    <row r="650" spans="2:18" ht="15.75" customHeight="1" x14ac:dyDescent="0.3">
      <c r="B650" s="741"/>
      <c r="C650" s="742"/>
      <c r="D650" s="742"/>
      <c r="E650" s="742"/>
      <c r="F650" s="630"/>
      <c r="G650" s="630"/>
      <c r="H650" s="630"/>
      <c r="I650" s="630"/>
      <c r="J650" s="631"/>
      <c r="K650" s="630"/>
      <c r="L650" s="630"/>
      <c r="M650" s="632"/>
      <c r="N650" s="631"/>
      <c r="O650" s="630"/>
      <c r="P650" s="630"/>
      <c r="Q650" s="630"/>
      <c r="R650" s="630"/>
    </row>
    <row r="651" spans="2:18" ht="15.75" customHeight="1" x14ac:dyDescent="0.3">
      <c r="B651" s="741"/>
      <c r="C651" s="742"/>
      <c r="D651" s="742"/>
      <c r="E651" s="742"/>
      <c r="F651" s="630"/>
      <c r="G651" s="630"/>
      <c r="H651" s="630"/>
      <c r="I651" s="630"/>
      <c r="J651" s="631"/>
      <c r="K651" s="630"/>
      <c r="L651" s="630"/>
      <c r="M651" s="632"/>
      <c r="N651" s="631"/>
      <c r="O651" s="630"/>
      <c r="P651" s="630"/>
      <c r="Q651" s="630"/>
      <c r="R651" s="630"/>
    </row>
    <row r="652" spans="2:18" ht="15.75" customHeight="1" x14ac:dyDescent="0.3">
      <c r="B652" s="741"/>
      <c r="C652" s="742"/>
      <c r="D652" s="742"/>
      <c r="E652" s="742"/>
      <c r="F652" s="630"/>
      <c r="G652" s="630"/>
      <c r="H652" s="630"/>
      <c r="I652" s="630"/>
      <c r="J652" s="631"/>
      <c r="K652" s="630"/>
      <c r="L652" s="630"/>
      <c r="M652" s="632"/>
      <c r="N652" s="631"/>
      <c r="O652" s="630"/>
      <c r="P652" s="630"/>
      <c r="Q652" s="630"/>
      <c r="R652" s="630"/>
    </row>
    <row r="653" spans="2:18" ht="15.75" customHeight="1" x14ac:dyDescent="0.3">
      <c r="B653" s="741"/>
      <c r="C653" s="742"/>
      <c r="D653" s="742"/>
      <c r="E653" s="742"/>
      <c r="F653" s="630"/>
      <c r="G653" s="630"/>
      <c r="H653" s="630"/>
      <c r="I653" s="630"/>
      <c r="J653" s="631"/>
      <c r="K653" s="630"/>
      <c r="L653" s="630"/>
      <c r="M653" s="632"/>
      <c r="N653" s="631"/>
      <c r="O653" s="630"/>
      <c r="P653" s="630"/>
      <c r="Q653" s="630"/>
      <c r="R653" s="630"/>
    </row>
    <row r="654" spans="2:18" ht="15.75" customHeight="1" x14ac:dyDescent="0.3">
      <c r="B654" s="741"/>
      <c r="C654" s="742"/>
      <c r="D654" s="742"/>
      <c r="E654" s="742"/>
      <c r="F654" s="630"/>
      <c r="G654" s="630"/>
      <c r="H654" s="630"/>
      <c r="I654" s="630"/>
      <c r="J654" s="631"/>
      <c r="K654" s="630"/>
      <c r="L654" s="630"/>
      <c r="M654" s="632"/>
      <c r="N654" s="631"/>
      <c r="O654" s="630"/>
      <c r="P654" s="630"/>
      <c r="Q654" s="630"/>
      <c r="R654" s="630"/>
    </row>
    <row r="655" spans="2:18" ht="15.75" customHeight="1" x14ac:dyDescent="0.3">
      <c r="B655" s="741"/>
      <c r="C655" s="742"/>
      <c r="D655" s="742"/>
      <c r="E655" s="742"/>
      <c r="F655" s="630"/>
      <c r="G655" s="630"/>
      <c r="H655" s="630"/>
      <c r="I655" s="630"/>
      <c r="J655" s="631"/>
      <c r="K655" s="630"/>
      <c r="L655" s="630"/>
      <c r="M655" s="632"/>
      <c r="N655" s="631"/>
      <c r="O655" s="630"/>
      <c r="P655" s="630"/>
      <c r="Q655" s="630"/>
      <c r="R655" s="630"/>
    </row>
    <row r="656" spans="2:18" ht="15.75" customHeight="1" x14ac:dyDescent="0.3">
      <c r="B656" s="741"/>
      <c r="C656" s="742"/>
      <c r="D656" s="742"/>
      <c r="E656" s="742"/>
      <c r="F656" s="630"/>
      <c r="G656" s="630"/>
      <c r="H656" s="630"/>
      <c r="I656" s="630"/>
      <c r="J656" s="631"/>
      <c r="K656" s="630"/>
      <c r="L656" s="630"/>
      <c r="M656" s="632"/>
      <c r="N656" s="631"/>
      <c r="O656" s="630"/>
      <c r="P656" s="630"/>
      <c r="Q656" s="630"/>
      <c r="R656" s="630"/>
    </row>
    <row r="657" spans="2:18" ht="15.75" customHeight="1" x14ac:dyDescent="0.3">
      <c r="B657" s="741"/>
      <c r="C657" s="742"/>
      <c r="D657" s="742"/>
      <c r="E657" s="742"/>
      <c r="F657" s="630"/>
      <c r="G657" s="630"/>
      <c r="H657" s="630"/>
      <c r="I657" s="630"/>
      <c r="J657" s="631"/>
      <c r="K657" s="630"/>
      <c r="L657" s="630"/>
      <c r="M657" s="632"/>
      <c r="N657" s="631"/>
      <c r="O657" s="630"/>
      <c r="P657" s="630"/>
      <c r="Q657" s="630"/>
      <c r="R657" s="630"/>
    </row>
    <row r="658" spans="2:18" ht="15.75" customHeight="1" x14ac:dyDescent="0.3">
      <c r="B658" s="741"/>
      <c r="C658" s="742"/>
      <c r="D658" s="742"/>
      <c r="E658" s="742"/>
      <c r="F658" s="630"/>
      <c r="G658" s="630"/>
      <c r="H658" s="630"/>
      <c r="I658" s="630"/>
      <c r="J658" s="631"/>
      <c r="K658" s="630"/>
      <c r="L658" s="630"/>
      <c r="M658" s="632"/>
      <c r="N658" s="631"/>
      <c r="O658" s="630"/>
      <c r="P658" s="630"/>
      <c r="Q658" s="630"/>
      <c r="R658" s="630"/>
    </row>
    <row r="659" spans="2:18" ht="15.75" customHeight="1" x14ac:dyDescent="0.3">
      <c r="B659" s="741"/>
      <c r="C659" s="742"/>
      <c r="D659" s="742"/>
      <c r="E659" s="742"/>
      <c r="F659" s="630"/>
      <c r="G659" s="630"/>
      <c r="H659" s="630"/>
      <c r="I659" s="630"/>
      <c r="J659" s="631"/>
      <c r="K659" s="630"/>
      <c r="L659" s="630"/>
      <c r="M659" s="632"/>
      <c r="N659" s="631"/>
      <c r="O659" s="630"/>
      <c r="P659" s="630"/>
      <c r="Q659" s="630"/>
      <c r="R659" s="630"/>
    </row>
    <row r="660" spans="2:18" ht="15.75" customHeight="1" x14ac:dyDescent="0.3">
      <c r="B660" s="741"/>
      <c r="C660" s="742"/>
      <c r="D660" s="742"/>
      <c r="E660" s="742"/>
      <c r="F660" s="630"/>
      <c r="G660" s="630"/>
      <c r="H660" s="630"/>
      <c r="I660" s="630"/>
      <c r="J660" s="631"/>
      <c r="K660" s="630"/>
      <c r="L660" s="630"/>
      <c r="M660" s="632"/>
      <c r="N660" s="631"/>
      <c r="O660" s="630"/>
      <c r="P660" s="630"/>
      <c r="Q660" s="630"/>
      <c r="R660" s="630"/>
    </row>
    <row r="661" spans="2:18" ht="15.75" customHeight="1" x14ac:dyDescent="0.3">
      <c r="B661" s="741"/>
      <c r="C661" s="742"/>
      <c r="D661" s="742"/>
      <c r="E661" s="742"/>
      <c r="F661" s="630"/>
      <c r="G661" s="630"/>
      <c r="H661" s="630"/>
      <c r="I661" s="630"/>
      <c r="J661" s="631"/>
      <c r="K661" s="630"/>
      <c r="L661" s="630"/>
      <c r="M661" s="632"/>
      <c r="N661" s="631"/>
      <c r="O661" s="630"/>
      <c r="P661" s="630"/>
      <c r="Q661" s="630"/>
      <c r="R661" s="630"/>
    </row>
    <row r="662" spans="2:18" ht="15.75" customHeight="1" x14ac:dyDescent="0.3">
      <c r="B662" s="741"/>
      <c r="C662" s="742"/>
      <c r="D662" s="742"/>
      <c r="E662" s="742"/>
      <c r="F662" s="630"/>
      <c r="G662" s="630"/>
      <c r="H662" s="630"/>
      <c r="I662" s="630"/>
      <c r="J662" s="631"/>
      <c r="K662" s="630"/>
      <c r="L662" s="630"/>
      <c r="M662" s="632"/>
      <c r="N662" s="631"/>
      <c r="O662" s="630"/>
      <c r="P662" s="630"/>
      <c r="Q662" s="630"/>
      <c r="R662" s="630"/>
    </row>
    <row r="663" spans="2:18" ht="15.75" customHeight="1" x14ac:dyDescent="0.3">
      <c r="B663" s="741"/>
      <c r="C663" s="742"/>
      <c r="D663" s="742"/>
      <c r="E663" s="742"/>
      <c r="F663" s="630"/>
      <c r="G663" s="630"/>
      <c r="H663" s="630"/>
      <c r="I663" s="630"/>
      <c r="J663" s="631"/>
      <c r="K663" s="630"/>
      <c r="L663" s="630"/>
      <c r="M663" s="632"/>
      <c r="N663" s="631"/>
      <c r="O663" s="630"/>
      <c r="P663" s="630"/>
      <c r="Q663" s="630"/>
      <c r="R663" s="630"/>
    </row>
    <row r="664" spans="2:18" ht="15.75" customHeight="1" x14ac:dyDescent="0.3">
      <c r="B664" s="741"/>
      <c r="C664" s="742"/>
      <c r="D664" s="742"/>
      <c r="E664" s="742"/>
      <c r="F664" s="630"/>
      <c r="G664" s="630"/>
      <c r="H664" s="630"/>
      <c r="I664" s="630"/>
      <c r="J664" s="631"/>
      <c r="K664" s="630"/>
      <c r="L664" s="630"/>
      <c r="M664" s="632"/>
      <c r="N664" s="631"/>
      <c r="O664" s="630"/>
      <c r="P664" s="630"/>
      <c r="Q664" s="630"/>
      <c r="R664" s="630"/>
    </row>
    <row r="665" spans="2:18" ht="15.75" customHeight="1" x14ac:dyDescent="0.3">
      <c r="B665" s="741"/>
      <c r="C665" s="742"/>
      <c r="D665" s="742"/>
      <c r="E665" s="742"/>
      <c r="F665" s="630"/>
      <c r="G665" s="630"/>
      <c r="H665" s="630"/>
      <c r="I665" s="630"/>
      <c r="J665" s="631"/>
      <c r="K665" s="630"/>
      <c r="L665" s="630"/>
      <c r="M665" s="632"/>
      <c r="N665" s="631"/>
      <c r="O665" s="630"/>
      <c r="P665" s="630"/>
      <c r="Q665" s="630"/>
      <c r="R665" s="630"/>
    </row>
    <row r="666" spans="2:18" ht="15.75" customHeight="1" x14ac:dyDescent="0.3">
      <c r="B666" s="741"/>
      <c r="C666" s="742"/>
      <c r="D666" s="742"/>
      <c r="E666" s="742"/>
      <c r="F666" s="630"/>
      <c r="G666" s="630"/>
      <c r="H666" s="630"/>
      <c r="I666" s="630"/>
      <c r="J666" s="631"/>
      <c r="K666" s="630"/>
      <c r="L666" s="630"/>
      <c r="M666" s="632"/>
      <c r="N666" s="631"/>
      <c r="O666" s="630"/>
      <c r="P666" s="630"/>
      <c r="Q666" s="630"/>
      <c r="R666" s="630"/>
    </row>
    <row r="667" spans="2:18" ht="15.75" customHeight="1" x14ac:dyDescent="0.3">
      <c r="B667" s="741"/>
      <c r="C667" s="742"/>
      <c r="D667" s="742"/>
      <c r="E667" s="742"/>
      <c r="F667" s="630"/>
      <c r="G667" s="630"/>
      <c r="H667" s="630"/>
      <c r="I667" s="630"/>
      <c r="J667" s="631"/>
      <c r="K667" s="630"/>
      <c r="L667" s="630"/>
      <c r="M667" s="632"/>
      <c r="N667" s="631"/>
      <c r="O667" s="630"/>
      <c r="P667" s="630"/>
      <c r="Q667" s="630"/>
      <c r="R667" s="630"/>
    </row>
    <row r="668" spans="2:18" ht="15.75" customHeight="1" x14ac:dyDescent="0.3">
      <c r="B668" s="741"/>
      <c r="C668" s="742"/>
      <c r="D668" s="742"/>
      <c r="E668" s="742"/>
      <c r="F668" s="630"/>
      <c r="G668" s="630"/>
      <c r="H668" s="630"/>
      <c r="I668" s="630"/>
      <c r="J668" s="631"/>
      <c r="K668" s="630"/>
      <c r="L668" s="630"/>
      <c r="M668" s="632"/>
      <c r="N668" s="631"/>
      <c r="O668" s="630"/>
      <c r="P668" s="630"/>
      <c r="Q668" s="630"/>
      <c r="R668" s="630"/>
    </row>
    <row r="669" spans="2:18" ht="15.75" customHeight="1" x14ac:dyDescent="0.3">
      <c r="B669" s="741"/>
      <c r="C669" s="742"/>
      <c r="D669" s="742"/>
      <c r="E669" s="742"/>
      <c r="F669" s="630"/>
      <c r="G669" s="630"/>
      <c r="H669" s="630"/>
      <c r="I669" s="630"/>
      <c r="J669" s="631"/>
      <c r="K669" s="630"/>
      <c r="L669" s="630"/>
      <c r="M669" s="632"/>
      <c r="N669" s="631"/>
      <c r="O669" s="630"/>
      <c r="P669" s="630"/>
      <c r="Q669" s="630"/>
      <c r="R669" s="630"/>
    </row>
    <row r="670" spans="2:18" ht="15.75" customHeight="1" x14ac:dyDescent="0.3">
      <c r="B670" s="741"/>
      <c r="C670" s="742"/>
      <c r="D670" s="742"/>
      <c r="E670" s="742"/>
      <c r="F670" s="630"/>
      <c r="G670" s="630"/>
      <c r="H670" s="630"/>
      <c r="I670" s="630"/>
      <c r="J670" s="631"/>
      <c r="K670" s="630"/>
      <c r="L670" s="630"/>
      <c r="M670" s="632"/>
      <c r="N670" s="631"/>
      <c r="O670" s="630"/>
      <c r="P670" s="630"/>
      <c r="Q670" s="630"/>
      <c r="R670" s="630"/>
    </row>
    <row r="671" spans="2:18" ht="15.75" customHeight="1" x14ac:dyDescent="0.3">
      <c r="B671" s="741"/>
      <c r="C671" s="742"/>
      <c r="D671" s="742"/>
      <c r="E671" s="742"/>
      <c r="F671" s="630"/>
      <c r="G671" s="630"/>
      <c r="H671" s="630"/>
      <c r="I671" s="630"/>
      <c r="J671" s="631"/>
      <c r="K671" s="630"/>
      <c r="L671" s="630"/>
      <c r="M671" s="632"/>
      <c r="N671" s="631"/>
      <c r="O671" s="630"/>
      <c r="P671" s="630"/>
      <c r="Q671" s="630"/>
      <c r="R671" s="630"/>
    </row>
    <row r="672" spans="2:18" ht="15.75" customHeight="1" x14ac:dyDescent="0.3">
      <c r="B672" s="741"/>
      <c r="C672" s="742"/>
      <c r="D672" s="742"/>
      <c r="E672" s="742"/>
      <c r="F672" s="630"/>
      <c r="G672" s="630"/>
      <c r="H672" s="630"/>
      <c r="I672" s="630"/>
      <c r="J672" s="631"/>
      <c r="K672" s="630"/>
      <c r="L672" s="630"/>
      <c r="M672" s="632"/>
      <c r="N672" s="631"/>
      <c r="O672" s="630"/>
      <c r="P672" s="630"/>
      <c r="Q672" s="630"/>
      <c r="R672" s="630"/>
    </row>
    <row r="673" spans="2:18" ht="15.75" customHeight="1" x14ac:dyDescent="0.3">
      <c r="B673" s="741"/>
      <c r="C673" s="742"/>
      <c r="D673" s="742"/>
      <c r="E673" s="742"/>
      <c r="F673" s="630"/>
      <c r="G673" s="630"/>
      <c r="H673" s="630"/>
      <c r="I673" s="630"/>
      <c r="J673" s="631"/>
      <c r="K673" s="630"/>
      <c r="L673" s="630"/>
      <c r="M673" s="632"/>
      <c r="N673" s="631"/>
      <c r="O673" s="630"/>
      <c r="P673" s="630"/>
      <c r="Q673" s="630"/>
      <c r="R673" s="630"/>
    </row>
    <row r="674" spans="2:18" ht="15.75" customHeight="1" x14ac:dyDescent="0.3">
      <c r="B674" s="741"/>
      <c r="C674" s="742"/>
      <c r="D674" s="742"/>
      <c r="E674" s="742"/>
      <c r="F674" s="630"/>
      <c r="G674" s="630"/>
      <c r="H674" s="630"/>
      <c r="I674" s="630"/>
      <c r="J674" s="631"/>
      <c r="K674" s="630"/>
      <c r="L674" s="630"/>
      <c r="M674" s="632"/>
      <c r="N674" s="631"/>
      <c r="O674" s="630"/>
      <c r="P674" s="630"/>
      <c r="Q674" s="630"/>
      <c r="R674" s="630"/>
    </row>
    <row r="675" spans="2:18" ht="15.75" customHeight="1" x14ac:dyDescent="0.3">
      <c r="B675" s="741"/>
      <c r="C675" s="742"/>
      <c r="D675" s="742"/>
      <c r="E675" s="742"/>
      <c r="F675" s="630"/>
      <c r="G675" s="630"/>
      <c r="H675" s="630"/>
      <c r="I675" s="630"/>
      <c r="J675" s="631"/>
      <c r="K675" s="630"/>
      <c r="L675" s="630"/>
      <c r="M675" s="632"/>
      <c r="N675" s="631"/>
      <c r="O675" s="630"/>
      <c r="P675" s="630"/>
      <c r="Q675" s="630"/>
      <c r="R675" s="630"/>
    </row>
    <row r="676" spans="2:18" ht="15.75" customHeight="1" x14ac:dyDescent="0.3">
      <c r="B676" s="741"/>
      <c r="C676" s="742"/>
      <c r="D676" s="742"/>
      <c r="E676" s="742"/>
      <c r="F676" s="630"/>
      <c r="G676" s="630"/>
      <c r="H676" s="630"/>
      <c r="I676" s="630"/>
      <c r="J676" s="631"/>
      <c r="K676" s="630"/>
      <c r="L676" s="630"/>
      <c r="M676" s="632"/>
      <c r="N676" s="631"/>
      <c r="O676" s="630"/>
      <c r="P676" s="630"/>
      <c r="Q676" s="630"/>
      <c r="R676" s="630"/>
    </row>
    <row r="677" spans="2:18" ht="15.75" customHeight="1" x14ac:dyDescent="0.3">
      <c r="B677" s="741"/>
      <c r="C677" s="742"/>
      <c r="D677" s="742"/>
      <c r="E677" s="742"/>
      <c r="F677" s="630"/>
      <c r="G677" s="630"/>
      <c r="H677" s="630"/>
      <c r="I677" s="630"/>
      <c r="J677" s="631"/>
      <c r="K677" s="630"/>
      <c r="L677" s="630"/>
      <c r="M677" s="632"/>
      <c r="N677" s="631"/>
      <c r="O677" s="630"/>
      <c r="P677" s="630"/>
      <c r="Q677" s="630"/>
      <c r="R677" s="630"/>
    </row>
    <row r="678" spans="2:18" ht="15.75" customHeight="1" x14ac:dyDescent="0.3">
      <c r="B678" s="741"/>
      <c r="C678" s="742"/>
      <c r="D678" s="742"/>
      <c r="E678" s="742"/>
      <c r="F678" s="630"/>
      <c r="G678" s="630"/>
      <c r="H678" s="630"/>
      <c r="I678" s="630"/>
      <c r="J678" s="631"/>
      <c r="K678" s="630"/>
      <c r="L678" s="630"/>
      <c r="M678" s="632"/>
      <c r="N678" s="631"/>
      <c r="O678" s="630"/>
      <c r="P678" s="630"/>
      <c r="Q678" s="630"/>
      <c r="R678" s="630"/>
    </row>
    <row r="679" spans="2:18" ht="15.75" customHeight="1" x14ac:dyDescent="0.3">
      <c r="B679" s="741"/>
      <c r="C679" s="742"/>
      <c r="D679" s="742"/>
      <c r="E679" s="742"/>
      <c r="F679" s="630"/>
      <c r="G679" s="630"/>
      <c r="H679" s="630"/>
      <c r="I679" s="630"/>
      <c r="J679" s="631"/>
      <c r="K679" s="630"/>
      <c r="L679" s="630"/>
      <c r="M679" s="632"/>
      <c r="N679" s="631"/>
      <c r="O679" s="630"/>
      <c r="P679" s="630"/>
      <c r="Q679" s="630"/>
      <c r="R679" s="630"/>
    </row>
    <row r="680" spans="2:18" ht="15.75" customHeight="1" x14ac:dyDescent="0.3">
      <c r="B680" s="741"/>
      <c r="C680" s="742"/>
      <c r="D680" s="742"/>
      <c r="E680" s="742"/>
      <c r="F680" s="630"/>
      <c r="G680" s="630"/>
      <c r="H680" s="630"/>
      <c r="I680" s="630"/>
      <c r="J680" s="631"/>
      <c r="K680" s="630"/>
      <c r="L680" s="630"/>
      <c r="M680" s="632"/>
      <c r="N680" s="631"/>
      <c r="O680" s="630"/>
      <c r="P680" s="630"/>
      <c r="Q680" s="630"/>
      <c r="R680" s="630"/>
    </row>
    <row r="681" spans="2:18" ht="15.75" customHeight="1" x14ac:dyDescent="0.3">
      <c r="B681" s="741"/>
      <c r="C681" s="742"/>
      <c r="D681" s="742"/>
      <c r="E681" s="742"/>
      <c r="F681" s="630"/>
      <c r="G681" s="630"/>
      <c r="H681" s="630"/>
      <c r="I681" s="630"/>
      <c r="J681" s="631"/>
      <c r="K681" s="630"/>
      <c r="L681" s="630"/>
      <c r="M681" s="632"/>
      <c r="N681" s="631"/>
      <c r="O681" s="630"/>
      <c r="P681" s="630"/>
      <c r="Q681" s="630"/>
      <c r="R681" s="630"/>
    </row>
    <row r="682" spans="2:18" ht="15.75" customHeight="1" x14ac:dyDescent="0.3">
      <c r="B682" s="741"/>
      <c r="C682" s="742"/>
      <c r="D682" s="742"/>
      <c r="E682" s="742"/>
      <c r="F682" s="630"/>
      <c r="G682" s="630"/>
      <c r="H682" s="630"/>
      <c r="I682" s="630"/>
      <c r="J682" s="631"/>
      <c r="K682" s="630"/>
      <c r="L682" s="630"/>
      <c r="M682" s="632"/>
      <c r="N682" s="631"/>
      <c r="O682" s="630"/>
      <c r="P682" s="630"/>
      <c r="Q682" s="630"/>
      <c r="R682" s="630"/>
    </row>
    <row r="683" spans="2:18" ht="15.75" customHeight="1" x14ac:dyDescent="0.3">
      <c r="B683" s="741"/>
      <c r="C683" s="742"/>
      <c r="D683" s="742"/>
      <c r="E683" s="742"/>
      <c r="F683" s="630"/>
      <c r="G683" s="630"/>
      <c r="H683" s="630"/>
      <c r="I683" s="630"/>
      <c r="J683" s="631"/>
      <c r="K683" s="630"/>
      <c r="L683" s="630"/>
      <c r="M683" s="632"/>
      <c r="N683" s="631"/>
      <c r="O683" s="630"/>
      <c r="P683" s="630"/>
      <c r="Q683" s="630"/>
      <c r="R683" s="630"/>
    </row>
    <row r="684" spans="2:18" ht="15.75" customHeight="1" x14ac:dyDescent="0.3">
      <c r="B684" s="741"/>
      <c r="C684" s="742"/>
      <c r="D684" s="742"/>
      <c r="E684" s="742"/>
      <c r="F684" s="630"/>
      <c r="G684" s="630"/>
      <c r="H684" s="630"/>
      <c r="I684" s="630"/>
      <c r="J684" s="631"/>
      <c r="K684" s="630"/>
      <c r="L684" s="630"/>
      <c r="M684" s="632"/>
      <c r="N684" s="631"/>
      <c r="O684" s="630"/>
      <c r="P684" s="630"/>
      <c r="Q684" s="630"/>
      <c r="R684" s="630"/>
    </row>
    <row r="685" spans="2:18" ht="15.75" customHeight="1" x14ac:dyDescent="0.3">
      <c r="B685" s="741"/>
      <c r="C685" s="742"/>
      <c r="D685" s="742"/>
      <c r="E685" s="742"/>
      <c r="F685" s="630"/>
      <c r="G685" s="630"/>
      <c r="H685" s="630"/>
      <c r="I685" s="630"/>
      <c r="J685" s="631"/>
      <c r="K685" s="630"/>
      <c r="L685" s="630"/>
      <c r="M685" s="632"/>
      <c r="N685" s="631"/>
      <c r="O685" s="630"/>
      <c r="P685" s="630"/>
      <c r="Q685" s="630"/>
      <c r="R685" s="630"/>
    </row>
    <row r="686" spans="2:18" ht="15.75" customHeight="1" x14ac:dyDescent="0.3">
      <c r="B686" s="741"/>
      <c r="C686" s="742"/>
      <c r="D686" s="742"/>
      <c r="E686" s="742"/>
      <c r="F686" s="630"/>
      <c r="G686" s="630"/>
      <c r="H686" s="630"/>
      <c r="I686" s="630"/>
      <c r="J686" s="631"/>
      <c r="K686" s="630"/>
      <c r="L686" s="630"/>
      <c r="M686" s="632"/>
      <c r="N686" s="631"/>
      <c r="O686" s="630"/>
      <c r="P686" s="630"/>
      <c r="Q686" s="630"/>
      <c r="R686" s="630"/>
    </row>
    <row r="687" spans="2:18" ht="15.75" customHeight="1" x14ac:dyDescent="0.3">
      <c r="B687" s="741"/>
      <c r="C687" s="742"/>
      <c r="D687" s="742"/>
      <c r="E687" s="742"/>
      <c r="F687" s="630"/>
      <c r="G687" s="630"/>
      <c r="H687" s="630"/>
      <c r="I687" s="630"/>
      <c r="J687" s="631"/>
      <c r="K687" s="630"/>
      <c r="L687" s="630"/>
      <c r="M687" s="632"/>
      <c r="N687" s="631"/>
      <c r="O687" s="630"/>
      <c r="P687" s="630"/>
      <c r="Q687" s="630"/>
      <c r="R687" s="630"/>
    </row>
    <row r="688" spans="2:18" ht="15.75" customHeight="1" x14ac:dyDescent="0.3">
      <c r="B688" s="741"/>
      <c r="C688" s="742"/>
      <c r="D688" s="742"/>
      <c r="E688" s="742"/>
      <c r="F688" s="630"/>
      <c r="G688" s="630"/>
      <c r="H688" s="630"/>
      <c r="I688" s="630"/>
      <c r="J688" s="631"/>
      <c r="K688" s="630"/>
      <c r="L688" s="630"/>
      <c r="M688" s="632"/>
      <c r="N688" s="631"/>
      <c r="O688" s="630"/>
      <c r="P688" s="630"/>
      <c r="Q688" s="630"/>
      <c r="R688" s="630"/>
    </row>
    <row r="689" spans="2:18" ht="15.75" customHeight="1" x14ac:dyDescent="0.3">
      <c r="B689" s="741"/>
      <c r="C689" s="742"/>
      <c r="D689" s="742"/>
      <c r="E689" s="742"/>
      <c r="F689" s="630"/>
      <c r="G689" s="630"/>
      <c r="H689" s="630"/>
      <c r="I689" s="630"/>
      <c r="J689" s="631"/>
      <c r="K689" s="630"/>
      <c r="L689" s="630"/>
      <c r="M689" s="632"/>
      <c r="N689" s="631"/>
      <c r="O689" s="630"/>
      <c r="P689" s="630"/>
      <c r="Q689" s="630"/>
      <c r="R689" s="630"/>
    </row>
    <row r="690" spans="2:18" ht="15.75" customHeight="1" x14ac:dyDescent="0.3">
      <c r="B690" s="741"/>
      <c r="C690" s="742"/>
      <c r="D690" s="742"/>
      <c r="E690" s="742"/>
      <c r="F690" s="630"/>
      <c r="G690" s="630"/>
      <c r="H690" s="630"/>
      <c r="I690" s="630"/>
      <c r="J690" s="631"/>
      <c r="K690" s="630"/>
      <c r="L690" s="630"/>
      <c r="M690" s="632"/>
      <c r="N690" s="631"/>
      <c r="O690" s="630"/>
      <c r="P690" s="630"/>
      <c r="Q690" s="630"/>
      <c r="R690" s="630"/>
    </row>
    <row r="691" spans="2:18" ht="15.75" customHeight="1" x14ac:dyDescent="0.3">
      <c r="B691" s="741"/>
      <c r="C691" s="742"/>
      <c r="D691" s="742"/>
      <c r="E691" s="742"/>
      <c r="F691" s="630"/>
      <c r="G691" s="630"/>
      <c r="H691" s="630"/>
      <c r="I691" s="630"/>
      <c r="J691" s="631"/>
      <c r="K691" s="630"/>
      <c r="L691" s="630"/>
      <c r="M691" s="632"/>
      <c r="N691" s="631"/>
      <c r="O691" s="630"/>
      <c r="P691" s="630"/>
      <c r="Q691" s="630"/>
      <c r="R691" s="630"/>
    </row>
    <row r="692" spans="2:18" ht="15.75" customHeight="1" x14ac:dyDescent="0.3">
      <c r="B692" s="741"/>
      <c r="C692" s="742"/>
      <c r="D692" s="742"/>
      <c r="E692" s="742"/>
      <c r="F692" s="630"/>
      <c r="G692" s="630"/>
      <c r="H692" s="630"/>
      <c r="I692" s="630"/>
      <c r="J692" s="631"/>
      <c r="K692" s="630"/>
      <c r="L692" s="630"/>
      <c r="M692" s="632"/>
      <c r="N692" s="631"/>
      <c r="O692" s="630"/>
      <c r="P692" s="630"/>
      <c r="Q692" s="630"/>
      <c r="R692" s="630"/>
    </row>
    <row r="693" spans="2:18" ht="15.75" customHeight="1" x14ac:dyDescent="0.3">
      <c r="B693" s="741"/>
      <c r="C693" s="742"/>
      <c r="D693" s="742"/>
      <c r="E693" s="742"/>
      <c r="F693" s="630"/>
      <c r="G693" s="630"/>
      <c r="H693" s="630"/>
      <c r="I693" s="630"/>
      <c r="J693" s="631"/>
      <c r="K693" s="630"/>
      <c r="L693" s="630"/>
      <c r="M693" s="632"/>
      <c r="N693" s="631"/>
      <c r="O693" s="630"/>
      <c r="P693" s="630"/>
      <c r="Q693" s="630"/>
      <c r="R693" s="630"/>
    </row>
    <row r="694" spans="2:18" ht="15.75" customHeight="1" x14ac:dyDescent="0.3">
      <c r="B694" s="741"/>
      <c r="C694" s="742"/>
      <c r="D694" s="742"/>
      <c r="E694" s="742"/>
      <c r="F694" s="630"/>
      <c r="G694" s="630"/>
      <c r="H694" s="630"/>
      <c r="I694" s="630"/>
      <c r="J694" s="631"/>
      <c r="K694" s="630"/>
      <c r="L694" s="630"/>
      <c r="M694" s="632"/>
      <c r="N694" s="631"/>
      <c r="O694" s="630"/>
      <c r="P694" s="630"/>
      <c r="Q694" s="630"/>
      <c r="R694" s="630"/>
    </row>
    <row r="695" spans="2:18" ht="15.75" customHeight="1" x14ac:dyDescent="0.3">
      <c r="B695" s="741"/>
      <c r="C695" s="742"/>
      <c r="D695" s="742"/>
      <c r="E695" s="742"/>
      <c r="F695" s="630"/>
      <c r="G695" s="630"/>
      <c r="H695" s="630"/>
      <c r="I695" s="630"/>
      <c r="J695" s="631"/>
      <c r="K695" s="630"/>
      <c r="L695" s="630"/>
      <c r="M695" s="632"/>
      <c r="N695" s="631"/>
      <c r="O695" s="630"/>
      <c r="P695" s="630"/>
      <c r="Q695" s="630"/>
      <c r="R695" s="630"/>
    </row>
    <row r="696" spans="2:18" ht="15.75" customHeight="1" x14ac:dyDescent="0.3">
      <c r="B696" s="741"/>
      <c r="C696" s="742"/>
      <c r="D696" s="742"/>
      <c r="E696" s="742"/>
      <c r="F696" s="630"/>
      <c r="G696" s="630"/>
      <c r="H696" s="630"/>
      <c r="I696" s="630"/>
      <c r="J696" s="631"/>
      <c r="K696" s="630"/>
      <c r="L696" s="630"/>
      <c r="M696" s="632"/>
      <c r="N696" s="631"/>
      <c r="O696" s="630"/>
      <c r="P696" s="630"/>
      <c r="Q696" s="630"/>
      <c r="R696" s="630"/>
    </row>
    <row r="697" spans="2:18" ht="15.75" customHeight="1" x14ac:dyDescent="0.3">
      <c r="B697" s="741"/>
      <c r="C697" s="742"/>
      <c r="D697" s="742"/>
      <c r="E697" s="742"/>
      <c r="F697" s="630"/>
      <c r="G697" s="630"/>
      <c r="H697" s="630"/>
      <c r="I697" s="630"/>
      <c r="J697" s="631"/>
      <c r="K697" s="630"/>
      <c r="L697" s="630"/>
      <c r="M697" s="632"/>
      <c r="N697" s="631"/>
      <c r="O697" s="630"/>
      <c r="P697" s="630"/>
      <c r="Q697" s="630"/>
      <c r="R697" s="630"/>
    </row>
    <row r="698" spans="2:18" ht="15.75" customHeight="1" x14ac:dyDescent="0.3">
      <c r="B698" s="741"/>
      <c r="C698" s="742"/>
      <c r="D698" s="742"/>
      <c r="E698" s="742"/>
      <c r="F698" s="630"/>
      <c r="G698" s="630"/>
      <c r="H698" s="630"/>
      <c r="I698" s="630"/>
      <c r="J698" s="631"/>
      <c r="K698" s="630"/>
      <c r="L698" s="630"/>
      <c r="M698" s="632"/>
      <c r="N698" s="631"/>
      <c r="O698" s="630"/>
      <c r="P698" s="630"/>
      <c r="Q698" s="630"/>
      <c r="R698" s="630"/>
    </row>
    <row r="699" spans="2:18" ht="15.75" customHeight="1" x14ac:dyDescent="0.3">
      <c r="B699" s="741"/>
      <c r="C699" s="742"/>
      <c r="D699" s="742"/>
      <c r="E699" s="742"/>
      <c r="F699" s="630"/>
      <c r="G699" s="630"/>
      <c r="H699" s="630"/>
      <c r="I699" s="630"/>
      <c r="J699" s="631"/>
      <c r="K699" s="630"/>
      <c r="L699" s="630"/>
      <c r="M699" s="632"/>
      <c r="N699" s="631"/>
      <c r="O699" s="630"/>
      <c r="P699" s="630"/>
      <c r="Q699" s="630"/>
      <c r="R699" s="630"/>
    </row>
    <row r="700" spans="2:18" ht="15.75" customHeight="1" x14ac:dyDescent="0.3">
      <c r="B700" s="741"/>
      <c r="C700" s="742"/>
      <c r="D700" s="742"/>
      <c r="E700" s="742"/>
      <c r="F700" s="630"/>
      <c r="G700" s="630"/>
      <c r="H700" s="630"/>
      <c r="I700" s="630"/>
      <c r="J700" s="631"/>
      <c r="K700" s="630"/>
      <c r="L700" s="630"/>
      <c r="M700" s="632"/>
      <c r="N700" s="631"/>
      <c r="O700" s="630"/>
      <c r="P700" s="630"/>
      <c r="Q700" s="630"/>
      <c r="R700" s="630"/>
    </row>
    <row r="701" spans="2:18" ht="15.75" customHeight="1" x14ac:dyDescent="0.3">
      <c r="B701" s="741"/>
      <c r="C701" s="742"/>
      <c r="D701" s="742"/>
      <c r="E701" s="742"/>
      <c r="F701" s="630"/>
      <c r="G701" s="630"/>
      <c r="H701" s="630"/>
      <c r="I701" s="630"/>
      <c r="J701" s="631"/>
      <c r="K701" s="630"/>
      <c r="L701" s="630"/>
      <c r="M701" s="632"/>
      <c r="N701" s="631"/>
      <c r="O701" s="630"/>
      <c r="P701" s="630"/>
      <c r="Q701" s="630"/>
      <c r="R701" s="630"/>
    </row>
    <row r="702" spans="2:18" ht="15.75" customHeight="1" x14ac:dyDescent="0.3">
      <c r="B702" s="741"/>
      <c r="C702" s="742"/>
      <c r="D702" s="742"/>
      <c r="E702" s="742"/>
      <c r="F702" s="630"/>
      <c r="G702" s="630"/>
      <c r="H702" s="630"/>
      <c r="I702" s="630"/>
      <c r="J702" s="631"/>
      <c r="K702" s="630"/>
      <c r="L702" s="630"/>
      <c r="M702" s="632"/>
      <c r="N702" s="631"/>
      <c r="O702" s="630"/>
      <c r="P702" s="630"/>
      <c r="Q702" s="630"/>
      <c r="R702" s="630"/>
    </row>
    <row r="703" spans="2:18" ht="15.75" customHeight="1" x14ac:dyDescent="0.3">
      <c r="B703" s="741"/>
      <c r="C703" s="742"/>
      <c r="D703" s="742"/>
      <c r="E703" s="742"/>
      <c r="F703" s="630"/>
      <c r="G703" s="630"/>
      <c r="H703" s="630"/>
      <c r="I703" s="630"/>
      <c r="J703" s="631"/>
      <c r="K703" s="630"/>
      <c r="L703" s="630"/>
      <c r="M703" s="632"/>
      <c r="N703" s="631"/>
      <c r="O703" s="630"/>
      <c r="P703" s="630"/>
      <c r="Q703" s="630"/>
      <c r="R703" s="630"/>
    </row>
    <row r="704" spans="2:18" ht="15.75" customHeight="1" x14ac:dyDescent="0.3">
      <c r="B704" s="741"/>
      <c r="C704" s="742"/>
      <c r="D704" s="742"/>
      <c r="E704" s="742"/>
      <c r="F704" s="630"/>
      <c r="G704" s="630"/>
      <c r="H704" s="630"/>
      <c r="I704" s="630"/>
      <c r="J704" s="631"/>
      <c r="K704" s="630"/>
      <c r="L704" s="630"/>
      <c r="M704" s="632"/>
      <c r="N704" s="631"/>
      <c r="O704" s="630"/>
      <c r="P704" s="630"/>
      <c r="Q704" s="630"/>
      <c r="R704" s="630"/>
    </row>
    <row r="705" spans="2:18" ht="15.75" customHeight="1" x14ac:dyDescent="0.3">
      <c r="B705" s="741"/>
      <c r="C705" s="742"/>
      <c r="D705" s="742"/>
      <c r="E705" s="742"/>
      <c r="F705" s="630"/>
      <c r="G705" s="630"/>
      <c r="H705" s="630"/>
      <c r="I705" s="630"/>
      <c r="J705" s="631"/>
      <c r="K705" s="630"/>
      <c r="L705" s="630"/>
      <c r="M705" s="632"/>
      <c r="N705" s="631"/>
      <c r="O705" s="630"/>
      <c r="P705" s="630"/>
      <c r="Q705" s="630"/>
      <c r="R705" s="630"/>
    </row>
    <row r="706" spans="2:18" ht="15.75" customHeight="1" x14ac:dyDescent="0.3">
      <c r="B706" s="741"/>
      <c r="C706" s="742"/>
      <c r="D706" s="742"/>
      <c r="E706" s="742"/>
      <c r="F706" s="630"/>
      <c r="G706" s="630"/>
      <c r="H706" s="630"/>
      <c r="I706" s="630"/>
      <c r="J706" s="631"/>
      <c r="K706" s="630"/>
      <c r="L706" s="630"/>
      <c r="M706" s="632"/>
      <c r="N706" s="631"/>
      <c r="O706" s="630"/>
      <c r="P706" s="630"/>
      <c r="Q706" s="630"/>
      <c r="R706" s="630"/>
    </row>
    <row r="707" spans="2:18" ht="15.75" customHeight="1" x14ac:dyDescent="0.3">
      <c r="B707" s="741"/>
      <c r="C707" s="742"/>
      <c r="D707" s="742"/>
      <c r="E707" s="742"/>
      <c r="F707" s="630"/>
      <c r="G707" s="630"/>
      <c r="H707" s="630"/>
      <c r="I707" s="630"/>
      <c r="J707" s="631"/>
      <c r="K707" s="630"/>
      <c r="L707" s="630"/>
      <c r="M707" s="632"/>
      <c r="N707" s="631"/>
      <c r="O707" s="630"/>
      <c r="P707" s="630"/>
      <c r="Q707" s="630"/>
      <c r="R707" s="630"/>
    </row>
    <row r="708" spans="2:18" ht="15.75" customHeight="1" x14ac:dyDescent="0.3">
      <c r="B708" s="741"/>
      <c r="C708" s="742"/>
      <c r="D708" s="742"/>
      <c r="E708" s="742"/>
      <c r="F708" s="630"/>
      <c r="G708" s="630"/>
      <c r="H708" s="630"/>
      <c r="I708" s="630"/>
      <c r="J708" s="631"/>
      <c r="K708" s="630"/>
      <c r="L708" s="630"/>
      <c r="M708" s="632"/>
      <c r="N708" s="631"/>
      <c r="O708" s="630"/>
      <c r="P708" s="630"/>
      <c r="Q708" s="630"/>
      <c r="R708" s="630"/>
    </row>
    <row r="709" spans="2:18" ht="15.75" customHeight="1" x14ac:dyDescent="0.3">
      <c r="B709" s="741"/>
      <c r="C709" s="742"/>
      <c r="D709" s="742"/>
      <c r="E709" s="742"/>
      <c r="F709" s="630"/>
      <c r="G709" s="630"/>
      <c r="H709" s="630"/>
      <c r="I709" s="630"/>
      <c r="J709" s="631"/>
      <c r="K709" s="630"/>
      <c r="L709" s="630"/>
      <c r="M709" s="632"/>
      <c r="N709" s="631"/>
      <c r="O709" s="630"/>
      <c r="P709" s="630"/>
      <c r="Q709" s="630"/>
      <c r="R709" s="630"/>
    </row>
    <row r="710" spans="2:18" ht="15.75" customHeight="1" x14ac:dyDescent="0.3">
      <c r="B710" s="741"/>
      <c r="C710" s="742"/>
      <c r="D710" s="742"/>
      <c r="E710" s="742"/>
      <c r="F710" s="630"/>
      <c r="G710" s="630"/>
      <c r="H710" s="630"/>
      <c r="I710" s="630"/>
      <c r="J710" s="631"/>
      <c r="K710" s="630"/>
      <c r="L710" s="630"/>
      <c r="M710" s="632"/>
      <c r="N710" s="631"/>
      <c r="O710" s="630"/>
      <c r="P710" s="630"/>
      <c r="Q710" s="630"/>
      <c r="R710" s="630"/>
    </row>
    <row r="711" spans="2:18" ht="15.75" customHeight="1" x14ac:dyDescent="0.3">
      <c r="B711" s="741"/>
      <c r="C711" s="742"/>
      <c r="D711" s="742"/>
      <c r="E711" s="742"/>
      <c r="F711" s="630"/>
      <c r="G711" s="630"/>
      <c r="H711" s="630"/>
      <c r="I711" s="630"/>
      <c r="J711" s="631"/>
      <c r="K711" s="630"/>
      <c r="L711" s="630"/>
      <c r="M711" s="632"/>
      <c r="N711" s="631"/>
      <c r="O711" s="630"/>
      <c r="P711" s="630"/>
      <c r="Q711" s="630"/>
      <c r="R711" s="630"/>
    </row>
    <row r="712" spans="2:18" ht="15.75" customHeight="1" x14ac:dyDescent="0.3">
      <c r="B712" s="741"/>
      <c r="C712" s="742"/>
      <c r="D712" s="742"/>
      <c r="E712" s="742"/>
      <c r="F712" s="630"/>
      <c r="G712" s="630"/>
      <c r="H712" s="630"/>
      <c r="I712" s="630"/>
      <c r="J712" s="631"/>
      <c r="K712" s="630"/>
      <c r="L712" s="630"/>
      <c r="M712" s="632"/>
      <c r="N712" s="631"/>
      <c r="O712" s="630"/>
      <c r="P712" s="630"/>
      <c r="Q712" s="630"/>
      <c r="R712" s="630"/>
    </row>
    <row r="713" spans="2:18" ht="15.75" customHeight="1" x14ac:dyDescent="0.3">
      <c r="B713" s="741"/>
      <c r="C713" s="742"/>
      <c r="D713" s="742"/>
      <c r="E713" s="742"/>
      <c r="F713" s="630"/>
      <c r="G713" s="630"/>
      <c r="H713" s="630"/>
      <c r="I713" s="630"/>
      <c r="J713" s="631"/>
      <c r="K713" s="630"/>
      <c r="L713" s="630"/>
      <c r="M713" s="632"/>
      <c r="N713" s="631"/>
      <c r="O713" s="630"/>
      <c r="P713" s="630"/>
      <c r="Q713" s="630"/>
      <c r="R713" s="630"/>
    </row>
    <row r="714" spans="2:18" ht="15.75" customHeight="1" x14ac:dyDescent="0.3">
      <c r="B714" s="741"/>
      <c r="C714" s="742"/>
      <c r="D714" s="742"/>
      <c r="E714" s="742"/>
      <c r="F714" s="630"/>
      <c r="G714" s="630"/>
      <c r="H714" s="630"/>
      <c r="I714" s="630"/>
      <c r="J714" s="631"/>
      <c r="K714" s="630"/>
      <c r="L714" s="630"/>
      <c r="M714" s="632"/>
      <c r="N714" s="631"/>
      <c r="O714" s="630"/>
      <c r="P714" s="630"/>
      <c r="Q714" s="630"/>
      <c r="R714" s="630"/>
    </row>
    <row r="715" spans="2:18" ht="15.75" customHeight="1" x14ac:dyDescent="0.3">
      <c r="B715" s="741"/>
      <c r="C715" s="742"/>
      <c r="D715" s="742"/>
      <c r="E715" s="742"/>
      <c r="F715" s="630"/>
      <c r="G715" s="630"/>
      <c r="H715" s="630"/>
      <c r="I715" s="630"/>
      <c r="J715" s="631"/>
      <c r="K715" s="630"/>
      <c r="L715" s="630"/>
      <c r="M715" s="632"/>
      <c r="N715" s="631"/>
      <c r="O715" s="630"/>
      <c r="P715" s="630"/>
      <c r="Q715" s="630"/>
      <c r="R715" s="630"/>
    </row>
    <row r="716" spans="2:18" ht="15.75" customHeight="1" x14ac:dyDescent="0.3">
      <c r="B716" s="741"/>
      <c r="C716" s="742"/>
      <c r="D716" s="742"/>
      <c r="E716" s="742"/>
      <c r="F716" s="630"/>
      <c r="G716" s="630"/>
      <c r="H716" s="630"/>
      <c r="I716" s="630"/>
      <c r="J716" s="631"/>
      <c r="K716" s="630"/>
      <c r="L716" s="630"/>
      <c r="M716" s="632"/>
      <c r="N716" s="631"/>
      <c r="O716" s="630"/>
      <c r="P716" s="630"/>
      <c r="Q716" s="630"/>
      <c r="R716" s="630"/>
    </row>
    <row r="717" spans="2:18" ht="15.75" customHeight="1" x14ac:dyDescent="0.3">
      <c r="B717" s="741"/>
      <c r="C717" s="742"/>
      <c r="D717" s="742"/>
      <c r="E717" s="742"/>
      <c r="F717" s="630"/>
      <c r="G717" s="630"/>
      <c r="H717" s="630"/>
      <c r="I717" s="630"/>
      <c r="J717" s="631"/>
      <c r="K717" s="630"/>
      <c r="L717" s="630"/>
      <c r="M717" s="632"/>
      <c r="N717" s="631"/>
      <c r="O717" s="630"/>
      <c r="P717" s="630"/>
      <c r="Q717" s="630"/>
      <c r="R717" s="630"/>
    </row>
    <row r="718" spans="2:18" ht="15.75" customHeight="1" x14ac:dyDescent="0.3">
      <c r="B718" s="741"/>
      <c r="C718" s="742"/>
      <c r="D718" s="742"/>
      <c r="E718" s="742"/>
      <c r="F718" s="630"/>
      <c r="G718" s="630"/>
      <c r="H718" s="630"/>
      <c r="I718" s="630"/>
      <c r="J718" s="631"/>
      <c r="K718" s="630"/>
      <c r="L718" s="630"/>
      <c r="M718" s="632"/>
      <c r="N718" s="631"/>
      <c r="O718" s="630"/>
      <c r="P718" s="630"/>
      <c r="Q718" s="630"/>
      <c r="R718" s="630"/>
    </row>
    <row r="719" spans="2:18" ht="15.75" customHeight="1" x14ac:dyDescent="0.3">
      <c r="B719" s="741"/>
      <c r="C719" s="742"/>
      <c r="D719" s="742"/>
      <c r="E719" s="742"/>
      <c r="F719" s="630"/>
      <c r="G719" s="630"/>
      <c r="H719" s="630"/>
      <c r="I719" s="630"/>
      <c r="J719" s="631"/>
      <c r="K719" s="630"/>
      <c r="L719" s="630"/>
      <c r="M719" s="632"/>
      <c r="N719" s="631"/>
      <c r="O719" s="630"/>
      <c r="P719" s="630"/>
      <c r="Q719" s="630"/>
      <c r="R719" s="630"/>
    </row>
    <row r="720" spans="2:18" ht="15.75" customHeight="1" x14ac:dyDescent="0.3">
      <c r="B720" s="741"/>
      <c r="C720" s="742"/>
      <c r="D720" s="742"/>
      <c r="E720" s="742"/>
      <c r="F720" s="630"/>
      <c r="G720" s="630"/>
      <c r="H720" s="630"/>
      <c r="I720" s="630"/>
      <c r="J720" s="631"/>
      <c r="K720" s="630"/>
      <c r="L720" s="630"/>
      <c r="M720" s="632"/>
      <c r="N720" s="631"/>
      <c r="O720" s="630"/>
      <c r="P720" s="630"/>
      <c r="Q720" s="630"/>
      <c r="R720" s="630"/>
    </row>
    <row r="721" spans="2:18" ht="15.75" customHeight="1" x14ac:dyDescent="0.3">
      <c r="B721" s="741"/>
      <c r="C721" s="742"/>
      <c r="D721" s="742"/>
      <c r="E721" s="742"/>
      <c r="F721" s="630"/>
      <c r="G721" s="630"/>
      <c r="H721" s="630"/>
      <c r="I721" s="630"/>
      <c r="J721" s="631"/>
      <c r="K721" s="630"/>
      <c r="L721" s="630"/>
      <c r="M721" s="632"/>
      <c r="N721" s="631"/>
      <c r="O721" s="630"/>
      <c r="P721" s="630"/>
      <c r="Q721" s="630"/>
      <c r="R721" s="630"/>
    </row>
    <row r="722" spans="2:18" ht="15.75" customHeight="1" x14ac:dyDescent="0.3">
      <c r="B722" s="741"/>
      <c r="C722" s="742"/>
      <c r="D722" s="742"/>
      <c r="E722" s="742"/>
      <c r="F722" s="630"/>
      <c r="G722" s="630"/>
      <c r="H722" s="630"/>
      <c r="I722" s="630"/>
      <c r="J722" s="631"/>
      <c r="K722" s="630"/>
      <c r="L722" s="630"/>
      <c r="M722" s="632"/>
      <c r="N722" s="631"/>
      <c r="O722" s="630"/>
      <c r="P722" s="630"/>
      <c r="Q722" s="630"/>
      <c r="R722" s="630"/>
    </row>
    <row r="723" spans="2:18" ht="15.75" customHeight="1" x14ac:dyDescent="0.3">
      <c r="B723" s="741"/>
      <c r="C723" s="742"/>
      <c r="D723" s="742"/>
      <c r="E723" s="742"/>
      <c r="F723" s="630"/>
      <c r="G723" s="630"/>
      <c r="H723" s="630"/>
      <c r="I723" s="630"/>
      <c r="J723" s="631"/>
      <c r="K723" s="630"/>
      <c r="L723" s="630"/>
      <c r="M723" s="632"/>
      <c r="N723" s="631"/>
      <c r="O723" s="630"/>
      <c r="P723" s="630"/>
      <c r="Q723" s="630"/>
      <c r="R723" s="630"/>
    </row>
    <row r="724" spans="2:18" ht="15.75" customHeight="1" x14ac:dyDescent="0.3">
      <c r="B724" s="741"/>
      <c r="C724" s="742"/>
      <c r="D724" s="742"/>
      <c r="E724" s="742"/>
      <c r="F724" s="630"/>
      <c r="G724" s="630"/>
      <c r="H724" s="630"/>
      <c r="I724" s="630"/>
      <c r="J724" s="631"/>
      <c r="K724" s="630"/>
      <c r="L724" s="630"/>
      <c r="M724" s="632"/>
      <c r="N724" s="631"/>
      <c r="O724" s="630"/>
      <c r="P724" s="630"/>
      <c r="Q724" s="630"/>
      <c r="R724" s="630"/>
    </row>
    <row r="725" spans="2:18" ht="15.75" customHeight="1" x14ac:dyDescent="0.3">
      <c r="B725" s="741"/>
      <c r="C725" s="742"/>
      <c r="D725" s="742"/>
      <c r="E725" s="742"/>
      <c r="F725" s="630"/>
      <c r="G725" s="630"/>
      <c r="H725" s="630"/>
      <c r="I725" s="630"/>
      <c r="J725" s="631"/>
      <c r="K725" s="630"/>
      <c r="L725" s="630"/>
      <c r="M725" s="632"/>
      <c r="N725" s="631"/>
      <c r="O725" s="630"/>
      <c r="P725" s="630"/>
      <c r="Q725" s="630"/>
      <c r="R725" s="630"/>
    </row>
    <row r="726" spans="2:18" ht="15.75" customHeight="1" x14ac:dyDescent="0.3">
      <c r="B726" s="741"/>
      <c r="C726" s="742"/>
      <c r="D726" s="742"/>
      <c r="E726" s="742"/>
      <c r="F726" s="630"/>
      <c r="G726" s="630"/>
      <c r="H726" s="630"/>
      <c r="I726" s="630"/>
      <c r="J726" s="631"/>
      <c r="K726" s="630"/>
      <c r="L726" s="630"/>
      <c r="M726" s="632"/>
      <c r="N726" s="631"/>
      <c r="O726" s="630"/>
      <c r="P726" s="630"/>
      <c r="Q726" s="630"/>
      <c r="R726" s="630"/>
    </row>
    <row r="727" spans="2:18" ht="15.75" customHeight="1" x14ac:dyDescent="0.3">
      <c r="B727" s="741"/>
      <c r="C727" s="742"/>
      <c r="D727" s="742"/>
      <c r="E727" s="742"/>
      <c r="F727" s="630"/>
      <c r="G727" s="630"/>
      <c r="H727" s="630"/>
      <c r="I727" s="630"/>
      <c r="J727" s="631"/>
      <c r="K727" s="630"/>
      <c r="L727" s="630"/>
      <c r="M727" s="632"/>
      <c r="N727" s="631"/>
      <c r="O727" s="630"/>
      <c r="P727" s="630"/>
      <c r="Q727" s="630"/>
      <c r="R727" s="630"/>
    </row>
    <row r="728" spans="2:18" ht="15.75" customHeight="1" x14ac:dyDescent="0.3">
      <c r="B728" s="741"/>
      <c r="C728" s="742"/>
      <c r="D728" s="742"/>
      <c r="E728" s="742"/>
      <c r="F728" s="630"/>
      <c r="G728" s="630"/>
      <c r="H728" s="630"/>
      <c r="I728" s="630"/>
      <c r="J728" s="631"/>
      <c r="K728" s="630"/>
      <c r="L728" s="630"/>
      <c r="M728" s="632"/>
      <c r="N728" s="631"/>
      <c r="O728" s="630"/>
      <c r="P728" s="630"/>
      <c r="Q728" s="630"/>
      <c r="R728" s="630"/>
    </row>
    <row r="729" spans="2:18" ht="15.75" customHeight="1" x14ac:dyDescent="0.3">
      <c r="B729" s="741"/>
      <c r="C729" s="742"/>
      <c r="D729" s="742"/>
      <c r="E729" s="742"/>
      <c r="F729" s="630"/>
      <c r="G729" s="630"/>
      <c r="H729" s="630"/>
      <c r="I729" s="630"/>
      <c r="J729" s="631"/>
      <c r="K729" s="630"/>
      <c r="L729" s="630"/>
      <c r="M729" s="632"/>
      <c r="N729" s="631"/>
      <c r="O729" s="630"/>
      <c r="P729" s="630"/>
      <c r="Q729" s="630"/>
      <c r="R729" s="630"/>
    </row>
    <row r="730" spans="2:18" ht="15.75" customHeight="1" x14ac:dyDescent="0.3">
      <c r="B730" s="741"/>
      <c r="C730" s="742"/>
      <c r="D730" s="742"/>
      <c r="E730" s="742"/>
      <c r="F730" s="630"/>
      <c r="G730" s="630"/>
      <c r="H730" s="630"/>
      <c r="I730" s="630"/>
      <c r="J730" s="631"/>
      <c r="K730" s="630"/>
      <c r="L730" s="630"/>
      <c r="M730" s="632"/>
      <c r="N730" s="631"/>
      <c r="O730" s="630"/>
      <c r="P730" s="630"/>
      <c r="Q730" s="630"/>
      <c r="R730" s="630"/>
    </row>
    <row r="731" spans="2:18" ht="15.75" customHeight="1" x14ac:dyDescent="0.3">
      <c r="B731" s="741"/>
      <c r="C731" s="742"/>
      <c r="D731" s="742"/>
      <c r="E731" s="742"/>
      <c r="F731" s="630"/>
      <c r="G731" s="630"/>
      <c r="H731" s="630"/>
      <c r="I731" s="630"/>
      <c r="J731" s="631"/>
      <c r="K731" s="630"/>
      <c r="L731" s="630"/>
      <c r="M731" s="632"/>
      <c r="N731" s="631"/>
      <c r="O731" s="630"/>
      <c r="P731" s="630"/>
      <c r="Q731" s="630"/>
      <c r="R731" s="630"/>
    </row>
    <row r="732" spans="2:18" ht="15.75" customHeight="1" x14ac:dyDescent="0.3">
      <c r="B732" s="741"/>
      <c r="C732" s="742"/>
      <c r="D732" s="742"/>
      <c r="E732" s="742"/>
      <c r="F732" s="630"/>
      <c r="G732" s="630"/>
      <c r="H732" s="630"/>
      <c r="I732" s="630"/>
      <c r="J732" s="631"/>
      <c r="K732" s="630"/>
      <c r="L732" s="630"/>
      <c r="M732" s="632"/>
      <c r="N732" s="631"/>
      <c r="O732" s="630"/>
      <c r="P732" s="630"/>
      <c r="Q732" s="630"/>
      <c r="R732" s="630"/>
    </row>
    <row r="733" spans="2:18" ht="15.75" customHeight="1" x14ac:dyDescent="0.3">
      <c r="B733" s="741"/>
      <c r="C733" s="742"/>
      <c r="D733" s="742"/>
      <c r="E733" s="742"/>
      <c r="F733" s="630"/>
      <c r="G733" s="630"/>
      <c r="H733" s="630"/>
      <c r="I733" s="630"/>
      <c r="J733" s="631"/>
      <c r="K733" s="630"/>
      <c r="L733" s="630"/>
      <c r="M733" s="632"/>
      <c r="N733" s="631"/>
      <c r="O733" s="630"/>
      <c r="P733" s="630"/>
      <c r="Q733" s="630"/>
      <c r="R733" s="630"/>
    </row>
    <row r="734" spans="2:18" ht="15.75" customHeight="1" x14ac:dyDescent="0.3">
      <c r="B734" s="741"/>
      <c r="C734" s="742"/>
      <c r="D734" s="742"/>
      <c r="E734" s="742"/>
      <c r="F734" s="630"/>
      <c r="G734" s="630"/>
      <c r="H734" s="630"/>
      <c r="I734" s="630"/>
      <c r="J734" s="631"/>
      <c r="K734" s="630"/>
      <c r="L734" s="630"/>
      <c r="M734" s="632"/>
      <c r="N734" s="631"/>
      <c r="O734" s="630"/>
      <c r="P734" s="630"/>
      <c r="Q734" s="630"/>
      <c r="R734" s="630"/>
    </row>
    <row r="735" spans="2:18" ht="15.75" customHeight="1" x14ac:dyDescent="0.3">
      <c r="B735" s="741"/>
      <c r="C735" s="742"/>
      <c r="D735" s="742"/>
      <c r="E735" s="742"/>
      <c r="F735" s="630"/>
      <c r="G735" s="630"/>
      <c r="H735" s="630"/>
      <c r="I735" s="630"/>
      <c r="J735" s="631"/>
      <c r="K735" s="630"/>
      <c r="L735" s="630"/>
      <c r="M735" s="632"/>
      <c r="N735" s="631"/>
      <c r="O735" s="630"/>
      <c r="P735" s="630"/>
      <c r="Q735" s="630"/>
      <c r="R735" s="630"/>
    </row>
    <row r="736" spans="2:18" ht="15.75" customHeight="1" x14ac:dyDescent="0.3">
      <c r="B736" s="741"/>
      <c r="C736" s="742"/>
      <c r="D736" s="742"/>
      <c r="E736" s="742"/>
      <c r="F736" s="630"/>
      <c r="G736" s="630"/>
      <c r="H736" s="630"/>
      <c r="I736" s="630"/>
      <c r="J736" s="631"/>
      <c r="K736" s="630"/>
      <c r="L736" s="630"/>
      <c r="M736" s="632"/>
      <c r="N736" s="631"/>
      <c r="O736" s="630"/>
      <c r="P736" s="630"/>
      <c r="Q736" s="630"/>
      <c r="R736" s="630"/>
    </row>
    <row r="737" spans="2:18" ht="15.75" customHeight="1" x14ac:dyDescent="0.3">
      <c r="B737" s="741"/>
      <c r="C737" s="742"/>
      <c r="D737" s="742"/>
      <c r="E737" s="742"/>
      <c r="F737" s="630"/>
      <c r="G737" s="630"/>
      <c r="H737" s="630"/>
      <c r="I737" s="630"/>
      <c r="J737" s="631"/>
      <c r="K737" s="630"/>
      <c r="L737" s="630"/>
      <c r="M737" s="632"/>
      <c r="N737" s="631"/>
      <c r="O737" s="630"/>
      <c r="P737" s="630"/>
      <c r="Q737" s="630"/>
      <c r="R737" s="630"/>
    </row>
    <row r="738" spans="2:18" ht="15.75" customHeight="1" x14ac:dyDescent="0.3">
      <c r="B738" s="741"/>
      <c r="C738" s="742"/>
      <c r="D738" s="742"/>
      <c r="E738" s="742"/>
      <c r="F738" s="630"/>
      <c r="G738" s="630"/>
      <c r="H738" s="630"/>
      <c r="I738" s="630"/>
      <c r="J738" s="631"/>
      <c r="K738" s="630"/>
      <c r="L738" s="630"/>
      <c r="M738" s="632"/>
      <c r="N738" s="631"/>
      <c r="O738" s="630"/>
      <c r="P738" s="630"/>
      <c r="Q738" s="630"/>
      <c r="R738" s="630"/>
    </row>
    <row r="739" spans="2:18" ht="15.75" customHeight="1" x14ac:dyDescent="0.3">
      <c r="B739" s="741"/>
      <c r="C739" s="742"/>
      <c r="D739" s="742"/>
      <c r="E739" s="742"/>
      <c r="F739" s="630"/>
      <c r="G739" s="630"/>
      <c r="H739" s="630"/>
      <c r="I739" s="630"/>
      <c r="J739" s="631"/>
      <c r="K739" s="630"/>
      <c r="L739" s="630"/>
      <c r="M739" s="632"/>
      <c r="N739" s="631"/>
      <c r="O739" s="630"/>
      <c r="P739" s="630"/>
      <c r="Q739" s="630"/>
      <c r="R739" s="630"/>
    </row>
    <row r="740" spans="2:18" ht="15.75" customHeight="1" x14ac:dyDescent="0.3">
      <c r="B740" s="741"/>
      <c r="C740" s="742"/>
      <c r="D740" s="742"/>
      <c r="E740" s="742"/>
      <c r="F740" s="630"/>
      <c r="G740" s="630"/>
      <c r="H740" s="630"/>
      <c r="I740" s="630"/>
      <c r="J740" s="631"/>
      <c r="K740" s="630"/>
      <c r="L740" s="630"/>
      <c r="M740" s="632"/>
      <c r="N740" s="631"/>
      <c r="O740" s="630"/>
      <c r="P740" s="630"/>
      <c r="Q740" s="630"/>
      <c r="R740" s="630"/>
    </row>
    <row r="741" spans="2:18" ht="15.75" customHeight="1" x14ac:dyDescent="0.3">
      <c r="B741" s="741"/>
      <c r="C741" s="742"/>
      <c r="D741" s="742"/>
      <c r="E741" s="742"/>
      <c r="F741" s="630"/>
      <c r="G741" s="630"/>
      <c r="H741" s="630"/>
      <c r="I741" s="630"/>
      <c r="J741" s="631"/>
      <c r="K741" s="630"/>
      <c r="L741" s="630"/>
      <c r="M741" s="632"/>
      <c r="N741" s="631"/>
      <c r="O741" s="630"/>
      <c r="P741" s="630"/>
      <c r="Q741" s="630"/>
      <c r="R741" s="630"/>
    </row>
    <row r="742" spans="2:18" ht="15.75" customHeight="1" x14ac:dyDescent="0.3">
      <c r="B742" s="741"/>
      <c r="C742" s="742"/>
      <c r="D742" s="742"/>
      <c r="E742" s="742"/>
      <c r="F742" s="630"/>
      <c r="G742" s="630"/>
      <c r="H742" s="630"/>
      <c r="I742" s="630"/>
      <c r="J742" s="631"/>
      <c r="K742" s="630"/>
      <c r="L742" s="630"/>
      <c r="M742" s="632"/>
      <c r="N742" s="631"/>
      <c r="O742" s="630"/>
      <c r="P742" s="630"/>
      <c r="Q742" s="630"/>
      <c r="R742" s="630"/>
    </row>
    <row r="743" spans="2:18" ht="15.75" customHeight="1" x14ac:dyDescent="0.3">
      <c r="B743" s="741"/>
      <c r="C743" s="742"/>
      <c r="D743" s="742"/>
      <c r="E743" s="742"/>
      <c r="F743" s="630"/>
      <c r="G743" s="630"/>
      <c r="H743" s="630"/>
      <c r="I743" s="630"/>
      <c r="J743" s="631"/>
      <c r="K743" s="630"/>
      <c r="L743" s="630"/>
      <c r="M743" s="632"/>
      <c r="N743" s="631"/>
      <c r="O743" s="630"/>
      <c r="P743" s="630"/>
      <c r="Q743" s="630"/>
      <c r="R743" s="630"/>
    </row>
    <row r="744" spans="2:18" ht="15.75" customHeight="1" x14ac:dyDescent="0.3">
      <c r="B744" s="741"/>
      <c r="C744" s="742"/>
      <c r="D744" s="742"/>
      <c r="E744" s="742"/>
      <c r="F744" s="630"/>
      <c r="G744" s="630"/>
      <c r="H744" s="630"/>
      <c r="I744" s="630"/>
      <c r="J744" s="631"/>
      <c r="K744" s="630"/>
      <c r="L744" s="630"/>
      <c r="M744" s="632"/>
      <c r="N744" s="631"/>
      <c r="O744" s="630"/>
      <c r="P744" s="630"/>
      <c r="Q744" s="630"/>
      <c r="R744" s="630"/>
    </row>
    <row r="745" spans="2:18" ht="15.75" customHeight="1" x14ac:dyDescent="0.3">
      <c r="B745" s="741"/>
      <c r="C745" s="742"/>
      <c r="D745" s="742"/>
      <c r="E745" s="742"/>
      <c r="F745" s="630"/>
      <c r="G745" s="630"/>
      <c r="H745" s="630"/>
      <c r="I745" s="630"/>
      <c r="J745" s="631"/>
      <c r="K745" s="630"/>
      <c r="L745" s="630"/>
      <c r="M745" s="632"/>
      <c r="N745" s="631"/>
      <c r="O745" s="630"/>
      <c r="P745" s="630"/>
      <c r="Q745" s="630"/>
      <c r="R745" s="630"/>
    </row>
    <row r="746" spans="2:18" ht="15.75" customHeight="1" x14ac:dyDescent="0.3">
      <c r="B746" s="741"/>
      <c r="C746" s="742"/>
      <c r="D746" s="742"/>
      <c r="E746" s="742"/>
      <c r="F746" s="630"/>
      <c r="G746" s="630"/>
      <c r="H746" s="630"/>
      <c r="I746" s="630"/>
      <c r="J746" s="631"/>
      <c r="K746" s="630"/>
      <c r="L746" s="630"/>
      <c r="M746" s="632"/>
      <c r="N746" s="631"/>
      <c r="O746" s="630"/>
      <c r="P746" s="630"/>
      <c r="Q746" s="630"/>
      <c r="R746" s="630"/>
    </row>
    <row r="747" spans="2:18" ht="15.75" customHeight="1" x14ac:dyDescent="0.3">
      <c r="B747" s="741"/>
      <c r="C747" s="742"/>
      <c r="D747" s="742"/>
      <c r="E747" s="742"/>
      <c r="F747" s="630"/>
      <c r="G747" s="630"/>
      <c r="H747" s="630"/>
      <c r="I747" s="630"/>
      <c r="J747" s="631"/>
      <c r="K747" s="630"/>
      <c r="L747" s="630"/>
      <c r="M747" s="632"/>
      <c r="N747" s="631"/>
      <c r="O747" s="630"/>
      <c r="P747" s="630"/>
      <c r="Q747" s="630"/>
      <c r="R747" s="630"/>
    </row>
    <row r="748" spans="2:18" ht="15.75" customHeight="1" x14ac:dyDescent="0.3">
      <c r="B748" s="741"/>
      <c r="C748" s="742"/>
      <c r="D748" s="742"/>
      <c r="E748" s="742"/>
      <c r="F748" s="630"/>
      <c r="G748" s="630"/>
      <c r="H748" s="630"/>
      <c r="I748" s="630"/>
      <c r="J748" s="631"/>
      <c r="K748" s="630"/>
      <c r="L748" s="630"/>
      <c r="M748" s="632"/>
      <c r="N748" s="631"/>
      <c r="O748" s="630"/>
      <c r="P748" s="630"/>
      <c r="Q748" s="630"/>
      <c r="R748" s="630"/>
    </row>
    <row r="749" spans="2:18" ht="15.75" customHeight="1" x14ac:dyDescent="0.3">
      <c r="B749" s="741"/>
      <c r="C749" s="742"/>
      <c r="D749" s="742"/>
      <c r="E749" s="742"/>
      <c r="F749" s="630"/>
      <c r="G749" s="630"/>
      <c r="H749" s="630"/>
      <c r="I749" s="630"/>
      <c r="J749" s="631"/>
      <c r="K749" s="630"/>
      <c r="L749" s="630"/>
      <c r="M749" s="632"/>
      <c r="N749" s="631"/>
      <c r="O749" s="630"/>
      <c r="P749" s="630"/>
      <c r="Q749" s="630"/>
      <c r="R749" s="630"/>
    </row>
    <row r="750" spans="2:18" ht="15.75" customHeight="1" x14ac:dyDescent="0.3">
      <c r="B750" s="741"/>
      <c r="C750" s="742"/>
      <c r="D750" s="742"/>
      <c r="E750" s="742"/>
      <c r="F750" s="630"/>
      <c r="G750" s="630"/>
      <c r="H750" s="630"/>
      <c r="I750" s="630"/>
      <c r="J750" s="631"/>
      <c r="K750" s="630"/>
      <c r="L750" s="630"/>
      <c r="M750" s="632"/>
      <c r="N750" s="631"/>
      <c r="O750" s="630"/>
      <c r="P750" s="630"/>
      <c r="Q750" s="630"/>
      <c r="R750" s="630"/>
    </row>
    <row r="751" spans="2:18" ht="15.75" customHeight="1" x14ac:dyDescent="0.3">
      <c r="B751" s="741"/>
      <c r="C751" s="742"/>
      <c r="D751" s="742"/>
      <c r="E751" s="742"/>
      <c r="F751" s="630"/>
      <c r="G751" s="630"/>
      <c r="H751" s="630"/>
      <c r="I751" s="630"/>
      <c r="J751" s="631"/>
      <c r="K751" s="630"/>
      <c r="L751" s="630"/>
      <c r="M751" s="632"/>
      <c r="N751" s="631"/>
      <c r="O751" s="630"/>
      <c r="P751" s="630"/>
      <c r="Q751" s="630"/>
      <c r="R751" s="630"/>
    </row>
    <row r="752" spans="2:18" ht="15.75" customHeight="1" x14ac:dyDescent="0.3">
      <c r="B752" s="741"/>
      <c r="C752" s="742"/>
      <c r="D752" s="742"/>
      <c r="E752" s="742"/>
      <c r="F752" s="630"/>
      <c r="G752" s="630"/>
      <c r="H752" s="630"/>
      <c r="I752" s="630"/>
      <c r="J752" s="631"/>
      <c r="K752" s="630"/>
      <c r="L752" s="630"/>
      <c r="M752" s="632"/>
      <c r="N752" s="631"/>
      <c r="O752" s="630"/>
      <c r="P752" s="630"/>
      <c r="Q752" s="630"/>
      <c r="R752" s="630"/>
    </row>
    <row r="753" spans="2:18" ht="15.75" customHeight="1" x14ac:dyDescent="0.3">
      <c r="B753" s="741"/>
      <c r="C753" s="742"/>
      <c r="D753" s="742"/>
      <c r="E753" s="742"/>
      <c r="F753" s="630"/>
      <c r="G753" s="630"/>
      <c r="H753" s="630"/>
      <c r="I753" s="630"/>
      <c r="J753" s="631"/>
      <c r="K753" s="630"/>
      <c r="L753" s="630"/>
      <c r="M753" s="632"/>
      <c r="N753" s="631"/>
      <c r="O753" s="630"/>
      <c r="P753" s="630"/>
      <c r="Q753" s="630"/>
      <c r="R753" s="630"/>
    </row>
    <row r="754" spans="2:18" ht="15.75" customHeight="1" x14ac:dyDescent="0.3">
      <c r="B754" s="741"/>
      <c r="C754" s="742"/>
      <c r="D754" s="742"/>
      <c r="E754" s="742"/>
      <c r="F754" s="630"/>
      <c r="G754" s="630"/>
      <c r="H754" s="630"/>
      <c r="I754" s="630"/>
      <c r="J754" s="631"/>
      <c r="K754" s="630"/>
      <c r="L754" s="630"/>
      <c r="M754" s="632"/>
      <c r="N754" s="631"/>
      <c r="O754" s="630"/>
      <c r="P754" s="630"/>
      <c r="Q754" s="630"/>
      <c r="R754" s="630"/>
    </row>
    <row r="755" spans="2:18" ht="15.75" customHeight="1" x14ac:dyDescent="0.3">
      <c r="B755" s="741"/>
      <c r="C755" s="742"/>
      <c r="D755" s="742"/>
      <c r="E755" s="742"/>
      <c r="F755" s="630"/>
      <c r="G755" s="630"/>
      <c r="H755" s="630"/>
      <c r="I755" s="630"/>
      <c r="J755" s="631"/>
      <c r="K755" s="630"/>
      <c r="L755" s="630"/>
      <c r="M755" s="632"/>
      <c r="N755" s="631"/>
      <c r="O755" s="630"/>
      <c r="P755" s="630"/>
      <c r="Q755" s="630"/>
      <c r="R755" s="630"/>
    </row>
    <row r="756" spans="2:18" ht="15.75" customHeight="1" x14ac:dyDescent="0.3">
      <c r="B756" s="741"/>
      <c r="C756" s="742"/>
      <c r="D756" s="742"/>
      <c r="E756" s="742"/>
      <c r="F756" s="630"/>
      <c r="G756" s="630"/>
      <c r="H756" s="630"/>
      <c r="I756" s="630"/>
      <c r="J756" s="631"/>
      <c r="K756" s="630"/>
      <c r="L756" s="630"/>
      <c r="M756" s="632"/>
      <c r="N756" s="631"/>
      <c r="O756" s="630"/>
      <c r="P756" s="630"/>
      <c r="Q756" s="630"/>
      <c r="R756" s="630"/>
    </row>
    <row r="757" spans="2:18" ht="15.75" customHeight="1" x14ac:dyDescent="0.3">
      <c r="B757" s="741"/>
      <c r="C757" s="742"/>
      <c r="D757" s="742"/>
      <c r="E757" s="742"/>
      <c r="F757" s="630"/>
      <c r="G757" s="630"/>
      <c r="H757" s="630"/>
      <c r="I757" s="630"/>
      <c r="J757" s="631"/>
      <c r="K757" s="630"/>
      <c r="L757" s="630"/>
      <c r="M757" s="632"/>
      <c r="N757" s="631"/>
      <c r="O757" s="630"/>
      <c r="P757" s="630"/>
      <c r="Q757" s="630"/>
      <c r="R757" s="630"/>
    </row>
    <row r="758" spans="2:18" ht="15.75" customHeight="1" x14ac:dyDescent="0.3">
      <c r="B758" s="741"/>
      <c r="C758" s="742"/>
      <c r="D758" s="742"/>
      <c r="E758" s="742"/>
      <c r="F758" s="630"/>
      <c r="G758" s="630"/>
      <c r="H758" s="630"/>
      <c r="I758" s="630"/>
      <c r="J758" s="631"/>
      <c r="K758" s="630"/>
      <c r="L758" s="630"/>
      <c r="M758" s="632"/>
      <c r="N758" s="631"/>
      <c r="O758" s="630"/>
      <c r="P758" s="630"/>
      <c r="Q758" s="630"/>
      <c r="R758" s="630"/>
    </row>
    <row r="759" spans="2:18" ht="15.75" customHeight="1" x14ac:dyDescent="0.3">
      <c r="B759" s="741"/>
      <c r="C759" s="742"/>
      <c r="D759" s="742"/>
      <c r="E759" s="742"/>
      <c r="F759" s="630"/>
      <c r="G759" s="630"/>
      <c r="H759" s="630"/>
      <c r="I759" s="630"/>
      <c r="J759" s="631"/>
      <c r="K759" s="630"/>
      <c r="L759" s="630"/>
      <c r="M759" s="632"/>
      <c r="N759" s="631"/>
      <c r="O759" s="630"/>
      <c r="P759" s="630"/>
      <c r="Q759" s="630"/>
      <c r="R759" s="630"/>
    </row>
    <row r="760" spans="2:18" ht="15.75" customHeight="1" x14ac:dyDescent="0.3">
      <c r="B760" s="741"/>
      <c r="C760" s="742"/>
      <c r="D760" s="742"/>
      <c r="E760" s="742"/>
      <c r="F760" s="630"/>
      <c r="G760" s="630"/>
      <c r="H760" s="630"/>
      <c r="I760" s="630"/>
      <c r="J760" s="631"/>
      <c r="K760" s="630"/>
      <c r="L760" s="630"/>
      <c r="M760" s="632"/>
      <c r="N760" s="631"/>
      <c r="O760" s="630"/>
      <c r="P760" s="630"/>
      <c r="Q760" s="630"/>
      <c r="R760" s="630"/>
    </row>
    <row r="761" spans="2:18" ht="15.75" customHeight="1" x14ac:dyDescent="0.3">
      <c r="B761" s="741"/>
      <c r="C761" s="742"/>
      <c r="D761" s="742"/>
      <c r="E761" s="742"/>
      <c r="F761" s="630"/>
      <c r="G761" s="630"/>
      <c r="H761" s="630"/>
      <c r="I761" s="630"/>
      <c r="J761" s="631"/>
      <c r="K761" s="630"/>
      <c r="L761" s="630"/>
      <c r="M761" s="632"/>
      <c r="N761" s="631"/>
      <c r="O761" s="630"/>
      <c r="P761" s="630"/>
      <c r="Q761" s="630"/>
      <c r="R761" s="630"/>
    </row>
    <row r="762" spans="2:18" ht="15.75" customHeight="1" x14ac:dyDescent="0.3">
      <c r="B762" s="741"/>
      <c r="C762" s="742"/>
      <c r="D762" s="742"/>
      <c r="E762" s="742"/>
      <c r="F762" s="630"/>
      <c r="G762" s="630"/>
      <c r="H762" s="630"/>
      <c r="I762" s="630"/>
      <c r="J762" s="631"/>
      <c r="K762" s="630"/>
      <c r="L762" s="630"/>
      <c r="M762" s="632"/>
      <c r="N762" s="631"/>
      <c r="O762" s="630"/>
      <c r="P762" s="630"/>
      <c r="Q762" s="630"/>
      <c r="R762" s="630"/>
    </row>
    <row r="763" spans="2:18" ht="15.75" customHeight="1" x14ac:dyDescent="0.3">
      <c r="B763" s="741"/>
      <c r="C763" s="742"/>
      <c r="D763" s="742"/>
      <c r="E763" s="742"/>
      <c r="F763" s="630"/>
      <c r="G763" s="630"/>
      <c r="H763" s="630"/>
      <c r="I763" s="630"/>
      <c r="J763" s="631"/>
      <c r="K763" s="630"/>
      <c r="L763" s="630"/>
      <c r="M763" s="632"/>
      <c r="N763" s="631"/>
      <c r="O763" s="630"/>
      <c r="P763" s="630"/>
      <c r="Q763" s="630"/>
      <c r="R763" s="630"/>
    </row>
    <row r="764" spans="2:18" ht="15.75" customHeight="1" x14ac:dyDescent="0.3">
      <c r="B764" s="741"/>
      <c r="C764" s="742"/>
      <c r="D764" s="742"/>
      <c r="E764" s="742"/>
      <c r="F764" s="630"/>
      <c r="G764" s="630"/>
      <c r="H764" s="630"/>
      <c r="I764" s="630"/>
      <c r="J764" s="631"/>
      <c r="K764" s="630"/>
      <c r="L764" s="630"/>
      <c r="M764" s="632"/>
      <c r="N764" s="631"/>
      <c r="O764" s="630"/>
      <c r="P764" s="630"/>
      <c r="Q764" s="630"/>
      <c r="R764" s="630"/>
    </row>
    <row r="765" spans="2:18" ht="15.75" customHeight="1" x14ac:dyDescent="0.3">
      <c r="B765" s="741"/>
      <c r="C765" s="742"/>
      <c r="D765" s="742"/>
      <c r="E765" s="742"/>
      <c r="F765" s="630"/>
      <c r="G765" s="630"/>
      <c r="H765" s="630"/>
      <c r="I765" s="630"/>
      <c r="J765" s="631"/>
      <c r="K765" s="630"/>
      <c r="L765" s="630"/>
      <c r="M765" s="632"/>
      <c r="N765" s="631"/>
      <c r="O765" s="630"/>
      <c r="P765" s="630"/>
      <c r="Q765" s="630"/>
      <c r="R765" s="630"/>
    </row>
    <row r="766" spans="2:18" ht="15.75" customHeight="1" x14ac:dyDescent="0.3">
      <c r="B766" s="741"/>
      <c r="C766" s="742"/>
      <c r="D766" s="742"/>
      <c r="E766" s="742"/>
      <c r="F766" s="630"/>
      <c r="G766" s="630"/>
      <c r="H766" s="630"/>
      <c r="I766" s="630"/>
      <c r="J766" s="631"/>
      <c r="K766" s="630"/>
      <c r="L766" s="630"/>
      <c r="M766" s="632"/>
      <c r="N766" s="631"/>
      <c r="O766" s="630"/>
      <c r="P766" s="630"/>
      <c r="Q766" s="630"/>
      <c r="R766" s="630"/>
    </row>
    <row r="767" spans="2:18" ht="15.75" customHeight="1" x14ac:dyDescent="0.3">
      <c r="B767" s="741"/>
      <c r="C767" s="742"/>
      <c r="D767" s="742"/>
      <c r="E767" s="742"/>
      <c r="F767" s="630"/>
      <c r="G767" s="630"/>
      <c r="H767" s="630"/>
      <c r="I767" s="630"/>
      <c r="J767" s="631"/>
      <c r="K767" s="630"/>
      <c r="L767" s="630"/>
      <c r="M767" s="632"/>
      <c r="N767" s="631"/>
      <c r="O767" s="630"/>
      <c r="P767" s="630"/>
      <c r="Q767" s="630"/>
      <c r="R767" s="630"/>
    </row>
    <row r="768" spans="2:18" ht="15.75" customHeight="1" x14ac:dyDescent="0.3">
      <c r="B768" s="741"/>
      <c r="C768" s="742"/>
      <c r="D768" s="742"/>
      <c r="E768" s="742"/>
      <c r="F768" s="630"/>
      <c r="G768" s="630"/>
      <c r="H768" s="630"/>
      <c r="I768" s="630"/>
      <c r="J768" s="631"/>
      <c r="K768" s="630"/>
      <c r="L768" s="630"/>
      <c r="M768" s="632"/>
      <c r="N768" s="631"/>
      <c r="O768" s="630"/>
      <c r="P768" s="630"/>
      <c r="Q768" s="630"/>
      <c r="R768" s="630"/>
    </row>
    <row r="769" spans="2:18" ht="15.75" customHeight="1" x14ac:dyDescent="0.3">
      <c r="B769" s="741"/>
      <c r="C769" s="742"/>
      <c r="D769" s="742"/>
      <c r="E769" s="742"/>
      <c r="F769" s="630"/>
      <c r="G769" s="630"/>
      <c r="H769" s="630"/>
      <c r="I769" s="630"/>
      <c r="J769" s="631"/>
      <c r="K769" s="630"/>
      <c r="L769" s="630"/>
      <c r="M769" s="632"/>
      <c r="N769" s="631"/>
      <c r="O769" s="630"/>
      <c r="P769" s="630"/>
      <c r="Q769" s="630"/>
      <c r="R769" s="630"/>
    </row>
    <row r="770" spans="2:18" ht="15.75" customHeight="1" x14ac:dyDescent="0.3">
      <c r="B770" s="741"/>
      <c r="C770" s="742"/>
      <c r="D770" s="742"/>
      <c r="E770" s="742"/>
      <c r="F770" s="630"/>
      <c r="G770" s="630"/>
      <c r="H770" s="630"/>
      <c r="I770" s="630"/>
      <c r="J770" s="631"/>
      <c r="K770" s="630"/>
      <c r="L770" s="630"/>
      <c r="M770" s="632"/>
      <c r="N770" s="631"/>
      <c r="O770" s="630"/>
      <c r="P770" s="630"/>
      <c r="Q770" s="630"/>
      <c r="R770" s="630"/>
    </row>
    <row r="771" spans="2:18" ht="15.75" customHeight="1" x14ac:dyDescent="0.3">
      <c r="B771" s="741"/>
      <c r="C771" s="742"/>
      <c r="D771" s="742"/>
      <c r="E771" s="742"/>
      <c r="F771" s="630"/>
      <c r="G771" s="630"/>
      <c r="H771" s="630"/>
      <c r="I771" s="630"/>
      <c r="J771" s="631"/>
      <c r="K771" s="630"/>
      <c r="L771" s="630"/>
      <c r="M771" s="632"/>
      <c r="N771" s="631"/>
      <c r="O771" s="630"/>
      <c r="P771" s="630"/>
      <c r="Q771" s="630"/>
      <c r="R771" s="630"/>
    </row>
    <row r="772" spans="2:18" ht="15.75" customHeight="1" x14ac:dyDescent="0.3">
      <c r="B772" s="741"/>
      <c r="C772" s="742"/>
      <c r="D772" s="742"/>
      <c r="E772" s="742"/>
      <c r="F772" s="630"/>
      <c r="G772" s="630"/>
      <c r="H772" s="630"/>
      <c r="I772" s="630"/>
      <c r="J772" s="631"/>
      <c r="K772" s="630"/>
      <c r="L772" s="630"/>
      <c r="M772" s="632"/>
      <c r="N772" s="631"/>
      <c r="O772" s="630"/>
      <c r="P772" s="630"/>
      <c r="Q772" s="630"/>
      <c r="R772" s="630"/>
    </row>
    <row r="773" spans="2:18" ht="15.75" customHeight="1" x14ac:dyDescent="0.3">
      <c r="B773" s="741"/>
      <c r="C773" s="742"/>
      <c r="D773" s="742"/>
      <c r="E773" s="742"/>
      <c r="F773" s="630"/>
      <c r="G773" s="630"/>
      <c r="H773" s="630"/>
      <c r="I773" s="630"/>
      <c r="J773" s="631"/>
      <c r="K773" s="630"/>
      <c r="L773" s="630"/>
      <c r="M773" s="632"/>
      <c r="N773" s="631"/>
      <c r="O773" s="630"/>
      <c r="P773" s="630"/>
      <c r="Q773" s="630"/>
      <c r="R773" s="630"/>
    </row>
    <row r="774" spans="2:18" ht="15.75" customHeight="1" x14ac:dyDescent="0.3">
      <c r="B774" s="741"/>
      <c r="C774" s="742"/>
      <c r="D774" s="742"/>
      <c r="E774" s="742"/>
      <c r="F774" s="630"/>
      <c r="G774" s="630"/>
      <c r="H774" s="630"/>
      <c r="I774" s="630"/>
      <c r="J774" s="631"/>
      <c r="K774" s="630"/>
      <c r="L774" s="630"/>
      <c r="M774" s="632"/>
      <c r="N774" s="631"/>
      <c r="O774" s="630"/>
      <c r="P774" s="630"/>
      <c r="Q774" s="630"/>
      <c r="R774" s="630"/>
    </row>
    <row r="775" spans="2:18" ht="15.75" customHeight="1" x14ac:dyDescent="0.3">
      <c r="B775" s="741"/>
      <c r="C775" s="742"/>
      <c r="D775" s="742"/>
      <c r="E775" s="742"/>
      <c r="F775" s="630"/>
      <c r="G775" s="630"/>
      <c r="H775" s="630"/>
      <c r="I775" s="630"/>
      <c r="J775" s="631"/>
      <c r="K775" s="630"/>
      <c r="L775" s="630"/>
      <c r="M775" s="632"/>
      <c r="N775" s="631"/>
      <c r="O775" s="630"/>
      <c r="P775" s="630"/>
      <c r="Q775" s="630"/>
      <c r="R775" s="630"/>
    </row>
    <row r="776" spans="2:18" ht="15.75" customHeight="1" x14ac:dyDescent="0.3">
      <c r="B776" s="741"/>
      <c r="C776" s="742"/>
      <c r="D776" s="742"/>
      <c r="E776" s="742"/>
      <c r="F776" s="630"/>
      <c r="G776" s="630"/>
      <c r="H776" s="630"/>
      <c r="I776" s="630"/>
      <c r="J776" s="631"/>
      <c r="K776" s="630"/>
      <c r="L776" s="630"/>
      <c r="M776" s="632"/>
      <c r="N776" s="631"/>
      <c r="O776" s="630"/>
      <c r="P776" s="630"/>
      <c r="Q776" s="630"/>
      <c r="R776" s="630"/>
    </row>
    <row r="777" spans="2:18" ht="15.75" customHeight="1" x14ac:dyDescent="0.3">
      <c r="B777" s="741"/>
      <c r="C777" s="742"/>
      <c r="D777" s="742"/>
      <c r="E777" s="742"/>
      <c r="F777" s="630"/>
      <c r="G777" s="630"/>
      <c r="H777" s="630"/>
      <c r="I777" s="630"/>
      <c r="J777" s="631"/>
      <c r="K777" s="630"/>
      <c r="L777" s="630"/>
      <c r="M777" s="632"/>
      <c r="N777" s="631"/>
      <c r="O777" s="630"/>
      <c r="P777" s="630"/>
      <c r="Q777" s="630"/>
      <c r="R777" s="630"/>
    </row>
    <row r="778" spans="2:18" ht="15.75" customHeight="1" x14ac:dyDescent="0.3">
      <c r="B778" s="741"/>
      <c r="C778" s="742"/>
      <c r="D778" s="742"/>
      <c r="E778" s="742"/>
      <c r="F778" s="630"/>
      <c r="G778" s="630"/>
      <c r="H778" s="630"/>
      <c r="I778" s="630"/>
      <c r="J778" s="631"/>
      <c r="K778" s="630"/>
      <c r="L778" s="630"/>
      <c r="M778" s="632"/>
      <c r="N778" s="631"/>
      <c r="O778" s="630"/>
      <c r="P778" s="630"/>
      <c r="Q778" s="630"/>
      <c r="R778" s="630"/>
    </row>
    <row r="779" spans="2:18" ht="15.75" customHeight="1" x14ac:dyDescent="0.3">
      <c r="B779" s="741"/>
      <c r="C779" s="742"/>
      <c r="D779" s="742"/>
      <c r="E779" s="742"/>
      <c r="F779" s="630"/>
      <c r="G779" s="630"/>
      <c r="H779" s="630"/>
      <c r="I779" s="630"/>
      <c r="J779" s="631"/>
      <c r="K779" s="630"/>
      <c r="L779" s="630"/>
      <c r="M779" s="632"/>
      <c r="N779" s="631"/>
      <c r="O779" s="630"/>
      <c r="P779" s="630"/>
      <c r="Q779" s="630"/>
      <c r="R779" s="630"/>
    </row>
    <row r="780" spans="2:18" ht="15.75" customHeight="1" x14ac:dyDescent="0.3">
      <c r="B780" s="741"/>
      <c r="C780" s="742"/>
      <c r="D780" s="742"/>
      <c r="E780" s="742"/>
      <c r="F780" s="630"/>
      <c r="G780" s="630"/>
      <c r="H780" s="630"/>
      <c r="I780" s="630"/>
      <c r="J780" s="631"/>
      <c r="K780" s="630"/>
      <c r="L780" s="630"/>
      <c r="M780" s="632"/>
      <c r="N780" s="631"/>
      <c r="O780" s="630"/>
      <c r="P780" s="630"/>
      <c r="Q780" s="630"/>
      <c r="R780" s="630"/>
    </row>
    <row r="781" spans="2:18" ht="15.75" customHeight="1" x14ac:dyDescent="0.3">
      <c r="B781" s="741"/>
      <c r="C781" s="742"/>
      <c r="D781" s="742"/>
      <c r="E781" s="742"/>
      <c r="F781" s="630"/>
      <c r="G781" s="630"/>
      <c r="H781" s="630"/>
      <c r="I781" s="630"/>
      <c r="J781" s="631"/>
      <c r="K781" s="630"/>
      <c r="L781" s="630"/>
      <c r="M781" s="632"/>
      <c r="N781" s="631"/>
      <c r="O781" s="630"/>
      <c r="P781" s="630"/>
      <c r="Q781" s="630"/>
      <c r="R781" s="630"/>
    </row>
    <row r="782" spans="2:18" ht="15.75" customHeight="1" x14ac:dyDescent="0.3">
      <c r="B782" s="741"/>
      <c r="C782" s="742"/>
      <c r="D782" s="742"/>
      <c r="E782" s="742"/>
      <c r="F782" s="630"/>
      <c r="G782" s="630"/>
      <c r="H782" s="630"/>
      <c r="I782" s="630"/>
      <c r="J782" s="631"/>
      <c r="K782" s="630"/>
      <c r="L782" s="630"/>
      <c r="M782" s="632"/>
      <c r="N782" s="631"/>
      <c r="O782" s="630"/>
      <c r="P782" s="630"/>
      <c r="Q782" s="630"/>
      <c r="R782" s="630"/>
    </row>
    <row r="783" spans="2:18" ht="15.75" customHeight="1" x14ac:dyDescent="0.3">
      <c r="B783" s="741"/>
      <c r="C783" s="742"/>
      <c r="D783" s="742"/>
      <c r="E783" s="742"/>
      <c r="F783" s="630"/>
      <c r="G783" s="630"/>
      <c r="H783" s="630"/>
      <c r="I783" s="630"/>
      <c r="J783" s="631"/>
      <c r="K783" s="630"/>
      <c r="L783" s="630"/>
      <c r="M783" s="632"/>
      <c r="N783" s="631"/>
      <c r="O783" s="630"/>
      <c r="P783" s="630"/>
      <c r="Q783" s="630"/>
      <c r="R783" s="630"/>
    </row>
    <row r="784" spans="2:18" ht="15.75" customHeight="1" x14ac:dyDescent="0.3">
      <c r="B784" s="741"/>
      <c r="C784" s="742"/>
      <c r="D784" s="742"/>
      <c r="E784" s="742"/>
      <c r="F784" s="630"/>
      <c r="G784" s="630"/>
      <c r="H784" s="630"/>
      <c r="I784" s="630"/>
      <c r="J784" s="631"/>
      <c r="K784" s="630"/>
      <c r="L784" s="630"/>
      <c r="M784" s="632"/>
      <c r="N784" s="631"/>
      <c r="O784" s="630"/>
      <c r="P784" s="630"/>
      <c r="Q784" s="630"/>
      <c r="R784" s="630"/>
    </row>
    <row r="785" spans="2:18" ht="15.75" customHeight="1" x14ac:dyDescent="0.3">
      <c r="B785" s="741"/>
      <c r="C785" s="742"/>
      <c r="D785" s="742"/>
      <c r="E785" s="742"/>
      <c r="F785" s="630"/>
      <c r="G785" s="630"/>
      <c r="H785" s="630"/>
      <c r="I785" s="630"/>
      <c r="J785" s="631"/>
      <c r="K785" s="630"/>
      <c r="L785" s="630"/>
      <c r="M785" s="632"/>
      <c r="N785" s="631"/>
      <c r="O785" s="630"/>
      <c r="P785" s="630"/>
      <c r="Q785" s="630"/>
      <c r="R785" s="630"/>
    </row>
    <row r="786" spans="2:18" ht="15.75" customHeight="1" x14ac:dyDescent="0.3">
      <c r="B786" s="741"/>
      <c r="C786" s="742"/>
      <c r="D786" s="742"/>
      <c r="E786" s="742"/>
      <c r="F786" s="630"/>
      <c r="G786" s="630"/>
      <c r="H786" s="630"/>
      <c r="I786" s="630"/>
      <c r="J786" s="631"/>
      <c r="K786" s="630"/>
      <c r="L786" s="630"/>
      <c r="M786" s="632"/>
      <c r="N786" s="631"/>
      <c r="O786" s="630"/>
      <c r="P786" s="630"/>
      <c r="Q786" s="630"/>
      <c r="R786" s="630"/>
    </row>
    <row r="787" spans="2:18" ht="15.75" customHeight="1" x14ac:dyDescent="0.3">
      <c r="B787" s="741"/>
      <c r="C787" s="742"/>
      <c r="D787" s="742"/>
      <c r="E787" s="742"/>
      <c r="F787" s="630"/>
      <c r="G787" s="630"/>
      <c r="H787" s="630"/>
      <c r="I787" s="630"/>
      <c r="J787" s="631"/>
      <c r="K787" s="630"/>
      <c r="L787" s="630"/>
      <c r="M787" s="632"/>
      <c r="N787" s="631"/>
      <c r="O787" s="630"/>
      <c r="P787" s="630"/>
      <c r="Q787" s="630"/>
      <c r="R787" s="630"/>
    </row>
    <row r="788" spans="2:18" ht="15.75" customHeight="1" x14ac:dyDescent="0.3">
      <c r="B788" s="741"/>
      <c r="C788" s="742"/>
      <c r="D788" s="742"/>
      <c r="E788" s="742"/>
      <c r="F788" s="630"/>
      <c r="G788" s="630"/>
      <c r="H788" s="630"/>
      <c r="I788" s="630"/>
      <c r="J788" s="631"/>
      <c r="K788" s="630"/>
      <c r="L788" s="630"/>
      <c r="M788" s="632"/>
      <c r="N788" s="631"/>
      <c r="O788" s="630"/>
      <c r="P788" s="630"/>
      <c r="Q788" s="630"/>
      <c r="R788" s="630"/>
    </row>
    <row r="789" spans="2:18" ht="15.75" customHeight="1" x14ac:dyDescent="0.3">
      <c r="B789" s="741"/>
      <c r="C789" s="742"/>
      <c r="D789" s="742"/>
      <c r="E789" s="742"/>
      <c r="F789" s="630"/>
      <c r="G789" s="630"/>
      <c r="H789" s="630"/>
      <c r="I789" s="630"/>
      <c r="J789" s="631"/>
      <c r="K789" s="630"/>
      <c r="L789" s="630"/>
      <c r="M789" s="632"/>
      <c r="N789" s="631"/>
      <c r="O789" s="630"/>
      <c r="P789" s="630"/>
      <c r="Q789" s="630"/>
      <c r="R789" s="630"/>
    </row>
    <row r="790" spans="2:18" ht="15.75" customHeight="1" x14ac:dyDescent="0.3">
      <c r="B790" s="741"/>
      <c r="C790" s="742"/>
      <c r="D790" s="742"/>
      <c r="E790" s="742"/>
      <c r="F790" s="630"/>
      <c r="G790" s="630"/>
      <c r="H790" s="630"/>
      <c r="I790" s="630"/>
      <c r="J790" s="631"/>
      <c r="K790" s="630"/>
      <c r="L790" s="630"/>
      <c r="M790" s="632"/>
      <c r="N790" s="631"/>
      <c r="O790" s="630"/>
      <c r="P790" s="630"/>
      <c r="Q790" s="630"/>
      <c r="R790" s="630"/>
    </row>
    <row r="791" spans="2:18" ht="15.75" customHeight="1" x14ac:dyDescent="0.3">
      <c r="B791" s="741"/>
      <c r="C791" s="742"/>
      <c r="D791" s="742"/>
      <c r="E791" s="742"/>
      <c r="F791" s="630"/>
      <c r="G791" s="630"/>
      <c r="H791" s="630"/>
      <c r="I791" s="630"/>
      <c r="J791" s="631"/>
      <c r="K791" s="630"/>
      <c r="L791" s="630"/>
      <c r="M791" s="632"/>
      <c r="N791" s="631"/>
      <c r="O791" s="630"/>
      <c r="P791" s="630"/>
      <c r="Q791" s="630"/>
      <c r="R791" s="630"/>
    </row>
    <row r="792" spans="2:18" ht="15.75" customHeight="1" x14ac:dyDescent="0.3">
      <c r="B792" s="741"/>
      <c r="C792" s="742"/>
      <c r="D792" s="742"/>
      <c r="E792" s="742"/>
      <c r="F792" s="630"/>
      <c r="G792" s="630"/>
      <c r="H792" s="630"/>
      <c r="I792" s="630"/>
      <c r="J792" s="631"/>
      <c r="K792" s="630"/>
      <c r="L792" s="630"/>
      <c r="M792" s="632"/>
      <c r="N792" s="631"/>
      <c r="O792" s="630"/>
      <c r="P792" s="630"/>
      <c r="Q792" s="630"/>
      <c r="R792" s="630"/>
    </row>
    <row r="793" spans="2:18" ht="15.75" customHeight="1" x14ac:dyDescent="0.3">
      <c r="B793" s="741"/>
      <c r="C793" s="742"/>
      <c r="D793" s="742"/>
      <c r="E793" s="742"/>
      <c r="F793" s="630"/>
      <c r="G793" s="630"/>
      <c r="H793" s="630"/>
      <c r="I793" s="630"/>
      <c r="J793" s="631"/>
      <c r="K793" s="630"/>
      <c r="L793" s="630"/>
      <c r="M793" s="632"/>
      <c r="N793" s="631"/>
      <c r="O793" s="630"/>
      <c r="P793" s="630"/>
      <c r="Q793" s="630"/>
      <c r="R793" s="630"/>
    </row>
    <row r="794" spans="2:18" ht="15.75" customHeight="1" x14ac:dyDescent="0.3">
      <c r="B794" s="741"/>
      <c r="C794" s="742"/>
      <c r="D794" s="742"/>
      <c r="E794" s="742"/>
      <c r="F794" s="630"/>
      <c r="G794" s="630"/>
      <c r="H794" s="630"/>
      <c r="I794" s="630"/>
      <c r="J794" s="631"/>
      <c r="K794" s="630"/>
      <c r="L794" s="630"/>
      <c r="M794" s="632"/>
      <c r="N794" s="631"/>
      <c r="O794" s="630"/>
      <c r="P794" s="630"/>
      <c r="Q794" s="630"/>
      <c r="R794" s="630"/>
    </row>
    <row r="795" spans="2:18" ht="15.75" customHeight="1" x14ac:dyDescent="0.3">
      <c r="B795" s="741"/>
      <c r="C795" s="742"/>
      <c r="D795" s="742"/>
      <c r="E795" s="742"/>
      <c r="F795" s="630"/>
      <c r="G795" s="630"/>
      <c r="H795" s="630"/>
      <c r="I795" s="630"/>
      <c r="J795" s="631"/>
      <c r="K795" s="630"/>
      <c r="L795" s="630"/>
      <c r="M795" s="632"/>
      <c r="N795" s="631"/>
      <c r="O795" s="630"/>
      <c r="P795" s="630"/>
      <c r="Q795" s="630"/>
      <c r="R795" s="630"/>
    </row>
    <row r="796" spans="2:18" ht="15.75" customHeight="1" x14ac:dyDescent="0.3">
      <c r="B796" s="741"/>
      <c r="C796" s="742"/>
      <c r="D796" s="742"/>
      <c r="E796" s="742"/>
      <c r="F796" s="630"/>
      <c r="G796" s="630"/>
      <c r="H796" s="630"/>
      <c r="I796" s="630"/>
      <c r="J796" s="631"/>
      <c r="K796" s="630"/>
      <c r="L796" s="630"/>
      <c r="M796" s="632"/>
      <c r="N796" s="631"/>
      <c r="O796" s="630"/>
      <c r="P796" s="630"/>
      <c r="Q796" s="630"/>
      <c r="R796" s="630"/>
    </row>
    <row r="797" spans="2:18" ht="15.75" customHeight="1" x14ac:dyDescent="0.3">
      <c r="B797" s="741"/>
      <c r="C797" s="742"/>
      <c r="D797" s="742"/>
      <c r="E797" s="742"/>
      <c r="F797" s="630"/>
      <c r="G797" s="630"/>
      <c r="H797" s="630"/>
      <c r="I797" s="630"/>
      <c r="J797" s="631"/>
      <c r="K797" s="630"/>
      <c r="L797" s="630"/>
      <c r="M797" s="632"/>
      <c r="N797" s="631"/>
      <c r="O797" s="630"/>
      <c r="P797" s="630"/>
      <c r="Q797" s="630"/>
      <c r="R797" s="630"/>
    </row>
    <row r="798" spans="2:18" ht="15.75" customHeight="1" x14ac:dyDescent="0.3">
      <c r="B798" s="741"/>
      <c r="C798" s="742"/>
      <c r="D798" s="742"/>
      <c r="E798" s="742"/>
      <c r="F798" s="630"/>
      <c r="G798" s="630"/>
      <c r="H798" s="630"/>
      <c r="I798" s="630"/>
      <c r="J798" s="631"/>
      <c r="K798" s="630"/>
      <c r="L798" s="630"/>
      <c r="M798" s="632"/>
      <c r="N798" s="631"/>
      <c r="O798" s="630"/>
      <c r="P798" s="630"/>
      <c r="Q798" s="630"/>
      <c r="R798" s="630"/>
    </row>
    <row r="799" spans="2:18" ht="15.75" customHeight="1" x14ac:dyDescent="0.3">
      <c r="B799" s="741"/>
      <c r="C799" s="742"/>
      <c r="D799" s="742"/>
      <c r="E799" s="742"/>
      <c r="F799" s="630"/>
      <c r="G799" s="630"/>
      <c r="H799" s="630"/>
      <c r="I799" s="630"/>
      <c r="J799" s="631"/>
      <c r="K799" s="630"/>
      <c r="L799" s="630"/>
      <c r="M799" s="632"/>
      <c r="N799" s="631"/>
      <c r="O799" s="630"/>
      <c r="P799" s="630"/>
      <c r="Q799" s="630"/>
      <c r="R799" s="630"/>
    </row>
    <row r="800" spans="2:18" ht="15.75" customHeight="1" x14ac:dyDescent="0.3">
      <c r="B800" s="741"/>
      <c r="C800" s="742"/>
      <c r="D800" s="742"/>
      <c r="E800" s="742"/>
      <c r="F800" s="630"/>
      <c r="G800" s="630"/>
      <c r="H800" s="630"/>
      <c r="I800" s="630"/>
      <c r="J800" s="631"/>
      <c r="K800" s="630"/>
      <c r="L800" s="630"/>
      <c r="M800" s="632"/>
      <c r="N800" s="631"/>
      <c r="O800" s="630"/>
      <c r="P800" s="630"/>
      <c r="Q800" s="630"/>
      <c r="R800" s="630"/>
    </row>
    <row r="801" spans="2:18" ht="15.75" customHeight="1" x14ac:dyDescent="0.3">
      <c r="B801" s="741"/>
      <c r="C801" s="742"/>
      <c r="D801" s="742"/>
      <c r="E801" s="742"/>
      <c r="F801" s="630"/>
      <c r="G801" s="630"/>
      <c r="H801" s="630"/>
      <c r="I801" s="630"/>
      <c r="J801" s="631"/>
      <c r="K801" s="630"/>
      <c r="L801" s="630"/>
      <c r="M801" s="632"/>
      <c r="N801" s="631"/>
      <c r="O801" s="630"/>
      <c r="P801" s="630"/>
      <c r="Q801" s="630"/>
      <c r="R801" s="630"/>
    </row>
    <row r="802" spans="2:18" ht="15.75" customHeight="1" x14ac:dyDescent="0.3">
      <c r="B802" s="741"/>
      <c r="C802" s="742"/>
      <c r="D802" s="742"/>
      <c r="E802" s="742"/>
      <c r="F802" s="630"/>
      <c r="G802" s="630"/>
      <c r="H802" s="630"/>
      <c r="I802" s="630"/>
      <c r="J802" s="631"/>
      <c r="K802" s="630"/>
      <c r="L802" s="630"/>
      <c r="M802" s="632"/>
      <c r="N802" s="631"/>
      <c r="O802" s="630"/>
      <c r="P802" s="630"/>
      <c r="Q802" s="630"/>
      <c r="R802" s="630"/>
    </row>
    <row r="803" spans="2:18" ht="15.75" customHeight="1" x14ac:dyDescent="0.3">
      <c r="B803" s="741"/>
      <c r="C803" s="742"/>
      <c r="D803" s="742"/>
      <c r="E803" s="742"/>
      <c r="F803" s="630"/>
      <c r="G803" s="630"/>
      <c r="H803" s="630"/>
      <c r="I803" s="630"/>
      <c r="J803" s="631"/>
      <c r="K803" s="630"/>
      <c r="L803" s="630"/>
      <c r="M803" s="632"/>
      <c r="N803" s="631"/>
      <c r="O803" s="630"/>
      <c r="P803" s="630"/>
      <c r="Q803" s="630"/>
      <c r="R803" s="630"/>
    </row>
    <row r="804" spans="2:18" ht="15.75" customHeight="1" x14ac:dyDescent="0.3">
      <c r="B804" s="741"/>
      <c r="C804" s="742"/>
      <c r="D804" s="742"/>
      <c r="E804" s="742"/>
      <c r="F804" s="630"/>
      <c r="G804" s="630"/>
      <c r="H804" s="630"/>
      <c r="I804" s="630"/>
      <c r="J804" s="631"/>
      <c r="K804" s="630"/>
      <c r="L804" s="630"/>
      <c r="M804" s="632"/>
      <c r="N804" s="631"/>
      <c r="O804" s="630"/>
      <c r="P804" s="630"/>
      <c r="Q804" s="630"/>
      <c r="R804" s="630"/>
    </row>
    <row r="805" spans="2:18" ht="15.75" customHeight="1" x14ac:dyDescent="0.3">
      <c r="B805" s="741"/>
      <c r="C805" s="742"/>
      <c r="D805" s="742"/>
      <c r="E805" s="742"/>
      <c r="F805" s="630"/>
      <c r="G805" s="630"/>
      <c r="H805" s="630"/>
      <c r="I805" s="630"/>
      <c r="J805" s="631"/>
      <c r="K805" s="630"/>
      <c r="L805" s="630"/>
      <c r="M805" s="632"/>
      <c r="N805" s="631"/>
      <c r="O805" s="630"/>
      <c r="P805" s="630"/>
      <c r="Q805" s="630"/>
      <c r="R805" s="630"/>
    </row>
    <row r="806" spans="2:18" ht="15.75" customHeight="1" x14ac:dyDescent="0.3">
      <c r="B806" s="741"/>
      <c r="C806" s="742"/>
      <c r="D806" s="742"/>
      <c r="E806" s="742"/>
      <c r="F806" s="630"/>
      <c r="G806" s="630"/>
      <c r="H806" s="630"/>
      <c r="I806" s="630"/>
      <c r="J806" s="631"/>
      <c r="K806" s="630"/>
      <c r="L806" s="630"/>
      <c r="M806" s="632"/>
      <c r="N806" s="631"/>
      <c r="O806" s="630"/>
      <c r="P806" s="630"/>
      <c r="Q806" s="630"/>
      <c r="R806" s="630"/>
    </row>
    <row r="807" spans="2:18" ht="15.75" customHeight="1" x14ac:dyDescent="0.3">
      <c r="B807" s="741"/>
      <c r="C807" s="742"/>
      <c r="D807" s="742"/>
      <c r="E807" s="742"/>
      <c r="F807" s="630"/>
      <c r="G807" s="630"/>
      <c r="H807" s="630"/>
      <c r="I807" s="630"/>
      <c r="J807" s="631"/>
      <c r="K807" s="630"/>
      <c r="L807" s="630"/>
      <c r="M807" s="632"/>
      <c r="N807" s="631"/>
      <c r="O807" s="630"/>
      <c r="P807" s="630"/>
      <c r="Q807" s="630"/>
      <c r="R807" s="630"/>
    </row>
    <row r="808" spans="2:18" ht="15.75" customHeight="1" x14ac:dyDescent="0.3">
      <c r="B808" s="741"/>
      <c r="C808" s="742"/>
      <c r="D808" s="742"/>
      <c r="E808" s="742"/>
      <c r="F808" s="630"/>
      <c r="G808" s="630"/>
      <c r="H808" s="630"/>
      <c r="I808" s="630"/>
      <c r="J808" s="631"/>
      <c r="K808" s="630"/>
      <c r="L808" s="630"/>
      <c r="M808" s="632"/>
      <c r="N808" s="631"/>
      <c r="O808" s="630"/>
      <c r="P808" s="630"/>
      <c r="Q808" s="630"/>
      <c r="R808" s="630"/>
    </row>
    <row r="809" spans="2:18" ht="15.75" customHeight="1" x14ac:dyDescent="0.3">
      <c r="B809" s="741"/>
      <c r="C809" s="742"/>
      <c r="D809" s="742"/>
      <c r="E809" s="742"/>
      <c r="F809" s="630"/>
      <c r="G809" s="630"/>
      <c r="H809" s="630"/>
      <c r="I809" s="630"/>
      <c r="J809" s="631"/>
      <c r="K809" s="630"/>
      <c r="L809" s="630"/>
      <c r="M809" s="632"/>
      <c r="N809" s="631"/>
      <c r="O809" s="630"/>
      <c r="P809" s="630"/>
      <c r="Q809" s="630"/>
      <c r="R809" s="630"/>
    </row>
    <row r="810" spans="2:18" ht="15.75" customHeight="1" x14ac:dyDescent="0.3">
      <c r="B810" s="741"/>
      <c r="C810" s="742"/>
      <c r="D810" s="742"/>
      <c r="E810" s="742"/>
      <c r="F810" s="630"/>
      <c r="G810" s="630"/>
      <c r="H810" s="630"/>
      <c r="I810" s="630"/>
      <c r="J810" s="631"/>
      <c r="K810" s="630"/>
      <c r="L810" s="630"/>
      <c r="M810" s="632"/>
      <c r="N810" s="631"/>
      <c r="O810" s="630"/>
      <c r="P810" s="630"/>
      <c r="Q810" s="630"/>
      <c r="R810" s="630"/>
    </row>
    <row r="811" spans="2:18" ht="15.75" customHeight="1" x14ac:dyDescent="0.3">
      <c r="B811" s="741"/>
      <c r="C811" s="742"/>
      <c r="D811" s="742"/>
      <c r="E811" s="742"/>
      <c r="F811" s="630"/>
      <c r="G811" s="630"/>
      <c r="H811" s="630"/>
      <c r="I811" s="630"/>
      <c r="J811" s="631"/>
      <c r="K811" s="630"/>
      <c r="L811" s="630"/>
      <c r="M811" s="632"/>
      <c r="N811" s="631"/>
      <c r="O811" s="630"/>
      <c r="P811" s="630"/>
      <c r="Q811" s="630"/>
      <c r="R811" s="630"/>
    </row>
    <row r="812" spans="2:18" ht="15.75" customHeight="1" x14ac:dyDescent="0.3">
      <c r="B812" s="741"/>
      <c r="C812" s="742"/>
      <c r="D812" s="742"/>
      <c r="E812" s="742"/>
      <c r="F812" s="630"/>
      <c r="G812" s="630"/>
      <c r="H812" s="630"/>
      <c r="I812" s="630"/>
      <c r="J812" s="631"/>
      <c r="K812" s="630"/>
      <c r="L812" s="630"/>
      <c r="M812" s="632"/>
      <c r="N812" s="631"/>
      <c r="O812" s="630"/>
      <c r="P812" s="630"/>
      <c r="Q812" s="630"/>
      <c r="R812" s="630"/>
    </row>
    <row r="813" spans="2:18" ht="15.75" customHeight="1" x14ac:dyDescent="0.3">
      <c r="B813" s="741"/>
      <c r="C813" s="742"/>
      <c r="D813" s="742"/>
      <c r="E813" s="742"/>
      <c r="F813" s="630"/>
      <c r="G813" s="630"/>
      <c r="H813" s="630"/>
      <c r="I813" s="630"/>
      <c r="J813" s="631"/>
      <c r="K813" s="630"/>
      <c r="L813" s="630"/>
      <c r="M813" s="632"/>
      <c r="N813" s="631"/>
      <c r="O813" s="630"/>
      <c r="P813" s="630"/>
      <c r="Q813" s="630"/>
      <c r="R813" s="630"/>
    </row>
    <row r="814" spans="2:18" ht="15.75" customHeight="1" x14ac:dyDescent="0.3">
      <c r="B814" s="741"/>
      <c r="C814" s="742"/>
      <c r="D814" s="742"/>
      <c r="E814" s="742"/>
      <c r="F814" s="630"/>
      <c r="G814" s="630"/>
      <c r="H814" s="630"/>
      <c r="I814" s="630"/>
      <c r="J814" s="631"/>
      <c r="K814" s="630"/>
      <c r="L814" s="630"/>
      <c r="M814" s="632"/>
      <c r="N814" s="631"/>
      <c r="O814" s="630"/>
      <c r="P814" s="630"/>
      <c r="Q814" s="630"/>
      <c r="R814" s="630"/>
    </row>
    <row r="815" spans="2:18" ht="15.75" customHeight="1" x14ac:dyDescent="0.3">
      <c r="B815" s="741"/>
      <c r="C815" s="742"/>
      <c r="D815" s="742"/>
      <c r="E815" s="742"/>
      <c r="F815" s="630"/>
      <c r="G815" s="630"/>
      <c r="H815" s="630"/>
      <c r="I815" s="630"/>
      <c r="J815" s="631"/>
      <c r="K815" s="630"/>
      <c r="L815" s="630"/>
      <c r="M815" s="632"/>
      <c r="N815" s="631"/>
      <c r="O815" s="630"/>
      <c r="P815" s="630"/>
      <c r="Q815" s="630"/>
      <c r="R815" s="630"/>
    </row>
    <row r="816" spans="2:18" ht="15.75" customHeight="1" x14ac:dyDescent="0.3">
      <c r="B816" s="741"/>
      <c r="C816" s="742"/>
      <c r="D816" s="742"/>
      <c r="E816" s="742"/>
      <c r="F816" s="630"/>
      <c r="G816" s="630"/>
      <c r="H816" s="630"/>
      <c r="I816" s="630"/>
      <c r="J816" s="631"/>
      <c r="K816" s="630"/>
      <c r="L816" s="630"/>
      <c r="M816" s="632"/>
      <c r="N816" s="631"/>
      <c r="O816" s="630"/>
      <c r="P816" s="630"/>
      <c r="Q816" s="630"/>
      <c r="R816" s="630"/>
    </row>
    <row r="817" spans="2:18" ht="15.75" customHeight="1" x14ac:dyDescent="0.3">
      <c r="B817" s="741"/>
      <c r="C817" s="742"/>
      <c r="D817" s="742"/>
      <c r="E817" s="742"/>
      <c r="F817" s="630"/>
      <c r="G817" s="630"/>
      <c r="H817" s="630"/>
      <c r="I817" s="630"/>
      <c r="J817" s="631"/>
      <c r="K817" s="630"/>
      <c r="L817" s="630"/>
      <c r="M817" s="632"/>
      <c r="N817" s="631"/>
      <c r="O817" s="630"/>
      <c r="P817" s="630"/>
      <c r="Q817" s="630"/>
      <c r="R817" s="630"/>
    </row>
    <row r="818" spans="2:18" ht="15.75" customHeight="1" x14ac:dyDescent="0.3">
      <c r="B818" s="741"/>
      <c r="C818" s="742"/>
      <c r="D818" s="742"/>
      <c r="E818" s="742"/>
      <c r="F818" s="630"/>
      <c r="G818" s="630"/>
      <c r="H818" s="630"/>
      <c r="I818" s="630"/>
      <c r="J818" s="631"/>
      <c r="K818" s="630"/>
      <c r="L818" s="630"/>
      <c r="M818" s="632"/>
      <c r="N818" s="631"/>
      <c r="O818" s="630"/>
      <c r="P818" s="630"/>
      <c r="Q818" s="630"/>
      <c r="R818" s="630"/>
    </row>
    <row r="819" spans="2:18" ht="15.75" customHeight="1" x14ac:dyDescent="0.3">
      <c r="B819" s="741"/>
      <c r="C819" s="742"/>
      <c r="D819" s="742"/>
      <c r="E819" s="742"/>
      <c r="F819" s="630"/>
      <c r="G819" s="630"/>
      <c r="H819" s="630"/>
      <c r="I819" s="630"/>
      <c r="J819" s="631"/>
      <c r="K819" s="630"/>
      <c r="L819" s="630"/>
      <c r="M819" s="632"/>
      <c r="N819" s="631"/>
      <c r="O819" s="630"/>
      <c r="P819" s="630"/>
      <c r="Q819" s="630"/>
      <c r="R819" s="630"/>
    </row>
    <row r="820" spans="2:18" ht="15.75" customHeight="1" x14ac:dyDescent="0.3">
      <c r="B820" s="741"/>
      <c r="C820" s="742"/>
      <c r="D820" s="742"/>
      <c r="E820" s="742"/>
      <c r="F820" s="630"/>
      <c r="G820" s="630"/>
      <c r="H820" s="630"/>
      <c r="I820" s="630"/>
      <c r="J820" s="631"/>
      <c r="K820" s="630"/>
      <c r="L820" s="630"/>
      <c r="M820" s="632"/>
      <c r="N820" s="631"/>
      <c r="O820" s="630"/>
      <c r="P820" s="630"/>
      <c r="Q820" s="630"/>
      <c r="R820" s="630"/>
    </row>
    <row r="821" spans="2:18" ht="15.75" customHeight="1" x14ac:dyDescent="0.3">
      <c r="B821" s="741"/>
      <c r="C821" s="742"/>
      <c r="D821" s="742"/>
      <c r="E821" s="742"/>
      <c r="F821" s="630"/>
      <c r="G821" s="630"/>
      <c r="H821" s="630"/>
      <c r="I821" s="630"/>
      <c r="J821" s="631"/>
      <c r="K821" s="630"/>
      <c r="L821" s="630"/>
      <c r="M821" s="632"/>
      <c r="N821" s="631"/>
      <c r="O821" s="630"/>
      <c r="P821" s="630"/>
      <c r="Q821" s="630"/>
      <c r="R821" s="630"/>
    </row>
    <row r="822" spans="2:18" ht="15.75" customHeight="1" x14ac:dyDescent="0.3">
      <c r="B822" s="741"/>
      <c r="C822" s="742"/>
      <c r="D822" s="742"/>
      <c r="E822" s="742"/>
      <c r="F822" s="630"/>
      <c r="G822" s="630"/>
      <c r="H822" s="630"/>
      <c r="I822" s="630"/>
      <c r="J822" s="631"/>
      <c r="K822" s="630"/>
      <c r="L822" s="630"/>
      <c r="M822" s="632"/>
      <c r="N822" s="631"/>
      <c r="O822" s="630"/>
      <c r="P822" s="630"/>
      <c r="Q822" s="630"/>
      <c r="R822" s="630"/>
    </row>
    <row r="823" spans="2:18" ht="15.75" customHeight="1" x14ac:dyDescent="0.3">
      <c r="B823" s="741"/>
      <c r="C823" s="742"/>
      <c r="D823" s="742"/>
      <c r="E823" s="742"/>
      <c r="F823" s="630"/>
      <c r="G823" s="630"/>
      <c r="H823" s="630"/>
      <c r="I823" s="630"/>
      <c r="J823" s="631"/>
      <c r="K823" s="630"/>
      <c r="L823" s="630"/>
      <c r="M823" s="632"/>
      <c r="N823" s="631"/>
      <c r="O823" s="630"/>
      <c r="P823" s="630"/>
      <c r="Q823" s="630"/>
      <c r="R823" s="630"/>
    </row>
    <row r="824" spans="2:18" ht="15.75" customHeight="1" x14ac:dyDescent="0.3">
      <c r="B824" s="741"/>
      <c r="C824" s="742"/>
      <c r="D824" s="742"/>
      <c r="E824" s="742"/>
      <c r="F824" s="630"/>
      <c r="G824" s="630"/>
      <c r="H824" s="630"/>
      <c r="I824" s="630"/>
      <c r="J824" s="631"/>
      <c r="K824" s="630"/>
      <c r="L824" s="630"/>
      <c r="M824" s="632"/>
      <c r="N824" s="631"/>
      <c r="O824" s="630"/>
      <c r="P824" s="630"/>
      <c r="Q824" s="630"/>
      <c r="R824" s="630"/>
    </row>
    <row r="825" spans="2:18" ht="15.75" customHeight="1" x14ac:dyDescent="0.3">
      <c r="B825" s="741"/>
      <c r="C825" s="742"/>
      <c r="D825" s="742"/>
      <c r="E825" s="742"/>
      <c r="F825" s="630"/>
      <c r="G825" s="630"/>
      <c r="H825" s="630"/>
      <c r="I825" s="630"/>
      <c r="J825" s="631"/>
      <c r="K825" s="630"/>
      <c r="L825" s="630"/>
      <c r="M825" s="632"/>
      <c r="N825" s="631"/>
      <c r="O825" s="630"/>
      <c r="P825" s="630"/>
      <c r="Q825" s="630"/>
      <c r="R825" s="630"/>
    </row>
    <row r="826" spans="2:18" ht="15.75" customHeight="1" x14ac:dyDescent="0.3">
      <c r="B826" s="741"/>
      <c r="C826" s="742"/>
      <c r="D826" s="742"/>
      <c r="E826" s="742"/>
      <c r="F826" s="630"/>
      <c r="G826" s="630"/>
      <c r="H826" s="630"/>
      <c r="I826" s="630"/>
      <c r="J826" s="631"/>
      <c r="K826" s="630"/>
      <c r="L826" s="630"/>
      <c r="M826" s="632"/>
      <c r="N826" s="631"/>
      <c r="O826" s="630"/>
      <c r="P826" s="630"/>
      <c r="Q826" s="630"/>
      <c r="R826" s="630"/>
    </row>
    <row r="827" spans="2:18" ht="15.75" customHeight="1" x14ac:dyDescent="0.3">
      <c r="B827" s="741"/>
      <c r="C827" s="742"/>
      <c r="D827" s="742"/>
      <c r="E827" s="742"/>
      <c r="F827" s="630"/>
      <c r="G827" s="630"/>
      <c r="H827" s="630"/>
      <c r="I827" s="630"/>
      <c r="J827" s="631"/>
      <c r="K827" s="630"/>
      <c r="L827" s="630"/>
      <c r="M827" s="632"/>
      <c r="N827" s="631"/>
      <c r="O827" s="630"/>
      <c r="P827" s="630"/>
      <c r="Q827" s="630"/>
      <c r="R827" s="630"/>
    </row>
    <row r="828" spans="2:18" ht="15.75" customHeight="1" x14ac:dyDescent="0.3">
      <c r="B828" s="741"/>
      <c r="C828" s="742"/>
      <c r="D828" s="742"/>
      <c r="E828" s="742"/>
      <c r="F828" s="630"/>
      <c r="G828" s="630"/>
      <c r="H828" s="630"/>
      <c r="I828" s="630"/>
      <c r="J828" s="631"/>
      <c r="K828" s="630"/>
      <c r="L828" s="630"/>
      <c r="M828" s="632"/>
      <c r="N828" s="631"/>
      <c r="O828" s="630"/>
      <c r="P828" s="630"/>
      <c r="Q828" s="630"/>
      <c r="R828" s="630"/>
    </row>
    <row r="829" spans="2:18" ht="15.75" customHeight="1" x14ac:dyDescent="0.3">
      <c r="B829" s="741"/>
      <c r="C829" s="742"/>
      <c r="D829" s="742"/>
      <c r="E829" s="742"/>
      <c r="F829" s="630"/>
      <c r="G829" s="630"/>
      <c r="H829" s="630"/>
      <c r="I829" s="630"/>
      <c r="J829" s="631"/>
      <c r="K829" s="630"/>
      <c r="L829" s="630"/>
      <c r="M829" s="632"/>
      <c r="N829" s="631"/>
      <c r="O829" s="630"/>
      <c r="P829" s="630"/>
      <c r="Q829" s="630"/>
      <c r="R829" s="630"/>
    </row>
    <row r="830" spans="2:18" ht="15.75" customHeight="1" x14ac:dyDescent="0.3">
      <c r="B830" s="741"/>
      <c r="C830" s="742"/>
      <c r="D830" s="742"/>
      <c r="E830" s="742"/>
      <c r="F830" s="630"/>
      <c r="G830" s="630"/>
      <c r="H830" s="630"/>
      <c r="I830" s="630"/>
      <c r="J830" s="631"/>
      <c r="K830" s="630"/>
      <c r="L830" s="630"/>
      <c r="M830" s="632"/>
      <c r="N830" s="631"/>
      <c r="O830" s="630"/>
      <c r="P830" s="630"/>
      <c r="Q830" s="630"/>
      <c r="R830" s="630"/>
    </row>
    <row r="831" spans="2:18" ht="15.75" customHeight="1" x14ac:dyDescent="0.3">
      <c r="B831" s="741"/>
      <c r="C831" s="742"/>
      <c r="D831" s="742"/>
      <c r="E831" s="742"/>
      <c r="F831" s="630"/>
      <c r="G831" s="630"/>
      <c r="H831" s="630"/>
      <c r="I831" s="630"/>
      <c r="J831" s="631"/>
      <c r="K831" s="630"/>
      <c r="L831" s="630"/>
      <c r="M831" s="632"/>
      <c r="N831" s="631"/>
      <c r="O831" s="630"/>
      <c r="P831" s="630"/>
      <c r="Q831" s="630"/>
      <c r="R831" s="630"/>
    </row>
    <row r="832" spans="2:18" ht="15.75" customHeight="1" x14ac:dyDescent="0.3">
      <c r="B832" s="741"/>
      <c r="C832" s="742"/>
      <c r="D832" s="742"/>
      <c r="E832" s="742"/>
      <c r="F832" s="630"/>
      <c r="G832" s="630"/>
      <c r="H832" s="630"/>
      <c r="I832" s="630"/>
      <c r="J832" s="631"/>
      <c r="K832" s="630"/>
      <c r="L832" s="630"/>
      <c r="M832" s="632"/>
      <c r="N832" s="631"/>
      <c r="O832" s="630"/>
      <c r="P832" s="630"/>
      <c r="Q832" s="630"/>
      <c r="R832" s="630"/>
    </row>
    <row r="833" spans="2:18" ht="15.75" customHeight="1" x14ac:dyDescent="0.3">
      <c r="B833" s="741"/>
      <c r="C833" s="742"/>
      <c r="D833" s="742"/>
      <c r="E833" s="742"/>
      <c r="F833" s="630"/>
      <c r="G833" s="630"/>
      <c r="H833" s="630"/>
      <c r="I833" s="630"/>
      <c r="J833" s="631"/>
      <c r="K833" s="630"/>
      <c r="L833" s="630"/>
      <c r="M833" s="632"/>
      <c r="N833" s="631"/>
      <c r="O833" s="630"/>
      <c r="P833" s="630"/>
      <c r="Q833" s="630"/>
      <c r="R833" s="630"/>
    </row>
    <row r="834" spans="2:18" ht="15.75" customHeight="1" x14ac:dyDescent="0.3">
      <c r="B834" s="741"/>
      <c r="C834" s="742"/>
      <c r="D834" s="742"/>
      <c r="E834" s="742"/>
      <c r="F834" s="630"/>
      <c r="G834" s="630"/>
      <c r="H834" s="630"/>
      <c r="I834" s="630"/>
      <c r="J834" s="631"/>
      <c r="K834" s="630"/>
      <c r="L834" s="630"/>
      <c r="M834" s="632"/>
      <c r="N834" s="631"/>
      <c r="O834" s="630"/>
      <c r="P834" s="630"/>
      <c r="Q834" s="630"/>
      <c r="R834" s="630"/>
    </row>
    <row r="835" spans="2:18" ht="15.75" customHeight="1" x14ac:dyDescent="0.3">
      <c r="B835" s="741"/>
      <c r="C835" s="742"/>
      <c r="D835" s="742"/>
      <c r="E835" s="742"/>
      <c r="F835" s="630"/>
      <c r="G835" s="630"/>
      <c r="H835" s="630"/>
      <c r="I835" s="630"/>
      <c r="J835" s="631"/>
      <c r="K835" s="630"/>
      <c r="L835" s="630"/>
      <c r="M835" s="632"/>
      <c r="N835" s="631"/>
      <c r="O835" s="630"/>
      <c r="P835" s="630"/>
      <c r="Q835" s="630"/>
      <c r="R835" s="630"/>
    </row>
    <row r="836" spans="2:18" ht="15.75" customHeight="1" x14ac:dyDescent="0.3">
      <c r="B836" s="741"/>
      <c r="C836" s="742"/>
      <c r="D836" s="742"/>
      <c r="E836" s="742"/>
      <c r="F836" s="630"/>
      <c r="G836" s="630"/>
      <c r="H836" s="630"/>
      <c r="I836" s="630"/>
      <c r="J836" s="631"/>
      <c r="K836" s="630"/>
      <c r="L836" s="630"/>
      <c r="M836" s="632"/>
      <c r="N836" s="631"/>
      <c r="O836" s="630"/>
      <c r="P836" s="630"/>
      <c r="Q836" s="630"/>
      <c r="R836" s="630"/>
    </row>
    <row r="837" spans="2:18" ht="15.75" customHeight="1" x14ac:dyDescent="0.3">
      <c r="B837" s="741"/>
      <c r="C837" s="742"/>
      <c r="D837" s="742"/>
      <c r="E837" s="742"/>
      <c r="F837" s="630"/>
      <c r="G837" s="630"/>
      <c r="H837" s="630"/>
      <c r="I837" s="630"/>
      <c r="J837" s="631"/>
      <c r="K837" s="630"/>
      <c r="L837" s="630"/>
      <c r="M837" s="632"/>
      <c r="N837" s="631"/>
      <c r="O837" s="630"/>
      <c r="P837" s="630"/>
      <c r="Q837" s="630"/>
      <c r="R837" s="630"/>
    </row>
    <row r="838" spans="2:18" ht="15.75" customHeight="1" x14ac:dyDescent="0.3">
      <c r="B838" s="741"/>
      <c r="C838" s="742"/>
      <c r="D838" s="742"/>
      <c r="E838" s="742"/>
      <c r="F838" s="630"/>
      <c r="G838" s="630"/>
      <c r="H838" s="630"/>
      <c r="I838" s="630"/>
      <c r="J838" s="631"/>
      <c r="K838" s="630"/>
      <c r="L838" s="630"/>
      <c r="M838" s="632"/>
      <c r="N838" s="631"/>
      <c r="O838" s="630"/>
      <c r="P838" s="630"/>
      <c r="Q838" s="630"/>
      <c r="R838" s="630"/>
    </row>
    <row r="839" spans="2:18" ht="15.75" customHeight="1" x14ac:dyDescent="0.3">
      <c r="B839" s="741"/>
      <c r="C839" s="742"/>
      <c r="D839" s="742"/>
      <c r="E839" s="742"/>
      <c r="F839" s="630"/>
      <c r="G839" s="630"/>
      <c r="H839" s="630"/>
      <c r="I839" s="630"/>
      <c r="J839" s="631"/>
      <c r="K839" s="630"/>
      <c r="L839" s="630"/>
      <c r="M839" s="632"/>
      <c r="N839" s="631"/>
      <c r="O839" s="630"/>
      <c r="P839" s="630"/>
      <c r="Q839" s="630"/>
      <c r="R839" s="630"/>
    </row>
    <row r="840" spans="2:18" ht="15.75" customHeight="1" x14ac:dyDescent="0.3">
      <c r="B840" s="741"/>
      <c r="C840" s="742"/>
      <c r="D840" s="742"/>
      <c r="E840" s="742"/>
      <c r="F840" s="630"/>
      <c r="G840" s="630"/>
      <c r="H840" s="630"/>
      <c r="I840" s="630"/>
      <c r="J840" s="631"/>
      <c r="K840" s="630"/>
      <c r="L840" s="630"/>
      <c r="M840" s="632"/>
      <c r="N840" s="631"/>
      <c r="O840" s="630"/>
      <c r="P840" s="630"/>
      <c r="Q840" s="630"/>
      <c r="R840" s="630"/>
    </row>
    <row r="841" spans="2:18" ht="15.75" customHeight="1" x14ac:dyDescent="0.3">
      <c r="B841" s="741"/>
      <c r="C841" s="742"/>
      <c r="D841" s="742"/>
      <c r="E841" s="742"/>
      <c r="F841" s="630"/>
      <c r="G841" s="630"/>
      <c r="H841" s="630"/>
      <c r="I841" s="630"/>
      <c r="J841" s="631"/>
      <c r="K841" s="630"/>
      <c r="L841" s="630"/>
      <c r="M841" s="632"/>
      <c r="N841" s="631"/>
      <c r="O841" s="630"/>
      <c r="P841" s="630"/>
      <c r="Q841" s="630"/>
      <c r="R841" s="630"/>
    </row>
    <row r="842" spans="2:18" ht="15.75" customHeight="1" x14ac:dyDescent="0.3">
      <c r="B842" s="741"/>
      <c r="C842" s="742"/>
      <c r="D842" s="742"/>
      <c r="E842" s="742"/>
      <c r="F842" s="630"/>
      <c r="G842" s="630"/>
      <c r="H842" s="630"/>
      <c r="I842" s="630"/>
      <c r="J842" s="631"/>
      <c r="K842" s="630"/>
      <c r="L842" s="630"/>
      <c r="M842" s="632"/>
      <c r="N842" s="631"/>
      <c r="O842" s="630"/>
      <c r="P842" s="630"/>
      <c r="Q842" s="630"/>
      <c r="R842" s="630"/>
    </row>
    <row r="843" spans="2:18" ht="15.75" customHeight="1" x14ac:dyDescent="0.3">
      <c r="B843" s="741"/>
      <c r="C843" s="742"/>
      <c r="D843" s="742"/>
      <c r="E843" s="742"/>
      <c r="F843" s="630"/>
      <c r="G843" s="630"/>
      <c r="H843" s="630"/>
      <c r="I843" s="630"/>
      <c r="J843" s="631"/>
      <c r="K843" s="630"/>
      <c r="L843" s="630"/>
      <c r="M843" s="632"/>
      <c r="N843" s="631"/>
      <c r="O843" s="630"/>
      <c r="P843" s="630"/>
      <c r="Q843" s="630"/>
      <c r="R843" s="630"/>
    </row>
    <row r="844" spans="2:18" ht="15.75" customHeight="1" x14ac:dyDescent="0.3">
      <c r="B844" s="741"/>
      <c r="C844" s="742"/>
      <c r="D844" s="742"/>
      <c r="E844" s="742"/>
      <c r="F844" s="630"/>
      <c r="G844" s="630"/>
      <c r="H844" s="630"/>
      <c r="I844" s="630"/>
      <c r="J844" s="631"/>
      <c r="K844" s="630"/>
      <c r="L844" s="630"/>
      <c r="M844" s="632"/>
      <c r="N844" s="631"/>
      <c r="O844" s="630"/>
      <c r="P844" s="630"/>
      <c r="Q844" s="630"/>
      <c r="R844" s="630"/>
    </row>
    <row r="845" spans="2:18" ht="15.75" customHeight="1" x14ac:dyDescent="0.3">
      <c r="B845" s="741"/>
      <c r="C845" s="742"/>
      <c r="D845" s="742"/>
      <c r="E845" s="742"/>
      <c r="F845" s="630"/>
      <c r="G845" s="630"/>
      <c r="H845" s="630"/>
      <c r="I845" s="630"/>
      <c r="J845" s="631"/>
      <c r="K845" s="630"/>
      <c r="L845" s="630"/>
      <c r="M845" s="632"/>
      <c r="N845" s="631"/>
      <c r="O845" s="630"/>
      <c r="P845" s="630"/>
      <c r="Q845" s="630"/>
      <c r="R845" s="630"/>
    </row>
    <row r="846" spans="2:18" ht="15.75" customHeight="1" x14ac:dyDescent="0.3">
      <c r="B846" s="741"/>
      <c r="C846" s="742"/>
      <c r="D846" s="742"/>
      <c r="E846" s="742"/>
      <c r="F846" s="630"/>
      <c r="G846" s="630"/>
      <c r="H846" s="630"/>
      <c r="I846" s="630"/>
      <c r="J846" s="631"/>
      <c r="K846" s="630"/>
      <c r="L846" s="630"/>
      <c r="M846" s="632"/>
      <c r="N846" s="631"/>
      <c r="O846" s="630"/>
      <c r="P846" s="630"/>
      <c r="Q846" s="630"/>
      <c r="R846" s="630"/>
    </row>
    <row r="847" spans="2:18" ht="15.75" customHeight="1" x14ac:dyDescent="0.3">
      <c r="B847" s="741"/>
      <c r="C847" s="742"/>
      <c r="D847" s="742"/>
      <c r="E847" s="742"/>
      <c r="F847" s="630"/>
      <c r="G847" s="630"/>
      <c r="H847" s="630"/>
      <c r="I847" s="630"/>
      <c r="J847" s="631"/>
      <c r="K847" s="630"/>
      <c r="L847" s="630"/>
      <c r="M847" s="632"/>
      <c r="N847" s="631"/>
      <c r="O847" s="630"/>
      <c r="P847" s="630"/>
      <c r="Q847" s="630"/>
      <c r="R847" s="630"/>
    </row>
    <row r="848" spans="2:18" ht="15.75" customHeight="1" x14ac:dyDescent="0.3">
      <c r="B848" s="741"/>
      <c r="C848" s="742"/>
      <c r="D848" s="742"/>
      <c r="E848" s="742"/>
      <c r="F848" s="630"/>
      <c r="G848" s="630"/>
      <c r="H848" s="630"/>
      <c r="I848" s="630"/>
      <c r="J848" s="631"/>
      <c r="K848" s="630"/>
      <c r="L848" s="630"/>
      <c r="M848" s="632"/>
      <c r="N848" s="631"/>
      <c r="O848" s="630"/>
      <c r="P848" s="630"/>
      <c r="Q848" s="630"/>
      <c r="R848" s="630"/>
    </row>
    <row r="849" spans="2:18" ht="15.75" customHeight="1" x14ac:dyDescent="0.3">
      <c r="B849" s="741"/>
      <c r="C849" s="742"/>
      <c r="D849" s="742"/>
      <c r="E849" s="742"/>
      <c r="F849" s="630"/>
      <c r="G849" s="630"/>
      <c r="H849" s="630"/>
      <c r="I849" s="630"/>
      <c r="J849" s="631"/>
      <c r="K849" s="630"/>
      <c r="L849" s="630"/>
      <c r="M849" s="632"/>
      <c r="N849" s="631"/>
      <c r="O849" s="630"/>
      <c r="P849" s="630"/>
      <c r="Q849" s="630"/>
      <c r="R849" s="630"/>
    </row>
    <row r="850" spans="2:18" ht="15.75" customHeight="1" x14ac:dyDescent="0.3">
      <c r="B850" s="741"/>
      <c r="C850" s="742"/>
      <c r="D850" s="742"/>
      <c r="E850" s="742"/>
      <c r="F850" s="630"/>
      <c r="G850" s="630"/>
      <c r="H850" s="630"/>
      <c r="I850" s="630"/>
      <c r="J850" s="631"/>
      <c r="K850" s="630"/>
      <c r="L850" s="630"/>
      <c r="M850" s="632"/>
      <c r="N850" s="631"/>
      <c r="O850" s="630"/>
      <c r="P850" s="630"/>
      <c r="Q850" s="630"/>
      <c r="R850" s="630"/>
    </row>
    <row r="851" spans="2:18" ht="15.75" customHeight="1" x14ac:dyDescent="0.3">
      <c r="B851" s="741"/>
      <c r="C851" s="742"/>
      <c r="D851" s="742"/>
      <c r="E851" s="742"/>
      <c r="F851" s="630"/>
      <c r="G851" s="630"/>
      <c r="H851" s="630"/>
      <c r="I851" s="630"/>
      <c r="J851" s="631"/>
      <c r="K851" s="630"/>
      <c r="L851" s="630"/>
      <c r="M851" s="632"/>
      <c r="N851" s="631"/>
      <c r="O851" s="630"/>
      <c r="P851" s="630"/>
      <c r="Q851" s="630"/>
      <c r="R851" s="630"/>
    </row>
    <row r="852" spans="2:18" ht="15.75" customHeight="1" x14ac:dyDescent="0.3">
      <c r="B852" s="741"/>
      <c r="C852" s="742"/>
      <c r="D852" s="742"/>
      <c r="E852" s="742"/>
      <c r="F852" s="630"/>
      <c r="G852" s="630"/>
      <c r="H852" s="630"/>
      <c r="I852" s="630"/>
      <c r="J852" s="631"/>
      <c r="K852" s="630"/>
      <c r="L852" s="630"/>
      <c r="M852" s="632"/>
      <c r="N852" s="631"/>
      <c r="O852" s="630"/>
      <c r="P852" s="630"/>
      <c r="Q852" s="630"/>
      <c r="R852" s="630"/>
    </row>
    <row r="853" spans="2:18" ht="15.75" customHeight="1" x14ac:dyDescent="0.3">
      <c r="B853" s="741"/>
      <c r="C853" s="742"/>
      <c r="D853" s="742"/>
      <c r="E853" s="742"/>
      <c r="F853" s="630"/>
      <c r="G853" s="630"/>
      <c r="H853" s="630"/>
      <c r="I853" s="630"/>
      <c r="J853" s="631"/>
      <c r="K853" s="630"/>
      <c r="L853" s="630"/>
      <c r="M853" s="632"/>
      <c r="N853" s="631"/>
      <c r="O853" s="630"/>
      <c r="P853" s="630"/>
      <c r="Q853" s="630"/>
      <c r="R853" s="630"/>
    </row>
    <row r="854" spans="2:18" ht="15.75" customHeight="1" x14ac:dyDescent="0.3">
      <c r="B854" s="741"/>
      <c r="C854" s="742"/>
      <c r="D854" s="742"/>
      <c r="E854" s="742"/>
      <c r="F854" s="630"/>
      <c r="G854" s="630"/>
      <c r="H854" s="630"/>
      <c r="I854" s="630"/>
      <c r="J854" s="631"/>
      <c r="K854" s="630"/>
      <c r="L854" s="630"/>
      <c r="M854" s="632"/>
      <c r="N854" s="631"/>
      <c r="O854" s="630"/>
      <c r="P854" s="630"/>
      <c r="Q854" s="630"/>
      <c r="R854" s="630"/>
    </row>
    <row r="855" spans="2:18" ht="15.75" customHeight="1" x14ac:dyDescent="0.3">
      <c r="B855" s="741"/>
      <c r="C855" s="742"/>
      <c r="D855" s="742"/>
      <c r="E855" s="742"/>
      <c r="F855" s="630"/>
      <c r="G855" s="630"/>
      <c r="H855" s="630"/>
      <c r="I855" s="630"/>
      <c r="J855" s="631"/>
      <c r="K855" s="630"/>
      <c r="L855" s="630"/>
      <c r="M855" s="632"/>
      <c r="N855" s="631"/>
      <c r="O855" s="630"/>
      <c r="P855" s="630"/>
      <c r="Q855" s="630"/>
      <c r="R855" s="630"/>
    </row>
    <row r="856" spans="2:18" ht="15.75" customHeight="1" x14ac:dyDescent="0.3">
      <c r="B856" s="741"/>
      <c r="C856" s="742"/>
      <c r="D856" s="742"/>
      <c r="E856" s="742"/>
      <c r="F856" s="630"/>
      <c r="G856" s="630"/>
      <c r="H856" s="630"/>
      <c r="I856" s="630"/>
      <c r="J856" s="631"/>
      <c r="K856" s="630"/>
      <c r="L856" s="630"/>
      <c r="M856" s="632"/>
      <c r="N856" s="631"/>
      <c r="O856" s="630"/>
      <c r="P856" s="630"/>
      <c r="Q856" s="630"/>
      <c r="R856" s="630"/>
    </row>
    <row r="857" spans="2:18" ht="15.75" customHeight="1" x14ac:dyDescent="0.3">
      <c r="B857" s="741"/>
      <c r="C857" s="742"/>
      <c r="D857" s="742"/>
      <c r="E857" s="742"/>
      <c r="F857" s="630"/>
      <c r="G857" s="630"/>
      <c r="H857" s="630"/>
      <c r="I857" s="630"/>
      <c r="J857" s="631"/>
      <c r="K857" s="630"/>
      <c r="L857" s="630"/>
      <c r="M857" s="632"/>
      <c r="N857" s="631"/>
      <c r="O857" s="630"/>
      <c r="P857" s="630"/>
      <c r="Q857" s="630"/>
      <c r="R857" s="630"/>
    </row>
    <row r="858" spans="2:18" ht="15.75" customHeight="1" x14ac:dyDescent="0.3">
      <c r="B858" s="741"/>
      <c r="C858" s="742"/>
      <c r="D858" s="742"/>
      <c r="E858" s="742"/>
      <c r="F858" s="630"/>
      <c r="G858" s="630"/>
      <c r="H858" s="630"/>
      <c r="I858" s="630"/>
      <c r="J858" s="631"/>
      <c r="K858" s="630"/>
      <c r="L858" s="630"/>
      <c r="M858" s="632"/>
      <c r="N858" s="631"/>
      <c r="O858" s="630"/>
      <c r="P858" s="630"/>
      <c r="Q858" s="630"/>
      <c r="R858" s="630"/>
    </row>
    <row r="859" spans="2:18" ht="15.75" customHeight="1" x14ac:dyDescent="0.3">
      <c r="B859" s="741"/>
      <c r="C859" s="742"/>
      <c r="D859" s="742"/>
      <c r="E859" s="742"/>
      <c r="F859" s="630"/>
      <c r="G859" s="630"/>
      <c r="H859" s="630"/>
      <c r="I859" s="630"/>
      <c r="J859" s="631"/>
      <c r="K859" s="630"/>
      <c r="L859" s="630"/>
      <c r="M859" s="632"/>
      <c r="N859" s="631"/>
      <c r="O859" s="630"/>
      <c r="P859" s="630"/>
      <c r="Q859" s="630"/>
      <c r="R859" s="630"/>
    </row>
    <row r="860" spans="2:18" ht="15.75" customHeight="1" x14ac:dyDescent="0.3">
      <c r="B860" s="741"/>
      <c r="C860" s="742"/>
      <c r="D860" s="742"/>
      <c r="E860" s="742"/>
      <c r="F860" s="630"/>
      <c r="G860" s="630"/>
      <c r="H860" s="630"/>
      <c r="I860" s="630"/>
      <c r="J860" s="631"/>
      <c r="K860" s="630"/>
      <c r="L860" s="630"/>
      <c r="M860" s="632"/>
      <c r="N860" s="631"/>
      <c r="O860" s="630"/>
      <c r="P860" s="630"/>
      <c r="Q860" s="630"/>
      <c r="R860" s="630"/>
    </row>
    <row r="861" spans="2:18" ht="15.75" customHeight="1" x14ac:dyDescent="0.3">
      <c r="B861" s="741"/>
      <c r="C861" s="742"/>
      <c r="D861" s="742"/>
      <c r="E861" s="742"/>
      <c r="F861" s="630"/>
      <c r="G861" s="630"/>
      <c r="H861" s="630"/>
      <c r="I861" s="630"/>
      <c r="J861" s="631"/>
      <c r="K861" s="630"/>
      <c r="L861" s="630"/>
      <c r="M861" s="632"/>
      <c r="N861" s="631"/>
      <c r="O861" s="630"/>
      <c r="P861" s="630"/>
      <c r="Q861" s="630"/>
      <c r="R861" s="630"/>
    </row>
    <row r="862" spans="2:18" ht="15.75" customHeight="1" x14ac:dyDescent="0.3">
      <c r="B862" s="741"/>
      <c r="C862" s="742"/>
      <c r="D862" s="742"/>
      <c r="E862" s="742"/>
      <c r="F862" s="630"/>
      <c r="G862" s="630"/>
      <c r="H862" s="630"/>
      <c r="I862" s="630"/>
      <c r="J862" s="631"/>
      <c r="K862" s="630"/>
      <c r="L862" s="630"/>
      <c r="M862" s="632"/>
      <c r="N862" s="631"/>
      <c r="O862" s="630"/>
      <c r="P862" s="630"/>
      <c r="Q862" s="630"/>
      <c r="R862" s="630"/>
    </row>
    <row r="863" spans="2:18" ht="15.75" customHeight="1" x14ac:dyDescent="0.3">
      <c r="B863" s="741"/>
      <c r="C863" s="742"/>
      <c r="D863" s="742"/>
      <c r="E863" s="742"/>
      <c r="F863" s="630"/>
      <c r="G863" s="630"/>
      <c r="H863" s="630"/>
      <c r="I863" s="630"/>
      <c r="J863" s="631"/>
      <c r="K863" s="630"/>
      <c r="L863" s="630"/>
      <c r="M863" s="632"/>
      <c r="N863" s="631"/>
      <c r="O863" s="630"/>
      <c r="P863" s="630"/>
      <c r="Q863" s="630"/>
      <c r="R863" s="630"/>
    </row>
    <row r="864" spans="2:18" ht="15.75" customHeight="1" x14ac:dyDescent="0.3">
      <c r="B864" s="741"/>
      <c r="C864" s="742"/>
      <c r="D864" s="742"/>
      <c r="E864" s="742"/>
      <c r="F864" s="630"/>
      <c r="G864" s="630"/>
      <c r="H864" s="630"/>
      <c r="I864" s="630"/>
      <c r="J864" s="631"/>
      <c r="K864" s="630"/>
      <c r="L864" s="630"/>
      <c r="M864" s="632"/>
      <c r="N864" s="631"/>
      <c r="O864" s="630"/>
      <c r="P864" s="630"/>
      <c r="Q864" s="630"/>
      <c r="R864" s="630"/>
    </row>
    <row r="865" spans="2:18" ht="15.75" customHeight="1" x14ac:dyDescent="0.3">
      <c r="B865" s="741"/>
      <c r="C865" s="742"/>
      <c r="D865" s="742"/>
      <c r="E865" s="742"/>
      <c r="F865" s="630"/>
      <c r="G865" s="630"/>
      <c r="H865" s="630"/>
      <c r="I865" s="630"/>
      <c r="J865" s="631"/>
      <c r="K865" s="630"/>
      <c r="L865" s="630"/>
      <c r="M865" s="632"/>
      <c r="N865" s="631"/>
      <c r="O865" s="630"/>
      <c r="P865" s="630"/>
      <c r="Q865" s="630"/>
      <c r="R865" s="630"/>
    </row>
    <row r="866" spans="2:18" ht="15.75" customHeight="1" x14ac:dyDescent="0.3">
      <c r="B866" s="741"/>
      <c r="C866" s="742"/>
      <c r="D866" s="742"/>
      <c r="E866" s="742"/>
      <c r="F866" s="630"/>
      <c r="G866" s="630"/>
      <c r="H866" s="630"/>
      <c r="I866" s="630"/>
      <c r="J866" s="631"/>
      <c r="K866" s="630"/>
      <c r="L866" s="630"/>
      <c r="M866" s="632"/>
      <c r="N866" s="631"/>
      <c r="O866" s="630"/>
      <c r="P866" s="630"/>
      <c r="Q866" s="630"/>
      <c r="R866" s="630"/>
    </row>
    <row r="867" spans="2:18" ht="15.75" customHeight="1" x14ac:dyDescent="0.3">
      <c r="B867" s="741"/>
      <c r="C867" s="742"/>
      <c r="D867" s="742"/>
      <c r="E867" s="742"/>
      <c r="F867" s="630"/>
      <c r="G867" s="630"/>
      <c r="H867" s="630"/>
      <c r="I867" s="630"/>
      <c r="J867" s="631"/>
      <c r="K867" s="630"/>
      <c r="L867" s="630"/>
      <c r="M867" s="632"/>
      <c r="N867" s="631"/>
      <c r="O867" s="630"/>
      <c r="P867" s="630"/>
      <c r="Q867" s="630"/>
      <c r="R867" s="630"/>
    </row>
    <row r="868" spans="2:18" ht="15.75" customHeight="1" x14ac:dyDescent="0.3">
      <c r="B868" s="741"/>
      <c r="C868" s="742"/>
      <c r="D868" s="742"/>
      <c r="E868" s="742"/>
      <c r="F868" s="630"/>
      <c r="G868" s="630"/>
      <c r="H868" s="630"/>
      <c r="I868" s="630"/>
      <c r="J868" s="631"/>
      <c r="K868" s="630"/>
      <c r="L868" s="630"/>
      <c r="M868" s="632"/>
      <c r="N868" s="631"/>
      <c r="O868" s="630"/>
      <c r="P868" s="630"/>
      <c r="Q868" s="630"/>
      <c r="R868" s="630"/>
    </row>
    <row r="869" spans="2:18" ht="15.75" customHeight="1" x14ac:dyDescent="0.3">
      <c r="B869" s="741"/>
      <c r="C869" s="742"/>
      <c r="D869" s="742"/>
      <c r="E869" s="742"/>
      <c r="F869" s="630"/>
      <c r="G869" s="630"/>
      <c r="H869" s="630"/>
      <c r="I869" s="630"/>
      <c r="J869" s="631"/>
      <c r="K869" s="630"/>
      <c r="L869" s="630"/>
      <c r="M869" s="632"/>
      <c r="N869" s="631"/>
      <c r="O869" s="630"/>
      <c r="P869" s="630"/>
      <c r="Q869" s="630"/>
      <c r="R869" s="630"/>
    </row>
    <row r="870" spans="2:18" ht="15.75" customHeight="1" x14ac:dyDescent="0.3">
      <c r="B870" s="741"/>
      <c r="C870" s="742"/>
      <c r="D870" s="742"/>
      <c r="E870" s="742"/>
      <c r="F870" s="630"/>
      <c r="G870" s="630"/>
      <c r="H870" s="630"/>
      <c r="I870" s="630"/>
      <c r="J870" s="631"/>
      <c r="K870" s="630"/>
      <c r="L870" s="630"/>
      <c r="M870" s="632"/>
      <c r="N870" s="631"/>
      <c r="O870" s="630"/>
      <c r="P870" s="630"/>
      <c r="Q870" s="630"/>
      <c r="R870" s="630"/>
    </row>
    <row r="871" spans="2:18" ht="15.75" customHeight="1" x14ac:dyDescent="0.3">
      <c r="B871" s="741"/>
      <c r="C871" s="742"/>
      <c r="D871" s="742"/>
      <c r="E871" s="742"/>
      <c r="F871" s="630"/>
      <c r="G871" s="630"/>
      <c r="H871" s="630"/>
      <c r="I871" s="630"/>
      <c r="J871" s="631"/>
      <c r="K871" s="630"/>
      <c r="L871" s="630"/>
      <c r="M871" s="632"/>
      <c r="N871" s="631"/>
      <c r="O871" s="630"/>
      <c r="P871" s="630"/>
      <c r="Q871" s="630"/>
      <c r="R871" s="630"/>
    </row>
    <row r="872" spans="2:18" ht="15.75" customHeight="1" x14ac:dyDescent="0.3">
      <c r="B872" s="741"/>
      <c r="C872" s="742"/>
      <c r="D872" s="742"/>
      <c r="E872" s="742"/>
      <c r="F872" s="630"/>
      <c r="G872" s="630"/>
      <c r="H872" s="630"/>
      <c r="I872" s="630"/>
      <c r="J872" s="631"/>
      <c r="K872" s="630"/>
      <c r="L872" s="630"/>
      <c r="M872" s="632"/>
      <c r="N872" s="631"/>
      <c r="O872" s="630"/>
      <c r="P872" s="630"/>
      <c r="Q872" s="630"/>
      <c r="R872" s="630"/>
    </row>
    <row r="873" spans="2:18" ht="15.75" customHeight="1" x14ac:dyDescent="0.3">
      <c r="B873" s="741"/>
      <c r="C873" s="742"/>
      <c r="D873" s="742"/>
      <c r="E873" s="742"/>
      <c r="F873" s="630"/>
      <c r="G873" s="630"/>
      <c r="H873" s="630"/>
      <c r="I873" s="630"/>
      <c r="J873" s="631"/>
      <c r="K873" s="630"/>
      <c r="L873" s="630"/>
      <c r="M873" s="632"/>
      <c r="N873" s="631"/>
      <c r="O873" s="630"/>
      <c r="P873" s="630"/>
      <c r="Q873" s="630"/>
      <c r="R873" s="630"/>
    </row>
    <row r="874" spans="2:18" ht="15.75" customHeight="1" x14ac:dyDescent="0.3">
      <c r="B874" s="741"/>
      <c r="C874" s="742"/>
      <c r="D874" s="742"/>
      <c r="E874" s="742"/>
      <c r="F874" s="630"/>
      <c r="G874" s="630"/>
      <c r="H874" s="630"/>
      <c r="I874" s="630"/>
      <c r="J874" s="631"/>
      <c r="K874" s="630"/>
      <c r="L874" s="630"/>
      <c r="M874" s="632"/>
      <c r="N874" s="631"/>
      <c r="O874" s="630"/>
      <c r="P874" s="630"/>
      <c r="Q874" s="630"/>
      <c r="R874" s="630"/>
    </row>
    <row r="875" spans="2:18" ht="15.75" customHeight="1" x14ac:dyDescent="0.3">
      <c r="B875" s="741"/>
      <c r="C875" s="742"/>
      <c r="D875" s="742"/>
      <c r="E875" s="742"/>
      <c r="F875" s="630"/>
      <c r="G875" s="630"/>
      <c r="H875" s="630"/>
      <c r="I875" s="630"/>
      <c r="J875" s="631"/>
      <c r="K875" s="630"/>
      <c r="L875" s="630"/>
      <c r="M875" s="632"/>
      <c r="N875" s="631"/>
      <c r="O875" s="630"/>
      <c r="P875" s="630"/>
      <c r="Q875" s="630"/>
      <c r="R875" s="630"/>
    </row>
    <row r="876" spans="2:18" ht="15.75" customHeight="1" x14ac:dyDescent="0.3">
      <c r="B876" s="741"/>
      <c r="C876" s="742"/>
      <c r="D876" s="742"/>
      <c r="E876" s="742"/>
      <c r="F876" s="630"/>
      <c r="G876" s="630"/>
      <c r="H876" s="630"/>
      <c r="I876" s="630"/>
      <c r="J876" s="631"/>
      <c r="K876" s="630"/>
      <c r="L876" s="630"/>
      <c r="M876" s="632"/>
      <c r="N876" s="631"/>
      <c r="O876" s="630"/>
      <c r="P876" s="630"/>
      <c r="Q876" s="630"/>
      <c r="R876" s="630"/>
    </row>
    <row r="877" spans="2:18" ht="15.75" customHeight="1" x14ac:dyDescent="0.3">
      <c r="B877" s="741"/>
      <c r="C877" s="742"/>
      <c r="D877" s="742"/>
      <c r="E877" s="742"/>
      <c r="F877" s="630"/>
      <c r="G877" s="630"/>
      <c r="H877" s="630"/>
      <c r="I877" s="630"/>
      <c r="J877" s="631"/>
      <c r="K877" s="630"/>
      <c r="L877" s="630"/>
      <c r="M877" s="632"/>
      <c r="N877" s="631"/>
      <c r="O877" s="630"/>
      <c r="P877" s="630"/>
      <c r="Q877" s="630"/>
      <c r="R877" s="630"/>
    </row>
    <row r="878" spans="2:18" ht="15.75" customHeight="1" x14ac:dyDescent="0.3">
      <c r="B878" s="741"/>
      <c r="C878" s="742"/>
      <c r="D878" s="742"/>
      <c r="E878" s="742"/>
      <c r="F878" s="630"/>
      <c r="G878" s="630"/>
      <c r="H878" s="630"/>
      <c r="I878" s="630"/>
      <c r="J878" s="631"/>
      <c r="K878" s="630"/>
      <c r="L878" s="630"/>
      <c r="M878" s="632"/>
      <c r="N878" s="631"/>
      <c r="O878" s="630"/>
      <c r="P878" s="630"/>
      <c r="Q878" s="630"/>
      <c r="R878" s="630"/>
    </row>
    <row r="879" spans="2:18" ht="15.75" customHeight="1" x14ac:dyDescent="0.3">
      <c r="B879" s="741"/>
      <c r="C879" s="742"/>
      <c r="D879" s="742"/>
      <c r="E879" s="742"/>
      <c r="F879" s="630"/>
      <c r="G879" s="630"/>
      <c r="H879" s="630"/>
      <c r="I879" s="630"/>
      <c r="J879" s="631"/>
      <c r="K879" s="630"/>
      <c r="L879" s="630"/>
      <c r="M879" s="632"/>
      <c r="N879" s="631"/>
      <c r="O879" s="630"/>
      <c r="P879" s="630"/>
      <c r="Q879" s="630"/>
      <c r="R879" s="630"/>
    </row>
    <row r="880" spans="2:18" ht="15.75" customHeight="1" x14ac:dyDescent="0.3">
      <c r="B880" s="741"/>
      <c r="C880" s="742"/>
      <c r="D880" s="742"/>
      <c r="E880" s="742"/>
      <c r="F880" s="630"/>
      <c r="G880" s="630"/>
      <c r="H880" s="630"/>
      <c r="I880" s="630"/>
      <c r="J880" s="631"/>
      <c r="K880" s="630"/>
      <c r="L880" s="630"/>
      <c r="M880" s="632"/>
      <c r="N880" s="631"/>
      <c r="O880" s="630"/>
      <c r="P880" s="630"/>
      <c r="Q880" s="630"/>
      <c r="R880" s="630"/>
    </row>
    <row r="881" spans="2:18" ht="15.75" customHeight="1" x14ac:dyDescent="0.3">
      <c r="B881" s="741"/>
      <c r="C881" s="742"/>
      <c r="D881" s="742"/>
      <c r="E881" s="742"/>
      <c r="F881" s="630"/>
      <c r="G881" s="630"/>
      <c r="H881" s="630"/>
      <c r="I881" s="630"/>
      <c r="J881" s="631"/>
      <c r="K881" s="630"/>
      <c r="L881" s="630"/>
      <c r="M881" s="632"/>
      <c r="N881" s="631"/>
      <c r="O881" s="630"/>
      <c r="P881" s="630"/>
      <c r="Q881" s="630"/>
      <c r="R881" s="630"/>
    </row>
    <row r="882" spans="2:18" ht="15.75" customHeight="1" x14ac:dyDescent="0.3">
      <c r="B882" s="741"/>
      <c r="C882" s="742"/>
      <c r="D882" s="742"/>
      <c r="E882" s="742"/>
      <c r="F882" s="630"/>
      <c r="G882" s="630"/>
      <c r="H882" s="630"/>
      <c r="I882" s="630"/>
      <c r="J882" s="631"/>
      <c r="K882" s="630"/>
      <c r="L882" s="630"/>
      <c r="M882" s="632"/>
      <c r="N882" s="631"/>
      <c r="O882" s="630"/>
      <c r="P882" s="630"/>
      <c r="Q882" s="630"/>
      <c r="R882" s="630"/>
    </row>
    <row r="883" spans="2:18" ht="15.75" customHeight="1" x14ac:dyDescent="0.3">
      <c r="B883" s="741"/>
      <c r="C883" s="742"/>
      <c r="D883" s="742"/>
      <c r="E883" s="742"/>
      <c r="F883" s="630"/>
      <c r="G883" s="630"/>
      <c r="H883" s="630"/>
      <c r="I883" s="630"/>
      <c r="J883" s="631"/>
      <c r="K883" s="630"/>
      <c r="L883" s="630"/>
      <c r="M883" s="632"/>
      <c r="N883" s="631"/>
      <c r="O883" s="630"/>
      <c r="P883" s="630"/>
      <c r="Q883" s="630"/>
      <c r="R883" s="630"/>
    </row>
    <row r="884" spans="2:18" ht="15.75" customHeight="1" x14ac:dyDescent="0.3">
      <c r="B884" s="741"/>
      <c r="C884" s="742"/>
      <c r="D884" s="742"/>
      <c r="E884" s="742"/>
      <c r="F884" s="630"/>
      <c r="G884" s="630"/>
      <c r="H884" s="630"/>
      <c r="I884" s="630"/>
      <c r="J884" s="631"/>
      <c r="K884" s="630"/>
      <c r="L884" s="630"/>
      <c r="M884" s="632"/>
      <c r="N884" s="631"/>
      <c r="O884" s="630"/>
      <c r="P884" s="630"/>
      <c r="Q884" s="630"/>
      <c r="R884" s="630"/>
    </row>
    <row r="885" spans="2:18" ht="15.75" customHeight="1" x14ac:dyDescent="0.3">
      <c r="B885" s="741"/>
      <c r="C885" s="742"/>
      <c r="D885" s="742"/>
      <c r="E885" s="742"/>
      <c r="F885" s="630"/>
      <c r="G885" s="630"/>
      <c r="H885" s="630"/>
      <c r="I885" s="630"/>
      <c r="J885" s="631"/>
      <c r="K885" s="630"/>
      <c r="L885" s="630"/>
      <c r="M885" s="632"/>
      <c r="N885" s="631"/>
      <c r="O885" s="630"/>
      <c r="P885" s="630"/>
      <c r="Q885" s="630"/>
      <c r="R885" s="630"/>
    </row>
    <row r="886" spans="2:18" ht="15.75" customHeight="1" x14ac:dyDescent="0.3">
      <c r="B886" s="741"/>
      <c r="C886" s="742"/>
      <c r="D886" s="742"/>
      <c r="E886" s="742"/>
      <c r="F886" s="630"/>
      <c r="G886" s="630"/>
      <c r="H886" s="630"/>
      <c r="I886" s="630"/>
      <c r="J886" s="631"/>
      <c r="K886" s="630"/>
      <c r="L886" s="630"/>
      <c r="M886" s="632"/>
      <c r="N886" s="631"/>
      <c r="O886" s="630"/>
      <c r="P886" s="630"/>
      <c r="Q886" s="630"/>
      <c r="R886" s="630"/>
    </row>
    <row r="887" spans="2:18" ht="15.75" customHeight="1" x14ac:dyDescent="0.3">
      <c r="B887" s="741"/>
      <c r="C887" s="742"/>
      <c r="D887" s="742"/>
      <c r="E887" s="742"/>
      <c r="F887" s="630"/>
      <c r="G887" s="630"/>
      <c r="H887" s="630"/>
      <c r="I887" s="630"/>
      <c r="J887" s="631"/>
      <c r="K887" s="630"/>
      <c r="L887" s="630"/>
      <c r="M887" s="632"/>
      <c r="N887" s="631"/>
      <c r="O887" s="630"/>
      <c r="P887" s="630"/>
      <c r="Q887" s="630"/>
      <c r="R887" s="630"/>
    </row>
    <row r="888" spans="2:18" ht="15.75" customHeight="1" x14ac:dyDescent="0.3">
      <c r="B888" s="741"/>
      <c r="C888" s="742"/>
      <c r="D888" s="742"/>
      <c r="E888" s="742"/>
      <c r="F888" s="630"/>
      <c r="G888" s="630"/>
      <c r="H888" s="630"/>
      <c r="I888" s="630"/>
      <c r="J888" s="631"/>
      <c r="K888" s="630"/>
      <c r="L888" s="630"/>
      <c r="M888" s="632"/>
      <c r="N888" s="631"/>
      <c r="O888" s="630"/>
      <c r="P888" s="630"/>
      <c r="Q888" s="630"/>
      <c r="R888" s="630"/>
    </row>
    <row r="889" spans="2:18" ht="15.75" customHeight="1" x14ac:dyDescent="0.3">
      <c r="B889" s="741"/>
      <c r="C889" s="742"/>
      <c r="D889" s="742"/>
      <c r="E889" s="742"/>
      <c r="F889" s="630"/>
      <c r="G889" s="630"/>
      <c r="H889" s="630"/>
      <c r="I889" s="630"/>
      <c r="J889" s="631"/>
      <c r="K889" s="630"/>
      <c r="L889" s="630"/>
      <c r="M889" s="632"/>
      <c r="N889" s="631"/>
      <c r="O889" s="630"/>
      <c r="P889" s="630"/>
      <c r="Q889" s="630"/>
      <c r="R889" s="630"/>
    </row>
    <row r="890" spans="2:18" ht="15.75" customHeight="1" x14ac:dyDescent="0.3">
      <c r="B890" s="741"/>
      <c r="C890" s="742"/>
      <c r="D890" s="742"/>
      <c r="E890" s="742"/>
      <c r="F890" s="630"/>
      <c r="G890" s="630"/>
      <c r="H890" s="630"/>
      <c r="I890" s="630"/>
      <c r="J890" s="631"/>
      <c r="K890" s="630"/>
      <c r="L890" s="630"/>
      <c r="M890" s="632"/>
      <c r="N890" s="631"/>
      <c r="O890" s="630"/>
      <c r="P890" s="630"/>
      <c r="Q890" s="630"/>
      <c r="R890" s="630"/>
    </row>
    <row r="891" spans="2:18" ht="15.75" customHeight="1" x14ac:dyDescent="0.3">
      <c r="B891" s="741"/>
      <c r="C891" s="742"/>
      <c r="D891" s="742"/>
      <c r="E891" s="742"/>
      <c r="F891" s="630"/>
      <c r="G891" s="630"/>
      <c r="H891" s="630"/>
      <c r="I891" s="630"/>
      <c r="J891" s="631"/>
      <c r="K891" s="630"/>
      <c r="L891" s="630"/>
      <c r="M891" s="632"/>
      <c r="N891" s="631"/>
      <c r="O891" s="630"/>
      <c r="P891" s="630"/>
      <c r="Q891" s="630"/>
      <c r="R891" s="630"/>
    </row>
    <row r="892" spans="2:18" ht="15.75" customHeight="1" x14ac:dyDescent="0.3">
      <c r="B892" s="741"/>
      <c r="C892" s="742"/>
      <c r="D892" s="742"/>
      <c r="E892" s="742"/>
      <c r="F892" s="630"/>
      <c r="G892" s="630"/>
      <c r="H892" s="630"/>
      <c r="I892" s="630"/>
      <c r="J892" s="631"/>
      <c r="K892" s="630"/>
      <c r="L892" s="630"/>
      <c r="M892" s="632"/>
      <c r="N892" s="631"/>
      <c r="O892" s="630"/>
      <c r="P892" s="630"/>
      <c r="Q892" s="630"/>
      <c r="R892" s="630"/>
    </row>
    <row r="893" spans="2:18" ht="15.75" customHeight="1" x14ac:dyDescent="0.3">
      <c r="B893" s="741"/>
      <c r="C893" s="742"/>
      <c r="D893" s="742"/>
      <c r="E893" s="742"/>
      <c r="F893" s="630"/>
      <c r="G893" s="630"/>
      <c r="H893" s="630"/>
      <c r="I893" s="630"/>
      <c r="J893" s="631"/>
      <c r="K893" s="630"/>
      <c r="L893" s="630"/>
      <c r="M893" s="632"/>
      <c r="N893" s="631"/>
      <c r="O893" s="630"/>
      <c r="P893" s="630"/>
      <c r="Q893" s="630"/>
      <c r="R893" s="630"/>
    </row>
    <row r="894" spans="2:18" ht="15.75" customHeight="1" x14ac:dyDescent="0.3">
      <c r="B894" s="741"/>
      <c r="C894" s="742"/>
      <c r="D894" s="742"/>
      <c r="E894" s="742"/>
      <c r="F894" s="630"/>
      <c r="G894" s="630"/>
      <c r="H894" s="630"/>
      <c r="I894" s="630"/>
      <c r="J894" s="631"/>
      <c r="K894" s="630"/>
      <c r="L894" s="630"/>
      <c r="M894" s="632"/>
      <c r="N894" s="631"/>
      <c r="O894" s="630"/>
      <c r="P894" s="630"/>
      <c r="Q894" s="630"/>
      <c r="R894" s="630"/>
    </row>
    <row r="895" spans="2:18" ht="15.75" customHeight="1" x14ac:dyDescent="0.3">
      <c r="B895" s="741"/>
      <c r="C895" s="742"/>
      <c r="D895" s="742"/>
      <c r="E895" s="742"/>
      <c r="F895" s="630"/>
      <c r="G895" s="630"/>
      <c r="H895" s="630"/>
      <c r="I895" s="630"/>
      <c r="J895" s="631"/>
      <c r="K895" s="630"/>
      <c r="L895" s="630"/>
      <c r="M895" s="632"/>
      <c r="N895" s="631"/>
      <c r="O895" s="630"/>
      <c r="P895" s="630"/>
      <c r="Q895" s="630"/>
      <c r="R895" s="630"/>
    </row>
    <row r="896" spans="2:18" ht="15.75" customHeight="1" x14ac:dyDescent="0.3">
      <c r="B896" s="741"/>
      <c r="C896" s="742"/>
      <c r="D896" s="742"/>
      <c r="E896" s="742"/>
      <c r="F896" s="630"/>
      <c r="G896" s="630"/>
      <c r="H896" s="630"/>
      <c r="I896" s="630"/>
      <c r="J896" s="631"/>
      <c r="K896" s="630"/>
      <c r="L896" s="630"/>
      <c r="M896" s="632"/>
      <c r="N896" s="631"/>
      <c r="O896" s="630"/>
      <c r="P896" s="630"/>
      <c r="Q896" s="630"/>
      <c r="R896" s="630"/>
    </row>
    <row r="897" spans="2:18" ht="15.75" customHeight="1" x14ac:dyDescent="0.3">
      <c r="B897" s="741"/>
      <c r="C897" s="742"/>
      <c r="D897" s="742"/>
      <c r="E897" s="742"/>
      <c r="F897" s="630"/>
      <c r="G897" s="630"/>
      <c r="H897" s="630"/>
      <c r="I897" s="630"/>
      <c r="J897" s="631"/>
      <c r="K897" s="630"/>
      <c r="L897" s="630"/>
      <c r="M897" s="632"/>
      <c r="N897" s="631"/>
      <c r="O897" s="630"/>
      <c r="P897" s="630"/>
      <c r="Q897" s="630"/>
      <c r="R897" s="630"/>
    </row>
    <row r="898" spans="2:18" ht="15.75" customHeight="1" x14ac:dyDescent="0.3">
      <c r="B898" s="741"/>
      <c r="C898" s="742"/>
      <c r="D898" s="742"/>
      <c r="E898" s="742"/>
      <c r="F898" s="630"/>
      <c r="G898" s="630"/>
      <c r="H898" s="630"/>
      <c r="I898" s="630"/>
      <c r="J898" s="631"/>
      <c r="K898" s="630"/>
      <c r="L898" s="630"/>
      <c r="M898" s="632"/>
      <c r="N898" s="631"/>
      <c r="O898" s="630"/>
      <c r="P898" s="630"/>
      <c r="Q898" s="630"/>
      <c r="R898" s="630"/>
    </row>
    <row r="899" spans="2:18" ht="15.75" customHeight="1" x14ac:dyDescent="0.3">
      <c r="B899" s="741"/>
      <c r="C899" s="742"/>
      <c r="D899" s="742"/>
      <c r="E899" s="742"/>
      <c r="F899" s="630"/>
      <c r="G899" s="630"/>
      <c r="H899" s="630"/>
      <c r="I899" s="630"/>
      <c r="J899" s="631"/>
      <c r="K899" s="630"/>
      <c r="L899" s="630"/>
      <c r="M899" s="632"/>
      <c r="N899" s="631"/>
      <c r="O899" s="630"/>
      <c r="P899" s="630"/>
      <c r="Q899" s="630"/>
      <c r="R899" s="630"/>
    </row>
    <row r="900" spans="2:18" ht="15.75" customHeight="1" x14ac:dyDescent="0.3">
      <c r="B900" s="741"/>
      <c r="C900" s="742"/>
      <c r="D900" s="742"/>
      <c r="E900" s="742"/>
      <c r="F900" s="630"/>
      <c r="G900" s="630"/>
      <c r="H900" s="630"/>
      <c r="I900" s="630"/>
      <c r="J900" s="631"/>
      <c r="K900" s="630"/>
      <c r="L900" s="630"/>
      <c r="M900" s="632"/>
      <c r="N900" s="631"/>
      <c r="O900" s="630"/>
      <c r="P900" s="630"/>
      <c r="Q900" s="630"/>
      <c r="R900" s="630"/>
    </row>
    <row r="901" spans="2:18" ht="15.75" customHeight="1" x14ac:dyDescent="0.3">
      <c r="B901" s="741"/>
      <c r="C901" s="742"/>
      <c r="D901" s="742"/>
      <c r="E901" s="742"/>
      <c r="F901" s="630"/>
      <c r="G901" s="630"/>
      <c r="H901" s="630"/>
      <c r="I901" s="630"/>
      <c r="J901" s="631"/>
      <c r="K901" s="630"/>
      <c r="L901" s="630"/>
      <c r="M901" s="632"/>
      <c r="N901" s="631"/>
      <c r="O901" s="630"/>
      <c r="P901" s="630"/>
      <c r="Q901" s="630"/>
      <c r="R901" s="630"/>
    </row>
    <row r="902" spans="2:18" ht="15.75" customHeight="1" x14ac:dyDescent="0.3">
      <c r="B902" s="741"/>
      <c r="C902" s="742"/>
      <c r="D902" s="742"/>
      <c r="E902" s="742"/>
      <c r="F902" s="630"/>
      <c r="G902" s="630"/>
      <c r="H902" s="630"/>
      <c r="I902" s="630"/>
      <c r="J902" s="631"/>
      <c r="K902" s="630"/>
      <c r="L902" s="630"/>
      <c r="M902" s="632"/>
      <c r="N902" s="631"/>
      <c r="O902" s="630"/>
      <c r="P902" s="630"/>
      <c r="Q902" s="630"/>
      <c r="R902" s="630"/>
    </row>
    <row r="903" spans="2:18" ht="15.75" customHeight="1" x14ac:dyDescent="0.3">
      <c r="B903" s="741"/>
      <c r="C903" s="742"/>
      <c r="D903" s="742"/>
      <c r="E903" s="742"/>
      <c r="F903" s="630"/>
      <c r="G903" s="630"/>
      <c r="H903" s="630"/>
      <c r="I903" s="630"/>
      <c r="J903" s="631"/>
      <c r="K903" s="630"/>
      <c r="L903" s="630"/>
      <c r="M903" s="632"/>
      <c r="N903" s="631"/>
      <c r="O903" s="630"/>
      <c r="P903" s="630"/>
      <c r="Q903" s="630"/>
      <c r="R903" s="630"/>
    </row>
    <row r="904" spans="2:18" ht="15.75" customHeight="1" x14ac:dyDescent="0.3">
      <c r="B904" s="741"/>
      <c r="C904" s="742"/>
      <c r="D904" s="742"/>
      <c r="E904" s="742"/>
      <c r="F904" s="630"/>
      <c r="G904" s="630"/>
      <c r="H904" s="630"/>
      <c r="I904" s="630"/>
      <c r="J904" s="631"/>
      <c r="K904" s="630"/>
      <c r="L904" s="630"/>
      <c r="M904" s="632"/>
      <c r="N904" s="631"/>
      <c r="O904" s="630"/>
      <c r="P904" s="630"/>
      <c r="Q904" s="630"/>
      <c r="R904" s="630"/>
    </row>
    <row r="905" spans="2:18" ht="15.75" customHeight="1" x14ac:dyDescent="0.3">
      <c r="B905" s="741"/>
      <c r="C905" s="742"/>
      <c r="D905" s="742"/>
      <c r="E905" s="742"/>
      <c r="F905" s="630"/>
      <c r="G905" s="630"/>
      <c r="H905" s="630"/>
      <c r="I905" s="630"/>
      <c r="J905" s="631"/>
      <c r="K905" s="630"/>
      <c r="L905" s="630"/>
      <c r="M905" s="632"/>
      <c r="N905" s="631"/>
      <c r="O905" s="630"/>
      <c r="P905" s="630"/>
      <c r="Q905" s="630"/>
      <c r="R905" s="630"/>
    </row>
    <row r="906" spans="2:18" ht="15.75" customHeight="1" x14ac:dyDescent="0.3">
      <c r="B906" s="741"/>
      <c r="C906" s="742"/>
      <c r="D906" s="742"/>
      <c r="E906" s="742"/>
      <c r="F906" s="630"/>
      <c r="G906" s="630"/>
      <c r="H906" s="630"/>
      <c r="I906" s="630"/>
      <c r="J906" s="631"/>
      <c r="K906" s="630"/>
      <c r="L906" s="630"/>
      <c r="M906" s="632"/>
      <c r="N906" s="631"/>
      <c r="O906" s="630"/>
      <c r="P906" s="630"/>
      <c r="Q906" s="630"/>
      <c r="R906" s="630"/>
    </row>
    <row r="907" spans="2:18" ht="15.75" customHeight="1" x14ac:dyDescent="0.3">
      <c r="B907" s="741"/>
      <c r="C907" s="742"/>
      <c r="D907" s="742"/>
      <c r="E907" s="742"/>
      <c r="F907" s="630"/>
      <c r="G907" s="630"/>
      <c r="H907" s="630"/>
      <c r="I907" s="630"/>
      <c r="J907" s="631"/>
      <c r="K907" s="630"/>
      <c r="L907" s="630"/>
      <c r="M907" s="632"/>
      <c r="N907" s="631"/>
      <c r="O907" s="630"/>
      <c r="P907" s="630"/>
      <c r="Q907" s="630"/>
      <c r="R907" s="630"/>
    </row>
    <row r="908" spans="2:18" ht="15.75" customHeight="1" x14ac:dyDescent="0.3">
      <c r="B908" s="741"/>
      <c r="C908" s="742"/>
      <c r="D908" s="742"/>
      <c r="E908" s="742"/>
      <c r="F908" s="630"/>
      <c r="G908" s="630"/>
      <c r="H908" s="630"/>
      <c r="I908" s="630"/>
      <c r="J908" s="631"/>
      <c r="K908" s="630"/>
      <c r="L908" s="630"/>
      <c r="M908" s="632"/>
      <c r="N908" s="631"/>
      <c r="O908" s="630"/>
      <c r="P908" s="630"/>
      <c r="Q908" s="630"/>
      <c r="R908" s="630"/>
    </row>
    <row r="909" spans="2:18" ht="15.75" customHeight="1" x14ac:dyDescent="0.3">
      <c r="B909" s="741"/>
      <c r="C909" s="742"/>
      <c r="D909" s="742"/>
      <c r="E909" s="742"/>
      <c r="F909" s="630"/>
      <c r="G909" s="630"/>
      <c r="H909" s="630"/>
      <c r="I909" s="630"/>
      <c r="J909" s="631"/>
      <c r="K909" s="630"/>
      <c r="L909" s="630"/>
      <c r="M909" s="632"/>
      <c r="N909" s="631"/>
      <c r="O909" s="630"/>
      <c r="P909" s="630"/>
      <c r="Q909" s="630"/>
      <c r="R909" s="630"/>
    </row>
    <row r="910" spans="2:18" ht="15.75" customHeight="1" x14ac:dyDescent="0.3">
      <c r="B910" s="741"/>
      <c r="C910" s="742"/>
      <c r="D910" s="742"/>
      <c r="E910" s="742"/>
      <c r="F910" s="630"/>
      <c r="G910" s="630"/>
      <c r="H910" s="630"/>
      <c r="I910" s="630"/>
      <c r="J910" s="631"/>
      <c r="K910" s="630"/>
      <c r="L910" s="630"/>
      <c r="M910" s="632"/>
      <c r="N910" s="631"/>
      <c r="O910" s="630"/>
      <c r="P910" s="630"/>
      <c r="Q910" s="630"/>
      <c r="R910" s="630"/>
    </row>
    <row r="911" spans="2:18" ht="15.75" customHeight="1" x14ac:dyDescent="0.3">
      <c r="B911" s="741"/>
      <c r="C911" s="742"/>
      <c r="D911" s="742"/>
      <c r="E911" s="742"/>
      <c r="F911" s="630"/>
      <c r="G911" s="630"/>
      <c r="H911" s="630"/>
      <c r="I911" s="630"/>
      <c r="J911" s="631"/>
      <c r="K911" s="630"/>
      <c r="L911" s="630"/>
      <c r="M911" s="632"/>
      <c r="N911" s="631"/>
      <c r="O911" s="630"/>
      <c r="P911" s="630"/>
      <c r="Q911" s="630"/>
      <c r="R911" s="630"/>
    </row>
    <row r="912" spans="2:18" ht="15.75" customHeight="1" x14ac:dyDescent="0.3">
      <c r="B912" s="741"/>
      <c r="C912" s="742"/>
      <c r="D912" s="742"/>
      <c r="E912" s="742"/>
      <c r="F912" s="630"/>
      <c r="G912" s="630"/>
      <c r="H912" s="630"/>
      <c r="I912" s="630"/>
      <c r="J912" s="631"/>
      <c r="K912" s="630"/>
      <c r="L912" s="630"/>
      <c r="M912" s="632"/>
      <c r="N912" s="631"/>
      <c r="O912" s="630"/>
      <c r="P912" s="630"/>
      <c r="Q912" s="630"/>
      <c r="R912" s="630"/>
    </row>
    <row r="913" spans="2:18" ht="15.75" customHeight="1" x14ac:dyDescent="0.3">
      <c r="B913" s="741"/>
      <c r="C913" s="742"/>
      <c r="D913" s="742"/>
      <c r="E913" s="742"/>
      <c r="F913" s="630"/>
      <c r="G913" s="630"/>
      <c r="H913" s="630"/>
      <c r="I913" s="630"/>
      <c r="J913" s="631"/>
      <c r="K913" s="630"/>
      <c r="L913" s="630"/>
      <c r="M913" s="632"/>
      <c r="N913" s="631"/>
      <c r="O913" s="630"/>
      <c r="P913" s="630"/>
      <c r="Q913" s="630"/>
      <c r="R913" s="630"/>
    </row>
    <row r="914" spans="2:18" ht="15.75" customHeight="1" x14ac:dyDescent="0.3">
      <c r="B914" s="741"/>
      <c r="C914" s="742"/>
      <c r="D914" s="742"/>
      <c r="E914" s="742"/>
      <c r="F914" s="630"/>
      <c r="G914" s="630"/>
      <c r="H914" s="630"/>
      <c r="I914" s="630"/>
      <c r="J914" s="631"/>
      <c r="K914" s="630"/>
      <c r="L914" s="630"/>
      <c r="M914" s="632"/>
      <c r="N914" s="631"/>
      <c r="O914" s="630"/>
      <c r="P914" s="630"/>
      <c r="Q914" s="630"/>
      <c r="R914" s="630"/>
    </row>
    <row r="915" spans="2:18" ht="15.75" customHeight="1" x14ac:dyDescent="0.3">
      <c r="B915" s="741"/>
      <c r="C915" s="742"/>
      <c r="D915" s="742"/>
      <c r="E915" s="742"/>
      <c r="F915" s="630"/>
      <c r="G915" s="630"/>
      <c r="H915" s="630"/>
      <c r="I915" s="630"/>
      <c r="J915" s="631"/>
      <c r="K915" s="630"/>
      <c r="L915" s="630"/>
      <c r="M915" s="632"/>
      <c r="N915" s="631"/>
      <c r="O915" s="630"/>
      <c r="P915" s="630"/>
      <c r="Q915" s="630"/>
      <c r="R915" s="630"/>
    </row>
    <row r="916" spans="2:18" ht="15.75" customHeight="1" x14ac:dyDescent="0.3">
      <c r="B916" s="741"/>
      <c r="C916" s="742"/>
      <c r="D916" s="742"/>
      <c r="E916" s="742"/>
      <c r="F916" s="630"/>
      <c r="G916" s="630"/>
      <c r="H916" s="630"/>
      <c r="I916" s="630"/>
      <c r="J916" s="631"/>
      <c r="K916" s="630"/>
      <c r="L916" s="630"/>
      <c r="M916" s="632"/>
      <c r="N916" s="631"/>
      <c r="O916" s="630"/>
      <c r="P916" s="630"/>
      <c r="Q916" s="630"/>
      <c r="R916" s="630"/>
    </row>
    <row r="917" spans="2:18" ht="15.75" customHeight="1" x14ac:dyDescent="0.3">
      <c r="B917" s="741"/>
      <c r="C917" s="742"/>
      <c r="D917" s="742"/>
      <c r="E917" s="742"/>
      <c r="F917" s="630"/>
      <c r="G917" s="630"/>
      <c r="H917" s="630"/>
      <c r="I917" s="630"/>
      <c r="J917" s="631"/>
      <c r="K917" s="630"/>
      <c r="L917" s="630"/>
      <c r="M917" s="632"/>
      <c r="N917" s="631"/>
      <c r="O917" s="630"/>
      <c r="P917" s="630"/>
      <c r="Q917" s="630"/>
      <c r="R917" s="630"/>
    </row>
    <row r="918" spans="2:18" ht="15.75" customHeight="1" x14ac:dyDescent="0.3">
      <c r="B918" s="741"/>
      <c r="C918" s="742"/>
      <c r="D918" s="742"/>
      <c r="E918" s="742"/>
      <c r="F918" s="630"/>
      <c r="G918" s="630"/>
      <c r="H918" s="630"/>
      <c r="I918" s="630"/>
      <c r="J918" s="631"/>
      <c r="K918" s="630"/>
      <c r="L918" s="630"/>
      <c r="M918" s="632"/>
      <c r="N918" s="631"/>
      <c r="O918" s="630"/>
      <c r="P918" s="630"/>
      <c r="Q918" s="630"/>
      <c r="R918" s="630"/>
    </row>
    <row r="919" spans="2:18" ht="15.75" customHeight="1" x14ac:dyDescent="0.3">
      <c r="B919" s="741"/>
      <c r="C919" s="742"/>
      <c r="D919" s="742"/>
      <c r="E919" s="742"/>
      <c r="F919" s="630"/>
      <c r="G919" s="630"/>
      <c r="H919" s="630"/>
      <c r="I919" s="630"/>
      <c r="J919" s="631"/>
      <c r="K919" s="630"/>
      <c r="L919" s="630"/>
      <c r="M919" s="632"/>
      <c r="N919" s="631"/>
      <c r="O919" s="630"/>
      <c r="P919" s="630"/>
      <c r="Q919" s="630"/>
      <c r="R919" s="630"/>
    </row>
    <row r="920" spans="2:18" ht="15.75" customHeight="1" x14ac:dyDescent="0.3">
      <c r="B920" s="741"/>
      <c r="C920" s="742"/>
      <c r="D920" s="742"/>
      <c r="E920" s="742"/>
      <c r="F920" s="630"/>
      <c r="G920" s="630"/>
      <c r="H920" s="630"/>
      <c r="I920" s="630"/>
      <c r="J920" s="631"/>
      <c r="K920" s="630"/>
      <c r="L920" s="630"/>
      <c r="M920" s="632"/>
      <c r="N920" s="631"/>
      <c r="O920" s="630"/>
      <c r="P920" s="630"/>
      <c r="Q920" s="630"/>
      <c r="R920" s="630"/>
    </row>
    <row r="921" spans="2:18" ht="15.75" customHeight="1" x14ac:dyDescent="0.3">
      <c r="B921" s="741"/>
      <c r="C921" s="742"/>
      <c r="D921" s="742"/>
      <c r="E921" s="742"/>
      <c r="F921" s="630"/>
      <c r="G921" s="630"/>
      <c r="H921" s="630"/>
      <c r="I921" s="630"/>
      <c r="J921" s="631"/>
      <c r="K921" s="630"/>
      <c r="L921" s="630"/>
      <c r="M921" s="632"/>
      <c r="N921" s="631"/>
      <c r="O921" s="630"/>
      <c r="P921" s="630"/>
      <c r="Q921" s="630"/>
      <c r="R921" s="630"/>
    </row>
    <row r="922" spans="2:18" ht="15.75" customHeight="1" x14ac:dyDescent="0.3">
      <c r="B922" s="741"/>
      <c r="C922" s="742"/>
      <c r="D922" s="742"/>
      <c r="E922" s="742"/>
      <c r="F922" s="630"/>
      <c r="G922" s="630"/>
      <c r="H922" s="630"/>
      <c r="I922" s="630"/>
      <c r="J922" s="631"/>
      <c r="K922" s="630"/>
      <c r="L922" s="630"/>
      <c r="M922" s="632"/>
      <c r="N922" s="631"/>
      <c r="O922" s="630"/>
      <c r="P922" s="630"/>
      <c r="Q922" s="630"/>
      <c r="R922" s="630"/>
    </row>
    <row r="923" spans="2:18" ht="15.75" customHeight="1" x14ac:dyDescent="0.3">
      <c r="B923" s="741"/>
      <c r="C923" s="742"/>
      <c r="D923" s="742"/>
      <c r="E923" s="742"/>
      <c r="F923" s="630"/>
      <c r="G923" s="630"/>
      <c r="H923" s="630"/>
      <c r="I923" s="630"/>
      <c r="J923" s="631"/>
      <c r="K923" s="630"/>
      <c r="L923" s="630"/>
      <c r="M923" s="632"/>
      <c r="N923" s="631"/>
      <c r="O923" s="630"/>
      <c r="P923" s="630"/>
      <c r="Q923" s="630"/>
      <c r="R923" s="630"/>
    </row>
    <row r="924" spans="2:18" ht="15.75" customHeight="1" x14ac:dyDescent="0.3">
      <c r="B924" s="741"/>
      <c r="C924" s="742"/>
      <c r="D924" s="742"/>
      <c r="E924" s="742"/>
      <c r="F924" s="630"/>
      <c r="G924" s="630"/>
      <c r="H924" s="630"/>
      <c r="I924" s="630"/>
      <c r="J924" s="631"/>
      <c r="K924" s="630"/>
      <c r="L924" s="630"/>
      <c r="M924" s="632"/>
      <c r="N924" s="631"/>
      <c r="O924" s="630"/>
      <c r="P924" s="630"/>
      <c r="Q924" s="630"/>
      <c r="R924" s="630"/>
    </row>
    <row r="925" spans="2:18" ht="15.75" customHeight="1" x14ac:dyDescent="0.3">
      <c r="B925" s="741"/>
      <c r="C925" s="742"/>
      <c r="D925" s="742"/>
      <c r="E925" s="742"/>
      <c r="F925" s="630"/>
      <c r="G925" s="630"/>
      <c r="H925" s="630"/>
      <c r="I925" s="630"/>
      <c r="J925" s="631"/>
      <c r="K925" s="630"/>
      <c r="L925" s="630"/>
      <c r="M925" s="632"/>
      <c r="N925" s="631"/>
      <c r="O925" s="630"/>
      <c r="P925" s="630"/>
      <c r="Q925" s="630"/>
      <c r="R925" s="630"/>
    </row>
    <row r="926" spans="2:18" ht="15.75" customHeight="1" x14ac:dyDescent="0.3">
      <c r="B926" s="741"/>
      <c r="C926" s="742"/>
      <c r="D926" s="742"/>
      <c r="E926" s="742"/>
      <c r="F926" s="630"/>
      <c r="G926" s="630"/>
      <c r="H926" s="630"/>
      <c r="I926" s="630"/>
      <c r="J926" s="631"/>
      <c r="K926" s="630"/>
      <c r="L926" s="630"/>
      <c r="M926" s="632"/>
      <c r="N926" s="631"/>
      <c r="O926" s="630"/>
      <c r="P926" s="630"/>
      <c r="Q926" s="630"/>
      <c r="R926" s="630"/>
    </row>
    <row r="927" spans="2:18" ht="15.75" customHeight="1" x14ac:dyDescent="0.3">
      <c r="B927" s="741"/>
      <c r="C927" s="742"/>
      <c r="D927" s="742"/>
      <c r="E927" s="742"/>
      <c r="F927" s="630"/>
      <c r="G927" s="630"/>
      <c r="H927" s="630"/>
      <c r="I927" s="630"/>
      <c r="J927" s="631"/>
      <c r="K927" s="630"/>
      <c r="L927" s="630"/>
      <c r="M927" s="632"/>
      <c r="N927" s="631"/>
      <c r="O927" s="630"/>
      <c r="P927" s="630"/>
      <c r="Q927" s="630"/>
      <c r="R927" s="630"/>
    </row>
    <row r="928" spans="2:18" ht="15.75" customHeight="1" x14ac:dyDescent="0.3">
      <c r="B928" s="741"/>
      <c r="C928" s="742"/>
      <c r="D928" s="742"/>
      <c r="E928" s="742"/>
      <c r="F928" s="630"/>
      <c r="G928" s="630"/>
      <c r="H928" s="630"/>
      <c r="I928" s="630"/>
      <c r="J928" s="631"/>
      <c r="K928" s="630"/>
      <c r="L928" s="630"/>
      <c r="M928" s="632"/>
      <c r="N928" s="631"/>
      <c r="O928" s="630"/>
      <c r="P928" s="630"/>
      <c r="Q928" s="630"/>
      <c r="R928" s="630"/>
    </row>
    <row r="929" spans="2:18" ht="15.75" customHeight="1" x14ac:dyDescent="0.3">
      <c r="B929" s="741"/>
      <c r="C929" s="742"/>
      <c r="D929" s="742"/>
      <c r="E929" s="742"/>
      <c r="F929" s="630"/>
      <c r="G929" s="630"/>
      <c r="H929" s="630"/>
      <c r="I929" s="630"/>
      <c r="J929" s="631"/>
      <c r="K929" s="630"/>
      <c r="L929" s="630"/>
      <c r="M929" s="632"/>
      <c r="N929" s="631"/>
      <c r="O929" s="630"/>
      <c r="P929" s="630"/>
      <c r="Q929" s="630"/>
      <c r="R929" s="630"/>
    </row>
    <row r="930" spans="2:18" ht="15.75" customHeight="1" x14ac:dyDescent="0.3">
      <c r="B930" s="741"/>
      <c r="C930" s="742"/>
      <c r="D930" s="742"/>
      <c r="E930" s="742"/>
      <c r="F930" s="630"/>
      <c r="G930" s="630"/>
      <c r="H930" s="630"/>
      <c r="I930" s="630"/>
      <c r="J930" s="631"/>
      <c r="K930" s="630"/>
      <c r="L930" s="630"/>
      <c r="M930" s="632"/>
      <c r="N930" s="631"/>
      <c r="O930" s="630"/>
      <c r="P930" s="630"/>
      <c r="Q930" s="630"/>
      <c r="R930" s="630"/>
    </row>
    <row r="931" spans="2:18" ht="15.75" customHeight="1" x14ac:dyDescent="0.3">
      <c r="B931" s="741"/>
      <c r="C931" s="742"/>
      <c r="D931" s="742"/>
      <c r="E931" s="742"/>
      <c r="F931" s="630"/>
      <c r="G931" s="630"/>
      <c r="H931" s="630"/>
      <c r="I931" s="630"/>
      <c r="J931" s="631"/>
      <c r="K931" s="630"/>
      <c r="L931" s="630"/>
      <c r="M931" s="632"/>
      <c r="N931" s="631"/>
      <c r="O931" s="630"/>
      <c r="P931" s="630"/>
      <c r="Q931" s="630"/>
      <c r="R931" s="630"/>
    </row>
    <row r="932" spans="2:18" ht="15.75" customHeight="1" x14ac:dyDescent="0.3">
      <c r="B932" s="741"/>
      <c r="C932" s="742"/>
      <c r="D932" s="742"/>
      <c r="E932" s="742"/>
      <c r="F932" s="630"/>
      <c r="G932" s="630"/>
      <c r="H932" s="630"/>
      <c r="I932" s="630"/>
      <c r="J932" s="631"/>
      <c r="K932" s="630"/>
      <c r="L932" s="630"/>
      <c r="M932" s="632"/>
      <c r="N932" s="631"/>
      <c r="O932" s="630"/>
      <c r="P932" s="630"/>
      <c r="Q932" s="630"/>
      <c r="R932" s="630"/>
    </row>
    <row r="933" spans="2:18" ht="15.75" customHeight="1" x14ac:dyDescent="0.3">
      <c r="B933" s="741"/>
      <c r="C933" s="742"/>
      <c r="D933" s="742"/>
      <c r="E933" s="742"/>
      <c r="F933" s="630"/>
      <c r="G933" s="630"/>
      <c r="H933" s="630"/>
      <c r="I933" s="630"/>
      <c r="J933" s="631"/>
      <c r="K933" s="630"/>
      <c r="L933" s="630"/>
      <c r="M933" s="632"/>
      <c r="N933" s="631"/>
      <c r="O933" s="630"/>
      <c r="P933" s="630"/>
      <c r="Q933" s="630"/>
      <c r="R933" s="630"/>
    </row>
    <row r="934" spans="2:18" ht="15.75" customHeight="1" x14ac:dyDescent="0.3">
      <c r="B934" s="741"/>
      <c r="C934" s="742"/>
      <c r="D934" s="742"/>
      <c r="E934" s="742"/>
      <c r="F934" s="630"/>
      <c r="G934" s="630"/>
      <c r="H934" s="630"/>
      <c r="I934" s="630"/>
      <c r="J934" s="631"/>
      <c r="K934" s="630"/>
      <c r="L934" s="630"/>
      <c r="M934" s="632"/>
      <c r="N934" s="631"/>
      <c r="O934" s="630"/>
      <c r="P934" s="630"/>
      <c r="Q934" s="630"/>
      <c r="R934" s="630"/>
    </row>
    <row r="935" spans="2:18" ht="15.75" customHeight="1" x14ac:dyDescent="0.3">
      <c r="B935" s="741"/>
      <c r="C935" s="742"/>
      <c r="D935" s="742"/>
      <c r="E935" s="742"/>
      <c r="F935" s="630"/>
      <c r="G935" s="630"/>
      <c r="H935" s="630"/>
      <c r="I935" s="630"/>
      <c r="J935" s="631"/>
      <c r="K935" s="630"/>
      <c r="L935" s="630"/>
      <c r="M935" s="632"/>
      <c r="N935" s="631"/>
      <c r="O935" s="630"/>
      <c r="P935" s="630"/>
      <c r="Q935" s="630"/>
      <c r="R935" s="630"/>
    </row>
    <row r="936" spans="2:18" ht="15.75" customHeight="1" x14ac:dyDescent="0.3">
      <c r="B936" s="741"/>
      <c r="C936" s="742"/>
      <c r="D936" s="742"/>
      <c r="E936" s="742"/>
      <c r="F936" s="630"/>
      <c r="G936" s="630"/>
      <c r="H936" s="630"/>
      <c r="I936" s="630"/>
      <c r="J936" s="631"/>
      <c r="K936" s="630"/>
      <c r="L936" s="630"/>
      <c r="M936" s="632"/>
      <c r="N936" s="631"/>
      <c r="O936" s="630"/>
      <c r="P936" s="630"/>
      <c r="Q936" s="630"/>
      <c r="R936" s="630"/>
    </row>
    <row r="937" spans="2:18" ht="15.75" customHeight="1" x14ac:dyDescent="0.3">
      <c r="B937" s="741"/>
      <c r="C937" s="742"/>
      <c r="D937" s="742"/>
      <c r="E937" s="742"/>
      <c r="F937" s="630"/>
      <c r="G937" s="630"/>
      <c r="H937" s="630"/>
      <c r="I937" s="630"/>
      <c r="J937" s="631"/>
      <c r="K937" s="630"/>
      <c r="L937" s="630"/>
      <c r="M937" s="632"/>
      <c r="N937" s="631"/>
      <c r="O937" s="630"/>
      <c r="P937" s="630"/>
      <c r="Q937" s="630"/>
      <c r="R937" s="630"/>
    </row>
    <row r="938" spans="2:18" ht="15.75" customHeight="1" x14ac:dyDescent="0.3">
      <c r="B938" s="741"/>
      <c r="C938" s="742"/>
      <c r="D938" s="742"/>
      <c r="E938" s="742"/>
      <c r="F938" s="630"/>
      <c r="G938" s="630"/>
      <c r="H938" s="630"/>
      <c r="I938" s="630"/>
      <c r="J938" s="631"/>
      <c r="K938" s="630"/>
      <c r="L938" s="630"/>
      <c r="M938" s="632"/>
      <c r="N938" s="631"/>
      <c r="O938" s="630"/>
      <c r="P938" s="630"/>
      <c r="Q938" s="630"/>
      <c r="R938" s="630"/>
    </row>
    <row r="939" spans="2:18" ht="15.75" customHeight="1" x14ac:dyDescent="0.3">
      <c r="B939" s="741"/>
      <c r="C939" s="742"/>
      <c r="D939" s="742"/>
      <c r="E939" s="742"/>
      <c r="F939" s="630"/>
      <c r="G939" s="630"/>
      <c r="H939" s="630"/>
      <c r="I939" s="630"/>
      <c r="J939" s="631"/>
      <c r="K939" s="630"/>
      <c r="L939" s="630"/>
      <c r="M939" s="632"/>
      <c r="N939" s="631"/>
      <c r="O939" s="630"/>
      <c r="P939" s="630"/>
      <c r="Q939" s="630"/>
      <c r="R939" s="630"/>
    </row>
    <row r="940" spans="2:18" ht="15.75" customHeight="1" x14ac:dyDescent="0.3">
      <c r="B940" s="741"/>
      <c r="C940" s="742"/>
      <c r="D940" s="742"/>
      <c r="E940" s="742"/>
      <c r="F940" s="630"/>
      <c r="G940" s="630"/>
      <c r="H940" s="630"/>
      <c r="I940" s="630"/>
      <c r="J940" s="631"/>
      <c r="K940" s="630"/>
      <c r="L940" s="630"/>
      <c r="M940" s="632"/>
      <c r="N940" s="631"/>
      <c r="O940" s="630"/>
      <c r="P940" s="630"/>
      <c r="Q940" s="630"/>
      <c r="R940" s="630"/>
    </row>
    <row r="941" spans="2:18" ht="15.75" customHeight="1" x14ac:dyDescent="0.3">
      <c r="B941" s="741"/>
      <c r="C941" s="742"/>
      <c r="D941" s="742"/>
      <c r="E941" s="742"/>
      <c r="F941" s="630"/>
      <c r="G941" s="630"/>
      <c r="H941" s="630"/>
      <c r="I941" s="630"/>
      <c r="J941" s="631"/>
      <c r="K941" s="630"/>
      <c r="L941" s="630"/>
      <c r="M941" s="632"/>
      <c r="N941" s="631"/>
      <c r="O941" s="630"/>
      <c r="P941" s="630"/>
      <c r="Q941" s="630"/>
      <c r="R941" s="630"/>
    </row>
    <row r="942" spans="2:18" ht="15.75" customHeight="1" x14ac:dyDescent="0.3">
      <c r="B942" s="741"/>
      <c r="C942" s="742"/>
      <c r="D942" s="742"/>
      <c r="E942" s="742"/>
      <c r="F942" s="630"/>
      <c r="G942" s="630"/>
      <c r="H942" s="630"/>
      <c r="I942" s="630"/>
      <c r="J942" s="631"/>
      <c r="K942" s="630"/>
      <c r="L942" s="630"/>
      <c r="M942" s="632"/>
      <c r="N942" s="631"/>
      <c r="O942" s="630"/>
      <c r="P942" s="630"/>
      <c r="Q942" s="630"/>
      <c r="R942" s="630"/>
    </row>
    <row r="943" spans="2:18" ht="15.75" customHeight="1" x14ac:dyDescent="0.3">
      <c r="B943" s="741"/>
      <c r="C943" s="742"/>
      <c r="D943" s="742"/>
      <c r="E943" s="742"/>
      <c r="F943" s="630"/>
      <c r="G943" s="630"/>
      <c r="H943" s="630"/>
      <c r="I943" s="630"/>
      <c r="J943" s="631"/>
      <c r="K943" s="630"/>
      <c r="L943" s="630"/>
      <c r="M943" s="632"/>
      <c r="N943" s="631"/>
      <c r="O943" s="630"/>
      <c r="P943" s="630"/>
      <c r="Q943" s="630"/>
      <c r="R943" s="630"/>
    </row>
    <row r="944" spans="2:18" ht="15.75" customHeight="1" x14ac:dyDescent="0.3">
      <c r="B944" s="741"/>
      <c r="C944" s="742"/>
      <c r="D944" s="742"/>
      <c r="E944" s="742"/>
      <c r="F944" s="630"/>
      <c r="G944" s="630"/>
      <c r="H944" s="630"/>
      <c r="I944" s="630"/>
      <c r="J944" s="631"/>
      <c r="K944" s="630"/>
      <c r="L944" s="630"/>
      <c r="M944" s="632"/>
      <c r="N944" s="631"/>
      <c r="O944" s="630"/>
      <c r="P944" s="630"/>
      <c r="Q944" s="630"/>
      <c r="R944" s="630"/>
    </row>
    <row r="945" spans="2:18" ht="15.75" customHeight="1" x14ac:dyDescent="0.3">
      <c r="B945" s="741"/>
      <c r="C945" s="742"/>
      <c r="D945" s="742"/>
      <c r="E945" s="742"/>
      <c r="F945" s="630"/>
      <c r="G945" s="630"/>
      <c r="H945" s="630"/>
      <c r="I945" s="630"/>
      <c r="J945" s="631"/>
      <c r="K945" s="630"/>
      <c r="L945" s="630"/>
      <c r="M945" s="632"/>
      <c r="N945" s="631"/>
      <c r="O945" s="630"/>
      <c r="P945" s="630"/>
      <c r="Q945" s="630"/>
      <c r="R945" s="630"/>
    </row>
    <row r="946" spans="2:18" ht="15.75" customHeight="1" x14ac:dyDescent="0.3">
      <c r="B946" s="741"/>
      <c r="C946" s="742"/>
      <c r="D946" s="742"/>
      <c r="E946" s="742"/>
      <c r="F946" s="630"/>
      <c r="G946" s="630"/>
      <c r="H946" s="630"/>
      <c r="I946" s="630"/>
      <c r="J946" s="631"/>
      <c r="K946" s="630"/>
      <c r="L946" s="630"/>
      <c r="M946" s="632"/>
      <c r="N946" s="631"/>
      <c r="O946" s="630"/>
      <c r="P946" s="630"/>
      <c r="Q946" s="630"/>
      <c r="R946" s="630"/>
    </row>
    <row r="947" spans="2:18" ht="15.75" customHeight="1" x14ac:dyDescent="0.3">
      <c r="B947" s="741"/>
      <c r="C947" s="742"/>
      <c r="D947" s="742"/>
      <c r="E947" s="742"/>
      <c r="F947" s="630"/>
      <c r="G947" s="630"/>
      <c r="H947" s="630"/>
      <c r="I947" s="630"/>
      <c r="J947" s="631"/>
      <c r="K947" s="630"/>
      <c r="L947" s="630"/>
      <c r="M947" s="632"/>
      <c r="N947" s="631"/>
      <c r="O947" s="630"/>
      <c r="P947" s="630"/>
      <c r="Q947" s="630"/>
      <c r="R947" s="630"/>
    </row>
    <row r="948" spans="2:18" ht="15.75" customHeight="1" x14ac:dyDescent="0.3">
      <c r="B948" s="741"/>
      <c r="C948" s="742"/>
      <c r="D948" s="742"/>
      <c r="E948" s="742"/>
      <c r="F948" s="630"/>
      <c r="G948" s="630"/>
      <c r="H948" s="630"/>
      <c r="I948" s="630"/>
      <c r="J948" s="631"/>
      <c r="K948" s="630"/>
      <c r="L948" s="630"/>
      <c r="M948" s="632"/>
      <c r="N948" s="631"/>
      <c r="O948" s="630"/>
      <c r="P948" s="630"/>
      <c r="Q948" s="630"/>
      <c r="R948" s="630"/>
    </row>
    <row r="949" spans="2:18" ht="15.75" customHeight="1" x14ac:dyDescent="0.3">
      <c r="B949" s="741"/>
      <c r="C949" s="742"/>
      <c r="D949" s="742"/>
      <c r="E949" s="742"/>
      <c r="F949" s="630"/>
      <c r="G949" s="630"/>
      <c r="H949" s="630"/>
      <c r="I949" s="630"/>
      <c r="J949" s="631"/>
      <c r="K949" s="630"/>
      <c r="L949" s="630"/>
      <c r="M949" s="632"/>
      <c r="N949" s="631"/>
      <c r="O949" s="630"/>
      <c r="P949" s="630"/>
      <c r="Q949" s="630"/>
      <c r="R949" s="630"/>
    </row>
    <row r="950" spans="2:18" ht="15.75" customHeight="1" x14ac:dyDescent="0.3">
      <c r="B950" s="741"/>
      <c r="C950" s="742"/>
      <c r="D950" s="742"/>
      <c r="E950" s="742"/>
      <c r="F950" s="630"/>
      <c r="G950" s="630"/>
      <c r="H950" s="630"/>
      <c r="I950" s="630"/>
      <c r="J950" s="631"/>
      <c r="K950" s="630"/>
      <c r="L950" s="630"/>
      <c r="M950" s="632"/>
      <c r="N950" s="631"/>
      <c r="O950" s="630"/>
      <c r="P950" s="630"/>
      <c r="Q950" s="630"/>
      <c r="R950" s="630"/>
    </row>
    <row r="951" spans="2:18" ht="15.75" customHeight="1" x14ac:dyDescent="0.3">
      <c r="B951" s="741"/>
      <c r="C951" s="742"/>
      <c r="D951" s="742"/>
      <c r="E951" s="742"/>
      <c r="F951" s="630"/>
      <c r="G951" s="630"/>
      <c r="H951" s="630"/>
      <c r="I951" s="630"/>
      <c r="J951" s="631"/>
      <c r="K951" s="630"/>
      <c r="L951" s="630"/>
      <c r="M951" s="632"/>
      <c r="N951" s="631"/>
      <c r="O951" s="630"/>
      <c r="P951" s="630"/>
      <c r="Q951" s="630"/>
      <c r="R951" s="630"/>
    </row>
    <row r="952" spans="2:18" ht="15.75" customHeight="1" x14ac:dyDescent="0.3">
      <c r="B952" s="741"/>
      <c r="C952" s="742"/>
      <c r="D952" s="742"/>
      <c r="E952" s="742"/>
      <c r="F952" s="630"/>
      <c r="G952" s="630"/>
      <c r="H952" s="630"/>
      <c r="I952" s="630"/>
      <c r="J952" s="631"/>
      <c r="K952" s="630"/>
      <c r="L952" s="630"/>
      <c r="M952" s="632"/>
      <c r="N952" s="631"/>
      <c r="O952" s="630"/>
      <c r="P952" s="630"/>
      <c r="Q952" s="630"/>
      <c r="R952" s="630"/>
    </row>
    <row r="953" spans="2:18" ht="15.75" customHeight="1" x14ac:dyDescent="0.3">
      <c r="B953" s="741"/>
      <c r="C953" s="742"/>
      <c r="D953" s="742"/>
      <c r="E953" s="742"/>
      <c r="F953" s="630"/>
      <c r="G953" s="630"/>
      <c r="H953" s="630"/>
      <c r="I953" s="630"/>
      <c r="J953" s="631"/>
      <c r="K953" s="630"/>
      <c r="L953" s="630"/>
      <c r="M953" s="632"/>
      <c r="N953" s="631"/>
      <c r="O953" s="630"/>
      <c r="P953" s="630"/>
      <c r="Q953" s="630"/>
      <c r="R953" s="630"/>
    </row>
    <row r="954" spans="2:18" ht="15.75" customHeight="1" x14ac:dyDescent="0.3">
      <c r="B954" s="741"/>
      <c r="C954" s="742"/>
      <c r="D954" s="742"/>
      <c r="E954" s="742"/>
      <c r="F954" s="630"/>
      <c r="G954" s="630"/>
      <c r="H954" s="630"/>
      <c r="I954" s="630"/>
      <c r="J954" s="631"/>
      <c r="K954" s="630"/>
      <c r="L954" s="630"/>
      <c r="M954" s="632"/>
      <c r="N954" s="631"/>
      <c r="O954" s="630"/>
      <c r="P954" s="630"/>
      <c r="Q954" s="630"/>
      <c r="R954" s="630"/>
    </row>
    <row r="955" spans="2:18" ht="15.75" customHeight="1" x14ac:dyDescent="0.3">
      <c r="B955" s="741"/>
      <c r="C955" s="742"/>
      <c r="D955" s="742"/>
      <c r="E955" s="742"/>
      <c r="F955" s="630"/>
      <c r="G955" s="630"/>
      <c r="H955" s="630"/>
      <c r="I955" s="630"/>
      <c r="J955" s="631"/>
      <c r="K955" s="630"/>
      <c r="L955" s="630"/>
      <c r="M955" s="632"/>
      <c r="N955" s="631"/>
      <c r="O955" s="630"/>
      <c r="P955" s="630"/>
      <c r="Q955" s="630"/>
      <c r="R955" s="630"/>
    </row>
    <row r="956" spans="2:18" ht="15.75" customHeight="1" x14ac:dyDescent="0.3">
      <c r="B956" s="741"/>
      <c r="C956" s="742"/>
      <c r="D956" s="742"/>
      <c r="E956" s="742"/>
      <c r="F956" s="630"/>
      <c r="G956" s="630"/>
      <c r="H956" s="630"/>
      <c r="I956" s="630"/>
      <c r="J956" s="631"/>
      <c r="K956" s="630"/>
      <c r="L956" s="630"/>
      <c r="M956" s="632"/>
      <c r="N956" s="631"/>
      <c r="O956" s="630"/>
      <c r="P956" s="630"/>
      <c r="Q956" s="630"/>
      <c r="R956" s="630"/>
    </row>
    <row r="957" spans="2:18" ht="15.75" customHeight="1" x14ac:dyDescent="0.3">
      <c r="B957" s="741"/>
      <c r="C957" s="742"/>
      <c r="D957" s="742"/>
      <c r="E957" s="742"/>
      <c r="F957" s="630"/>
      <c r="G957" s="630"/>
      <c r="H957" s="630"/>
      <c r="I957" s="630"/>
      <c r="J957" s="631"/>
      <c r="K957" s="630"/>
      <c r="L957" s="630"/>
      <c r="M957" s="632"/>
      <c r="N957" s="631"/>
      <c r="O957" s="630"/>
      <c r="P957" s="630"/>
      <c r="Q957" s="630"/>
      <c r="R957" s="630"/>
    </row>
    <row r="958" spans="2:18" ht="15.75" customHeight="1" x14ac:dyDescent="0.3">
      <c r="B958" s="741"/>
      <c r="C958" s="742"/>
      <c r="D958" s="742"/>
      <c r="E958" s="742"/>
      <c r="F958" s="630"/>
      <c r="G958" s="630"/>
      <c r="H958" s="630"/>
      <c r="I958" s="630"/>
      <c r="J958" s="631"/>
      <c r="K958" s="630"/>
      <c r="L958" s="630"/>
      <c r="M958" s="632"/>
      <c r="N958" s="631"/>
      <c r="O958" s="630"/>
      <c r="P958" s="630"/>
      <c r="Q958" s="630"/>
      <c r="R958" s="630"/>
    </row>
    <row r="959" spans="2:18" ht="15.75" customHeight="1" x14ac:dyDescent="0.3">
      <c r="B959" s="741"/>
      <c r="C959" s="742"/>
      <c r="D959" s="742"/>
      <c r="E959" s="742"/>
      <c r="F959" s="630"/>
      <c r="G959" s="630"/>
      <c r="H959" s="630"/>
      <c r="I959" s="630"/>
      <c r="J959" s="631"/>
      <c r="K959" s="630"/>
      <c r="L959" s="630"/>
      <c r="M959" s="632"/>
      <c r="N959" s="631"/>
      <c r="O959" s="630"/>
      <c r="P959" s="630"/>
      <c r="Q959" s="630"/>
      <c r="R959" s="630"/>
    </row>
    <row r="960" spans="2:18" ht="15.75" customHeight="1" x14ac:dyDescent="0.3">
      <c r="B960" s="741"/>
      <c r="C960" s="742"/>
      <c r="D960" s="742"/>
      <c r="E960" s="742"/>
      <c r="F960" s="630"/>
      <c r="G960" s="630"/>
      <c r="H960" s="630"/>
      <c r="I960" s="630"/>
      <c r="J960" s="631"/>
      <c r="K960" s="630"/>
      <c r="L960" s="630"/>
      <c r="M960" s="632"/>
      <c r="N960" s="631"/>
      <c r="O960" s="630"/>
      <c r="P960" s="630"/>
      <c r="Q960" s="630"/>
      <c r="R960" s="630"/>
    </row>
    <row r="961" spans="2:18" ht="15.75" customHeight="1" x14ac:dyDescent="0.3">
      <c r="B961" s="741"/>
      <c r="C961" s="742"/>
      <c r="D961" s="742"/>
      <c r="E961" s="742"/>
      <c r="F961" s="630"/>
      <c r="G961" s="630"/>
      <c r="H961" s="630"/>
      <c r="I961" s="630"/>
      <c r="J961" s="631"/>
      <c r="K961" s="630"/>
      <c r="L961" s="630"/>
      <c r="M961" s="632"/>
      <c r="N961" s="631"/>
      <c r="O961" s="630"/>
      <c r="P961" s="630"/>
      <c r="Q961" s="630"/>
      <c r="R961" s="630"/>
    </row>
    <row r="962" spans="2:18" ht="15.75" customHeight="1" x14ac:dyDescent="0.3">
      <c r="B962" s="741"/>
      <c r="C962" s="742"/>
      <c r="D962" s="742"/>
      <c r="E962" s="742"/>
      <c r="F962" s="630"/>
      <c r="G962" s="630"/>
      <c r="H962" s="630"/>
      <c r="I962" s="630"/>
      <c r="J962" s="631"/>
      <c r="K962" s="630"/>
      <c r="L962" s="630"/>
      <c r="M962" s="632"/>
      <c r="N962" s="631"/>
      <c r="O962" s="630"/>
      <c r="P962" s="630"/>
      <c r="Q962" s="630"/>
      <c r="R962" s="630"/>
    </row>
    <row r="963" spans="2:18" ht="15.75" customHeight="1" x14ac:dyDescent="0.3">
      <c r="B963" s="741"/>
      <c r="C963" s="742"/>
      <c r="D963" s="742"/>
      <c r="E963" s="742"/>
      <c r="F963" s="630"/>
      <c r="G963" s="630"/>
      <c r="H963" s="630"/>
      <c r="I963" s="630"/>
      <c r="J963" s="631"/>
      <c r="K963" s="630"/>
      <c r="L963" s="630"/>
      <c r="M963" s="632"/>
      <c r="N963" s="631"/>
      <c r="O963" s="630"/>
      <c r="P963" s="630"/>
      <c r="Q963" s="630"/>
      <c r="R963" s="630"/>
    </row>
    <row r="964" spans="2:18" ht="15.75" customHeight="1" x14ac:dyDescent="0.3">
      <c r="B964" s="741"/>
      <c r="C964" s="742"/>
      <c r="D964" s="742"/>
      <c r="E964" s="742"/>
      <c r="F964" s="630"/>
      <c r="G964" s="630"/>
      <c r="H964" s="630"/>
      <c r="I964" s="630"/>
      <c r="J964" s="631"/>
      <c r="K964" s="630"/>
      <c r="L964" s="630"/>
      <c r="M964" s="632"/>
      <c r="N964" s="631"/>
      <c r="O964" s="630"/>
      <c r="P964" s="630"/>
      <c r="Q964" s="630"/>
      <c r="R964" s="630"/>
    </row>
    <row r="965" spans="2:18" ht="15.75" customHeight="1" x14ac:dyDescent="0.3">
      <c r="B965" s="741"/>
      <c r="C965" s="742"/>
      <c r="D965" s="742"/>
      <c r="E965" s="742"/>
      <c r="F965" s="630"/>
      <c r="G965" s="630"/>
      <c r="H965" s="630"/>
      <c r="I965" s="630"/>
      <c r="J965" s="631"/>
      <c r="K965" s="630"/>
      <c r="L965" s="630"/>
      <c r="M965" s="632"/>
      <c r="N965" s="631"/>
      <c r="O965" s="630"/>
      <c r="P965" s="630"/>
      <c r="Q965" s="630"/>
      <c r="R965" s="630"/>
    </row>
    <row r="966" spans="2:18" ht="15.75" customHeight="1" x14ac:dyDescent="0.3">
      <c r="B966" s="741"/>
      <c r="C966" s="742"/>
      <c r="D966" s="742"/>
      <c r="E966" s="742"/>
      <c r="F966" s="630"/>
      <c r="G966" s="630"/>
      <c r="H966" s="630"/>
      <c r="I966" s="630"/>
      <c r="J966" s="631"/>
      <c r="K966" s="630"/>
      <c r="L966" s="630"/>
      <c r="M966" s="632"/>
      <c r="N966" s="631"/>
      <c r="O966" s="630"/>
      <c r="P966" s="630"/>
      <c r="Q966" s="630"/>
      <c r="R966" s="630"/>
    </row>
    <row r="967" spans="2:18" ht="15.75" customHeight="1" x14ac:dyDescent="0.3">
      <c r="B967" s="741"/>
      <c r="C967" s="742"/>
      <c r="D967" s="742"/>
      <c r="E967" s="742"/>
      <c r="F967" s="630"/>
      <c r="G967" s="630"/>
      <c r="H967" s="630"/>
      <c r="I967" s="630"/>
      <c r="J967" s="631"/>
      <c r="K967" s="630"/>
      <c r="L967" s="630"/>
      <c r="M967" s="632"/>
      <c r="N967" s="631"/>
      <c r="O967" s="630"/>
      <c r="P967" s="630"/>
      <c r="Q967" s="630"/>
      <c r="R967" s="630"/>
    </row>
    <row r="968" spans="2:18" ht="15.75" customHeight="1" x14ac:dyDescent="0.3">
      <c r="B968" s="741"/>
      <c r="C968" s="742"/>
      <c r="D968" s="742"/>
      <c r="E968" s="742"/>
      <c r="F968" s="630"/>
      <c r="G968" s="630"/>
      <c r="H968" s="630"/>
      <c r="I968" s="630"/>
      <c r="J968" s="631"/>
      <c r="K968" s="630"/>
      <c r="L968" s="630"/>
      <c r="M968" s="632"/>
      <c r="N968" s="631"/>
      <c r="O968" s="630"/>
      <c r="P968" s="630"/>
      <c r="Q968" s="630"/>
      <c r="R968" s="630"/>
    </row>
    <row r="969" spans="2:18" ht="15.75" customHeight="1" x14ac:dyDescent="0.3">
      <c r="B969" s="741"/>
      <c r="C969" s="742"/>
      <c r="D969" s="742"/>
      <c r="E969" s="742"/>
      <c r="F969" s="630"/>
      <c r="G969" s="630"/>
      <c r="H969" s="630"/>
      <c r="I969" s="630"/>
      <c r="J969" s="631"/>
      <c r="K969" s="630"/>
      <c r="L969" s="630"/>
      <c r="M969" s="632"/>
      <c r="N969" s="631"/>
      <c r="O969" s="630"/>
      <c r="P969" s="630"/>
      <c r="Q969" s="630"/>
      <c r="R969" s="630"/>
    </row>
    <row r="970" spans="2:18" ht="15.75" customHeight="1" x14ac:dyDescent="0.3">
      <c r="B970" s="741"/>
      <c r="C970" s="742"/>
      <c r="D970" s="742"/>
      <c r="E970" s="742"/>
      <c r="F970" s="630"/>
      <c r="G970" s="630"/>
      <c r="H970" s="630"/>
      <c r="I970" s="630"/>
      <c r="J970" s="631"/>
      <c r="K970" s="630"/>
      <c r="L970" s="630"/>
      <c r="M970" s="632"/>
      <c r="N970" s="631"/>
      <c r="O970" s="630"/>
      <c r="P970" s="630"/>
      <c r="Q970" s="630"/>
      <c r="R970" s="630"/>
    </row>
    <row r="971" spans="2:18" ht="15.75" customHeight="1" x14ac:dyDescent="0.3">
      <c r="B971" s="741"/>
      <c r="C971" s="742"/>
      <c r="D971" s="742"/>
      <c r="E971" s="742"/>
      <c r="F971" s="630"/>
      <c r="G971" s="630"/>
      <c r="H971" s="630"/>
      <c r="I971" s="630"/>
      <c r="J971" s="631"/>
      <c r="K971" s="630"/>
      <c r="L971" s="630"/>
      <c r="M971" s="632"/>
      <c r="N971" s="631"/>
      <c r="O971" s="630"/>
      <c r="P971" s="630"/>
      <c r="Q971" s="630"/>
      <c r="R971" s="630"/>
    </row>
    <row r="972" spans="2:18" ht="15.75" customHeight="1" x14ac:dyDescent="0.3">
      <c r="B972" s="741"/>
      <c r="C972" s="742"/>
      <c r="D972" s="742"/>
      <c r="E972" s="742"/>
      <c r="F972" s="630"/>
      <c r="G972" s="630"/>
      <c r="H972" s="630"/>
      <c r="I972" s="630"/>
      <c r="J972" s="631"/>
      <c r="K972" s="630"/>
      <c r="L972" s="630"/>
      <c r="M972" s="632"/>
      <c r="N972" s="631"/>
      <c r="O972" s="630"/>
      <c r="P972" s="630"/>
      <c r="Q972" s="630"/>
      <c r="R972" s="630"/>
    </row>
    <row r="973" spans="2:18" ht="15.75" customHeight="1" x14ac:dyDescent="0.3">
      <c r="B973" s="741"/>
      <c r="C973" s="742"/>
      <c r="D973" s="742"/>
      <c r="E973" s="742"/>
      <c r="F973" s="630"/>
      <c r="G973" s="630"/>
      <c r="H973" s="630"/>
      <c r="I973" s="630"/>
      <c r="J973" s="631"/>
      <c r="K973" s="630"/>
      <c r="L973" s="630"/>
      <c r="M973" s="632"/>
      <c r="N973" s="631"/>
      <c r="O973" s="630"/>
      <c r="P973" s="630"/>
      <c r="Q973" s="630"/>
      <c r="R973" s="630"/>
    </row>
    <row r="974" spans="2:18" ht="15.75" customHeight="1" x14ac:dyDescent="0.3">
      <c r="B974" s="741"/>
      <c r="C974" s="742"/>
      <c r="D974" s="742"/>
      <c r="E974" s="742"/>
      <c r="F974" s="630"/>
      <c r="G974" s="630"/>
      <c r="H974" s="630"/>
      <c r="I974" s="630"/>
      <c r="J974" s="631"/>
      <c r="K974" s="630"/>
      <c r="L974" s="630"/>
      <c r="M974" s="632"/>
      <c r="N974" s="631"/>
      <c r="O974" s="630"/>
      <c r="P974" s="630"/>
      <c r="Q974" s="630"/>
      <c r="R974" s="630"/>
    </row>
    <row r="975" spans="2:18" ht="15.75" customHeight="1" x14ac:dyDescent="0.3">
      <c r="B975" s="741"/>
      <c r="C975" s="742"/>
      <c r="D975" s="742"/>
      <c r="E975" s="742"/>
      <c r="F975" s="630"/>
      <c r="G975" s="630"/>
      <c r="H975" s="630"/>
      <c r="I975" s="630"/>
      <c r="J975" s="631"/>
      <c r="K975" s="630"/>
      <c r="L975" s="630"/>
      <c r="M975" s="632"/>
      <c r="N975" s="631"/>
      <c r="O975" s="630"/>
      <c r="P975" s="630"/>
      <c r="Q975" s="630"/>
      <c r="R975" s="630"/>
    </row>
    <row r="976" spans="2:18" ht="15.75" customHeight="1" x14ac:dyDescent="0.3">
      <c r="B976" s="741"/>
      <c r="C976" s="742"/>
      <c r="D976" s="742"/>
      <c r="E976" s="742"/>
      <c r="F976" s="630"/>
      <c r="G976" s="630"/>
      <c r="H976" s="630"/>
      <c r="I976" s="630"/>
      <c r="J976" s="631"/>
      <c r="K976" s="630"/>
      <c r="L976" s="630"/>
      <c r="M976" s="632"/>
      <c r="N976" s="631"/>
      <c r="O976" s="630"/>
      <c r="P976" s="630"/>
      <c r="Q976" s="630"/>
      <c r="R976" s="630"/>
    </row>
    <row r="977" spans="2:18" ht="15.75" customHeight="1" x14ac:dyDescent="0.3">
      <c r="B977" s="741"/>
      <c r="C977" s="742"/>
      <c r="D977" s="742"/>
      <c r="E977" s="742"/>
      <c r="F977" s="630"/>
      <c r="G977" s="630"/>
      <c r="H977" s="630"/>
      <c r="I977" s="630"/>
      <c r="J977" s="631"/>
      <c r="K977" s="630"/>
      <c r="L977" s="630"/>
      <c r="M977" s="632"/>
      <c r="N977" s="631"/>
      <c r="O977" s="630"/>
      <c r="P977" s="630"/>
      <c r="Q977" s="630"/>
      <c r="R977" s="630"/>
    </row>
    <row r="978" spans="2:18" ht="15.75" customHeight="1" x14ac:dyDescent="0.3">
      <c r="B978" s="741"/>
      <c r="C978" s="742"/>
      <c r="D978" s="742"/>
      <c r="E978" s="742"/>
      <c r="F978" s="630"/>
      <c r="G978" s="630"/>
      <c r="H978" s="630"/>
      <c r="I978" s="630"/>
      <c r="J978" s="631"/>
      <c r="K978" s="630"/>
      <c r="L978" s="630"/>
      <c r="M978" s="632"/>
      <c r="N978" s="631"/>
      <c r="O978" s="630"/>
      <c r="P978" s="630"/>
      <c r="Q978" s="630"/>
      <c r="R978" s="630"/>
    </row>
    <row r="979" spans="2:18" ht="15.75" customHeight="1" x14ac:dyDescent="0.3">
      <c r="B979" s="741"/>
      <c r="C979" s="742"/>
      <c r="D979" s="742"/>
      <c r="E979" s="742"/>
      <c r="F979" s="630"/>
      <c r="G979" s="630"/>
      <c r="H979" s="630"/>
      <c r="I979" s="630"/>
      <c r="J979" s="631"/>
      <c r="K979" s="630"/>
      <c r="L979" s="630"/>
      <c r="M979" s="632"/>
      <c r="N979" s="631"/>
      <c r="O979" s="630"/>
      <c r="P979" s="630"/>
      <c r="Q979" s="630"/>
      <c r="R979" s="630"/>
    </row>
    <row r="980" spans="2:18" ht="15.75" customHeight="1" x14ac:dyDescent="0.3">
      <c r="B980" s="741"/>
      <c r="C980" s="742"/>
      <c r="D980" s="742"/>
      <c r="E980" s="742"/>
      <c r="F980" s="630"/>
      <c r="G980" s="630"/>
      <c r="H980" s="630"/>
      <c r="I980" s="630"/>
      <c r="J980" s="631"/>
      <c r="K980" s="630"/>
      <c r="L980" s="630"/>
      <c r="M980" s="632"/>
      <c r="N980" s="631"/>
      <c r="O980" s="630"/>
      <c r="P980" s="630"/>
      <c r="Q980" s="630"/>
      <c r="R980" s="630"/>
    </row>
    <row r="981" spans="2:18" ht="15.75" customHeight="1" x14ac:dyDescent="0.3">
      <c r="B981" s="741"/>
      <c r="C981" s="742"/>
      <c r="D981" s="742"/>
      <c r="E981" s="742"/>
      <c r="F981" s="630"/>
      <c r="G981" s="630"/>
      <c r="H981" s="630"/>
      <c r="I981" s="630"/>
      <c r="J981" s="631"/>
      <c r="K981" s="630"/>
      <c r="L981" s="630"/>
      <c r="M981" s="632"/>
      <c r="N981" s="631"/>
      <c r="O981" s="630"/>
      <c r="P981" s="630"/>
      <c r="Q981" s="630"/>
      <c r="R981" s="630"/>
    </row>
    <row r="982" spans="2:18" ht="15.75" customHeight="1" x14ac:dyDescent="0.3">
      <c r="B982" s="741"/>
      <c r="C982" s="742"/>
      <c r="D982" s="742"/>
      <c r="E982" s="742"/>
      <c r="F982" s="630"/>
      <c r="G982" s="630"/>
      <c r="H982" s="630"/>
      <c r="I982" s="630"/>
      <c r="J982" s="631"/>
      <c r="K982" s="630"/>
      <c r="L982" s="630"/>
      <c r="M982" s="632"/>
      <c r="N982" s="631"/>
      <c r="O982" s="630"/>
      <c r="P982" s="630"/>
      <c r="Q982" s="630"/>
      <c r="R982" s="630"/>
    </row>
    <row r="983" spans="2:18" ht="15.75" customHeight="1" x14ac:dyDescent="0.3">
      <c r="B983" s="741"/>
      <c r="C983" s="742"/>
      <c r="D983" s="742"/>
      <c r="E983" s="742"/>
      <c r="F983" s="630"/>
      <c r="G983" s="630"/>
      <c r="H983" s="630"/>
      <c r="I983" s="630"/>
      <c r="J983" s="631"/>
      <c r="K983" s="630"/>
      <c r="L983" s="630"/>
      <c r="M983" s="632"/>
      <c r="N983" s="631"/>
      <c r="O983" s="630"/>
      <c r="P983" s="630"/>
      <c r="Q983" s="630"/>
      <c r="R983" s="630"/>
    </row>
    <row r="984" spans="2:18" ht="15.75" customHeight="1" x14ac:dyDescent="0.3">
      <c r="B984" s="741"/>
      <c r="C984" s="742"/>
      <c r="D984" s="742"/>
      <c r="E984" s="742"/>
      <c r="F984" s="630"/>
      <c r="G984" s="630"/>
      <c r="H984" s="630"/>
      <c r="I984" s="630"/>
      <c r="J984" s="631"/>
      <c r="K984" s="630"/>
      <c r="L984" s="630"/>
      <c r="M984" s="632"/>
      <c r="N984" s="631"/>
      <c r="O984" s="630"/>
      <c r="P984" s="630"/>
      <c r="Q984" s="630"/>
      <c r="R984" s="630"/>
    </row>
    <row r="985" spans="2:18" ht="15.75" customHeight="1" x14ac:dyDescent="0.3">
      <c r="B985" s="741"/>
      <c r="C985" s="742"/>
      <c r="D985" s="742"/>
      <c r="E985" s="742"/>
      <c r="F985" s="630"/>
      <c r="G985" s="630"/>
      <c r="H985" s="630"/>
      <c r="I985" s="630"/>
      <c r="J985" s="631"/>
      <c r="K985" s="630"/>
      <c r="L985" s="630"/>
      <c r="M985" s="632"/>
      <c r="N985" s="631"/>
      <c r="O985" s="630"/>
      <c r="P985" s="630"/>
      <c r="Q985" s="630"/>
      <c r="R985" s="630"/>
    </row>
    <row r="986" spans="2:18" ht="15.75" customHeight="1" x14ac:dyDescent="0.3">
      <c r="B986" s="741"/>
      <c r="C986" s="742"/>
      <c r="D986" s="742"/>
      <c r="E986" s="742"/>
      <c r="F986" s="630"/>
      <c r="G986" s="630"/>
      <c r="H986" s="630"/>
      <c r="I986" s="630"/>
      <c r="J986" s="631"/>
      <c r="K986" s="630"/>
      <c r="L986" s="630"/>
      <c r="M986" s="632"/>
      <c r="N986" s="631"/>
      <c r="O986" s="630"/>
      <c r="P986" s="630"/>
      <c r="Q986" s="630"/>
      <c r="R986" s="630"/>
    </row>
    <row r="987" spans="2:18" ht="15.75" customHeight="1" x14ac:dyDescent="0.3">
      <c r="B987" s="741"/>
      <c r="C987" s="742"/>
      <c r="D987" s="742"/>
      <c r="E987" s="742"/>
      <c r="F987" s="630"/>
      <c r="G987" s="630"/>
      <c r="H987" s="630"/>
      <c r="I987" s="630"/>
      <c r="J987" s="631"/>
      <c r="K987" s="630"/>
      <c r="L987" s="630"/>
      <c r="M987" s="632"/>
      <c r="N987" s="631"/>
      <c r="O987" s="630"/>
      <c r="P987" s="630"/>
      <c r="Q987" s="630"/>
      <c r="R987" s="630"/>
    </row>
    <row r="988" spans="2:18" ht="15.75" customHeight="1" x14ac:dyDescent="0.3">
      <c r="B988" s="741"/>
      <c r="C988" s="742"/>
      <c r="D988" s="742"/>
      <c r="E988" s="742"/>
      <c r="F988" s="630"/>
      <c r="G988" s="630"/>
      <c r="H988" s="630"/>
      <c r="I988" s="630"/>
      <c r="J988" s="631"/>
      <c r="K988" s="630"/>
      <c r="L988" s="630"/>
      <c r="M988" s="632"/>
      <c r="N988" s="631"/>
      <c r="O988" s="630"/>
      <c r="P988" s="630"/>
      <c r="Q988" s="630"/>
      <c r="R988" s="630"/>
    </row>
    <row r="989" spans="2:18" ht="15.75" customHeight="1" x14ac:dyDescent="0.3">
      <c r="B989" s="741"/>
      <c r="C989" s="742"/>
      <c r="D989" s="742"/>
      <c r="E989" s="742"/>
      <c r="F989" s="630"/>
      <c r="G989" s="630"/>
      <c r="H989" s="630"/>
      <c r="I989" s="630"/>
      <c r="J989" s="631"/>
      <c r="K989" s="630"/>
      <c r="L989" s="630"/>
      <c r="M989" s="632"/>
      <c r="N989" s="631"/>
      <c r="O989" s="630"/>
      <c r="P989" s="630"/>
      <c r="Q989" s="630"/>
      <c r="R989" s="630"/>
    </row>
    <row r="990" spans="2:18" ht="15.75" customHeight="1" x14ac:dyDescent="0.3">
      <c r="B990" s="741"/>
      <c r="C990" s="742"/>
      <c r="D990" s="742"/>
      <c r="E990" s="742"/>
      <c r="F990" s="630"/>
      <c r="G990" s="630"/>
      <c r="H990" s="630"/>
      <c r="I990" s="630"/>
      <c r="J990" s="631"/>
      <c r="K990" s="630"/>
      <c r="L990" s="630"/>
      <c r="M990" s="632"/>
      <c r="N990" s="631"/>
      <c r="O990" s="630"/>
      <c r="P990" s="630"/>
      <c r="Q990" s="630"/>
      <c r="R990" s="630"/>
    </row>
  </sheetData>
  <mergeCells count="38">
    <mergeCell ref="B117:H117"/>
    <mergeCell ref="O117:R117"/>
    <mergeCell ref="T117:W117"/>
    <mergeCell ref="B133:F133"/>
    <mergeCell ref="B78:H78"/>
    <mergeCell ref="O78:R78"/>
    <mergeCell ref="T78:W78"/>
    <mergeCell ref="B97:H97"/>
    <mergeCell ref="O97:R97"/>
    <mergeCell ref="T97:W97"/>
    <mergeCell ref="T67:W67"/>
    <mergeCell ref="B7:F7"/>
    <mergeCell ref="G7:H7"/>
    <mergeCell ref="O7:R7"/>
    <mergeCell ref="B8:H8"/>
    <mergeCell ref="O8:R8"/>
    <mergeCell ref="B9:H9"/>
    <mergeCell ref="O9:R9"/>
    <mergeCell ref="B32:F32"/>
    <mergeCell ref="B33:F33"/>
    <mergeCell ref="B66:F66"/>
    <mergeCell ref="B67:H67"/>
    <mergeCell ref="O67:R67"/>
    <mergeCell ref="Y2:AB2"/>
    <mergeCell ref="AD2:AG2"/>
    <mergeCell ref="B5:B6"/>
    <mergeCell ref="H5:H6"/>
    <mergeCell ref="I5:I6"/>
    <mergeCell ref="J5:J6"/>
    <mergeCell ref="K5:K6"/>
    <mergeCell ref="L5:L6"/>
    <mergeCell ref="M5:M6"/>
    <mergeCell ref="T2:W2"/>
    <mergeCell ref="C1:D1"/>
    <mergeCell ref="F1:G1"/>
    <mergeCell ref="C2:D2"/>
    <mergeCell ref="F2:G2"/>
    <mergeCell ref="O2:R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582F5-6661-4338-B3AE-F232883AD295}">
  <dimension ref="A1:O2511"/>
  <sheetViews>
    <sheetView workbookViewId="0">
      <selection activeCell="A63" sqref="A63"/>
    </sheetView>
  </sheetViews>
  <sheetFormatPr defaultRowHeight="15" outlineLevelRow="2" x14ac:dyDescent="0.35"/>
  <cols>
    <col min="1" max="1" width="73.33203125" customWidth="1"/>
    <col min="2" max="2" width="13.109375" customWidth="1"/>
    <col min="3" max="3" width="27.33203125" customWidth="1"/>
    <col min="4" max="4" width="31.88671875" customWidth="1"/>
    <col min="5" max="5" width="29.109375" style="361" customWidth="1"/>
    <col min="6" max="6" width="23.5546875" customWidth="1"/>
    <col min="7" max="8" width="8.6640625" customWidth="1"/>
    <col min="9" max="9" width="17.6640625" bestFit="1" customWidth="1"/>
    <col min="10" max="10" width="6.44140625" customWidth="1"/>
    <col min="11" max="14" width="10.88671875" bestFit="1" customWidth="1"/>
    <col min="15" max="15" width="8.109375" bestFit="1" customWidth="1"/>
  </cols>
  <sheetData>
    <row r="1" spans="1:15" ht="15.6" thickBot="1" x14ac:dyDescent="0.4">
      <c r="A1" s="424" t="s">
        <v>4008</v>
      </c>
      <c r="B1" s="325" t="s">
        <v>226</v>
      </c>
      <c r="C1" s="325" t="s">
        <v>227</v>
      </c>
      <c r="D1" s="424" t="s">
        <v>228</v>
      </c>
      <c r="E1" s="325" t="s">
        <v>229</v>
      </c>
      <c r="F1" s="323" t="s">
        <v>230</v>
      </c>
      <c r="G1" s="323" t="s">
        <v>231</v>
      </c>
      <c r="H1" s="323"/>
      <c r="I1" s="323" t="s">
        <v>232</v>
      </c>
      <c r="J1" s="323"/>
      <c r="K1" s="323" t="s">
        <v>25</v>
      </c>
      <c r="L1" s="323" t="s">
        <v>26</v>
      </c>
      <c r="M1" s="323" t="s">
        <v>27</v>
      </c>
      <c r="N1" s="323" t="s">
        <v>28</v>
      </c>
      <c r="O1" s="323" t="s">
        <v>29</v>
      </c>
    </row>
    <row r="2" spans="1:15" hidden="1" outlineLevel="2" x14ac:dyDescent="0.35">
      <c r="A2" s="425" t="s">
        <v>4028</v>
      </c>
      <c r="B2" s="327" t="s">
        <v>7980</v>
      </c>
      <c r="C2" s="426" t="s">
        <v>7981</v>
      </c>
      <c r="D2" s="427" t="s">
        <v>7982</v>
      </c>
      <c r="E2" s="426" t="s">
        <v>7983</v>
      </c>
      <c r="F2" s="338">
        <v>510000</v>
      </c>
      <c r="G2" s="338" t="s">
        <v>3800</v>
      </c>
      <c r="H2" s="338"/>
      <c r="I2" s="329">
        <v>121.58562299893296</v>
      </c>
      <c r="J2" s="329"/>
      <c r="K2" s="338">
        <v>30.39640574973324</v>
      </c>
      <c r="L2" s="338">
        <v>30.39640574973324</v>
      </c>
      <c r="M2" s="338">
        <v>30.39640574973324</v>
      </c>
      <c r="N2" s="338">
        <v>30.39640574973324</v>
      </c>
      <c r="O2" s="338"/>
    </row>
    <row r="3" spans="1:15" hidden="1" outlineLevel="2" x14ac:dyDescent="0.35">
      <c r="A3" s="428" t="s">
        <v>4028</v>
      </c>
      <c r="B3" s="331" t="s">
        <v>7984</v>
      </c>
      <c r="C3" s="429" t="s">
        <v>7985</v>
      </c>
      <c r="D3" s="430" t="s">
        <v>7986</v>
      </c>
      <c r="E3" s="429" t="s">
        <v>7983</v>
      </c>
      <c r="F3" s="336">
        <v>510000</v>
      </c>
      <c r="G3" s="338" t="s">
        <v>3800</v>
      </c>
      <c r="H3" s="338"/>
      <c r="I3" s="329">
        <v>121.58562299893296</v>
      </c>
      <c r="J3" s="329"/>
      <c r="K3" s="336">
        <v>30.39640574973324</v>
      </c>
      <c r="L3" s="336">
        <v>30.39640574973324</v>
      </c>
      <c r="M3" s="336">
        <v>30.39640574973324</v>
      </c>
      <c r="N3" s="336">
        <v>30.39640574973324</v>
      </c>
      <c r="O3" s="336"/>
    </row>
    <row r="4" spans="1:15" hidden="1" outlineLevel="2" x14ac:dyDescent="0.35">
      <c r="A4" s="428" t="s">
        <v>4028</v>
      </c>
      <c r="B4" s="331" t="s">
        <v>7987</v>
      </c>
      <c r="C4" s="429" t="s">
        <v>7988</v>
      </c>
      <c r="D4" s="430" t="s">
        <v>7989</v>
      </c>
      <c r="E4" s="429" t="s">
        <v>7983</v>
      </c>
      <c r="F4" s="336">
        <v>380000</v>
      </c>
      <c r="G4" s="338" t="s">
        <v>3800</v>
      </c>
      <c r="H4" s="338"/>
      <c r="I4" s="329">
        <v>90.593209293322602</v>
      </c>
      <c r="J4" s="329"/>
      <c r="K4" s="336">
        <v>22.64830232333065</v>
      </c>
      <c r="L4" s="336">
        <v>22.64830232333065</v>
      </c>
      <c r="M4" s="336">
        <v>22.64830232333065</v>
      </c>
      <c r="N4" s="336">
        <v>22.64830232333065</v>
      </c>
      <c r="O4" s="336"/>
    </row>
    <row r="5" spans="1:15" hidden="1" outlineLevel="2" x14ac:dyDescent="0.35">
      <c r="A5" s="428" t="s">
        <v>4028</v>
      </c>
      <c r="B5" s="331" t="s">
        <v>7990</v>
      </c>
      <c r="C5" s="429" t="s">
        <v>7991</v>
      </c>
      <c r="D5" s="430" t="s">
        <v>7992</v>
      </c>
      <c r="E5" s="429" t="s">
        <v>7983</v>
      </c>
      <c r="F5" s="336">
        <v>510000</v>
      </c>
      <c r="G5" s="338" t="s">
        <v>3800</v>
      </c>
      <c r="H5" s="338"/>
      <c r="I5" s="329">
        <v>121.58562299893296</v>
      </c>
      <c r="J5" s="329"/>
      <c r="K5" s="336">
        <v>30.39640574973324</v>
      </c>
      <c r="L5" s="336">
        <v>30.39640574973324</v>
      </c>
      <c r="M5" s="336">
        <v>30.39640574973324</v>
      </c>
      <c r="N5" s="336">
        <v>30.39640574973324</v>
      </c>
      <c r="O5" s="336"/>
    </row>
    <row r="6" spans="1:15" hidden="1" outlineLevel="2" x14ac:dyDescent="0.35">
      <c r="A6" s="428" t="s">
        <v>4028</v>
      </c>
      <c r="B6" s="331" t="s">
        <v>7993</v>
      </c>
      <c r="C6" s="429" t="s">
        <v>7994</v>
      </c>
      <c r="D6" s="430" t="s">
        <v>7995</v>
      </c>
      <c r="E6" s="429" t="s">
        <v>7983</v>
      </c>
      <c r="F6" s="336">
        <v>490000</v>
      </c>
      <c r="G6" s="338" t="s">
        <v>3800</v>
      </c>
      <c r="H6" s="338"/>
      <c r="I6" s="329">
        <v>116.81755935191599</v>
      </c>
      <c r="J6" s="329"/>
      <c r="K6" s="336">
        <v>29.204389837978997</v>
      </c>
      <c r="L6" s="336">
        <v>29.204389837978997</v>
      </c>
      <c r="M6" s="336">
        <v>29.204389837978997</v>
      </c>
      <c r="N6" s="336">
        <v>29.204389837978997</v>
      </c>
      <c r="O6" s="336"/>
    </row>
    <row r="7" spans="1:15" hidden="1" outlineLevel="2" x14ac:dyDescent="0.35">
      <c r="A7" s="428" t="s">
        <v>4028</v>
      </c>
      <c r="B7" s="331" t="s">
        <v>7996</v>
      </c>
      <c r="C7" s="429" t="s">
        <v>7997</v>
      </c>
      <c r="D7" s="430" t="s">
        <v>7998</v>
      </c>
      <c r="E7" s="429" t="s">
        <v>7983</v>
      </c>
      <c r="F7" s="336">
        <v>510000</v>
      </c>
      <c r="G7" s="338" t="s">
        <v>3800</v>
      </c>
      <c r="H7" s="338"/>
      <c r="I7" s="329">
        <v>121.58562299893296</v>
      </c>
      <c r="J7" s="329"/>
      <c r="K7" s="336">
        <v>30.39640574973324</v>
      </c>
      <c r="L7" s="336">
        <v>30.39640574973324</v>
      </c>
      <c r="M7" s="336">
        <v>30.39640574973324</v>
      </c>
      <c r="N7" s="336">
        <v>30.39640574973324</v>
      </c>
      <c r="O7" s="336"/>
    </row>
    <row r="8" spans="1:15" hidden="1" outlineLevel="2" x14ac:dyDescent="0.35">
      <c r="A8" s="428" t="s">
        <v>4028</v>
      </c>
      <c r="B8" s="331" t="s">
        <v>7999</v>
      </c>
      <c r="C8" s="429" t="s">
        <v>8000</v>
      </c>
      <c r="D8" s="430" t="s">
        <v>8001</v>
      </c>
      <c r="E8" s="429" t="s">
        <v>7983</v>
      </c>
      <c r="F8" s="336">
        <v>510000</v>
      </c>
      <c r="G8" s="338" t="s">
        <v>3800</v>
      </c>
      <c r="H8" s="338"/>
      <c r="I8" s="329">
        <v>121.58562299893296</v>
      </c>
      <c r="J8" s="329"/>
      <c r="K8" s="336">
        <v>30.39640574973324</v>
      </c>
      <c r="L8" s="336">
        <v>30.39640574973324</v>
      </c>
      <c r="M8" s="336">
        <v>30.39640574973324</v>
      </c>
      <c r="N8" s="336">
        <v>30.39640574973324</v>
      </c>
      <c r="O8" s="336"/>
    </row>
    <row r="9" spans="1:15" hidden="1" outlineLevel="2" x14ac:dyDescent="0.35">
      <c r="A9" s="428" t="s">
        <v>4028</v>
      </c>
      <c r="B9" s="331" t="s">
        <v>8002</v>
      </c>
      <c r="C9" s="429" t="s">
        <v>8003</v>
      </c>
      <c r="D9" s="430" t="s">
        <v>8004</v>
      </c>
      <c r="E9" s="429" t="s">
        <v>7983</v>
      </c>
      <c r="F9" s="336">
        <v>510000</v>
      </c>
      <c r="G9" s="338" t="s">
        <v>3800</v>
      </c>
      <c r="H9" s="338"/>
      <c r="I9" s="329">
        <v>121.58562299893296</v>
      </c>
      <c r="J9" s="329"/>
      <c r="K9" s="336">
        <v>30.39640574973324</v>
      </c>
      <c r="L9" s="336">
        <v>30.39640574973324</v>
      </c>
      <c r="M9" s="336">
        <v>30.39640574973324</v>
      </c>
      <c r="N9" s="336">
        <v>30.39640574973324</v>
      </c>
      <c r="O9" s="336"/>
    </row>
    <row r="10" spans="1:15" hidden="1" outlineLevel="2" x14ac:dyDescent="0.35">
      <c r="A10" s="428" t="s">
        <v>4028</v>
      </c>
      <c r="B10" s="331" t="s">
        <v>8005</v>
      </c>
      <c r="C10" s="429" t="s">
        <v>8006</v>
      </c>
      <c r="D10" s="430" t="s">
        <v>8007</v>
      </c>
      <c r="E10" s="429" t="s">
        <v>7983</v>
      </c>
      <c r="F10" s="336">
        <v>490000</v>
      </c>
      <c r="G10" s="338" t="s">
        <v>3800</v>
      </c>
      <c r="H10" s="338"/>
      <c r="I10" s="329">
        <v>116.81755935191599</v>
      </c>
      <c r="J10" s="329"/>
      <c r="K10" s="336">
        <v>29.204389837978997</v>
      </c>
      <c r="L10" s="336">
        <v>29.204389837978997</v>
      </c>
      <c r="M10" s="336">
        <v>29.204389837978997</v>
      </c>
      <c r="N10" s="336">
        <v>29.204389837978997</v>
      </c>
      <c r="O10" s="336"/>
    </row>
    <row r="11" spans="1:15" outlineLevel="1" collapsed="1" x14ac:dyDescent="0.35">
      <c r="A11" s="431" t="s">
        <v>4101</v>
      </c>
      <c r="B11" s="331"/>
      <c r="C11" s="429"/>
      <c r="D11" s="430"/>
      <c r="E11" s="429"/>
      <c r="F11" s="336"/>
      <c r="G11" s="338"/>
      <c r="H11" s="338"/>
      <c r="I11" s="329">
        <f t="shared" ref="I11:O11" si="0">SUBTOTAL(9,I2:I10)</f>
        <v>1053.7420659907525</v>
      </c>
      <c r="J11" s="329"/>
      <c r="K11" s="336">
        <f t="shared" si="0"/>
        <v>263.43551649768813</v>
      </c>
      <c r="L11" s="336">
        <f t="shared" si="0"/>
        <v>263.43551649768813</v>
      </c>
      <c r="M11" s="336">
        <f t="shared" si="0"/>
        <v>263.43551649768813</v>
      </c>
      <c r="N11" s="336">
        <f t="shared" si="0"/>
        <v>263.43551649768813</v>
      </c>
      <c r="O11" s="336">
        <f t="shared" si="0"/>
        <v>0</v>
      </c>
    </row>
    <row r="12" spans="1:15" hidden="1" outlineLevel="2" x14ac:dyDescent="0.35">
      <c r="A12" s="428" t="s">
        <v>7882</v>
      </c>
      <c r="B12" s="331" t="s">
        <v>8008</v>
      </c>
      <c r="C12" s="429" t="s">
        <v>8009</v>
      </c>
      <c r="D12" s="430" t="s">
        <v>8010</v>
      </c>
      <c r="E12" s="429" t="s">
        <v>8011</v>
      </c>
      <c r="F12" s="336">
        <v>10962712</v>
      </c>
      <c r="G12" s="338" t="s">
        <v>3800</v>
      </c>
      <c r="H12" s="338"/>
      <c r="I12" s="329">
        <v>2613.5454279958399</v>
      </c>
      <c r="J12" s="329"/>
      <c r="K12" s="336"/>
      <c r="L12" s="336">
        <v>2613.5454279958399</v>
      </c>
      <c r="M12" s="336"/>
      <c r="N12" s="336"/>
      <c r="O12" s="336"/>
    </row>
    <row r="13" spans="1:15" hidden="1" outlineLevel="2" x14ac:dyDescent="0.35">
      <c r="A13" s="428" t="s">
        <v>7882</v>
      </c>
      <c r="B13" s="331" t="s">
        <v>8008</v>
      </c>
      <c r="C13" s="429" t="s">
        <v>8012</v>
      </c>
      <c r="D13" s="430" t="s">
        <v>8013</v>
      </c>
      <c r="E13" s="429" t="s">
        <v>8014</v>
      </c>
      <c r="F13" s="336">
        <v>587288</v>
      </c>
      <c r="G13" s="338" t="s">
        <v>3800</v>
      </c>
      <c r="H13" s="338"/>
      <c r="I13" s="329">
        <v>140.01132815646537</v>
      </c>
      <c r="J13" s="329"/>
      <c r="K13" s="336"/>
      <c r="L13" s="336">
        <v>140.01132815646537</v>
      </c>
      <c r="M13" s="336"/>
      <c r="N13" s="336"/>
      <c r="O13" s="336"/>
    </row>
    <row r="14" spans="1:15" outlineLevel="1" collapsed="1" x14ac:dyDescent="0.35">
      <c r="A14" s="431" t="s">
        <v>8015</v>
      </c>
      <c r="B14" s="331"/>
      <c r="C14" s="429"/>
      <c r="D14" s="430"/>
      <c r="E14" s="429"/>
      <c r="F14" s="336"/>
      <c r="G14" s="338"/>
      <c r="H14" s="338"/>
      <c r="I14" s="329">
        <f t="shared" ref="I14:O14" si="1">SUBTOTAL(9,I12:I13)</f>
        <v>2753.5567561523053</v>
      </c>
      <c r="J14" s="329"/>
      <c r="K14" s="336">
        <f t="shared" si="1"/>
        <v>0</v>
      </c>
      <c r="L14" s="336">
        <f t="shared" si="1"/>
        <v>2753.5567561523053</v>
      </c>
      <c r="M14" s="336">
        <f t="shared" si="1"/>
        <v>0</v>
      </c>
      <c r="N14" s="336">
        <f t="shared" si="1"/>
        <v>0</v>
      </c>
      <c r="O14" s="336">
        <f t="shared" si="1"/>
        <v>0</v>
      </c>
    </row>
    <row r="15" spans="1:15" hidden="1" outlineLevel="2" x14ac:dyDescent="0.35">
      <c r="A15" s="428" t="s">
        <v>7880</v>
      </c>
      <c r="B15" s="331">
        <v>43854</v>
      </c>
      <c r="C15" s="429" t="s">
        <v>8016</v>
      </c>
      <c r="D15" s="430" t="s">
        <v>8017</v>
      </c>
      <c r="E15" s="429" t="s">
        <v>8018</v>
      </c>
      <c r="F15" s="336">
        <v>510000</v>
      </c>
      <c r="G15" s="338" t="s">
        <v>3800</v>
      </c>
      <c r="H15" s="338"/>
      <c r="I15" s="329">
        <v>119.55327230700721</v>
      </c>
      <c r="J15" s="329"/>
      <c r="K15" s="336">
        <v>29.888318076751801</v>
      </c>
      <c r="L15" s="336">
        <v>29.888318076751801</v>
      </c>
      <c r="M15" s="336">
        <v>29.888318076751801</v>
      </c>
      <c r="N15" s="336">
        <v>29.888318076751801</v>
      </c>
      <c r="O15" s="336"/>
    </row>
    <row r="16" spans="1:15" hidden="1" outlineLevel="2" x14ac:dyDescent="0.35">
      <c r="A16" s="428" t="s">
        <v>7880</v>
      </c>
      <c r="B16" s="331">
        <v>44554</v>
      </c>
      <c r="C16" s="429" t="s">
        <v>8019</v>
      </c>
      <c r="D16" s="430" t="s">
        <v>8020</v>
      </c>
      <c r="E16" s="429" t="s">
        <v>8021</v>
      </c>
      <c r="F16" s="336">
        <v>2752666</v>
      </c>
      <c r="G16" s="338" t="s">
        <v>3800</v>
      </c>
      <c r="H16" s="338"/>
      <c r="I16" s="329">
        <v>656.24433434898197</v>
      </c>
      <c r="J16" s="329"/>
      <c r="K16" s="336"/>
      <c r="L16" s="336"/>
      <c r="M16" s="336"/>
      <c r="N16" s="336">
        <v>656.24433434898197</v>
      </c>
      <c r="O16" s="336"/>
    </row>
    <row r="17" spans="1:15" hidden="1" outlineLevel="2" x14ac:dyDescent="0.35">
      <c r="A17" s="428" t="s">
        <v>7880</v>
      </c>
      <c r="B17" s="331">
        <v>44543</v>
      </c>
      <c r="C17" s="429" t="s">
        <v>8022</v>
      </c>
      <c r="D17" s="430" t="s">
        <v>8023</v>
      </c>
      <c r="E17" s="429" t="s">
        <v>8024</v>
      </c>
      <c r="F17" s="336">
        <v>4616160</v>
      </c>
      <c r="G17" s="338" t="s">
        <v>3800</v>
      </c>
      <c r="H17" s="338"/>
      <c r="I17" s="329">
        <v>1100.507234240695</v>
      </c>
      <c r="J17" s="329"/>
      <c r="K17" s="336">
        <v>275.12680856017374</v>
      </c>
      <c r="L17" s="336">
        <v>275.12680856017374</v>
      </c>
      <c r="M17" s="336">
        <v>275.12680856017374</v>
      </c>
      <c r="N17" s="336">
        <v>275.12680856017374</v>
      </c>
      <c r="O17" s="336"/>
    </row>
    <row r="18" spans="1:15" hidden="1" outlineLevel="2" x14ac:dyDescent="0.35">
      <c r="A18" s="428" t="s">
        <v>7880</v>
      </c>
      <c r="B18" s="331">
        <v>44525</v>
      </c>
      <c r="C18" s="429" t="s">
        <v>8025</v>
      </c>
      <c r="D18" s="430" t="s">
        <v>8026</v>
      </c>
      <c r="E18" s="429" t="s">
        <v>8027</v>
      </c>
      <c r="F18" s="336">
        <v>8140000</v>
      </c>
      <c r="G18" s="338" t="s">
        <v>3800</v>
      </c>
      <c r="H18" s="338"/>
      <c r="I18" s="329">
        <v>1940.6019043359106</v>
      </c>
      <c r="J18" s="329"/>
      <c r="K18" s="336">
        <v>485.15047608397765</v>
      </c>
      <c r="L18" s="336">
        <v>485.15047608397765</v>
      </c>
      <c r="M18" s="336">
        <v>485.15047608397765</v>
      </c>
      <c r="N18" s="336">
        <v>485.15047608397765</v>
      </c>
      <c r="O18" s="336"/>
    </row>
    <row r="19" spans="1:15" hidden="1" outlineLevel="2" x14ac:dyDescent="0.35">
      <c r="A19" s="428" t="s">
        <v>7880</v>
      </c>
      <c r="B19" s="331">
        <v>44560</v>
      </c>
      <c r="C19" s="429" t="s">
        <v>8028</v>
      </c>
      <c r="D19" s="430" t="s">
        <v>8029</v>
      </c>
      <c r="E19" s="429" t="s">
        <v>8030</v>
      </c>
      <c r="F19" s="336">
        <v>505000</v>
      </c>
      <c r="G19" s="338" t="s">
        <v>3800</v>
      </c>
      <c r="H19" s="338"/>
      <c r="I19" s="329">
        <v>120.39360708717872</v>
      </c>
      <c r="J19" s="329"/>
      <c r="K19" s="336"/>
      <c r="L19" s="336"/>
      <c r="M19" s="336"/>
      <c r="N19" s="336">
        <v>120.39360708717872</v>
      </c>
      <c r="O19" s="336"/>
    </row>
    <row r="20" spans="1:15" hidden="1" outlineLevel="2" x14ac:dyDescent="0.35">
      <c r="A20" s="428" t="s">
        <v>7880</v>
      </c>
      <c r="B20" s="331">
        <v>44525</v>
      </c>
      <c r="C20" s="429" t="s">
        <v>8031</v>
      </c>
      <c r="D20" s="430" t="s">
        <v>8032</v>
      </c>
      <c r="E20" s="429" t="s">
        <v>8033</v>
      </c>
      <c r="F20" s="336">
        <v>360000</v>
      </c>
      <c r="G20" s="338" t="s">
        <v>3800</v>
      </c>
      <c r="H20" s="338"/>
      <c r="I20" s="329">
        <v>85.825145646305629</v>
      </c>
      <c r="J20" s="329"/>
      <c r="K20" s="336">
        <v>21.456286411576407</v>
      </c>
      <c r="L20" s="336">
        <v>21.456286411576407</v>
      </c>
      <c r="M20" s="336">
        <v>21.456286411576407</v>
      </c>
      <c r="N20" s="336">
        <v>21.456286411576407</v>
      </c>
      <c r="O20" s="336"/>
    </row>
    <row r="21" spans="1:15" hidden="1" outlineLevel="2" x14ac:dyDescent="0.35">
      <c r="A21" s="428" t="s">
        <v>7880</v>
      </c>
      <c r="B21" s="331">
        <v>44525</v>
      </c>
      <c r="C21" s="429" t="s">
        <v>8034</v>
      </c>
      <c r="D21" s="430" t="s">
        <v>8035</v>
      </c>
      <c r="E21" s="429" t="s">
        <v>8036</v>
      </c>
      <c r="F21" s="336">
        <v>360000</v>
      </c>
      <c r="G21" s="338" t="s">
        <v>3800</v>
      </c>
      <c r="H21" s="338"/>
      <c r="I21" s="329">
        <v>85.825145646305629</v>
      </c>
      <c r="J21" s="329"/>
      <c r="K21" s="336">
        <v>21.456286411576407</v>
      </c>
      <c r="L21" s="336">
        <v>21.456286411576407</v>
      </c>
      <c r="M21" s="336">
        <v>21.456286411576407</v>
      </c>
      <c r="N21" s="336">
        <v>21.456286411576407</v>
      </c>
      <c r="O21" s="336"/>
    </row>
    <row r="22" spans="1:15" hidden="1" outlineLevel="2" x14ac:dyDescent="0.35">
      <c r="A22" s="428" t="s">
        <v>7880</v>
      </c>
      <c r="B22" s="331">
        <v>44525</v>
      </c>
      <c r="C22" s="429" t="s">
        <v>8037</v>
      </c>
      <c r="D22" s="430" t="s">
        <v>8035</v>
      </c>
      <c r="E22" s="429" t="s">
        <v>8038</v>
      </c>
      <c r="F22" s="336">
        <v>360000</v>
      </c>
      <c r="G22" s="338" t="s">
        <v>3800</v>
      </c>
      <c r="H22" s="338"/>
      <c r="I22" s="329">
        <v>85.825145646305629</v>
      </c>
      <c r="J22" s="329"/>
      <c r="K22" s="336">
        <v>21.456286411576407</v>
      </c>
      <c r="L22" s="336">
        <v>21.456286411576407</v>
      </c>
      <c r="M22" s="336">
        <v>21.456286411576407</v>
      </c>
      <c r="N22" s="336">
        <v>21.456286411576407</v>
      </c>
      <c r="O22" s="336"/>
    </row>
    <row r="23" spans="1:15" hidden="1" outlineLevel="2" x14ac:dyDescent="0.35">
      <c r="A23" s="428" t="s">
        <v>7880</v>
      </c>
      <c r="B23" s="331">
        <v>44525</v>
      </c>
      <c r="C23" s="429" t="s">
        <v>8031</v>
      </c>
      <c r="D23" s="430" t="s">
        <v>8035</v>
      </c>
      <c r="E23" s="429" t="s">
        <v>8039</v>
      </c>
      <c r="F23" s="336">
        <v>360000</v>
      </c>
      <c r="G23" s="338" t="s">
        <v>3800</v>
      </c>
      <c r="H23" s="338"/>
      <c r="I23" s="329">
        <v>85.825145646305629</v>
      </c>
      <c r="J23" s="329"/>
      <c r="K23" s="336">
        <v>21.456286411576407</v>
      </c>
      <c r="L23" s="336">
        <v>21.456286411576407</v>
      </c>
      <c r="M23" s="336">
        <v>21.456286411576407</v>
      </c>
      <c r="N23" s="336">
        <v>21.456286411576407</v>
      </c>
      <c r="O23" s="336"/>
    </row>
    <row r="24" spans="1:15" hidden="1" outlineLevel="2" x14ac:dyDescent="0.35">
      <c r="A24" s="428" t="s">
        <v>7880</v>
      </c>
      <c r="B24" s="331">
        <v>44470</v>
      </c>
      <c r="C24" s="429" t="s">
        <v>8040</v>
      </c>
      <c r="D24" s="430" t="s">
        <v>8041</v>
      </c>
      <c r="E24" s="429" t="s">
        <v>8042</v>
      </c>
      <c r="F24" s="336">
        <v>720000</v>
      </c>
      <c r="G24" s="338" t="s">
        <v>3800</v>
      </c>
      <c r="H24" s="338"/>
      <c r="I24" s="329">
        <v>171.65029129261126</v>
      </c>
      <c r="J24" s="329"/>
      <c r="K24" s="336"/>
      <c r="L24" s="336"/>
      <c r="M24" s="336"/>
      <c r="N24" s="336">
        <v>171.65029129261126</v>
      </c>
      <c r="O24" s="336"/>
    </row>
    <row r="25" spans="1:15" hidden="1" outlineLevel="2" x14ac:dyDescent="0.35">
      <c r="A25" s="428" t="s">
        <v>7880</v>
      </c>
      <c r="B25" s="331">
        <v>44525</v>
      </c>
      <c r="C25" s="429" t="s">
        <v>8037</v>
      </c>
      <c r="D25" s="430" t="s">
        <v>8043</v>
      </c>
      <c r="E25" s="429" t="s">
        <v>8033</v>
      </c>
      <c r="F25" s="336">
        <v>45000</v>
      </c>
      <c r="G25" s="338" t="s">
        <v>3800</v>
      </c>
      <c r="H25" s="338"/>
      <c r="I25" s="329">
        <v>10.728143205788204</v>
      </c>
      <c r="J25" s="329"/>
      <c r="K25" s="336">
        <v>2.6820358014470509</v>
      </c>
      <c r="L25" s="336">
        <v>2.6820358014470509</v>
      </c>
      <c r="M25" s="336">
        <v>2.6820358014470509</v>
      </c>
      <c r="N25" s="336">
        <v>2.6820358014470509</v>
      </c>
      <c r="O25" s="336"/>
    </row>
    <row r="26" spans="1:15" hidden="1" outlineLevel="2" x14ac:dyDescent="0.35">
      <c r="A26" s="428" t="s">
        <v>7880</v>
      </c>
      <c r="B26" s="331">
        <v>44525</v>
      </c>
      <c r="C26" s="429" t="s">
        <v>8034</v>
      </c>
      <c r="D26" s="430" t="s">
        <v>8044</v>
      </c>
      <c r="E26" s="429" t="s">
        <v>8036</v>
      </c>
      <c r="F26" s="336">
        <v>80000</v>
      </c>
      <c r="G26" s="338" t="s">
        <v>3800</v>
      </c>
      <c r="H26" s="338"/>
      <c r="I26" s="329">
        <v>19.072254588067917</v>
      </c>
      <c r="J26" s="329"/>
      <c r="K26" s="336">
        <v>4.7680636470169793</v>
      </c>
      <c r="L26" s="336">
        <v>4.7680636470169793</v>
      </c>
      <c r="M26" s="336">
        <v>4.7680636470169793</v>
      </c>
      <c r="N26" s="336">
        <v>4.7680636470169793</v>
      </c>
      <c r="O26" s="336"/>
    </row>
    <row r="27" spans="1:15" hidden="1" outlineLevel="2" x14ac:dyDescent="0.35">
      <c r="A27" s="428" t="s">
        <v>7880</v>
      </c>
      <c r="B27" s="331">
        <v>44525</v>
      </c>
      <c r="C27" s="429" t="s">
        <v>8037</v>
      </c>
      <c r="D27" s="430" t="s">
        <v>8044</v>
      </c>
      <c r="E27" s="429" t="s">
        <v>8038</v>
      </c>
      <c r="F27" s="336">
        <v>50000</v>
      </c>
      <c r="G27" s="338" t="s">
        <v>3800</v>
      </c>
      <c r="H27" s="338"/>
      <c r="I27" s="329">
        <v>11.920159117542449</v>
      </c>
      <c r="J27" s="329"/>
      <c r="K27" s="336">
        <v>2.9800397793856122</v>
      </c>
      <c r="L27" s="336">
        <v>2.9800397793856122</v>
      </c>
      <c r="M27" s="336">
        <v>2.9800397793856122</v>
      </c>
      <c r="N27" s="336">
        <v>2.9800397793856122</v>
      </c>
      <c r="O27" s="336"/>
    </row>
    <row r="28" spans="1:15" hidden="1" outlineLevel="2" x14ac:dyDescent="0.35">
      <c r="A28" s="428" t="s">
        <v>7880</v>
      </c>
      <c r="B28" s="331">
        <v>44525</v>
      </c>
      <c r="C28" s="429" t="s">
        <v>8031</v>
      </c>
      <c r="D28" s="430" t="s">
        <v>8044</v>
      </c>
      <c r="E28" s="429" t="s">
        <v>8039</v>
      </c>
      <c r="F28" s="336">
        <v>70000</v>
      </c>
      <c r="G28" s="338" t="s">
        <v>3800</v>
      </c>
      <c r="H28" s="338"/>
      <c r="I28" s="329">
        <v>16.688222764559427</v>
      </c>
      <c r="J28" s="329"/>
      <c r="K28" s="336">
        <v>4.1720556911398567</v>
      </c>
      <c r="L28" s="336">
        <v>4.1720556911398567</v>
      </c>
      <c r="M28" s="336">
        <v>4.1720556911398567</v>
      </c>
      <c r="N28" s="336">
        <v>4.1720556911398567</v>
      </c>
      <c r="O28" s="336"/>
    </row>
    <row r="29" spans="1:15" outlineLevel="1" collapsed="1" x14ac:dyDescent="0.35">
      <c r="A29" s="431" t="s">
        <v>8045</v>
      </c>
      <c r="B29" s="331"/>
      <c r="C29" s="429"/>
      <c r="D29" s="430"/>
      <c r="E29" s="429"/>
      <c r="F29" s="336"/>
      <c r="G29" s="338"/>
      <c r="H29" s="338"/>
      <c r="I29" s="329">
        <f t="shared" ref="I29:O29" si="2">SUBTOTAL(9,I15:I28)</f>
        <v>4510.6600058735658</v>
      </c>
      <c r="J29" s="329"/>
      <c r="K29" s="336">
        <f t="shared" si="2"/>
        <v>890.59294328619842</v>
      </c>
      <c r="L29" s="336">
        <f t="shared" si="2"/>
        <v>890.59294328619842</v>
      </c>
      <c r="M29" s="336">
        <f t="shared" si="2"/>
        <v>890.59294328619842</v>
      </c>
      <c r="N29" s="336">
        <f t="shared" si="2"/>
        <v>1838.8811760149702</v>
      </c>
      <c r="O29" s="336">
        <f t="shared" si="2"/>
        <v>0</v>
      </c>
    </row>
    <row r="30" spans="1:15" hidden="1" outlineLevel="2" x14ac:dyDescent="0.35">
      <c r="A30" s="428" t="s">
        <v>7842</v>
      </c>
      <c r="B30" s="331">
        <v>43803</v>
      </c>
      <c r="C30" s="429" t="s">
        <v>8046</v>
      </c>
      <c r="D30" s="430" t="s">
        <v>8047</v>
      </c>
      <c r="E30" s="429" t="s">
        <v>8048</v>
      </c>
      <c r="F30" s="336">
        <v>16836000</v>
      </c>
      <c r="G30" s="338" t="s">
        <v>3800</v>
      </c>
      <c r="H30" s="338"/>
      <c r="I30" s="329">
        <f>+F30/'[10]Income + exchange rates'!$G$15</f>
        <v>3946.6644952172023</v>
      </c>
      <c r="J30" s="329"/>
      <c r="K30" s="336">
        <f>+I30/4</f>
        <v>986.66612380430058</v>
      </c>
      <c r="L30" s="336">
        <f t="shared" ref="L30:N31" si="3">+K30</f>
        <v>986.66612380430058</v>
      </c>
      <c r="M30" s="336">
        <f t="shared" si="3"/>
        <v>986.66612380430058</v>
      </c>
      <c r="N30" s="336">
        <f t="shared" si="3"/>
        <v>986.66612380430058</v>
      </c>
      <c r="O30" s="336"/>
    </row>
    <row r="31" spans="1:15" hidden="1" outlineLevel="2" x14ac:dyDescent="0.35">
      <c r="A31" s="428" t="s">
        <v>7842</v>
      </c>
      <c r="B31" s="331">
        <v>43804</v>
      </c>
      <c r="C31" s="429" t="s">
        <v>8049</v>
      </c>
      <c r="D31" s="430" t="s">
        <v>8050</v>
      </c>
      <c r="E31" s="429" t="s">
        <v>8051</v>
      </c>
      <c r="F31" s="336">
        <v>290000</v>
      </c>
      <c r="G31" s="338" t="s">
        <v>3800</v>
      </c>
      <c r="H31" s="338"/>
      <c r="I31" s="329">
        <f>+F31/'[10]Income + exchange rates'!$G$15</f>
        <v>67.981272488298217</v>
      </c>
      <c r="J31" s="329"/>
      <c r="K31" s="336">
        <f>+I31/4</f>
        <v>16.995318122074554</v>
      </c>
      <c r="L31" s="336">
        <f t="shared" si="3"/>
        <v>16.995318122074554</v>
      </c>
      <c r="M31" s="336">
        <f t="shared" si="3"/>
        <v>16.995318122074554</v>
      </c>
      <c r="N31" s="336">
        <f t="shared" si="3"/>
        <v>16.995318122074554</v>
      </c>
      <c r="O31" s="336"/>
    </row>
    <row r="32" spans="1:15" hidden="1" outlineLevel="2" x14ac:dyDescent="0.35">
      <c r="A32" s="428" t="s">
        <v>7842</v>
      </c>
      <c r="B32" s="331">
        <v>43845</v>
      </c>
      <c r="C32" s="429" t="s">
        <v>8052</v>
      </c>
      <c r="D32" s="430" t="s">
        <v>8053</v>
      </c>
      <c r="E32" s="429" t="s">
        <v>8054</v>
      </c>
      <c r="F32" s="336">
        <v>3796393</v>
      </c>
      <c r="G32" s="338" t="s">
        <v>3800</v>
      </c>
      <c r="H32" s="338"/>
      <c r="I32" s="329">
        <v>889.9435413988549</v>
      </c>
      <c r="J32" s="329"/>
      <c r="K32" s="336">
        <v>222.48588534971373</v>
      </c>
      <c r="L32" s="336">
        <v>222.48588534971373</v>
      </c>
      <c r="M32" s="336">
        <v>222.48588534971373</v>
      </c>
      <c r="N32" s="336">
        <v>222.48588534971373</v>
      </c>
      <c r="O32" s="336"/>
    </row>
    <row r="33" spans="1:15" hidden="1" outlineLevel="2" x14ac:dyDescent="0.35">
      <c r="A33" s="428" t="s">
        <v>7842</v>
      </c>
      <c r="B33" s="331">
        <v>43845</v>
      </c>
      <c r="C33" s="429" t="s">
        <v>8055</v>
      </c>
      <c r="D33" s="430" t="s">
        <v>8056</v>
      </c>
      <c r="E33" s="429" t="s">
        <v>8057</v>
      </c>
      <c r="F33" s="336">
        <v>242323</v>
      </c>
      <c r="G33" s="338" t="s">
        <v>3800</v>
      </c>
      <c r="H33" s="338"/>
      <c r="I33" s="329">
        <v>56.804916873040995</v>
      </c>
      <c r="J33" s="329"/>
      <c r="K33" s="336">
        <v>14.201229218260249</v>
      </c>
      <c r="L33" s="336">
        <v>14.201229218260249</v>
      </c>
      <c r="M33" s="336">
        <v>14.201229218260249</v>
      </c>
      <c r="N33" s="336">
        <v>14.201229218260249</v>
      </c>
      <c r="O33" s="336"/>
    </row>
    <row r="34" spans="1:15" outlineLevel="1" collapsed="1" x14ac:dyDescent="0.35">
      <c r="A34" s="432" t="s">
        <v>8058</v>
      </c>
      <c r="B34" s="327"/>
      <c r="C34" s="426"/>
      <c r="D34" s="427"/>
      <c r="E34" s="426"/>
      <c r="F34" s="338"/>
      <c r="G34" s="338"/>
      <c r="H34" s="338"/>
      <c r="I34" s="329">
        <f t="shared" ref="I34:O34" si="4">SUBTOTAL(9,I30:I33)</f>
        <v>4961.3942259773967</v>
      </c>
      <c r="J34" s="329"/>
      <c r="K34" s="338">
        <f t="shared" si="4"/>
        <v>1240.3485564943492</v>
      </c>
      <c r="L34" s="338">
        <f t="shared" si="4"/>
        <v>1240.3485564943492</v>
      </c>
      <c r="M34" s="338">
        <f t="shared" si="4"/>
        <v>1240.3485564943492</v>
      </c>
      <c r="N34" s="338">
        <f t="shared" si="4"/>
        <v>1240.3485564943492</v>
      </c>
      <c r="O34" s="338">
        <f t="shared" si="4"/>
        <v>0</v>
      </c>
    </row>
    <row r="35" spans="1:15" hidden="1" outlineLevel="2" x14ac:dyDescent="0.35">
      <c r="A35" s="425" t="s">
        <v>96</v>
      </c>
      <c r="B35" s="327">
        <v>43951</v>
      </c>
      <c r="C35" s="426" t="s">
        <v>8059</v>
      </c>
      <c r="D35" s="427" t="s">
        <v>8060</v>
      </c>
      <c r="E35" s="426" t="s">
        <v>8061</v>
      </c>
      <c r="F35" s="338">
        <v>25875</v>
      </c>
      <c r="G35" s="338" t="s">
        <v>3800</v>
      </c>
      <c r="H35" s="338"/>
      <c r="I35" s="329">
        <v>6.0655704332231597</v>
      </c>
      <c r="J35" s="329"/>
      <c r="K35" s="338">
        <v>1.5163926083057899</v>
      </c>
      <c r="L35" s="338">
        <v>1.5163926083057899</v>
      </c>
      <c r="M35" s="338">
        <v>1.5163926083057899</v>
      </c>
      <c r="N35" s="338">
        <v>1.5163926083057899</v>
      </c>
      <c r="O35" s="338"/>
    </row>
    <row r="36" spans="1:15" hidden="1" outlineLevel="2" x14ac:dyDescent="0.35">
      <c r="A36" s="425" t="s">
        <v>96</v>
      </c>
      <c r="B36" s="327">
        <v>43921</v>
      </c>
      <c r="C36" s="426" t="s">
        <v>8062</v>
      </c>
      <c r="D36" s="427" t="s">
        <v>8063</v>
      </c>
      <c r="E36" s="426" t="s">
        <v>8061</v>
      </c>
      <c r="F36" s="338">
        <v>354200</v>
      </c>
      <c r="G36" s="338" t="s">
        <v>3800</v>
      </c>
      <c r="H36" s="338"/>
      <c r="I36" s="329">
        <v>83.030919708121473</v>
      </c>
      <c r="J36" s="329"/>
      <c r="K36" s="338">
        <v>20.757729927030368</v>
      </c>
      <c r="L36" s="338">
        <v>20.757729927030368</v>
      </c>
      <c r="M36" s="338">
        <v>20.757729927030368</v>
      </c>
      <c r="N36" s="338">
        <v>20.757729927030368</v>
      </c>
      <c r="O36" s="338"/>
    </row>
    <row r="37" spans="1:15" hidden="1" outlineLevel="2" x14ac:dyDescent="0.35">
      <c r="A37" s="425" t="s">
        <v>96</v>
      </c>
      <c r="B37" s="327" t="s">
        <v>7980</v>
      </c>
      <c r="C37" s="426" t="s">
        <v>8064</v>
      </c>
      <c r="D37" s="427" t="s">
        <v>8065</v>
      </c>
      <c r="E37" s="426" t="s">
        <v>8061</v>
      </c>
      <c r="F37" s="338">
        <v>528340.30000000005</v>
      </c>
      <c r="G37" s="338" t="s">
        <v>3800</v>
      </c>
      <c r="H37" s="338"/>
      <c r="I37" s="329">
        <v>125.95800888420226</v>
      </c>
      <c r="J37" s="329"/>
      <c r="K37" s="338">
        <v>31.489502221050564</v>
      </c>
      <c r="L37" s="338">
        <v>31.489502221050564</v>
      </c>
      <c r="M37" s="338">
        <v>31.489502221050564</v>
      </c>
      <c r="N37" s="338">
        <v>31.489502221050564</v>
      </c>
      <c r="O37" s="338"/>
    </row>
    <row r="38" spans="1:15" hidden="1" outlineLevel="2" x14ac:dyDescent="0.35">
      <c r="A38" s="425" t="s">
        <v>96</v>
      </c>
      <c r="B38" s="327">
        <v>44074</v>
      </c>
      <c r="C38" s="426" t="s">
        <v>8066</v>
      </c>
      <c r="D38" s="427" t="s">
        <v>8067</v>
      </c>
      <c r="E38" s="426" t="s">
        <v>8061</v>
      </c>
      <c r="F38" s="338">
        <v>308200</v>
      </c>
      <c r="G38" s="338" t="s">
        <v>3800</v>
      </c>
      <c r="H38" s="338"/>
      <c r="I38" s="329">
        <v>72.247683382391415</v>
      </c>
      <c r="J38" s="329"/>
      <c r="K38" s="338">
        <v>18.061920845597854</v>
      </c>
      <c r="L38" s="338">
        <v>18.061920845597854</v>
      </c>
      <c r="M38" s="338">
        <v>18.061920845597854</v>
      </c>
      <c r="N38" s="338">
        <v>18.061920845597854</v>
      </c>
      <c r="O38" s="338"/>
    </row>
    <row r="39" spans="1:15" hidden="1" outlineLevel="2" x14ac:dyDescent="0.35">
      <c r="A39" s="425" t="s">
        <v>96</v>
      </c>
      <c r="B39" s="327">
        <v>44135</v>
      </c>
      <c r="C39" s="426" t="s">
        <v>8068</v>
      </c>
      <c r="D39" s="427" t="s">
        <v>8067</v>
      </c>
      <c r="E39" s="426" t="s">
        <v>8061</v>
      </c>
      <c r="F39" s="338">
        <v>2300</v>
      </c>
      <c r="G39" s="338" t="s">
        <v>3800</v>
      </c>
      <c r="H39" s="338"/>
      <c r="I39" s="329">
        <v>0.53916181628650306</v>
      </c>
      <c r="J39" s="329"/>
      <c r="K39" s="338">
        <v>0.13479045407162576</v>
      </c>
      <c r="L39" s="338">
        <v>0.13479045407162576</v>
      </c>
      <c r="M39" s="338">
        <v>0.13479045407162576</v>
      </c>
      <c r="N39" s="338">
        <v>0.13479045407162576</v>
      </c>
      <c r="O39" s="338"/>
    </row>
    <row r="40" spans="1:15" hidden="1" outlineLevel="2" x14ac:dyDescent="0.35">
      <c r="A40" s="425" t="s">
        <v>96</v>
      </c>
      <c r="B40" s="327">
        <v>44439</v>
      </c>
      <c r="C40" s="426" t="s">
        <v>8069</v>
      </c>
      <c r="D40" s="427" t="s">
        <v>8070</v>
      </c>
      <c r="E40" s="426" t="s">
        <v>8061</v>
      </c>
      <c r="F40" s="338">
        <v>215050</v>
      </c>
      <c r="G40" s="338" t="s">
        <v>3800</v>
      </c>
      <c r="H40" s="338"/>
      <c r="I40" s="329">
        <v>51.268604364550065</v>
      </c>
      <c r="J40" s="329"/>
      <c r="K40" s="338">
        <v>12.817151091137516</v>
      </c>
      <c r="L40" s="338">
        <v>12.817151091137516</v>
      </c>
      <c r="M40" s="338">
        <v>12.817151091137516</v>
      </c>
      <c r="N40" s="338">
        <v>12.817151091137516</v>
      </c>
      <c r="O40" s="338"/>
    </row>
    <row r="41" spans="1:15" hidden="1" outlineLevel="2" x14ac:dyDescent="0.35">
      <c r="A41" s="425" t="s">
        <v>96</v>
      </c>
      <c r="B41" s="327">
        <v>44196</v>
      </c>
      <c r="C41" s="426" t="s">
        <v>8071</v>
      </c>
      <c r="D41" s="427" t="s">
        <v>8072</v>
      </c>
      <c r="E41" s="426" t="s">
        <v>8061</v>
      </c>
      <c r="F41" s="338">
        <v>179975</v>
      </c>
      <c r="G41" s="338" t="s">
        <v>3800</v>
      </c>
      <c r="H41" s="338"/>
      <c r="I41" s="329">
        <v>42.189412124418865</v>
      </c>
      <c r="J41" s="329"/>
      <c r="K41" s="338">
        <v>10.547353031104716</v>
      </c>
      <c r="L41" s="338">
        <v>10.547353031104716</v>
      </c>
      <c r="M41" s="338">
        <v>10.547353031104716</v>
      </c>
      <c r="N41" s="338">
        <v>10.547353031104716</v>
      </c>
      <c r="O41" s="338"/>
    </row>
    <row r="42" spans="1:15" hidden="1" outlineLevel="2" x14ac:dyDescent="0.35">
      <c r="A42" s="425" t="s">
        <v>96</v>
      </c>
      <c r="B42" s="327">
        <v>44561</v>
      </c>
      <c r="C42" s="426" t="s">
        <v>8073</v>
      </c>
      <c r="D42" s="427" t="s">
        <v>8074</v>
      </c>
      <c r="E42" s="426" t="s">
        <v>8061</v>
      </c>
      <c r="F42" s="338">
        <v>295550</v>
      </c>
      <c r="G42" s="338" t="s">
        <v>3800</v>
      </c>
      <c r="H42" s="338"/>
      <c r="I42" s="329">
        <v>70.460060543793404</v>
      </c>
      <c r="J42" s="329"/>
      <c r="K42" s="338">
        <v>17.615015135948351</v>
      </c>
      <c r="L42" s="338">
        <v>17.615015135948351</v>
      </c>
      <c r="M42" s="338">
        <v>17.615015135948351</v>
      </c>
      <c r="N42" s="338">
        <v>17.615015135948351</v>
      </c>
      <c r="O42" s="338"/>
    </row>
    <row r="43" spans="1:15" hidden="1" outlineLevel="2" x14ac:dyDescent="0.35">
      <c r="A43" s="425" t="s">
        <v>96</v>
      </c>
      <c r="B43" s="327" t="s">
        <v>8075</v>
      </c>
      <c r="C43" s="426" t="s">
        <v>8055</v>
      </c>
      <c r="D43" s="427" t="s">
        <v>8076</v>
      </c>
      <c r="E43" s="426" t="s">
        <v>8061</v>
      </c>
      <c r="F43" s="338">
        <v>23000</v>
      </c>
      <c r="G43" s="338" t="s">
        <v>3800</v>
      </c>
      <c r="H43" s="338"/>
      <c r="I43" s="329">
        <v>5.4832731940695263</v>
      </c>
      <c r="J43" s="329"/>
      <c r="K43" s="338">
        <v>1.3708182985173816</v>
      </c>
      <c r="L43" s="338">
        <v>1.3708182985173816</v>
      </c>
      <c r="M43" s="338">
        <v>1.3708182985173816</v>
      </c>
      <c r="N43" s="338">
        <v>1.3708182985173816</v>
      </c>
      <c r="O43" s="338"/>
    </row>
    <row r="44" spans="1:15" hidden="1" outlineLevel="2" x14ac:dyDescent="0.35">
      <c r="A44" s="425" t="s">
        <v>96</v>
      </c>
      <c r="B44" s="327" t="s">
        <v>8077</v>
      </c>
      <c r="C44" s="426" t="s">
        <v>8052</v>
      </c>
      <c r="D44" s="427" t="s">
        <v>8078</v>
      </c>
      <c r="E44" s="426" t="s">
        <v>8061</v>
      </c>
      <c r="F44" s="338">
        <v>161000</v>
      </c>
      <c r="G44" s="338" t="s">
        <v>3800</v>
      </c>
      <c r="H44" s="338"/>
      <c r="I44" s="329">
        <v>38.382912358486685</v>
      </c>
      <c r="J44" s="329"/>
      <c r="K44" s="338">
        <v>9.5957280896216712</v>
      </c>
      <c r="L44" s="338">
        <v>9.5957280896216712</v>
      </c>
      <c r="M44" s="338">
        <v>9.5957280896216712</v>
      </c>
      <c r="N44" s="338">
        <v>9.5957280896216712</v>
      </c>
      <c r="O44" s="338"/>
    </row>
    <row r="45" spans="1:15" hidden="1" outlineLevel="2" x14ac:dyDescent="0.35">
      <c r="A45" s="425" t="s">
        <v>96</v>
      </c>
      <c r="B45" s="327" t="s">
        <v>8079</v>
      </c>
      <c r="C45" s="426" t="s">
        <v>8080</v>
      </c>
      <c r="D45" s="427" t="s">
        <v>8081</v>
      </c>
      <c r="E45" s="426" t="s">
        <v>8061</v>
      </c>
      <c r="F45" s="338">
        <v>28750</v>
      </c>
      <c r="G45" s="338" t="s">
        <v>3800</v>
      </c>
      <c r="H45" s="338"/>
      <c r="I45" s="329">
        <v>6.8540914925869076</v>
      </c>
      <c r="J45" s="329"/>
      <c r="K45" s="338">
        <v>1.7135228731467269</v>
      </c>
      <c r="L45" s="338">
        <v>1.7135228731467269</v>
      </c>
      <c r="M45" s="338">
        <v>1.7135228731467269</v>
      </c>
      <c r="N45" s="338">
        <v>1.7135228731467269</v>
      </c>
      <c r="O45" s="338"/>
    </row>
    <row r="46" spans="1:15" hidden="1" outlineLevel="2" x14ac:dyDescent="0.35">
      <c r="A46" s="425" t="s">
        <v>96</v>
      </c>
      <c r="B46" s="327">
        <v>44043</v>
      </c>
      <c r="C46" s="426" t="s">
        <v>8064</v>
      </c>
      <c r="D46" s="427" t="s">
        <v>8082</v>
      </c>
      <c r="E46" s="426" t="s">
        <v>8061</v>
      </c>
      <c r="F46" s="338">
        <v>357075</v>
      </c>
      <c r="G46" s="338" t="s">
        <v>3800</v>
      </c>
      <c r="H46" s="338"/>
      <c r="I46" s="329">
        <v>83.704871978479602</v>
      </c>
      <c r="J46" s="329"/>
      <c r="K46" s="338">
        <v>20.926217994619901</v>
      </c>
      <c r="L46" s="338">
        <v>20.926217994619901</v>
      </c>
      <c r="M46" s="338">
        <v>20.926217994619901</v>
      </c>
      <c r="N46" s="338">
        <v>20.926217994619901</v>
      </c>
      <c r="O46" s="338"/>
    </row>
    <row r="47" spans="1:15" hidden="1" outlineLevel="2" x14ac:dyDescent="0.35">
      <c r="A47" s="425" t="s">
        <v>96</v>
      </c>
      <c r="B47" s="327" t="s">
        <v>7990</v>
      </c>
      <c r="C47" s="426" t="s">
        <v>8083</v>
      </c>
      <c r="D47" s="427" t="s">
        <v>8084</v>
      </c>
      <c r="E47" s="426" t="s">
        <v>8061</v>
      </c>
      <c r="F47" s="338">
        <v>285200</v>
      </c>
      <c r="G47" s="338" t="s">
        <v>3800</v>
      </c>
      <c r="H47" s="338"/>
      <c r="I47" s="329">
        <v>67.992587606462124</v>
      </c>
      <c r="J47" s="329"/>
      <c r="K47" s="338">
        <v>16.998146901615531</v>
      </c>
      <c r="L47" s="338">
        <v>16.998146901615531</v>
      </c>
      <c r="M47" s="338">
        <v>16.998146901615531</v>
      </c>
      <c r="N47" s="338">
        <v>16.998146901615531</v>
      </c>
      <c r="O47" s="338"/>
    </row>
    <row r="48" spans="1:15" hidden="1" outlineLevel="2" x14ac:dyDescent="0.35">
      <c r="A48" s="425" t="s">
        <v>96</v>
      </c>
      <c r="B48" s="327">
        <v>44012</v>
      </c>
      <c r="C48" s="426" t="s">
        <v>8085</v>
      </c>
      <c r="D48" s="427" t="s">
        <v>8086</v>
      </c>
      <c r="E48" s="426" t="s">
        <v>8061</v>
      </c>
      <c r="F48" s="338">
        <v>63825</v>
      </c>
      <c r="G48" s="338" t="s">
        <v>3800</v>
      </c>
      <c r="H48" s="338"/>
      <c r="I48" s="329">
        <v>14.961740401950459</v>
      </c>
      <c r="J48" s="329"/>
      <c r="K48" s="338">
        <v>3.7404351004876149</v>
      </c>
      <c r="L48" s="338">
        <v>3.7404351004876149</v>
      </c>
      <c r="M48" s="338">
        <v>3.7404351004876149</v>
      </c>
      <c r="N48" s="338">
        <v>3.7404351004876149</v>
      </c>
      <c r="O48" s="338"/>
    </row>
    <row r="49" spans="1:15" hidden="1" outlineLevel="2" x14ac:dyDescent="0.35">
      <c r="A49" s="425" t="s">
        <v>96</v>
      </c>
      <c r="B49" s="327" t="s">
        <v>7993</v>
      </c>
      <c r="C49" s="426" t="s">
        <v>8087</v>
      </c>
      <c r="D49" s="427" t="s">
        <v>8088</v>
      </c>
      <c r="E49" s="426" t="s">
        <v>8061</v>
      </c>
      <c r="F49" s="338">
        <v>974050</v>
      </c>
      <c r="G49" s="338" t="s">
        <v>3800</v>
      </c>
      <c r="H49" s="338"/>
      <c r="I49" s="329">
        <v>232.21661976884442</v>
      </c>
      <c r="J49" s="329"/>
      <c r="K49" s="338">
        <v>58.054154942211106</v>
      </c>
      <c r="L49" s="338">
        <v>58.054154942211106</v>
      </c>
      <c r="M49" s="338">
        <v>58.054154942211106</v>
      </c>
      <c r="N49" s="338">
        <v>58.054154942211106</v>
      </c>
      <c r="O49" s="338"/>
    </row>
    <row r="50" spans="1:15" hidden="1" outlineLevel="2" x14ac:dyDescent="0.35">
      <c r="A50" s="425" t="s">
        <v>96</v>
      </c>
      <c r="B50" s="327" t="s">
        <v>8089</v>
      </c>
      <c r="C50" s="426" t="s">
        <v>8090</v>
      </c>
      <c r="D50" s="427" t="s">
        <v>8091</v>
      </c>
      <c r="E50" s="426" t="s">
        <v>8061</v>
      </c>
      <c r="F50" s="338">
        <v>805000</v>
      </c>
      <c r="G50" s="338" t="s">
        <v>3800</v>
      </c>
      <c r="H50" s="338"/>
      <c r="I50" s="329">
        <v>191.9145617924334</v>
      </c>
      <c r="J50" s="329"/>
      <c r="K50" s="338">
        <v>47.978640448108351</v>
      </c>
      <c r="L50" s="338">
        <v>47.978640448108351</v>
      </c>
      <c r="M50" s="338">
        <v>47.978640448108351</v>
      </c>
      <c r="N50" s="338">
        <v>47.978640448108351</v>
      </c>
      <c r="O50" s="338"/>
    </row>
    <row r="51" spans="1:15" hidden="1" outlineLevel="2" x14ac:dyDescent="0.35">
      <c r="A51" s="425" t="s">
        <v>96</v>
      </c>
      <c r="B51" s="327">
        <v>43982</v>
      </c>
      <c r="C51" s="426" t="s">
        <v>8092</v>
      </c>
      <c r="D51" s="427" t="s">
        <v>8093</v>
      </c>
      <c r="E51" s="426" t="s">
        <v>8061</v>
      </c>
      <c r="F51" s="338">
        <v>10925</v>
      </c>
      <c r="G51" s="338" t="s">
        <v>3800</v>
      </c>
      <c r="H51" s="338"/>
      <c r="I51" s="329">
        <v>2.5610186273608897</v>
      </c>
      <c r="J51" s="329"/>
      <c r="K51" s="338">
        <v>0.64025465684022242</v>
      </c>
      <c r="L51" s="338">
        <v>0.64025465684022242</v>
      </c>
      <c r="M51" s="338">
        <v>0.64025465684022242</v>
      </c>
      <c r="N51" s="338">
        <v>0.64025465684022242</v>
      </c>
      <c r="O51" s="338"/>
    </row>
    <row r="52" spans="1:15" hidden="1" outlineLevel="2" x14ac:dyDescent="0.35">
      <c r="A52" s="425" t="s">
        <v>96</v>
      </c>
      <c r="B52" s="327" t="s">
        <v>7996</v>
      </c>
      <c r="C52" s="426" t="s">
        <v>8094</v>
      </c>
      <c r="D52" s="427" t="s">
        <v>8095</v>
      </c>
      <c r="E52" s="426" t="s">
        <v>8061</v>
      </c>
      <c r="F52" s="338">
        <v>55200</v>
      </c>
      <c r="G52" s="338" t="s">
        <v>3800</v>
      </c>
      <c r="H52" s="338"/>
      <c r="I52" s="329">
        <v>13.159855665766862</v>
      </c>
      <c r="J52" s="329"/>
      <c r="K52" s="338">
        <v>3.2899639164417156</v>
      </c>
      <c r="L52" s="338">
        <v>3.2899639164417156</v>
      </c>
      <c r="M52" s="338">
        <v>3.2899639164417156</v>
      </c>
      <c r="N52" s="338">
        <v>3.2899639164417156</v>
      </c>
      <c r="O52" s="338"/>
    </row>
    <row r="53" spans="1:15" hidden="1" outlineLevel="2" x14ac:dyDescent="0.35">
      <c r="A53" s="425" t="s">
        <v>96</v>
      </c>
      <c r="B53" s="327">
        <v>44165</v>
      </c>
      <c r="C53" s="426" t="s">
        <v>8096</v>
      </c>
      <c r="D53" s="427" t="s">
        <v>8097</v>
      </c>
      <c r="E53" s="426" t="s">
        <v>8061</v>
      </c>
      <c r="F53" s="338">
        <v>246675</v>
      </c>
      <c r="G53" s="338" t="s">
        <v>3800</v>
      </c>
      <c r="H53" s="338"/>
      <c r="I53" s="329">
        <v>57.825104796727452</v>
      </c>
      <c r="J53" s="329"/>
      <c r="K53" s="338">
        <v>14.456276199181863</v>
      </c>
      <c r="L53" s="338">
        <v>14.456276199181863</v>
      </c>
      <c r="M53" s="338">
        <v>14.456276199181863</v>
      </c>
      <c r="N53" s="338">
        <v>14.456276199181863</v>
      </c>
      <c r="O53" s="338"/>
    </row>
    <row r="54" spans="1:15" hidden="1" outlineLevel="2" x14ac:dyDescent="0.35">
      <c r="A54" s="425" t="s">
        <v>96</v>
      </c>
      <c r="B54" s="327" t="s">
        <v>8098</v>
      </c>
      <c r="C54" s="426" t="s">
        <v>8099</v>
      </c>
      <c r="D54" s="427" t="s">
        <v>8100</v>
      </c>
      <c r="E54" s="426" t="s">
        <v>8061</v>
      </c>
      <c r="F54" s="338">
        <v>134550.46</v>
      </c>
      <c r="G54" s="338" t="s">
        <v>3800</v>
      </c>
      <c r="H54" s="338"/>
      <c r="I54" s="329">
        <v>32.077257850770607</v>
      </c>
      <c r="J54" s="329"/>
      <c r="K54" s="338">
        <v>8.0193144626926518</v>
      </c>
      <c r="L54" s="338">
        <v>8.0193144626926518</v>
      </c>
      <c r="M54" s="338">
        <v>8.0193144626926518</v>
      </c>
      <c r="N54" s="338">
        <v>8.0193144626926518</v>
      </c>
      <c r="O54" s="338"/>
    </row>
    <row r="55" spans="1:15" hidden="1" outlineLevel="2" x14ac:dyDescent="0.35">
      <c r="A55" s="425" t="s">
        <v>96</v>
      </c>
      <c r="B55" s="327">
        <v>44135</v>
      </c>
      <c r="C55" s="426" t="s">
        <v>8101</v>
      </c>
      <c r="D55" s="427" t="s">
        <v>8102</v>
      </c>
      <c r="E55" s="426" t="s">
        <v>8061</v>
      </c>
      <c r="F55" s="338">
        <v>306475</v>
      </c>
      <c r="G55" s="338" t="s">
        <v>3800</v>
      </c>
      <c r="H55" s="338"/>
      <c r="I55" s="329">
        <v>71.843312020176526</v>
      </c>
      <c r="J55" s="329"/>
      <c r="K55" s="338">
        <v>17.960828005044132</v>
      </c>
      <c r="L55" s="338">
        <v>17.960828005044132</v>
      </c>
      <c r="M55" s="338">
        <v>17.960828005044132</v>
      </c>
      <c r="N55" s="338">
        <v>17.960828005044132</v>
      </c>
      <c r="O55" s="338"/>
    </row>
    <row r="56" spans="1:15" hidden="1" outlineLevel="2" x14ac:dyDescent="0.35">
      <c r="A56" s="425" t="s">
        <v>96</v>
      </c>
      <c r="B56" s="327">
        <v>44500</v>
      </c>
      <c r="C56" s="426" t="s">
        <v>8103</v>
      </c>
      <c r="D56" s="427" t="s">
        <v>8104</v>
      </c>
      <c r="E56" s="426" t="s">
        <v>8061</v>
      </c>
      <c r="F56" s="338">
        <v>1035000</v>
      </c>
      <c r="G56" s="338" t="s">
        <v>3800</v>
      </c>
      <c r="H56" s="338"/>
      <c r="I56" s="329">
        <v>246.74729373312866</v>
      </c>
      <c r="J56" s="329"/>
      <c r="K56" s="338">
        <v>61.686823433282164</v>
      </c>
      <c r="L56" s="338">
        <v>61.686823433282164</v>
      </c>
      <c r="M56" s="338">
        <v>61.686823433282164</v>
      </c>
      <c r="N56" s="338">
        <v>61.686823433282164</v>
      </c>
      <c r="O56" s="338"/>
    </row>
    <row r="57" spans="1:15" hidden="1" outlineLevel="2" x14ac:dyDescent="0.35">
      <c r="A57" s="425" t="s">
        <v>96</v>
      </c>
      <c r="B57" s="327">
        <v>44104</v>
      </c>
      <c r="C57" s="426" t="s">
        <v>8105</v>
      </c>
      <c r="D57" s="427" t="s">
        <v>8106</v>
      </c>
      <c r="E57" s="426" t="s">
        <v>8061</v>
      </c>
      <c r="F57" s="338">
        <v>552575</v>
      </c>
      <c r="G57" s="338" t="s">
        <v>3800</v>
      </c>
      <c r="H57" s="338"/>
      <c r="I57" s="329">
        <v>129.53362636283236</v>
      </c>
      <c r="J57" s="329"/>
      <c r="K57" s="338">
        <v>32.383406590708091</v>
      </c>
      <c r="L57" s="338">
        <v>32.383406590708091</v>
      </c>
      <c r="M57" s="338">
        <v>32.383406590708091</v>
      </c>
      <c r="N57" s="338">
        <v>32.383406590708091</v>
      </c>
      <c r="O57" s="338"/>
    </row>
    <row r="58" spans="1:15" hidden="1" outlineLevel="2" x14ac:dyDescent="0.35">
      <c r="A58" s="425" t="s">
        <v>96</v>
      </c>
      <c r="B58" s="327">
        <v>44469</v>
      </c>
      <c r="C58" s="426" t="s">
        <v>8107</v>
      </c>
      <c r="D58" s="427" t="s">
        <v>8108</v>
      </c>
      <c r="E58" s="426" t="s">
        <v>8061</v>
      </c>
      <c r="F58" s="338">
        <v>48300</v>
      </c>
      <c r="G58" s="338" t="s">
        <v>3800</v>
      </c>
      <c r="H58" s="338"/>
      <c r="I58" s="329">
        <v>11.514873707546004</v>
      </c>
      <c r="J58" s="329"/>
      <c r="K58" s="338">
        <v>2.8787184268865009</v>
      </c>
      <c r="L58" s="338">
        <v>2.8787184268865009</v>
      </c>
      <c r="M58" s="338">
        <v>2.8787184268865009</v>
      </c>
      <c r="N58" s="338">
        <v>2.8787184268865009</v>
      </c>
      <c r="O58" s="338"/>
    </row>
    <row r="59" spans="1:15" outlineLevel="1" collapsed="1" x14ac:dyDescent="0.35">
      <c r="A59" s="432" t="s">
        <v>464</v>
      </c>
      <c r="B59" s="327"/>
      <c r="C59" s="426"/>
      <c r="D59" s="427"/>
      <c r="E59" s="426"/>
      <c r="F59" s="338"/>
      <c r="G59" s="338"/>
      <c r="H59" s="338"/>
      <c r="I59" s="329">
        <f t="shared" ref="I59:O59" si="5">SUBTOTAL(9,I35:I58)</f>
        <v>1658.5324226146095</v>
      </c>
      <c r="J59" s="329"/>
      <c r="K59" s="338">
        <f t="shared" si="5"/>
        <v>414.63310565365236</v>
      </c>
      <c r="L59" s="338">
        <f t="shared" si="5"/>
        <v>414.63310565365236</v>
      </c>
      <c r="M59" s="338">
        <f t="shared" si="5"/>
        <v>414.63310565365236</v>
      </c>
      <c r="N59" s="338">
        <f t="shared" si="5"/>
        <v>414.63310565365236</v>
      </c>
      <c r="O59" s="338">
        <f t="shared" si="5"/>
        <v>0</v>
      </c>
    </row>
    <row r="60" spans="1:15" hidden="1" outlineLevel="2" x14ac:dyDescent="0.35">
      <c r="A60" s="425" t="s">
        <v>99</v>
      </c>
      <c r="B60" s="327">
        <v>44700</v>
      </c>
      <c r="C60" s="426" t="s">
        <v>8092</v>
      </c>
      <c r="D60" s="427" t="s">
        <v>8109</v>
      </c>
      <c r="E60" s="426" t="s">
        <v>8110</v>
      </c>
      <c r="F60" s="338">
        <v>865000</v>
      </c>
      <c r="G60" s="338" t="s">
        <v>3800</v>
      </c>
      <c r="H60" s="338"/>
      <c r="I60" s="329">
        <v>206.21875273348434</v>
      </c>
      <c r="J60" s="329"/>
      <c r="K60" s="338">
        <v>51.554688183371084</v>
      </c>
      <c r="L60" s="338">
        <v>51.554688183371084</v>
      </c>
      <c r="M60" s="338">
        <v>51.554688183371084</v>
      </c>
      <c r="N60" s="338">
        <v>51.554688183371084</v>
      </c>
      <c r="O60" s="338"/>
    </row>
    <row r="61" spans="1:15" hidden="1" outlineLevel="2" x14ac:dyDescent="0.35">
      <c r="A61" s="425" t="s">
        <v>99</v>
      </c>
      <c r="B61" s="327">
        <v>44700</v>
      </c>
      <c r="C61" s="426" t="s">
        <v>8085</v>
      </c>
      <c r="D61" s="427" t="s">
        <v>8109</v>
      </c>
      <c r="E61" s="426" t="s">
        <v>8111</v>
      </c>
      <c r="F61" s="338">
        <v>1080000</v>
      </c>
      <c r="G61" s="338" t="s">
        <v>3800</v>
      </c>
      <c r="H61" s="338"/>
      <c r="I61" s="329">
        <v>257.47543693891686</v>
      </c>
      <c r="J61" s="329"/>
      <c r="K61" s="338">
        <v>64.368859234729214</v>
      </c>
      <c r="L61" s="338">
        <v>64.368859234729214</v>
      </c>
      <c r="M61" s="338">
        <v>64.368859234729214</v>
      </c>
      <c r="N61" s="338">
        <v>64.368859234729214</v>
      </c>
      <c r="O61" s="338"/>
    </row>
    <row r="62" spans="1:15" hidden="1" outlineLevel="2" x14ac:dyDescent="0.35">
      <c r="A62" s="425" t="s">
        <v>99</v>
      </c>
      <c r="B62" s="327">
        <v>44700</v>
      </c>
      <c r="C62" s="426" t="s">
        <v>8064</v>
      </c>
      <c r="D62" s="427" t="s">
        <v>8109</v>
      </c>
      <c r="E62" s="426" t="s">
        <v>8112</v>
      </c>
      <c r="F62" s="338">
        <v>1080000</v>
      </c>
      <c r="G62" s="338" t="s">
        <v>3800</v>
      </c>
      <c r="H62" s="338"/>
      <c r="I62" s="329">
        <v>257.47543693891686</v>
      </c>
      <c r="J62" s="329"/>
      <c r="K62" s="338">
        <v>64.368859234729214</v>
      </c>
      <c r="L62" s="338">
        <v>64.368859234729214</v>
      </c>
      <c r="M62" s="338">
        <v>64.368859234729214</v>
      </c>
      <c r="N62" s="338">
        <v>64.368859234729214</v>
      </c>
      <c r="O62" s="338"/>
    </row>
    <row r="63" spans="1:15" outlineLevel="1" collapsed="1" x14ac:dyDescent="0.35">
      <c r="A63" s="432" t="s">
        <v>8113</v>
      </c>
      <c r="B63" s="327"/>
      <c r="C63" s="426"/>
      <c r="D63" s="427"/>
      <c r="E63" s="426"/>
      <c r="F63" s="338"/>
      <c r="G63" s="338"/>
      <c r="H63" s="338"/>
      <c r="I63" s="329">
        <f t="shared" ref="I63:O63" si="6">SUBTOTAL(9,I60:I62)</f>
        <v>721.16962661131811</v>
      </c>
      <c r="J63" s="329"/>
      <c r="K63" s="338">
        <f t="shared" si="6"/>
        <v>180.29240665282953</v>
      </c>
      <c r="L63" s="338">
        <f t="shared" si="6"/>
        <v>180.29240665282953</v>
      </c>
      <c r="M63" s="338">
        <f t="shared" si="6"/>
        <v>180.29240665282953</v>
      </c>
      <c r="N63" s="338">
        <f t="shared" si="6"/>
        <v>180.29240665282953</v>
      </c>
      <c r="O63" s="338">
        <f t="shared" si="6"/>
        <v>0</v>
      </c>
    </row>
    <row r="64" spans="1:15" hidden="1" outlineLevel="2" x14ac:dyDescent="0.35">
      <c r="A64" s="425" t="s">
        <v>7871</v>
      </c>
      <c r="B64" s="327">
        <v>44456</v>
      </c>
      <c r="C64" s="426" t="s">
        <v>8114</v>
      </c>
      <c r="D64" s="427" t="s">
        <v>8115</v>
      </c>
      <c r="E64" s="426" t="s">
        <v>8116</v>
      </c>
      <c r="F64" s="338">
        <v>360000</v>
      </c>
      <c r="G64" s="338" t="s">
        <v>3800</v>
      </c>
      <c r="H64" s="338"/>
      <c r="I64" s="329">
        <v>85.825145646305629</v>
      </c>
      <c r="J64" s="329"/>
      <c r="K64" s="338">
        <v>21.456286411576407</v>
      </c>
      <c r="L64" s="338">
        <v>21.456286411576407</v>
      </c>
      <c r="M64" s="338">
        <v>21.456286411576407</v>
      </c>
      <c r="N64" s="338">
        <v>21.456286411576407</v>
      </c>
      <c r="O64" s="338"/>
    </row>
    <row r="65" spans="1:15" hidden="1" outlineLevel="2" x14ac:dyDescent="0.35">
      <c r="A65" s="425" t="s">
        <v>7871</v>
      </c>
      <c r="B65" s="327">
        <v>44076</v>
      </c>
      <c r="C65" s="426" t="s">
        <v>8117</v>
      </c>
      <c r="D65" s="427" t="s">
        <v>8118</v>
      </c>
      <c r="E65" s="426" t="s">
        <v>8119</v>
      </c>
      <c r="F65" s="338">
        <v>300000</v>
      </c>
      <c r="G65" s="338" t="s">
        <v>3800</v>
      </c>
      <c r="H65" s="338"/>
      <c r="I65" s="329">
        <v>70.325454298239535</v>
      </c>
      <c r="J65" s="329"/>
      <c r="K65" s="338">
        <v>17.581363574559884</v>
      </c>
      <c r="L65" s="338">
        <v>17.581363574559884</v>
      </c>
      <c r="M65" s="338">
        <v>17.581363574559884</v>
      </c>
      <c r="N65" s="338">
        <v>17.581363574559884</v>
      </c>
      <c r="O65" s="338"/>
    </row>
    <row r="66" spans="1:15" hidden="1" outlineLevel="2" x14ac:dyDescent="0.35">
      <c r="A66" s="425" t="s">
        <v>7871</v>
      </c>
      <c r="B66" s="327">
        <v>44084</v>
      </c>
      <c r="C66" s="426" t="s">
        <v>8120</v>
      </c>
      <c r="D66" s="427" t="s">
        <v>8121</v>
      </c>
      <c r="E66" s="426" t="s">
        <v>8122</v>
      </c>
      <c r="F66" s="338">
        <v>140000</v>
      </c>
      <c r="G66" s="338" t="s">
        <v>3800</v>
      </c>
      <c r="H66" s="338"/>
      <c r="I66" s="329">
        <v>32.818545339178449</v>
      </c>
      <c r="J66" s="329"/>
      <c r="K66" s="338">
        <v>8.2046363347946123</v>
      </c>
      <c r="L66" s="338">
        <v>8.2046363347946123</v>
      </c>
      <c r="M66" s="338">
        <v>8.2046363347946123</v>
      </c>
      <c r="N66" s="338">
        <v>8.2046363347946123</v>
      </c>
      <c r="O66" s="338"/>
    </row>
    <row r="67" spans="1:15" hidden="1" outlineLevel="2" x14ac:dyDescent="0.35">
      <c r="A67" s="425" t="s">
        <v>7871</v>
      </c>
      <c r="B67" s="327">
        <v>44071</v>
      </c>
      <c r="C67" s="426" t="s">
        <v>8123</v>
      </c>
      <c r="D67" s="427" t="s">
        <v>8124</v>
      </c>
      <c r="E67" s="426" t="s">
        <v>8122</v>
      </c>
      <c r="F67" s="338">
        <v>500000</v>
      </c>
      <c r="G67" s="338" t="s">
        <v>3800</v>
      </c>
      <c r="H67" s="338"/>
      <c r="I67" s="329">
        <v>117.20909049706589</v>
      </c>
      <c r="J67" s="329"/>
      <c r="K67" s="338">
        <v>29.302272624266472</v>
      </c>
      <c r="L67" s="338">
        <v>29.302272624266472</v>
      </c>
      <c r="M67" s="338">
        <v>29.302272624266472</v>
      </c>
      <c r="N67" s="338">
        <v>29.302272624266472</v>
      </c>
      <c r="O67" s="338"/>
    </row>
    <row r="68" spans="1:15" hidden="1" outlineLevel="2" x14ac:dyDescent="0.35">
      <c r="A68" s="425" t="s">
        <v>7871</v>
      </c>
      <c r="B68" s="327">
        <v>44134</v>
      </c>
      <c r="C68" s="426" t="s">
        <v>8125</v>
      </c>
      <c r="D68" s="427" t="s">
        <v>8126</v>
      </c>
      <c r="E68" s="426" t="s">
        <v>8127</v>
      </c>
      <c r="F68" s="338">
        <v>300000</v>
      </c>
      <c r="G68" s="338" t="s">
        <v>3800</v>
      </c>
      <c r="H68" s="338"/>
      <c r="I68" s="329">
        <v>70.325454298239535</v>
      </c>
      <c r="J68" s="329"/>
      <c r="K68" s="338">
        <v>17.581363574559884</v>
      </c>
      <c r="L68" s="338">
        <v>17.581363574559884</v>
      </c>
      <c r="M68" s="338">
        <v>17.581363574559884</v>
      </c>
      <c r="N68" s="338">
        <v>17.581363574559884</v>
      </c>
      <c r="O68" s="338"/>
    </row>
    <row r="69" spans="1:15" hidden="1" outlineLevel="2" x14ac:dyDescent="0.35">
      <c r="A69" s="425" t="s">
        <v>7871</v>
      </c>
      <c r="B69" s="327">
        <v>44077</v>
      </c>
      <c r="C69" s="426" t="s">
        <v>8128</v>
      </c>
      <c r="D69" s="427" t="s">
        <v>8129</v>
      </c>
      <c r="E69" s="426" t="s">
        <v>8119</v>
      </c>
      <c r="F69" s="338">
        <v>300000</v>
      </c>
      <c r="G69" s="338" t="s">
        <v>3800</v>
      </c>
      <c r="H69" s="338"/>
      <c r="I69" s="329">
        <v>70.325454298239535</v>
      </c>
      <c r="J69" s="329"/>
      <c r="K69" s="338">
        <v>17.581363574559884</v>
      </c>
      <c r="L69" s="338">
        <v>17.581363574559884</v>
      </c>
      <c r="M69" s="338">
        <v>17.581363574559884</v>
      </c>
      <c r="N69" s="338">
        <v>17.581363574559884</v>
      </c>
      <c r="O69" s="338"/>
    </row>
    <row r="70" spans="1:15" hidden="1" outlineLevel="2" x14ac:dyDescent="0.35">
      <c r="A70" s="425" t="s">
        <v>7871</v>
      </c>
      <c r="B70" s="327">
        <v>44177</v>
      </c>
      <c r="C70" s="426" t="s">
        <v>8130</v>
      </c>
      <c r="D70" s="427" t="s">
        <v>8131</v>
      </c>
      <c r="E70" s="426" t="s">
        <v>8132</v>
      </c>
      <c r="F70" s="338">
        <v>300000</v>
      </c>
      <c r="G70" s="338" t="s">
        <v>3800</v>
      </c>
      <c r="H70" s="338"/>
      <c r="I70" s="329">
        <v>70.325454298239535</v>
      </c>
      <c r="J70" s="329"/>
      <c r="K70" s="338">
        <v>17.581363574559884</v>
      </c>
      <c r="L70" s="338">
        <v>17.581363574559884</v>
      </c>
      <c r="M70" s="338">
        <v>17.581363574559884</v>
      </c>
      <c r="N70" s="338">
        <v>17.581363574559884</v>
      </c>
      <c r="O70" s="338"/>
    </row>
    <row r="71" spans="1:15" hidden="1" outlineLevel="2" x14ac:dyDescent="0.35">
      <c r="A71" s="425" t="s">
        <v>7871</v>
      </c>
      <c r="B71" s="327">
        <v>44147</v>
      </c>
      <c r="C71" s="426" t="s">
        <v>8012</v>
      </c>
      <c r="D71" s="427" t="s">
        <v>8133</v>
      </c>
      <c r="E71" s="426" t="s">
        <v>8134</v>
      </c>
      <c r="F71" s="338">
        <v>300000</v>
      </c>
      <c r="G71" s="338" t="s">
        <v>3800</v>
      </c>
      <c r="H71" s="338"/>
      <c r="I71" s="329">
        <v>70.325454298239535</v>
      </c>
      <c r="J71" s="329"/>
      <c r="K71" s="338">
        <v>17.581363574559884</v>
      </c>
      <c r="L71" s="338">
        <v>17.581363574559884</v>
      </c>
      <c r="M71" s="338">
        <v>17.581363574559884</v>
      </c>
      <c r="N71" s="338">
        <v>17.581363574559884</v>
      </c>
      <c r="O71" s="338"/>
    </row>
    <row r="72" spans="1:15" hidden="1" outlineLevel="2" x14ac:dyDescent="0.35">
      <c r="A72" s="425" t="s">
        <v>7871</v>
      </c>
      <c r="B72" s="327">
        <v>44456</v>
      </c>
      <c r="C72" s="426" t="s">
        <v>8135</v>
      </c>
      <c r="D72" s="427" t="s">
        <v>8136</v>
      </c>
      <c r="E72" s="426" t="s">
        <v>8137</v>
      </c>
      <c r="F72" s="338">
        <v>240000</v>
      </c>
      <c r="G72" s="338" t="s">
        <v>3800</v>
      </c>
      <c r="H72" s="338"/>
      <c r="I72" s="329">
        <v>57.216763764203748</v>
      </c>
      <c r="J72" s="329"/>
      <c r="K72" s="338">
        <v>14.304190941050937</v>
      </c>
      <c r="L72" s="338">
        <v>14.304190941050937</v>
      </c>
      <c r="M72" s="338">
        <v>14.304190941050937</v>
      </c>
      <c r="N72" s="338">
        <v>14.304190941050937</v>
      </c>
      <c r="O72" s="338"/>
    </row>
    <row r="73" spans="1:15" hidden="1" outlineLevel="2" x14ac:dyDescent="0.35">
      <c r="A73" s="425" t="s">
        <v>7871</v>
      </c>
      <c r="B73" s="327">
        <v>44091</v>
      </c>
      <c r="C73" s="426" t="s">
        <v>8138</v>
      </c>
      <c r="D73" s="427" t="s">
        <v>8139</v>
      </c>
      <c r="E73" s="426" t="s">
        <v>8140</v>
      </c>
      <c r="F73" s="338">
        <v>14609900</v>
      </c>
      <c r="G73" s="338" t="s">
        <v>3800</v>
      </c>
      <c r="H73" s="338"/>
      <c r="I73" s="329">
        <v>3424.8261825061659</v>
      </c>
      <c r="J73" s="329"/>
      <c r="K73" s="338">
        <v>856.20654562654147</v>
      </c>
      <c r="L73" s="338">
        <v>856.20654562654147</v>
      </c>
      <c r="M73" s="338">
        <v>856.20654562654147</v>
      </c>
      <c r="N73" s="338">
        <v>856.20654562654147</v>
      </c>
      <c r="O73" s="338"/>
    </row>
    <row r="74" spans="1:15" outlineLevel="1" collapsed="1" x14ac:dyDescent="0.35">
      <c r="A74" s="432" t="s">
        <v>8141</v>
      </c>
      <c r="B74" s="327"/>
      <c r="C74" s="426"/>
      <c r="D74" s="427"/>
      <c r="E74" s="426"/>
      <c r="F74" s="338"/>
      <c r="G74" s="338"/>
      <c r="H74" s="338"/>
      <c r="I74" s="329">
        <f t="shared" ref="I74:O74" si="7">SUBTOTAL(9,I64:I73)</f>
        <v>4069.5229992441173</v>
      </c>
      <c r="J74" s="329"/>
      <c r="K74" s="338">
        <f t="shared" si="7"/>
        <v>1017.3807498110293</v>
      </c>
      <c r="L74" s="338">
        <f t="shared" si="7"/>
        <v>1017.3807498110293</v>
      </c>
      <c r="M74" s="338">
        <f t="shared" si="7"/>
        <v>1017.3807498110293</v>
      </c>
      <c r="N74" s="338">
        <f t="shared" si="7"/>
        <v>1017.3807498110293</v>
      </c>
      <c r="O74" s="338">
        <f t="shared" si="7"/>
        <v>0</v>
      </c>
    </row>
    <row r="75" spans="1:15" hidden="1" outlineLevel="2" x14ac:dyDescent="0.35">
      <c r="A75" s="425" t="s">
        <v>7887</v>
      </c>
      <c r="B75" s="327">
        <v>44166</v>
      </c>
      <c r="C75" s="426" t="s">
        <v>8142</v>
      </c>
      <c r="D75" s="427" t="s">
        <v>8143</v>
      </c>
      <c r="E75" s="426" t="s">
        <v>8144</v>
      </c>
      <c r="F75" s="338">
        <v>250000</v>
      </c>
      <c r="G75" s="338" t="s">
        <v>3800</v>
      </c>
      <c r="H75" s="338"/>
      <c r="I75" s="329">
        <v>58.604545248532943</v>
      </c>
      <c r="J75" s="329"/>
      <c r="K75" s="338">
        <v>58.604545248532943</v>
      </c>
      <c r="L75" s="338"/>
      <c r="M75" s="338"/>
      <c r="N75" s="338"/>
      <c r="O75" s="338"/>
    </row>
    <row r="76" spans="1:15" hidden="1" outlineLevel="2" x14ac:dyDescent="0.35">
      <c r="A76" s="425" t="s">
        <v>7887</v>
      </c>
      <c r="B76" s="327">
        <v>44134</v>
      </c>
      <c r="C76" s="426" t="s">
        <v>8145</v>
      </c>
      <c r="D76" s="427" t="s">
        <v>8146</v>
      </c>
      <c r="E76" s="426" t="s">
        <v>8147</v>
      </c>
      <c r="F76" s="338">
        <v>8750000</v>
      </c>
      <c r="G76" s="338" t="s">
        <v>3800</v>
      </c>
      <c r="H76" s="338"/>
      <c r="I76" s="329">
        <v>2051.1590836986529</v>
      </c>
      <c r="J76" s="329"/>
      <c r="K76" s="338">
        <v>2051.1590836986529</v>
      </c>
      <c r="L76" s="338"/>
      <c r="M76" s="338"/>
      <c r="N76" s="338"/>
      <c r="O76" s="338"/>
    </row>
    <row r="77" spans="1:15" hidden="1" outlineLevel="2" x14ac:dyDescent="0.35">
      <c r="A77" s="425" t="s">
        <v>7887</v>
      </c>
      <c r="B77" s="327">
        <v>44142</v>
      </c>
      <c r="C77" s="426" t="s">
        <v>8148</v>
      </c>
      <c r="D77" s="427" t="s">
        <v>8149</v>
      </c>
      <c r="E77" s="426" t="s">
        <v>8150</v>
      </c>
      <c r="F77" s="338">
        <v>9000000</v>
      </c>
      <c r="G77" s="338" t="s">
        <v>3800</v>
      </c>
      <c r="H77" s="338"/>
      <c r="I77" s="329">
        <v>2109.7636289471857</v>
      </c>
      <c r="J77" s="329"/>
      <c r="K77" s="338">
        <v>2109.7636289471857</v>
      </c>
      <c r="L77" s="338"/>
      <c r="M77" s="338"/>
      <c r="N77" s="338"/>
      <c r="O77" s="338"/>
    </row>
    <row r="78" spans="1:15" hidden="1" outlineLevel="2" x14ac:dyDescent="0.35">
      <c r="A78" s="425" t="s">
        <v>7887</v>
      </c>
      <c r="B78" s="327">
        <v>44562</v>
      </c>
      <c r="C78" s="426" t="s">
        <v>8151</v>
      </c>
      <c r="D78" s="427" t="s">
        <v>8152</v>
      </c>
      <c r="E78" s="426" t="s">
        <v>8153</v>
      </c>
      <c r="F78" s="338">
        <v>2973900</v>
      </c>
      <c r="G78" s="338" t="s">
        <v>3800</v>
      </c>
      <c r="H78" s="338"/>
      <c r="I78" s="329">
        <v>708.98722399318967</v>
      </c>
      <c r="J78" s="329"/>
      <c r="K78" s="338">
        <v>708.98722399318967</v>
      </c>
      <c r="L78" s="338"/>
      <c r="M78" s="338"/>
      <c r="N78" s="338"/>
      <c r="O78" s="338"/>
    </row>
    <row r="79" spans="1:15" hidden="1" outlineLevel="2" x14ac:dyDescent="0.35">
      <c r="A79" s="425" t="s">
        <v>7887</v>
      </c>
      <c r="B79" s="327">
        <v>44146</v>
      </c>
      <c r="C79" s="426" t="s">
        <v>8154</v>
      </c>
      <c r="D79" s="427" t="s">
        <v>8155</v>
      </c>
      <c r="E79" s="426" t="s">
        <v>8144</v>
      </c>
      <c r="F79" s="338">
        <v>30693000</v>
      </c>
      <c r="G79" s="338" t="s">
        <v>3800</v>
      </c>
      <c r="H79" s="338"/>
      <c r="I79" s="329">
        <v>7194.9972292528864</v>
      </c>
      <c r="J79" s="329"/>
      <c r="K79" s="338">
        <v>7194.9972292528864</v>
      </c>
      <c r="L79" s="338"/>
      <c r="M79" s="338"/>
      <c r="N79" s="338"/>
      <c r="O79" s="338"/>
    </row>
    <row r="80" spans="1:15" hidden="1" outlineLevel="2" x14ac:dyDescent="0.35">
      <c r="A80" s="425" t="s">
        <v>7887</v>
      </c>
      <c r="B80" s="327">
        <v>44145</v>
      </c>
      <c r="C80" s="426" t="s">
        <v>8156</v>
      </c>
      <c r="D80" s="427" t="s">
        <v>8157</v>
      </c>
      <c r="E80" s="426" t="s">
        <v>8158</v>
      </c>
      <c r="F80" s="338">
        <v>30723000</v>
      </c>
      <c r="G80" s="338" t="s">
        <v>3800</v>
      </c>
      <c r="H80" s="338"/>
      <c r="I80" s="329">
        <v>7202.02977468271</v>
      </c>
      <c r="J80" s="329"/>
      <c r="K80" s="338">
        <v>7202.02977468271</v>
      </c>
      <c r="L80" s="338"/>
      <c r="M80" s="338"/>
      <c r="N80" s="338"/>
      <c r="O80" s="338"/>
    </row>
    <row r="81" spans="1:15" hidden="1" outlineLevel="2" x14ac:dyDescent="0.35">
      <c r="A81" s="425" t="s">
        <v>7887</v>
      </c>
      <c r="B81" s="327">
        <v>44194</v>
      </c>
      <c r="C81" s="426" t="s">
        <v>8159</v>
      </c>
      <c r="D81" s="427" t="s">
        <v>8160</v>
      </c>
      <c r="E81" s="426" t="s">
        <v>6620</v>
      </c>
      <c r="F81" s="338">
        <v>720000</v>
      </c>
      <c r="G81" s="338" t="s">
        <v>3800</v>
      </c>
      <c r="H81" s="338"/>
      <c r="I81" s="329">
        <v>168.78109031577486</v>
      </c>
      <c r="J81" s="329"/>
      <c r="K81" s="338">
        <v>168.78109031577486</v>
      </c>
      <c r="L81" s="338"/>
      <c r="M81" s="338"/>
      <c r="N81" s="338"/>
      <c r="O81" s="338"/>
    </row>
    <row r="82" spans="1:15" hidden="1" outlineLevel="2" x14ac:dyDescent="0.35">
      <c r="A82" s="425" t="s">
        <v>7887</v>
      </c>
      <c r="B82" s="327">
        <v>44165</v>
      </c>
      <c r="C82" s="426" t="s">
        <v>8161</v>
      </c>
      <c r="D82" s="427" t="s">
        <v>8162</v>
      </c>
      <c r="E82" s="426" t="s">
        <v>6620</v>
      </c>
      <c r="F82" s="338">
        <v>720000</v>
      </c>
      <c r="G82" s="338" t="s">
        <v>3800</v>
      </c>
      <c r="H82" s="338"/>
      <c r="I82" s="329">
        <v>168.78109031577486</v>
      </c>
      <c r="J82" s="329"/>
      <c r="K82" s="338">
        <v>168.78109031577486</v>
      </c>
      <c r="L82" s="338"/>
      <c r="M82" s="338"/>
      <c r="N82" s="338"/>
      <c r="O82" s="338"/>
    </row>
    <row r="83" spans="1:15" hidden="1" outlineLevel="2" x14ac:dyDescent="0.35">
      <c r="A83" s="425" t="s">
        <v>7887</v>
      </c>
      <c r="B83" s="327">
        <v>44165</v>
      </c>
      <c r="C83" s="426" t="s">
        <v>8163</v>
      </c>
      <c r="D83" s="427" t="s">
        <v>8162</v>
      </c>
      <c r="E83" s="426" t="s">
        <v>8164</v>
      </c>
      <c r="F83" s="338">
        <v>80000</v>
      </c>
      <c r="G83" s="338" t="s">
        <v>3800</v>
      </c>
      <c r="H83" s="338"/>
      <c r="I83" s="329">
        <v>18.753454479530543</v>
      </c>
      <c r="J83" s="329"/>
      <c r="K83" s="338">
        <v>18.753454479530543</v>
      </c>
      <c r="L83" s="338"/>
      <c r="M83" s="338"/>
      <c r="N83" s="338"/>
      <c r="O83" s="338"/>
    </row>
    <row r="84" spans="1:15" hidden="1" outlineLevel="2" x14ac:dyDescent="0.35">
      <c r="A84" s="425" t="s">
        <v>7887</v>
      </c>
      <c r="B84" s="327">
        <v>44165</v>
      </c>
      <c r="C84" s="426" t="s">
        <v>8135</v>
      </c>
      <c r="D84" s="427" t="s">
        <v>8162</v>
      </c>
      <c r="E84" s="426" t="s">
        <v>8164</v>
      </c>
      <c r="F84" s="338">
        <v>720000</v>
      </c>
      <c r="G84" s="338" t="s">
        <v>3800</v>
      </c>
      <c r="H84" s="338"/>
      <c r="I84" s="329">
        <v>168.78109031577486</v>
      </c>
      <c r="J84" s="329"/>
      <c r="K84" s="338">
        <v>168.78109031577486</v>
      </c>
      <c r="L84" s="338"/>
      <c r="M84" s="338"/>
      <c r="N84" s="338"/>
      <c r="O84" s="338"/>
    </row>
    <row r="85" spans="1:15" hidden="1" outlineLevel="2" x14ac:dyDescent="0.35">
      <c r="A85" s="425" t="s">
        <v>7887</v>
      </c>
      <c r="B85" s="327">
        <v>44165</v>
      </c>
      <c r="C85" s="426" t="s">
        <v>8165</v>
      </c>
      <c r="D85" s="427" t="s">
        <v>8162</v>
      </c>
      <c r="E85" s="426" t="s">
        <v>6620</v>
      </c>
      <c r="F85" s="338">
        <v>600000</v>
      </c>
      <c r="G85" s="338" t="s">
        <v>3800</v>
      </c>
      <c r="H85" s="338"/>
      <c r="I85" s="329">
        <v>140.65090859647907</v>
      </c>
      <c r="J85" s="329"/>
      <c r="K85" s="338">
        <v>140.65090859647907</v>
      </c>
      <c r="L85" s="338"/>
      <c r="M85" s="338"/>
      <c r="N85" s="338"/>
      <c r="O85" s="338"/>
    </row>
    <row r="86" spans="1:15" hidden="1" outlineLevel="2" x14ac:dyDescent="0.35">
      <c r="A86" s="425" t="s">
        <v>7887</v>
      </c>
      <c r="B86" s="327">
        <v>44165</v>
      </c>
      <c r="C86" s="426" t="s">
        <v>8166</v>
      </c>
      <c r="D86" s="427" t="s">
        <v>8162</v>
      </c>
      <c r="E86" s="426" t="s">
        <v>8167</v>
      </c>
      <c r="F86" s="338">
        <v>500000</v>
      </c>
      <c r="G86" s="338" t="s">
        <v>3800</v>
      </c>
      <c r="H86" s="338"/>
      <c r="I86" s="329">
        <v>117.20909049706589</v>
      </c>
      <c r="J86" s="329"/>
      <c r="K86" s="338">
        <v>117.20909049706589</v>
      </c>
      <c r="L86" s="338"/>
      <c r="M86" s="338"/>
      <c r="N86" s="338"/>
      <c r="O86" s="338"/>
    </row>
    <row r="87" spans="1:15" hidden="1" outlineLevel="2" x14ac:dyDescent="0.35">
      <c r="A87" s="425" t="s">
        <v>7887</v>
      </c>
      <c r="B87" s="327">
        <v>44165</v>
      </c>
      <c r="C87" s="426" t="s">
        <v>8168</v>
      </c>
      <c r="D87" s="427" t="s">
        <v>8162</v>
      </c>
      <c r="E87" s="426" t="s">
        <v>8169</v>
      </c>
      <c r="F87" s="338">
        <v>250000</v>
      </c>
      <c r="G87" s="338" t="s">
        <v>3800</v>
      </c>
      <c r="H87" s="338"/>
      <c r="I87" s="329">
        <v>58.604545248532943</v>
      </c>
      <c r="J87" s="329"/>
      <c r="K87" s="338">
        <v>58.604545248532943</v>
      </c>
      <c r="L87" s="338"/>
      <c r="M87" s="338"/>
      <c r="N87" s="338"/>
      <c r="O87" s="338"/>
    </row>
    <row r="88" spans="1:15" hidden="1" outlineLevel="2" x14ac:dyDescent="0.35">
      <c r="A88" s="425" t="s">
        <v>7887</v>
      </c>
      <c r="B88" s="327">
        <v>44165</v>
      </c>
      <c r="C88" s="426" t="s">
        <v>8170</v>
      </c>
      <c r="D88" s="427" t="s">
        <v>8171</v>
      </c>
      <c r="E88" s="426" t="s">
        <v>8172</v>
      </c>
      <c r="F88" s="338">
        <v>720000</v>
      </c>
      <c r="G88" s="338" t="s">
        <v>3800</v>
      </c>
      <c r="H88" s="338"/>
      <c r="I88" s="329">
        <v>168.78109031577486</v>
      </c>
      <c r="J88" s="329"/>
      <c r="K88" s="338">
        <v>168.78109031577486</v>
      </c>
      <c r="L88" s="338"/>
      <c r="M88" s="338"/>
      <c r="N88" s="338"/>
      <c r="O88" s="338"/>
    </row>
    <row r="89" spans="1:15" hidden="1" outlineLevel="2" x14ac:dyDescent="0.35">
      <c r="A89" s="425" t="s">
        <v>7887</v>
      </c>
      <c r="B89" s="327">
        <v>44165</v>
      </c>
      <c r="C89" s="426" t="s">
        <v>8173</v>
      </c>
      <c r="D89" s="427" t="s">
        <v>8171</v>
      </c>
      <c r="E89" s="426" t="s">
        <v>8172</v>
      </c>
      <c r="F89" s="338">
        <v>80000</v>
      </c>
      <c r="G89" s="338" t="s">
        <v>3800</v>
      </c>
      <c r="H89" s="338"/>
      <c r="I89" s="329">
        <v>18.753454479530543</v>
      </c>
      <c r="J89" s="329"/>
      <c r="K89" s="338">
        <v>18.753454479530543</v>
      </c>
      <c r="L89" s="338"/>
      <c r="M89" s="338"/>
      <c r="N89" s="338"/>
      <c r="O89" s="338"/>
    </row>
    <row r="90" spans="1:15" hidden="1" outlineLevel="2" x14ac:dyDescent="0.35">
      <c r="A90" s="425" t="s">
        <v>7887</v>
      </c>
      <c r="B90" s="327">
        <v>44165</v>
      </c>
      <c r="C90" s="426" t="s">
        <v>8174</v>
      </c>
      <c r="D90" s="427" t="s">
        <v>8175</v>
      </c>
      <c r="E90" s="426" t="s">
        <v>6620</v>
      </c>
      <c r="F90" s="338">
        <v>720000</v>
      </c>
      <c r="G90" s="338" t="s">
        <v>3800</v>
      </c>
      <c r="H90" s="338"/>
      <c r="I90" s="329">
        <v>168.78109031577486</v>
      </c>
      <c r="J90" s="329"/>
      <c r="K90" s="338">
        <v>168.78109031577486</v>
      </c>
      <c r="L90" s="338"/>
      <c r="M90" s="338"/>
      <c r="N90" s="338"/>
      <c r="O90" s="338"/>
    </row>
    <row r="91" spans="1:15" hidden="1" outlineLevel="2" x14ac:dyDescent="0.35">
      <c r="A91" s="425" t="s">
        <v>7887</v>
      </c>
      <c r="B91" s="327">
        <v>44165</v>
      </c>
      <c r="C91" s="426" t="s">
        <v>8176</v>
      </c>
      <c r="D91" s="427" t="s">
        <v>8175</v>
      </c>
      <c r="E91" s="426" t="s">
        <v>8164</v>
      </c>
      <c r="F91" s="338">
        <v>50000</v>
      </c>
      <c r="G91" s="338" t="s">
        <v>3800</v>
      </c>
      <c r="H91" s="338"/>
      <c r="I91" s="329">
        <v>11.720909049706588</v>
      </c>
      <c r="J91" s="329"/>
      <c r="K91" s="338">
        <v>11.720909049706588</v>
      </c>
      <c r="L91" s="338"/>
      <c r="M91" s="338"/>
      <c r="N91" s="338"/>
      <c r="O91" s="338"/>
    </row>
    <row r="92" spans="1:15" hidden="1" outlineLevel="2" x14ac:dyDescent="0.35">
      <c r="A92" s="425" t="s">
        <v>7887</v>
      </c>
      <c r="B92" s="327">
        <v>44165</v>
      </c>
      <c r="C92" s="426" t="s">
        <v>8177</v>
      </c>
      <c r="D92" s="427" t="s">
        <v>8178</v>
      </c>
      <c r="E92" s="426" t="s">
        <v>6620</v>
      </c>
      <c r="F92" s="338">
        <v>1920000</v>
      </c>
      <c r="G92" s="338" t="s">
        <v>3800</v>
      </c>
      <c r="H92" s="338"/>
      <c r="I92" s="329">
        <v>450.082907508733</v>
      </c>
      <c r="J92" s="329"/>
      <c r="K92" s="338">
        <v>450.082907508733</v>
      </c>
      <c r="L92" s="338"/>
      <c r="M92" s="338"/>
      <c r="N92" s="338"/>
      <c r="O92" s="338"/>
    </row>
    <row r="93" spans="1:15" hidden="1" outlineLevel="2" x14ac:dyDescent="0.35">
      <c r="A93" s="425" t="s">
        <v>7887</v>
      </c>
      <c r="B93" s="327">
        <v>44165</v>
      </c>
      <c r="C93" s="426" t="s">
        <v>8179</v>
      </c>
      <c r="D93" s="427" t="s">
        <v>8178</v>
      </c>
      <c r="E93" s="426" t="s">
        <v>8164</v>
      </c>
      <c r="F93" s="338">
        <v>40000</v>
      </c>
      <c r="G93" s="338" t="s">
        <v>3800</v>
      </c>
      <c r="H93" s="338"/>
      <c r="I93" s="329">
        <v>9.3767272397652714</v>
      </c>
      <c r="J93" s="329"/>
      <c r="K93" s="338">
        <v>9.3767272397652714</v>
      </c>
      <c r="L93" s="338"/>
      <c r="M93" s="338"/>
      <c r="N93" s="338"/>
      <c r="O93" s="338"/>
    </row>
    <row r="94" spans="1:15" outlineLevel="1" collapsed="1" x14ac:dyDescent="0.35">
      <c r="A94" s="432" t="s">
        <v>8180</v>
      </c>
      <c r="B94" s="327"/>
      <c r="C94" s="426"/>
      <c r="D94" s="427"/>
      <c r="E94" s="426"/>
      <c r="F94" s="338"/>
      <c r="G94" s="338"/>
      <c r="H94" s="338"/>
      <c r="I94" s="329">
        <f t="shared" ref="I94:O94" si="8">SUBTOTAL(9,I75:I93)</f>
        <v>20994.598934501362</v>
      </c>
      <c r="J94" s="329"/>
      <c r="K94" s="338">
        <f t="shared" si="8"/>
        <v>20994.598934501362</v>
      </c>
      <c r="L94" s="338">
        <f t="shared" si="8"/>
        <v>0</v>
      </c>
      <c r="M94" s="338">
        <f t="shared" si="8"/>
        <v>0</v>
      </c>
      <c r="N94" s="338">
        <f t="shared" si="8"/>
        <v>0</v>
      </c>
      <c r="O94" s="338">
        <f t="shared" si="8"/>
        <v>0</v>
      </c>
    </row>
    <row r="95" spans="1:15" hidden="1" outlineLevel="2" x14ac:dyDescent="0.35">
      <c r="A95" s="425" t="s">
        <v>7918</v>
      </c>
      <c r="B95" s="327">
        <v>44541</v>
      </c>
      <c r="C95" s="426" t="s">
        <v>8181</v>
      </c>
      <c r="D95" s="427" t="s">
        <v>8182</v>
      </c>
      <c r="E95" s="426" t="s">
        <v>8183</v>
      </c>
      <c r="F95" s="338">
        <v>1445000</v>
      </c>
      <c r="G95" s="338" t="s">
        <v>3800</v>
      </c>
      <c r="H95" s="338"/>
      <c r="I95" s="329">
        <v>344.49259849697677</v>
      </c>
      <c r="J95" s="329"/>
      <c r="K95" s="338"/>
      <c r="L95" s="338">
        <v>344.49259849697677</v>
      </c>
      <c r="M95" s="338"/>
      <c r="N95" s="338"/>
      <c r="O95" s="338"/>
    </row>
    <row r="96" spans="1:15" hidden="1" outlineLevel="2" x14ac:dyDescent="0.35">
      <c r="A96" s="425" t="s">
        <v>7918</v>
      </c>
      <c r="B96" s="327">
        <v>44541</v>
      </c>
      <c r="C96" s="426" t="s">
        <v>8184</v>
      </c>
      <c r="D96" s="427" t="s">
        <v>8182</v>
      </c>
      <c r="E96" s="426" t="s">
        <v>8185</v>
      </c>
      <c r="F96" s="338">
        <v>1060000</v>
      </c>
      <c r="G96" s="338" t="s">
        <v>3800</v>
      </c>
      <c r="H96" s="338"/>
      <c r="I96" s="329">
        <v>252.7073732918999</v>
      </c>
      <c r="J96" s="329"/>
      <c r="K96" s="338"/>
      <c r="L96" s="338">
        <v>252.7073732918999</v>
      </c>
      <c r="M96" s="338"/>
      <c r="N96" s="338"/>
      <c r="O96" s="338"/>
    </row>
    <row r="97" spans="1:15" hidden="1" outlineLevel="2" x14ac:dyDescent="0.35">
      <c r="A97" s="425" t="s">
        <v>7918</v>
      </c>
      <c r="B97" s="327">
        <v>44541</v>
      </c>
      <c r="C97" s="426" t="s">
        <v>8186</v>
      </c>
      <c r="D97" s="427" t="s">
        <v>8182</v>
      </c>
      <c r="E97" s="426" t="s">
        <v>8187</v>
      </c>
      <c r="F97" s="338">
        <v>835000</v>
      </c>
      <c r="G97" s="338" t="s">
        <v>3800</v>
      </c>
      <c r="H97" s="338"/>
      <c r="I97" s="329">
        <v>199.06665726295887</v>
      </c>
      <c r="J97" s="329"/>
      <c r="K97" s="338"/>
      <c r="L97" s="338">
        <v>199.06665726295887</v>
      </c>
      <c r="M97" s="338"/>
      <c r="N97" s="338"/>
      <c r="O97" s="338"/>
    </row>
    <row r="98" spans="1:15" hidden="1" outlineLevel="2" x14ac:dyDescent="0.35">
      <c r="A98" s="425" t="s">
        <v>7918</v>
      </c>
      <c r="B98" s="327">
        <v>44541</v>
      </c>
      <c r="C98" s="426" t="s">
        <v>8188</v>
      </c>
      <c r="D98" s="427" t="s">
        <v>8182</v>
      </c>
      <c r="E98" s="426" t="s">
        <v>8189</v>
      </c>
      <c r="F98" s="338">
        <v>625000</v>
      </c>
      <c r="G98" s="338" t="s">
        <v>3800</v>
      </c>
      <c r="H98" s="338"/>
      <c r="I98" s="329">
        <v>149.0019889692806</v>
      </c>
      <c r="J98" s="329"/>
      <c r="K98" s="338"/>
      <c r="L98" s="338">
        <v>149.0019889692806</v>
      </c>
      <c r="M98" s="338"/>
      <c r="N98" s="338"/>
      <c r="O98" s="338"/>
    </row>
    <row r="99" spans="1:15" hidden="1" outlineLevel="2" x14ac:dyDescent="0.35">
      <c r="A99" s="425" t="s">
        <v>7918</v>
      </c>
      <c r="B99" s="327">
        <v>44541</v>
      </c>
      <c r="C99" s="426" t="s">
        <v>8190</v>
      </c>
      <c r="D99" s="427" t="s">
        <v>8182</v>
      </c>
      <c r="E99" s="426" t="s">
        <v>8191</v>
      </c>
      <c r="F99" s="338">
        <v>1020000</v>
      </c>
      <c r="G99" s="338" t="s">
        <v>3800</v>
      </c>
      <c r="H99" s="338"/>
      <c r="I99" s="329">
        <v>243.17124599786592</v>
      </c>
      <c r="J99" s="329"/>
      <c r="K99" s="338"/>
      <c r="L99" s="338">
        <v>243.17124599786592</v>
      </c>
      <c r="M99" s="338"/>
      <c r="N99" s="338"/>
      <c r="O99" s="338"/>
    </row>
    <row r="100" spans="1:15" hidden="1" outlineLevel="2" x14ac:dyDescent="0.35">
      <c r="A100" s="428" t="s">
        <v>7918</v>
      </c>
      <c r="B100" s="331">
        <v>44541</v>
      </c>
      <c r="C100" s="429" t="s">
        <v>8192</v>
      </c>
      <c r="D100" s="430" t="s">
        <v>8182</v>
      </c>
      <c r="E100" s="429" t="s">
        <v>8193</v>
      </c>
      <c r="F100" s="336">
        <v>780000</v>
      </c>
      <c r="G100" s="338" t="s">
        <v>3800</v>
      </c>
      <c r="H100" s="338"/>
      <c r="I100" s="329">
        <v>185.95448223366219</v>
      </c>
      <c r="J100" s="329"/>
      <c r="K100" s="338"/>
      <c r="L100" s="338">
        <v>185.95448223366219</v>
      </c>
      <c r="M100" s="338"/>
      <c r="N100" s="338"/>
      <c r="O100" s="336"/>
    </row>
    <row r="101" spans="1:15" hidden="1" outlineLevel="2" x14ac:dyDescent="0.35">
      <c r="A101" s="433" t="s">
        <v>7918</v>
      </c>
      <c r="B101" s="344">
        <v>44541</v>
      </c>
      <c r="C101" s="434" t="s">
        <v>8194</v>
      </c>
      <c r="D101" s="435" t="s">
        <v>8182</v>
      </c>
      <c r="E101" s="434" t="s">
        <v>8030</v>
      </c>
      <c r="F101" s="346">
        <v>625000</v>
      </c>
      <c r="G101" s="338" t="s">
        <v>3800</v>
      </c>
      <c r="H101" s="338"/>
      <c r="I101" s="329">
        <v>149.0019889692806</v>
      </c>
      <c r="J101" s="329"/>
      <c r="K101" s="338"/>
      <c r="L101" s="338">
        <v>149.0019889692806</v>
      </c>
      <c r="M101" s="338"/>
      <c r="N101" s="338"/>
      <c r="O101" s="346"/>
    </row>
    <row r="102" spans="1:15" hidden="1" outlineLevel="2" x14ac:dyDescent="0.35">
      <c r="A102" s="433" t="s">
        <v>7918</v>
      </c>
      <c r="B102" s="344">
        <v>44541</v>
      </c>
      <c r="C102" s="434" t="s">
        <v>8195</v>
      </c>
      <c r="D102" s="435" t="s">
        <v>8182</v>
      </c>
      <c r="E102" s="434" t="s">
        <v>8196</v>
      </c>
      <c r="F102" s="346">
        <v>1030000</v>
      </c>
      <c r="G102" s="338" t="s">
        <v>3800</v>
      </c>
      <c r="H102" s="338"/>
      <c r="I102" s="329">
        <v>245.55527782137443</v>
      </c>
      <c r="J102" s="329"/>
      <c r="K102" s="338"/>
      <c r="L102" s="338">
        <v>245.55527782137443</v>
      </c>
      <c r="M102" s="338"/>
      <c r="N102" s="338"/>
      <c r="O102" s="346"/>
    </row>
    <row r="103" spans="1:15" hidden="1" outlineLevel="2" x14ac:dyDescent="0.35">
      <c r="A103" s="433" t="s">
        <v>7918</v>
      </c>
      <c r="B103" s="344">
        <v>44541</v>
      </c>
      <c r="C103" s="434" t="s">
        <v>8197</v>
      </c>
      <c r="D103" s="435" t="s">
        <v>8182</v>
      </c>
      <c r="E103" s="434" t="s">
        <v>8198</v>
      </c>
      <c r="F103" s="346">
        <v>780000</v>
      </c>
      <c r="G103" s="338" t="s">
        <v>3800</v>
      </c>
      <c r="H103" s="338"/>
      <c r="I103" s="329">
        <v>185.95448223366219</v>
      </c>
      <c r="J103" s="329"/>
      <c r="K103" s="338"/>
      <c r="L103" s="338">
        <v>185.95448223366219</v>
      </c>
      <c r="M103" s="338"/>
      <c r="N103" s="338"/>
      <c r="O103" s="346"/>
    </row>
    <row r="104" spans="1:15" hidden="1" outlineLevel="2" x14ac:dyDescent="0.35">
      <c r="A104" s="433" t="s">
        <v>7918</v>
      </c>
      <c r="B104" s="344">
        <v>44541</v>
      </c>
      <c r="C104" s="434" t="s">
        <v>8199</v>
      </c>
      <c r="D104" s="435" t="s">
        <v>8182</v>
      </c>
      <c r="E104" s="434" t="s">
        <v>8200</v>
      </c>
      <c r="F104" s="346">
        <v>1000000</v>
      </c>
      <c r="G104" s="338" t="s">
        <v>3800</v>
      </c>
      <c r="H104" s="338"/>
      <c r="I104" s="329">
        <v>238.40318235084897</v>
      </c>
      <c r="J104" s="329"/>
      <c r="K104" s="338"/>
      <c r="L104" s="338">
        <v>238.40318235084897</v>
      </c>
      <c r="M104" s="338"/>
      <c r="N104" s="338"/>
      <c r="O104" s="346"/>
    </row>
    <row r="105" spans="1:15" hidden="1" outlineLevel="2" x14ac:dyDescent="0.35">
      <c r="A105" s="433" t="s">
        <v>7918</v>
      </c>
      <c r="B105" s="344">
        <v>44549</v>
      </c>
      <c r="C105" s="434" t="s">
        <v>8201</v>
      </c>
      <c r="D105" s="435" t="s">
        <v>8182</v>
      </c>
      <c r="E105" s="434" t="s">
        <v>8202</v>
      </c>
      <c r="F105" s="346">
        <v>1020000</v>
      </c>
      <c r="G105" s="338" t="s">
        <v>3800</v>
      </c>
      <c r="H105" s="338"/>
      <c r="I105" s="329">
        <v>243.17124599786592</v>
      </c>
      <c r="J105" s="329"/>
      <c r="K105" s="338"/>
      <c r="L105" s="338">
        <v>243.17124599786592</v>
      </c>
      <c r="M105" s="338"/>
      <c r="N105" s="338"/>
      <c r="O105" s="346"/>
    </row>
    <row r="106" spans="1:15" hidden="1" outlineLevel="2" x14ac:dyDescent="0.35">
      <c r="A106" s="433" t="s">
        <v>7918</v>
      </c>
      <c r="B106" s="344">
        <v>44549</v>
      </c>
      <c r="C106" s="434" t="s">
        <v>8203</v>
      </c>
      <c r="D106" s="435" t="s">
        <v>8182</v>
      </c>
      <c r="E106" s="434" t="s">
        <v>8204</v>
      </c>
      <c r="F106" s="346">
        <v>1055000</v>
      </c>
      <c r="G106" s="338" t="s">
        <v>3800</v>
      </c>
      <c r="H106" s="338"/>
      <c r="I106" s="329">
        <v>251.51535738014564</v>
      </c>
      <c r="J106" s="329"/>
      <c r="K106" s="338"/>
      <c r="L106" s="338">
        <v>251.51535738014564</v>
      </c>
      <c r="M106" s="338"/>
      <c r="N106" s="338"/>
      <c r="O106" s="346"/>
    </row>
    <row r="107" spans="1:15" hidden="1" outlineLevel="2" x14ac:dyDescent="0.35">
      <c r="A107" s="433" t="s">
        <v>7918</v>
      </c>
      <c r="B107" s="344">
        <v>44549</v>
      </c>
      <c r="C107" s="434" t="s">
        <v>8205</v>
      </c>
      <c r="D107" s="435" t="s">
        <v>8182</v>
      </c>
      <c r="E107" s="434" t="s">
        <v>8206</v>
      </c>
      <c r="F107" s="346">
        <v>780000</v>
      </c>
      <c r="G107" s="338" t="s">
        <v>3800</v>
      </c>
      <c r="H107" s="338"/>
      <c r="I107" s="329">
        <v>185.95448223366219</v>
      </c>
      <c r="J107" s="329"/>
      <c r="K107" s="338"/>
      <c r="L107" s="338">
        <v>185.95448223366219</v>
      </c>
      <c r="M107" s="338"/>
      <c r="N107" s="338"/>
      <c r="O107" s="346"/>
    </row>
    <row r="108" spans="1:15" hidden="1" outlineLevel="2" x14ac:dyDescent="0.35">
      <c r="A108" s="433" t="s">
        <v>7918</v>
      </c>
      <c r="B108" s="344">
        <v>44549</v>
      </c>
      <c r="C108" s="434" t="s">
        <v>8207</v>
      </c>
      <c r="D108" s="435" t="s">
        <v>8182</v>
      </c>
      <c r="E108" s="434" t="s">
        <v>8208</v>
      </c>
      <c r="F108" s="346">
        <v>780000</v>
      </c>
      <c r="G108" s="338" t="s">
        <v>3800</v>
      </c>
      <c r="H108" s="338"/>
      <c r="I108" s="329">
        <v>185.95448223366219</v>
      </c>
      <c r="J108" s="329"/>
      <c r="K108" s="338"/>
      <c r="L108" s="338">
        <v>185.95448223366219</v>
      </c>
      <c r="M108" s="338"/>
      <c r="N108" s="338"/>
      <c r="O108" s="346"/>
    </row>
    <row r="109" spans="1:15" hidden="1" outlineLevel="2" x14ac:dyDescent="0.35">
      <c r="A109" s="433" t="s">
        <v>7918</v>
      </c>
      <c r="B109" s="344">
        <v>44549</v>
      </c>
      <c r="C109" s="434" t="s">
        <v>8209</v>
      </c>
      <c r="D109" s="435" t="s">
        <v>8182</v>
      </c>
      <c r="E109" s="434" t="s">
        <v>8210</v>
      </c>
      <c r="F109" s="346">
        <v>845000</v>
      </c>
      <c r="G109" s="338" t="s">
        <v>3800</v>
      </c>
      <c r="H109" s="338"/>
      <c r="I109" s="329">
        <v>201.45068908646738</v>
      </c>
      <c r="J109" s="329"/>
      <c r="K109" s="338"/>
      <c r="L109" s="338">
        <v>201.45068908646738</v>
      </c>
      <c r="M109" s="338"/>
      <c r="N109" s="338"/>
      <c r="O109" s="346"/>
    </row>
    <row r="110" spans="1:15" outlineLevel="1" collapsed="1" x14ac:dyDescent="0.35">
      <c r="A110" s="436" t="s">
        <v>8211</v>
      </c>
      <c r="B110" s="344"/>
      <c r="C110" s="434"/>
      <c r="D110" s="435"/>
      <c r="E110" s="434"/>
      <c r="F110" s="346"/>
      <c r="G110" s="338"/>
      <c r="H110" s="338"/>
      <c r="I110" s="329">
        <f t="shared" ref="I110:O110" si="9">SUBTOTAL(9,I95:I109)</f>
        <v>3261.3555345596133</v>
      </c>
      <c r="J110" s="329"/>
      <c r="K110" s="338">
        <f t="shared" si="9"/>
        <v>0</v>
      </c>
      <c r="L110" s="338">
        <f t="shared" si="9"/>
        <v>3261.3555345596133</v>
      </c>
      <c r="M110" s="338">
        <f t="shared" si="9"/>
        <v>0</v>
      </c>
      <c r="N110" s="338">
        <f t="shared" si="9"/>
        <v>0</v>
      </c>
      <c r="O110" s="346">
        <f t="shared" si="9"/>
        <v>0</v>
      </c>
    </row>
    <row r="111" spans="1:15" hidden="1" outlineLevel="2" x14ac:dyDescent="0.35">
      <c r="A111" s="433" t="s">
        <v>7907</v>
      </c>
      <c r="B111" s="344">
        <v>44186</v>
      </c>
      <c r="C111" s="434" t="s">
        <v>8212</v>
      </c>
      <c r="D111" s="435" t="s">
        <v>8213</v>
      </c>
      <c r="E111" s="434" t="s">
        <v>8144</v>
      </c>
      <c r="F111" s="346">
        <v>300000</v>
      </c>
      <c r="G111" s="338" t="s">
        <v>3800</v>
      </c>
      <c r="H111" s="338"/>
      <c r="I111" s="329">
        <v>70.325454298239535</v>
      </c>
      <c r="J111" s="329"/>
      <c r="K111" s="338"/>
      <c r="L111" s="338">
        <v>70.325454298239535</v>
      </c>
      <c r="M111" s="338"/>
      <c r="N111" s="338"/>
      <c r="O111" s="346"/>
    </row>
    <row r="112" spans="1:15" hidden="1" outlineLevel="2" x14ac:dyDescent="0.35">
      <c r="A112" s="433" t="s">
        <v>7907</v>
      </c>
      <c r="B112" s="344">
        <v>44186</v>
      </c>
      <c r="C112" s="434" t="s">
        <v>8214</v>
      </c>
      <c r="D112" s="435" t="s">
        <v>8215</v>
      </c>
      <c r="E112" s="434" t="s">
        <v>8216</v>
      </c>
      <c r="F112" s="346">
        <v>290000</v>
      </c>
      <c r="G112" s="338" t="s">
        <v>3800</v>
      </c>
      <c r="H112" s="338"/>
      <c r="I112" s="329">
        <v>67.981272488298217</v>
      </c>
      <c r="J112" s="329"/>
      <c r="K112" s="338"/>
      <c r="L112" s="338">
        <v>67.981272488298217</v>
      </c>
      <c r="M112" s="338"/>
      <c r="N112" s="338"/>
      <c r="O112" s="346"/>
    </row>
    <row r="113" spans="1:15" hidden="1" outlineLevel="2" x14ac:dyDescent="0.35">
      <c r="A113" s="433" t="s">
        <v>7907</v>
      </c>
      <c r="B113" s="344">
        <v>44186</v>
      </c>
      <c r="C113" s="434" t="s">
        <v>8217</v>
      </c>
      <c r="D113" s="435" t="s">
        <v>8215</v>
      </c>
      <c r="E113" s="434" t="s">
        <v>8218</v>
      </c>
      <c r="F113" s="346">
        <v>15000</v>
      </c>
      <c r="G113" s="338" t="s">
        <v>3800</v>
      </c>
      <c r="H113" s="338"/>
      <c r="I113" s="329">
        <v>3.5162727149119766</v>
      </c>
      <c r="J113" s="329"/>
      <c r="K113" s="338"/>
      <c r="L113" s="338">
        <v>3.5162727149119766</v>
      </c>
      <c r="M113" s="338"/>
      <c r="N113" s="338"/>
      <c r="O113" s="346"/>
    </row>
    <row r="114" spans="1:15" hidden="1" outlineLevel="2" x14ac:dyDescent="0.35">
      <c r="A114" s="433" t="s">
        <v>7907</v>
      </c>
      <c r="B114" s="344">
        <v>44186</v>
      </c>
      <c r="C114" s="434" t="s">
        <v>8219</v>
      </c>
      <c r="D114" s="435" t="s">
        <v>8215</v>
      </c>
      <c r="E114" s="434" t="s">
        <v>8220</v>
      </c>
      <c r="F114" s="346">
        <v>40000</v>
      </c>
      <c r="G114" s="338" t="s">
        <v>3800</v>
      </c>
      <c r="H114" s="338"/>
      <c r="I114" s="329">
        <v>9.3767272397652714</v>
      </c>
      <c r="J114" s="329"/>
      <c r="K114" s="338"/>
      <c r="L114" s="338">
        <v>9.3767272397652714</v>
      </c>
      <c r="M114" s="338"/>
      <c r="N114" s="338"/>
      <c r="O114" s="346"/>
    </row>
    <row r="115" spans="1:15" hidden="1" outlineLevel="2" x14ac:dyDescent="0.35">
      <c r="A115" s="433" t="s">
        <v>7907</v>
      </c>
      <c r="B115" s="344">
        <v>44186</v>
      </c>
      <c r="C115" s="434" t="s">
        <v>8221</v>
      </c>
      <c r="D115" s="435" t="s">
        <v>8215</v>
      </c>
      <c r="E115" s="434" t="s">
        <v>8172</v>
      </c>
      <c r="F115" s="346">
        <v>210000</v>
      </c>
      <c r="G115" s="338" t="s">
        <v>3800</v>
      </c>
      <c r="H115" s="338"/>
      <c r="I115" s="329">
        <v>49.22781800876767</v>
      </c>
      <c r="J115" s="329"/>
      <c r="K115" s="338"/>
      <c r="L115" s="338">
        <v>49.22781800876767</v>
      </c>
      <c r="M115" s="338"/>
      <c r="N115" s="338"/>
      <c r="O115" s="346"/>
    </row>
    <row r="116" spans="1:15" hidden="1" outlineLevel="2" x14ac:dyDescent="0.35">
      <c r="A116" s="433" t="s">
        <v>7907</v>
      </c>
      <c r="B116" s="344">
        <v>44186</v>
      </c>
      <c r="C116" s="434" t="s">
        <v>8222</v>
      </c>
      <c r="D116" s="435" t="s">
        <v>8215</v>
      </c>
      <c r="E116" s="434" t="s">
        <v>8223</v>
      </c>
      <c r="F116" s="346">
        <v>50000</v>
      </c>
      <c r="G116" s="338" t="s">
        <v>3800</v>
      </c>
      <c r="H116" s="338"/>
      <c r="I116" s="329">
        <v>11.720909049706588</v>
      </c>
      <c r="J116" s="329"/>
      <c r="K116" s="338"/>
      <c r="L116" s="338">
        <v>11.720909049706588</v>
      </c>
      <c r="M116" s="338"/>
      <c r="N116" s="338"/>
      <c r="O116" s="346"/>
    </row>
    <row r="117" spans="1:15" hidden="1" outlineLevel="2" x14ac:dyDescent="0.35">
      <c r="A117" s="433" t="s">
        <v>7907</v>
      </c>
      <c r="B117" s="344">
        <v>44186</v>
      </c>
      <c r="C117" s="434" t="s">
        <v>8224</v>
      </c>
      <c r="D117" s="435" t="s">
        <v>8215</v>
      </c>
      <c r="E117" s="434" t="s">
        <v>8225</v>
      </c>
      <c r="F117" s="346">
        <v>115000</v>
      </c>
      <c r="G117" s="338" t="s">
        <v>3800</v>
      </c>
      <c r="H117" s="338"/>
      <c r="I117" s="329">
        <v>26.958090814325153</v>
      </c>
      <c r="J117" s="329"/>
      <c r="K117" s="338"/>
      <c r="L117" s="338">
        <v>26.958090814325153</v>
      </c>
      <c r="M117" s="338"/>
      <c r="N117" s="338"/>
      <c r="O117" s="346"/>
    </row>
    <row r="118" spans="1:15" hidden="1" outlineLevel="2" x14ac:dyDescent="0.35">
      <c r="A118" s="433" t="s">
        <v>7907</v>
      </c>
      <c r="B118" s="344">
        <v>44186</v>
      </c>
      <c r="C118" s="434" t="s">
        <v>8226</v>
      </c>
      <c r="D118" s="435" t="s">
        <v>8215</v>
      </c>
      <c r="E118" s="434" t="s">
        <v>8164</v>
      </c>
      <c r="F118" s="346">
        <v>925000</v>
      </c>
      <c r="G118" s="338" t="s">
        <v>3800</v>
      </c>
      <c r="H118" s="338"/>
      <c r="I118" s="329">
        <v>216.83681741957187</v>
      </c>
      <c r="J118" s="329"/>
      <c r="K118" s="338"/>
      <c r="L118" s="338">
        <v>216.83681741957187</v>
      </c>
      <c r="M118" s="338"/>
      <c r="N118" s="338"/>
      <c r="O118" s="346"/>
    </row>
    <row r="119" spans="1:15" hidden="1" outlineLevel="2" x14ac:dyDescent="0.35">
      <c r="A119" s="433" t="s">
        <v>7907</v>
      </c>
      <c r="B119" s="344">
        <v>44186</v>
      </c>
      <c r="C119" s="434" t="s">
        <v>8227</v>
      </c>
      <c r="D119" s="435" t="s">
        <v>8215</v>
      </c>
      <c r="E119" s="434" t="s">
        <v>8228</v>
      </c>
      <c r="F119" s="346">
        <v>100000</v>
      </c>
      <c r="G119" s="338" t="s">
        <v>3800</v>
      </c>
      <c r="H119" s="338"/>
      <c r="I119" s="329">
        <v>23.441818099413176</v>
      </c>
      <c r="J119" s="329"/>
      <c r="K119" s="338"/>
      <c r="L119" s="338">
        <v>23.441818099413176</v>
      </c>
      <c r="M119" s="338"/>
      <c r="N119" s="338"/>
      <c r="O119" s="346"/>
    </row>
    <row r="120" spans="1:15" hidden="1" outlineLevel="2" x14ac:dyDescent="0.35">
      <c r="A120" s="433" t="s">
        <v>7907</v>
      </c>
      <c r="B120" s="344">
        <v>44186</v>
      </c>
      <c r="C120" s="434" t="s">
        <v>8229</v>
      </c>
      <c r="D120" s="435" t="s">
        <v>8230</v>
      </c>
      <c r="E120" s="434" t="s">
        <v>8231</v>
      </c>
      <c r="F120" s="346">
        <v>294500</v>
      </c>
      <c r="G120" s="338" t="s">
        <v>3800</v>
      </c>
      <c r="H120" s="338"/>
      <c r="I120" s="329">
        <v>69.036154302771806</v>
      </c>
      <c r="J120" s="329"/>
      <c r="K120" s="338"/>
      <c r="L120" s="338">
        <v>69.036154302771806</v>
      </c>
      <c r="M120" s="338"/>
      <c r="N120" s="338"/>
      <c r="O120" s="346"/>
    </row>
    <row r="121" spans="1:15" hidden="1" outlineLevel="2" x14ac:dyDescent="0.35">
      <c r="A121" s="433" t="s">
        <v>7907</v>
      </c>
      <c r="B121" s="344">
        <v>44186</v>
      </c>
      <c r="C121" s="434" t="s">
        <v>8229</v>
      </c>
      <c r="D121" s="435" t="s">
        <v>8230</v>
      </c>
      <c r="E121" s="434" t="s">
        <v>8232</v>
      </c>
      <c r="F121" s="346">
        <v>100000</v>
      </c>
      <c r="G121" s="338" t="s">
        <v>3800</v>
      </c>
      <c r="H121" s="338"/>
      <c r="I121" s="329">
        <v>23.441818099413176</v>
      </c>
      <c r="J121" s="329"/>
      <c r="K121" s="338"/>
      <c r="L121" s="338">
        <v>23.441818099413176</v>
      </c>
      <c r="M121" s="338"/>
      <c r="N121" s="338"/>
      <c r="O121" s="346"/>
    </row>
    <row r="122" spans="1:15" hidden="1" outlineLevel="2" x14ac:dyDescent="0.35">
      <c r="A122" s="433" t="s">
        <v>7907</v>
      </c>
      <c r="B122" s="344">
        <v>44186</v>
      </c>
      <c r="C122" s="434" t="s">
        <v>8233</v>
      </c>
      <c r="D122" s="435" t="s">
        <v>8230</v>
      </c>
      <c r="E122" s="434" t="s">
        <v>8234</v>
      </c>
      <c r="F122" s="346">
        <v>50000</v>
      </c>
      <c r="G122" s="338" t="s">
        <v>3800</v>
      </c>
      <c r="H122" s="338"/>
      <c r="I122" s="329">
        <v>11.720909049706588</v>
      </c>
      <c r="J122" s="329"/>
      <c r="K122" s="338"/>
      <c r="L122" s="338">
        <v>11.720909049706588</v>
      </c>
      <c r="M122" s="338"/>
      <c r="N122" s="338"/>
      <c r="O122" s="346"/>
    </row>
    <row r="123" spans="1:15" hidden="1" outlineLevel="2" x14ac:dyDescent="0.35">
      <c r="A123" s="433" t="s">
        <v>7907</v>
      </c>
      <c r="B123" s="344">
        <v>44186</v>
      </c>
      <c r="C123" s="434" t="s">
        <v>8235</v>
      </c>
      <c r="D123" s="435" t="s">
        <v>8230</v>
      </c>
      <c r="E123" s="434" t="s">
        <v>8236</v>
      </c>
      <c r="F123" s="346">
        <v>125000</v>
      </c>
      <c r="G123" s="338" t="s">
        <v>3800</v>
      </c>
      <c r="H123" s="338"/>
      <c r="I123" s="329">
        <v>29.302272624266472</v>
      </c>
      <c r="J123" s="329"/>
      <c r="K123" s="338"/>
      <c r="L123" s="338">
        <v>29.302272624266472</v>
      </c>
      <c r="M123" s="338"/>
      <c r="N123" s="338"/>
      <c r="O123" s="346"/>
    </row>
    <row r="124" spans="1:15" hidden="1" outlineLevel="2" x14ac:dyDescent="0.35">
      <c r="A124" s="433" t="s">
        <v>7907</v>
      </c>
      <c r="B124" s="344">
        <v>44186</v>
      </c>
      <c r="C124" s="434" t="s">
        <v>8237</v>
      </c>
      <c r="D124" s="435" t="s">
        <v>8230</v>
      </c>
      <c r="E124" s="434" t="s">
        <v>8238</v>
      </c>
      <c r="F124" s="346">
        <v>30500</v>
      </c>
      <c r="G124" s="338" t="s">
        <v>3800</v>
      </c>
      <c r="H124" s="338"/>
      <c r="I124" s="329">
        <v>7.1497545203210189</v>
      </c>
      <c r="J124" s="329"/>
      <c r="K124" s="338"/>
      <c r="L124" s="338">
        <v>7.1497545203210189</v>
      </c>
      <c r="M124" s="338"/>
      <c r="N124" s="338"/>
      <c r="O124" s="346"/>
    </row>
    <row r="125" spans="1:15" hidden="1" outlineLevel="2" x14ac:dyDescent="0.35">
      <c r="A125" s="433" t="s">
        <v>7907</v>
      </c>
      <c r="B125" s="344">
        <v>44186</v>
      </c>
      <c r="C125" s="434" t="s">
        <v>8239</v>
      </c>
      <c r="D125" s="435" t="s">
        <v>8230</v>
      </c>
      <c r="E125" s="434" t="s">
        <v>8240</v>
      </c>
      <c r="F125" s="346">
        <v>60000</v>
      </c>
      <c r="G125" s="338" t="s">
        <v>3800</v>
      </c>
      <c r="H125" s="338"/>
      <c r="I125" s="329">
        <v>14.065090859647906</v>
      </c>
      <c r="J125" s="329"/>
      <c r="K125" s="338"/>
      <c r="L125" s="338">
        <v>14.065090859647906</v>
      </c>
      <c r="M125" s="338"/>
      <c r="N125" s="338"/>
      <c r="O125" s="346"/>
    </row>
    <row r="126" spans="1:15" hidden="1" outlineLevel="2" x14ac:dyDescent="0.35">
      <c r="A126" s="433" t="s">
        <v>7907</v>
      </c>
      <c r="B126" s="344">
        <v>44186</v>
      </c>
      <c r="C126" s="434" t="s">
        <v>8241</v>
      </c>
      <c r="D126" s="435" t="s">
        <v>8230</v>
      </c>
      <c r="E126" s="434" t="s">
        <v>6620</v>
      </c>
      <c r="F126" s="346">
        <v>120000</v>
      </c>
      <c r="G126" s="338" t="s">
        <v>3800</v>
      </c>
      <c r="H126" s="338"/>
      <c r="I126" s="329">
        <v>28.130181719295813</v>
      </c>
      <c r="J126" s="329"/>
      <c r="K126" s="338"/>
      <c r="L126" s="338">
        <v>28.130181719295813</v>
      </c>
      <c r="M126" s="338"/>
      <c r="N126" s="338"/>
      <c r="O126" s="346"/>
    </row>
    <row r="127" spans="1:15" hidden="1" outlineLevel="2" x14ac:dyDescent="0.35">
      <c r="A127" s="433" t="s">
        <v>7907</v>
      </c>
      <c r="B127" s="344">
        <v>44186</v>
      </c>
      <c r="C127" s="434" t="s">
        <v>8242</v>
      </c>
      <c r="D127" s="435" t="s">
        <v>8230</v>
      </c>
      <c r="E127" s="434" t="s">
        <v>8243</v>
      </c>
      <c r="F127" s="346">
        <v>30000</v>
      </c>
      <c r="G127" s="338" t="s">
        <v>3800</v>
      </c>
      <c r="H127" s="338"/>
      <c r="I127" s="329">
        <v>7.0325454298239531</v>
      </c>
      <c r="J127" s="329"/>
      <c r="K127" s="338"/>
      <c r="L127" s="338">
        <v>7.0325454298239531</v>
      </c>
      <c r="M127" s="338"/>
      <c r="N127" s="338"/>
      <c r="O127" s="346"/>
    </row>
    <row r="128" spans="1:15" hidden="1" outlineLevel="2" x14ac:dyDescent="0.35">
      <c r="A128" s="433" t="s">
        <v>7907</v>
      </c>
      <c r="B128" s="344">
        <v>44186</v>
      </c>
      <c r="C128" s="434" t="s">
        <v>8244</v>
      </c>
      <c r="D128" s="435" t="s">
        <v>8230</v>
      </c>
      <c r="E128" s="434" t="s">
        <v>8164</v>
      </c>
      <c r="F128" s="346">
        <v>850000</v>
      </c>
      <c r="G128" s="338" t="s">
        <v>3800</v>
      </c>
      <c r="H128" s="338"/>
      <c r="I128" s="329">
        <v>199.255453845012</v>
      </c>
      <c r="J128" s="329"/>
      <c r="K128" s="338"/>
      <c r="L128" s="338">
        <v>199.255453845012</v>
      </c>
      <c r="M128" s="338"/>
      <c r="N128" s="338"/>
      <c r="O128" s="346"/>
    </row>
    <row r="129" spans="1:15" outlineLevel="1" collapsed="1" x14ac:dyDescent="0.35">
      <c r="A129" s="436" t="s">
        <v>8245</v>
      </c>
      <c r="B129" s="344"/>
      <c r="C129" s="434"/>
      <c r="D129" s="435"/>
      <c r="E129" s="434"/>
      <c r="F129" s="346"/>
      <c r="G129" s="338"/>
      <c r="H129" s="338"/>
      <c r="I129" s="329">
        <f t="shared" ref="I129:O129" si="10">SUBTOTAL(9,I111:I128)</f>
        <v>868.51936058325805</v>
      </c>
      <c r="J129" s="329"/>
      <c r="K129" s="338">
        <f t="shared" si="10"/>
        <v>0</v>
      </c>
      <c r="L129" s="338">
        <f t="shared" si="10"/>
        <v>868.51936058325805</v>
      </c>
      <c r="M129" s="338">
        <f t="shared" si="10"/>
        <v>0</v>
      </c>
      <c r="N129" s="338">
        <f t="shared" si="10"/>
        <v>0</v>
      </c>
      <c r="O129" s="346">
        <f t="shared" si="10"/>
        <v>0</v>
      </c>
    </row>
    <row r="130" spans="1:15" hidden="1" outlineLevel="2" x14ac:dyDescent="0.35">
      <c r="A130" s="433" t="s">
        <v>7885</v>
      </c>
      <c r="B130" s="344">
        <v>44166</v>
      </c>
      <c r="C130" s="434" t="s">
        <v>8246</v>
      </c>
      <c r="D130" s="435" t="s">
        <v>8247</v>
      </c>
      <c r="E130" s="434" t="s">
        <v>8036</v>
      </c>
      <c r="F130" s="346">
        <v>960000</v>
      </c>
      <c r="G130" s="338" t="s">
        <v>3800</v>
      </c>
      <c r="H130" s="338"/>
      <c r="I130" s="329">
        <v>225.0414537543665</v>
      </c>
      <c r="J130" s="329"/>
      <c r="K130" s="338">
        <v>225.0414537543665</v>
      </c>
      <c r="L130" s="338"/>
      <c r="M130" s="338"/>
      <c r="N130" s="338"/>
      <c r="O130" s="346"/>
    </row>
    <row r="131" spans="1:15" hidden="1" outlineLevel="2" x14ac:dyDescent="0.35">
      <c r="A131" s="433" t="s">
        <v>7885</v>
      </c>
      <c r="B131" s="344">
        <v>44145</v>
      </c>
      <c r="C131" s="434" t="s">
        <v>8248</v>
      </c>
      <c r="D131" s="435" t="s">
        <v>8249</v>
      </c>
      <c r="E131" s="434" t="s">
        <v>8250</v>
      </c>
      <c r="F131" s="346">
        <v>6379520</v>
      </c>
      <c r="G131" s="338" t="s">
        <v>3800</v>
      </c>
      <c r="H131" s="338"/>
      <c r="I131" s="329">
        <v>1495.4754740156834</v>
      </c>
      <c r="J131" s="329"/>
      <c r="K131" s="338">
        <v>1495.4754740156834</v>
      </c>
      <c r="L131" s="338"/>
      <c r="M131" s="338"/>
      <c r="N131" s="338"/>
      <c r="O131" s="346"/>
    </row>
    <row r="132" spans="1:15" hidden="1" outlineLevel="2" x14ac:dyDescent="0.35">
      <c r="A132" s="433" t="s">
        <v>7885</v>
      </c>
      <c r="B132" s="344">
        <v>44165</v>
      </c>
      <c r="C132" s="434" t="s">
        <v>8251</v>
      </c>
      <c r="D132" s="435" t="s">
        <v>8252</v>
      </c>
      <c r="E132" s="434" t="s">
        <v>6620</v>
      </c>
      <c r="F132" s="346">
        <v>630000</v>
      </c>
      <c r="G132" s="338" t="s">
        <v>3800</v>
      </c>
      <c r="H132" s="338"/>
      <c r="I132" s="329">
        <v>147.68345402630302</v>
      </c>
      <c r="J132" s="329"/>
      <c r="K132" s="338">
        <v>147.68345402630302</v>
      </c>
      <c r="L132" s="338"/>
      <c r="M132" s="338"/>
      <c r="N132" s="338"/>
      <c r="O132" s="346"/>
    </row>
    <row r="133" spans="1:15" hidden="1" outlineLevel="2" x14ac:dyDescent="0.35">
      <c r="A133" s="433" t="s">
        <v>7885</v>
      </c>
      <c r="B133" s="344">
        <v>44134</v>
      </c>
      <c r="C133" s="434" t="s">
        <v>8253</v>
      </c>
      <c r="D133" s="435" t="s">
        <v>8252</v>
      </c>
      <c r="E133" s="434" t="s">
        <v>6620</v>
      </c>
      <c r="F133" s="346">
        <v>840000</v>
      </c>
      <c r="G133" s="338" t="s">
        <v>3800</v>
      </c>
      <c r="H133" s="338"/>
      <c r="I133" s="329">
        <v>196.91127203507068</v>
      </c>
      <c r="J133" s="329"/>
      <c r="K133" s="338">
        <v>196.91127203507068</v>
      </c>
      <c r="L133" s="338"/>
      <c r="M133" s="338"/>
      <c r="N133" s="338"/>
      <c r="O133" s="346"/>
    </row>
    <row r="134" spans="1:15" hidden="1" outlineLevel="2" x14ac:dyDescent="0.35">
      <c r="A134" s="433" t="s">
        <v>7885</v>
      </c>
      <c r="B134" s="344">
        <v>44134</v>
      </c>
      <c r="C134" s="434" t="s">
        <v>8254</v>
      </c>
      <c r="D134" s="435" t="s">
        <v>8252</v>
      </c>
      <c r="E134" s="434" t="s">
        <v>6620</v>
      </c>
      <c r="F134" s="346">
        <v>960000</v>
      </c>
      <c r="G134" s="338" t="s">
        <v>3800</v>
      </c>
      <c r="H134" s="338"/>
      <c r="I134" s="329">
        <v>225.0414537543665</v>
      </c>
      <c r="J134" s="329"/>
      <c r="K134" s="338">
        <v>225.0414537543665</v>
      </c>
      <c r="L134" s="338"/>
      <c r="M134" s="338"/>
      <c r="N134" s="338"/>
      <c r="O134" s="346"/>
    </row>
    <row r="135" spans="1:15" hidden="1" outlineLevel="2" x14ac:dyDescent="0.35">
      <c r="A135" s="433" t="s">
        <v>7885</v>
      </c>
      <c r="B135" s="344">
        <v>44134</v>
      </c>
      <c r="C135" s="434" t="s">
        <v>8255</v>
      </c>
      <c r="D135" s="435" t="s">
        <v>8252</v>
      </c>
      <c r="E135" s="434" t="s">
        <v>8256</v>
      </c>
      <c r="F135" s="346">
        <v>120000</v>
      </c>
      <c r="G135" s="338" t="s">
        <v>3800</v>
      </c>
      <c r="H135" s="338"/>
      <c r="I135" s="329">
        <v>28.130181719295813</v>
      </c>
      <c r="J135" s="329"/>
      <c r="K135" s="338">
        <v>28.130181719295813</v>
      </c>
      <c r="L135" s="338"/>
      <c r="M135" s="338"/>
      <c r="N135" s="338"/>
      <c r="O135" s="346"/>
    </row>
    <row r="136" spans="1:15" hidden="1" outlineLevel="2" x14ac:dyDescent="0.35">
      <c r="A136" s="433" t="s">
        <v>7885</v>
      </c>
      <c r="B136" s="344">
        <v>44134</v>
      </c>
      <c r="C136" s="434" t="s">
        <v>8257</v>
      </c>
      <c r="D136" s="435" t="s">
        <v>8252</v>
      </c>
      <c r="E136" s="434" t="s">
        <v>8258</v>
      </c>
      <c r="F136" s="346">
        <v>160000</v>
      </c>
      <c r="G136" s="338" t="s">
        <v>3800</v>
      </c>
      <c r="H136" s="338"/>
      <c r="I136" s="329">
        <v>37.506908959061086</v>
      </c>
      <c r="J136" s="329"/>
      <c r="K136" s="338">
        <v>37.506908959061086</v>
      </c>
      <c r="L136" s="338"/>
      <c r="M136" s="338"/>
      <c r="N136" s="338"/>
      <c r="O136" s="346"/>
    </row>
    <row r="137" spans="1:15" hidden="1" outlineLevel="2" x14ac:dyDescent="0.35">
      <c r="A137" s="433" t="s">
        <v>7885</v>
      </c>
      <c r="B137" s="344">
        <v>44145</v>
      </c>
      <c r="C137" s="434" t="s">
        <v>8259</v>
      </c>
      <c r="D137" s="435" t="s">
        <v>8260</v>
      </c>
      <c r="E137" s="434" t="s">
        <v>8057</v>
      </c>
      <c r="F137" s="346">
        <v>341760</v>
      </c>
      <c r="G137" s="338" t="s">
        <v>3800</v>
      </c>
      <c r="H137" s="338"/>
      <c r="I137" s="329">
        <v>80.114757536554478</v>
      </c>
      <c r="J137" s="329"/>
      <c r="K137" s="338">
        <v>80.114757536554478</v>
      </c>
      <c r="L137" s="338"/>
      <c r="M137" s="338"/>
      <c r="N137" s="338"/>
      <c r="O137" s="346"/>
    </row>
    <row r="138" spans="1:15" hidden="1" outlineLevel="2" x14ac:dyDescent="0.35">
      <c r="A138" s="433" t="s">
        <v>7885</v>
      </c>
      <c r="B138" s="344">
        <v>44562</v>
      </c>
      <c r="C138" s="434" t="s">
        <v>8261</v>
      </c>
      <c r="D138" s="435" t="s">
        <v>8262</v>
      </c>
      <c r="E138" s="434" t="s">
        <v>8153</v>
      </c>
      <c r="F138" s="346">
        <v>6540000</v>
      </c>
      <c r="G138" s="338" t="s">
        <v>3800</v>
      </c>
      <c r="H138" s="338"/>
      <c r="I138" s="329">
        <v>1559.1568125745521</v>
      </c>
      <c r="J138" s="329"/>
      <c r="K138" s="338">
        <v>1559.1568125745521</v>
      </c>
      <c r="L138" s="338"/>
      <c r="M138" s="338"/>
      <c r="N138" s="338"/>
      <c r="O138" s="346"/>
    </row>
    <row r="139" spans="1:15" outlineLevel="1" collapsed="1" x14ac:dyDescent="0.35">
      <c r="A139" s="436" t="s">
        <v>8263</v>
      </c>
      <c r="B139" s="344"/>
      <c r="C139" s="434"/>
      <c r="D139" s="435"/>
      <c r="E139" s="434"/>
      <c r="F139" s="346"/>
      <c r="G139" s="338"/>
      <c r="H139" s="338"/>
      <c r="I139" s="329">
        <f t="shared" ref="I139:O139" si="11">SUBTOTAL(9,I130:I138)</f>
        <v>3995.0617683752535</v>
      </c>
      <c r="J139" s="329"/>
      <c r="K139" s="338">
        <f t="shared" si="11"/>
        <v>3995.0617683752535</v>
      </c>
      <c r="L139" s="338">
        <f t="shared" si="11"/>
        <v>0</v>
      </c>
      <c r="M139" s="338">
        <f t="shared" si="11"/>
        <v>0</v>
      </c>
      <c r="N139" s="338">
        <f t="shared" si="11"/>
        <v>0</v>
      </c>
      <c r="O139" s="346">
        <f t="shared" si="11"/>
        <v>0</v>
      </c>
    </row>
    <row r="140" spans="1:15" hidden="1" outlineLevel="2" x14ac:dyDescent="0.35">
      <c r="A140" s="433" t="s">
        <v>7976</v>
      </c>
      <c r="B140" s="344" t="s">
        <v>8264</v>
      </c>
      <c r="C140" s="434" t="s">
        <v>8265</v>
      </c>
      <c r="D140" s="435" t="s">
        <v>8266</v>
      </c>
      <c r="E140" s="434" t="s">
        <v>8267</v>
      </c>
      <c r="F140" s="346">
        <v>5200000</v>
      </c>
      <c r="G140" s="338" t="s">
        <v>3800</v>
      </c>
      <c r="H140" s="338"/>
      <c r="I140" s="329">
        <v>1239.6965482244145</v>
      </c>
      <c r="J140" s="329"/>
      <c r="K140" s="338">
        <v>309.92413705610363</v>
      </c>
      <c r="L140" s="338">
        <v>309.92413705610363</v>
      </c>
      <c r="M140" s="338">
        <v>309.92413705610363</v>
      </c>
      <c r="N140" s="338">
        <v>309.92413705610363</v>
      </c>
      <c r="O140" s="346"/>
    </row>
    <row r="141" spans="1:15" hidden="1" outlineLevel="2" x14ac:dyDescent="0.35">
      <c r="A141" s="433" t="s">
        <v>7976</v>
      </c>
      <c r="B141" s="344" t="s">
        <v>8002</v>
      </c>
      <c r="C141" s="434" t="s">
        <v>8003</v>
      </c>
      <c r="D141" s="435" t="s">
        <v>8268</v>
      </c>
      <c r="E141" s="434" t="s">
        <v>8269</v>
      </c>
      <c r="F141" s="346">
        <v>1977615</v>
      </c>
      <c r="G141" s="338" t="s">
        <v>3800</v>
      </c>
      <c r="H141" s="338"/>
      <c r="I141" s="329">
        <v>471.46970946477416</v>
      </c>
      <c r="J141" s="329"/>
      <c r="K141" s="338">
        <v>117.86742736619354</v>
      </c>
      <c r="L141" s="338">
        <v>117.86742736619354</v>
      </c>
      <c r="M141" s="338">
        <v>117.86742736619354</v>
      </c>
      <c r="N141" s="338">
        <v>117.86742736619354</v>
      </c>
      <c r="O141" s="346"/>
    </row>
    <row r="142" spans="1:15" hidden="1" outlineLevel="2" x14ac:dyDescent="0.35">
      <c r="A142" s="433" t="s">
        <v>7976</v>
      </c>
      <c r="B142" s="344" t="s">
        <v>7999</v>
      </c>
      <c r="C142" s="434" t="s">
        <v>8000</v>
      </c>
      <c r="D142" s="435" t="s">
        <v>8268</v>
      </c>
      <c r="E142" s="434" t="s">
        <v>8269</v>
      </c>
      <c r="F142" s="346">
        <v>1977615</v>
      </c>
      <c r="G142" s="338" t="s">
        <v>3800</v>
      </c>
      <c r="H142" s="338"/>
      <c r="I142" s="329">
        <v>471.46970946477416</v>
      </c>
      <c r="J142" s="329"/>
      <c r="K142" s="338">
        <v>117.86742736619354</v>
      </c>
      <c r="L142" s="338">
        <v>117.86742736619354</v>
      </c>
      <c r="M142" s="338">
        <v>117.86742736619354</v>
      </c>
      <c r="N142" s="338">
        <v>117.86742736619354</v>
      </c>
      <c r="O142" s="346"/>
    </row>
    <row r="143" spans="1:15" hidden="1" outlineLevel="2" x14ac:dyDescent="0.35">
      <c r="A143" s="433" t="s">
        <v>7976</v>
      </c>
      <c r="B143" s="344" t="s">
        <v>8002</v>
      </c>
      <c r="C143" s="434" t="s">
        <v>8003</v>
      </c>
      <c r="D143" s="435" t="s">
        <v>8270</v>
      </c>
      <c r="E143" s="434" t="s">
        <v>8271</v>
      </c>
      <c r="F143" s="346">
        <v>1977615</v>
      </c>
      <c r="G143" s="338" t="s">
        <v>3800</v>
      </c>
      <c r="H143" s="338"/>
      <c r="I143" s="329">
        <v>471.46970946477416</v>
      </c>
      <c r="J143" s="329"/>
      <c r="K143" s="338">
        <v>117.86742736619354</v>
      </c>
      <c r="L143" s="338">
        <v>117.86742736619354</v>
      </c>
      <c r="M143" s="338">
        <v>117.86742736619354</v>
      </c>
      <c r="N143" s="338">
        <v>117.86742736619354</v>
      </c>
      <c r="O143" s="346"/>
    </row>
    <row r="144" spans="1:15" hidden="1" outlineLevel="2" x14ac:dyDescent="0.35">
      <c r="A144" s="433" t="s">
        <v>7976</v>
      </c>
      <c r="B144" s="344" t="s">
        <v>7999</v>
      </c>
      <c r="C144" s="434" t="s">
        <v>8000</v>
      </c>
      <c r="D144" s="435" t="s">
        <v>8270</v>
      </c>
      <c r="E144" s="434" t="s">
        <v>8271</v>
      </c>
      <c r="F144" s="346">
        <v>1977615</v>
      </c>
      <c r="G144" s="338" t="s">
        <v>3800</v>
      </c>
      <c r="H144" s="338"/>
      <c r="I144" s="329">
        <v>471.46970946477416</v>
      </c>
      <c r="J144" s="329"/>
      <c r="K144" s="338">
        <v>117.86742736619354</v>
      </c>
      <c r="L144" s="338">
        <v>117.86742736619354</v>
      </c>
      <c r="M144" s="338">
        <v>117.86742736619354</v>
      </c>
      <c r="N144" s="338">
        <v>117.86742736619354</v>
      </c>
      <c r="O144" s="346"/>
    </row>
    <row r="145" spans="1:15" hidden="1" outlineLevel="2" x14ac:dyDescent="0.35">
      <c r="A145" s="433" t="s">
        <v>7976</v>
      </c>
      <c r="B145" s="344" t="s">
        <v>8002</v>
      </c>
      <c r="C145" s="434" t="s">
        <v>8003</v>
      </c>
      <c r="D145" s="435" t="s">
        <v>8272</v>
      </c>
      <c r="E145" s="434" t="s">
        <v>8273</v>
      </c>
      <c r="F145" s="346">
        <v>1977615</v>
      </c>
      <c r="G145" s="338" t="s">
        <v>3800</v>
      </c>
      <c r="H145" s="338"/>
      <c r="I145" s="329">
        <v>471.46970946477416</v>
      </c>
      <c r="J145" s="329"/>
      <c r="K145" s="338">
        <v>117.86742736619354</v>
      </c>
      <c r="L145" s="338">
        <v>117.86742736619354</v>
      </c>
      <c r="M145" s="338">
        <v>117.86742736619354</v>
      </c>
      <c r="N145" s="338">
        <v>117.86742736619354</v>
      </c>
      <c r="O145" s="346"/>
    </row>
    <row r="146" spans="1:15" hidden="1" outlineLevel="2" x14ac:dyDescent="0.35">
      <c r="A146" s="433" t="s">
        <v>7976</v>
      </c>
      <c r="B146" s="344" t="s">
        <v>7999</v>
      </c>
      <c r="C146" s="434" t="s">
        <v>8000</v>
      </c>
      <c r="D146" s="435" t="s">
        <v>8272</v>
      </c>
      <c r="E146" s="434" t="s">
        <v>8273</v>
      </c>
      <c r="F146" s="346">
        <v>1977615</v>
      </c>
      <c r="G146" s="338" t="s">
        <v>3800</v>
      </c>
      <c r="H146" s="338"/>
      <c r="I146" s="329">
        <v>471.46970946477416</v>
      </c>
      <c r="J146" s="329"/>
      <c r="K146" s="338">
        <v>117.86742736619354</v>
      </c>
      <c r="L146" s="338">
        <v>117.86742736619354</v>
      </c>
      <c r="M146" s="338">
        <v>117.86742736619354</v>
      </c>
      <c r="N146" s="338">
        <v>117.86742736619354</v>
      </c>
      <c r="O146" s="346"/>
    </row>
    <row r="147" spans="1:15" hidden="1" outlineLevel="2" x14ac:dyDescent="0.35">
      <c r="A147" s="433" t="s">
        <v>7976</v>
      </c>
      <c r="B147" s="344" t="s">
        <v>8002</v>
      </c>
      <c r="C147" s="434" t="s">
        <v>8003</v>
      </c>
      <c r="D147" s="435" t="s">
        <v>8274</v>
      </c>
      <c r="E147" s="434" t="s">
        <v>8275</v>
      </c>
      <c r="F147" s="346">
        <v>1977615</v>
      </c>
      <c r="G147" s="338" t="s">
        <v>3800</v>
      </c>
      <c r="H147" s="338"/>
      <c r="I147" s="329">
        <v>471.46970946477416</v>
      </c>
      <c r="J147" s="329"/>
      <c r="K147" s="338">
        <v>117.86742736619354</v>
      </c>
      <c r="L147" s="338">
        <v>117.86742736619354</v>
      </c>
      <c r="M147" s="338">
        <v>117.86742736619354</v>
      </c>
      <c r="N147" s="338">
        <v>117.86742736619354</v>
      </c>
      <c r="O147" s="346"/>
    </row>
    <row r="148" spans="1:15" hidden="1" outlineLevel="2" x14ac:dyDescent="0.35">
      <c r="A148" s="433" t="s">
        <v>7976</v>
      </c>
      <c r="B148" s="344" t="s">
        <v>7999</v>
      </c>
      <c r="C148" s="434" t="s">
        <v>8000</v>
      </c>
      <c r="D148" s="435" t="s">
        <v>8274</v>
      </c>
      <c r="E148" s="434" t="s">
        <v>8275</v>
      </c>
      <c r="F148" s="346">
        <v>1977615</v>
      </c>
      <c r="G148" s="338" t="s">
        <v>3800</v>
      </c>
      <c r="H148" s="338"/>
      <c r="I148" s="329">
        <v>471.46970946477416</v>
      </c>
      <c r="J148" s="329"/>
      <c r="K148" s="338">
        <v>117.86742736619354</v>
      </c>
      <c r="L148" s="338">
        <v>117.86742736619354</v>
      </c>
      <c r="M148" s="338">
        <v>117.86742736619354</v>
      </c>
      <c r="N148" s="338">
        <v>117.86742736619354</v>
      </c>
      <c r="O148" s="346"/>
    </row>
    <row r="149" spans="1:15" hidden="1" outlineLevel="2" x14ac:dyDescent="0.35">
      <c r="A149" s="433" t="s">
        <v>7976</v>
      </c>
      <c r="B149" s="344" t="s">
        <v>8002</v>
      </c>
      <c r="C149" s="434" t="s">
        <v>8003</v>
      </c>
      <c r="D149" s="435" t="s">
        <v>8276</v>
      </c>
      <c r="E149" s="434" t="s">
        <v>8277</v>
      </c>
      <c r="F149" s="346">
        <v>1977615</v>
      </c>
      <c r="G149" s="338" t="s">
        <v>3800</v>
      </c>
      <c r="H149" s="338"/>
      <c r="I149" s="329">
        <v>471.46970946477416</v>
      </c>
      <c r="J149" s="329"/>
      <c r="K149" s="338">
        <v>117.86742736619354</v>
      </c>
      <c r="L149" s="338">
        <v>117.86742736619354</v>
      </c>
      <c r="M149" s="338">
        <v>117.86742736619354</v>
      </c>
      <c r="N149" s="338">
        <v>117.86742736619354</v>
      </c>
      <c r="O149" s="346"/>
    </row>
    <row r="150" spans="1:15" hidden="1" outlineLevel="2" x14ac:dyDescent="0.35">
      <c r="A150" s="433" t="s">
        <v>7976</v>
      </c>
      <c r="B150" s="344" t="s">
        <v>7999</v>
      </c>
      <c r="C150" s="434" t="s">
        <v>8000</v>
      </c>
      <c r="D150" s="435" t="s">
        <v>8276</v>
      </c>
      <c r="E150" s="434" t="s">
        <v>8277</v>
      </c>
      <c r="F150" s="346">
        <v>1977615</v>
      </c>
      <c r="G150" s="338" t="s">
        <v>3800</v>
      </c>
      <c r="H150" s="338"/>
      <c r="I150" s="329">
        <v>471.46970946477416</v>
      </c>
      <c r="J150" s="329"/>
      <c r="K150" s="338">
        <v>117.86742736619354</v>
      </c>
      <c r="L150" s="338">
        <v>117.86742736619354</v>
      </c>
      <c r="M150" s="338">
        <v>117.86742736619354</v>
      </c>
      <c r="N150" s="338">
        <v>117.86742736619354</v>
      </c>
      <c r="O150" s="346"/>
    </row>
    <row r="151" spans="1:15" hidden="1" outlineLevel="2" x14ac:dyDescent="0.35">
      <c r="A151" s="433" t="s">
        <v>7976</v>
      </c>
      <c r="B151" s="344" t="s">
        <v>7987</v>
      </c>
      <c r="C151" s="434" t="s">
        <v>7988</v>
      </c>
      <c r="D151" s="435" t="s">
        <v>8278</v>
      </c>
      <c r="E151" s="434" t="s">
        <v>8269</v>
      </c>
      <c r="F151" s="346">
        <v>1977615</v>
      </c>
      <c r="G151" s="338" t="s">
        <v>3800</v>
      </c>
      <c r="H151" s="338"/>
      <c r="I151" s="329">
        <v>471.46970946477416</v>
      </c>
      <c r="J151" s="329"/>
      <c r="K151" s="338">
        <v>117.86742736619354</v>
      </c>
      <c r="L151" s="338">
        <v>117.86742736619354</v>
      </c>
      <c r="M151" s="338">
        <v>117.86742736619354</v>
      </c>
      <c r="N151" s="338">
        <v>117.86742736619354</v>
      </c>
      <c r="O151" s="346"/>
    </row>
    <row r="152" spans="1:15" hidden="1" outlineLevel="2" x14ac:dyDescent="0.35">
      <c r="A152" s="433" t="s">
        <v>7976</v>
      </c>
      <c r="B152" s="344" t="s">
        <v>7987</v>
      </c>
      <c r="C152" s="434" t="s">
        <v>7988</v>
      </c>
      <c r="D152" s="435" t="s">
        <v>8279</v>
      </c>
      <c r="E152" s="434" t="s">
        <v>8271</v>
      </c>
      <c r="F152" s="346">
        <v>1977615</v>
      </c>
      <c r="G152" s="338" t="s">
        <v>3800</v>
      </c>
      <c r="H152" s="338"/>
      <c r="I152" s="329">
        <v>471.46970946477416</v>
      </c>
      <c r="J152" s="329"/>
      <c r="K152" s="338">
        <v>117.86742736619354</v>
      </c>
      <c r="L152" s="338">
        <v>117.86742736619354</v>
      </c>
      <c r="M152" s="338">
        <v>117.86742736619354</v>
      </c>
      <c r="N152" s="338">
        <v>117.86742736619354</v>
      </c>
      <c r="O152" s="346"/>
    </row>
    <row r="153" spans="1:15" hidden="1" outlineLevel="2" x14ac:dyDescent="0.35">
      <c r="A153" s="433" t="s">
        <v>7976</v>
      </c>
      <c r="B153" s="344" t="s">
        <v>7987</v>
      </c>
      <c r="C153" s="434" t="s">
        <v>7988</v>
      </c>
      <c r="D153" s="435" t="s">
        <v>8280</v>
      </c>
      <c r="E153" s="434" t="s">
        <v>8273</v>
      </c>
      <c r="F153" s="346">
        <v>1977615</v>
      </c>
      <c r="G153" s="338" t="s">
        <v>3800</v>
      </c>
      <c r="H153" s="338"/>
      <c r="I153" s="329">
        <v>471.46970946477416</v>
      </c>
      <c r="J153" s="329"/>
      <c r="K153" s="338">
        <v>117.86742736619354</v>
      </c>
      <c r="L153" s="338">
        <v>117.86742736619354</v>
      </c>
      <c r="M153" s="338">
        <v>117.86742736619354</v>
      </c>
      <c r="N153" s="338">
        <v>117.86742736619354</v>
      </c>
      <c r="O153" s="346"/>
    </row>
    <row r="154" spans="1:15" hidden="1" outlineLevel="2" x14ac:dyDescent="0.35">
      <c r="A154" s="433" t="s">
        <v>7976</v>
      </c>
      <c r="B154" s="344" t="s">
        <v>7987</v>
      </c>
      <c r="C154" s="434" t="s">
        <v>7988</v>
      </c>
      <c r="D154" s="435" t="s">
        <v>8281</v>
      </c>
      <c r="E154" s="434" t="s">
        <v>8275</v>
      </c>
      <c r="F154" s="346">
        <v>1977615</v>
      </c>
      <c r="G154" s="338" t="s">
        <v>3800</v>
      </c>
      <c r="H154" s="338"/>
      <c r="I154" s="329">
        <v>471.46970946477416</v>
      </c>
      <c r="J154" s="329"/>
      <c r="K154" s="338">
        <v>117.86742736619354</v>
      </c>
      <c r="L154" s="338">
        <v>117.86742736619354</v>
      </c>
      <c r="M154" s="338">
        <v>117.86742736619354</v>
      </c>
      <c r="N154" s="338">
        <v>117.86742736619354</v>
      </c>
      <c r="O154" s="346"/>
    </row>
    <row r="155" spans="1:15" hidden="1" outlineLevel="2" x14ac:dyDescent="0.35">
      <c r="A155" s="433" t="s">
        <v>7976</v>
      </c>
      <c r="B155" s="344" t="s">
        <v>7987</v>
      </c>
      <c r="C155" s="434" t="s">
        <v>7988</v>
      </c>
      <c r="D155" s="435" t="s">
        <v>8282</v>
      </c>
      <c r="E155" s="434" t="s">
        <v>8277</v>
      </c>
      <c r="F155" s="346">
        <v>1977615</v>
      </c>
      <c r="G155" s="338" t="s">
        <v>3800</v>
      </c>
      <c r="H155" s="338"/>
      <c r="I155" s="329">
        <v>471.46970946477416</v>
      </c>
      <c r="J155" s="329"/>
      <c r="K155" s="338">
        <v>117.86742736619354</v>
      </c>
      <c r="L155" s="338">
        <v>117.86742736619354</v>
      </c>
      <c r="M155" s="338">
        <v>117.86742736619354</v>
      </c>
      <c r="N155" s="338">
        <v>117.86742736619354</v>
      </c>
      <c r="O155" s="346"/>
    </row>
    <row r="156" spans="1:15" hidden="1" outlineLevel="2" x14ac:dyDescent="0.35">
      <c r="A156" s="433" t="s">
        <v>7976</v>
      </c>
      <c r="B156" s="344" t="s">
        <v>8002</v>
      </c>
      <c r="C156" s="434" t="s">
        <v>8003</v>
      </c>
      <c r="D156" s="435" t="s">
        <v>8283</v>
      </c>
      <c r="E156" s="434" t="s">
        <v>8269</v>
      </c>
      <c r="F156" s="346">
        <v>59328.45</v>
      </c>
      <c r="G156" s="338" t="s">
        <v>3800</v>
      </c>
      <c r="H156" s="338"/>
      <c r="I156" s="329">
        <v>14.144091283943224</v>
      </c>
      <c r="J156" s="329"/>
      <c r="K156" s="338">
        <v>3.536022820985806</v>
      </c>
      <c r="L156" s="338">
        <v>3.536022820985806</v>
      </c>
      <c r="M156" s="338">
        <v>3.536022820985806</v>
      </c>
      <c r="N156" s="338">
        <v>3.536022820985806</v>
      </c>
      <c r="O156" s="346"/>
    </row>
    <row r="157" spans="1:15" hidden="1" outlineLevel="2" x14ac:dyDescent="0.35">
      <c r="A157" s="433" t="s">
        <v>7976</v>
      </c>
      <c r="B157" s="344" t="s">
        <v>7999</v>
      </c>
      <c r="C157" s="434" t="s">
        <v>8000</v>
      </c>
      <c r="D157" s="435" t="s">
        <v>8283</v>
      </c>
      <c r="E157" s="434" t="s">
        <v>8269</v>
      </c>
      <c r="F157" s="346">
        <v>59328.45</v>
      </c>
      <c r="G157" s="338" t="s">
        <v>3800</v>
      </c>
      <c r="H157" s="338"/>
      <c r="I157" s="329">
        <v>14.144091283943224</v>
      </c>
      <c r="J157" s="329"/>
      <c r="K157" s="338">
        <v>3.536022820985806</v>
      </c>
      <c r="L157" s="338">
        <v>3.536022820985806</v>
      </c>
      <c r="M157" s="338">
        <v>3.536022820985806</v>
      </c>
      <c r="N157" s="338">
        <v>3.536022820985806</v>
      </c>
      <c r="O157" s="346"/>
    </row>
    <row r="158" spans="1:15" hidden="1" outlineLevel="2" x14ac:dyDescent="0.35">
      <c r="A158" s="433" t="s">
        <v>7976</v>
      </c>
      <c r="B158" s="344" t="s">
        <v>8002</v>
      </c>
      <c r="C158" s="434" t="s">
        <v>8003</v>
      </c>
      <c r="D158" s="435" t="s">
        <v>8284</v>
      </c>
      <c r="E158" s="434" t="s">
        <v>8271</v>
      </c>
      <c r="F158" s="346">
        <v>59328.45</v>
      </c>
      <c r="G158" s="338" t="s">
        <v>3800</v>
      </c>
      <c r="H158" s="338"/>
      <c r="I158" s="329">
        <v>14.144091283943224</v>
      </c>
      <c r="J158" s="329"/>
      <c r="K158" s="338">
        <v>3.536022820985806</v>
      </c>
      <c r="L158" s="338">
        <v>3.536022820985806</v>
      </c>
      <c r="M158" s="338">
        <v>3.536022820985806</v>
      </c>
      <c r="N158" s="338">
        <v>3.536022820985806</v>
      </c>
      <c r="O158" s="346"/>
    </row>
    <row r="159" spans="1:15" hidden="1" outlineLevel="2" x14ac:dyDescent="0.35">
      <c r="A159" s="433" t="s">
        <v>7976</v>
      </c>
      <c r="B159" s="344" t="s">
        <v>7999</v>
      </c>
      <c r="C159" s="434" t="s">
        <v>8000</v>
      </c>
      <c r="D159" s="435" t="s">
        <v>8284</v>
      </c>
      <c r="E159" s="434" t="s">
        <v>8271</v>
      </c>
      <c r="F159" s="346">
        <v>59328.45</v>
      </c>
      <c r="G159" s="338" t="s">
        <v>3800</v>
      </c>
      <c r="H159" s="338"/>
      <c r="I159" s="329">
        <v>14.144091283943224</v>
      </c>
      <c r="J159" s="329"/>
      <c r="K159" s="338">
        <v>3.536022820985806</v>
      </c>
      <c r="L159" s="338">
        <v>3.536022820985806</v>
      </c>
      <c r="M159" s="338">
        <v>3.536022820985806</v>
      </c>
      <c r="N159" s="338">
        <v>3.536022820985806</v>
      </c>
      <c r="O159" s="346"/>
    </row>
    <row r="160" spans="1:15" hidden="1" outlineLevel="2" x14ac:dyDescent="0.35">
      <c r="A160" s="433" t="s">
        <v>7976</v>
      </c>
      <c r="B160" s="344" t="s">
        <v>8002</v>
      </c>
      <c r="C160" s="434" t="s">
        <v>8003</v>
      </c>
      <c r="D160" s="435" t="s">
        <v>8285</v>
      </c>
      <c r="E160" s="434" t="s">
        <v>8273</v>
      </c>
      <c r="F160" s="346">
        <v>59328.45</v>
      </c>
      <c r="G160" s="338" t="s">
        <v>3800</v>
      </c>
      <c r="H160" s="338"/>
      <c r="I160" s="329">
        <v>14.144091283943224</v>
      </c>
      <c r="J160" s="329"/>
      <c r="K160" s="338">
        <v>3.536022820985806</v>
      </c>
      <c r="L160" s="338">
        <v>3.536022820985806</v>
      </c>
      <c r="M160" s="338">
        <v>3.536022820985806</v>
      </c>
      <c r="N160" s="338">
        <v>3.536022820985806</v>
      </c>
      <c r="O160" s="346"/>
    </row>
    <row r="161" spans="1:15" hidden="1" outlineLevel="2" x14ac:dyDescent="0.35">
      <c r="A161" s="433" t="s">
        <v>7976</v>
      </c>
      <c r="B161" s="344" t="s">
        <v>7999</v>
      </c>
      <c r="C161" s="434" t="s">
        <v>8000</v>
      </c>
      <c r="D161" s="435" t="s">
        <v>8285</v>
      </c>
      <c r="E161" s="434" t="s">
        <v>8273</v>
      </c>
      <c r="F161" s="346">
        <v>59328.45</v>
      </c>
      <c r="G161" s="338" t="s">
        <v>3800</v>
      </c>
      <c r="H161" s="338"/>
      <c r="I161" s="329">
        <v>14.144091283943224</v>
      </c>
      <c r="J161" s="329"/>
      <c r="K161" s="338">
        <v>3.536022820985806</v>
      </c>
      <c r="L161" s="338">
        <v>3.536022820985806</v>
      </c>
      <c r="M161" s="338">
        <v>3.536022820985806</v>
      </c>
      <c r="N161" s="338">
        <v>3.536022820985806</v>
      </c>
      <c r="O161" s="346"/>
    </row>
    <row r="162" spans="1:15" hidden="1" outlineLevel="2" x14ac:dyDescent="0.35">
      <c r="A162" s="433" t="s">
        <v>7976</v>
      </c>
      <c r="B162" s="344" t="s">
        <v>8002</v>
      </c>
      <c r="C162" s="434" t="s">
        <v>8003</v>
      </c>
      <c r="D162" s="435" t="s">
        <v>8286</v>
      </c>
      <c r="E162" s="434" t="s">
        <v>8275</v>
      </c>
      <c r="F162" s="346">
        <v>59328.45</v>
      </c>
      <c r="G162" s="338" t="s">
        <v>3800</v>
      </c>
      <c r="H162" s="338"/>
      <c r="I162" s="329">
        <v>14.144091283943224</v>
      </c>
      <c r="J162" s="329"/>
      <c r="K162" s="338">
        <v>3.536022820985806</v>
      </c>
      <c r="L162" s="338">
        <v>3.536022820985806</v>
      </c>
      <c r="M162" s="338">
        <v>3.536022820985806</v>
      </c>
      <c r="N162" s="338">
        <v>3.536022820985806</v>
      </c>
      <c r="O162" s="346"/>
    </row>
    <row r="163" spans="1:15" hidden="1" outlineLevel="2" x14ac:dyDescent="0.35">
      <c r="A163" s="433" t="s">
        <v>7976</v>
      </c>
      <c r="B163" s="344" t="s">
        <v>7999</v>
      </c>
      <c r="C163" s="434" t="s">
        <v>8000</v>
      </c>
      <c r="D163" s="435" t="s">
        <v>8286</v>
      </c>
      <c r="E163" s="434" t="s">
        <v>8275</v>
      </c>
      <c r="F163" s="346">
        <v>59328.45</v>
      </c>
      <c r="G163" s="338" t="s">
        <v>3800</v>
      </c>
      <c r="H163" s="338"/>
      <c r="I163" s="329">
        <v>14.144091283943224</v>
      </c>
      <c r="J163" s="329"/>
      <c r="K163" s="338">
        <v>3.536022820985806</v>
      </c>
      <c r="L163" s="338">
        <v>3.536022820985806</v>
      </c>
      <c r="M163" s="338">
        <v>3.536022820985806</v>
      </c>
      <c r="N163" s="338">
        <v>3.536022820985806</v>
      </c>
      <c r="O163" s="346"/>
    </row>
    <row r="164" spans="1:15" hidden="1" outlineLevel="2" x14ac:dyDescent="0.35">
      <c r="A164" s="433" t="s">
        <v>7976</v>
      </c>
      <c r="B164" s="344" t="s">
        <v>8002</v>
      </c>
      <c r="C164" s="434" t="s">
        <v>8003</v>
      </c>
      <c r="D164" s="435" t="s">
        <v>8287</v>
      </c>
      <c r="E164" s="434" t="s">
        <v>8277</v>
      </c>
      <c r="F164" s="346">
        <v>59328.45</v>
      </c>
      <c r="G164" s="338" t="s">
        <v>3800</v>
      </c>
      <c r="H164" s="338"/>
      <c r="I164" s="329">
        <v>14.144091283943224</v>
      </c>
      <c r="J164" s="329"/>
      <c r="K164" s="338">
        <v>3.536022820985806</v>
      </c>
      <c r="L164" s="338">
        <v>3.536022820985806</v>
      </c>
      <c r="M164" s="338">
        <v>3.536022820985806</v>
      </c>
      <c r="N164" s="338">
        <v>3.536022820985806</v>
      </c>
      <c r="O164" s="346"/>
    </row>
    <row r="165" spans="1:15" hidden="1" outlineLevel="2" x14ac:dyDescent="0.35">
      <c r="A165" s="433" t="s">
        <v>7976</v>
      </c>
      <c r="B165" s="344" t="s">
        <v>7999</v>
      </c>
      <c r="C165" s="434" t="s">
        <v>8000</v>
      </c>
      <c r="D165" s="435" t="s">
        <v>8287</v>
      </c>
      <c r="E165" s="434" t="s">
        <v>8277</v>
      </c>
      <c r="F165" s="346">
        <v>59328.45</v>
      </c>
      <c r="G165" s="338" t="s">
        <v>3800</v>
      </c>
      <c r="H165" s="338"/>
      <c r="I165" s="329">
        <v>14.144091283943224</v>
      </c>
      <c r="J165" s="329"/>
      <c r="K165" s="338">
        <v>3.536022820985806</v>
      </c>
      <c r="L165" s="338">
        <v>3.536022820985806</v>
      </c>
      <c r="M165" s="338">
        <v>3.536022820985806</v>
      </c>
      <c r="N165" s="338">
        <v>3.536022820985806</v>
      </c>
      <c r="O165" s="346"/>
    </row>
    <row r="166" spans="1:15" hidden="1" outlineLevel="2" x14ac:dyDescent="0.35">
      <c r="A166" s="433" t="s">
        <v>7976</v>
      </c>
      <c r="B166" s="344" t="s">
        <v>7987</v>
      </c>
      <c r="C166" s="434" t="s">
        <v>7988</v>
      </c>
      <c r="D166" s="435" t="s">
        <v>8288</v>
      </c>
      <c r="E166" s="434" t="s">
        <v>8269</v>
      </c>
      <c r="F166" s="346">
        <v>59328.45</v>
      </c>
      <c r="G166" s="338" t="s">
        <v>3800</v>
      </c>
      <c r="H166" s="338"/>
      <c r="I166" s="329">
        <v>14.144091283943224</v>
      </c>
      <c r="J166" s="329"/>
      <c r="K166" s="338">
        <v>3.536022820985806</v>
      </c>
      <c r="L166" s="338">
        <v>3.536022820985806</v>
      </c>
      <c r="M166" s="338">
        <v>3.536022820985806</v>
      </c>
      <c r="N166" s="338">
        <v>3.536022820985806</v>
      </c>
      <c r="O166" s="346"/>
    </row>
    <row r="167" spans="1:15" hidden="1" outlineLevel="2" x14ac:dyDescent="0.35">
      <c r="A167" s="433" t="s">
        <v>7976</v>
      </c>
      <c r="B167" s="344" t="s">
        <v>7987</v>
      </c>
      <c r="C167" s="434" t="s">
        <v>7988</v>
      </c>
      <c r="D167" s="435" t="s">
        <v>8289</v>
      </c>
      <c r="E167" s="434" t="s">
        <v>8271</v>
      </c>
      <c r="F167" s="346">
        <v>59328.45</v>
      </c>
      <c r="G167" s="338" t="s">
        <v>3800</v>
      </c>
      <c r="H167" s="338"/>
      <c r="I167" s="329">
        <v>14.144091283943224</v>
      </c>
      <c r="J167" s="329"/>
      <c r="K167" s="338">
        <v>3.536022820985806</v>
      </c>
      <c r="L167" s="338">
        <v>3.536022820985806</v>
      </c>
      <c r="M167" s="338">
        <v>3.536022820985806</v>
      </c>
      <c r="N167" s="338">
        <v>3.536022820985806</v>
      </c>
      <c r="O167" s="346"/>
    </row>
    <row r="168" spans="1:15" hidden="1" outlineLevel="2" x14ac:dyDescent="0.35">
      <c r="A168" s="433" t="s">
        <v>7976</v>
      </c>
      <c r="B168" s="344" t="s">
        <v>7987</v>
      </c>
      <c r="C168" s="434" t="s">
        <v>7988</v>
      </c>
      <c r="D168" s="435" t="s">
        <v>8290</v>
      </c>
      <c r="E168" s="434" t="s">
        <v>8273</v>
      </c>
      <c r="F168" s="346">
        <v>59328.45</v>
      </c>
      <c r="G168" s="338" t="s">
        <v>3800</v>
      </c>
      <c r="H168" s="338"/>
      <c r="I168" s="329">
        <v>14.144091283943224</v>
      </c>
      <c r="J168" s="329"/>
      <c r="K168" s="338">
        <v>3.536022820985806</v>
      </c>
      <c r="L168" s="338">
        <v>3.536022820985806</v>
      </c>
      <c r="M168" s="338">
        <v>3.536022820985806</v>
      </c>
      <c r="N168" s="338">
        <v>3.536022820985806</v>
      </c>
      <c r="O168" s="346"/>
    </row>
    <row r="169" spans="1:15" hidden="1" outlineLevel="2" x14ac:dyDescent="0.35">
      <c r="A169" s="433" t="s">
        <v>7976</v>
      </c>
      <c r="B169" s="344" t="s">
        <v>7987</v>
      </c>
      <c r="C169" s="434" t="s">
        <v>7988</v>
      </c>
      <c r="D169" s="435" t="s">
        <v>8291</v>
      </c>
      <c r="E169" s="434" t="s">
        <v>8275</v>
      </c>
      <c r="F169" s="346">
        <v>59328.45</v>
      </c>
      <c r="G169" s="338" t="s">
        <v>3800</v>
      </c>
      <c r="H169" s="338"/>
      <c r="I169" s="329">
        <v>14.144091283943224</v>
      </c>
      <c r="J169" s="329"/>
      <c r="K169" s="338">
        <v>3.536022820985806</v>
      </c>
      <c r="L169" s="338">
        <v>3.536022820985806</v>
      </c>
      <c r="M169" s="338">
        <v>3.536022820985806</v>
      </c>
      <c r="N169" s="338">
        <v>3.536022820985806</v>
      </c>
      <c r="O169" s="346"/>
    </row>
    <row r="170" spans="1:15" hidden="1" outlineLevel="2" x14ac:dyDescent="0.35">
      <c r="A170" s="433" t="s">
        <v>7976</v>
      </c>
      <c r="B170" s="344" t="s">
        <v>7987</v>
      </c>
      <c r="C170" s="434" t="s">
        <v>7988</v>
      </c>
      <c r="D170" s="435" t="s">
        <v>8292</v>
      </c>
      <c r="E170" s="434" t="s">
        <v>8277</v>
      </c>
      <c r="F170" s="346">
        <v>59328.45</v>
      </c>
      <c r="G170" s="338" t="s">
        <v>3800</v>
      </c>
      <c r="H170" s="338"/>
      <c r="I170" s="329">
        <v>14.144091283943224</v>
      </c>
      <c r="J170" s="329"/>
      <c r="K170" s="338">
        <v>3.536022820985806</v>
      </c>
      <c r="L170" s="338">
        <v>3.536022820985806</v>
      </c>
      <c r="M170" s="338">
        <v>3.536022820985806</v>
      </c>
      <c r="N170" s="338">
        <v>3.536022820985806</v>
      </c>
      <c r="O170" s="346"/>
    </row>
    <row r="171" spans="1:15" hidden="1" outlineLevel="2" x14ac:dyDescent="0.35">
      <c r="A171" s="433" t="s">
        <v>7976</v>
      </c>
      <c r="B171" s="344">
        <v>43944</v>
      </c>
      <c r="C171" s="434">
        <v>183</v>
      </c>
      <c r="D171" s="435" t="s">
        <v>8293</v>
      </c>
      <c r="E171" s="434" t="s">
        <v>8294</v>
      </c>
      <c r="F171" s="346">
        <v>2285046</v>
      </c>
      <c r="G171" s="338" t="s">
        <v>3800</v>
      </c>
      <c r="H171" s="338"/>
      <c r="I171" s="329">
        <v>535.6563268079168</v>
      </c>
      <c r="J171" s="329"/>
      <c r="K171" s="338">
        <v>133.9140817019792</v>
      </c>
      <c r="L171" s="338">
        <v>133.9140817019792</v>
      </c>
      <c r="M171" s="338">
        <v>133.9140817019792</v>
      </c>
      <c r="N171" s="338">
        <v>133.9140817019792</v>
      </c>
      <c r="O171" s="346"/>
    </row>
    <row r="172" spans="1:15" hidden="1" outlineLevel="2" x14ac:dyDescent="0.35">
      <c r="A172" s="433" t="s">
        <v>7976</v>
      </c>
      <c r="B172" s="344" t="s">
        <v>8002</v>
      </c>
      <c r="C172" s="434" t="s">
        <v>8003</v>
      </c>
      <c r="D172" s="435" t="s">
        <v>8295</v>
      </c>
      <c r="E172" s="434" t="s">
        <v>8269</v>
      </c>
      <c r="F172" s="346">
        <v>197761.5</v>
      </c>
      <c r="G172" s="338" t="s">
        <v>3800</v>
      </c>
      <c r="H172" s="338"/>
      <c r="I172" s="329">
        <v>47.146970946477417</v>
      </c>
      <c r="J172" s="329"/>
      <c r="K172" s="338">
        <v>11.786742736619354</v>
      </c>
      <c r="L172" s="338">
        <v>11.786742736619354</v>
      </c>
      <c r="M172" s="338">
        <v>11.786742736619354</v>
      </c>
      <c r="N172" s="338">
        <v>11.786742736619354</v>
      </c>
      <c r="O172" s="346"/>
    </row>
    <row r="173" spans="1:15" hidden="1" outlineLevel="2" x14ac:dyDescent="0.35">
      <c r="A173" s="433" t="s">
        <v>7976</v>
      </c>
      <c r="B173" s="344" t="s">
        <v>7999</v>
      </c>
      <c r="C173" s="434" t="s">
        <v>8000</v>
      </c>
      <c r="D173" s="435" t="s">
        <v>8295</v>
      </c>
      <c r="E173" s="434" t="s">
        <v>8269</v>
      </c>
      <c r="F173" s="346">
        <v>197761.5</v>
      </c>
      <c r="G173" s="338" t="s">
        <v>3800</v>
      </c>
      <c r="H173" s="338"/>
      <c r="I173" s="329">
        <v>47.146970946477417</v>
      </c>
      <c r="J173" s="329"/>
      <c r="K173" s="338">
        <v>11.786742736619354</v>
      </c>
      <c r="L173" s="338">
        <v>11.786742736619354</v>
      </c>
      <c r="M173" s="338">
        <v>11.786742736619354</v>
      </c>
      <c r="N173" s="338">
        <v>11.786742736619354</v>
      </c>
      <c r="O173" s="346"/>
    </row>
    <row r="174" spans="1:15" hidden="1" outlineLevel="2" x14ac:dyDescent="0.35">
      <c r="A174" s="433" t="s">
        <v>7976</v>
      </c>
      <c r="B174" s="344" t="s">
        <v>8002</v>
      </c>
      <c r="C174" s="434" t="s">
        <v>8003</v>
      </c>
      <c r="D174" s="435" t="s">
        <v>8296</v>
      </c>
      <c r="E174" s="434" t="s">
        <v>8271</v>
      </c>
      <c r="F174" s="346">
        <v>197761.5</v>
      </c>
      <c r="G174" s="338" t="s">
        <v>3800</v>
      </c>
      <c r="H174" s="338"/>
      <c r="I174" s="329">
        <v>47.146970946477417</v>
      </c>
      <c r="J174" s="329"/>
      <c r="K174" s="338">
        <v>11.786742736619354</v>
      </c>
      <c r="L174" s="338">
        <v>11.786742736619354</v>
      </c>
      <c r="M174" s="338">
        <v>11.786742736619354</v>
      </c>
      <c r="N174" s="338">
        <v>11.786742736619354</v>
      </c>
      <c r="O174" s="346"/>
    </row>
    <row r="175" spans="1:15" hidden="1" outlineLevel="2" x14ac:dyDescent="0.35">
      <c r="A175" s="433" t="s">
        <v>7976</v>
      </c>
      <c r="B175" s="344" t="s">
        <v>7999</v>
      </c>
      <c r="C175" s="434" t="s">
        <v>8000</v>
      </c>
      <c r="D175" s="435" t="s">
        <v>8296</v>
      </c>
      <c r="E175" s="434" t="s">
        <v>8271</v>
      </c>
      <c r="F175" s="346">
        <v>197761.5</v>
      </c>
      <c r="G175" s="338" t="s">
        <v>3800</v>
      </c>
      <c r="H175" s="338"/>
      <c r="I175" s="329">
        <v>47.146970946477417</v>
      </c>
      <c r="J175" s="329"/>
      <c r="K175" s="338">
        <v>11.786742736619354</v>
      </c>
      <c r="L175" s="338">
        <v>11.786742736619354</v>
      </c>
      <c r="M175" s="338">
        <v>11.786742736619354</v>
      </c>
      <c r="N175" s="338">
        <v>11.786742736619354</v>
      </c>
      <c r="O175" s="346"/>
    </row>
    <row r="176" spans="1:15" hidden="1" outlineLevel="2" x14ac:dyDescent="0.35">
      <c r="A176" s="433" t="s">
        <v>7976</v>
      </c>
      <c r="B176" s="344" t="s">
        <v>8002</v>
      </c>
      <c r="C176" s="434" t="s">
        <v>8003</v>
      </c>
      <c r="D176" s="435" t="s">
        <v>8297</v>
      </c>
      <c r="E176" s="434" t="s">
        <v>8273</v>
      </c>
      <c r="F176" s="346">
        <v>197761.5</v>
      </c>
      <c r="G176" s="338" t="s">
        <v>3800</v>
      </c>
      <c r="H176" s="338"/>
      <c r="I176" s="329">
        <v>47.146970946477417</v>
      </c>
      <c r="J176" s="329"/>
      <c r="K176" s="338">
        <v>11.786742736619354</v>
      </c>
      <c r="L176" s="338">
        <v>11.786742736619354</v>
      </c>
      <c r="M176" s="338">
        <v>11.786742736619354</v>
      </c>
      <c r="N176" s="338">
        <v>11.786742736619354</v>
      </c>
      <c r="O176" s="346"/>
    </row>
    <row r="177" spans="1:15" hidden="1" outlineLevel="2" x14ac:dyDescent="0.35">
      <c r="A177" s="433" t="s">
        <v>7976</v>
      </c>
      <c r="B177" s="344" t="s">
        <v>7999</v>
      </c>
      <c r="C177" s="434" t="s">
        <v>8000</v>
      </c>
      <c r="D177" s="435" t="s">
        <v>8297</v>
      </c>
      <c r="E177" s="434" t="s">
        <v>8273</v>
      </c>
      <c r="F177" s="346">
        <v>197761.5</v>
      </c>
      <c r="G177" s="338" t="s">
        <v>3800</v>
      </c>
      <c r="H177" s="338"/>
      <c r="I177" s="329">
        <v>47.146970946477417</v>
      </c>
      <c r="J177" s="329"/>
      <c r="K177" s="338">
        <v>11.786742736619354</v>
      </c>
      <c r="L177" s="338">
        <v>11.786742736619354</v>
      </c>
      <c r="M177" s="338">
        <v>11.786742736619354</v>
      </c>
      <c r="N177" s="338">
        <v>11.786742736619354</v>
      </c>
      <c r="O177" s="346"/>
    </row>
    <row r="178" spans="1:15" hidden="1" outlineLevel="2" x14ac:dyDescent="0.35">
      <c r="A178" s="433" t="s">
        <v>7976</v>
      </c>
      <c r="B178" s="344" t="s">
        <v>8002</v>
      </c>
      <c r="C178" s="434" t="s">
        <v>8003</v>
      </c>
      <c r="D178" s="435" t="s">
        <v>8298</v>
      </c>
      <c r="E178" s="434" t="s">
        <v>8275</v>
      </c>
      <c r="F178" s="346">
        <v>197761.5</v>
      </c>
      <c r="G178" s="338" t="s">
        <v>3800</v>
      </c>
      <c r="H178" s="338"/>
      <c r="I178" s="329">
        <v>47.146970946477417</v>
      </c>
      <c r="J178" s="329"/>
      <c r="K178" s="338">
        <v>11.786742736619354</v>
      </c>
      <c r="L178" s="338">
        <v>11.786742736619354</v>
      </c>
      <c r="M178" s="338">
        <v>11.786742736619354</v>
      </c>
      <c r="N178" s="338">
        <v>11.786742736619354</v>
      </c>
      <c r="O178" s="346"/>
    </row>
    <row r="179" spans="1:15" hidden="1" outlineLevel="2" x14ac:dyDescent="0.35">
      <c r="A179" s="433" t="s">
        <v>7976</v>
      </c>
      <c r="B179" s="344" t="s">
        <v>7999</v>
      </c>
      <c r="C179" s="434" t="s">
        <v>8000</v>
      </c>
      <c r="D179" s="435" t="s">
        <v>8298</v>
      </c>
      <c r="E179" s="434" t="s">
        <v>8275</v>
      </c>
      <c r="F179" s="346">
        <v>197761.5</v>
      </c>
      <c r="G179" s="338" t="s">
        <v>3800</v>
      </c>
      <c r="H179" s="338"/>
      <c r="I179" s="329">
        <v>47.146970946477417</v>
      </c>
      <c r="J179" s="329"/>
      <c r="K179" s="338">
        <v>11.786742736619354</v>
      </c>
      <c r="L179" s="338">
        <v>11.786742736619354</v>
      </c>
      <c r="M179" s="338">
        <v>11.786742736619354</v>
      </c>
      <c r="N179" s="338">
        <v>11.786742736619354</v>
      </c>
      <c r="O179" s="346"/>
    </row>
    <row r="180" spans="1:15" hidden="1" outlineLevel="2" x14ac:dyDescent="0.35">
      <c r="A180" s="433" t="s">
        <v>7976</v>
      </c>
      <c r="B180" s="344" t="s">
        <v>8002</v>
      </c>
      <c r="C180" s="434" t="s">
        <v>8003</v>
      </c>
      <c r="D180" s="435" t="s">
        <v>8299</v>
      </c>
      <c r="E180" s="434" t="s">
        <v>8277</v>
      </c>
      <c r="F180" s="346">
        <v>197761.5</v>
      </c>
      <c r="G180" s="338" t="s">
        <v>3800</v>
      </c>
      <c r="H180" s="338"/>
      <c r="I180" s="329">
        <v>47.146970946477417</v>
      </c>
      <c r="J180" s="329"/>
      <c r="K180" s="338">
        <v>11.786742736619354</v>
      </c>
      <c r="L180" s="338">
        <v>11.786742736619354</v>
      </c>
      <c r="M180" s="338">
        <v>11.786742736619354</v>
      </c>
      <c r="N180" s="338">
        <v>11.786742736619354</v>
      </c>
      <c r="O180" s="346"/>
    </row>
    <row r="181" spans="1:15" hidden="1" outlineLevel="2" x14ac:dyDescent="0.35">
      <c r="A181" s="433" t="s">
        <v>7976</v>
      </c>
      <c r="B181" s="344" t="s">
        <v>7999</v>
      </c>
      <c r="C181" s="434" t="s">
        <v>8000</v>
      </c>
      <c r="D181" s="435" t="s">
        <v>8299</v>
      </c>
      <c r="E181" s="434" t="s">
        <v>8277</v>
      </c>
      <c r="F181" s="346">
        <v>197761.5</v>
      </c>
      <c r="G181" s="338" t="s">
        <v>3800</v>
      </c>
      <c r="H181" s="338"/>
      <c r="I181" s="329">
        <v>47.146970946477417</v>
      </c>
      <c r="J181" s="329"/>
      <c r="K181" s="338">
        <v>11.786742736619354</v>
      </c>
      <c r="L181" s="338">
        <v>11.786742736619354</v>
      </c>
      <c r="M181" s="338">
        <v>11.786742736619354</v>
      </c>
      <c r="N181" s="338">
        <v>11.786742736619354</v>
      </c>
      <c r="O181" s="346"/>
    </row>
    <row r="182" spans="1:15" hidden="1" outlineLevel="2" x14ac:dyDescent="0.35">
      <c r="A182" s="433" t="s">
        <v>7976</v>
      </c>
      <c r="B182" s="344" t="s">
        <v>7987</v>
      </c>
      <c r="C182" s="434" t="s">
        <v>7988</v>
      </c>
      <c r="D182" s="435" t="s">
        <v>8300</v>
      </c>
      <c r="E182" s="434" t="s">
        <v>8269</v>
      </c>
      <c r="F182" s="346">
        <v>197761.5</v>
      </c>
      <c r="G182" s="338" t="s">
        <v>3800</v>
      </c>
      <c r="H182" s="338"/>
      <c r="I182" s="329">
        <v>47.146970946477417</v>
      </c>
      <c r="J182" s="329"/>
      <c r="K182" s="338">
        <v>11.786742736619354</v>
      </c>
      <c r="L182" s="338">
        <v>11.786742736619354</v>
      </c>
      <c r="M182" s="338">
        <v>11.786742736619354</v>
      </c>
      <c r="N182" s="338">
        <v>11.786742736619354</v>
      </c>
      <c r="O182" s="346"/>
    </row>
    <row r="183" spans="1:15" hidden="1" outlineLevel="2" x14ac:dyDescent="0.35">
      <c r="A183" s="433" t="s">
        <v>7976</v>
      </c>
      <c r="B183" s="344" t="s">
        <v>7987</v>
      </c>
      <c r="C183" s="434" t="s">
        <v>7988</v>
      </c>
      <c r="D183" s="435" t="s">
        <v>8301</v>
      </c>
      <c r="E183" s="434" t="s">
        <v>8271</v>
      </c>
      <c r="F183" s="346">
        <v>197761.5</v>
      </c>
      <c r="G183" s="338" t="s">
        <v>3800</v>
      </c>
      <c r="H183" s="338"/>
      <c r="I183" s="329">
        <v>47.146970946477417</v>
      </c>
      <c r="J183" s="329"/>
      <c r="K183" s="338">
        <v>11.786742736619354</v>
      </c>
      <c r="L183" s="338">
        <v>11.786742736619354</v>
      </c>
      <c r="M183" s="338">
        <v>11.786742736619354</v>
      </c>
      <c r="N183" s="338">
        <v>11.786742736619354</v>
      </c>
      <c r="O183" s="346"/>
    </row>
    <row r="184" spans="1:15" hidden="1" outlineLevel="2" x14ac:dyDescent="0.35">
      <c r="A184" s="433" t="s">
        <v>7976</v>
      </c>
      <c r="B184" s="344" t="s">
        <v>7987</v>
      </c>
      <c r="C184" s="434" t="s">
        <v>7988</v>
      </c>
      <c r="D184" s="435" t="s">
        <v>8302</v>
      </c>
      <c r="E184" s="434" t="s">
        <v>8273</v>
      </c>
      <c r="F184" s="346">
        <v>197761.5</v>
      </c>
      <c r="G184" s="338" t="s">
        <v>3800</v>
      </c>
      <c r="H184" s="338"/>
      <c r="I184" s="329">
        <v>47.146970946477417</v>
      </c>
      <c r="J184" s="329"/>
      <c r="K184" s="338">
        <v>11.786742736619354</v>
      </c>
      <c r="L184" s="338">
        <v>11.786742736619354</v>
      </c>
      <c r="M184" s="338">
        <v>11.786742736619354</v>
      </c>
      <c r="N184" s="338">
        <v>11.786742736619354</v>
      </c>
      <c r="O184" s="346"/>
    </row>
    <row r="185" spans="1:15" hidden="1" outlineLevel="2" x14ac:dyDescent="0.35">
      <c r="A185" s="433" t="s">
        <v>7976</v>
      </c>
      <c r="B185" s="344" t="s">
        <v>7987</v>
      </c>
      <c r="C185" s="434" t="s">
        <v>7988</v>
      </c>
      <c r="D185" s="435" t="s">
        <v>8303</v>
      </c>
      <c r="E185" s="434" t="s">
        <v>8275</v>
      </c>
      <c r="F185" s="346">
        <v>197761.5</v>
      </c>
      <c r="G185" s="338" t="s">
        <v>3800</v>
      </c>
      <c r="H185" s="338"/>
      <c r="I185" s="329">
        <v>47.146970946477417</v>
      </c>
      <c r="J185" s="329"/>
      <c r="K185" s="338">
        <v>11.786742736619354</v>
      </c>
      <c r="L185" s="338">
        <v>11.786742736619354</v>
      </c>
      <c r="M185" s="338">
        <v>11.786742736619354</v>
      </c>
      <c r="N185" s="338">
        <v>11.786742736619354</v>
      </c>
      <c r="O185" s="346"/>
    </row>
    <row r="186" spans="1:15" hidden="1" outlineLevel="2" x14ac:dyDescent="0.35">
      <c r="A186" s="433" t="s">
        <v>7976</v>
      </c>
      <c r="B186" s="344" t="s">
        <v>7987</v>
      </c>
      <c r="C186" s="434" t="s">
        <v>7988</v>
      </c>
      <c r="D186" s="435" t="s">
        <v>8304</v>
      </c>
      <c r="E186" s="434" t="s">
        <v>8277</v>
      </c>
      <c r="F186" s="346">
        <v>197761.5</v>
      </c>
      <c r="G186" s="338" t="s">
        <v>3800</v>
      </c>
      <c r="H186" s="338"/>
      <c r="I186" s="329">
        <v>47.146970946477417</v>
      </c>
      <c r="J186" s="329"/>
      <c r="K186" s="338">
        <v>11.786742736619354</v>
      </c>
      <c r="L186" s="338">
        <v>11.786742736619354</v>
      </c>
      <c r="M186" s="338">
        <v>11.786742736619354</v>
      </c>
      <c r="N186" s="338">
        <v>11.786742736619354</v>
      </c>
      <c r="O186" s="346"/>
    </row>
    <row r="187" spans="1:15" hidden="1" outlineLevel="2" x14ac:dyDescent="0.35">
      <c r="A187" s="433" t="s">
        <v>7976</v>
      </c>
      <c r="B187" s="344" t="s">
        <v>8002</v>
      </c>
      <c r="C187" s="434" t="s">
        <v>8003</v>
      </c>
      <c r="D187" s="435" t="s">
        <v>8305</v>
      </c>
      <c r="E187" s="434" t="s">
        <v>8269</v>
      </c>
      <c r="F187" s="346">
        <v>296642.25</v>
      </c>
      <c r="G187" s="338" t="s">
        <v>3800</v>
      </c>
      <c r="H187" s="338"/>
      <c r="I187" s="329">
        <v>70.720456419716129</v>
      </c>
      <c r="J187" s="329"/>
      <c r="K187" s="338">
        <v>17.680114104929032</v>
      </c>
      <c r="L187" s="338">
        <v>17.680114104929032</v>
      </c>
      <c r="M187" s="338">
        <v>17.680114104929032</v>
      </c>
      <c r="N187" s="338">
        <v>17.680114104929032</v>
      </c>
      <c r="O187" s="346"/>
    </row>
    <row r="188" spans="1:15" hidden="1" outlineLevel="2" x14ac:dyDescent="0.35">
      <c r="A188" s="433" t="s">
        <v>7976</v>
      </c>
      <c r="B188" s="344" t="s">
        <v>7999</v>
      </c>
      <c r="C188" s="434" t="s">
        <v>8000</v>
      </c>
      <c r="D188" s="435" t="s">
        <v>8305</v>
      </c>
      <c r="E188" s="434" t="s">
        <v>8269</v>
      </c>
      <c r="F188" s="346">
        <v>296642.25</v>
      </c>
      <c r="G188" s="338" t="s">
        <v>3800</v>
      </c>
      <c r="H188" s="338"/>
      <c r="I188" s="329">
        <v>70.720456419716129</v>
      </c>
      <c r="J188" s="329"/>
      <c r="K188" s="338">
        <v>17.680114104929032</v>
      </c>
      <c r="L188" s="338">
        <v>17.680114104929032</v>
      </c>
      <c r="M188" s="338">
        <v>17.680114104929032</v>
      </c>
      <c r="N188" s="338">
        <v>17.680114104929032</v>
      </c>
      <c r="O188" s="346"/>
    </row>
    <row r="189" spans="1:15" hidden="1" outlineLevel="2" x14ac:dyDescent="0.35">
      <c r="A189" s="433" t="s">
        <v>7976</v>
      </c>
      <c r="B189" s="344" t="s">
        <v>8002</v>
      </c>
      <c r="C189" s="434" t="s">
        <v>8003</v>
      </c>
      <c r="D189" s="435" t="s">
        <v>8306</v>
      </c>
      <c r="E189" s="434" t="s">
        <v>8271</v>
      </c>
      <c r="F189" s="346">
        <v>296642.25</v>
      </c>
      <c r="G189" s="338" t="s">
        <v>3800</v>
      </c>
      <c r="H189" s="338"/>
      <c r="I189" s="329">
        <v>70.720456419716129</v>
      </c>
      <c r="J189" s="329"/>
      <c r="K189" s="338">
        <v>17.680114104929032</v>
      </c>
      <c r="L189" s="338">
        <v>17.680114104929032</v>
      </c>
      <c r="M189" s="338">
        <v>17.680114104929032</v>
      </c>
      <c r="N189" s="338">
        <v>17.680114104929032</v>
      </c>
      <c r="O189" s="346"/>
    </row>
    <row r="190" spans="1:15" hidden="1" outlineLevel="2" x14ac:dyDescent="0.35">
      <c r="A190" s="433" t="s">
        <v>7976</v>
      </c>
      <c r="B190" s="344" t="s">
        <v>7999</v>
      </c>
      <c r="C190" s="434" t="s">
        <v>8000</v>
      </c>
      <c r="D190" s="435" t="s">
        <v>8306</v>
      </c>
      <c r="E190" s="434" t="s">
        <v>8271</v>
      </c>
      <c r="F190" s="346">
        <v>296642.25</v>
      </c>
      <c r="G190" s="338" t="s">
        <v>3800</v>
      </c>
      <c r="H190" s="338"/>
      <c r="I190" s="329">
        <v>70.720456419716129</v>
      </c>
      <c r="J190" s="329"/>
      <c r="K190" s="338">
        <v>17.680114104929032</v>
      </c>
      <c r="L190" s="338">
        <v>17.680114104929032</v>
      </c>
      <c r="M190" s="338">
        <v>17.680114104929032</v>
      </c>
      <c r="N190" s="338">
        <v>17.680114104929032</v>
      </c>
      <c r="O190" s="346"/>
    </row>
    <row r="191" spans="1:15" hidden="1" outlineLevel="2" x14ac:dyDescent="0.35">
      <c r="A191" s="433" t="s">
        <v>7976</v>
      </c>
      <c r="B191" s="344" t="s">
        <v>8002</v>
      </c>
      <c r="C191" s="434" t="s">
        <v>8003</v>
      </c>
      <c r="D191" s="435" t="s">
        <v>8307</v>
      </c>
      <c r="E191" s="434" t="s">
        <v>8273</v>
      </c>
      <c r="F191" s="346">
        <v>296642.25</v>
      </c>
      <c r="G191" s="338" t="s">
        <v>3800</v>
      </c>
      <c r="H191" s="338"/>
      <c r="I191" s="329">
        <v>70.720456419716129</v>
      </c>
      <c r="J191" s="329"/>
      <c r="K191" s="338">
        <v>17.680114104929032</v>
      </c>
      <c r="L191" s="338">
        <v>17.680114104929032</v>
      </c>
      <c r="M191" s="338">
        <v>17.680114104929032</v>
      </c>
      <c r="N191" s="338">
        <v>17.680114104929032</v>
      </c>
      <c r="O191" s="346"/>
    </row>
    <row r="192" spans="1:15" hidden="1" outlineLevel="2" x14ac:dyDescent="0.35">
      <c r="A192" s="433" t="s">
        <v>7976</v>
      </c>
      <c r="B192" s="344" t="s">
        <v>7999</v>
      </c>
      <c r="C192" s="434" t="s">
        <v>8000</v>
      </c>
      <c r="D192" s="435" t="s">
        <v>8307</v>
      </c>
      <c r="E192" s="434" t="s">
        <v>8273</v>
      </c>
      <c r="F192" s="346">
        <v>296642.25</v>
      </c>
      <c r="G192" s="338" t="s">
        <v>3800</v>
      </c>
      <c r="H192" s="338"/>
      <c r="I192" s="329">
        <v>70.720456419716129</v>
      </c>
      <c r="J192" s="329"/>
      <c r="K192" s="338">
        <v>17.680114104929032</v>
      </c>
      <c r="L192" s="338">
        <v>17.680114104929032</v>
      </c>
      <c r="M192" s="338">
        <v>17.680114104929032</v>
      </c>
      <c r="N192" s="338">
        <v>17.680114104929032</v>
      </c>
      <c r="O192" s="346"/>
    </row>
    <row r="193" spans="1:15" hidden="1" outlineLevel="2" x14ac:dyDescent="0.35">
      <c r="A193" s="433" t="s">
        <v>7976</v>
      </c>
      <c r="B193" s="344" t="s">
        <v>8002</v>
      </c>
      <c r="C193" s="434" t="s">
        <v>8003</v>
      </c>
      <c r="D193" s="435" t="s">
        <v>8308</v>
      </c>
      <c r="E193" s="434" t="s">
        <v>8275</v>
      </c>
      <c r="F193" s="346">
        <v>296642.25</v>
      </c>
      <c r="G193" s="338" t="s">
        <v>3800</v>
      </c>
      <c r="H193" s="338"/>
      <c r="I193" s="329">
        <v>70.720456419716129</v>
      </c>
      <c r="J193" s="329"/>
      <c r="K193" s="338">
        <v>17.680114104929032</v>
      </c>
      <c r="L193" s="338">
        <v>17.680114104929032</v>
      </c>
      <c r="M193" s="338">
        <v>17.680114104929032</v>
      </c>
      <c r="N193" s="338">
        <v>17.680114104929032</v>
      </c>
      <c r="O193" s="346"/>
    </row>
    <row r="194" spans="1:15" hidden="1" outlineLevel="2" x14ac:dyDescent="0.35">
      <c r="A194" s="433" t="s">
        <v>7976</v>
      </c>
      <c r="B194" s="344" t="s">
        <v>7999</v>
      </c>
      <c r="C194" s="434" t="s">
        <v>8000</v>
      </c>
      <c r="D194" s="435" t="s">
        <v>8308</v>
      </c>
      <c r="E194" s="434" t="s">
        <v>8275</v>
      </c>
      <c r="F194" s="346">
        <v>296642.25</v>
      </c>
      <c r="G194" s="338" t="s">
        <v>3800</v>
      </c>
      <c r="H194" s="338"/>
      <c r="I194" s="329">
        <v>70.720456419716129</v>
      </c>
      <c r="J194" s="329"/>
      <c r="K194" s="338">
        <v>17.680114104929032</v>
      </c>
      <c r="L194" s="338">
        <v>17.680114104929032</v>
      </c>
      <c r="M194" s="338">
        <v>17.680114104929032</v>
      </c>
      <c r="N194" s="338">
        <v>17.680114104929032</v>
      </c>
      <c r="O194" s="346"/>
    </row>
    <row r="195" spans="1:15" hidden="1" outlineLevel="2" x14ac:dyDescent="0.35">
      <c r="A195" s="433" t="s">
        <v>7976</v>
      </c>
      <c r="B195" s="344" t="s">
        <v>8002</v>
      </c>
      <c r="C195" s="434" t="s">
        <v>8003</v>
      </c>
      <c r="D195" s="435" t="s">
        <v>8309</v>
      </c>
      <c r="E195" s="434" t="s">
        <v>8277</v>
      </c>
      <c r="F195" s="346">
        <v>296642.25</v>
      </c>
      <c r="G195" s="338" t="s">
        <v>3800</v>
      </c>
      <c r="H195" s="338"/>
      <c r="I195" s="329">
        <v>70.720456419716129</v>
      </c>
      <c r="J195" s="329"/>
      <c r="K195" s="338">
        <v>17.680114104929032</v>
      </c>
      <c r="L195" s="338">
        <v>17.680114104929032</v>
      </c>
      <c r="M195" s="338">
        <v>17.680114104929032</v>
      </c>
      <c r="N195" s="338">
        <v>17.680114104929032</v>
      </c>
      <c r="O195" s="346"/>
    </row>
    <row r="196" spans="1:15" hidden="1" outlineLevel="2" x14ac:dyDescent="0.35">
      <c r="A196" s="433" t="s">
        <v>7976</v>
      </c>
      <c r="B196" s="344" t="s">
        <v>7999</v>
      </c>
      <c r="C196" s="434" t="s">
        <v>8000</v>
      </c>
      <c r="D196" s="435" t="s">
        <v>8309</v>
      </c>
      <c r="E196" s="434" t="s">
        <v>8277</v>
      </c>
      <c r="F196" s="346">
        <v>296642.25</v>
      </c>
      <c r="G196" s="338" t="s">
        <v>3800</v>
      </c>
      <c r="H196" s="338"/>
      <c r="I196" s="329">
        <v>70.720456419716129</v>
      </c>
      <c r="J196" s="329"/>
      <c r="K196" s="338">
        <v>17.680114104929032</v>
      </c>
      <c r="L196" s="338">
        <v>17.680114104929032</v>
      </c>
      <c r="M196" s="338">
        <v>17.680114104929032</v>
      </c>
      <c r="N196" s="338">
        <v>17.680114104929032</v>
      </c>
      <c r="O196" s="346"/>
    </row>
    <row r="197" spans="1:15" hidden="1" outlineLevel="2" x14ac:dyDescent="0.35">
      <c r="A197" s="433" t="s">
        <v>7976</v>
      </c>
      <c r="B197" s="344" t="s">
        <v>7987</v>
      </c>
      <c r="C197" s="434" t="s">
        <v>7988</v>
      </c>
      <c r="D197" s="435" t="s">
        <v>8310</v>
      </c>
      <c r="E197" s="434" t="s">
        <v>8269</v>
      </c>
      <c r="F197" s="346">
        <v>296642.25</v>
      </c>
      <c r="G197" s="338" t="s">
        <v>3800</v>
      </c>
      <c r="H197" s="338"/>
      <c r="I197" s="329">
        <v>70.720456419716129</v>
      </c>
      <c r="J197" s="329"/>
      <c r="K197" s="338">
        <v>17.680114104929032</v>
      </c>
      <c r="L197" s="338">
        <v>17.680114104929032</v>
      </c>
      <c r="M197" s="338">
        <v>17.680114104929032</v>
      </c>
      <c r="N197" s="338">
        <v>17.680114104929032</v>
      </c>
      <c r="O197" s="346"/>
    </row>
    <row r="198" spans="1:15" hidden="1" outlineLevel="2" x14ac:dyDescent="0.35">
      <c r="A198" s="433" t="s">
        <v>7976</v>
      </c>
      <c r="B198" s="344" t="s">
        <v>7987</v>
      </c>
      <c r="C198" s="434" t="s">
        <v>7988</v>
      </c>
      <c r="D198" s="435" t="s">
        <v>8311</v>
      </c>
      <c r="E198" s="434" t="s">
        <v>8271</v>
      </c>
      <c r="F198" s="346">
        <v>296642.25</v>
      </c>
      <c r="G198" s="338" t="s">
        <v>3800</v>
      </c>
      <c r="H198" s="338"/>
      <c r="I198" s="329">
        <v>70.720456419716129</v>
      </c>
      <c r="J198" s="329"/>
      <c r="K198" s="338">
        <v>17.680114104929032</v>
      </c>
      <c r="L198" s="338">
        <v>17.680114104929032</v>
      </c>
      <c r="M198" s="338">
        <v>17.680114104929032</v>
      </c>
      <c r="N198" s="338">
        <v>17.680114104929032</v>
      </c>
      <c r="O198" s="346"/>
    </row>
    <row r="199" spans="1:15" hidden="1" outlineLevel="2" x14ac:dyDescent="0.35">
      <c r="A199" s="433" t="s">
        <v>7976</v>
      </c>
      <c r="B199" s="344" t="s">
        <v>7987</v>
      </c>
      <c r="C199" s="434" t="s">
        <v>7988</v>
      </c>
      <c r="D199" s="435" t="s">
        <v>8312</v>
      </c>
      <c r="E199" s="434" t="s">
        <v>8273</v>
      </c>
      <c r="F199" s="346">
        <v>296642.25</v>
      </c>
      <c r="G199" s="338" t="s">
        <v>3800</v>
      </c>
      <c r="H199" s="338"/>
      <c r="I199" s="329">
        <v>70.720456419716129</v>
      </c>
      <c r="J199" s="329"/>
      <c r="K199" s="338">
        <v>17.680114104929032</v>
      </c>
      <c r="L199" s="338">
        <v>17.680114104929032</v>
      </c>
      <c r="M199" s="338">
        <v>17.680114104929032</v>
      </c>
      <c r="N199" s="338">
        <v>17.680114104929032</v>
      </c>
      <c r="O199" s="346"/>
    </row>
    <row r="200" spans="1:15" hidden="1" outlineLevel="2" x14ac:dyDescent="0.35">
      <c r="A200" s="433" t="s">
        <v>7976</v>
      </c>
      <c r="B200" s="344" t="s">
        <v>7987</v>
      </c>
      <c r="C200" s="434" t="s">
        <v>7988</v>
      </c>
      <c r="D200" s="435" t="s">
        <v>8313</v>
      </c>
      <c r="E200" s="434" t="s">
        <v>8275</v>
      </c>
      <c r="F200" s="346">
        <v>296642.25</v>
      </c>
      <c r="G200" s="338" t="s">
        <v>3800</v>
      </c>
      <c r="H200" s="338"/>
      <c r="I200" s="329">
        <v>70.720456419716129</v>
      </c>
      <c r="J200" s="329"/>
      <c r="K200" s="338">
        <v>17.680114104929032</v>
      </c>
      <c r="L200" s="338">
        <v>17.680114104929032</v>
      </c>
      <c r="M200" s="338">
        <v>17.680114104929032</v>
      </c>
      <c r="N200" s="338">
        <v>17.680114104929032</v>
      </c>
      <c r="O200" s="346"/>
    </row>
    <row r="201" spans="1:15" hidden="1" outlineLevel="2" x14ac:dyDescent="0.35">
      <c r="A201" s="433" t="s">
        <v>7976</v>
      </c>
      <c r="B201" s="344" t="s">
        <v>7987</v>
      </c>
      <c r="C201" s="434" t="s">
        <v>7988</v>
      </c>
      <c r="D201" s="435" t="s">
        <v>8314</v>
      </c>
      <c r="E201" s="434" t="s">
        <v>8277</v>
      </c>
      <c r="F201" s="346">
        <v>296642.25</v>
      </c>
      <c r="G201" s="338" t="s">
        <v>3800</v>
      </c>
      <c r="H201" s="338"/>
      <c r="I201" s="329">
        <v>70.720456419716129</v>
      </c>
      <c r="J201" s="329"/>
      <c r="K201" s="338">
        <v>17.680114104929032</v>
      </c>
      <c r="L201" s="338">
        <v>17.680114104929032</v>
      </c>
      <c r="M201" s="338">
        <v>17.680114104929032</v>
      </c>
      <c r="N201" s="338">
        <v>17.680114104929032</v>
      </c>
      <c r="O201" s="346"/>
    </row>
    <row r="202" spans="1:15" outlineLevel="1" collapsed="1" x14ac:dyDescent="0.35">
      <c r="A202" s="436" t="s">
        <v>8315</v>
      </c>
      <c r="B202" s="344"/>
      <c r="C202" s="434"/>
      <c r="D202" s="435"/>
      <c r="E202" s="434"/>
      <c r="F202" s="346"/>
      <c r="G202" s="338"/>
      <c r="H202" s="338"/>
      <c r="I202" s="329">
        <f t="shared" ref="I202:O202" si="12">SUBTOTAL(9,I140:I201)</f>
        <v>10827.571296756001</v>
      </c>
      <c r="J202" s="329"/>
      <c r="K202" s="338">
        <f t="shared" si="12"/>
        <v>2706.8928241890003</v>
      </c>
      <c r="L202" s="338">
        <f t="shared" si="12"/>
        <v>2706.8928241890003</v>
      </c>
      <c r="M202" s="338">
        <f t="shared" si="12"/>
        <v>2706.8928241890003</v>
      </c>
      <c r="N202" s="338">
        <f t="shared" si="12"/>
        <v>2706.8928241890003</v>
      </c>
      <c r="O202" s="346">
        <f t="shared" si="12"/>
        <v>0</v>
      </c>
    </row>
    <row r="203" spans="1:15" hidden="1" outlineLevel="2" x14ac:dyDescent="0.35">
      <c r="A203" s="433" t="s">
        <v>7968</v>
      </c>
      <c r="B203" s="344" t="s">
        <v>8264</v>
      </c>
      <c r="C203" s="434" t="s">
        <v>8316</v>
      </c>
      <c r="D203" s="435" t="s">
        <v>8317</v>
      </c>
      <c r="E203" s="434" t="s">
        <v>8318</v>
      </c>
      <c r="F203" s="346">
        <v>1200000</v>
      </c>
      <c r="G203" s="338" t="s">
        <v>3800</v>
      </c>
      <c r="H203" s="338"/>
      <c r="I203" s="329">
        <v>286.08381882101872</v>
      </c>
      <c r="J203" s="329"/>
      <c r="K203" s="338">
        <v>71.520954705254681</v>
      </c>
      <c r="L203" s="338">
        <v>71.520954705254681</v>
      </c>
      <c r="M203" s="338">
        <v>71.520954705254681</v>
      </c>
      <c r="N203" s="338">
        <v>71.520954705254681</v>
      </c>
      <c r="O203" s="346"/>
    </row>
    <row r="204" spans="1:15" hidden="1" outlineLevel="2" x14ac:dyDescent="0.35">
      <c r="A204" s="433" t="s">
        <v>7968</v>
      </c>
      <c r="B204" s="344">
        <v>44135</v>
      </c>
      <c r="C204" s="434">
        <v>241</v>
      </c>
      <c r="D204" s="435" t="s">
        <v>8319</v>
      </c>
      <c r="E204" s="434" t="s">
        <v>8320</v>
      </c>
      <c r="F204" s="346">
        <v>4544113</v>
      </c>
      <c r="G204" s="338" t="s">
        <v>3800</v>
      </c>
      <c r="H204" s="338"/>
      <c r="I204" s="329">
        <v>1065.222703691787</v>
      </c>
      <c r="J204" s="329"/>
      <c r="K204" s="338">
        <v>266.30567592294676</v>
      </c>
      <c r="L204" s="338">
        <v>266.30567592294676</v>
      </c>
      <c r="M204" s="338">
        <v>266.30567592294676</v>
      </c>
      <c r="N204" s="338">
        <v>266.30567592294676</v>
      </c>
      <c r="O204" s="346"/>
    </row>
    <row r="205" spans="1:15" hidden="1" outlineLevel="2" x14ac:dyDescent="0.35">
      <c r="A205" s="433" t="s">
        <v>7968</v>
      </c>
      <c r="B205" s="344" t="s">
        <v>8002</v>
      </c>
      <c r="C205" s="434" t="s">
        <v>8003</v>
      </c>
      <c r="D205" s="435" t="s">
        <v>8321</v>
      </c>
      <c r="E205" s="434" t="s">
        <v>8322</v>
      </c>
      <c r="F205" s="346">
        <v>655836</v>
      </c>
      <c r="G205" s="338" t="s">
        <v>3800</v>
      </c>
      <c r="H205" s="338"/>
      <c r="I205" s="329">
        <v>156.35338950025138</v>
      </c>
      <c r="J205" s="329"/>
      <c r="K205" s="338">
        <v>39.088347375062845</v>
      </c>
      <c r="L205" s="338">
        <v>39.088347375062845</v>
      </c>
      <c r="M205" s="338">
        <v>39.088347375062845</v>
      </c>
      <c r="N205" s="338">
        <v>39.088347375062845</v>
      </c>
      <c r="O205" s="346"/>
    </row>
    <row r="206" spans="1:15" hidden="1" outlineLevel="2" x14ac:dyDescent="0.35">
      <c r="A206" s="433" t="s">
        <v>7968</v>
      </c>
      <c r="B206" s="344" t="s">
        <v>7999</v>
      </c>
      <c r="C206" s="434" t="s">
        <v>8000</v>
      </c>
      <c r="D206" s="435" t="s">
        <v>8321</v>
      </c>
      <c r="E206" s="434" t="s">
        <v>8322</v>
      </c>
      <c r="F206" s="346">
        <v>655836</v>
      </c>
      <c r="G206" s="338" t="s">
        <v>3800</v>
      </c>
      <c r="H206" s="338"/>
      <c r="I206" s="329">
        <v>156.35338950025138</v>
      </c>
      <c r="J206" s="329"/>
      <c r="K206" s="338">
        <v>39.088347375062845</v>
      </c>
      <c r="L206" s="338">
        <v>39.088347375062845</v>
      </c>
      <c r="M206" s="338">
        <v>39.088347375062845</v>
      </c>
      <c r="N206" s="338">
        <v>39.088347375062845</v>
      </c>
      <c r="O206" s="346"/>
    </row>
    <row r="207" spans="1:15" hidden="1" outlineLevel="2" x14ac:dyDescent="0.35">
      <c r="A207" s="433" t="s">
        <v>7968</v>
      </c>
      <c r="B207" s="344">
        <v>44165</v>
      </c>
      <c r="C207" s="434">
        <v>249</v>
      </c>
      <c r="D207" s="435" t="s">
        <v>8323</v>
      </c>
      <c r="E207" s="434" t="s">
        <v>8320</v>
      </c>
      <c r="F207" s="346">
        <v>4544113</v>
      </c>
      <c r="G207" s="338" t="s">
        <v>3800</v>
      </c>
      <c r="H207" s="338"/>
      <c r="I207" s="329">
        <v>1065.222703691787</v>
      </c>
      <c r="J207" s="329"/>
      <c r="K207" s="338">
        <v>266.30567592294676</v>
      </c>
      <c r="L207" s="338">
        <v>266.30567592294676</v>
      </c>
      <c r="M207" s="338">
        <v>266.30567592294676</v>
      </c>
      <c r="N207" s="338">
        <v>266.30567592294676</v>
      </c>
      <c r="O207" s="346"/>
    </row>
    <row r="208" spans="1:15" hidden="1" outlineLevel="2" x14ac:dyDescent="0.35">
      <c r="A208" s="433" t="s">
        <v>7968</v>
      </c>
      <c r="B208" s="344">
        <v>43861</v>
      </c>
      <c r="C208" s="434">
        <v>168</v>
      </c>
      <c r="D208" s="435" t="s">
        <v>8324</v>
      </c>
      <c r="E208" s="434" t="s">
        <v>8320</v>
      </c>
      <c r="F208" s="346">
        <v>4544113</v>
      </c>
      <c r="G208" s="338" t="s">
        <v>3800</v>
      </c>
      <c r="H208" s="338"/>
      <c r="I208" s="329">
        <v>1065.222703691787</v>
      </c>
      <c r="J208" s="329"/>
      <c r="K208" s="338">
        <v>266.30567592294676</v>
      </c>
      <c r="L208" s="338">
        <v>266.30567592294676</v>
      </c>
      <c r="M208" s="338">
        <v>266.30567592294676</v>
      </c>
      <c r="N208" s="338">
        <v>266.30567592294676</v>
      </c>
      <c r="O208" s="346"/>
    </row>
    <row r="209" spans="1:15" hidden="1" outlineLevel="2" x14ac:dyDescent="0.35">
      <c r="A209" s="433" t="s">
        <v>7968</v>
      </c>
      <c r="B209" s="344" t="s">
        <v>8077</v>
      </c>
      <c r="C209" s="434" t="s">
        <v>8325</v>
      </c>
      <c r="D209" s="435" t="s">
        <v>8326</v>
      </c>
      <c r="E209" s="434" t="s">
        <v>8320</v>
      </c>
      <c r="F209" s="346">
        <v>4544113</v>
      </c>
      <c r="G209" s="338" t="s">
        <v>3800</v>
      </c>
      <c r="H209" s="338"/>
      <c r="I209" s="329">
        <v>1083.3310001618634</v>
      </c>
      <c r="J209" s="329"/>
      <c r="K209" s="338">
        <v>270.83275004046584</v>
      </c>
      <c r="L209" s="338">
        <v>270.83275004046584</v>
      </c>
      <c r="M209" s="338">
        <v>270.83275004046584</v>
      </c>
      <c r="N209" s="338">
        <v>270.83275004046584</v>
      </c>
      <c r="O209" s="346"/>
    </row>
    <row r="210" spans="1:15" hidden="1" outlineLevel="2" x14ac:dyDescent="0.35">
      <c r="A210" s="433" t="s">
        <v>7968</v>
      </c>
      <c r="B210" s="344" t="s">
        <v>8079</v>
      </c>
      <c r="C210" s="434" t="s">
        <v>8327</v>
      </c>
      <c r="D210" s="435" t="s">
        <v>8328</v>
      </c>
      <c r="E210" s="434" t="s">
        <v>8322</v>
      </c>
      <c r="F210" s="346">
        <v>1967507</v>
      </c>
      <c r="G210" s="338" t="s">
        <v>3800</v>
      </c>
      <c r="H210" s="338"/>
      <c r="I210" s="329">
        <v>469.05993009757179</v>
      </c>
      <c r="J210" s="329"/>
      <c r="K210" s="338">
        <v>117.26498252439295</v>
      </c>
      <c r="L210" s="338">
        <v>117.26498252439295</v>
      </c>
      <c r="M210" s="338">
        <v>117.26498252439295</v>
      </c>
      <c r="N210" s="338">
        <v>117.26498252439295</v>
      </c>
      <c r="O210" s="346"/>
    </row>
    <row r="211" spans="1:15" hidden="1" outlineLevel="2" x14ac:dyDescent="0.35">
      <c r="A211" s="433" t="s">
        <v>7968</v>
      </c>
      <c r="B211" s="344">
        <v>44196</v>
      </c>
      <c r="C211" s="434">
        <v>257</v>
      </c>
      <c r="D211" s="435" t="s">
        <v>8329</v>
      </c>
      <c r="E211" s="434" t="s">
        <v>8320</v>
      </c>
      <c r="F211" s="346">
        <v>4544113</v>
      </c>
      <c r="G211" s="338" t="s">
        <v>3800</v>
      </c>
      <c r="H211" s="338"/>
      <c r="I211" s="329">
        <v>1065.222703691787</v>
      </c>
      <c r="J211" s="329"/>
      <c r="K211" s="338">
        <v>266.30567592294676</v>
      </c>
      <c r="L211" s="338">
        <v>266.30567592294676</v>
      </c>
      <c r="M211" s="338">
        <v>266.30567592294676</v>
      </c>
      <c r="N211" s="338">
        <v>266.30567592294676</v>
      </c>
      <c r="O211" s="346"/>
    </row>
    <row r="212" spans="1:15" hidden="1" outlineLevel="2" x14ac:dyDescent="0.35">
      <c r="A212" s="433" t="s">
        <v>7968</v>
      </c>
      <c r="B212" s="344" t="s">
        <v>7987</v>
      </c>
      <c r="C212" s="434" t="s">
        <v>7988</v>
      </c>
      <c r="D212" s="435" t="s">
        <v>8330</v>
      </c>
      <c r="E212" s="434" t="s">
        <v>8322</v>
      </c>
      <c r="F212" s="346">
        <v>655836</v>
      </c>
      <c r="G212" s="338" t="s">
        <v>3800</v>
      </c>
      <c r="H212" s="338"/>
      <c r="I212" s="329">
        <v>156.35338950025138</v>
      </c>
      <c r="J212" s="329"/>
      <c r="K212" s="338">
        <v>39.088347375062845</v>
      </c>
      <c r="L212" s="338">
        <v>39.088347375062845</v>
      </c>
      <c r="M212" s="338">
        <v>39.088347375062845</v>
      </c>
      <c r="N212" s="338">
        <v>39.088347375062845</v>
      </c>
      <c r="O212" s="346"/>
    </row>
    <row r="213" spans="1:15" hidden="1" outlineLevel="2" x14ac:dyDescent="0.35">
      <c r="A213" s="433" t="s">
        <v>7968</v>
      </c>
      <c r="B213" s="344">
        <v>43890</v>
      </c>
      <c r="C213" s="434">
        <v>168</v>
      </c>
      <c r="D213" s="435" t="s">
        <v>8331</v>
      </c>
      <c r="E213" s="434" t="s">
        <v>8320</v>
      </c>
      <c r="F213" s="346">
        <v>4544113</v>
      </c>
      <c r="G213" s="338" t="s">
        <v>3800</v>
      </c>
      <c r="H213" s="338"/>
      <c r="I213" s="329">
        <v>1065.222703691787</v>
      </c>
      <c r="J213" s="329"/>
      <c r="K213" s="338">
        <v>266.30567592294676</v>
      </c>
      <c r="L213" s="338">
        <v>266.30567592294676</v>
      </c>
      <c r="M213" s="338">
        <v>266.30567592294676</v>
      </c>
      <c r="N213" s="338">
        <v>266.30567592294676</v>
      </c>
      <c r="O213" s="346"/>
    </row>
    <row r="214" spans="1:15" hidden="1" outlineLevel="2" x14ac:dyDescent="0.35">
      <c r="A214" s="433" t="s">
        <v>7968</v>
      </c>
      <c r="B214" s="344" t="s">
        <v>8075</v>
      </c>
      <c r="C214" s="434" t="s">
        <v>8332</v>
      </c>
      <c r="D214" s="435" t="s">
        <v>8333</v>
      </c>
      <c r="E214" s="434" t="s">
        <v>8320</v>
      </c>
      <c r="F214" s="346">
        <v>4544113</v>
      </c>
      <c r="G214" s="338" t="s">
        <v>3800</v>
      </c>
      <c r="H214" s="338"/>
      <c r="I214" s="329">
        <v>1083.3310001618634</v>
      </c>
      <c r="J214" s="329"/>
      <c r="K214" s="338">
        <v>270.83275004046584</v>
      </c>
      <c r="L214" s="338">
        <v>270.83275004046584</v>
      </c>
      <c r="M214" s="338">
        <v>270.83275004046584</v>
      </c>
      <c r="N214" s="338">
        <v>270.83275004046584</v>
      </c>
      <c r="O214" s="346"/>
    </row>
    <row r="215" spans="1:15" hidden="1" outlineLevel="2" x14ac:dyDescent="0.35">
      <c r="A215" s="433" t="s">
        <v>7968</v>
      </c>
      <c r="B215" s="344">
        <v>43921</v>
      </c>
      <c r="C215" s="434">
        <v>168</v>
      </c>
      <c r="D215" s="435" t="s">
        <v>8334</v>
      </c>
      <c r="E215" s="434" t="s">
        <v>8320</v>
      </c>
      <c r="F215" s="346">
        <v>4544113</v>
      </c>
      <c r="G215" s="338" t="s">
        <v>3800</v>
      </c>
      <c r="H215" s="338"/>
      <c r="I215" s="329">
        <v>1065.222703691787</v>
      </c>
      <c r="J215" s="329"/>
      <c r="K215" s="338">
        <v>266.30567592294676</v>
      </c>
      <c r="L215" s="338">
        <v>266.30567592294676</v>
      </c>
      <c r="M215" s="338">
        <v>266.30567592294676</v>
      </c>
      <c r="N215" s="338">
        <v>266.30567592294676</v>
      </c>
      <c r="O215" s="346"/>
    </row>
    <row r="216" spans="1:15" hidden="1" outlineLevel="2" x14ac:dyDescent="0.35">
      <c r="A216" s="433" t="s">
        <v>7968</v>
      </c>
      <c r="B216" s="344" t="s">
        <v>8089</v>
      </c>
      <c r="C216" s="434" t="s">
        <v>8335</v>
      </c>
      <c r="D216" s="435" t="s">
        <v>8336</v>
      </c>
      <c r="E216" s="434" t="s">
        <v>8320</v>
      </c>
      <c r="F216" s="346">
        <v>4544113</v>
      </c>
      <c r="G216" s="338" t="s">
        <v>3800</v>
      </c>
      <c r="H216" s="338"/>
      <c r="I216" s="329">
        <v>1083.3310001618634</v>
      </c>
      <c r="J216" s="329"/>
      <c r="K216" s="338">
        <v>270.83275004046584</v>
      </c>
      <c r="L216" s="338">
        <v>270.83275004046584</v>
      </c>
      <c r="M216" s="338">
        <v>270.83275004046584</v>
      </c>
      <c r="N216" s="338">
        <v>270.83275004046584</v>
      </c>
      <c r="O216" s="346"/>
    </row>
    <row r="217" spans="1:15" hidden="1" outlineLevel="2" x14ac:dyDescent="0.35">
      <c r="A217" s="433" t="s">
        <v>7968</v>
      </c>
      <c r="B217" s="344">
        <v>43951</v>
      </c>
      <c r="C217" s="434">
        <v>168</v>
      </c>
      <c r="D217" s="435" t="s">
        <v>8337</v>
      </c>
      <c r="E217" s="434" t="s">
        <v>8320</v>
      </c>
      <c r="F217" s="346">
        <v>4544113</v>
      </c>
      <c r="G217" s="338" t="s">
        <v>3800</v>
      </c>
      <c r="H217" s="338"/>
      <c r="I217" s="329">
        <v>1065.222703691787</v>
      </c>
      <c r="J217" s="329"/>
      <c r="K217" s="338">
        <v>266.30567592294676</v>
      </c>
      <c r="L217" s="338">
        <v>266.30567592294676</v>
      </c>
      <c r="M217" s="338">
        <v>266.30567592294676</v>
      </c>
      <c r="N217" s="338">
        <v>266.30567592294676</v>
      </c>
      <c r="O217" s="346"/>
    </row>
    <row r="218" spans="1:15" hidden="1" outlineLevel="2" x14ac:dyDescent="0.35">
      <c r="A218" s="433" t="s">
        <v>7968</v>
      </c>
      <c r="B218" s="344" t="s">
        <v>7980</v>
      </c>
      <c r="C218" s="434" t="s">
        <v>8338</v>
      </c>
      <c r="D218" s="435" t="s">
        <v>8339</v>
      </c>
      <c r="E218" s="434" t="s">
        <v>8320</v>
      </c>
      <c r="F218" s="346">
        <v>4544113</v>
      </c>
      <c r="G218" s="338" t="s">
        <v>3800</v>
      </c>
      <c r="H218" s="338"/>
      <c r="I218" s="329">
        <v>1083.3310001618634</v>
      </c>
      <c r="J218" s="329"/>
      <c r="K218" s="338">
        <v>270.83275004046584</v>
      </c>
      <c r="L218" s="338">
        <v>270.83275004046584</v>
      </c>
      <c r="M218" s="338">
        <v>270.83275004046584</v>
      </c>
      <c r="N218" s="338">
        <v>270.83275004046584</v>
      </c>
      <c r="O218" s="346"/>
    </row>
    <row r="219" spans="1:15" hidden="1" outlineLevel="2" x14ac:dyDescent="0.35">
      <c r="A219" s="433" t="s">
        <v>7968</v>
      </c>
      <c r="B219" s="344">
        <v>43982</v>
      </c>
      <c r="C219" s="434">
        <v>198</v>
      </c>
      <c r="D219" s="435" t="s">
        <v>8340</v>
      </c>
      <c r="E219" s="434" t="s">
        <v>8320</v>
      </c>
      <c r="F219" s="346">
        <v>4544113</v>
      </c>
      <c r="G219" s="338" t="s">
        <v>3800</v>
      </c>
      <c r="H219" s="338"/>
      <c r="I219" s="329">
        <v>1065.222703691787</v>
      </c>
      <c r="J219" s="329"/>
      <c r="K219" s="338">
        <v>266.30567592294676</v>
      </c>
      <c r="L219" s="338">
        <v>266.30567592294676</v>
      </c>
      <c r="M219" s="338">
        <v>266.30567592294676</v>
      </c>
      <c r="N219" s="338">
        <v>266.30567592294676</v>
      </c>
      <c r="O219" s="346"/>
    </row>
    <row r="220" spans="1:15" hidden="1" outlineLevel="2" x14ac:dyDescent="0.35">
      <c r="A220" s="433" t="s">
        <v>7968</v>
      </c>
      <c r="B220" s="344" t="s">
        <v>7996</v>
      </c>
      <c r="C220" s="434" t="s">
        <v>7997</v>
      </c>
      <c r="D220" s="435" t="s">
        <v>8341</v>
      </c>
      <c r="E220" s="434" t="s">
        <v>8322</v>
      </c>
      <c r="F220" s="346">
        <v>655836</v>
      </c>
      <c r="G220" s="338" t="s">
        <v>3800</v>
      </c>
      <c r="H220" s="338"/>
      <c r="I220" s="329">
        <v>156.35338950025138</v>
      </c>
      <c r="J220" s="329"/>
      <c r="K220" s="338">
        <v>39.088347375062845</v>
      </c>
      <c r="L220" s="338">
        <v>39.088347375062845</v>
      </c>
      <c r="M220" s="338">
        <v>39.088347375062845</v>
      </c>
      <c r="N220" s="338">
        <v>39.088347375062845</v>
      </c>
      <c r="O220" s="346"/>
    </row>
    <row r="221" spans="1:15" hidden="1" outlineLevel="2" x14ac:dyDescent="0.35">
      <c r="A221" s="433" t="s">
        <v>7968</v>
      </c>
      <c r="B221" s="344">
        <v>44012</v>
      </c>
      <c r="C221" s="434">
        <v>198</v>
      </c>
      <c r="D221" s="435" t="s">
        <v>8342</v>
      </c>
      <c r="E221" s="434" t="s">
        <v>8320</v>
      </c>
      <c r="F221" s="346">
        <v>4544113</v>
      </c>
      <c r="G221" s="338" t="s">
        <v>3800</v>
      </c>
      <c r="H221" s="338"/>
      <c r="I221" s="329">
        <v>1065.222703691787</v>
      </c>
      <c r="J221" s="329"/>
      <c r="K221" s="338">
        <v>266.30567592294676</v>
      </c>
      <c r="L221" s="338">
        <v>266.30567592294676</v>
      </c>
      <c r="M221" s="338">
        <v>266.30567592294676</v>
      </c>
      <c r="N221" s="338">
        <v>266.30567592294676</v>
      </c>
      <c r="O221" s="346"/>
    </row>
    <row r="222" spans="1:15" hidden="1" outlineLevel="2" x14ac:dyDescent="0.35">
      <c r="A222" s="433" t="s">
        <v>7968</v>
      </c>
      <c r="B222" s="344" t="s">
        <v>7993</v>
      </c>
      <c r="C222" s="434" t="s">
        <v>7994</v>
      </c>
      <c r="D222" s="435" t="s">
        <v>8343</v>
      </c>
      <c r="E222" s="434" t="s">
        <v>8322</v>
      </c>
      <c r="F222" s="346">
        <v>655836</v>
      </c>
      <c r="G222" s="338" t="s">
        <v>3800</v>
      </c>
      <c r="H222" s="338"/>
      <c r="I222" s="329">
        <v>156.35338950025138</v>
      </c>
      <c r="J222" s="329"/>
      <c r="K222" s="338">
        <v>39.088347375062845</v>
      </c>
      <c r="L222" s="338">
        <v>39.088347375062845</v>
      </c>
      <c r="M222" s="338">
        <v>39.088347375062845</v>
      </c>
      <c r="N222" s="338">
        <v>39.088347375062845</v>
      </c>
      <c r="O222" s="346"/>
    </row>
    <row r="223" spans="1:15" hidden="1" outlineLevel="2" x14ac:dyDescent="0.35">
      <c r="A223" s="433" t="s">
        <v>7968</v>
      </c>
      <c r="B223" s="344">
        <v>44043</v>
      </c>
      <c r="C223" s="434">
        <v>211</v>
      </c>
      <c r="D223" s="435" t="s">
        <v>8344</v>
      </c>
      <c r="E223" s="434" t="s">
        <v>8320</v>
      </c>
      <c r="F223" s="346">
        <v>4544113</v>
      </c>
      <c r="G223" s="338" t="s">
        <v>3800</v>
      </c>
      <c r="H223" s="338"/>
      <c r="I223" s="329">
        <v>1065.222703691787</v>
      </c>
      <c r="J223" s="329"/>
      <c r="K223" s="338">
        <v>266.30567592294676</v>
      </c>
      <c r="L223" s="338">
        <v>266.30567592294676</v>
      </c>
      <c r="M223" s="338">
        <v>266.30567592294676</v>
      </c>
      <c r="N223" s="338">
        <v>266.30567592294676</v>
      </c>
      <c r="O223" s="346"/>
    </row>
    <row r="224" spans="1:15" hidden="1" outlineLevel="2" x14ac:dyDescent="0.35">
      <c r="A224" s="433" t="s">
        <v>7968</v>
      </c>
      <c r="B224" s="344" t="s">
        <v>7990</v>
      </c>
      <c r="C224" s="434" t="s">
        <v>7991</v>
      </c>
      <c r="D224" s="435" t="s">
        <v>8345</v>
      </c>
      <c r="E224" s="434" t="s">
        <v>8322</v>
      </c>
      <c r="F224" s="346">
        <v>655836</v>
      </c>
      <c r="G224" s="338" t="s">
        <v>3800</v>
      </c>
      <c r="H224" s="338"/>
      <c r="I224" s="329">
        <v>156.35338950025138</v>
      </c>
      <c r="J224" s="329"/>
      <c r="K224" s="338">
        <v>39.088347375062845</v>
      </c>
      <c r="L224" s="338">
        <v>39.088347375062845</v>
      </c>
      <c r="M224" s="338">
        <v>39.088347375062845</v>
      </c>
      <c r="N224" s="338">
        <v>39.088347375062845</v>
      </c>
      <c r="O224" s="346"/>
    </row>
    <row r="225" spans="1:15" hidden="1" outlineLevel="2" x14ac:dyDescent="0.35">
      <c r="A225" s="433" t="s">
        <v>7968</v>
      </c>
      <c r="B225" s="344">
        <v>44074</v>
      </c>
      <c r="C225" s="434">
        <v>225</v>
      </c>
      <c r="D225" s="435" t="s">
        <v>8346</v>
      </c>
      <c r="E225" s="434" t="s">
        <v>8320</v>
      </c>
      <c r="F225" s="346">
        <v>4544113</v>
      </c>
      <c r="G225" s="338" t="s">
        <v>3800</v>
      </c>
      <c r="H225" s="338"/>
      <c r="I225" s="329">
        <v>1065.222703691787</v>
      </c>
      <c r="J225" s="329"/>
      <c r="K225" s="338">
        <v>266.30567592294676</v>
      </c>
      <c r="L225" s="338">
        <v>266.30567592294676</v>
      </c>
      <c r="M225" s="338">
        <v>266.30567592294676</v>
      </c>
      <c r="N225" s="338">
        <v>266.30567592294676</v>
      </c>
      <c r="O225" s="346"/>
    </row>
    <row r="226" spans="1:15" hidden="1" outlineLevel="2" x14ac:dyDescent="0.35">
      <c r="A226" s="433" t="s">
        <v>7968</v>
      </c>
      <c r="B226" s="344" t="s">
        <v>7984</v>
      </c>
      <c r="C226" s="434" t="s">
        <v>7985</v>
      </c>
      <c r="D226" s="435" t="s">
        <v>8347</v>
      </c>
      <c r="E226" s="434" t="s">
        <v>8322</v>
      </c>
      <c r="F226" s="346">
        <v>655836</v>
      </c>
      <c r="G226" s="338" t="s">
        <v>3800</v>
      </c>
      <c r="H226" s="338"/>
      <c r="I226" s="329">
        <v>156.35338950025138</v>
      </c>
      <c r="J226" s="329"/>
      <c r="K226" s="338">
        <v>39.088347375062845</v>
      </c>
      <c r="L226" s="338">
        <v>39.088347375062845</v>
      </c>
      <c r="M226" s="338">
        <v>39.088347375062845</v>
      </c>
      <c r="N226" s="338">
        <v>39.088347375062845</v>
      </c>
      <c r="O226" s="346"/>
    </row>
    <row r="227" spans="1:15" hidden="1" outlineLevel="2" x14ac:dyDescent="0.35">
      <c r="A227" s="433" t="s">
        <v>7968</v>
      </c>
      <c r="B227" s="344">
        <v>44104</v>
      </c>
      <c r="C227" s="434">
        <v>235</v>
      </c>
      <c r="D227" s="435" t="s">
        <v>8348</v>
      </c>
      <c r="E227" s="434" t="s">
        <v>8320</v>
      </c>
      <c r="F227" s="346">
        <v>4544113</v>
      </c>
      <c r="G227" s="338" t="s">
        <v>3800</v>
      </c>
      <c r="H227" s="338"/>
      <c r="I227" s="329">
        <v>1065.222703691787</v>
      </c>
      <c r="J227" s="329"/>
      <c r="K227" s="338">
        <v>266.30567592294676</v>
      </c>
      <c r="L227" s="338">
        <v>266.30567592294676</v>
      </c>
      <c r="M227" s="338">
        <v>266.30567592294676</v>
      </c>
      <c r="N227" s="338">
        <v>266.30567592294676</v>
      </c>
      <c r="O227" s="346"/>
    </row>
    <row r="228" spans="1:15" hidden="1" outlineLevel="2" x14ac:dyDescent="0.35">
      <c r="A228" s="433" t="s">
        <v>7968</v>
      </c>
      <c r="B228" s="344" t="s">
        <v>8005</v>
      </c>
      <c r="C228" s="434" t="s">
        <v>8006</v>
      </c>
      <c r="D228" s="435" t="s">
        <v>8349</v>
      </c>
      <c r="E228" s="434" t="s">
        <v>8322</v>
      </c>
      <c r="F228" s="346">
        <v>655836</v>
      </c>
      <c r="G228" s="338" t="s">
        <v>3800</v>
      </c>
      <c r="H228" s="338"/>
      <c r="I228" s="329">
        <v>156.35338950025138</v>
      </c>
      <c r="J228" s="329"/>
      <c r="K228" s="338">
        <v>39.088347375062845</v>
      </c>
      <c r="L228" s="338">
        <v>39.088347375062845</v>
      </c>
      <c r="M228" s="338">
        <v>39.088347375062845</v>
      </c>
      <c r="N228" s="338">
        <v>39.088347375062845</v>
      </c>
      <c r="O228" s="346"/>
    </row>
    <row r="229" spans="1:15" hidden="1" outlineLevel="2" x14ac:dyDescent="0.35">
      <c r="A229" s="433" t="s">
        <v>7968</v>
      </c>
      <c r="B229" s="344" t="s">
        <v>7987</v>
      </c>
      <c r="C229" s="434" t="s">
        <v>7988</v>
      </c>
      <c r="D229" s="435" t="s">
        <v>8350</v>
      </c>
      <c r="E229" s="434" t="s">
        <v>8322</v>
      </c>
      <c r="F229" s="346">
        <v>354151.17</v>
      </c>
      <c r="G229" s="338" t="s">
        <v>3800</v>
      </c>
      <c r="H229" s="338"/>
      <c r="I229" s="329">
        <v>84.430765961276506</v>
      </c>
      <c r="J229" s="329"/>
      <c r="K229" s="338">
        <v>21.107691490319127</v>
      </c>
      <c r="L229" s="338">
        <v>21.107691490319127</v>
      </c>
      <c r="M229" s="338">
        <v>21.107691490319127</v>
      </c>
      <c r="N229" s="338">
        <v>21.107691490319127</v>
      </c>
      <c r="O229" s="346"/>
    </row>
    <row r="230" spans="1:15" hidden="1" outlineLevel="2" x14ac:dyDescent="0.35">
      <c r="A230" s="433" t="s">
        <v>7968</v>
      </c>
      <c r="B230" s="344" t="s">
        <v>7987</v>
      </c>
      <c r="C230" s="434" t="s">
        <v>7988</v>
      </c>
      <c r="D230" s="435" t="s">
        <v>8351</v>
      </c>
      <c r="E230" s="434" t="s">
        <v>8322</v>
      </c>
      <c r="F230" s="346">
        <v>2361007.7999999998</v>
      </c>
      <c r="G230" s="338" t="s">
        <v>3800</v>
      </c>
      <c r="H230" s="338"/>
      <c r="I230" s="329">
        <v>562.87177307517663</v>
      </c>
      <c r="J230" s="329"/>
      <c r="K230" s="338">
        <v>140.71794326879416</v>
      </c>
      <c r="L230" s="338">
        <v>140.71794326879416</v>
      </c>
      <c r="M230" s="338">
        <v>140.71794326879416</v>
      </c>
      <c r="N230" s="338">
        <v>140.71794326879416</v>
      </c>
      <c r="O230" s="346"/>
    </row>
    <row r="231" spans="1:15" hidden="1" outlineLevel="2" x14ac:dyDescent="0.35">
      <c r="A231" s="433" t="s">
        <v>7968</v>
      </c>
      <c r="B231" s="344" t="s">
        <v>7987</v>
      </c>
      <c r="C231" s="434" t="s">
        <v>7988</v>
      </c>
      <c r="D231" s="435" t="s">
        <v>8352</v>
      </c>
      <c r="E231" s="434" t="s">
        <v>8322</v>
      </c>
      <c r="F231" s="346">
        <v>13385290.950000001</v>
      </c>
      <c r="G231" s="338" t="s">
        <v>3800</v>
      </c>
      <c r="H231" s="338"/>
      <c r="I231" s="329">
        <v>3191.0959591720184</v>
      </c>
      <c r="J231" s="329"/>
      <c r="K231" s="338">
        <v>797.7739897930046</v>
      </c>
      <c r="L231" s="338">
        <v>797.7739897930046</v>
      </c>
      <c r="M231" s="338">
        <v>797.7739897930046</v>
      </c>
      <c r="N231" s="338">
        <v>797.7739897930046</v>
      </c>
      <c r="O231" s="346"/>
    </row>
    <row r="232" spans="1:15" hidden="1" outlineLevel="2" x14ac:dyDescent="0.35">
      <c r="A232" s="433" t="s">
        <v>7968</v>
      </c>
      <c r="B232" s="344">
        <v>44135</v>
      </c>
      <c r="C232" s="434">
        <v>241</v>
      </c>
      <c r="D232" s="435" t="s">
        <v>8353</v>
      </c>
      <c r="E232" s="434" t="s">
        <v>8320</v>
      </c>
      <c r="F232" s="346">
        <v>136323</v>
      </c>
      <c r="G232" s="338" t="s">
        <v>3800</v>
      </c>
      <c r="H232" s="338"/>
      <c r="I232" s="329">
        <v>31.956589687663026</v>
      </c>
      <c r="J232" s="329"/>
      <c r="K232" s="338">
        <v>7.9891474219157566</v>
      </c>
      <c r="L232" s="338">
        <v>7.9891474219157566</v>
      </c>
      <c r="M232" s="338">
        <v>7.9891474219157566</v>
      </c>
      <c r="N232" s="338">
        <v>7.9891474219157566</v>
      </c>
      <c r="O232" s="346"/>
    </row>
    <row r="233" spans="1:15" hidden="1" outlineLevel="2" x14ac:dyDescent="0.35">
      <c r="A233" s="433" t="s">
        <v>7968</v>
      </c>
      <c r="B233" s="344" t="s">
        <v>8002</v>
      </c>
      <c r="C233" s="434" t="s">
        <v>8003</v>
      </c>
      <c r="D233" s="435" t="s">
        <v>8354</v>
      </c>
      <c r="E233" s="434" t="s">
        <v>8322</v>
      </c>
      <c r="F233" s="346">
        <v>19675</v>
      </c>
      <c r="G233" s="338" t="s">
        <v>3800</v>
      </c>
      <c r="H233" s="338"/>
      <c r="I233" s="329">
        <v>4.6905826127529533</v>
      </c>
      <c r="J233" s="329"/>
      <c r="K233" s="338">
        <v>1.1726456531882383</v>
      </c>
      <c r="L233" s="338">
        <v>1.1726456531882383</v>
      </c>
      <c r="M233" s="338">
        <v>1.1726456531882383</v>
      </c>
      <c r="N233" s="338">
        <v>1.1726456531882383</v>
      </c>
      <c r="O233" s="346"/>
    </row>
    <row r="234" spans="1:15" hidden="1" outlineLevel="2" x14ac:dyDescent="0.35">
      <c r="A234" s="433" t="s">
        <v>7968</v>
      </c>
      <c r="B234" s="344" t="s">
        <v>7999</v>
      </c>
      <c r="C234" s="434" t="s">
        <v>8000</v>
      </c>
      <c r="D234" s="435" t="s">
        <v>8354</v>
      </c>
      <c r="E234" s="434" t="s">
        <v>8322</v>
      </c>
      <c r="F234" s="346">
        <v>19675</v>
      </c>
      <c r="G234" s="338" t="s">
        <v>3800</v>
      </c>
      <c r="H234" s="338"/>
      <c r="I234" s="329">
        <v>4.6905826127529533</v>
      </c>
      <c r="J234" s="329"/>
      <c r="K234" s="338">
        <v>1.1726456531882383</v>
      </c>
      <c r="L234" s="338">
        <v>1.1726456531882383</v>
      </c>
      <c r="M234" s="338">
        <v>1.1726456531882383</v>
      </c>
      <c r="N234" s="338">
        <v>1.1726456531882383</v>
      </c>
      <c r="O234" s="346"/>
    </row>
    <row r="235" spans="1:15" hidden="1" outlineLevel="2" x14ac:dyDescent="0.35">
      <c r="A235" s="433" t="s">
        <v>7968</v>
      </c>
      <c r="B235" s="344">
        <v>44165</v>
      </c>
      <c r="C235" s="434">
        <v>249</v>
      </c>
      <c r="D235" s="435" t="s">
        <v>8355</v>
      </c>
      <c r="E235" s="434" t="s">
        <v>8320</v>
      </c>
      <c r="F235" s="346">
        <v>136323</v>
      </c>
      <c r="G235" s="338" t="s">
        <v>3800</v>
      </c>
      <c r="H235" s="338"/>
      <c r="I235" s="329">
        <v>31.956589687663026</v>
      </c>
      <c r="J235" s="329"/>
      <c r="K235" s="338">
        <v>7.9891474219157566</v>
      </c>
      <c r="L235" s="338">
        <v>7.9891474219157566</v>
      </c>
      <c r="M235" s="338">
        <v>7.9891474219157566</v>
      </c>
      <c r="N235" s="338">
        <v>7.9891474219157566</v>
      </c>
      <c r="O235" s="346"/>
    </row>
    <row r="236" spans="1:15" hidden="1" outlineLevel="2" x14ac:dyDescent="0.35">
      <c r="A236" s="433" t="s">
        <v>7968</v>
      </c>
      <c r="B236" s="344">
        <v>43861</v>
      </c>
      <c r="C236" s="434">
        <v>168</v>
      </c>
      <c r="D236" s="435" t="s">
        <v>8356</v>
      </c>
      <c r="E236" s="434" t="s">
        <v>8320</v>
      </c>
      <c r="F236" s="346">
        <v>136323</v>
      </c>
      <c r="G236" s="338" t="s">
        <v>3800</v>
      </c>
      <c r="H236" s="338"/>
      <c r="I236" s="329">
        <v>31.956589687663026</v>
      </c>
      <c r="J236" s="329"/>
      <c r="K236" s="338">
        <v>7.9891474219157566</v>
      </c>
      <c r="L236" s="338">
        <v>7.9891474219157566</v>
      </c>
      <c r="M236" s="338">
        <v>7.9891474219157566</v>
      </c>
      <c r="N236" s="338">
        <v>7.9891474219157566</v>
      </c>
      <c r="O236" s="346"/>
    </row>
    <row r="237" spans="1:15" hidden="1" outlineLevel="2" x14ac:dyDescent="0.35">
      <c r="A237" s="433" t="s">
        <v>7968</v>
      </c>
      <c r="B237" s="344" t="s">
        <v>8077</v>
      </c>
      <c r="C237" s="434" t="s">
        <v>8325</v>
      </c>
      <c r="D237" s="435" t="s">
        <v>8357</v>
      </c>
      <c r="E237" s="434" t="s">
        <v>8320</v>
      </c>
      <c r="F237" s="346">
        <v>136323</v>
      </c>
      <c r="G237" s="338" t="s">
        <v>3800</v>
      </c>
      <c r="H237" s="338"/>
      <c r="I237" s="329">
        <v>32.499837027614781</v>
      </c>
      <c r="J237" s="329"/>
      <c r="K237" s="338">
        <v>8.1249592569036952</v>
      </c>
      <c r="L237" s="338">
        <v>8.1249592569036952</v>
      </c>
      <c r="M237" s="338">
        <v>8.1249592569036952</v>
      </c>
      <c r="N237" s="338">
        <v>8.1249592569036952</v>
      </c>
      <c r="O237" s="346"/>
    </row>
    <row r="238" spans="1:15" hidden="1" outlineLevel="2" x14ac:dyDescent="0.35">
      <c r="A238" s="433" t="s">
        <v>7968</v>
      </c>
      <c r="B238" s="344" t="s">
        <v>8079</v>
      </c>
      <c r="C238" s="434" t="s">
        <v>8327</v>
      </c>
      <c r="D238" s="435" t="s">
        <v>8358</v>
      </c>
      <c r="E238" s="434" t="s">
        <v>8322</v>
      </c>
      <c r="F238" s="346">
        <v>59025</v>
      </c>
      <c r="G238" s="338" t="s">
        <v>3800</v>
      </c>
      <c r="H238" s="338"/>
      <c r="I238" s="329">
        <v>14.07174783825886</v>
      </c>
      <c r="J238" s="329"/>
      <c r="K238" s="338">
        <v>3.517936959564715</v>
      </c>
      <c r="L238" s="338">
        <v>3.517936959564715</v>
      </c>
      <c r="M238" s="338">
        <v>3.517936959564715</v>
      </c>
      <c r="N238" s="338">
        <v>3.517936959564715</v>
      </c>
      <c r="O238" s="346"/>
    </row>
    <row r="239" spans="1:15" hidden="1" outlineLevel="2" x14ac:dyDescent="0.35">
      <c r="A239" s="433" t="s">
        <v>7968</v>
      </c>
      <c r="B239" s="344">
        <v>44196</v>
      </c>
      <c r="C239" s="434">
        <v>257</v>
      </c>
      <c r="D239" s="435" t="s">
        <v>8359</v>
      </c>
      <c r="E239" s="434" t="s">
        <v>8320</v>
      </c>
      <c r="F239" s="346">
        <v>136323</v>
      </c>
      <c r="G239" s="338" t="s">
        <v>3800</v>
      </c>
      <c r="H239" s="338"/>
      <c r="I239" s="329">
        <v>31.956589687663026</v>
      </c>
      <c r="J239" s="329"/>
      <c r="K239" s="338">
        <v>7.9891474219157566</v>
      </c>
      <c r="L239" s="338">
        <v>7.9891474219157566</v>
      </c>
      <c r="M239" s="338">
        <v>7.9891474219157566</v>
      </c>
      <c r="N239" s="338">
        <v>7.9891474219157566</v>
      </c>
      <c r="O239" s="346"/>
    </row>
    <row r="240" spans="1:15" hidden="1" outlineLevel="2" x14ac:dyDescent="0.35">
      <c r="A240" s="433" t="s">
        <v>7968</v>
      </c>
      <c r="B240" s="344" t="s">
        <v>7987</v>
      </c>
      <c r="C240" s="434" t="s">
        <v>7988</v>
      </c>
      <c r="D240" s="435" t="s">
        <v>8360</v>
      </c>
      <c r="E240" s="434" t="s">
        <v>8322</v>
      </c>
      <c r="F240" s="346">
        <v>19675</v>
      </c>
      <c r="G240" s="338" t="s">
        <v>3800</v>
      </c>
      <c r="H240" s="338"/>
      <c r="I240" s="329">
        <v>4.6905826127529533</v>
      </c>
      <c r="J240" s="329"/>
      <c r="K240" s="338">
        <v>1.1726456531882383</v>
      </c>
      <c r="L240" s="338">
        <v>1.1726456531882383</v>
      </c>
      <c r="M240" s="338">
        <v>1.1726456531882383</v>
      </c>
      <c r="N240" s="338">
        <v>1.1726456531882383</v>
      </c>
      <c r="O240" s="346"/>
    </row>
    <row r="241" spans="1:15" hidden="1" outlineLevel="2" x14ac:dyDescent="0.35">
      <c r="A241" s="433" t="s">
        <v>7968</v>
      </c>
      <c r="B241" s="344">
        <v>43890</v>
      </c>
      <c r="C241" s="434">
        <v>168</v>
      </c>
      <c r="D241" s="435" t="s">
        <v>8361</v>
      </c>
      <c r="E241" s="434" t="s">
        <v>8320</v>
      </c>
      <c r="F241" s="346">
        <v>136323</v>
      </c>
      <c r="G241" s="338" t="s">
        <v>3800</v>
      </c>
      <c r="H241" s="338"/>
      <c r="I241" s="329">
        <v>31.956589687663026</v>
      </c>
      <c r="J241" s="329"/>
      <c r="K241" s="338">
        <v>7.9891474219157566</v>
      </c>
      <c r="L241" s="338">
        <v>7.9891474219157566</v>
      </c>
      <c r="M241" s="338">
        <v>7.9891474219157566</v>
      </c>
      <c r="N241" s="338">
        <v>7.9891474219157566</v>
      </c>
      <c r="O241" s="346"/>
    </row>
    <row r="242" spans="1:15" hidden="1" outlineLevel="2" x14ac:dyDescent="0.35">
      <c r="A242" s="433" t="s">
        <v>7968</v>
      </c>
      <c r="B242" s="344" t="s">
        <v>8075</v>
      </c>
      <c r="C242" s="434" t="s">
        <v>8332</v>
      </c>
      <c r="D242" s="435" t="s">
        <v>8362</v>
      </c>
      <c r="E242" s="434" t="s">
        <v>8320</v>
      </c>
      <c r="F242" s="346">
        <v>136323</v>
      </c>
      <c r="G242" s="338" t="s">
        <v>3800</v>
      </c>
      <c r="H242" s="338"/>
      <c r="I242" s="329">
        <v>32.499837027614781</v>
      </c>
      <c r="J242" s="329"/>
      <c r="K242" s="338">
        <v>8.1249592569036952</v>
      </c>
      <c r="L242" s="338">
        <v>8.1249592569036952</v>
      </c>
      <c r="M242" s="338">
        <v>8.1249592569036952</v>
      </c>
      <c r="N242" s="338">
        <v>8.1249592569036952</v>
      </c>
      <c r="O242" s="346"/>
    </row>
    <row r="243" spans="1:15" hidden="1" outlineLevel="2" x14ac:dyDescent="0.35">
      <c r="A243" s="433" t="s">
        <v>7968</v>
      </c>
      <c r="B243" s="344">
        <v>43921</v>
      </c>
      <c r="C243" s="434">
        <v>168</v>
      </c>
      <c r="D243" s="435" t="s">
        <v>8363</v>
      </c>
      <c r="E243" s="434" t="s">
        <v>8320</v>
      </c>
      <c r="F243" s="346">
        <v>136323</v>
      </c>
      <c r="G243" s="338" t="s">
        <v>3800</v>
      </c>
      <c r="H243" s="338"/>
      <c r="I243" s="329">
        <v>31.956589687663026</v>
      </c>
      <c r="J243" s="329"/>
      <c r="K243" s="338">
        <v>7.9891474219157566</v>
      </c>
      <c r="L243" s="338">
        <v>7.9891474219157566</v>
      </c>
      <c r="M243" s="338">
        <v>7.9891474219157566</v>
      </c>
      <c r="N243" s="338">
        <v>7.9891474219157566</v>
      </c>
      <c r="O243" s="346"/>
    </row>
    <row r="244" spans="1:15" hidden="1" outlineLevel="2" x14ac:dyDescent="0.35">
      <c r="A244" s="433" t="s">
        <v>7968</v>
      </c>
      <c r="B244" s="344" t="s">
        <v>8089</v>
      </c>
      <c r="C244" s="434" t="s">
        <v>8335</v>
      </c>
      <c r="D244" s="435" t="s">
        <v>8364</v>
      </c>
      <c r="E244" s="434" t="s">
        <v>8320</v>
      </c>
      <c r="F244" s="346">
        <v>136323</v>
      </c>
      <c r="G244" s="338" t="s">
        <v>3800</v>
      </c>
      <c r="H244" s="338"/>
      <c r="I244" s="329">
        <v>32.499837027614781</v>
      </c>
      <c r="J244" s="329"/>
      <c r="K244" s="338">
        <v>8.1249592569036952</v>
      </c>
      <c r="L244" s="338">
        <v>8.1249592569036952</v>
      </c>
      <c r="M244" s="338">
        <v>8.1249592569036952</v>
      </c>
      <c r="N244" s="338">
        <v>8.1249592569036952</v>
      </c>
      <c r="O244" s="346"/>
    </row>
    <row r="245" spans="1:15" hidden="1" outlineLevel="2" x14ac:dyDescent="0.35">
      <c r="A245" s="433" t="s">
        <v>7968</v>
      </c>
      <c r="B245" s="344">
        <v>43951</v>
      </c>
      <c r="C245" s="434">
        <v>168</v>
      </c>
      <c r="D245" s="435" t="s">
        <v>8365</v>
      </c>
      <c r="E245" s="434" t="s">
        <v>8320</v>
      </c>
      <c r="F245" s="346">
        <v>136323</v>
      </c>
      <c r="G245" s="338" t="s">
        <v>3800</v>
      </c>
      <c r="H245" s="338"/>
      <c r="I245" s="329">
        <v>31.956589687663026</v>
      </c>
      <c r="J245" s="329"/>
      <c r="K245" s="338">
        <v>7.9891474219157566</v>
      </c>
      <c r="L245" s="338">
        <v>7.9891474219157566</v>
      </c>
      <c r="M245" s="338">
        <v>7.9891474219157566</v>
      </c>
      <c r="N245" s="338">
        <v>7.9891474219157566</v>
      </c>
      <c r="O245" s="346"/>
    </row>
    <row r="246" spans="1:15" hidden="1" outlineLevel="2" x14ac:dyDescent="0.35">
      <c r="A246" s="433" t="s">
        <v>7968</v>
      </c>
      <c r="B246" s="344" t="s">
        <v>7980</v>
      </c>
      <c r="C246" s="434" t="s">
        <v>8338</v>
      </c>
      <c r="D246" s="435" t="s">
        <v>8366</v>
      </c>
      <c r="E246" s="434" t="s">
        <v>8320</v>
      </c>
      <c r="F246" s="346">
        <v>136323</v>
      </c>
      <c r="G246" s="338" t="s">
        <v>3800</v>
      </c>
      <c r="H246" s="338"/>
      <c r="I246" s="329">
        <v>32.499837027614781</v>
      </c>
      <c r="J246" s="329"/>
      <c r="K246" s="338">
        <v>8.1249592569036952</v>
      </c>
      <c r="L246" s="338">
        <v>8.1249592569036952</v>
      </c>
      <c r="M246" s="338">
        <v>8.1249592569036952</v>
      </c>
      <c r="N246" s="338">
        <v>8.1249592569036952</v>
      </c>
      <c r="O246" s="346"/>
    </row>
    <row r="247" spans="1:15" hidden="1" outlineLevel="2" x14ac:dyDescent="0.35">
      <c r="A247" s="433" t="s">
        <v>7968</v>
      </c>
      <c r="B247" s="344">
        <v>43982</v>
      </c>
      <c r="C247" s="434">
        <v>198</v>
      </c>
      <c r="D247" s="435" t="s">
        <v>8367</v>
      </c>
      <c r="E247" s="434" t="s">
        <v>8320</v>
      </c>
      <c r="F247" s="346">
        <v>136323</v>
      </c>
      <c r="G247" s="338" t="s">
        <v>3800</v>
      </c>
      <c r="H247" s="338"/>
      <c r="I247" s="329">
        <v>31.956589687663026</v>
      </c>
      <c r="J247" s="329"/>
      <c r="K247" s="338">
        <v>7.9891474219157566</v>
      </c>
      <c r="L247" s="338">
        <v>7.9891474219157566</v>
      </c>
      <c r="M247" s="338">
        <v>7.9891474219157566</v>
      </c>
      <c r="N247" s="338">
        <v>7.9891474219157566</v>
      </c>
      <c r="O247" s="346"/>
    </row>
    <row r="248" spans="1:15" hidden="1" outlineLevel="2" x14ac:dyDescent="0.35">
      <c r="A248" s="433" t="s">
        <v>7968</v>
      </c>
      <c r="B248" s="344" t="s">
        <v>7996</v>
      </c>
      <c r="C248" s="434" t="s">
        <v>7997</v>
      </c>
      <c r="D248" s="435" t="s">
        <v>8368</v>
      </c>
      <c r="E248" s="434" t="s">
        <v>8322</v>
      </c>
      <c r="F248" s="346">
        <v>19675</v>
      </c>
      <c r="G248" s="338" t="s">
        <v>3800</v>
      </c>
      <c r="H248" s="338"/>
      <c r="I248" s="329">
        <v>4.6905826127529533</v>
      </c>
      <c r="J248" s="329"/>
      <c r="K248" s="338">
        <v>1.1726456531882383</v>
      </c>
      <c r="L248" s="338">
        <v>1.1726456531882383</v>
      </c>
      <c r="M248" s="338">
        <v>1.1726456531882383</v>
      </c>
      <c r="N248" s="338">
        <v>1.1726456531882383</v>
      </c>
      <c r="O248" s="346"/>
    </row>
    <row r="249" spans="1:15" hidden="1" outlineLevel="2" x14ac:dyDescent="0.35">
      <c r="A249" s="433" t="s">
        <v>7968</v>
      </c>
      <c r="B249" s="344">
        <v>44012</v>
      </c>
      <c r="C249" s="434">
        <v>198</v>
      </c>
      <c r="D249" s="435" t="s">
        <v>8369</v>
      </c>
      <c r="E249" s="434" t="s">
        <v>8320</v>
      </c>
      <c r="F249" s="346">
        <v>136323</v>
      </c>
      <c r="G249" s="338" t="s">
        <v>3800</v>
      </c>
      <c r="H249" s="338"/>
      <c r="I249" s="329">
        <v>31.956589687663026</v>
      </c>
      <c r="J249" s="329"/>
      <c r="K249" s="338">
        <v>7.9891474219157566</v>
      </c>
      <c r="L249" s="338">
        <v>7.9891474219157566</v>
      </c>
      <c r="M249" s="338">
        <v>7.9891474219157566</v>
      </c>
      <c r="N249" s="338">
        <v>7.9891474219157566</v>
      </c>
      <c r="O249" s="346"/>
    </row>
    <row r="250" spans="1:15" hidden="1" outlineLevel="2" x14ac:dyDescent="0.35">
      <c r="A250" s="433" t="s">
        <v>7968</v>
      </c>
      <c r="B250" s="344" t="s">
        <v>7993</v>
      </c>
      <c r="C250" s="434" t="s">
        <v>7994</v>
      </c>
      <c r="D250" s="435" t="s">
        <v>8370</v>
      </c>
      <c r="E250" s="434" t="s">
        <v>8322</v>
      </c>
      <c r="F250" s="346">
        <v>19675</v>
      </c>
      <c r="G250" s="338" t="s">
        <v>3800</v>
      </c>
      <c r="H250" s="338"/>
      <c r="I250" s="329">
        <v>4.6905826127529533</v>
      </c>
      <c r="J250" s="329"/>
      <c r="K250" s="338">
        <v>1.1726456531882383</v>
      </c>
      <c r="L250" s="338">
        <v>1.1726456531882383</v>
      </c>
      <c r="M250" s="338">
        <v>1.1726456531882383</v>
      </c>
      <c r="N250" s="338">
        <v>1.1726456531882383</v>
      </c>
      <c r="O250" s="346"/>
    </row>
    <row r="251" spans="1:15" hidden="1" outlineLevel="2" x14ac:dyDescent="0.35">
      <c r="A251" s="433" t="s">
        <v>7968</v>
      </c>
      <c r="B251" s="344">
        <v>44043</v>
      </c>
      <c r="C251" s="434">
        <v>211</v>
      </c>
      <c r="D251" s="435" t="s">
        <v>8371</v>
      </c>
      <c r="E251" s="434" t="s">
        <v>8320</v>
      </c>
      <c r="F251" s="346">
        <v>136323</v>
      </c>
      <c r="G251" s="338" t="s">
        <v>3800</v>
      </c>
      <c r="H251" s="338"/>
      <c r="I251" s="329">
        <v>31.956589687663026</v>
      </c>
      <c r="J251" s="329"/>
      <c r="K251" s="338">
        <v>7.9891474219157566</v>
      </c>
      <c r="L251" s="338">
        <v>7.9891474219157566</v>
      </c>
      <c r="M251" s="338">
        <v>7.9891474219157566</v>
      </c>
      <c r="N251" s="338">
        <v>7.9891474219157566</v>
      </c>
      <c r="O251" s="346"/>
    </row>
    <row r="252" spans="1:15" hidden="1" outlineLevel="2" x14ac:dyDescent="0.35">
      <c r="A252" s="433" t="s">
        <v>7968</v>
      </c>
      <c r="B252" s="344" t="s">
        <v>7990</v>
      </c>
      <c r="C252" s="434" t="s">
        <v>7991</v>
      </c>
      <c r="D252" s="435" t="s">
        <v>8372</v>
      </c>
      <c r="E252" s="434" t="s">
        <v>8322</v>
      </c>
      <c r="F252" s="346">
        <v>19675</v>
      </c>
      <c r="G252" s="338" t="s">
        <v>3800</v>
      </c>
      <c r="H252" s="338"/>
      <c r="I252" s="329">
        <v>4.6905826127529533</v>
      </c>
      <c r="J252" s="329"/>
      <c r="K252" s="338">
        <v>1.1726456531882383</v>
      </c>
      <c r="L252" s="338">
        <v>1.1726456531882383</v>
      </c>
      <c r="M252" s="338">
        <v>1.1726456531882383</v>
      </c>
      <c r="N252" s="338">
        <v>1.1726456531882383</v>
      </c>
      <c r="O252" s="346"/>
    </row>
    <row r="253" spans="1:15" hidden="1" outlineLevel="2" x14ac:dyDescent="0.35">
      <c r="A253" s="433" t="s">
        <v>7968</v>
      </c>
      <c r="B253" s="344">
        <v>44074</v>
      </c>
      <c r="C253" s="434">
        <v>225</v>
      </c>
      <c r="D253" s="435" t="s">
        <v>8373</v>
      </c>
      <c r="E253" s="434" t="s">
        <v>8320</v>
      </c>
      <c r="F253" s="346">
        <v>136323</v>
      </c>
      <c r="G253" s="338" t="s">
        <v>3800</v>
      </c>
      <c r="H253" s="338"/>
      <c r="I253" s="329">
        <v>31.956589687663026</v>
      </c>
      <c r="J253" s="329"/>
      <c r="K253" s="338">
        <v>7.9891474219157566</v>
      </c>
      <c r="L253" s="338">
        <v>7.9891474219157566</v>
      </c>
      <c r="M253" s="338">
        <v>7.9891474219157566</v>
      </c>
      <c r="N253" s="338">
        <v>7.9891474219157566</v>
      </c>
      <c r="O253" s="346"/>
    </row>
    <row r="254" spans="1:15" hidden="1" outlineLevel="2" x14ac:dyDescent="0.35">
      <c r="A254" s="433" t="s">
        <v>7968</v>
      </c>
      <c r="B254" s="344" t="s">
        <v>7984</v>
      </c>
      <c r="C254" s="434" t="s">
        <v>7985</v>
      </c>
      <c r="D254" s="435" t="s">
        <v>8374</v>
      </c>
      <c r="E254" s="434" t="s">
        <v>8322</v>
      </c>
      <c r="F254" s="346">
        <v>19675</v>
      </c>
      <c r="G254" s="338" t="s">
        <v>3800</v>
      </c>
      <c r="H254" s="338"/>
      <c r="I254" s="329">
        <v>4.6905826127529533</v>
      </c>
      <c r="J254" s="329"/>
      <c r="K254" s="338">
        <v>1.1726456531882383</v>
      </c>
      <c r="L254" s="338">
        <v>1.1726456531882383</v>
      </c>
      <c r="M254" s="338">
        <v>1.1726456531882383</v>
      </c>
      <c r="N254" s="338">
        <v>1.1726456531882383</v>
      </c>
      <c r="O254" s="346"/>
    </row>
    <row r="255" spans="1:15" hidden="1" outlineLevel="2" x14ac:dyDescent="0.35">
      <c r="A255" s="425" t="s">
        <v>7968</v>
      </c>
      <c r="B255" s="327">
        <v>44104</v>
      </c>
      <c r="C255" s="426">
        <v>235</v>
      </c>
      <c r="D255" s="427" t="s">
        <v>8375</v>
      </c>
      <c r="E255" s="426" t="s">
        <v>8320</v>
      </c>
      <c r="F255" s="338">
        <v>136323</v>
      </c>
      <c r="G255" s="338" t="s">
        <v>3800</v>
      </c>
      <c r="H255" s="338"/>
      <c r="I255" s="329">
        <v>31.956589687663026</v>
      </c>
      <c r="J255" s="329"/>
      <c r="K255" s="338">
        <v>7.9891474219157566</v>
      </c>
      <c r="L255" s="338">
        <v>7.9891474219157566</v>
      </c>
      <c r="M255" s="338">
        <v>7.9891474219157566</v>
      </c>
      <c r="N255" s="338">
        <v>7.9891474219157566</v>
      </c>
      <c r="O255" s="338"/>
    </row>
    <row r="256" spans="1:15" hidden="1" outlineLevel="2" x14ac:dyDescent="0.35">
      <c r="A256" s="425" t="s">
        <v>7968</v>
      </c>
      <c r="B256" s="327" t="s">
        <v>8005</v>
      </c>
      <c r="C256" s="426" t="s">
        <v>8006</v>
      </c>
      <c r="D256" s="427" t="s">
        <v>8376</v>
      </c>
      <c r="E256" s="426" t="s">
        <v>8322</v>
      </c>
      <c r="F256" s="338">
        <v>19675</v>
      </c>
      <c r="G256" s="338" t="s">
        <v>3800</v>
      </c>
      <c r="H256" s="338"/>
      <c r="I256" s="329">
        <v>4.6905826127529533</v>
      </c>
      <c r="J256" s="329"/>
      <c r="K256" s="338">
        <v>1.1726456531882383</v>
      </c>
      <c r="L256" s="338">
        <v>1.1726456531882383</v>
      </c>
      <c r="M256" s="338">
        <v>1.1726456531882383</v>
      </c>
      <c r="N256" s="338">
        <v>1.1726456531882383</v>
      </c>
      <c r="O256" s="338"/>
    </row>
    <row r="257" spans="1:15" hidden="1" outlineLevel="2" x14ac:dyDescent="0.35">
      <c r="A257" s="425" t="s">
        <v>7968</v>
      </c>
      <c r="B257" s="327" t="s">
        <v>8002</v>
      </c>
      <c r="C257" s="426" t="s">
        <v>8003</v>
      </c>
      <c r="D257" s="427" t="s">
        <v>8377</v>
      </c>
      <c r="E257" s="426" t="s">
        <v>8322</v>
      </c>
      <c r="F257" s="338">
        <v>65583.55</v>
      </c>
      <c r="G257" s="338" t="s">
        <v>3800</v>
      </c>
      <c r="H257" s="338"/>
      <c r="I257" s="329">
        <v>15.635327029866021</v>
      </c>
      <c r="J257" s="329"/>
      <c r="K257" s="338">
        <v>3.9088317574665052</v>
      </c>
      <c r="L257" s="338">
        <v>3.9088317574665052</v>
      </c>
      <c r="M257" s="338">
        <v>3.9088317574665052</v>
      </c>
      <c r="N257" s="338">
        <v>3.9088317574665052</v>
      </c>
      <c r="O257" s="338"/>
    </row>
    <row r="258" spans="1:15" hidden="1" outlineLevel="2" x14ac:dyDescent="0.35">
      <c r="A258" s="425" t="s">
        <v>7968</v>
      </c>
      <c r="B258" s="327" t="s">
        <v>7999</v>
      </c>
      <c r="C258" s="426" t="s">
        <v>8000</v>
      </c>
      <c r="D258" s="427" t="s">
        <v>8377</v>
      </c>
      <c r="E258" s="426" t="s">
        <v>8322</v>
      </c>
      <c r="F258" s="338">
        <v>65583.55</v>
      </c>
      <c r="G258" s="338" t="s">
        <v>3800</v>
      </c>
      <c r="H258" s="338"/>
      <c r="I258" s="329">
        <v>15.635327029866021</v>
      </c>
      <c r="J258" s="329"/>
      <c r="K258" s="338">
        <v>3.9088317574665052</v>
      </c>
      <c r="L258" s="338">
        <v>3.9088317574665052</v>
      </c>
      <c r="M258" s="338">
        <v>3.9088317574665052</v>
      </c>
      <c r="N258" s="338">
        <v>3.9088317574665052</v>
      </c>
      <c r="O258" s="338"/>
    </row>
    <row r="259" spans="1:15" hidden="1" outlineLevel="2" x14ac:dyDescent="0.35">
      <c r="A259" s="425" t="s">
        <v>7968</v>
      </c>
      <c r="B259" s="327" t="s">
        <v>8079</v>
      </c>
      <c r="C259" s="426" t="s">
        <v>8327</v>
      </c>
      <c r="D259" s="427" t="s">
        <v>8378</v>
      </c>
      <c r="E259" s="426" t="s">
        <v>8322</v>
      </c>
      <c r="F259" s="338">
        <v>211751</v>
      </c>
      <c r="G259" s="338" t="s">
        <v>3800</v>
      </c>
      <c r="H259" s="338"/>
      <c r="I259" s="329">
        <v>50.482112265974614</v>
      </c>
      <c r="J259" s="329"/>
      <c r="K259" s="338">
        <v>12.620528066493653</v>
      </c>
      <c r="L259" s="338">
        <v>12.620528066493653</v>
      </c>
      <c r="M259" s="338">
        <v>12.620528066493653</v>
      </c>
      <c r="N259" s="338">
        <v>12.620528066493653</v>
      </c>
      <c r="O259" s="338"/>
    </row>
    <row r="260" spans="1:15" hidden="1" outlineLevel="2" x14ac:dyDescent="0.35">
      <c r="A260" s="425" t="s">
        <v>7968</v>
      </c>
      <c r="B260" s="327" t="s">
        <v>7987</v>
      </c>
      <c r="C260" s="426" t="s">
        <v>7988</v>
      </c>
      <c r="D260" s="427" t="s">
        <v>8379</v>
      </c>
      <c r="E260" s="426" t="s">
        <v>8322</v>
      </c>
      <c r="F260" s="338">
        <v>65583.55</v>
      </c>
      <c r="G260" s="338" t="s">
        <v>3800</v>
      </c>
      <c r="H260" s="338"/>
      <c r="I260" s="329">
        <v>15.635327029866021</v>
      </c>
      <c r="J260" s="329"/>
      <c r="K260" s="338">
        <v>3.9088317574665052</v>
      </c>
      <c r="L260" s="338">
        <v>3.9088317574665052</v>
      </c>
      <c r="M260" s="338">
        <v>3.9088317574665052</v>
      </c>
      <c r="N260" s="338">
        <v>3.9088317574665052</v>
      </c>
      <c r="O260" s="338"/>
    </row>
    <row r="261" spans="1:15" hidden="1" outlineLevel="2" x14ac:dyDescent="0.35">
      <c r="A261" s="425" t="s">
        <v>7968</v>
      </c>
      <c r="B261" s="327" t="s">
        <v>7996</v>
      </c>
      <c r="C261" s="426" t="s">
        <v>7997</v>
      </c>
      <c r="D261" s="427" t="s">
        <v>8380</v>
      </c>
      <c r="E261" s="426" t="s">
        <v>8322</v>
      </c>
      <c r="F261" s="338">
        <v>65583.55</v>
      </c>
      <c r="G261" s="338" t="s">
        <v>3800</v>
      </c>
      <c r="H261" s="338"/>
      <c r="I261" s="329">
        <v>15.635327029866021</v>
      </c>
      <c r="J261" s="329"/>
      <c r="K261" s="338">
        <v>3.9088317574665052</v>
      </c>
      <c r="L261" s="338">
        <v>3.9088317574665052</v>
      </c>
      <c r="M261" s="338">
        <v>3.9088317574665052</v>
      </c>
      <c r="N261" s="338">
        <v>3.9088317574665052</v>
      </c>
      <c r="O261" s="338"/>
    </row>
    <row r="262" spans="1:15" hidden="1" outlineLevel="2" x14ac:dyDescent="0.35">
      <c r="A262" s="425" t="s">
        <v>7968</v>
      </c>
      <c r="B262" s="327" t="s">
        <v>7993</v>
      </c>
      <c r="C262" s="426" t="s">
        <v>7994</v>
      </c>
      <c r="D262" s="427" t="s">
        <v>8381</v>
      </c>
      <c r="E262" s="426" t="s">
        <v>8322</v>
      </c>
      <c r="F262" s="338">
        <v>65583.55</v>
      </c>
      <c r="G262" s="338" t="s">
        <v>3800</v>
      </c>
      <c r="H262" s="338"/>
      <c r="I262" s="329">
        <v>15.635327029866021</v>
      </c>
      <c r="J262" s="329"/>
      <c r="K262" s="338">
        <v>3.9088317574665052</v>
      </c>
      <c r="L262" s="338">
        <v>3.9088317574665052</v>
      </c>
      <c r="M262" s="338">
        <v>3.9088317574665052</v>
      </c>
      <c r="N262" s="338">
        <v>3.9088317574665052</v>
      </c>
      <c r="O262" s="338"/>
    </row>
    <row r="263" spans="1:15" hidden="1" outlineLevel="2" x14ac:dyDescent="0.35">
      <c r="A263" s="425" t="s">
        <v>7968</v>
      </c>
      <c r="B263" s="327" t="s">
        <v>7990</v>
      </c>
      <c r="C263" s="426" t="s">
        <v>7991</v>
      </c>
      <c r="D263" s="427" t="s">
        <v>8382</v>
      </c>
      <c r="E263" s="426" t="s">
        <v>8322</v>
      </c>
      <c r="F263" s="338">
        <v>65583.55</v>
      </c>
      <c r="G263" s="338" t="s">
        <v>3800</v>
      </c>
      <c r="H263" s="338"/>
      <c r="I263" s="329">
        <v>15.635327029866021</v>
      </c>
      <c r="J263" s="329"/>
      <c r="K263" s="338">
        <v>3.9088317574665052</v>
      </c>
      <c r="L263" s="338">
        <v>3.9088317574665052</v>
      </c>
      <c r="M263" s="338">
        <v>3.9088317574665052</v>
      </c>
      <c r="N263" s="338">
        <v>3.9088317574665052</v>
      </c>
      <c r="O263" s="338"/>
    </row>
    <row r="264" spans="1:15" hidden="1" outlineLevel="2" x14ac:dyDescent="0.35">
      <c r="A264" s="425" t="s">
        <v>7968</v>
      </c>
      <c r="B264" s="327" t="s">
        <v>7984</v>
      </c>
      <c r="C264" s="426" t="s">
        <v>7985</v>
      </c>
      <c r="D264" s="427" t="s">
        <v>8383</v>
      </c>
      <c r="E264" s="426" t="s">
        <v>8322</v>
      </c>
      <c r="F264" s="338">
        <v>65583.55</v>
      </c>
      <c r="G264" s="338" t="s">
        <v>3800</v>
      </c>
      <c r="H264" s="338"/>
      <c r="I264" s="329">
        <v>15.635327029866021</v>
      </c>
      <c r="J264" s="329"/>
      <c r="K264" s="338">
        <v>3.9088317574665052</v>
      </c>
      <c r="L264" s="338">
        <v>3.9088317574665052</v>
      </c>
      <c r="M264" s="338">
        <v>3.9088317574665052</v>
      </c>
      <c r="N264" s="338">
        <v>3.9088317574665052</v>
      </c>
      <c r="O264" s="338"/>
    </row>
    <row r="265" spans="1:15" hidden="1" outlineLevel="2" x14ac:dyDescent="0.35">
      <c r="A265" s="425" t="s">
        <v>7968</v>
      </c>
      <c r="B265" s="327" t="s">
        <v>8005</v>
      </c>
      <c r="C265" s="426" t="s">
        <v>8006</v>
      </c>
      <c r="D265" s="427" t="s">
        <v>8384</v>
      </c>
      <c r="E265" s="426" t="s">
        <v>8322</v>
      </c>
      <c r="F265" s="338">
        <v>65583.55</v>
      </c>
      <c r="G265" s="338" t="s">
        <v>3800</v>
      </c>
      <c r="H265" s="338"/>
      <c r="I265" s="329">
        <v>15.635327029866021</v>
      </c>
      <c r="J265" s="329"/>
      <c r="K265" s="338">
        <v>3.9088317574665052</v>
      </c>
      <c r="L265" s="338">
        <v>3.9088317574665052</v>
      </c>
      <c r="M265" s="338">
        <v>3.9088317574665052</v>
      </c>
      <c r="N265" s="338">
        <v>3.9088317574665052</v>
      </c>
      <c r="O265" s="338"/>
    </row>
    <row r="266" spans="1:15" hidden="1" outlineLevel="2" x14ac:dyDescent="0.35">
      <c r="A266" s="425" t="s">
        <v>7968</v>
      </c>
      <c r="B266" s="327">
        <v>44135</v>
      </c>
      <c r="C266" s="426">
        <v>241</v>
      </c>
      <c r="D266" s="427" t="s">
        <v>8385</v>
      </c>
      <c r="E266" s="426" t="s">
        <v>8320</v>
      </c>
      <c r="F266" s="338">
        <v>454411</v>
      </c>
      <c r="G266" s="338" t="s">
        <v>3800</v>
      </c>
      <c r="H266" s="338"/>
      <c r="I266" s="329">
        <v>106.52220004372441</v>
      </c>
      <c r="J266" s="329"/>
      <c r="K266" s="338">
        <v>26.630550010931103</v>
      </c>
      <c r="L266" s="338">
        <v>26.630550010931103</v>
      </c>
      <c r="M266" s="338">
        <v>26.630550010931103</v>
      </c>
      <c r="N266" s="338">
        <v>26.630550010931103</v>
      </c>
      <c r="O266" s="338"/>
    </row>
    <row r="267" spans="1:15" hidden="1" outlineLevel="2" x14ac:dyDescent="0.35">
      <c r="A267" s="425" t="s">
        <v>7968</v>
      </c>
      <c r="B267" s="327">
        <v>44165</v>
      </c>
      <c r="C267" s="426">
        <v>249</v>
      </c>
      <c r="D267" s="427" t="s">
        <v>8386</v>
      </c>
      <c r="E267" s="426" t="s">
        <v>8320</v>
      </c>
      <c r="F267" s="338">
        <v>454411</v>
      </c>
      <c r="G267" s="338" t="s">
        <v>3800</v>
      </c>
      <c r="H267" s="338"/>
      <c r="I267" s="329">
        <v>106.52220004372441</v>
      </c>
      <c r="J267" s="329"/>
      <c r="K267" s="338">
        <v>26.630550010931103</v>
      </c>
      <c r="L267" s="338">
        <v>26.630550010931103</v>
      </c>
      <c r="M267" s="338">
        <v>26.630550010931103</v>
      </c>
      <c r="N267" s="338">
        <v>26.630550010931103</v>
      </c>
      <c r="O267" s="338"/>
    </row>
    <row r="268" spans="1:15" hidden="1" outlineLevel="2" x14ac:dyDescent="0.35">
      <c r="A268" s="425" t="s">
        <v>7968</v>
      </c>
      <c r="B268" s="327">
        <v>43861</v>
      </c>
      <c r="C268" s="426">
        <v>168</v>
      </c>
      <c r="D268" s="427" t="s">
        <v>8387</v>
      </c>
      <c r="E268" s="426" t="s">
        <v>8320</v>
      </c>
      <c r="F268" s="338">
        <v>454411</v>
      </c>
      <c r="G268" s="338" t="s">
        <v>3800</v>
      </c>
      <c r="H268" s="338"/>
      <c r="I268" s="329">
        <v>106.52220004372441</v>
      </c>
      <c r="J268" s="329"/>
      <c r="K268" s="338">
        <v>26.630550010931103</v>
      </c>
      <c r="L268" s="338">
        <v>26.630550010931103</v>
      </c>
      <c r="M268" s="338">
        <v>26.630550010931103</v>
      </c>
      <c r="N268" s="338">
        <v>26.630550010931103</v>
      </c>
      <c r="O268" s="338"/>
    </row>
    <row r="269" spans="1:15" hidden="1" outlineLevel="2" x14ac:dyDescent="0.35">
      <c r="A269" s="425" t="s">
        <v>7968</v>
      </c>
      <c r="B269" s="327" t="s">
        <v>8077</v>
      </c>
      <c r="C269" s="426" t="s">
        <v>8325</v>
      </c>
      <c r="D269" s="427" t="s">
        <v>8388</v>
      </c>
      <c r="E269" s="426" t="s">
        <v>8320</v>
      </c>
      <c r="F269" s="338">
        <v>454411</v>
      </c>
      <c r="G269" s="338" t="s">
        <v>3800</v>
      </c>
      <c r="H269" s="338"/>
      <c r="I269" s="329">
        <v>108.33302849523163</v>
      </c>
      <c r="J269" s="329"/>
      <c r="K269" s="338">
        <v>27.083257123807908</v>
      </c>
      <c r="L269" s="338">
        <v>27.083257123807908</v>
      </c>
      <c r="M269" s="338">
        <v>27.083257123807908</v>
      </c>
      <c r="N269" s="338">
        <v>27.083257123807908</v>
      </c>
      <c r="O269" s="338"/>
    </row>
    <row r="270" spans="1:15" hidden="1" outlineLevel="2" x14ac:dyDescent="0.35">
      <c r="A270" s="425" t="s">
        <v>7968</v>
      </c>
      <c r="B270" s="327">
        <v>44196</v>
      </c>
      <c r="C270" s="426">
        <v>257</v>
      </c>
      <c r="D270" s="427" t="s">
        <v>8389</v>
      </c>
      <c r="E270" s="426" t="s">
        <v>8320</v>
      </c>
      <c r="F270" s="338">
        <v>454411</v>
      </c>
      <c r="G270" s="338" t="s">
        <v>3800</v>
      </c>
      <c r="H270" s="338"/>
      <c r="I270" s="329">
        <v>106.52220004372441</v>
      </c>
      <c r="J270" s="329"/>
      <c r="K270" s="338">
        <v>26.630550010931103</v>
      </c>
      <c r="L270" s="338">
        <v>26.630550010931103</v>
      </c>
      <c r="M270" s="338">
        <v>26.630550010931103</v>
      </c>
      <c r="N270" s="338">
        <v>26.630550010931103</v>
      </c>
      <c r="O270" s="338"/>
    </row>
    <row r="271" spans="1:15" hidden="1" outlineLevel="2" x14ac:dyDescent="0.35">
      <c r="A271" s="425" t="s">
        <v>7968</v>
      </c>
      <c r="B271" s="327">
        <v>43890</v>
      </c>
      <c r="C271" s="426">
        <v>168</v>
      </c>
      <c r="D271" s="427" t="s">
        <v>8390</v>
      </c>
      <c r="E271" s="426" t="s">
        <v>8320</v>
      </c>
      <c r="F271" s="338">
        <v>454411</v>
      </c>
      <c r="G271" s="338" t="s">
        <v>3800</v>
      </c>
      <c r="H271" s="338"/>
      <c r="I271" s="329">
        <v>106.52220004372441</v>
      </c>
      <c r="J271" s="329"/>
      <c r="K271" s="338">
        <v>26.630550010931103</v>
      </c>
      <c r="L271" s="338">
        <v>26.630550010931103</v>
      </c>
      <c r="M271" s="338">
        <v>26.630550010931103</v>
      </c>
      <c r="N271" s="338">
        <v>26.630550010931103</v>
      </c>
      <c r="O271" s="338"/>
    </row>
    <row r="272" spans="1:15" hidden="1" outlineLevel="2" x14ac:dyDescent="0.35">
      <c r="A272" s="425" t="s">
        <v>7968</v>
      </c>
      <c r="B272" s="327" t="s">
        <v>8075</v>
      </c>
      <c r="C272" s="426" t="s">
        <v>8332</v>
      </c>
      <c r="D272" s="427" t="s">
        <v>8391</v>
      </c>
      <c r="E272" s="426" t="s">
        <v>8320</v>
      </c>
      <c r="F272" s="338">
        <v>454411</v>
      </c>
      <c r="G272" s="338" t="s">
        <v>3800</v>
      </c>
      <c r="H272" s="338"/>
      <c r="I272" s="329">
        <v>108.33302849523163</v>
      </c>
      <c r="J272" s="329"/>
      <c r="K272" s="338">
        <v>27.083257123807908</v>
      </c>
      <c r="L272" s="338">
        <v>27.083257123807908</v>
      </c>
      <c r="M272" s="338">
        <v>27.083257123807908</v>
      </c>
      <c r="N272" s="338">
        <v>27.083257123807908</v>
      </c>
      <c r="O272" s="338"/>
    </row>
    <row r="273" spans="1:15" hidden="1" outlineLevel="2" x14ac:dyDescent="0.35">
      <c r="A273" s="425" t="s">
        <v>7968</v>
      </c>
      <c r="B273" s="327">
        <v>43921</v>
      </c>
      <c r="C273" s="426">
        <v>168</v>
      </c>
      <c r="D273" s="427" t="s">
        <v>8392</v>
      </c>
      <c r="E273" s="426" t="s">
        <v>8320</v>
      </c>
      <c r="F273" s="338">
        <v>454411</v>
      </c>
      <c r="G273" s="338" t="s">
        <v>3800</v>
      </c>
      <c r="H273" s="338"/>
      <c r="I273" s="329">
        <v>106.52220004372441</v>
      </c>
      <c r="J273" s="329"/>
      <c r="K273" s="338">
        <v>26.630550010931103</v>
      </c>
      <c r="L273" s="338">
        <v>26.630550010931103</v>
      </c>
      <c r="M273" s="338">
        <v>26.630550010931103</v>
      </c>
      <c r="N273" s="338">
        <v>26.630550010931103</v>
      </c>
      <c r="O273" s="338"/>
    </row>
    <row r="274" spans="1:15" hidden="1" outlineLevel="2" x14ac:dyDescent="0.35">
      <c r="A274" s="425" t="s">
        <v>7968</v>
      </c>
      <c r="B274" s="327" t="s">
        <v>8089</v>
      </c>
      <c r="C274" s="426" t="s">
        <v>8335</v>
      </c>
      <c r="D274" s="427" t="s">
        <v>8393</v>
      </c>
      <c r="E274" s="426" t="s">
        <v>8320</v>
      </c>
      <c r="F274" s="338">
        <v>454411</v>
      </c>
      <c r="G274" s="338" t="s">
        <v>3800</v>
      </c>
      <c r="H274" s="338"/>
      <c r="I274" s="329">
        <v>108.33302849523163</v>
      </c>
      <c r="J274" s="329"/>
      <c r="K274" s="338">
        <v>27.083257123807908</v>
      </c>
      <c r="L274" s="338">
        <v>27.083257123807908</v>
      </c>
      <c r="M274" s="338">
        <v>27.083257123807908</v>
      </c>
      <c r="N274" s="338">
        <v>27.083257123807908</v>
      </c>
      <c r="O274" s="338"/>
    </row>
    <row r="275" spans="1:15" hidden="1" outlineLevel="2" x14ac:dyDescent="0.35">
      <c r="A275" s="425" t="s">
        <v>7968</v>
      </c>
      <c r="B275" s="327">
        <v>43951</v>
      </c>
      <c r="C275" s="426">
        <v>168</v>
      </c>
      <c r="D275" s="427" t="s">
        <v>8394</v>
      </c>
      <c r="E275" s="426" t="s">
        <v>8320</v>
      </c>
      <c r="F275" s="338">
        <v>454411</v>
      </c>
      <c r="G275" s="338" t="s">
        <v>3800</v>
      </c>
      <c r="H275" s="338"/>
      <c r="I275" s="329">
        <v>106.52220004372441</v>
      </c>
      <c r="J275" s="329"/>
      <c r="K275" s="338">
        <v>26.630550010931103</v>
      </c>
      <c r="L275" s="338">
        <v>26.630550010931103</v>
      </c>
      <c r="M275" s="338">
        <v>26.630550010931103</v>
      </c>
      <c r="N275" s="338">
        <v>26.630550010931103</v>
      </c>
      <c r="O275" s="338"/>
    </row>
    <row r="276" spans="1:15" hidden="1" outlineLevel="2" x14ac:dyDescent="0.35">
      <c r="A276" s="425" t="s">
        <v>7968</v>
      </c>
      <c r="B276" s="327" t="s">
        <v>7980</v>
      </c>
      <c r="C276" s="426" t="s">
        <v>8338</v>
      </c>
      <c r="D276" s="427" t="s">
        <v>8395</v>
      </c>
      <c r="E276" s="426" t="s">
        <v>8320</v>
      </c>
      <c r="F276" s="338">
        <v>454411</v>
      </c>
      <c r="G276" s="338" t="s">
        <v>3800</v>
      </c>
      <c r="H276" s="338"/>
      <c r="I276" s="329">
        <v>108.33302849523163</v>
      </c>
      <c r="J276" s="329"/>
      <c r="K276" s="338">
        <v>27.083257123807908</v>
      </c>
      <c r="L276" s="338">
        <v>27.083257123807908</v>
      </c>
      <c r="M276" s="338">
        <v>27.083257123807908</v>
      </c>
      <c r="N276" s="338">
        <v>27.083257123807908</v>
      </c>
      <c r="O276" s="338"/>
    </row>
    <row r="277" spans="1:15" hidden="1" outlineLevel="2" x14ac:dyDescent="0.35">
      <c r="A277" s="425" t="s">
        <v>7968</v>
      </c>
      <c r="B277" s="327">
        <v>43982</v>
      </c>
      <c r="C277" s="426">
        <v>198</v>
      </c>
      <c r="D277" s="427" t="s">
        <v>8396</v>
      </c>
      <c r="E277" s="426" t="s">
        <v>8320</v>
      </c>
      <c r="F277" s="338">
        <v>454411</v>
      </c>
      <c r="G277" s="338" t="s">
        <v>3800</v>
      </c>
      <c r="H277" s="338"/>
      <c r="I277" s="329">
        <v>106.52220004372441</v>
      </c>
      <c r="J277" s="329"/>
      <c r="K277" s="338">
        <v>26.630550010931103</v>
      </c>
      <c r="L277" s="338">
        <v>26.630550010931103</v>
      </c>
      <c r="M277" s="338">
        <v>26.630550010931103</v>
      </c>
      <c r="N277" s="338">
        <v>26.630550010931103</v>
      </c>
      <c r="O277" s="338"/>
    </row>
    <row r="278" spans="1:15" hidden="1" outlineLevel="2" x14ac:dyDescent="0.35">
      <c r="A278" s="425" t="s">
        <v>7968</v>
      </c>
      <c r="B278" s="327">
        <v>44012</v>
      </c>
      <c r="C278" s="426">
        <v>198</v>
      </c>
      <c r="D278" s="427" t="s">
        <v>8397</v>
      </c>
      <c r="E278" s="426" t="s">
        <v>8320</v>
      </c>
      <c r="F278" s="338">
        <v>454411</v>
      </c>
      <c r="G278" s="338" t="s">
        <v>3800</v>
      </c>
      <c r="H278" s="338"/>
      <c r="I278" s="329">
        <v>106.52220004372441</v>
      </c>
      <c r="J278" s="329"/>
      <c r="K278" s="338">
        <v>26.630550010931103</v>
      </c>
      <c r="L278" s="338">
        <v>26.630550010931103</v>
      </c>
      <c r="M278" s="338">
        <v>26.630550010931103</v>
      </c>
      <c r="N278" s="338">
        <v>26.630550010931103</v>
      </c>
      <c r="O278" s="338"/>
    </row>
    <row r="279" spans="1:15" hidden="1" outlineLevel="2" x14ac:dyDescent="0.35">
      <c r="A279" s="425" t="s">
        <v>7968</v>
      </c>
      <c r="B279" s="327">
        <v>44043</v>
      </c>
      <c r="C279" s="426">
        <v>211</v>
      </c>
      <c r="D279" s="427" t="s">
        <v>8398</v>
      </c>
      <c r="E279" s="426" t="s">
        <v>8320</v>
      </c>
      <c r="F279" s="338">
        <v>454411</v>
      </c>
      <c r="G279" s="338" t="s">
        <v>3800</v>
      </c>
      <c r="H279" s="338"/>
      <c r="I279" s="329">
        <v>106.52220004372441</v>
      </c>
      <c r="J279" s="329"/>
      <c r="K279" s="338">
        <v>26.630550010931103</v>
      </c>
      <c r="L279" s="338">
        <v>26.630550010931103</v>
      </c>
      <c r="M279" s="338">
        <v>26.630550010931103</v>
      </c>
      <c r="N279" s="338">
        <v>26.630550010931103</v>
      </c>
      <c r="O279" s="338"/>
    </row>
    <row r="280" spans="1:15" hidden="1" outlineLevel="2" x14ac:dyDescent="0.35">
      <c r="A280" s="425" t="s">
        <v>7968</v>
      </c>
      <c r="B280" s="327">
        <v>44074</v>
      </c>
      <c r="C280" s="426">
        <v>225</v>
      </c>
      <c r="D280" s="427" t="s">
        <v>8399</v>
      </c>
      <c r="E280" s="426" t="s">
        <v>8320</v>
      </c>
      <c r="F280" s="338">
        <v>454411</v>
      </c>
      <c r="G280" s="338" t="s">
        <v>3800</v>
      </c>
      <c r="H280" s="338"/>
      <c r="I280" s="329">
        <v>106.52220004372441</v>
      </c>
      <c r="J280" s="329"/>
      <c r="K280" s="338">
        <v>26.630550010931103</v>
      </c>
      <c r="L280" s="338">
        <v>26.630550010931103</v>
      </c>
      <c r="M280" s="338">
        <v>26.630550010931103</v>
      </c>
      <c r="N280" s="338">
        <v>26.630550010931103</v>
      </c>
      <c r="O280" s="338"/>
    </row>
    <row r="281" spans="1:15" hidden="1" outlineLevel="2" x14ac:dyDescent="0.35">
      <c r="A281" s="425" t="s">
        <v>7968</v>
      </c>
      <c r="B281" s="327">
        <v>44104</v>
      </c>
      <c r="C281" s="426">
        <v>235</v>
      </c>
      <c r="D281" s="427" t="s">
        <v>8400</v>
      </c>
      <c r="E281" s="426" t="s">
        <v>8320</v>
      </c>
      <c r="F281" s="338">
        <v>454411</v>
      </c>
      <c r="G281" s="338" t="s">
        <v>3800</v>
      </c>
      <c r="H281" s="338"/>
      <c r="I281" s="329">
        <v>106.52220004372441</v>
      </c>
      <c r="J281" s="329"/>
      <c r="K281" s="338">
        <v>26.630550010931103</v>
      </c>
      <c r="L281" s="338">
        <v>26.630550010931103</v>
      </c>
      <c r="M281" s="338">
        <v>26.630550010931103</v>
      </c>
      <c r="N281" s="338">
        <v>26.630550010931103</v>
      </c>
      <c r="O281" s="338"/>
    </row>
    <row r="282" spans="1:15" hidden="1" outlineLevel="2" x14ac:dyDescent="0.35">
      <c r="A282" s="425" t="s">
        <v>7968</v>
      </c>
      <c r="B282" s="327" t="s">
        <v>7999</v>
      </c>
      <c r="C282" s="426" t="s">
        <v>8000</v>
      </c>
      <c r="D282" s="427" t="s">
        <v>8401</v>
      </c>
      <c r="E282" s="426" t="s">
        <v>8322</v>
      </c>
      <c r="F282" s="338">
        <v>200000</v>
      </c>
      <c r="G282" s="338" t="s">
        <v>3800</v>
      </c>
      <c r="H282" s="338"/>
      <c r="I282" s="329">
        <v>47.680636470169794</v>
      </c>
      <c r="J282" s="329"/>
      <c r="K282" s="338">
        <v>11.920159117542449</v>
      </c>
      <c r="L282" s="338">
        <v>11.920159117542449</v>
      </c>
      <c r="M282" s="338">
        <v>11.920159117542449</v>
      </c>
      <c r="N282" s="338">
        <v>11.920159117542449</v>
      </c>
      <c r="O282" s="338"/>
    </row>
    <row r="283" spans="1:15" hidden="1" outlineLevel="2" x14ac:dyDescent="0.35">
      <c r="A283" s="425" t="s">
        <v>7968</v>
      </c>
      <c r="B283" s="327">
        <v>44135</v>
      </c>
      <c r="C283" s="426">
        <v>241</v>
      </c>
      <c r="D283" s="427" t="s">
        <v>8402</v>
      </c>
      <c r="E283" s="426" t="s">
        <v>8320</v>
      </c>
      <c r="F283" s="338">
        <v>681617</v>
      </c>
      <c r="G283" s="338" t="s">
        <v>3800</v>
      </c>
      <c r="H283" s="338"/>
      <c r="I283" s="329">
        <v>159.78341727467711</v>
      </c>
      <c r="J283" s="329"/>
      <c r="K283" s="338">
        <v>39.945854318669276</v>
      </c>
      <c r="L283" s="338">
        <v>39.945854318669276</v>
      </c>
      <c r="M283" s="338">
        <v>39.945854318669276</v>
      </c>
      <c r="N283" s="338">
        <v>39.945854318669276</v>
      </c>
      <c r="O283" s="338"/>
    </row>
    <row r="284" spans="1:15" hidden="1" outlineLevel="2" x14ac:dyDescent="0.35">
      <c r="A284" s="425" t="s">
        <v>7968</v>
      </c>
      <c r="B284" s="327">
        <v>44165</v>
      </c>
      <c r="C284" s="426">
        <v>249</v>
      </c>
      <c r="D284" s="427" t="s">
        <v>8403</v>
      </c>
      <c r="E284" s="426" t="s">
        <v>8320</v>
      </c>
      <c r="F284" s="338">
        <v>681617</v>
      </c>
      <c r="G284" s="338" t="s">
        <v>3800</v>
      </c>
      <c r="H284" s="338"/>
      <c r="I284" s="329">
        <v>159.78341727467711</v>
      </c>
      <c r="J284" s="329"/>
      <c r="K284" s="338">
        <v>39.945854318669276</v>
      </c>
      <c r="L284" s="338">
        <v>39.945854318669276</v>
      </c>
      <c r="M284" s="338">
        <v>39.945854318669276</v>
      </c>
      <c r="N284" s="338">
        <v>39.945854318669276</v>
      </c>
      <c r="O284" s="338"/>
    </row>
    <row r="285" spans="1:15" hidden="1" outlineLevel="2" x14ac:dyDescent="0.35">
      <c r="A285" s="425" t="s">
        <v>7968</v>
      </c>
      <c r="B285" s="327">
        <v>43861</v>
      </c>
      <c r="C285" s="426">
        <v>168</v>
      </c>
      <c r="D285" s="427" t="s">
        <v>8404</v>
      </c>
      <c r="E285" s="426" t="s">
        <v>8320</v>
      </c>
      <c r="F285" s="338">
        <v>681617</v>
      </c>
      <c r="G285" s="338" t="s">
        <v>3800</v>
      </c>
      <c r="H285" s="338"/>
      <c r="I285" s="329">
        <v>159.78341727467711</v>
      </c>
      <c r="J285" s="329"/>
      <c r="K285" s="338">
        <v>39.945854318669276</v>
      </c>
      <c r="L285" s="338">
        <v>39.945854318669276</v>
      </c>
      <c r="M285" s="338">
        <v>39.945854318669276</v>
      </c>
      <c r="N285" s="338">
        <v>39.945854318669276</v>
      </c>
      <c r="O285" s="338"/>
    </row>
    <row r="286" spans="1:15" hidden="1" outlineLevel="2" x14ac:dyDescent="0.35">
      <c r="A286" s="425" t="s">
        <v>7968</v>
      </c>
      <c r="B286" s="327" t="s">
        <v>8077</v>
      </c>
      <c r="C286" s="426" t="s">
        <v>8325</v>
      </c>
      <c r="D286" s="427" t="s">
        <v>8405</v>
      </c>
      <c r="E286" s="426" t="s">
        <v>8320</v>
      </c>
      <c r="F286" s="338">
        <v>681617</v>
      </c>
      <c r="G286" s="338" t="s">
        <v>3800</v>
      </c>
      <c r="H286" s="338"/>
      <c r="I286" s="329">
        <v>162.4996619444386</v>
      </c>
      <c r="J286" s="329"/>
      <c r="K286" s="338">
        <v>40.62491548610965</v>
      </c>
      <c r="L286" s="338">
        <v>40.62491548610965</v>
      </c>
      <c r="M286" s="338">
        <v>40.62491548610965</v>
      </c>
      <c r="N286" s="338">
        <v>40.62491548610965</v>
      </c>
      <c r="O286" s="338"/>
    </row>
    <row r="287" spans="1:15" hidden="1" outlineLevel="2" x14ac:dyDescent="0.35">
      <c r="A287" s="425" t="s">
        <v>7968</v>
      </c>
      <c r="B287" s="327">
        <v>44196</v>
      </c>
      <c r="C287" s="426">
        <v>257</v>
      </c>
      <c r="D287" s="427" t="s">
        <v>8406</v>
      </c>
      <c r="E287" s="426" t="s">
        <v>8320</v>
      </c>
      <c r="F287" s="338">
        <v>681617</v>
      </c>
      <c r="G287" s="338" t="s">
        <v>3800</v>
      </c>
      <c r="H287" s="338"/>
      <c r="I287" s="329">
        <v>159.78341727467711</v>
      </c>
      <c r="J287" s="329"/>
      <c r="K287" s="338">
        <v>39.945854318669276</v>
      </c>
      <c r="L287" s="338">
        <v>39.945854318669276</v>
      </c>
      <c r="M287" s="338">
        <v>39.945854318669276</v>
      </c>
      <c r="N287" s="338">
        <v>39.945854318669276</v>
      </c>
      <c r="O287" s="338"/>
    </row>
    <row r="288" spans="1:15" hidden="1" outlineLevel="2" x14ac:dyDescent="0.35">
      <c r="A288" s="425" t="s">
        <v>7968</v>
      </c>
      <c r="B288" s="327" t="s">
        <v>8002</v>
      </c>
      <c r="C288" s="426" t="s">
        <v>8003</v>
      </c>
      <c r="D288" s="427" t="s">
        <v>8407</v>
      </c>
      <c r="E288" s="426" t="s">
        <v>8322</v>
      </c>
      <c r="F288" s="338">
        <v>98375.324999999997</v>
      </c>
      <c r="G288" s="338" t="s">
        <v>3800</v>
      </c>
      <c r="H288" s="338"/>
      <c r="I288" s="329">
        <v>23.452990544799029</v>
      </c>
      <c r="J288" s="329"/>
      <c r="K288" s="338">
        <v>5.8632476361997572</v>
      </c>
      <c r="L288" s="338">
        <v>5.8632476361997572</v>
      </c>
      <c r="M288" s="338">
        <v>5.8632476361997572</v>
      </c>
      <c r="N288" s="338">
        <v>5.8632476361997572</v>
      </c>
      <c r="O288" s="338"/>
    </row>
    <row r="289" spans="1:15" hidden="1" outlineLevel="2" x14ac:dyDescent="0.35">
      <c r="A289" s="425" t="s">
        <v>7968</v>
      </c>
      <c r="B289" s="327" t="s">
        <v>7999</v>
      </c>
      <c r="C289" s="426" t="s">
        <v>8000</v>
      </c>
      <c r="D289" s="427" t="s">
        <v>8407</v>
      </c>
      <c r="E289" s="426" t="s">
        <v>8322</v>
      </c>
      <c r="F289" s="338">
        <v>98375.324999999997</v>
      </c>
      <c r="G289" s="338" t="s">
        <v>3800</v>
      </c>
      <c r="H289" s="338"/>
      <c r="I289" s="329">
        <v>23.452990544799029</v>
      </c>
      <c r="J289" s="329"/>
      <c r="K289" s="338">
        <v>5.8632476361997572</v>
      </c>
      <c r="L289" s="338">
        <v>5.8632476361997572</v>
      </c>
      <c r="M289" s="338">
        <v>5.8632476361997572</v>
      </c>
      <c r="N289" s="338">
        <v>5.8632476361997572</v>
      </c>
      <c r="O289" s="338"/>
    </row>
    <row r="290" spans="1:15" hidden="1" outlineLevel="2" x14ac:dyDescent="0.35">
      <c r="A290" s="425" t="s">
        <v>7968</v>
      </c>
      <c r="B290" s="327" t="s">
        <v>8079</v>
      </c>
      <c r="C290" s="426" t="s">
        <v>8327</v>
      </c>
      <c r="D290" s="427" t="s">
        <v>8408</v>
      </c>
      <c r="E290" s="426" t="s">
        <v>8322</v>
      </c>
      <c r="F290" s="338">
        <v>295126</v>
      </c>
      <c r="G290" s="338" t="s">
        <v>3800</v>
      </c>
      <c r="H290" s="338"/>
      <c r="I290" s="329">
        <v>70.358977594476656</v>
      </c>
      <c r="J290" s="329"/>
      <c r="K290" s="338">
        <v>17.589744398619164</v>
      </c>
      <c r="L290" s="338">
        <v>17.589744398619164</v>
      </c>
      <c r="M290" s="338">
        <v>17.589744398619164</v>
      </c>
      <c r="N290" s="338">
        <v>17.589744398619164</v>
      </c>
      <c r="O290" s="338"/>
    </row>
    <row r="291" spans="1:15" hidden="1" outlineLevel="2" x14ac:dyDescent="0.35">
      <c r="A291" s="425" t="s">
        <v>7968</v>
      </c>
      <c r="B291" s="327" t="s">
        <v>7987</v>
      </c>
      <c r="C291" s="426" t="s">
        <v>7988</v>
      </c>
      <c r="D291" s="427" t="s">
        <v>8409</v>
      </c>
      <c r="E291" s="426" t="s">
        <v>8322</v>
      </c>
      <c r="F291" s="338">
        <v>98375.324999999997</v>
      </c>
      <c r="G291" s="338" t="s">
        <v>3800</v>
      </c>
      <c r="H291" s="338"/>
      <c r="I291" s="329">
        <v>23.452990544799029</v>
      </c>
      <c r="J291" s="329"/>
      <c r="K291" s="338">
        <v>5.8632476361997572</v>
      </c>
      <c r="L291" s="338">
        <v>5.8632476361997572</v>
      </c>
      <c r="M291" s="338">
        <v>5.8632476361997572</v>
      </c>
      <c r="N291" s="338">
        <v>5.8632476361997572</v>
      </c>
      <c r="O291" s="338"/>
    </row>
    <row r="292" spans="1:15" hidden="1" outlineLevel="2" x14ac:dyDescent="0.35">
      <c r="A292" s="425" t="s">
        <v>7968</v>
      </c>
      <c r="B292" s="327" t="s">
        <v>7996</v>
      </c>
      <c r="C292" s="426" t="s">
        <v>7997</v>
      </c>
      <c r="D292" s="427" t="s">
        <v>8410</v>
      </c>
      <c r="E292" s="426" t="s">
        <v>8322</v>
      </c>
      <c r="F292" s="338">
        <v>98375</v>
      </c>
      <c r="G292" s="338" t="s">
        <v>3800</v>
      </c>
      <c r="H292" s="338"/>
      <c r="I292" s="329">
        <v>23.452913063764765</v>
      </c>
      <c r="J292" s="329"/>
      <c r="K292" s="338">
        <v>5.8632282659411912</v>
      </c>
      <c r="L292" s="338">
        <v>5.8632282659411912</v>
      </c>
      <c r="M292" s="338">
        <v>5.8632282659411912</v>
      </c>
      <c r="N292" s="338">
        <v>5.8632282659411912</v>
      </c>
      <c r="O292" s="338"/>
    </row>
    <row r="293" spans="1:15" hidden="1" outlineLevel="2" x14ac:dyDescent="0.35">
      <c r="A293" s="425" t="s">
        <v>7968</v>
      </c>
      <c r="B293" s="327" t="s">
        <v>7993</v>
      </c>
      <c r="C293" s="426" t="s">
        <v>7994</v>
      </c>
      <c r="D293" s="427" t="s">
        <v>8411</v>
      </c>
      <c r="E293" s="426" t="s">
        <v>8322</v>
      </c>
      <c r="F293" s="338">
        <v>98375</v>
      </c>
      <c r="G293" s="338" t="s">
        <v>3800</v>
      </c>
      <c r="H293" s="338"/>
      <c r="I293" s="329">
        <v>23.452913063764765</v>
      </c>
      <c r="J293" s="329"/>
      <c r="K293" s="338">
        <v>5.8632282659411912</v>
      </c>
      <c r="L293" s="338">
        <v>5.8632282659411912</v>
      </c>
      <c r="M293" s="338">
        <v>5.8632282659411912</v>
      </c>
      <c r="N293" s="338">
        <v>5.8632282659411912</v>
      </c>
      <c r="O293" s="338"/>
    </row>
    <row r="294" spans="1:15" hidden="1" outlineLevel="2" x14ac:dyDescent="0.35">
      <c r="A294" s="425" t="s">
        <v>7968</v>
      </c>
      <c r="B294" s="327" t="s">
        <v>7990</v>
      </c>
      <c r="C294" s="426" t="s">
        <v>7991</v>
      </c>
      <c r="D294" s="427" t="s">
        <v>8412</v>
      </c>
      <c r="E294" s="426" t="s">
        <v>8322</v>
      </c>
      <c r="F294" s="338">
        <v>98375.324999999997</v>
      </c>
      <c r="G294" s="338" t="s">
        <v>3800</v>
      </c>
      <c r="H294" s="338"/>
      <c r="I294" s="329">
        <v>23.452990544799029</v>
      </c>
      <c r="J294" s="329"/>
      <c r="K294" s="338">
        <v>5.8632476361997572</v>
      </c>
      <c r="L294" s="338">
        <v>5.8632476361997572</v>
      </c>
      <c r="M294" s="338">
        <v>5.8632476361997572</v>
      </c>
      <c r="N294" s="338">
        <v>5.8632476361997572</v>
      </c>
      <c r="O294" s="338"/>
    </row>
    <row r="295" spans="1:15" hidden="1" outlineLevel="2" x14ac:dyDescent="0.35">
      <c r="A295" s="425" t="s">
        <v>7968</v>
      </c>
      <c r="B295" s="327" t="s">
        <v>7984</v>
      </c>
      <c r="C295" s="426" t="s">
        <v>7985</v>
      </c>
      <c r="D295" s="427" t="s">
        <v>8413</v>
      </c>
      <c r="E295" s="426" t="s">
        <v>8322</v>
      </c>
      <c r="F295" s="338">
        <v>98375.324999999997</v>
      </c>
      <c r="G295" s="338" t="s">
        <v>3800</v>
      </c>
      <c r="H295" s="338"/>
      <c r="I295" s="329">
        <v>23.452990544799029</v>
      </c>
      <c r="J295" s="329"/>
      <c r="K295" s="338">
        <v>5.8632476361997572</v>
      </c>
      <c r="L295" s="338">
        <v>5.8632476361997572</v>
      </c>
      <c r="M295" s="338">
        <v>5.8632476361997572</v>
      </c>
      <c r="N295" s="338">
        <v>5.8632476361997572</v>
      </c>
      <c r="O295" s="338"/>
    </row>
    <row r="296" spans="1:15" hidden="1" outlineLevel="2" x14ac:dyDescent="0.35">
      <c r="A296" s="425" t="s">
        <v>7968</v>
      </c>
      <c r="B296" s="327" t="s">
        <v>8005</v>
      </c>
      <c r="C296" s="426" t="s">
        <v>8006</v>
      </c>
      <c r="D296" s="427" t="s">
        <v>8414</v>
      </c>
      <c r="E296" s="426" t="s">
        <v>8322</v>
      </c>
      <c r="F296" s="338">
        <v>98375.324999999997</v>
      </c>
      <c r="G296" s="338" t="s">
        <v>3800</v>
      </c>
      <c r="H296" s="338"/>
      <c r="I296" s="329">
        <v>23.452990544799029</v>
      </c>
      <c r="J296" s="329"/>
      <c r="K296" s="338">
        <v>5.8632476361997572</v>
      </c>
      <c r="L296" s="338">
        <v>5.8632476361997572</v>
      </c>
      <c r="M296" s="338">
        <v>5.8632476361997572</v>
      </c>
      <c r="N296" s="338">
        <v>5.8632476361997572</v>
      </c>
      <c r="O296" s="338"/>
    </row>
    <row r="297" spans="1:15" hidden="1" outlineLevel="2" x14ac:dyDescent="0.35">
      <c r="A297" s="425" t="s">
        <v>7968</v>
      </c>
      <c r="B297" s="327">
        <v>43890</v>
      </c>
      <c r="C297" s="426">
        <v>168</v>
      </c>
      <c r="D297" s="427" t="s">
        <v>8415</v>
      </c>
      <c r="E297" s="426" t="s">
        <v>8320</v>
      </c>
      <c r="F297" s="338">
        <v>681617</v>
      </c>
      <c r="G297" s="338" t="s">
        <v>3800</v>
      </c>
      <c r="H297" s="338"/>
      <c r="I297" s="329">
        <v>159.78341727467711</v>
      </c>
      <c r="J297" s="329"/>
      <c r="K297" s="338">
        <v>39.945854318669276</v>
      </c>
      <c r="L297" s="338">
        <v>39.945854318669276</v>
      </c>
      <c r="M297" s="338">
        <v>39.945854318669276</v>
      </c>
      <c r="N297" s="338">
        <v>39.945854318669276</v>
      </c>
      <c r="O297" s="338"/>
    </row>
    <row r="298" spans="1:15" hidden="1" outlineLevel="2" x14ac:dyDescent="0.35">
      <c r="A298" s="425" t="s">
        <v>7968</v>
      </c>
      <c r="B298" s="327" t="s">
        <v>8075</v>
      </c>
      <c r="C298" s="426" t="s">
        <v>8332</v>
      </c>
      <c r="D298" s="427" t="s">
        <v>8416</v>
      </c>
      <c r="E298" s="426" t="s">
        <v>8320</v>
      </c>
      <c r="F298" s="338">
        <v>681617</v>
      </c>
      <c r="G298" s="338" t="s">
        <v>3800</v>
      </c>
      <c r="H298" s="338"/>
      <c r="I298" s="329">
        <v>162.4996619444386</v>
      </c>
      <c r="J298" s="329"/>
      <c r="K298" s="338">
        <v>40.62491548610965</v>
      </c>
      <c r="L298" s="338">
        <v>40.62491548610965</v>
      </c>
      <c r="M298" s="338">
        <v>40.62491548610965</v>
      </c>
      <c r="N298" s="338">
        <v>40.62491548610965</v>
      </c>
      <c r="O298" s="338"/>
    </row>
    <row r="299" spans="1:15" hidden="1" outlineLevel="2" x14ac:dyDescent="0.35">
      <c r="A299" s="425" t="s">
        <v>7968</v>
      </c>
      <c r="B299" s="327">
        <v>43921</v>
      </c>
      <c r="C299" s="426">
        <v>168</v>
      </c>
      <c r="D299" s="427" t="s">
        <v>8417</v>
      </c>
      <c r="E299" s="426" t="s">
        <v>8320</v>
      </c>
      <c r="F299" s="338">
        <v>681617</v>
      </c>
      <c r="G299" s="338" t="s">
        <v>3800</v>
      </c>
      <c r="H299" s="338"/>
      <c r="I299" s="329">
        <v>159.78341727467711</v>
      </c>
      <c r="J299" s="329"/>
      <c r="K299" s="338">
        <v>39.945854318669276</v>
      </c>
      <c r="L299" s="338">
        <v>39.945854318669276</v>
      </c>
      <c r="M299" s="338">
        <v>39.945854318669276</v>
      </c>
      <c r="N299" s="338">
        <v>39.945854318669276</v>
      </c>
      <c r="O299" s="338"/>
    </row>
    <row r="300" spans="1:15" hidden="1" outlineLevel="2" x14ac:dyDescent="0.35">
      <c r="A300" s="425" t="s">
        <v>7968</v>
      </c>
      <c r="B300" s="327" t="s">
        <v>8089</v>
      </c>
      <c r="C300" s="426" t="s">
        <v>8335</v>
      </c>
      <c r="D300" s="427" t="s">
        <v>8418</v>
      </c>
      <c r="E300" s="426" t="s">
        <v>8320</v>
      </c>
      <c r="F300" s="338">
        <v>681617</v>
      </c>
      <c r="G300" s="338" t="s">
        <v>3800</v>
      </c>
      <c r="H300" s="338"/>
      <c r="I300" s="329">
        <v>162.4996619444386</v>
      </c>
      <c r="J300" s="329"/>
      <c r="K300" s="338">
        <v>40.62491548610965</v>
      </c>
      <c r="L300" s="338">
        <v>40.62491548610965</v>
      </c>
      <c r="M300" s="338">
        <v>40.62491548610965</v>
      </c>
      <c r="N300" s="338">
        <v>40.62491548610965</v>
      </c>
      <c r="O300" s="338"/>
    </row>
    <row r="301" spans="1:15" hidden="1" outlineLevel="2" x14ac:dyDescent="0.35">
      <c r="A301" s="425" t="s">
        <v>7968</v>
      </c>
      <c r="B301" s="327">
        <v>43951</v>
      </c>
      <c r="C301" s="426">
        <v>168</v>
      </c>
      <c r="D301" s="427" t="s">
        <v>8419</v>
      </c>
      <c r="E301" s="426" t="s">
        <v>8320</v>
      </c>
      <c r="F301" s="338">
        <v>681617</v>
      </c>
      <c r="G301" s="338" t="s">
        <v>3800</v>
      </c>
      <c r="H301" s="338"/>
      <c r="I301" s="329">
        <v>159.78341727467711</v>
      </c>
      <c r="J301" s="329"/>
      <c r="K301" s="338">
        <v>39.945854318669276</v>
      </c>
      <c r="L301" s="338">
        <v>39.945854318669276</v>
      </c>
      <c r="M301" s="338">
        <v>39.945854318669276</v>
      </c>
      <c r="N301" s="338">
        <v>39.945854318669276</v>
      </c>
      <c r="O301" s="338"/>
    </row>
    <row r="302" spans="1:15" hidden="1" outlineLevel="2" x14ac:dyDescent="0.35">
      <c r="A302" s="425" t="s">
        <v>7968</v>
      </c>
      <c r="B302" s="327" t="s">
        <v>7980</v>
      </c>
      <c r="C302" s="426" t="s">
        <v>8338</v>
      </c>
      <c r="D302" s="427" t="s">
        <v>8420</v>
      </c>
      <c r="E302" s="426" t="s">
        <v>8320</v>
      </c>
      <c r="F302" s="338">
        <v>681617</v>
      </c>
      <c r="G302" s="338" t="s">
        <v>3800</v>
      </c>
      <c r="H302" s="338"/>
      <c r="I302" s="329">
        <v>162.4996619444386</v>
      </c>
      <c r="J302" s="329"/>
      <c r="K302" s="338">
        <v>40.62491548610965</v>
      </c>
      <c r="L302" s="338">
        <v>40.62491548610965</v>
      </c>
      <c r="M302" s="338">
        <v>40.62491548610965</v>
      </c>
      <c r="N302" s="338">
        <v>40.62491548610965</v>
      </c>
      <c r="O302" s="338"/>
    </row>
    <row r="303" spans="1:15" hidden="1" outlineLevel="2" x14ac:dyDescent="0.35">
      <c r="A303" s="425" t="s">
        <v>7968</v>
      </c>
      <c r="B303" s="327">
        <v>43982</v>
      </c>
      <c r="C303" s="426">
        <v>198</v>
      </c>
      <c r="D303" s="427" t="s">
        <v>8421</v>
      </c>
      <c r="E303" s="426" t="s">
        <v>8320</v>
      </c>
      <c r="F303" s="338">
        <v>681617</v>
      </c>
      <c r="G303" s="338" t="s">
        <v>3800</v>
      </c>
      <c r="H303" s="338"/>
      <c r="I303" s="329">
        <v>159.78341727467711</v>
      </c>
      <c r="J303" s="329"/>
      <c r="K303" s="338">
        <v>39.945854318669276</v>
      </c>
      <c r="L303" s="338">
        <v>39.945854318669276</v>
      </c>
      <c r="M303" s="338">
        <v>39.945854318669276</v>
      </c>
      <c r="N303" s="338">
        <v>39.945854318669276</v>
      </c>
      <c r="O303" s="338"/>
    </row>
    <row r="304" spans="1:15" hidden="1" outlineLevel="2" x14ac:dyDescent="0.35">
      <c r="A304" s="425" t="s">
        <v>7968</v>
      </c>
      <c r="B304" s="327">
        <v>44012</v>
      </c>
      <c r="C304" s="426">
        <v>198</v>
      </c>
      <c r="D304" s="427" t="s">
        <v>8422</v>
      </c>
      <c r="E304" s="426" t="s">
        <v>8320</v>
      </c>
      <c r="F304" s="338">
        <v>681617</v>
      </c>
      <c r="G304" s="338" t="s">
        <v>3800</v>
      </c>
      <c r="H304" s="338"/>
      <c r="I304" s="329">
        <v>159.78341727467711</v>
      </c>
      <c r="J304" s="329"/>
      <c r="K304" s="338">
        <v>39.945854318669276</v>
      </c>
      <c r="L304" s="338">
        <v>39.945854318669276</v>
      </c>
      <c r="M304" s="338">
        <v>39.945854318669276</v>
      </c>
      <c r="N304" s="338">
        <v>39.945854318669276</v>
      </c>
      <c r="O304" s="338"/>
    </row>
    <row r="305" spans="1:15" hidden="1" outlineLevel="2" x14ac:dyDescent="0.35">
      <c r="A305" s="425" t="s">
        <v>7968</v>
      </c>
      <c r="B305" s="327">
        <v>44043</v>
      </c>
      <c r="C305" s="426">
        <v>211</v>
      </c>
      <c r="D305" s="427" t="s">
        <v>8423</v>
      </c>
      <c r="E305" s="426" t="s">
        <v>8320</v>
      </c>
      <c r="F305" s="338">
        <v>681617</v>
      </c>
      <c r="G305" s="338" t="s">
        <v>3800</v>
      </c>
      <c r="H305" s="338"/>
      <c r="I305" s="329">
        <v>159.78341727467711</v>
      </c>
      <c r="J305" s="329"/>
      <c r="K305" s="338">
        <v>39.945854318669276</v>
      </c>
      <c r="L305" s="338">
        <v>39.945854318669276</v>
      </c>
      <c r="M305" s="338">
        <v>39.945854318669276</v>
      </c>
      <c r="N305" s="338">
        <v>39.945854318669276</v>
      </c>
      <c r="O305" s="338"/>
    </row>
    <row r="306" spans="1:15" hidden="1" outlineLevel="2" x14ac:dyDescent="0.35">
      <c r="A306" s="425" t="s">
        <v>7968</v>
      </c>
      <c r="B306" s="327">
        <v>44074</v>
      </c>
      <c r="C306" s="426">
        <v>225</v>
      </c>
      <c r="D306" s="427" t="s">
        <v>8424</v>
      </c>
      <c r="E306" s="426" t="s">
        <v>8320</v>
      </c>
      <c r="F306" s="338">
        <v>681617</v>
      </c>
      <c r="G306" s="338" t="s">
        <v>3800</v>
      </c>
      <c r="H306" s="338"/>
      <c r="I306" s="329">
        <v>159.78341727467711</v>
      </c>
      <c r="J306" s="329"/>
      <c r="K306" s="338">
        <v>39.945854318669276</v>
      </c>
      <c r="L306" s="338">
        <v>39.945854318669276</v>
      </c>
      <c r="M306" s="338">
        <v>39.945854318669276</v>
      </c>
      <c r="N306" s="338">
        <v>39.945854318669276</v>
      </c>
      <c r="O306" s="338"/>
    </row>
    <row r="307" spans="1:15" hidden="1" outlineLevel="2" x14ac:dyDescent="0.35">
      <c r="A307" s="425" t="s">
        <v>7968</v>
      </c>
      <c r="B307" s="327">
        <v>44104</v>
      </c>
      <c r="C307" s="426">
        <v>235</v>
      </c>
      <c r="D307" s="427" t="s">
        <v>8425</v>
      </c>
      <c r="E307" s="426" t="s">
        <v>8320</v>
      </c>
      <c r="F307" s="338">
        <v>681617</v>
      </c>
      <c r="G307" s="338" t="s">
        <v>3800</v>
      </c>
      <c r="H307" s="338"/>
      <c r="I307" s="329">
        <v>159.78341727467711</v>
      </c>
      <c r="J307" s="329"/>
      <c r="K307" s="338">
        <v>39.945854318669276</v>
      </c>
      <c r="L307" s="338">
        <v>39.945854318669276</v>
      </c>
      <c r="M307" s="338">
        <v>39.945854318669276</v>
      </c>
      <c r="N307" s="338">
        <v>39.945854318669276</v>
      </c>
      <c r="O307" s="338"/>
    </row>
    <row r="308" spans="1:15" hidden="1" outlineLevel="2" x14ac:dyDescent="0.35">
      <c r="A308" s="425" t="s">
        <v>7968</v>
      </c>
      <c r="B308" s="327" t="s">
        <v>8079</v>
      </c>
      <c r="C308" s="426" t="s">
        <v>8327</v>
      </c>
      <c r="D308" s="427" t="s">
        <v>8426</v>
      </c>
      <c r="E308" s="426" t="s">
        <v>8322</v>
      </c>
      <c r="F308" s="338">
        <v>150000</v>
      </c>
      <c r="G308" s="338" t="s">
        <v>3800</v>
      </c>
      <c r="H308" s="338"/>
      <c r="I308" s="329">
        <v>35.760477352627341</v>
      </c>
      <c r="J308" s="329"/>
      <c r="K308" s="338">
        <v>8.9401193381568351</v>
      </c>
      <c r="L308" s="338">
        <v>8.9401193381568351</v>
      </c>
      <c r="M308" s="338">
        <v>8.9401193381568351</v>
      </c>
      <c r="N308" s="338">
        <v>8.9401193381568351</v>
      </c>
      <c r="O308" s="338"/>
    </row>
    <row r="309" spans="1:15" outlineLevel="1" collapsed="1" x14ac:dyDescent="0.35">
      <c r="A309" s="432" t="s">
        <v>8427</v>
      </c>
      <c r="B309" s="327"/>
      <c r="C309" s="426"/>
      <c r="D309" s="427"/>
      <c r="E309" s="426"/>
      <c r="F309" s="338"/>
      <c r="G309" s="338"/>
      <c r="H309" s="338"/>
      <c r="I309" s="329">
        <f t="shared" ref="I309:O309" si="13">SUBTOTAL(9,I203:I308)</f>
        <v>28321.427400078668</v>
      </c>
      <c r="J309" s="329"/>
      <c r="K309" s="338">
        <f t="shared" si="13"/>
        <v>7080.356850019667</v>
      </c>
      <c r="L309" s="338">
        <f t="shared" si="13"/>
        <v>7080.356850019667</v>
      </c>
      <c r="M309" s="338">
        <f t="shared" si="13"/>
        <v>7080.356850019667</v>
      </c>
      <c r="N309" s="338">
        <f t="shared" si="13"/>
        <v>7080.356850019667</v>
      </c>
      <c r="O309" s="338">
        <f t="shared" si="13"/>
        <v>0</v>
      </c>
    </row>
    <row r="310" spans="1:15" hidden="1" outlineLevel="2" x14ac:dyDescent="0.35">
      <c r="A310" s="425" t="s">
        <v>3921</v>
      </c>
      <c r="B310" s="327">
        <v>44417</v>
      </c>
      <c r="C310" s="426" t="s">
        <v>8428</v>
      </c>
      <c r="D310" s="427" t="s">
        <v>8429</v>
      </c>
      <c r="E310" s="426" t="s">
        <v>8430</v>
      </c>
      <c r="F310" s="338">
        <v>30000</v>
      </c>
      <c r="G310" s="338" t="s">
        <v>3800</v>
      </c>
      <c r="H310" s="338"/>
      <c r="I310" s="329">
        <v>7.1520954705254685</v>
      </c>
      <c r="J310" s="329"/>
      <c r="K310" s="338"/>
      <c r="L310" s="338"/>
      <c r="M310" s="338"/>
      <c r="N310" s="338">
        <v>7.1520954705254685</v>
      </c>
      <c r="O310" s="338"/>
    </row>
    <row r="311" spans="1:15" hidden="1" outlineLevel="2" x14ac:dyDescent="0.35">
      <c r="A311" s="425" t="s">
        <v>3921</v>
      </c>
      <c r="B311" s="327">
        <v>44439</v>
      </c>
      <c r="C311" s="426" t="s">
        <v>8431</v>
      </c>
      <c r="D311" s="427" t="s">
        <v>8432</v>
      </c>
      <c r="E311" s="426" t="s">
        <v>8433</v>
      </c>
      <c r="F311" s="338">
        <v>30000</v>
      </c>
      <c r="G311" s="338" t="s">
        <v>3800</v>
      </c>
      <c r="H311" s="338"/>
      <c r="I311" s="329">
        <v>7.1520954705254685</v>
      </c>
      <c r="J311" s="329"/>
      <c r="K311" s="338"/>
      <c r="L311" s="338"/>
      <c r="M311" s="338"/>
      <c r="N311" s="338">
        <v>7.1520954705254685</v>
      </c>
      <c r="O311" s="338"/>
    </row>
    <row r="312" spans="1:15" hidden="1" outlineLevel="2" x14ac:dyDescent="0.35">
      <c r="A312" s="425" t="s">
        <v>3921</v>
      </c>
      <c r="B312" s="327">
        <v>44428</v>
      </c>
      <c r="C312" s="426" t="s">
        <v>8434</v>
      </c>
      <c r="D312" s="427" t="s">
        <v>8435</v>
      </c>
      <c r="E312" s="426" t="s">
        <v>8436</v>
      </c>
      <c r="F312" s="338">
        <v>30000</v>
      </c>
      <c r="G312" s="338" t="s">
        <v>3800</v>
      </c>
      <c r="H312" s="338"/>
      <c r="I312" s="329">
        <v>7.1520954705254685</v>
      </c>
      <c r="J312" s="329"/>
      <c r="K312" s="338"/>
      <c r="L312" s="338"/>
      <c r="M312" s="338"/>
      <c r="N312" s="338">
        <v>7.1520954705254685</v>
      </c>
      <c r="O312" s="338"/>
    </row>
    <row r="313" spans="1:15" hidden="1" outlineLevel="2" x14ac:dyDescent="0.35">
      <c r="A313" s="425" t="s">
        <v>3921</v>
      </c>
      <c r="B313" s="327">
        <v>44525</v>
      </c>
      <c r="C313" s="426" t="s">
        <v>8437</v>
      </c>
      <c r="D313" s="427" t="s">
        <v>8438</v>
      </c>
      <c r="E313" s="426" t="s">
        <v>8110</v>
      </c>
      <c r="F313" s="338">
        <v>25000</v>
      </c>
      <c r="G313" s="338" t="s">
        <v>3800</v>
      </c>
      <c r="H313" s="338"/>
      <c r="I313" s="329">
        <v>5.9600795587712243</v>
      </c>
      <c r="J313" s="329"/>
      <c r="K313" s="338"/>
      <c r="L313" s="338"/>
      <c r="M313" s="338"/>
      <c r="N313" s="338">
        <v>5.9600795587712243</v>
      </c>
      <c r="O313" s="338"/>
    </row>
    <row r="314" spans="1:15" hidden="1" outlineLevel="2" x14ac:dyDescent="0.35">
      <c r="A314" s="425" t="s">
        <v>3921</v>
      </c>
      <c r="B314" s="327">
        <v>44382</v>
      </c>
      <c r="C314" s="426" t="s">
        <v>8439</v>
      </c>
      <c r="D314" s="427" t="s">
        <v>8440</v>
      </c>
      <c r="E314" s="426" t="s">
        <v>8441</v>
      </c>
      <c r="F314" s="338">
        <v>25000</v>
      </c>
      <c r="G314" s="338" t="s">
        <v>3800</v>
      </c>
      <c r="H314" s="338"/>
      <c r="I314" s="329">
        <v>5.9600795587712243</v>
      </c>
      <c r="J314" s="329"/>
      <c r="K314" s="338"/>
      <c r="L314" s="338"/>
      <c r="M314" s="338"/>
      <c r="N314" s="338">
        <v>5.9600795587712243</v>
      </c>
      <c r="O314" s="338"/>
    </row>
    <row r="315" spans="1:15" hidden="1" outlineLevel="2" x14ac:dyDescent="0.35">
      <c r="A315" s="425" t="s">
        <v>3921</v>
      </c>
      <c r="B315" s="327">
        <v>44382</v>
      </c>
      <c r="C315" s="426" t="s">
        <v>8142</v>
      </c>
      <c r="D315" s="427" t="s">
        <v>8440</v>
      </c>
      <c r="E315" s="426" t="s">
        <v>8208</v>
      </c>
      <c r="F315" s="338">
        <v>30000</v>
      </c>
      <c r="G315" s="338" t="s">
        <v>3800</v>
      </c>
      <c r="H315" s="338"/>
      <c r="I315" s="329">
        <v>7.1520954705254685</v>
      </c>
      <c r="J315" s="329"/>
      <c r="K315" s="338"/>
      <c r="L315" s="338"/>
      <c r="M315" s="338"/>
      <c r="N315" s="338">
        <v>7.1520954705254685</v>
      </c>
      <c r="O315" s="338"/>
    </row>
    <row r="316" spans="1:15" hidden="1" outlineLevel="2" x14ac:dyDescent="0.35">
      <c r="A316" s="425" t="s">
        <v>3921</v>
      </c>
      <c r="B316" s="327">
        <v>44550</v>
      </c>
      <c r="C316" s="426" t="s">
        <v>8442</v>
      </c>
      <c r="D316" s="427" t="s">
        <v>8443</v>
      </c>
      <c r="E316" s="426" t="s">
        <v>8441</v>
      </c>
      <c r="F316" s="338">
        <v>240000</v>
      </c>
      <c r="G316" s="338" t="s">
        <v>3800</v>
      </c>
      <c r="H316" s="338"/>
      <c r="I316" s="329">
        <v>57.216763764203748</v>
      </c>
      <c r="J316" s="329"/>
      <c r="K316" s="338"/>
      <c r="L316" s="338"/>
      <c r="M316" s="338"/>
      <c r="N316" s="338">
        <v>57.216763764203748</v>
      </c>
      <c r="O316" s="338"/>
    </row>
    <row r="317" spans="1:15" hidden="1" outlineLevel="2" x14ac:dyDescent="0.35">
      <c r="A317" s="425" t="s">
        <v>3921</v>
      </c>
      <c r="B317" s="327">
        <v>44560</v>
      </c>
      <c r="C317" s="426" t="s">
        <v>8444</v>
      </c>
      <c r="D317" s="427" t="s">
        <v>8445</v>
      </c>
      <c r="E317" s="426" t="s">
        <v>8446</v>
      </c>
      <c r="F317" s="338">
        <v>240000</v>
      </c>
      <c r="G317" s="338" t="s">
        <v>3800</v>
      </c>
      <c r="H317" s="338"/>
      <c r="I317" s="329">
        <v>57.216763764203748</v>
      </c>
      <c r="J317" s="329"/>
      <c r="K317" s="338"/>
      <c r="L317" s="338"/>
      <c r="M317" s="338"/>
      <c r="N317" s="338">
        <v>57.216763764203748</v>
      </c>
      <c r="O317" s="338"/>
    </row>
    <row r="318" spans="1:15" hidden="1" outlineLevel="2" x14ac:dyDescent="0.35">
      <c r="A318" s="425" t="s">
        <v>3921</v>
      </c>
      <c r="B318" s="327">
        <v>44561</v>
      </c>
      <c r="C318" s="426" t="s">
        <v>8447</v>
      </c>
      <c r="D318" s="427" t="s">
        <v>8448</v>
      </c>
      <c r="E318" s="426" t="s">
        <v>8430</v>
      </c>
      <c r="F318" s="338">
        <v>300000</v>
      </c>
      <c r="G318" s="338" t="s">
        <v>3800</v>
      </c>
      <c r="H318" s="338"/>
      <c r="I318" s="329">
        <v>71.520954705254681</v>
      </c>
      <c r="J318" s="329"/>
      <c r="K318" s="338"/>
      <c r="L318" s="338"/>
      <c r="M318" s="338"/>
      <c r="N318" s="338">
        <v>71.520954705254681</v>
      </c>
      <c r="O318" s="338"/>
    </row>
    <row r="319" spans="1:15" hidden="1" outlineLevel="2" x14ac:dyDescent="0.35">
      <c r="A319" s="425" t="s">
        <v>3921</v>
      </c>
      <c r="B319" s="327">
        <v>44549</v>
      </c>
      <c r="C319" s="426" t="s">
        <v>8449</v>
      </c>
      <c r="D319" s="427" t="s">
        <v>8450</v>
      </c>
      <c r="E319" s="426" t="s">
        <v>8441</v>
      </c>
      <c r="F319" s="338">
        <v>480000</v>
      </c>
      <c r="G319" s="338" t="s">
        <v>3800</v>
      </c>
      <c r="H319" s="338"/>
      <c r="I319" s="329">
        <v>114.4335275284075</v>
      </c>
      <c r="J319" s="329"/>
      <c r="K319" s="338"/>
      <c r="L319" s="338"/>
      <c r="M319" s="338"/>
      <c r="N319" s="338">
        <v>114.4335275284075</v>
      </c>
      <c r="O319" s="338"/>
    </row>
    <row r="320" spans="1:15" hidden="1" outlineLevel="2" x14ac:dyDescent="0.35">
      <c r="A320" s="425" t="s">
        <v>3921</v>
      </c>
      <c r="B320" s="327">
        <v>44404</v>
      </c>
      <c r="C320" s="426" t="s">
        <v>8451</v>
      </c>
      <c r="D320" s="427" t="s">
        <v>8452</v>
      </c>
      <c r="E320" s="426" t="s">
        <v>8446</v>
      </c>
      <c r="F320" s="338">
        <v>480000</v>
      </c>
      <c r="G320" s="338" t="s">
        <v>3800</v>
      </c>
      <c r="H320" s="338"/>
      <c r="I320" s="329">
        <v>114.4335275284075</v>
      </c>
      <c r="J320" s="329"/>
      <c r="K320" s="338"/>
      <c r="L320" s="338"/>
      <c r="M320" s="338"/>
      <c r="N320" s="338">
        <v>114.4335275284075</v>
      </c>
      <c r="O320" s="338"/>
    </row>
    <row r="321" spans="1:15" hidden="1" outlineLevel="2" x14ac:dyDescent="0.35">
      <c r="A321" s="425" t="s">
        <v>3921</v>
      </c>
      <c r="B321" s="327">
        <v>44417</v>
      </c>
      <c r="C321" s="426" t="s">
        <v>8428</v>
      </c>
      <c r="D321" s="427" t="s">
        <v>8453</v>
      </c>
      <c r="E321" s="426" t="s">
        <v>8430</v>
      </c>
      <c r="F321" s="338">
        <v>200000</v>
      </c>
      <c r="G321" s="338" t="s">
        <v>3800</v>
      </c>
      <c r="H321" s="338"/>
      <c r="I321" s="329">
        <v>47.680636470169794</v>
      </c>
      <c r="J321" s="329"/>
      <c r="K321" s="338"/>
      <c r="L321" s="338"/>
      <c r="M321" s="338"/>
      <c r="N321" s="338">
        <v>47.680636470169794</v>
      </c>
      <c r="O321" s="338"/>
    </row>
    <row r="322" spans="1:15" hidden="1" outlineLevel="2" x14ac:dyDescent="0.35">
      <c r="A322" s="425" t="s">
        <v>3921</v>
      </c>
      <c r="B322" s="327">
        <v>44544</v>
      </c>
      <c r="C322" s="426" t="s">
        <v>8454</v>
      </c>
      <c r="D322" s="427" t="s">
        <v>8455</v>
      </c>
      <c r="E322" s="426" t="s">
        <v>8456</v>
      </c>
      <c r="F322" s="338">
        <v>1228875</v>
      </c>
      <c r="G322" s="338" t="s">
        <v>3800</v>
      </c>
      <c r="H322" s="338"/>
      <c r="I322" s="329">
        <v>292.96771071139949</v>
      </c>
      <c r="J322" s="329"/>
      <c r="K322" s="338"/>
      <c r="L322" s="338"/>
      <c r="M322" s="338"/>
      <c r="N322" s="338">
        <v>292.96771071139949</v>
      </c>
      <c r="O322" s="338"/>
    </row>
    <row r="323" spans="1:15" hidden="1" outlineLevel="2" x14ac:dyDescent="0.35">
      <c r="A323" s="425" t="s">
        <v>3921</v>
      </c>
      <c r="B323" s="327">
        <v>44544</v>
      </c>
      <c r="C323" s="426" t="s">
        <v>8457</v>
      </c>
      <c r="D323" s="427" t="s">
        <v>8458</v>
      </c>
      <c r="E323" s="426" t="s">
        <v>8206</v>
      </c>
      <c r="F323" s="338">
        <v>300000</v>
      </c>
      <c r="G323" s="338" t="s">
        <v>3800</v>
      </c>
      <c r="H323" s="338"/>
      <c r="I323" s="329">
        <v>71.520954705254681</v>
      </c>
      <c r="J323" s="329"/>
      <c r="K323" s="338"/>
      <c r="L323" s="338"/>
      <c r="M323" s="338"/>
      <c r="N323" s="338">
        <v>71.520954705254681</v>
      </c>
      <c r="O323" s="338"/>
    </row>
    <row r="324" spans="1:15" hidden="1" outlineLevel="2" x14ac:dyDescent="0.35">
      <c r="A324" s="425" t="s">
        <v>3921</v>
      </c>
      <c r="B324" s="327">
        <v>44544</v>
      </c>
      <c r="C324" s="426" t="s">
        <v>8459</v>
      </c>
      <c r="D324" s="427" t="s">
        <v>8458</v>
      </c>
      <c r="E324" s="426" t="s">
        <v>8460</v>
      </c>
      <c r="F324" s="338">
        <v>300000</v>
      </c>
      <c r="G324" s="338" t="s">
        <v>3800</v>
      </c>
      <c r="H324" s="338"/>
      <c r="I324" s="329">
        <v>71.520954705254681</v>
      </c>
      <c r="J324" s="329"/>
      <c r="K324" s="338"/>
      <c r="L324" s="338"/>
      <c r="M324" s="338"/>
      <c r="N324" s="338">
        <v>71.520954705254681</v>
      </c>
      <c r="O324" s="338"/>
    </row>
    <row r="325" spans="1:15" hidden="1" outlineLevel="2" x14ac:dyDescent="0.35">
      <c r="A325" s="425" t="s">
        <v>3921</v>
      </c>
      <c r="B325" s="327">
        <v>44544</v>
      </c>
      <c r="C325" s="426" t="s">
        <v>8461</v>
      </c>
      <c r="D325" s="427" t="s">
        <v>8462</v>
      </c>
      <c r="E325" s="426" t="s">
        <v>8456</v>
      </c>
      <c r="F325" s="338">
        <v>772500</v>
      </c>
      <c r="G325" s="338" t="s">
        <v>3800</v>
      </c>
      <c r="H325" s="338"/>
      <c r="I325" s="329">
        <v>184.16645836603081</v>
      </c>
      <c r="J325" s="329"/>
      <c r="K325" s="338"/>
      <c r="L325" s="338"/>
      <c r="M325" s="338"/>
      <c r="N325" s="338">
        <v>184.16645836603081</v>
      </c>
      <c r="O325" s="338"/>
    </row>
    <row r="326" spans="1:15" hidden="1" outlineLevel="2" x14ac:dyDescent="0.35">
      <c r="A326" s="425" t="s">
        <v>3921</v>
      </c>
      <c r="B326" s="327">
        <v>44549</v>
      </c>
      <c r="C326" s="426" t="s">
        <v>8463</v>
      </c>
      <c r="D326" s="427" t="s">
        <v>8464</v>
      </c>
      <c r="E326" s="426" t="s">
        <v>8465</v>
      </c>
      <c r="F326" s="338">
        <v>3200000</v>
      </c>
      <c r="G326" s="338" t="s">
        <v>3800</v>
      </c>
      <c r="H326" s="338"/>
      <c r="I326" s="329">
        <v>762.89018352271671</v>
      </c>
      <c r="J326" s="329"/>
      <c r="K326" s="338"/>
      <c r="L326" s="338"/>
      <c r="M326" s="338"/>
      <c r="N326" s="338">
        <v>762.89018352271671</v>
      </c>
      <c r="O326" s="338"/>
    </row>
    <row r="327" spans="1:15" hidden="1" outlineLevel="2" x14ac:dyDescent="0.35">
      <c r="A327" s="425" t="s">
        <v>3921</v>
      </c>
      <c r="B327" s="327">
        <v>44531</v>
      </c>
      <c r="C327" s="426" t="s">
        <v>8466</v>
      </c>
      <c r="D327" s="427" t="s">
        <v>8467</v>
      </c>
      <c r="E327" s="426" t="s">
        <v>8465</v>
      </c>
      <c r="F327" s="338">
        <v>1760000</v>
      </c>
      <c r="G327" s="338" t="s">
        <v>3800</v>
      </c>
      <c r="H327" s="338"/>
      <c r="I327" s="329">
        <v>419.58960093749414</v>
      </c>
      <c r="J327" s="329"/>
      <c r="K327" s="338"/>
      <c r="L327" s="338"/>
      <c r="M327" s="338"/>
      <c r="N327" s="338">
        <v>419.58960093749414</v>
      </c>
      <c r="O327" s="338"/>
    </row>
    <row r="328" spans="1:15" hidden="1" outlineLevel="2" x14ac:dyDescent="0.35">
      <c r="A328" s="425" t="s">
        <v>3921</v>
      </c>
      <c r="B328" s="327">
        <v>44561</v>
      </c>
      <c r="C328" s="426" t="s">
        <v>8468</v>
      </c>
      <c r="D328" s="427" t="s">
        <v>8469</v>
      </c>
      <c r="E328" s="426" t="s">
        <v>8470</v>
      </c>
      <c r="F328" s="338">
        <v>12770000</v>
      </c>
      <c r="G328" s="338" t="s">
        <v>3800</v>
      </c>
      <c r="H328" s="338"/>
      <c r="I328" s="329">
        <v>3044.4086386203412</v>
      </c>
      <c r="J328" s="329"/>
      <c r="K328" s="338"/>
      <c r="L328" s="338"/>
      <c r="M328" s="338"/>
      <c r="N328" s="338">
        <v>3044.4086386203412</v>
      </c>
      <c r="O328" s="338"/>
    </row>
    <row r="329" spans="1:15" hidden="1" outlineLevel="2" x14ac:dyDescent="0.35">
      <c r="A329" s="425" t="s">
        <v>3921</v>
      </c>
      <c r="B329" s="327">
        <v>44550</v>
      </c>
      <c r="C329" s="426" t="s">
        <v>8471</v>
      </c>
      <c r="D329" s="427" t="s">
        <v>8472</v>
      </c>
      <c r="E329" s="426" t="s">
        <v>8191</v>
      </c>
      <c r="F329" s="338">
        <v>600000</v>
      </c>
      <c r="G329" s="338" t="s">
        <v>3800</v>
      </c>
      <c r="H329" s="338"/>
      <c r="I329" s="329">
        <v>143.04190941050936</v>
      </c>
      <c r="J329" s="329"/>
      <c r="K329" s="338"/>
      <c r="L329" s="338"/>
      <c r="M329" s="338"/>
      <c r="N329" s="338">
        <v>143.04190941050936</v>
      </c>
      <c r="O329" s="338"/>
    </row>
    <row r="330" spans="1:15" hidden="1" outlineLevel="2" x14ac:dyDescent="0.35">
      <c r="A330" s="425" t="s">
        <v>3921</v>
      </c>
      <c r="B330" s="327">
        <v>44561</v>
      </c>
      <c r="C330" s="426" t="s">
        <v>8473</v>
      </c>
      <c r="D330" s="427" t="s">
        <v>8474</v>
      </c>
      <c r="E330" s="426" t="s">
        <v>8475</v>
      </c>
      <c r="F330" s="338">
        <v>780000</v>
      </c>
      <c r="G330" s="338" t="s">
        <v>3800</v>
      </c>
      <c r="H330" s="338"/>
      <c r="I330" s="329">
        <v>185.95448223366219</v>
      </c>
      <c r="J330" s="329"/>
      <c r="K330" s="338"/>
      <c r="L330" s="338"/>
      <c r="M330" s="338"/>
      <c r="N330" s="338">
        <v>185.95448223366219</v>
      </c>
      <c r="O330" s="338"/>
    </row>
    <row r="331" spans="1:15" hidden="1" outlineLevel="2" x14ac:dyDescent="0.35">
      <c r="A331" s="425" t="s">
        <v>3921</v>
      </c>
      <c r="B331" s="327">
        <v>44561</v>
      </c>
      <c r="C331" s="426" t="s">
        <v>8476</v>
      </c>
      <c r="D331" s="427" t="s">
        <v>8477</v>
      </c>
      <c r="E331" s="426" t="s">
        <v>8430</v>
      </c>
      <c r="F331" s="338">
        <v>630000</v>
      </c>
      <c r="G331" s="338" t="s">
        <v>3800</v>
      </c>
      <c r="H331" s="338"/>
      <c r="I331" s="329">
        <v>150.19400488103483</v>
      </c>
      <c r="J331" s="329"/>
      <c r="K331" s="338"/>
      <c r="L331" s="338"/>
      <c r="M331" s="338"/>
      <c r="N331" s="338">
        <v>150.19400488103483</v>
      </c>
      <c r="O331" s="338"/>
    </row>
    <row r="332" spans="1:15" hidden="1" outlineLevel="2" x14ac:dyDescent="0.35">
      <c r="A332" s="425" t="s">
        <v>3921</v>
      </c>
      <c r="B332" s="327">
        <v>44561</v>
      </c>
      <c r="C332" s="426" t="s">
        <v>8478</v>
      </c>
      <c r="D332" s="427" t="s">
        <v>8477</v>
      </c>
      <c r="E332" s="426" t="s">
        <v>8430</v>
      </c>
      <c r="F332" s="338">
        <v>150000</v>
      </c>
      <c r="G332" s="338" t="s">
        <v>3800</v>
      </c>
      <c r="H332" s="338"/>
      <c r="I332" s="329">
        <v>35.760477352627341</v>
      </c>
      <c r="J332" s="329"/>
      <c r="K332" s="338"/>
      <c r="L332" s="338"/>
      <c r="M332" s="338"/>
      <c r="N332" s="338">
        <v>35.760477352627341</v>
      </c>
      <c r="O332" s="338"/>
    </row>
    <row r="333" spans="1:15" hidden="1" outlineLevel="2" x14ac:dyDescent="0.35">
      <c r="A333" s="425" t="s">
        <v>3921</v>
      </c>
      <c r="B333" s="327">
        <v>44428</v>
      </c>
      <c r="C333" s="426" t="s">
        <v>8434</v>
      </c>
      <c r="D333" s="427" t="s">
        <v>8479</v>
      </c>
      <c r="E333" s="426" t="s">
        <v>8436</v>
      </c>
      <c r="F333" s="338">
        <v>600000</v>
      </c>
      <c r="G333" s="338" t="s">
        <v>3800</v>
      </c>
      <c r="H333" s="338"/>
      <c r="I333" s="329">
        <v>143.04190941050936</v>
      </c>
      <c r="J333" s="329"/>
      <c r="K333" s="338"/>
      <c r="L333" s="338"/>
      <c r="M333" s="338"/>
      <c r="N333" s="338">
        <v>143.04190941050936</v>
      </c>
      <c r="O333" s="338"/>
    </row>
    <row r="334" spans="1:15" hidden="1" outlineLevel="2" x14ac:dyDescent="0.35">
      <c r="A334" s="425" t="s">
        <v>3921</v>
      </c>
      <c r="B334" s="327">
        <v>44550</v>
      </c>
      <c r="C334" s="426" t="s">
        <v>8480</v>
      </c>
      <c r="D334" s="427" t="s">
        <v>8481</v>
      </c>
      <c r="E334" s="426" t="s">
        <v>8441</v>
      </c>
      <c r="F334" s="338">
        <v>240000</v>
      </c>
      <c r="G334" s="338" t="s">
        <v>3800</v>
      </c>
      <c r="H334" s="338"/>
      <c r="I334" s="329">
        <v>57.216763764203748</v>
      </c>
      <c r="J334" s="329"/>
      <c r="K334" s="338"/>
      <c r="L334" s="338"/>
      <c r="M334" s="338"/>
      <c r="N334" s="338">
        <v>57.216763764203748</v>
      </c>
      <c r="O334" s="338"/>
    </row>
    <row r="335" spans="1:15" hidden="1" outlineLevel="2" x14ac:dyDescent="0.35">
      <c r="A335" s="425" t="s">
        <v>3921</v>
      </c>
      <c r="B335" s="327">
        <v>44525</v>
      </c>
      <c r="C335" s="426" t="s">
        <v>8482</v>
      </c>
      <c r="D335" s="427" t="s">
        <v>8483</v>
      </c>
      <c r="E335" s="426" t="s">
        <v>8110</v>
      </c>
      <c r="F335" s="338">
        <v>240000</v>
      </c>
      <c r="G335" s="338" t="s">
        <v>3800</v>
      </c>
      <c r="H335" s="338"/>
      <c r="I335" s="329">
        <v>57.216763764203748</v>
      </c>
      <c r="J335" s="329"/>
      <c r="K335" s="338"/>
      <c r="L335" s="338"/>
      <c r="M335" s="338"/>
      <c r="N335" s="338">
        <v>57.216763764203748</v>
      </c>
      <c r="O335" s="338"/>
    </row>
    <row r="336" spans="1:15" hidden="1" outlineLevel="2" x14ac:dyDescent="0.35">
      <c r="A336" s="425" t="s">
        <v>3921</v>
      </c>
      <c r="B336" s="327">
        <v>44525</v>
      </c>
      <c r="C336" s="426" t="s">
        <v>8484</v>
      </c>
      <c r="D336" s="427" t="s">
        <v>8485</v>
      </c>
      <c r="E336" s="426" t="s">
        <v>8110</v>
      </c>
      <c r="F336" s="338">
        <v>480000</v>
      </c>
      <c r="G336" s="338" t="s">
        <v>3800</v>
      </c>
      <c r="H336" s="338"/>
      <c r="I336" s="329">
        <v>114.4335275284075</v>
      </c>
      <c r="J336" s="329"/>
      <c r="K336" s="338"/>
      <c r="L336" s="338"/>
      <c r="M336" s="338"/>
      <c r="N336" s="338">
        <v>114.4335275284075</v>
      </c>
      <c r="O336" s="338"/>
    </row>
    <row r="337" spans="1:15" hidden="1" outlineLevel="2" x14ac:dyDescent="0.35">
      <c r="A337" s="425" t="s">
        <v>3921</v>
      </c>
      <c r="B337" s="327">
        <v>44525</v>
      </c>
      <c r="C337" s="426" t="s">
        <v>8486</v>
      </c>
      <c r="D337" s="427" t="s">
        <v>8487</v>
      </c>
      <c r="E337" s="426" t="s">
        <v>8110</v>
      </c>
      <c r="F337" s="338">
        <v>600000</v>
      </c>
      <c r="G337" s="338" t="s">
        <v>3800</v>
      </c>
      <c r="H337" s="338"/>
      <c r="I337" s="329">
        <v>143.04190941050936</v>
      </c>
      <c r="J337" s="329"/>
      <c r="K337" s="338"/>
      <c r="L337" s="338"/>
      <c r="M337" s="338"/>
      <c r="N337" s="338">
        <v>143.04190941050936</v>
      </c>
      <c r="O337" s="338"/>
    </row>
    <row r="338" spans="1:15" hidden="1" outlineLevel="2" x14ac:dyDescent="0.35">
      <c r="A338" s="425" t="s">
        <v>3921</v>
      </c>
      <c r="B338" s="327">
        <v>44382</v>
      </c>
      <c r="C338" s="426" t="s">
        <v>8488</v>
      </c>
      <c r="D338" s="427" t="s">
        <v>8489</v>
      </c>
      <c r="E338" s="426" t="s">
        <v>8490</v>
      </c>
      <c r="F338" s="338">
        <v>600000</v>
      </c>
      <c r="G338" s="338" t="s">
        <v>3800</v>
      </c>
      <c r="H338" s="338"/>
      <c r="I338" s="329">
        <v>143.04190941050936</v>
      </c>
      <c r="J338" s="329"/>
      <c r="K338" s="338"/>
      <c r="L338" s="338"/>
      <c r="M338" s="338"/>
      <c r="N338" s="338">
        <v>143.04190941050936</v>
      </c>
      <c r="O338" s="338"/>
    </row>
    <row r="339" spans="1:15" hidden="1" outlineLevel="2" x14ac:dyDescent="0.35">
      <c r="A339" s="425" t="s">
        <v>3921</v>
      </c>
      <c r="B339" s="327">
        <v>44382</v>
      </c>
      <c r="C339" s="426" t="s">
        <v>8491</v>
      </c>
      <c r="D339" s="427" t="s">
        <v>8489</v>
      </c>
      <c r="E339" s="426" t="s">
        <v>8110</v>
      </c>
      <c r="F339" s="338">
        <v>480000</v>
      </c>
      <c r="G339" s="338" t="s">
        <v>3800</v>
      </c>
      <c r="H339" s="338"/>
      <c r="I339" s="329">
        <v>114.4335275284075</v>
      </c>
      <c r="J339" s="329"/>
      <c r="K339" s="338"/>
      <c r="L339" s="338"/>
      <c r="M339" s="338"/>
      <c r="N339" s="338">
        <v>114.4335275284075</v>
      </c>
      <c r="O339" s="338"/>
    </row>
    <row r="340" spans="1:15" hidden="1" outlineLevel="2" x14ac:dyDescent="0.35">
      <c r="A340" s="425" t="s">
        <v>3921</v>
      </c>
      <c r="B340" s="327">
        <v>44382</v>
      </c>
      <c r="C340" s="426" t="s">
        <v>8439</v>
      </c>
      <c r="D340" s="427" t="s">
        <v>8489</v>
      </c>
      <c r="E340" s="426" t="s">
        <v>8441</v>
      </c>
      <c r="F340" s="338">
        <v>480000</v>
      </c>
      <c r="G340" s="338" t="s">
        <v>3800</v>
      </c>
      <c r="H340" s="338"/>
      <c r="I340" s="329">
        <v>114.4335275284075</v>
      </c>
      <c r="J340" s="329"/>
      <c r="K340" s="338"/>
      <c r="L340" s="338"/>
      <c r="M340" s="338"/>
      <c r="N340" s="338">
        <v>114.4335275284075</v>
      </c>
      <c r="O340" s="338"/>
    </row>
    <row r="341" spans="1:15" hidden="1" outlineLevel="2" x14ac:dyDescent="0.35">
      <c r="A341" s="425" t="s">
        <v>3921</v>
      </c>
      <c r="B341" s="327">
        <v>44382</v>
      </c>
      <c r="C341" s="426" t="s">
        <v>8142</v>
      </c>
      <c r="D341" s="427" t="s">
        <v>8489</v>
      </c>
      <c r="E341" s="426" t="s">
        <v>8208</v>
      </c>
      <c r="F341" s="338">
        <v>600000</v>
      </c>
      <c r="G341" s="338" t="s">
        <v>3800</v>
      </c>
      <c r="H341" s="338"/>
      <c r="I341" s="329">
        <v>143.04190941050936</v>
      </c>
      <c r="J341" s="329"/>
      <c r="K341" s="338"/>
      <c r="L341" s="338"/>
      <c r="M341" s="338"/>
      <c r="N341" s="338">
        <v>143.04190941050936</v>
      </c>
      <c r="O341" s="338"/>
    </row>
    <row r="342" spans="1:15" hidden="1" outlineLevel="2" x14ac:dyDescent="0.35">
      <c r="A342" s="425" t="s">
        <v>3921</v>
      </c>
      <c r="B342" s="327">
        <v>44417</v>
      </c>
      <c r="C342" s="426" t="s">
        <v>8428</v>
      </c>
      <c r="D342" s="427" t="s">
        <v>8489</v>
      </c>
      <c r="E342" s="426" t="s">
        <v>8430</v>
      </c>
      <c r="F342" s="338">
        <v>600000</v>
      </c>
      <c r="G342" s="338" t="s">
        <v>3800</v>
      </c>
      <c r="H342" s="338"/>
      <c r="I342" s="329">
        <v>143.04190941050936</v>
      </c>
      <c r="J342" s="329"/>
      <c r="K342" s="338"/>
      <c r="L342" s="338"/>
      <c r="M342" s="338"/>
      <c r="N342" s="338">
        <v>143.04190941050936</v>
      </c>
      <c r="O342" s="338"/>
    </row>
    <row r="343" spans="1:15" hidden="1" outlineLevel="2" x14ac:dyDescent="0.35">
      <c r="A343" s="425" t="s">
        <v>3921</v>
      </c>
      <c r="B343" s="327">
        <v>44439</v>
      </c>
      <c r="C343" s="426" t="s">
        <v>8431</v>
      </c>
      <c r="D343" s="427" t="s">
        <v>8489</v>
      </c>
      <c r="E343" s="426" t="s">
        <v>8433</v>
      </c>
      <c r="F343" s="338">
        <v>600000</v>
      </c>
      <c r="G343" s="338" t="s">
        <v>3800</v>
      </c>
      <c r="H343" s="338"/>
      <c r="I343" s="329">
        <v>143.04190941050936</v>
      </c>
      <c r="J343" s="329"/>
      <c r="K343" s="338"/>
      <c r="L343" s="338"/>
      <c r="M343" s="338"/>
      <c r="N343" s="338">
        <v>143.04190941050936</v>
      </c>
      <c r="O343" s="338"/>
    </row>
    <row r="344" spans="1:15" hidden="1" outlineLevel="2" x14ac:dyDescent="0.35">
      <c r="A344" s="425" t="s">
        <v>3921</v>
      </c>
      <c r="B344" s="327">
        <v>44549</v>
      </c>
      <c r="C344" s="426" t="s">
        <v>8492</v>
      </c>
      <c r="D344" s="427" t="s">
        <v>8493</v>
      </c>
      <c r="E344" s="426" t="s">
        <v>8206</v>
      </c>
      <c r="F344" s="338">
        <v>600000</v>
      </c>
      <c r="G344" s="338" t="s">
        <v>3800</v>
      </c>
      <c r="H344" s="338"/>
      <c r="I344" s="329">
        <v>143.04190941050936</v>
      </c>
      <c r="J344" s="329"/>
      <c r="K344" s="338"/>
      <c r="L344" s="338"/>
      <c r="M344" s="338"/>
      <c r="N344" s="338">
        <v>143.04190941050936</v>
      </c>
      <c r="O344" s="338"/>
    </row>
    <row r="345" spans="1:15" hidden="1" outlineLevel="2" x14ac:dyDescent="0.35">
      <c r="A345" s="425" t="s">
        <v>3921</v>
      </c>
      <c r="B345" s="327">
        <v>44544</v>
      </c>
      <c r="C345" s="426" t="s">
        <v>8494</v>
      </c>
      <c r="D345" s="427" t="s">
        <v>8495</v>
      </c>
      <c r="E345" s="426" t="s">
        <v>8460</v>
      </c>
      <c r="F345" s="338">
        <v>630000</v>
      </c>
      <c r="G345" s="338" t="s">
        <v>3800</v>
      </c>
      <c r="H345" s="338"/>
      <c r="I345" s="329">
        <v>150.19400488103483</v>
      </c>
      <c r="J345" s="329"/>
      <c r="K345" s="338"/>
      <c r="L345" s="338"/>
      <c r="M345" s="338"/>
      <c r="N345" s="338">
        <v>150.19400488103483</v>
      </c>
      <c r="O345" s="338"/>
    </row>
    <row r="346" spans="1:15" hidden="1" outlineLevel="2" x14ac:dyDescent="0.35">
      <c r="A346" s="425" t="s">
        <v>3921</v>
      </c>
      <c r="B346" s="327">
        <v>44382</v>
      </c>
      <c r="C346" s="426" t="s">
        <v>8488</v>
      </c>
      <c r="D346" s="427" t="s">
        <v>8496</v>
      </c>
      <c r="E346" s="426" t="s">
        <v>8490</v>
      </c>
      <c r="F346" s="338">
        <v>30000</v>
      </c>
      <c r="G346" s="338" t="s">
        <v>3800</v>
      </c>
      <c r="H346" s="338"/>
      <c r="I346" s="329">
        <v>7.1520954705254685</v>
      </c>
      <c r="J346" s="329"/>
      <c r="K346" s="338"/>
      <c r="L346" s="338"/>
      <c r="M346" s="338"/>
      <c r="N346" s="338">
        <v>7.1520954705254685</v>
      </c>
      <c r="O346" s="338"/>
    </row>
    <row r="347" spans="1:15" hidden="1" outlineLevel="2" x14ac:dyDescent="0.35">
      <c r="A347" s="425" t="s">
        <v>3921</v>
      </c>
      <c r="B347" s="327">
        <v>44382</v>
      </c>
      <c r="C347" s="426" t="s">
        <v>8491</v>
      </c>
      <c r="D347" s="427" t="s">
        <v>8496</v>
      </c>
      <c r="E347" s="426" t="s">
        <v>8110</v>
      </c>
      <c r="F347" s="338">
        <v>25000</v>
      </c>
      <c r="G347" s="338" t="s">
        <v>3800</v>
      </c>
      <c r="H347" s="338"/>
      <c r="I347" s="329">
        <v>5.9600795587712243</v>
      </c>
      <c r="J347" s="329"/>
      <c r="K347" s="338"/>
      <c r="L347" s="338"/>
      <c r="M347" s="338"/>
      <c r="N347" s="338">
        <v>5.9600795587712243</v>
      </c>
      <c r="O347" s="338"/>
    </row>
    <row r="348" spans="1:15" hidden="1" outlineLevel="2" x14ac:dyDescent="0.35">
      <c r="A348" s="425" t="s">
        <v>3921</v>
      </c>
      <c r="B348" s="327">
        <v>44005</v>
      </c>
      <c r="C348" s="426" t="s">
        <v>8497</v>
      </c>
      <c r="D348" s="427" t="s">
        <v>8498</v>
      </c>
      <c r="E348" s="426" t="s">
        <v>8499</v>
      </c>
      <c r="F348" s="338">
        <v>2576317</v>
      </c>
      <c r="G348" s="338" t="s">
        <v>3800</v>
      </c>
      <c r="H348" s="338"/>
      <c r="I348" s="329">
        <v>603.9355448042586</v>
      </c>
      <c r="J348" s="329"/>
      <c r="K348" s="338"/>
      <c r="L348" s="338"/>
      <c r="M348" s="338"/>
      <c r="N348" s="338">
        <v>603.9355448042586</v>
      </c>
      <c r="O348" s="338"/>
    </row>
    <row r="349" spans="1:15" outlineLevel="1" collapsed="1" x14ac:dyDescent="0.35">
      <c r="A349" s="432" t="s">
        <v>6097</v>
      </c>
      <c r="B349" s="327"/>
      <c r="C349" s="426"/>
      <c r="D349" s="427"/>
      <c r="E349" s="426"/>
      <c r="F349" s="338"/>
      <c r="G349" s="338"/>
      <c r="H349" s="338"/>
      <c r="I349" s="329">
        <f t="shared" ref="I349:O349" si="14">SUBTOTAL(9,I310:I348)</f>
        <v>8091.315290908401</v>
      </c>
      <c r="J349" s="329"/>
      <c r="K349" s="338">
        <f t="shared" si="14"/>
        <v>0</v>
      </c>
      <c r="L349" s="338">
        <f t="shared" si="14"/>
        <v>0</v>
      </c>
      <c r="M349" s="338">
        <f t="shared" si="14"/>
        <v>0</v>
      </c>
      <c r="N349" s="338">
        <f t="shared" si="14"/>
        <v>8091.315290908401</v>
      </c>
      <c r="O349" s="338">
        <f t="shared" si="14"/>
        <v>0</v>
      </c>
    </row>
    <row r="350" spans="1:15" hidden="1" outlineLevel="2" x14ac:dyDescent="0.35">
      <c r="A350" s="425" t="s">
        <v>7849</v>
      </c>
      <c r="B350" s="327">
        <v>44470</v>
      </c>
      <c r="C350" s="328" t="s">
        <v>8500</v>
      </c>
      <c r="D350" s="427" t="s">
        <v>8501</v>
      </c>
      <c r="E350" s="426" t="s">
        <v>8502</v>
      </c>
      <c r="F350" s="338">
        <v>17759000</v>
      </c>
      <c r="G350" s="338" t="s">
        <v>3800</v>
      </c>
      <c r="H350" s="338"/>
      <c r="I350" s="329">
        <v>4233.8021153687268</v>
      </c>
      <c r="J350" s="329"/>
      <c r="K350" s="338">
        <v>4233.8021153687268</v>
      </c>
      <c r="L350" s="338"/>
      <c r="M350" s="338"/>
      <c r="N350" s="338"/>
      <c r="O350" s="338"/>
    </row>
    <row r="351" spans="1:15" hidden="1" outlineLevel="2" x14ac:dyDescent="0.35">
      <c r="A351" s="425" t="s">
        <v>7849</v>
      </c>
      <c r="B351" s="327">
        <v>44443</v>
      </c>
      <c r="C351" s="328" t="s">
        <v>8503</v>
      </c>
      <c r="D351" s="427" t="s">
        <v>8504</v>
      </c>
      <c r="E351" s="426" t="s">
        <v>8505</v>
      </c>
      <c r="F351" s="338">
        <v>34810000</v>
      </c>
      <c r="G351" s="338" t="s">
        <v>3800</v>
      </c>
      <c r="H351" s="338"/>
      <c r="I351" s="329">
        <v>8298.8147776330516</v>
      </c>
      <c r="J351" s="329"/>
      <c r="K351" s="338">
        <v>8298.8147776330516</v>
      </c>
      <c r="L351" s="338"/>
      <c r="M351" s="338"/>
      <c r="N351" s="338"/>
      <c r="O351" s="338"/>
    </row>
    <row r="352" spans="1:15" hidden="1" outlineLevel="2" x14ac:dyDescent="0.35">
      <c r="A352" s="425" t="s">
        <v>7849</v>
      </c>
      <c r="B352" s="327">
        <v>44233</v>
      </c>
      <c r="C352" s="328" t="s">
        <v>8506</v>
      </c>
      <c r="D352" s="427" t="s">
        <v>8507</v>
      </c>
      <c r="E352" s="426" t="s">
        <v>8508</v>
      </c>
      <c r="F352" s="338">
        <v>37669560</v>
      </c>
      <c r="G352" s="338" t="s">
        <v>3800</v>
      </c>
      <c r="H352" s="338"/>
      <c r="I352" s="329">
        <v>8980.5429817562454</v>
      </c>
      <c r="J352" s="329"/>
      <c r="K352" s="338">
        <v>8980.5429817562454</v>
      </c>
      <c r="L352" s="338"/>
      <c r="M352" s="338"/>
      <c r="N352" s="338"/>
      <c r="O352" s="338"/>
    </row>
    <row r="353" spans="1:15" hidden="1" outlineLevel="2" x14ac:dyDescent="0.35">
      <c r="A353" s="425" t="s">
        <v>7849</v>
      </c>
      <c r="B353" s="327">
        <v>44233</v>
      </c>
      <c r="C353" s="328" t="s">
        <v>8125</v>
      </c>
      <c r="D353" s="427" t="s">
        <v>8509</v>
      </c>
      <c r="E353" s="426" t="s">
        <v>8510</v>
      </c>
      <c r="F353" s="338">
        <v>2404440</v>
      </c>
      <c r="G353" s="338" t="s">
        <v>3800</v>
      </c>
      <c r="H353" s="338"/>
      <c r="I353" s="329">
        <v>573.2261477716753</v>
      </c>
      <c r="J353" s="329"/>
      <c r="K353" s="338">
        <v>573.2261477716753</v>
      </c>
      <c r="L353" s="338"/>
      <c r="M353" s="338"/>
      <c r="N353" s="338"/>
      <c r="O353" s="338"/>
    </row>
    <row r="354" spans="1:15" outlineLevel="1" collapsed="1" x14ac:dyDescent="0.35">
      <c r="A354" s="432" t="s">
        <v>8511</v>
      </c>
      <c r="B354" s="327"/>
      <c r="C354" s="328"/>
      <c r="D354" s="427"/>
      <c r="E354" s="426"/>
      <c r="F354" s="338"/>
      <c r="G354" s="338"/>
      <c r="H354" s="338"/>
      <c r="I354" s="329">
        <f t="shared" ref="I354:O354" si="15">SUBTOTAL(9,I350:I353)</f>
        <v>22086.386022529696</v>
      </c>
      <c r="J354" s="329"/>
      <c r="K354" s="338">
        <f t="shared" si="15"/>
        <v>22086.386022529696</v>
      </c>
      <c r="L354" s="338">
        <f t="shared" si="15"/>
        <v>0</v>
      </c>
      <c r="M354" s="338">
        <f t="shared" si="15"/>
        <v>0</v>
      </c>
      <c r="N354" s="338">
        <f t="shared" si="15"/>
        <v>0</v>
      </c>
      <c r="O354" s="338">
        <f t="shared" si="15"/>
        <v>0</v>
      </c>
    </row>
    <row r="355" spans="1:15" hidden="1" outlineLevel="2" x14ac:dyDescent="0.35">
      <c r="A355" s="425" t="s">
        <v>7901</v>
      </c>
      <c r="B355" s="327">
        <v>44421</v>
      </c>
      <c r="C355" s="426" t="s">
        <v>8512</v>
      </c>
      <c r="D355" s="427" t="s">
        <v>8513</v>
      </c>
      <c r="E355" s="426" t="s">
        <v>8514</v>
      </c>
      <c r="F355" s="338">
        <v>600000</v>
      </c>
      <c r="G355" s="338" t="s">
        <v>3800</v>
      </c>
      <c r="H355" s="338"/>
      <c r="I355" s="329">
        <v>143.04190941050936</v>
      </c>
      <c r="J355" s="329"/>
      <c r="K355" s="338">
        <v>143.04190941050936</v>
      </c>
      <c r="L355" s="338"/>
      <c r="M355" s="338"/>
      <c r="N355" s="338"/>
      <c r="O355" s="338"/>
    </row>
    <row r="356" spans="1:15" hidden="1" outlineLevel="2" x14ac:dyDescent="0.35">
      <c r="A356" s="425" t="s">
        <v>7901</v>
      </c>
      <c r="B356" s="327">
        <v>44448</v>
      </c>
      <c r="C356" s="426" t="s">
        <v>8515</v>
      </c>
      <c r="D356" s="427" t="s">
        <v>8516</v>
      </c>
      <c r="E356" s="426" t="s">
        <v>8517</v>
      </c>
      <c r="F356" s="338">
        <v>215000</v>
      </c>
      <c r="G356" s="338" t="s">
        <v>3800</v>
      </c>
      <c r="H356" s="338"/>
      <c r="I356" s="329">
        <v>51.256684205432528</v>
      </c>
      <c r="J356" s="329"/>
      <c r="K356" s="338">
        <v>51.256684205432528</v>
      </c>
      <c r="L356" s="338"/>
      <c r="M356" s="338"/>
      <c r="N356" s="338"/>
      <c r="O356" s="338"/>
    </row>
    <row r="357" spans="1:15" hidden="1" outlineLevel="2" x14ac:dyDescent="0.35">
      <c r="A357" s="425" t="s">
        <v>7901</v>
      </c>
      <c r="B357" s="327">
        <v>44378</v>
      </c>
      <c r="C357" s="426" t="s">
        <v>8518</v>
      </c>
      <c r="D357" s="427" t="s">
        <v>8519</v>
      </c>
      <c r="E357" s="426" t="s">
        <v>8144</v>
      </c>
      <c r="F357" s="338">
        <v>1847300</v>
      </c>
      <c r="G357" s="338" t="s">
        <v>3800</v>
      </c>
      <c r="H357" s="338"/>
      <c r="I357" s="329">
        <v>440.40219875672329</v>
      </c>
      <c r="J357" s="329"/>
      <c r="K357" s="338">
        <v>440.40219875672329</v>
      </c>
      <c r="L357" s="338"/>
      <c r="M357" s="338"/>
      <c r="N357" s="338"/>
      <c r="O357" s="338"/>
    </row>
    <row r="358" spans="1:15" hidden="1" outlineLevel="2" x14ac:dyDescent="0.35">
      <c r="A358" s="425" t="s">
        <v>7901</v>
      </c>
      <c r="B358" s="327">
        <v>44378</v>
      </c>
      <c r="C358" s="426" t="s">
        <v>8520</v>
      </c>
      <c r="D358" s="427" t="s">
        <v>8521</v>
      </c>
      <c r="E358" s="426" t="s">
        <v>8144</v>
      </c>
      <c r="F358" s="338">
        <v>1946850</v>
      </c>
      <c r="G358" s="338" t="s">
        <v>3800</v>
      </c>
      <c r="H358" s="338"/>
      <c r="I358" s="329">
        <v>464.1352355597503</v>
      </c>
      <c r="J358" s="329"/>
      <c r="K358" s="338">
        <v>464.1352355597503</v>
      </c>
      <c r="L358" s="338"/>
      <c r="M358" s="338"/>
      <c r="N358" s="338"/>
      <c r="O358" s="338"/>
    </row>
    <row r="359" spans="1:15" hidden="1" outlineLevel="2" x14ac:dyDescent="0.35">
      <c r="A359" s="425" t="s">
        <v>7901</v>
      </c>
      <c r="B359" s="327">
        <v>44531</v>
      </c>
      <c r="C359" s="426" t="s">
        <v>8522</v>
      </c>
      <c r="D359" s="427" t="s">
        <v>8523</v>
      </c>
      <c r="E359" s="426" t="s">
        <v>8517</v>
      </c>
      <c r="F359" s="338">
        <v>755000</v>
      </c>
      <c r="G359" s="338" t="s">
        <v>3800</v>
      </c>
      <c r="H359" s="338"/>
      <c r="I359" s="329">
        <v>179.99440267489095</v>
      </c>
      <c r="J359" s="329"/>
      <c r="K359" s="338">
        <v>179.99440267489095</v>
      </c>
      <c r="L359" s="338"/>
      <c r="M359" s="338"/>
      <c r="N359" s="338"/>
      <c r="O359" s="338"/>
    </row>
    <row r="360" spans="1:15" hidden="1" outlineLevel="2" x14ac:dyDescent="0.35">
      <c r="A360" s="425" t="s">
        <v>7901</v>
      </c>
      <c r="B360" s="327">
        <v>44448</v>
      </c>
      <c r="C360" s="426" t="s">
        <v>8524</v>
      </c>
      <c r="D360" s="427" t="s">
        <v>8525</v>
      </c>
      <c r="E360" s="426" t="s">
        <v>8456</v>
      </c>
      <c r="F360" s="338">
        <v>617200</v>
      </c>
      <c r="G360" s="338" t="s">
        <v>3800</v>
      </c>
      <c r="H360" s="338"/>
      <c r="I360" s="329">
        <v>147.14244414694397</v>
      </c>
      <c r="J360" s="329"/>
      <c r="K360" s="338">
        <v>147.14244414694397</v>
      </c>
      <c r="L360" s="338"/>
      <c r="M360" s="338"/>
      <c r="N360" s="338"/>
      <c r="O360" s="338"/>
    </row>
    <row r="361" spans="1:15" hidden="1" outlineLevel="2" x14ac:dyDescent="0.35">
      <c r="A361" s="425" t="s">
        <v>7901</v>
      </c>
      <c r="B361" s="327">
        <v>44448</v>
      </c>
      <c r="C361" s="426" t="s">
        <v>8524</v>
      </c>
      <c r="D361" s="427" t="s">
        <v>8526</v>
      </c>
      <c r="E361" s="426" t="s">
        <v>8456</v>
      </c>
      <c r="F361" s="338">
        <v>617200</v>
      </c>
      <c r="G361" s="338" t="s">
        <v>3800</v>
      </c>
      <c r="H361" s="338"/>
      <c r="I361" s="329">
        <v>147.14244414694397</v>
      </c>
      <c r="J361" s="329"/>
      <c r="K361" s="338">
        <v>147.14244414694397</v>
      </c>
      <c r="L361" s="338"/>
      <c r="M361" s="338"/>
      <c r="N361" s="338"/>
      <c r="O361" s="338"/>
    </row>
    <row r="362" spans="1:15" hidden="1" outlineLevel="2" x14ac:dyDescent="0.35">
      <c r="A362" s="425" t="s">
        <v>7901</v>
      </c>
      <c r="B362" s="327">
        <v>44432</v>
      </c>
      <c r="C362" s="426" t="s">
        <v>8527</v>
      </c>
      <c r="D362" s="427" t="s">
        <v>8528</v>
      </c>
      <c r="E362" s="426" t="s">
        <v>8456</v>
      </c>
      <c r="F362" s="338">
        <v>2282750</v>
      </c>
      <c r="G362" s="338" t="s">
        <v>3800</v>
      </c>
      <c r="H362" s="338"/>
      <c r="I362" s="329">
        <v>544.21486451140049</v>
      </c>
      <c r="J362" s="329"/>
      <c r="K362" s="338">
        <v>544.21486451140049</v>
      </c>
      <c r="L362" s="338"/>
      <c r="M362" s="338"/>
      <c r="N362" s="338"/>
      <c r="O362" s="338"/>
    </row>
    <row r="363" spans="1:15" hidden="1" outlineLevel="2" x14ac:dyDescent="0.35">
      <c r="A363" s="425" t="s">
        <v>7901</v>
      </c>
      <c r="B363" s="327">
        <v>44396</v>
      </c>
      <c r="C363" s="426" t="s">
        <v>8529</v>
      </c>
      <c r="D363" s="427" t="s">
        <v>8530</v>
      </c>
      <c r="E363" s="426" t="s">
        <v>8531</v>
      </c>
      <c r="F363" s="338">
        <v>870000</v>
      </c>
      <c r="G363" s="338" t="s">
        <v>3800</v>
      </c>
      <c r="H363" s="338"/>
      <c r="I363" s="329">
        <v>207.41076864523859</v>
      </c>
      <c r="J363" s="329"/>
      <c r="K363" s="338">
        <v>207.41076864523859</v>
      </c>
      <c r="L363" s="338"/>
      <c r="M363" s="338"/>
      <c r="N363" s="338"/>
      <c r="O363" s="338"/>
    </row>
    <row r="364" spans="1:15" hidden="1" outlineLevel="2" x14ac:dyDescent="0.35">
      <c r="A364" s="425" t="s">
        <v>7901</v>
      </c>
      <c r="B364" s="327">
        <v>44406</v>
      </c>
      <c r="C364" s="426" t="s">
        <v>8532</v>
      </c>
      <c r="D364" s="427" t="s">
        <v>8533</v>
      </c>
      <c r="E364" s="426" t="s">
        <v>8534</v>
      </c>
      <c r="F364" s="338">
        <v>625000</v>
      </c>
      <c r="G364" s="338" t="s">
        <v>3800</v>
      </c>
      <c r="H364" s="338"/>
      <c r="I364" s="329">
        <v>149.0019889692806</v>
      </c>
      <c r="J364" s="329"/>
      <c r="K364" s="338">
        <v>149.0019889692806</v>
      </c>
      <c r="L364" s="338"/>
      <c r="M364" s="338"/>
      <c r="N364" s="338"/>
      <c r="O364" s="338"/>
    </row>
    <row r="365" spans="1:15" hidden="1" outlineLevel="2" x14ac:dyDescent="0.35">
      <c r="A365" s="425" t="s">
        <v>7901</v>
      </c>
      <c r="B365" s="327">
        <v>44417</v>
      </c>
      <c r="C365" s="426" t="s">
        <v>8535</v>
      </c>
      <c r="D365" s="427" t="s">
        <v>8536</v>
      </c>
      <c r="E365" s="426" t="s">
        <v>8534</v>
      </c>
      <c r="F365" s="338">
        <v>240000</v>
      </c>
      <c r="G365" s="338" t="s">
        <v>3800</v>
      </c>
      <c r="H365" s="338"/>
      <c r="I365" s="329">
        <v>57.216763764203748</v>
      </c>
      <c r="J365" s="329"/>
      <c r="K365" s="338">
        <v>57.216763764203748</v>
      </c>
      <c r="L365" s="338"/>
      <c r="M365" s="338"/>
      <c r="N365" s="338"/>
      <c r="O365" s="338"/>
    </row>
    <row r="366" spans="1:15" outlineLevel="1" collapsed="1" x14ac:dyDescent="0.35">
      <c r="A366" s="432" t="s">
        <v>8537</v>
      </c>
      <c r="B366" s="327"/>
      <c r="C366" s="426"/>
      <c r="D366" s="427"/>
      <c r="E366" s="426"/>
      <c r="F366" s="338"/>
      <c r="G366" s="338"/>
      <c r="H366" s="338"/>
      <c r="I366" s="329">
        <f t="shared" ref="I366:O366" si="16">SUBTOTAL(9,I355:I365)</f>
        <v>2530.959704791318</v>
      </c>
      <c r="J366" s="329"/>
      <c r="K366" s="338">
        <f t="shared" si="16"/>
        <v>2530.959704791318</v>
      </c>
      <c r="L366" s="338">
        <f t="shared" si="16"/>
        <v>0</v>
      </c>
      <c r="M366" s="338">
        <f t="shared" si="16"/>
        <v>0</v>
      </c>
      <c r="N366" s="338">
        <f t="shared" si="16"/>
        <v>0</v>
      </c>
      <c r="O366" s="338">
        <f t="shared" si="16"/>
        <v>0</v>
      </c>
    </row>
    <row r="367" spans="1:15" hidden="1" outlineLevel="2" x14ac:dyDescent="0.35">
      <c r="A367" s="425" t="s">
        <v>7971</v>
      </c>
      <c r="B367" s="327" t="s">
        <v>8538</v>
      </c>
      <c r="C367" s="426" t="s">
        <v>8539</v>
      </c>
      <c r="D367" s="427" t="s">
        <v>8540</v>
      </c>
      <c r="E367" s="426" t="s">
        <v>8541</v>
      </c>
      <c r="F367" s="338">
        <v>9600000</v>
      </c>
      <c r="G367" s="338" t="s">
        <v>3800</v>
      </c>
      <c r="H367" s="338"/>
      <c r="I367" s="329">
        <v>2288.6705505681498</v>
      </c>
      <c r="J367" s="329"/>
      <c r="K367" s="338">
        <v>572.16763764203745</v>
      </c>
      <c r="L367" s="338">
        <v>572.16763764203745</v>
      </c>
      <c r="M367" s="338">
        <v>572.16763764203745</v>
      </c>
      <c r="N367" s="338">
        <v>572.16763764203745</v>
      </c>
      <c r="O367" s="338"/>
    </row>
    <row r="368" spans="1:15" hidden="1" outlineLevel="2" x14ac:dyDescent="0.35">
      <c r="A368" s="425" t="s">
        <v>7971</v>
      </c>
      <c r="B368" s="327">
        <v>44077</v>
      </c>
      <c r="C368" s="426">
        <v>226</v>
      </c>
      <c r="D368" s="427" t="s">
        <v>8542</v>
      </c>
      <c r="E368" s="426" t="s">
        <v>8543</v>
      </c>
      <c r="F368" s="338">
        <v>825000</v>
      </c>
      <c r="G368" s="338" t="s">
        <v>3800</v>
      </c>
      <c r="H368" s="338"/>
      <c r="I368" s="329">
        <v>193.39499932015872</v>
      </c>
      <c r="J368" s="329"/>
      <c r="K368" s="338">
        <v>48.348749830039679</v>
      </c>
      <c r="L368" s="338">
        <v>48.348749830039679</v>
      </c>
      <c r="M368" s="338">
        <v>48.348749830039679</v>
      </c>
      <c r="N368" s="338">
        <v>48.348749830039679</v>
      </c>
      <c r="O368" s="338"/>
    </row>
    <row r="369" spans="1:15" hidden="1" outlineLevel="2" x14ac:dyDescent="0.35">
      <c r="A369" s="425" t="s">
        <v>7971</v>
      </c>
      <c r="B369" s="327">
        <v>44135</v>
      </c>
      <c r="C369" s="426">
        <v>236</v>
      </c>
      <c r="D369" s="427" t="s">
        <v>8544</v>
      </c>
      <c r="E369" s="426" t="s">
        <v>8545</v>
      </c>
      <c r="F369" s="338">
        <v>4076825</v>
      </c>
      <c r="G369" s="338" t="s">
        <v>3800</v>
      </c>
      <c r="H369" s="338"/>
      <c r="I369" s="329">
        <v>955.68190073140124</v>
      </c>
      <c r="J369" s="329"/>
      <c r="K369" s="338">
        <v>238.92047518285031</v>
      </c>
      <c r="L369" s="338">
        <v>238.92047518285031</v>
      </c>
      <c r="M369" s="338">
        <v>238.92047518285031</v>
      </c>
      <c r="N369" s="338">
        <v>238.92047518285031</v>
      </c>
      <c r="O369" s="338"/>
    </row>
    <row r="370" spans="1:15" hidden="1" outlineLevel="2" x14ac:dyDescent="0.35">
      <c r="A370" s="425" t="s">
        <v>7971</v>
      </c>
      <c r="B370" s="327">
        <v>44135</v>
      </c>
      <c r="C370" s="426">
        <v>236</v>
      </c>
      <c r="D370" s="427" t="s">
        <v>8546</v>
      </c>
      <c r="E370" s="426" t="s">
        <v>8144</v>
      </c>
      <c r="F370" s="338">
        <v>4076825</v>
      </c>
      <c r="G370" s="338" t="s">
        <v>3800</v>
      </c>
      <c r="H370" s="338"/>
      <c r="I370" s="329">
        <v>955.68190073140124</v>
      </c>
      <c r="J370" s="329"/>
      <c r="K370" s="338">
        <v>238.92047518285031</v>
      </c>
      <c r="L370" s="338">
        <v>238.92047518285031</v>
      </c>
      <c r="M370" s="338">
        <v>238.92047518285031</v>
      </c>
      <c r="N370" s="338">
        <v>238.92047518285031</v>
      </c>
      <c r="O370" s="338"/>
    </row>
    <row r="371" spans="1:15" hidden="1" outlineLevel="2" x14ac:dyDescent="0.35">
      <c r="A371" s="425" t="s">
        <v>7971</v>
      </c>
      <c r="B371" s="327">
        <v>44135</v>
      </c>
      <c r="C371" s="426">
        <v>238</v>
      </c>
      <c r="D371" s="427" t="s">
        <v>8547</v>
      </c>
      <c r="E371" s="426" t="s">
        <v>8548</v>
      </c>
      <c r="F371" s="338">
        <v>4076825</v>
      </c>
      <c r="G371" s="338" t="s">
        <v>3800</v>
      </c>
      <c r="H371" s="338"/>
      <c r="I371" s="329">
        <v>955.68190073140124</v>
      </c>
      <c r="J371" s="329"/>
      <c r="K371" s="338">
        <v>238.92047518285031</v>
      </c>
      <c r="L371" s="338">
        <v>238.92047518285031</v>
      </c>
      <c r="M371" s="338">
        <v>238.92047518285031</v>
      </c>
      <c r="N371" s="338">
        <v>238.92047518285031</v>
      </c>
      <c r="O371" s="338"/>
    </row>
    <row r="372" spans="1:15" hidden="1" outlineLevel="2" x14ac:dyDescent="0.35">
      <c r="A372" s="425" t="s">
        <v>7971</v>
      </c>
      <c r="B372" s="327" t="s">
        <v>8002</v>
      </c>
      <c r="C372" s="426" t="s">
        <v>8003</v>
      </c>
      <c r="D372" s="427" t="s">
        <v>8549</v>
      </c>
      <c r="E372" s="426" t="s">
        <v>8545</v>
      </c>
      <c r="F372" s="338">
        <v>4076825</v>
      </c>
      <c r="G372" s="338" t="s">
        <v>3800</v>
      </c>
      <c r="H372" s="338"/>
      <c r="I372" s="329">
        <v>971.9280538874998</v>
      </c>
      <c r="J372" s="329"/>
      <c r="K372" s="338">
        <v>242.98201347187495</v>
      </c>
      <c r="L372" s="338">
        <v>242.98201347187495</v>
      </c>
      <c r="M372" s="338">
        <v>242.98201347187495</v>
      </c>
      <c r="N372" s="338">
        <v>242.98201347187495</v>
      </c>
      <c r="O372" s="338"/>
    </row>
    <row r="373" spans="1:15" hidden="1" outlineLevel="2" x14ac:dyDescent="0.35">
      <c r="A373" s="425" t="s">
        <v>7971</v>
      </c>
      <c r="B373" s="327" t="s">
        <v>7999</v>
      </c>
      <c r="C373" s="426" t="s">
        <v>8000</v>
      </c>
      <c r="D373" s="427" t="s">
        <v>8549</v>
      </c>
      <c r="E373" s="426" t="s">
        <v>8545</v>
      </c>
      <c r="F373" s="338">
        <v>4076825</v>
      </c>
      <c r="G373" s="338" t="s">
        <v>3800</v>
      </c>
      <c r="H373" s="338"/>
      <c r="I373" s="329">
        <v>971.9280538874998</v>
      </c>
      <c r="J373" s="329"/>
      <c r="K373" s="338">
        <v>242.98201347187495</v>
      </c>
      <c r="L373" s="338">
        <v>242.98201347187495</v>
      </c>
      <c r="M373" s="338">
        <v>242.98201347187495</v>
      </c>
      <c r="N373" s="338">
        <v>242.98201347187495</v>
      </c>
      <c r="O373" s="338"/>
    </row>
    <row r="374" spans="1:15" hidden="1" outlineLevel="2" x14ac:dyDescent="0.35">
      <c r="A374" s="425" t="s">
        <v>7971</v>
      </c>
      <c r="B374" s="327" t="s">
        <v>8002</v>
      </c>
      <c r="C374" s="426" t="s">
        <v>8003</v>
      </c>
      <c r="D374" s="427" t="s">
        <v>8550</v>
      </c>
      <c r="E374" s="426" t="s">
        <v>8144</v>
      </c>
      <c r="F374" s="338">
        <v>4076825</v>
      </c>
      <c r="G374" s="338" t="s">
        <v>3800</v>
      </c>
      <c r="H374" s="338"/>
      <c r="I374" s="329">
        <v>971.9280538874998</v>
      </c>
      <c r="J374" s="329"/>
      <c r="K374" s="338">
        <v>242.98201347187495</v>
      </c>
      <c r="L374" s="338">
        <v>242.98201347187495</v>
      </c>
      <c r="M374" s="338">
        <v>242.98201347187495</v>
      </c>
      <c r="N374" s="338">
        <v>242.98201347187495</v>
      </c>
      <c r="O374" s="338"/>
    </row>
    <row r="375" spans="1:15" hidden="1" outlineLevel="2" x14ac:dyDescent="0.35">
      <c r="A375" s="425" t="s">
        <v>7971</v>
      </c>
      <c r="B375" s="327" t="s">
        <v>7999</v>
      </c>
      <c r="C375" s="426" t="s">
        <v>8000</v>
      </c>
      <c r="D375" s="427" t="s">
        <v>8550</v>
      </c>
      <c r="E375" s="426" t="s">
        <v>8144</v>
      </c>
      <c r="F375" s="338">
        <v>4076825</v>
      </c>
      <c r="G375" s="338" t="s">
        <v>3800</v>
      </c>
      <c r="H375" s="338"/>
      <c r="I375" s="329">
        <v>971.9280538874998</v>
      </c>
      <c r="J375" s="329"/>
      <c r="K375" s="338">
        <v>242.98201347187495</v>
      </c>
      <c r="L375" s="338">
        <v>242.98201347187495</v>
      </c>
      <c r="M375" s="338">
        <v>242.98201347187495</v>
      </c>
      <c r="N375" s="338">
        <v>242.98201347187495</v>
      </c>
      <c r="O375" s="338"/>
    </row>
    <row r="376" spans="1:15" hidden="1" outlineLevel="2" x14ac:dyDescent="0.35">
      <c r="A376" s="425" t="s">
        <v>7971</v>
      </c>
      <c r="B376" s="327">
        <v>43799</v>
      </c>
      <c r="C376" s="426">
        <v>153</v>
      </c>
      <c r="D376" s="427" t="s">
        <v>8551</v>
      </c>
      <c r="E376" s="426" t="s">
        <v>8552</v>
      </c>
      <c r="F376" s="338">
        <v>4076825</v>
      </c>
      <c r="G376" s="338" t="s">
        <v>3800</v>
      </c>
      <c r="H376" s="338"/>
      <c r="I376" s="329">
        <v>955.68190073140124</v>
      </c>
      <c r="J376" s="329"/>
      <c r="K376" s="338">
        <v>238.92047518285031</v>
      </c>
      <c r="L376" s="338">
        <v>238.92047518285031</v>
      </c>
      <c r="M376" s="338">
        <v>238.92047518285031</v>
      </c>
      <c r="N376" s="338">
        <v>238.92047518285031</v>
      </c>
      <c r="O376" s="338"/>
    </row>
    <row r="377" spans="1:15" hidden="1" outlineLevel="2" x14ac:dyDescent="0.35">
      <c r="A377" s="425" t="s">
        <v>7971</v>
      </c>
      <c r="B377" s="327">
        <v>43799</v>
      </c>
      <c r="C377" s="426">
        <v>154</v>
      </c>
      <c r="D377" s="427" t="s">
        <v>8553</v>
      </c>
      <c r="E377" s="426" t="s">
        <v>8554</v>
      </c>
      <c r="F377" s="338">
        <v>4076825</v>
      </c>
      <c r="G377" s="338" t="s">
        <v>3800</v>
      </c>
      <c r="H377" s="338"/>
      <c r="I377" s="329">
        <v>955.68190073140124</v>
      </c>
      <c r="J377" s="329"/>
      <c r="K377" s="338">
        <v>238.92047518285031</v>
      </c>
      <c r="L377" s="338">
        <v>238.92047518285031</v>
      </c>
      <c r="M377" s="338">
        <v>238.92047518285031</v>
      </c>
      <c r="N377" s="338">
        <v>238.92047518285031</v>
      </c>
      <c r="O377" s="338"/>
    </row>
    <row r="378" spans="1:15" hidden="1" outlineLevel="2" x14ac:dyDescent="0.35">
      <c r="A378" s="425" t="s">
        <v>7971</v>
      </c>
      <c r="B378" s="327">
        <v>43799</v>
      </c>
      <c r="C378" s="426">
        <v>156</v>
      </c>
      <c r="D378" s="427" t="s">
        <v>8555</v>
      </c>
      <c r="E378" s="426" t="s">
        <v>8556</v>
      </c>
      <c r="F378" s="338">
        <v>4076825</v>
      </c>
      <c r="G378" s="338" t="s">
        <v>3800</v>
      </c>
      <c r="H378" s="338"/>
      <c r="I378" s="329">
        <v>955.68190073140124</v>
      </c>
      <c r="J378" s="329"/>
      <c r="K378" s="338">
        <v>238.92047518285031</v>
      </c>
      <c r="L378" s="338">
        <v>238.92047518285031</v>
      </c>
      <c r="M378" s="338">
        <v>238.92047518285031</v>
      </c>
      <c r="N378" s="338">
        <v>238.92047518285031</v>
      </c>
      <c r="O378" s="338"/>
    </row>
    <row r="379" spans="1:15" hidden="1" outlineLevel="2" x14ac:dyDescent="0.35">
      <c r="A379" s="425" t="s">
        <v>7971</v>
      </c>
      <c r="B379" s="327">
        <v>44165</v>
      </c>
      <c r="C379" s="426">
        <v>242</v>
      </c>
      <c r="D379" s="427" t="s">
        <v>8557</v>
      </c>
      <c r="E379" s="426" t="s">
        <v>8545</v>
      </c>
      <c r="F379" s="338">
        <v>4076825</v>
      </c>
      <c r="G379" s="338" t="s">
        <v>3800</v>
      </c>
      <c r="H379" s="338"/>
      <c r="I379" s="329">
        <v>955.68190073140124</v>
      </c>
      <c r="J379" s="329"/>
      <c r="K379" s="338">
        <v>238.92047518285031</v>
      </c>
      <c r="L379" s="338">
        <v>238.92047518285031</v>
      </c>
      <c r="M379" s="338">
        <v>238.92047518285031</v>
      </c>
      <c r="N379" s="338">
        <v>238.92047518285031</v>
      </c>
      <c r="O379" s="338"/>
    </row>
    <row r="380" spans="1:15" hidden="1" outlineLevel="2" x14ac:dyDescent="0.35">
      <c r="A380" s="425" t="s">
        <v>7971</v>
      </c>
      <c r="B380" s="327">
        <v>44165</v>
      </c>
      <c r="C380" s="426">
        <v>244</v>
      </c>
      <c r="D380" s="427" t="s">
        <v>8558</v>
      </c>
      <c r="E380" s="426" t="s">
        <v>8144</v>
      </c>
      <c r="F380" s="338">
        <v>4076825</v>
      </c>
      <c r="G380" s="338" t="s">
        <v>3800</v>
      </c>
      <c r="H380" s="338"/>
      <c r="I380" s="329">
        <v>955.68190073140124</v>
      </c>
      <c r="J380" s="329"/>
      <c r="K380" s="338">
        <v>238.92047518285031</v>
      </c>
      <c r="L380" s="338">
        <v>238.92047518285031</v>
      </c>
      <c r="M380" s="338">
        <v>238.92047518285031</v>
      </c>
      <c r="N380" s="338">
        <v>238.92047518285031</v>
      </c>
      <c r="O380" s="338"/>
    </row>
    <row r="381" spans="1:15" hidden="1" outlineLevel="2" x14ac:dyDescent="0.35">
      <c r="A381" s="425" t="s">
        <v>7971</v>
      </c>
      <c r="B381" s="327">
        <v>44165</v>
      </c>
      <c r="C381" s="426">
        <v>246</v>
      </c>
      <c r="D381" s="427" t="s">
        <v>8559</v>
      </c>
      <c r="E381" s="426" t="s">
        <v>8548</v>
      </c>
      <c r="F381" s="338">
        <v>4076825</v>
      </c>
      <c r="G381" s="338" t="s">
        <v>3800</v>
      </c>
      <c r="H381" s="338"/>
      <c r="I381" s="329">
        <v>955.68190073140124</v>
      </c>
      <c r="J381" s="329"/>
      <c r="K381" s="338">
        <v>238.92047518285031</v>
      </c>
      <c r="L381" s="338">
        <v>238.92047518285031</v>
      </c>
      <c r="M381" s="338">
        <v>238.92047518285031</v>
      </c>
      <c r="N381" s="338">
        <v>238.92047518285031</v>
      </c>
      <c r="O381" s="338"/>
    </row>
    <row r="382" spans="1:15" hidden="1" outlineLevel="2" x14ac:dyDescent="0.35">
      <c r="A382" s="425" t="s">
        <v>7971</v>
      </c>
      <c r="B382" s="327">
        <v>43861</v>
      </c>
      <c r="C382" s="426">
        <v>162</v>
      </c>
      <c r="D382" s="427" t="s">
        <v>8560</v>
      </c>
      <c r="E382" s="426" t="s">
        <v>8545</v>
      </c>
      <c r="F382" s="338">
        <v>4076825</v>
      </c>
      <c r="G382" s="338" t="s">
        <v>3800</v>
      </c>
      <c r="H382" s="338"/>
      <c r="I382" s="329">
        <v>955.68190073140124</v>
      </c>
      <c r="J382" s="329"/>
      <c r="K382" s="338">
        <v>238.92047518285031</v>
      </c>
      <c r="L382" s="338">
        <v>238.92047518285031</v>
      </c>
      <c r="M382" s="338">
        <v>238.92047518285031</v>
      </c>
      <c r="N382" s="338">
        <v>238.92047518285031</v>
      </c>
      <c r="O382" s="338"/>
    </row>
    <row r="383" spans="1:15" hidden="1" outlineLevel="2" x14ac:dyDescent="0.35">
      <c r="A383" s="425" t="s">
        <v>7971</v>
      </c>
      <c r="B383" s="327">
        <v>43861</v>
      </c>
      <c r="C383" s="426">
        <v>164</v>
      </c>
      <c r="D383" s="427" t="s">
        <v>8561</v>
      </c>
      <c r="E383" s="426" t="s">
        <v>8562</v>
      </c>
      <c r="F383" s="338">
        <v>4076825</v>
      </c>
      <c r="G383" s="338" t="s">
        <v>3800</v>
      </c>
      <c r="H383" s="338"/>
      <c r="I383" s="329">
        <v>955.68190073140124</v>
      </c>
      <c r="J383" s="329"/>
      <c r="K383" s="338">
        <v>238.92047518285031</v>
      </c>
      <c r="L383" s="338">
        <v>238.92047518285031</v>
      </c>
      <c r="M383" s="338">
        <v>238.92047518285031</v>
      </c>
      <c r="N383" s="338">
        <v>238.92047518285031</v>
      </c>
      <c r="O383" s="338"/>
    </row>
    <row r="384" spans="1:15" hidden="1" outlineLevel="2" x14ac:dyDescent="0.35">
      <c r="A384" s="425" t="s">
        <v>7971</v>
      </c>
      <c r="B384" s="327">
        <v>43861</v>
      </c>
      <c r="C384" s="426">
        <v>166</v>
      </c>
      <c r="D384" s="427" t="s">
        <v>8563</v>
      </c>
      <c r="E384" s="426" t="s">
        <v>8548</v>
      </c>
      <c r="F384" s="338">
        <v>4076825</v>
      </c>
      <c r="G384" s="338" t="s">
        <v>3800</v>
      </c>
      <c r="H384" s="338"/>
      <c r="I384" s="329">
        <v>955.68190073140124</v>
      </c>
      <c r="J384" s="329"/>
      <c r="K384" s="338">
        <v>238.92047518285031</v>
      </c>
      <c r="L384" s="338">
        <v>238.92047518285031</v>
      </c>
      <c r="M384" s="338">
        <v>238.92047518285031</v>
      </c>
      <c r="N384" s="338">
        <v>238.92047518285031</v>
      </c>
      <c r="O384" s="338"/>
    </row>
    <row r="385" spans="1:15" hidden="1" outlineLevel="2" x14ac:dyDescent="0.35">
      <c r="A385" s="425" t="s">
        <v>7971</v>
      </c>
      <c r="B385" s="327" t="s">
        <v>8077</v>
      </c>
      <c r="C385" s="426" t="s">
        <v>8564</v>
      </c>
      <c r="D385" s="427" t="s">
        <v>8565</v>
      </c>
      <c r="E385" s="426" t="s">
        <v>8545</v>
      </c>
      <c r="F385" s="338">
        <v>4076825</v>
      </c>
      <c r="G385" s="338" t="s">
        <v>3800</v>
      </c>
      <c r="H385" s="338"/>
      <c r="I385" s="329">
        <v>971.9280538874998</v>
      </c>
      <c r="J385" s="329"/>
      <c r="K385" s="338">
        <v>242.98201347187495</v>
      </c>
      <c r="L385" s="338">
        <v>242.98201347187495</v>
      </c>
      <c r="M385" s="338">
        <v>242.98201347187495</v>
      </c>
      <c r="N385" s="338">
        <v>242.98201347187495</v>
      </c>
      <c r="O385" s="338"/>
    </row>
    <row r="386" spans="1:15" hidden="1" outlineLevel="2" x14ac:dyDescent="0.35">
      <c r="A386" s="425" t="s">
        <v>7971</v>
      </c>
      <c r="B386" s="327" t="s">
        <v>8077</v>
      </c>
      <c r="C386" s="426" t="s">
        <v>8566</v>
      </c>
      <c r="D386" s="427" t="s">
        <v>8567</v>
      </c>
      <c r="E386" s="426" t="s">
        <v>8144</v>
      </c>
      <c r="F386" s="338">
        <v>4076825</v>
      </c>
      <c r="G386" s="338" t="s">
        <v>3800</v>
      </c>
      <c r="H386" s="338"/>
      <c r="I386" s="329">
        <v>971.9280538874998</v>
      </c>
      <c r="J386" s="329"/>
      <c r="K386" s="338">
        <v>242.98201347187495</v>
      </c>
      <c r="L386" s="338">
        <v>242.98201347187495</v>
      </c>
      <c r="M386" s="338">
        <v>242.98201347187495</v>
      </c>
      <c r="N386" s="338">
        <v>242.98201347187495</v>
      </c>
      <c r="O386" s="338"/>
    </row>
    <row r="387" spans="1:15" hidden="1" outlineLevel="2" x14ac:dyDescent="0.35">
      <c r="A387" s="425" t="s">
        <v>7971</v>
      </c>
      <c r="B387" s="327" t="s">
        <v>8077</v>
      </c>
      <c r="C387" s="426" t="s">
        <v>8568</v>
      </c>
      <c r="D387" s="427" t="s">
        <v>8569</v>
      </c>
      <c r="E387" s="426" t="s">
        <v>8548</v>
      </c>
      <c r="F387" s="338">
        <v>4076825</v>
      </c>
      <c r="G387" s="338" t="s">
        <v>3800</v>
      </c>
      <c r="H387" s="338"/>
      <c r="I387" s="329">
        <v>971.9280538874998</v>
      </c>
      <c r="J387" s="329"/>
      <c r="K387" s="338">
        <v>242.98201347187495</v>
      </c>
      <c r="L387" s="338">
        <v>242.98201347187495</v>
      </c>
      <c r="M387" s="338">
        <v>242.98201347187495</v>
      </c>
      <c r="N387" s="338">
        <v>242.98201347187495</v>
      </c>
      <c r="O387" s="338"/>
    </row>
    <row r="388" spans="1:15" hidden="1" outlineLevel="2" x14ac:dyDescent="0.35">
      <c r="A388" s="425" t="s">
        <v>7971</v>
      </c>
      <c r="B388" s="327" t="s">
        <v>8079</v>
      </c>
      <c r="C388" s="426" t="s">
        <v>8327</v>
      </c>
      <c r="D388" s="427" t="s">
        <v>8570</v>
      </c>
      <c r="E388" s="426" t="s">
        <v>8545</v>
      </c>
      <c r="F388" s="338">
        <v>4076825</v>
      </c>
      <c r="G388" s="338" t="s">
        <v>3800</v>
      </c>
      <c r="H388" s="338"/>
      <c r="I388" s="329">
        <v>971.9280538874998</v>
      </c>
      <c r="J388" s="329"/>
      <c r="K388" s="338">
        <v>242.98201347187495</v>
      </c>
      <c r="L388" s="338">
        <v>242.98201347187495</v>
      </c>
      <c r="M388" s="338">
        <v>242.98201347187495</v>
      </c>
      <c r="N388" s="338">
        <v>242.98201347187495</v>
      </c>
      <c r="O388" s="338"/>
    </row>
    <row r="389" spans="1:15" hidden="1" outlineLevel="2" x14ac:dyDescent="0.35">
      <c r="A389" s="425" t="s">
        <v>7971</v>
      </c>
      <c r="B389" s="327" t="s">
        <v>8079</v>
      </c>
      <c r="C389" s="426" t="s">
        <v>8327</v>
      </c>
      <c r="D389" s="427" t="s">
        <v>8571</v>
      </c>
      <c r="E389" s="426" t="s">
        <v>8144</v>
      </c>
      <c r="F389" s="338">
        <v>4076825</v>
      </c>
      <c r="G389" s="338" t="s">
        <v>3800</v>
      </c>
      <c r="H389" s="338"/>
      <c r="I389" s="329">
        <v>971.9280538874998</v>
      </c>
      <c r="J389" s="329"/>
      <c r="K389" s="338">
        <v>242.98201347187495</v>
      </c>
      <c r="L389" s="338">
        <v>242.98201347187495</v>
      </c>
      <c r="M389" s="338">
        <v>242.98201347187495</v>
      </c>
      <c r="N389" s="338">
        <v>242.98201347187495</v>
      </c>
      <c r="O389" s="338"/>
    </row>
    <row r="390" spans="1:15" hidden="1" outlineLevel="2" x14ac:dyDescent="0.35">
      <c r="A390" s="425" t="s">
        <v>7971</v>
      </c>
      <c r="B390" s="327">
        <v>43830</v>
      </c>
      <c r="C390" s="426">
        <v>157</v>
      </c>
      <c r="D390" s="427" t="s">
        <v>8572</v>
      </c>
      <c r="E390" s="426" t="s">
        <v>8552</v>
      </c>
      <c r="F390" s="338">
        <v>4076825</v>
      </c>
      <c r="G390" s="338" t="s">
        <v>3800</v>
      </c>
      <c r="H390" s="338"/>
      <c r="I390" s="329">
        <v>955.68190073140124</v>
      </c>
      <c r="J390" s="329"/>
      <c r="K390" s="338">
        <v>238.92047518285031</v>
      </c>
      <c r="L390" s="338">
        <v>238.92047518285031</v>
      </c>
      <c r="M390" s="338">
        <v>238.92047518285031</v>
      </c>
      <c r="N390" s="338">
        <v>238.92047518285031</v>
      </c>
      <c r="O390" s="338"/>
    </row>
    <row r="391" spans="1:15" hidden="1" outlineLevel="2" x14ac:dyDescent="0.35">
      <c r="A391" s="425" t="s">
        <v>7971</v>
      </c>
      <c r="B391" s="327">
        <v>43830</v>
      </c>
      <c r="C391" s="426">
        <v>158</v>
      </c>
      <c r="D391" s="427" t="s">
        <v>8573</v>
      </c>
      <c r="E391" s="426" t="s">
        <v>8554</v>
      </c>
      <c r="F391" s="338">
        <v>4076825</v>
      </c>
      <c r="G391" s="338" t="s">
        <v>3800</v>
      </c>
      <c r="H391" s="338"/>
      <c r="I391" s="329">
        <v>955.68190073140124</v>
      </c>
      <c r="J391" s="329"/>
      <c r="K391" s="338">
        <v>238.92047518285031</v>
      </c>
      <c r="L391" s="338">
        <v>238.92047518285031</v>
      </c>
      <c r="M391" s="338">
        <v>238.92047518285031</v>
      </c>
      <c r="N391" s="338">
        <v>238.92047518285031</v>
      </c>
      <c r="O391" s="338"/>
    </row>
    <row r="392" spans="1:15" hidden="1" outlineLevel="2" x14ac:dyDescent="0.35">
      <c r="A392" s="425" t="s">
        <v>7971</v>
      </c>
      <c r="B392" s="327">
        <v>43830</v>
      </c>
      <c r="C392" s="426">
        <v>160</v>
      </c>
      <c r="D392" s="427" t="s">
        <v>8574</v>
      </c>
      <c r="E392" s="426" t="s">
        <v>8575</v>
      </c>
      <c r="F392" s="338">
        <v>4076825</v>
      </c>
      <c r="G392" s="338" t="s">
        <v>3800</v>
      </c>
      <c r="H392" s="338"/>
      <c r="I392" s="329">
        <v>955.68190073140124</v>
      </c>
      <c r="J392" s="329"/>
      <c r="K392" s="338">
        <v>238.92047518285031</v>
      </c>
      <c r="L392" s="338">
        <v>238.92047518285031</v>
      </c>
      <c r="M392" s="338">
        <v>238.92047518285031</v>
      </c>
      <c r="N392" s="338">
        <v>238.92047518285031</v>
      </c>
      <c r="O392" s="338"/>
    </row>
    <row r="393" spans="1:15" hidden="1" outlineLevel="2" x14ac:dyDescent="0.35">
      <c r="A393" s="425" t="s">
        <v>7971</v>
      </c>
      <c r="B393" s="327">
        <v>44196</v>
      </c>
      <c r="C393" s="426">
        <v>250</v>
      </c>
      <c r="D393" s="427" t="s">
        <v>8576</v>
      </c>
      <c r="E393" s="426" t="s">
        <v>8545</v>
      </c>
      <c r="F393" s="338">
        <v>4076825</v>
      </c>
      <c r="G393" s="338" t="s">
        <v>3800</v>
      </c>
      <c r="H393" s="338"/>
      <c r="I393" s="329">
        <v>955.68190073140124</v>
      </c>
      <c r="J393" s="329"/>
      <c r="K393" s="338">
        <v>238.92047518285031</v>
      </c>
      <c r="L393" s="338">
        <v>238.92047518285031</v>
      </c>
      <c r="M393" s="338">
        <v>238.92047518285031</v>
      </c>
      <c r="N393" s="338">
        <v>238.92047518285031</v>
      </c>
      <c r="O393" s="338"/>
    </row>
    <row r="394" spans="1:15" hidden="1" outlineLevel="2" x14ac:dyDescent="0.35">
      <c r="A394" s="425" t="s">
        <v>7971</v>
      </c>
      <c r="B394" s="327">
        <v>44196</v>
      </c>
      <c r="C394" s="426">
        <v>252</v>
      </c>
      <c r="D394" s="427" t="s">
        <v>8577</v>
      </c>
      <c r="E394" s="426" t="s">
        <v>8144</v>
      </c>
      <c r="F394" s="338">
        <v>4076825</v>
      </c>
      <c r="G394" s="338" t="s">
        <v>3800</v>
      </c>
      <c r="H394" s="338"/>
      <c r="I394" s="329">
        <v>955.68190073140124</v>
      </c>
      <c r="J394" s="329"/>
      <c r="K394" s="338">
        <v>238.92047518285031</v>
      </c>
      <c r="L394" s="338">
        <v>238.92047518285031</v>
      </c>
      <c r="M394" s="338">
        <v>238.92047518285031</v>
      </c>
      <c r="N394" s="338">
        <v>238.92047518285031</v>
      </c>
      <c r="O394" s="338"/>
    </row>
    <row r="395" spans="1:15" hidden="1" outlineLevel="2" x14ac:dyDescent="0.35">
      <c r="A395" s="425" t="s">
        <v>7971</v>
      </c>
      <c r="B395" s="327">
        <v>44196</v>
      </c>
      <c r="C395" s="426">
        <v>254</v>
      </c>
      <c r="D395" s="427" t="s">
        <v>8578</v>
      </c>
      <c r="E395" s="426" t="s">
        <v>8548</v>
      </c>
      <c r="F395" s="338">
        <v>4076825</v>
      </c>
      <c r="G395" s="338" t="s">
        <v>3800</v>
      </c>
      <c r="H395" s="338"/>
      <c r="I395" s="329">
        <v>955.68190073140124</v>
      </c>
      <c r="J395" s="329"/>
      <c r="K395" s="338">
        <v>238.92047518285031</v>
      </c>
      <c r="L395" s="338">
        <v>238.92047518285031</v>
      </c>
      <c r="M395" s="338">
        <v>238.92047518285031</v>
      </c>
      <c r="N395" s="338">
        <v>238.92047518285031</v>
      </c>
      <c r="O395" s="338"/>
    </row>
    <row r="396" spans="1:15" hidden="1" outlineLevel="2" x14ac:dyDescent="0.35">
      <c r="A396" s="425" t="s">
        <v>7971</v>
      </c>
      <c r="B396" s="327" t="s">
        <v>7987</v>
      </c>
      <c r="C396" s="426" t="s">
        <v>7988</v>
      </c>
      <c r="D396" s="427" t="s">
        <v>8579</v>
      </c>
      <c r="E396" s="426" t="s">
        <v>8545</v>
      </c>
      <c r="F396" s="338">
        <v>4076825</v>
      </c>
      <c r="G396" s="338" t="s">
        <v>3800</v>
      </c>
      <c r="H396" s="338"/>
      <c r="I396" s="329">
        <v>971.9280538874998</v>
      </c>
      <c r="J396" s="329"/>
      <c r="K396" s="338">
        <v>242.98201347187495</v>
      </c>
      <c r="L396" s="338">
        <v>242.98201347187495</v>
      </c>
      <c r="M396" s="338">
        <v>242.98201347187495</v>
      </c>
      <c r="N396" s="338">
        <v>242.98201347187495</v>
      </c>
      <c r="O396" s="338"/>
    </row>
    <row r="397" spans="1:15" hidden="1" outlineLevel="2" x14ac:dyDescent="0.35">
      <c r="A397" s="425" t="s">
        <v>7971</v>
      </c>
      <c r="B397" s="327" t="s">
        <v>7987</v>
      </c>
      <c r="C397" s="426" t="s">
        <v>7988</v>
      </c>
      <c r="D397" s="427" t="s">
        <v>8580</v>
      </c>
      <c r="E397" s="426" t="s">
        <v>8144</v>
      </c>
      <c r="F397" s="338">
        <v>4076825</v>
      </c>
      <c r="G397" s="338" t="s">
        <v>3800</v>
      </c>
      <c r="H397" s="338"/>
      <c r="I397" s="329">
        <v>971.9280538874998</v>
      </c>
      <c r="J397" s="329"/>
      <c r="K397" s="338">
        <v>242.98201347187495</v>
      </c>
      <c r="L397" s="338">
        <v>242.98201347187495</v>
      </c>
      <c r="M397" s="338">
        <v>242.98201347187495</v>
      </c>
      <c r="N397" s="338">
        <v>242.98201347187495</v>
      </c>
      <c r="O397" s="338"/>
    </row>
    <row r="398" spans="1:15" hidden="1" outlineLevel="2" x14ac:dyDescent="0.35">
      <c r="A398" s="425" t="s">
        <v>7971</v>
      </c>
      <c r="B398" s="327">
        <v>43890</v>
      </c>
      <c r="C398" s="426">
        <v>169</v>
      </c>
      <c r="D398" s="427" t="s">
        <v>8581</v>
      </c>
      <c r="E398" s="426" t="s">
        <v>8545</v>
      </c>
      <c r="F398" s="338">
        <v>4076825</v>
      </c>
      <c r="G398" s="338" t="s">
        <v>3800</v>
      </c>
      <c r="H398" s="338"/>
      <c r="I398" s="329">
        <v>955.68190073140124</v>
      </c>
      <c r="J398" s="329"/>
      <c r="K398" s="338">
        <v>238.92047518285031</v>
      </c>
      <c r="L398" s="338">
        <v>238.92047518285031</v>
      </c>
      <c r="M398" s="338">
        <v>238.92047518285031</v>
      </c>
      <c r="N398" s="338">
        <v>238.92047518285031</v>
      </c>
      <c r="O398" s="338"/>
    </row>
    <row r="399" spans="1:15" hidden="1" outlineLevel="2" x14ac:dyDescent="0.35">
      <c r="A399" s="425" t="s">
        <v>7971</v>
      </c>
      <c r="B399" s="327">
        <v>43890</v>
      </c>
      <c r="C399" s="426">
        <v>171</v>
      </c>
      <c r="D399" s="427" t="s">
        <v>8582</v>
      </c>
      <c r="E399" s="426" t="s">
        <v>8144</v>
      </c>
      <c r="F399" s="338">
        <v>4076825</v>
      </c>
      <c r="G399" s="338" t="s">
        <v>3800</v>
      </c>
      <c r="H399" s="338"/>
      <c r="I399" s="329">
        <v>955.68190073140124</v>
      </c>
      <c r="J399" s="329"/>
      <c r="K399" s="338">
        <v>238.92047518285031</v>
      </c>
      <c r="L399" s="338">
        <v>238.92047518285031</v>
      </c>
      <c r="M399" s="338">
        <v>238.92047518285031</v>
      </c>
      <c r="N399" s="338">
        <v>238.92047518285031</v>
      </c>
      <c r="O399" s="338"/>
    </row>
    <row r="400" spans="1:15" hidden="1" outlineLevel="2" x14ac:dyDescent="0.35">
      <c r="A400" s="425" t="s">
        <v>7971</v>
      </c>
      <c r="B400" s="327">
        <v>43890</v>
      </c>
      <c r="C400" s="426">
        <v>173</v>
      </c>
      <c r="D400" s="427" t="s">
        <v>8583</v>
      </c>
      <c r="E400" s="426" t="s">
        <v>8548</v>
      </c>
      <c r="F400" s="338">
        <v>4076825</v>
      </c>
      <c r="G400" s="338" t="s">
        <v>3800</v>
      </c>
      <c r="H400" s="338"/>
      <c r="I400" s="329">
        <v>955.68190073140124</v>
      </c>
      <c r="J400" s="329"/>
      <c r="K400" s="338">
        <v>238.92047518285031</v>
      </c>
      <c r="L400" s="338">
        <v>238.92047518285031</v>
      </c>
      <c r="M400" s="338">
        <v>238.92047518285031</v>
      </c>
      <c r="N400" s="338">
        <v>238.92047518285031</v>
      </c>
      <c r="O400" s="338"/>
    </row>
    <row r="401" spans="1:15" hidden="1" outlineLevel="2" x14ac:dyDescent="0.35">
      <c r="A401" s="425" t="s">
        <v>7971</v>
      </c>
      <c r="B401" s="327" t="s">
        <v>8075</v>
      </c>
      <c r="C401" s="426" t="s">
        <v>8584</v>
      </c>
      <c r="D401" s="427" t="s">
        <v>8585</v>
      </c>
      <c r="E401" s="426" t="s">
        <v>8545</v>
      </c>
      <c r="F401" s="338">
        <v>4076825</v>
      </c>
      <c r="G401" s="338" t="s">
        <v>3800</v>
      </c>
      <c r="H401" s="338"/>
      <c r="I401" s="329">
        <v>971.9280538874998</v>
      </c>
      <c r="J401" s="329"/>
      <c r="K401" s="338">
        <v>242.98201347187495</v>
      </c>
      <c r="L401" s="338">
        <v>242.98201347187495</v>
      </c>
      <c r="M401" s="338">
        <v>242.98201347187495</v>
      </c>
      <c r="N401" s="338">
        <v>242.98201347187495</v>
      </c>
      <c r="O401" s="338"/>
    </row>
    <row r="402" spans="1:15" hidden="1" outlineLevel="2" x14ac:dyDescent="0.35">
      <c r="A402" s="425" t="s">
        <v>7971</v>
      </c>
      <c r="B402" s="327" t="s">
        <v>8075</v>
      </c>
      <c r="C402" s="426" t="s">
        <v>8586</v>
      </c>
      <c r="D402" s="427" t="s">
        <v>8587</v>
      </c>
      <c r="E402" s="426" t="s">
        <v>8144</v>
      </c>
      <c r="F402" s="338">
        <v>4076825</v>
      </c>
      <c r="G402" s="338" t="s">
        <v>3800</v>
      </c>
      <c r="H402" s="338"/>
      <c r="I402" s="329">
        <v>971.9280538874998</v>
      </c>
      <c r="J402" s="329"/>
      <c r="K402" s="338">
        <v>242.98201347187495</v>
      </c>
      <c r="L402" s="338">
        <v>242.98201347187495</v>
      </c>
      <c r="M402" s="338">
        <v>242.98201347187495</v>
      </c>
      <c r="N402" s="338">
        <v>242.98201347187495</v>
      </c>
      <c r="O402" s="338"/>
    </row>
    <row r="403" spans="1:15" hidden="1" outlineLevel="2" x14ac:dyDescent="0.35">
      <c r="A403" s="425" t="s">
        <v>7971</v>
      </c>
      <c r="B403" s="327" t="s">
        <v>8075</v>
      </c>
      <c r="C403" s="426" t="s">
        <v>8588</v>
      </c>
      <c r="D403" s="427" t="s">
        <v>8589</v>
      </c>
      <c r="E403" s="426" t="s">
        <v>8548</v>
      </c>
      <c r="F403" s="338">
        <v>4076825</v>
      </c>
      <c r="G403" s="338" t="s">
        <v>3800</v>
      </c>
      <c r="H403" s="338"/>
      <c r="I403" s="329">
        <v>971.9280538874998</v>
      </c>
      <c r="J403" s="329"/>
      <c r="K403" s="338">
        <v>242.98201347187495</v>
      </c>
      <c r="L403" s="338">
        <v>242.98201347187495</v>
      </c>
      <c r="M403" s="338">
        <v>242.98201347187495</v>
      </c>
      <c r="N403" s="338">
        <v>242.98201347187495</v>
      </c>
      <c r="O403" s="338"/>
    </row>
    <row r="404" spans="1:15" hidden="1" outlineLevel="2" x14ac:dyDescent="0.35">
      <c r="A404" s="425" t="s">
        <v>7971</v>
      </c>
      <c r="B404" s="327">
        <v>43921</v>
      </c>
      <c r="C404" s="426">
        <v>176</v>
      </c>
      <c r="D404" s="427" t="s">
        <v>8590</v>
      </c>
      <c r="E404" s="426" t="s">
        <v>8545</v>
      </c>
      <c r="F404" s="338">
        <v>4076825</v>
      </c>
      <c r="G404" s="338" t="s">
        <v>3800</v>
      </c>
      <c r="H404" s="338"/>
      <c r="I404" s="329">
        <v>955.68190073140124</v>
      </c>
      <c r="J404" s="329"/>
      <c r="K404" s="338">
        <v>238.92047518285031</v>
      </c>
      <c r="L404" s="338">
        <v>238.92047518285031</v>
      </c>
      <c r="M404" s="338">
        <v>238.92047518285031</v>
      </c>
      <c r="N404" s="338">
        <v>238.92047518285031</v>
      </c>
      <c r="O404" s="338"/>
    </row>
    <row r="405" spans="1:15" hidden="1" outlineLevel="2" x14ac:dyDescent="0.35">
      <c r="A405" s="425" t="s">
        <v>7971</v>
      </c>
      <c r="B405" s="327">
        <v>43921</v>
      </c>
      <c r="C405" s="426">
        <v>178</v>
      </c>
      <c r="D405" s="427" t="s">
        <v>8591</v>
      </c>
      <c r="E405" s="426" t="s">
        <v>8144</v>
      </c>
      <c r="F405" s="338">
        <v>4076825</v>
      </c>
      <c r="G405" s="338" t="s">
        <v>3800</v>
      </c>
      <c r="H405" s="338"/>
      <c r="I405" s="329">
        <v>955.68190073140124</v>
      </c>
      <c r="J405" s="329"/>
      <c r="K405" s="338">
        <v>238.92047518285031</v>
      </c>
      <c r="L405" s="338">
        <v>238.92047518285031</v>
      </c>
      <c r="M405" s="338">
        <v>238.92047518285031</v>
      </c>
      <c r="N405" s="338">
        <v>238.92047518285031</v>
      </c>
      <c r="O405" s="338"/>
    </row>
    <row r="406" spans="1:15" hidden="1" outlineLevel="2" x14ac:dyDescent="0.35">
      <c r="A406" s="425" t="s">
        <v>7971</v>
      </c>
      <c r="B406" s="327">
        <v>43921</v>
      </c>
      <c r="C406" s="426">
        <v>180</v>
      </c>
      <c r="D406" s="427" t="s">
        <v>8592</v>
      </c>
      <c r="E406" s="426" t="s">
        <v>8548</v>
      </c>
      <c r="F406" s="338">
        <v>4076825</v>
      </c>
      <c r="G406" s="338" t="s">
        <v>3800</v>
      </c>
      <c r="H406" s="338"/>
      <c r="I406" s="329">
        <v>955.68190073140124</v>
      </c>
      <c r="J406" s="329"/>
      <c r="K406" s="338">
        <v>238.92047518285031</v>
      </c>
      <c r="L406" s="338">
        <v>238.92047518285031</v>
      </c>
      <c r="M406" s="338">
        <v>238.92047518285031</v>
      </c>
      <c r="N406" s="338">
        <v>238.92047518285031</v>
      </c>
      <c r="O406" s="338"/>
    </row>
    <row r="407" spans="1:15" hidden="1" outlineLevel="2" x14ac:dyDescent="0.35">
      <c r="A407" s="425" t="s">
        <v>7971</v>
      </c>
      <c r="B407" s="327" t="s">
        <v>8089</v>
      </c>
      <c r="C407" s="426" t="s">
        <v>8593</v>
      </c>
      <c r="D407" s="427" t="s">
        <v>8594</v>
      </c>
      <c r="E407" s="426" t="s">
        <v>8545</v>
      </c>
      <c r="F407" s="338">
        <v>4076825</v>
      </c>
      <c r="G407" s="338" t="s">
        <v>3800</v>
      </c>
      <c r="H407" s="338"/>
      <c r="I407" s="329">
        <v>971.9280538874998</v>
      </c>
      <c r="J407" s="329"/>
      <c r="K407" s="338">
        <v>242.98201347187495</v>
      </c>
      <c r="L407" s="338">
        <v>242.98201347187495</v>
      </c>
      <c r="M407" s="338">
        <v>242.98201347187495</v>
      </c>
      <c r="N407" s="338">
        <v>242.98201347187495</v>
      </c>
      <c r="O407" s="338"/>
    </row>
    <row r="408" spans="1:15" hidden="1" outlineLevel="2" x14ac:dyDescent="0.35">
      <c r="A408" s="425" t="s">
        <v>7971</v>
      </c>
      <c r="B408" s="327" t="s">
        <v>7980</v>
      </c>
      <c r="C408" s="426" t="s">
        <v>8595</v>
      </c>
      <c r="D408" s="427" t="s">
        <v>8594</v>
      </c>
      <c r="E408" s="426" t="s">
        <v>8144</v>
      </c>
      <c r="F408" s="338">
        <v>4076825</v>
      </c>
      <c r="G408" s="338" t="s">
        <v>3800</v>
      </c>
      <c r="H408" s="338"/>
      <c r="I408" s="329">
        <v>971.9280538874998</v>
      </c>
      <c r="J408" s="329"/>
      <c r="K408" s="338">
        <v>242.98201347187495</v>
      </c>
      <c r="L408" s="338">
        <v>242.98201347187495</v>
      </c>
      <c r="M408" s="338">
        <v>242.98201347187495</v>
      </c>
      <c r="N408" s="338">
        <v>242.98201347187495</v>
      </c>
      <c r="O408" s="338"/>
    </row>
    <row r="409" spans="1:15" hidden="1" outlineLevel="2" x14ac:dyDescent="0.35">
      <c r="A409" s="425" t="s">
        <v>7971</v>
      </c>
      <c r="B409" s="327" t="s">
        <v>8089</v>
      </c>
      <c r="C409" s="426" t="s">
        <v>8596</v>
      </c>
      <c r="D409" s="427" t="s">
        <v>8597</v>
      </c>
      <c r="E409" s="426" t="s">
        <v>8144</v>
      </c>
      <c r="F409" s="338">
        <v>4076825</v>
      </c>
      <c r="G409" s="338" t="s">
        <v>3800</v>
      </c>
      <c r="H409" s="338"/>
      <c r="I409" s="329">
        <v>971.9280538874998</v>
      </c>
      <c r="J409" s="329"/>
      <c r="K409" s="338">
        <v>242.98201347187495</v>
      </c>
      <c r="L409" s="338">
        <v>242.98201347187495</v>
      </c>
      <c r="M409" s="338">
        <v>242.98201347187495</v>
      </c>
      <c r="N409" s="338">
        <v>242.98201347187495</v>
      </c>
      <c r="O409" s="338"/>
    </row>
    <row r="410" spans="1:15" hidden="1" outlineLevel="2" x14ac:dyDescent="0.35">
      <c r="A410" s="425" t="s">
        <v>7971</v>
      </c>
      <c r="B410" s="327" t="s">
        <v>7980</v>
      </c>
      <c r="C410" s="426" t="s">
        <v>8598</v>
      </c>
      <c r="D410" s="427" t="s">
        <v>8597</v>
      </c>
      <c r="E410" s="426" t="s">
        <v>8144</v>
      </c>
      <c r="F410" s="338">
        <v>4076825</v>
      </c>
      <c r="G410" s="338" t="s">
        <v>3800</v>
      </c>
      <c r="H410" s="338"/>
      <c r="I410" s="329">
        <v>971.9280538874998</v>
      </c>
      <c r="J410" s="329"/>
      <c r="K410" s="338">
        <v>242.98201347187495</v>
      </c>
      <c r="L410" s="338">
        <v>242.98201347187495</v>
      </c>
      <c r="M410" s="338">
        <v>242.98201347187495</v>
      </c>
      <c r="N410" s="338">
        <v>242.98201347187495</v>
      </c>
      <c r="O410" s="338"/>
    </row>
    <row r="411" spans="1:15" hidden="1" outlineLevel="2" x14ac:dyDescent="0.35">
      <c r="A411" s="425" t="s">
        <v>7971</v>
      </c>
      <c r="B411" s="327" t="s">
        <v>8089</v>
      </c>
      <c r="C411" s="426" t="s">
        <v>8599</v>
      </c>
      <c r="D411" s="427" t="s">
        <v>8600</v>
      </c>
      <c r="E411" s="426" t="s">
        <v>8548</v>
      </c>
      <c r="F411" s="338">
        <v>4076825</v>
      </c>
      <c r="G411" s="338" t="s">
        <v>3800</v>
      </c>
      <c r="H411" s="338"/>
      <c r="I411" s="329">
        <v>971.9280538874998</v>
      </c>
      <c r="J411" s="329"/>
      <c r="K411" s="338">
        <v>242.98201347187495</v>
      </c>
      <c r="L411" s="338">
        <v>242.98201347187495</v>
      </c>
      <c r="M411" s="338">
        <v>242.98201347187495</v>
      </c>
      <c r="N411" s="338">
        <v>242.98201347187495</v>
      </c>
      <c r="O411" s="338"/>
    </row>
    <row r="412" spans="1:15" hidden="1" outlineLevel="2" x14ac:dyDescent="0.35">
      <c r="A412" s="425" t="s">
        <v>7971</v>
      </c>
      <c r="B412" s="327" t="s">
        <v>7980</v>
      </c>
      <c r="C412" s="426" t="s">
        <v>8601</v>
      </c>
      <c r="D412" s="427" t="s">
        <v>8600</v>
      </c>
      <c r="E412" s="426" t="s">
        <v>8548</v>
      </c>
      <c r="F412" s="338">
        <v>4076825</v>
      </c>
      <c r="G412" s="338" t="s">
        <v>3800</v>
      </c>
      <c r="H412" s="338"/>
      <c r="I412" s="329">
        <v>971.9280538874998</v>
      </c>
      <c r="J412" s="329"/>
      <c r="K412" s="338">
        <v>242.98201347187495</v>
      </c>
      <c r="L412" s="338">
        <v>242.98201347187495</v>
      </c>
      <c r="M412" s="338">
        <v>242.98201347187495</v>
      </c>
      <c r="N412" s="338">
        <v>242.98201347187495</v>
      </c>
      <c r="O412" s="338"/>
    </row>
    <row r="413" spans="1:15" hidden="1" outlineLevel="2" x14ac:dyDescent="0.35">
      <c r="A413" s="425" t="s">
        <v>7971</v>
      </c>
      <c r="B413" s="327">
        <v>43951</v>
      </c>
      <c r="C413" s="426">
        <v>186</v>
      </c>
      <c r="D413" s="427" t="s">
        <v>8602</v>
      </c>
      <c r="E413" s="426" t="s">
        <v>8545</v>
      </c>
      <c r="F413" s="338">
        <v>4076825</v>
      </c>
      <c r="G413" s="338" t="s">
        <v>3800</v>
      </c>
      <c r="H413" s="338"/>
      <c r="I413" s="329">
        <v>955.68190073140124</v>
      </c>
      <c r="J413" s="329"/>
      <c r="K413" s="338">
        <v>238.92047518285031</v>
      </c>
      <c r="L413" s="338">
        <v>238.92047518285031</v>
      </c>
      <c r="M413" s="338">
        <v>238.92047518285031</v>
      </c>
      <c r="N413" s="338">
        <v>238.92047518285031</v>
      </c>
      <c r="O413" s="338"/>
    </row>
    <row r="414" spans="1:15" hidden="1" outlineLevel="2" x14ac:dyDescent="0.35">
      <c r="A414" s="425" t="s">
        <v>7971</v>
      </c>
      <c r="B414" s="327">
        <v>43951</v>
      </c>
      <c r="C414" s="426">
        <v>187</v>
      </c>
      <c r="D414" s="427" t="s">
        <v>8603</v>
      </c>
      <c r="E414" s="426" t="s">
        <v>8144</v>
      </c>
      <c r="F414" s="338">
        <v>4076825</v>
      </c>
      <c r="G414" s="338" t="s">
        <v>3800</v>
      </c>
      <c r="H414" s="338"/>
      <c r="I414" s="329">
        <v>955.68190073140124</v>
      </c>
      <c r="J414" s="329"/>
      <c r="K414" s="338">
        <v>238.92047518285031</v>
      </c>
      <c r="L414" s="338">
        <v>238.92047518285031</v>
      </c>
      <c r="M414" s="338">
        <v>238.92047518285031</v>
      </c>
      <c r="N414" s="338">
        <v>238.92047518285031</v>
      </c>
      <c r="O414" s="338"/>
    </row>
    <row r="415" spans="1:15" hidden="1" outlineLevel="2" x14ac:dyDescent="0.35">
      <c r="A415" s="425" t="s">
        <v>7971</v>
      </c>
      <c r="B415" s="327">
        <v>43951</v>
      </c>
      <c r="C415" s="426">
        <v>189</v>
      </c>
      <c r="D415" s="427" t="s">
        <v>8604</v>
      </c>
      <c r="E415" s="426" t="s">
        <v>8548</v>
      </c>
      <c r="F415" s="338">
        <v>4076825</v>
      </c>
      <c r="G415" s="338" t="s">
        <v>3800</v>
      </c>
      <c r="H415" s="338"/>
      <c r="I415" s="329">
        <v>955.68190073140124</v>
      </c>
      <c r="J415" s="329"/>
      <c r="K415" s="338">
        <v>238.92047518285031</v>
      </c>
      <c r="L415" s="338">
        <v>238.92047518285031</v>
      </c>
      <c r="M415" s="338">
        <v>238.92047518285031</v>
      </c>
      <c r="N415" s="338">
        <v>238.92047518285031</v>
      </c>
      <c r="O415" s="338"/>
    </row>
    <row r="416" spans="1:15" hidden="1" outlineLevel="2" x14ac:dyDescent="0.35">
      <c r="A416" s="425" t="s">
        <v>7971</v>
      </c>
      <c r="B416" s="327">
        <v>43982</v>
      </c>
      <c r="C416" s="426">
        <v>169</v>
      </c>
      <c r="D416" s="427" t="s">
        <v>8605</v>
      </c>
      <c r="E416" s="426" t="s">
        <v>8545</v>
      </c>
      <c r="F416" s="338">
        <v>4076825</v>
      </c>
      <c r="G416" s="338" t="s">
        <v>3800</v>
      </c>
      <c r="H416" s="338"/>
      <c r="I416" s="329">
        <v>955.68190073140124</v>
      </c>
      <c r="J416" s="329"/>
      <c r="K416" s="338">
        <v>238.92047518285031</v>
      </c>
      <c r="L416" s="338">
        <v>238.92047518285031</v>
      </c>
      <c r="M416" s="338">
        <v>238.92047518285031</v>
      </c>
      <c r="N416" s="338">
        <v>238.92047518285031</v>
      </c>
      <c r="O416" s="338"/>
    </row>
    <row r="417" spans="1:15" hidden="1" outlineLevel="2" x14ac:dyDescent="0.35">
      <c r="A417" s="425" t="s">
        <v>7971</v>
      </c>
      <c r="B417" s="327">
        <v>43982</v>
      </c>
      <c r="C417" s="426">
        <v>193</v>
      </c>
      <c r="D417" s="427" t="s">
        <v>8606</v>
      </c>
      <c r="E417" s="426" t="s">
        <v>8144</v>
      </c>
      <c r="F417" s="338">
        <v>4076825</v>
      </c>
      <c r="G417" s="338" t="s">
        <v>3800</v>
      </c>
      <c r="H417" s="338"/>
      <c r="I417" s="329">
        <v>955.68190073140124</v>
      </c>
      <c r="J417" s="329"/>
      <c r="K417" s="338">
        <v>238.92047518285031</v>
      </c>
      <c r="L417" s="338">
        <v>238.92047518285031</v>
      </c>
      <c r="M417" s="338">
        <v>238.92047518285031</v>
      </c>
      <c r="N417" s="338">
        <v>238.92047518285031</v>
      </c>
      <c r="O417" s="338"/>
    </row>
    <row r="418" spans="1:15" hidden="1" outlineLevel="2" x14ac:dyDescent="0.35">
      <c r="A418" s="425" t="s">
        <v>7971</v>
      </c>
      <c r="B418" s="327">
        <v>43982</v>
      </c>
      <c r="C418" s="426">
        <v>195</v>
      </c>
      <c r="D418" s="427" t="s">
        <v>8607</v>
      </c>
      <c r="E418" s="426" t="s">
        <v>8548</v>
      </c>
      <c r="F418" s="338">
        <v>4076825</v>
      </c>
      <c r="G418" s="338" t="s">
        <v>3800</v>
      </c>
      <c r="H418" s="338"/>
      <c r="I418" s="329">
        <v>955.68190073140124</v>
      </c>
      <c r="J418" s="329"/>
      <c r="K418" s="338">
        <v>238.92047518285031</v>
      </c>
      <c r="L418" s="338">
        <v>238.92047518285031</v>
      </c>
      <c r="M418" s="338">
        <v>238.92047518285031</v>
      </c>
      <c r="N418" s="338">
        <v>238.92047518285031</v>
      </c>
      <c r="O418" s="338"/>
    </row>
    <row r="419" spans="1:15" hidden="1" outlineLevel="2" x14ac:dyDescent="0.35">
      <c r="A419" s="425" t="s">
        <v>7971</v>
      </c>
      <c r="B419" s="327" t="s">
        <v>7996</v>
      </c>
      <c r="C419" s="426" t="s">
        <v>7997</v>
      </c>
      <c r="D419" s="427" t="s">
        <v>8608</v>
      </c>
      <c r="E419" s="426" t="s">
        <v>8144</v>
      </c>
      <c r="F419" s="338">
        <v>4076825</v>
      </c>
      <c r="G419" s="338" t="s">
        <v>3800</v>
      </c>
      <c r="H419" s="338"/>
      <c r="I419" s="329">
        <v>971.9280538874998</v>
      </c>
      <c r="J419" s="329"/>
      <c r="K419" s="338">
        <v>242.98201347187495</v>
      </c>
      <c r="L419" s="338">
        <v>242.98201347187495</v>
      </c>
      <c r="M419" s="338">
        <v>242.98201347187495</v>
      </c>
      <c r="N419" s="338">
        <v>242.98201347187495</v>
      </c>
      <c r="O419" s="338"/>
    </row>
    <row r="420" spans="1:15" hidden="1" outlineLevel="2" x14ac:dyDescent="0.35">
      <c r="A420" s="425" t="s">
        <v>7971</v>
      </c>
      <c r="B420" s="327" t="s">
        <v>7996</v>
      </c>
      <c r="C420" s="426" t="s">
        <v>7997</v>
      </c>
      <c r="D420" s="427" t="s">
        <v>8609</v>
      </c>
      <c r="E420" s="426" t="s">
        <v>8548</v>
      </c>
      <c r="F420" s="338">
        <v>4076825</v>
      </c>
      <c r="G420" s="338" t="s">
        <v>3800</v>
      </c>
      <c r="H420" s="338"/>
      <c r="I420" s="329">
        <v>971.9280538874998</v>
      </c>
      <c r="J420" s="329"/>
      <c r="K420" s="338">
        <v>242.98201347187495</v>
      </c>
      <c r="L420" s="338">
        <v>242.98201347187495</v>
      </c>
      <c r="M420" s="338">
        <v>242.98201347187495</v>
      </c>
      <c r="N420" s="338">
        <v>242.98201347187495</v>
      </c>
      <c r="O420" s="338"/>
    </row>
    <row r="421" spans="1:15" hidden="1" outlineLevel="2" x14ac:dyDescent="0.35">
      <c r="A421" s="425" t="s">
        <v>7971</v>
      </c>
      <c r="B421" s="327">
        <v>44012</v>
      </c>
      <c r="C421" s="426">
        <v>199</v>
      </c>
      <c r="D421" s="427" t="s">
        <v>8610</v>
      </c>
      <c r="E421" s="426" t="s">
        <v>8545</v>
      </c>
      <c r="F421" s="338">
        <v>4076825</v>
      </c>
      <c r="G421" s="338" t="s">
        <v>3800</v>
      </c>
      <c r="H421" s="338"/>
      <c r="I421" s="329">
        <v>955.68190073140124</v>
      </c>
      <c r="J421" s="329"/>
      <c r="K421" s="338">
        <v>238.92047518285031</v>
      </c>
      <c r="L421" s="338">
        <v>238.92047518285031</v>
      </c>
      <c r="M421" s="338">
        <v>238.92047518285031</v>
      </c>
      <c r="N421" s="338">
        <v>238.92047518285031</v>
      </c>
      <c r="O421" s="338"/>
    </row>
    <row r="422" spans="1:15" hidden="1" outlineLevel="2" x14ac:dyDescent="0.35">
      <c r="A422" s="425" t="s">
        <v>7971</v>
      </c>
      <c r="B422" s="327">
        <v>44012</v>
      </c>
      <c r="C422" s="426">
        <v>200</v>
      </c>
      <c r="D422" s="427" t="s">
        <v>8611</v>
      </c>
      <c r="E422" s="426" t="s">
        <v>8144</v>
      </c>
      <c r="F422" s="338">
        <v>4076825</v>
      </c>
      <c r="G422" s="338" t="s">
        <v>3800</v>
      </c>
      <c r="H422" s="338"/>
      <c r="I422" s="329">
        <v>955.68190073140124</v>
      </c>
      <c r="J422" s="329"/>
      <c r="K422" s="338">
        <v>238.92047518285031</v>
      </c>
      <c r="L422" s="338">
        <v>238.92047518285031</v>
      </c>
      <c r="M422" s="338">
        <v>238.92047518285031</v>
      </c>
      <c r="N422" s="338">
        <v>238.92047518285031</v>
      </c>
      <c r="O422" s="338"/>
    </row>
    <row r="423" spans="1:15" hidden="1" outlineLevel="2" x14ac:dyDescent="0.35">
      <c r="A423" s="425" t="s">
        <v>7971</v>
      </c>
      <c r="B423" s="327">
        <v>44012</v>
      </c>
      <c r="C423" s="426">
        <v>202</v>
      </c>
      <c r="D423" s="427" t="s">
        <v>8612</v>
      </c>
      <c r="E423" s="426" t="s">
        <v>8548</v>
      </c>
      <c r="F423" s="338">
        <v>4076825</v>
      </c>
      <c r="G423" s="338" t="s">
        <v>3800</v>
      </c>
      <c r="H423" s="338"/>
      <c r="I423" s="329">
        <v>955.68190073140124</v>
      </c>
      <c r="J423" s="329"/>
      <c r="K423" s="338">
        <v>238.92047518285031</v>
      </c>
      <c r="L423" s="338">
        <v>238.92047518285031</v>
      </c>
      <c r="M423" s="338">
        <v>238.92047518285031</v>
      </c>
      <c r="N423" s="338">
        <v>238.92047518285031</v>
      </c>
      <c r="O423" s="338"/>
    </row>
    <row r="424" spans="1:15" hidden="1" outlineLevel="2" x14ac:dyDescent="0.35">
      <c r="A424" s="425" t="s">
        <v>7971</v>
      </c>
      <c r="B424" s="327" t="s">
        <v>7993</v>
      </c>
      <c r="C424" s="426" t="s">
        <v>7994</v>
      </c>
      <c r="D424" s="427" t="s">
        <v>8613</v>
      </c>
      <c r="E424" s="426" t="s">
        <v>8144</v>
      </c>
      <c r="F424" s="338">
        <v>4076825</v>
      </c>
      <c r="G424" s="338" t="s">
        <v>3800</v>
      </c>
      <c r="H424" s="338"/>
      <c r="I424" s="329">
        <v>971.9280538874998</v>
      </c>
      <c r="J424" s="329"/>
      <c r="K424" s="338">
        <v>242.98201347187495</v>
      </c>
      <c r="L424" s="338">
        <v>242.98201347187495</v>
      </c>
      <c r="M424" s="338">
        <v>242.98201347187495</v>
      </c>
      <c r="N424" s="338">
        <v>242.98201347187495</v>
      </c>
      <c r="O424" s="338"/>
    </row>
    <row r="425" spans="1:15" hidden="1" outlineLevel="2" x14ac:dyDescent="0.35">
      <c r="A425" s="425" t="s">
        <v>7971</v>
      </c>
      <c r="B425" s="327" t="s">
        <v>7993</v>
      </c>
      <c r="C425" s="426" t="s">
        <v>7994</v>
      </c>
      <c r="D425" s="427" t="s">
        <v>8614</v>
      </c>
      <c r="E425" s="426" t="s">
        <v>8548</v>
      </c>
      <c r="F425" s="338">
        <v>4076825</v>
      </c>
      <c r="G425" s="338" t="s">
        <v>3800</v>
      </c>
      <c r="H425" s="338"/>
      <c r="I425" s="329">
        <v>971.9280538874998</v>
      </c>
      <c r="J425" s="329"/>
      <c r="K425" s="338">
        <v>242.98201347187495</v>
      </c>
      <c r="L425" s="338">
        <v>242.98201347187495</v>
      </c>
      <c r="M425" s="338">
        <v>242.98201347187495</v>
      </c>
      <c r="N425" s="338">
        <v>242.98201347187495</v>
      </c>
      <c r="O425" s="338"/>
    </row>
    <row r="426" spans="1:15" hidden="1" outlineLevel="2" x14ac:dyDescent="0.35">
      <c r="A426" s="425" t="s">
        <v>7971</v>
      </c>
      <c r="B426" s="327">
        <v>44043</v>
      </c>
      <c r="C426" s="426">
        <v>205</v>
      </c>
      <c r="D426" s="427" t="s">
        <v>8615</v>
      </c>
      <c r="E426" s="426" t="s">
        <v>8545</v>
      </c>
      <c r="F426" s="338">
        <v>4076825</v>
      </c>
      <c r="G426" s="338" t="s">
        <v>3800</v>
      </c>
      <c r="H426" s="338"/>
      <c r="I426" s="329">
        <v>955.68190073140124</v>
      </c>
      <c r="J426" s="329"/>
      <c r="K426" s="338">
        <v>238.92047518285031</v>
      </c>
      <c r="L426" s="338">
        <v>238.92047518285031</v>
      </c>
      <c r="M426" s="338">
        <v>238.92047518285031</v>
      </c>
      <c r="N426" s="338">
        <v>238.92047518285031</v>
      </c>
      <c r="O426" s="338"/>
    </row>
    <row r="427" spans="1:15" hidden="1" outlineLevel="2" x14ac:dyDescent="0.35">
      <c r="A427" s="425" t="s">
        <v>7971</v>
      </c>
      <c r="B427" s="327">
        <v>44043</v>
      </c>
      <c r="C427" s="426">
        <v>206</v>
      </c>
      <c r="D427" s="427" t="s">
        <v>8616</v>
      </c>
      <c r="E427" s="426" t="s">
        <v>8144</v>
      </c>
      <c r="F427" s="338">
        <v>4076825</v>
      </c>
      <c r="G427" s="338" t="s">
        <v>3800</v>
      </c>
      <c r="H427" s="338"/>
      <c r="I427" s="329">
        <v>955.68190073140124</v>
      </c>
      <c r="J427" s="329"/>
      <c r="K427" s="338">
        <v>238.92047518285031</v>
      </c>
      <c r="L427" s="338">
        <v>238.92047518285031</v>
      </c>
      <c r="M427" s="338">
        <v>238.92047518285031</v>
      </c>
      <c r="N427" s="338">
        <v>238.92047518285031</v>
      </c>
      <c r="O427" s="338"/>
    </row>
    <row r="428" spans="1:15" hidden="1" outlineLevel="2" x14ac:dyDescent="0.35">
      <c r="A428" s="425" t="s">
        <v>7971</v>
      </c>
      <c r="B428" s="327">
        <v>44043</v>
      </c>
      <c r="C428" s="426">
        <v>208</v>
      </c>
      <c r="D428" s="427" t="s">
        <v>8617</v>
      </c>
      <c r="E428" s="426" t="s">
        <v>8548</v>
      </c>
      <c r="F428" s="338">
        <v>4076825</v>
      </c>
      <c r="G428" s="338" t="s">
        <v>3800</v>
      </c>
      <c r="H428" s="338"/>
      <c r="I428" s="329">
        <v>955.68190073140124</v>
      </c>
      <c r="J428" s="329"/>
      <c r="K428" s="338">
        <v>238.92047518285031</v>
      </c>
      <c r="L428" s="338">
        <v>238.92047518285031</v>
      </c>
      <c r="M428" s="338">
        <v>238.92047518285031</v>
      </c>
      <c r="N428" s="338">
        <v>238.92047518285031</v>
      </c>
      <c r="O428" s="338"/>
    </row>
    <row r="429" spans="1:15" hidden="1" outlineLevel="2" x14ac:dyDescent="0.35">
      <c r="A429" s="425" t="s">
        <v>7971</v>
      </c>
      <c r="B429" s="327" t="s">
        <v>7990</v>
      </c>
      <c r="C429" s="426" t="s">
        <v>7991</v>
      </c>
      <c r="D429" s="427" t="s">
        <v>8618</v>
      </c>
      <c r="E429" s="426" t="s">
        <v>8545</v>
      </c>
      <c r="F429" s="338">
        <v>4076825</v>
      </c>
      <c r="G429" s="338" t="s">
        <v>3800</v>
      </c>
      <c r="H429" s="338"/>
      <c r="I429" s="329">
        <v>971.9280538874998</v>
      </c>
      <c r="J429" s="329"/>
      <c r="K429" s="338">
        <v>242.98201347187495</v>
      </c>
      <c r="L429" s="338">
        <v>242.98201347187495</v>
      </c>
      <c r="M429" s="338">
        <v>242.98201347187495</v>
      </c>
      <c r="N429" s="338">
        <v>242.98201347187495</v>
      </c>
      <c r="O429" s="338"/>
    </row>
    <row r="430" spans="1:15" hidden="1" outlineLevel="2" x14ac:dyDescent="0.35">
      <c r="A430" s="425" t="s">
        <v>7971</v>
      </c>
      <c r="B430" s="327" t="s">
        <v>7990</v>
      </c>
      <c r="C430" s="426" t="s">
        <v>7991</v>
      </c>
      <c r="D430" s="427" t="s">
        <v>8619</v>
      </c>
      <c r="E430" s="426" t="s">
        <v>8144</v>
      </c>
      <c r="F430" s="338">
        <v>4076825</v>
      </c>
      <c r="G430" s="338" t="s">
        <v>3800</v>
      </c>
      <c r="H430" s="338"/>
      <c r="I430" s="329">
        <v>971.9280538874998</v>
      </c>
      <c r="J430" s="329"/>
      <c r="K430" s="338">
        <v>242.98201347187495</v>
      </c>
      <c r="L430" s="338">
        <v>242.98201347187495</v>
      </c>
      <c r="M430" s="338">
        <v>242.98201347187495</v>
      </c>
      <c r="N430" s="338">
        <v>242.98201347187495</v>
      </c>
      <c r="O430" s="338"/>
    </row>
    <row r="431" spans="1:15" hidden="1" outlineLevel="2" x14ac:dyDescent="0.35">
      <c r="A431" s="425" t="s">
        <v>7971</v>
      </c>
      <c r="B431" s="327">
        <v>44074</v>
      </c>
      <c r="C431" s="426">
        <v>218</v>
      </c>
      <c r="D431" s="427" t="s">
        <v>8620</v>
      </c>
      <c r="E431" s="426" t="s">
        <v>8545</v>
      </c>
      <c r="F431" s="338">
        <v>4076825</v>
      </c>
      <c r="G431" s="338" t="s">
        <v>3800</v>
      </c>
      <c r="H431" s="338"/>
      <c r="I431" s="329">
        <v>955.68190073140124</v>
      </c>
      <c r="J431" s="329"/>
      <c r="K431" s="338">
        <v>238.92047518285031</v>
      </c>
      <c r="L431" s="338">
        <v>238.92047518285031</v>
      </c>
      <c r="M431" s="338">
        <v>238.92047518285031</v>
      </c>
      <c r="N431" s="338">
        <v>238.92047518285031</v>
      </c>
      <c r="O431" s="338"/>
    </row>
    <row r="432" spans="1:15" hidden="1" outlineLevel="2" x14ac:dyDescent="0.35">
      <c r="A432" s="425" t="s">
        <v>7971</v>
      </c>
      <c r="B432" s="327">
        <v>44074</v>
      </c>
      <c r="C432" s="426">
        <v>220</v>
      </c>
      <c r="D432" s="427" t="s">
        <v>8621</v>
      </c>
      <c r="E432" s="426" t="s">
        <v>8144</v>
      </c>
      <c r="F432" s="338">
        <v>4076825</v>
      </c>
      <c r="G432" s="338" t="s">
        <v>3800</v>
      </c>
      <c r="H432" s="338"/>
      <c r="I432" s="329">
        <v>955.68190073140124</v>
      </c>
      <c r="J432" s="329"/>
      <c r="K432" s="338">
        <v>238.92047518285031</v>
      </c>
      <c r="L432" s="338">
        <v>238.92047518285031</v>
      </c>
      <c r="M432" s="338">
        <v>238.92047518285031</v>
      </c>
      <c r="N432" s="338">
        <v>238.92047518285031</v>
      </c>
      <c r="O432" s="338"/>
    </row>
    <row r="433" spans="1:15" hidden="1" outlineLevel="2" x14ac:dyDescent="0.35">
      <c r="A433" s="425" t="s">
        <v>7971</v>
      </c>
      <c r="B433" s="327">
        <v>44074</v>
      </c>
      <c r="C433" s="426">
        <v>222</v>
      </c>
      <c r="D433" s="427" t="s">
        <v>8622</v>
      </c>
      <c r="E433" s="426" t="s">
        <v>8548</v>
      </c>
      <c r="F433" s="338">
        <v>4076825</v>
      </c>
      <c r="G433" s="338" t="s">
        <v>3800</v>
      </c>
      <c r="H433" s="338"/>
      <c r="I433" s="329">
        <v>955.68190073140124</v>
      </c>
      <c r="J433" s="329"/>
      <c r="K433" s="338">
        <v>238.92047518285031</v>
      </c>
      <c r="L433" s="338">
        <v>238.92047518285031</v>
      </c>
      <c r="M433" s="338">
        <v>238.92047518285031</v>
      </c>
      <c r="N433" s="338">
        <v>238.92047518285031</v>
      </c>
      <c r="O433" s="338"/>
    </row>
    <row r="434" spans="1:15" hidden="1" outlineLevel="2" x14ac:dyDescent="0.35">
      <c r="A434" s="425" t="s">
        <v>7971</v>
      </c>
      <c r="B434" s="327" t="s">
        <v>7984</v>
      </c>
      <c r="C434" s="426" t="s">
        <v>7985</v>
      </c>
      <c r="D434" s="427" t="s">
        <v>8623</v>
      </c>
      <c r="E434" s="426" t="s">
        <v>8545</v>
      </c>
      <c r="F434" s="338">
        <v>4076825</v>
      </c>
      <c r="G434" s="338" t="s">
        <v>3800</v>
      </c>
      <c r="H434" s="338"/>
      <c r="I434" s="329">
        <v>971.9280538874998</v>
      </c>
      <c r="J434" s="329"/>
      <c r="K434" s="338">
        <v>242.98201347187495</v>
      </c>
      <c r="L434" s="338">
        <v>242.98201347187495</v>
      </c>
      <c r="M434" s="338">
        <v>242.98201347187495</v>
      </c>
      <c r="N434" s="338">
        <v>242.98201347187495</v>
      </c>
      <c r="O434" s="338"/>
    </row>
    <row r="435" spans="1:15" hidden="1" outlineLevel="2" x14ac:dyDescent="0.35">
      <c r="A435" s="425" t="s">
        <v>7971</v>
      </c>
      <c r="B435" s="327" t="s">
        <v>7984</v>
      </c>
      <c r="C435" s="426" t="s">
        <v>7985</v>
      </c>
      <c r="D435" s="427" t="s">
        <v>8624</v>
      </c>
      <c r="E435" s="426" t="s">
        <v>8144</v>
      </c>
      <c r="F435" s="338">
        <v>4076825</v>
      </c>
      <c r="G435" s="338" t="s">
        <v>3800</v>
      </c>
      <c r="H435" s="338"/>
      <c r="I435" s="329">
        <v>971.9280538874998</v>
      </c>
      <c r="J435" s="329"/>
      <c r="K435" s="338">
        <v>242.98201347187495</v>
      </c>
      <c r="L435" s="338">
        <v>242.98201347187495</v>
      </c>
      <c r="M435" s="338">
        <v>242.98201347187495</v>
      </c>
      <c r="N435" s="338">
        <v>242.98201347187495</v>
      </c>
      <c r="O435" s="338"/>
    </row>
    <row r="436" spans="1:15" hidden="1" outlineLevel="2" x14ac:dyDescent="0.35">
      <c r="A436" s="425" t="s">
        <v>7971</v>
      </c>
      <c r="B436" s="327">
        <v>44104</v>
      </c>
      <c r="C436" s="426">
        <v>228</v>
      </c>
      <c r="D436" s="427" t="s">
        <v>8625</v>
      </c>
      <c r="E436" s="426" t="s">
        <v>8545</v>
      </c>
      <c r="F436" s="338">
        <v>4076825</v>
      </c>
      <c r="G436" s="338" t="s">
        <v>3800</v>
      </c>
      <c r="H436" s="338"/>
      <c r="I436" s="329">
        <v>955.68190073140124</v>
      </c>
      <c r="J436" s="329"/>
      <c r="K436" s="338">
        <v>238.92047518285031</v>
      </c>
      <c r="L436" s="338">
        <v>238.92047518285031</v>
      </c>
      <c r="M436" s="338">
        <v>238.92047518285031</v>
      </c>
      <c r="N436" s="338">
        <v>238.92047518285031</v>
      </c>
      <c r="O436" s="338"/>
    </row>
    <row r="437" spans="1:15" hidden="1" outlineLevel="2" x14ac:dyDescent="0.35">
      <c r="A437" s="425" t="s">
        <v>7971</v>
      </c>
      <c r="B437" s="327">
        <v>44104</v>
      </c>
      <c r="C437" s="426">
        <v>230</v>
      </c>
      <c r="D437" s="427" t="s">
        <v>8626</v>
      </c>
      <c r="E437" s="426" t="s">
        <v>8144</v>
      </c>
      <c r="F437" s="338">
        <v>4076825</v>
      </c>
      <c r="G437" s="338" t="s">
        <v>3800</v>
      </c>
      <c r="H437" s="338"/>
      <c r="I437" s="329">
        <v>955.68190073140124</v>
      </c>
      <c r="J437" s="329"/>
      <c r="K437" s="338">
        <v>238.92047518285031</v>
      </c>
      <c r="L437" s="338">
        <v>238.92047518285031</v>
      </c>
      <c r="M437" s="338">
        <v>238.92047518285031</v>
      </c>
      <c r="N437" s="338">
        <v>238.92047518285031</v>
      </c>
      <c r="O437" s="338"/>
    </row>
    <row r="438" spans="1:15" hidden="1" outlineLevel="2" x14ac:dyDescent="0.35">
      <c r="A438" s="425" t="s">
        <v>7971</v>
      </c>
      <c r="B438" s="327">
        <v>44104</v>
      </c>
      <c r="C438" s="426">
        <v>232</v>
      </c>
      <c r="D438" s="427" t="s">
        <v>8627</v>
      </c>
      <c r="E438" s="426" t="s">
        <v>8548</v>
      </c>
      <c r="F438" s="338">
        <v>4076825</v>
      </c>
      <c r="G438" s="338" t="s">
        <v>3800</v>
      </c>
      <c r="H438" s="338"/>
      <c r="I438" s="329">
        <v>955.68190073140124</v>
      </c>
      <c r="J438" s="329"/>
      <c r="K438" s="338">
        <v>238.92047518285031</v>
      </c>
      <c r="L438" s="338">
        <v>238.92047518285031</v>
      </c>
      <c r="M438" s="338">
        <v>238.92047518285031</v>
      </c>
      <c r="N438" s="338">
        <v>238.92047518285031</v>
      </c>
      <c r="O438" s="338"/>
    </row>
    <row r="439" spans="1:15" hidden="1" outlineLevel="2" x14ac:dyDescent="0.35">
      <c r="A439" s="425" t="s">
        <v>7971</v>
      </c>
      <c r="B439" s="327" t="s">
        <v>8005</v>
      </c>
      <c r="C439" s="426" t="s">
        <v>8006</v>
      </c>
      <c r="D439" s="427" t="s">
        <v>8628</v>
      </c>
      <c r="E439" s="426" t="s">
        <v>8545</v>
      </c>
      <c r="F439" s="338">
        <v>4076825</v>
      </c>
      <c r="G439" s="338" t="s">
        <v>3800</v>
      </c>
      <c r="H439" s="338"/>
      <c r="I439" s="329">
        <v>971.9280538874998</v>
      </c>
      <c r="J439" s="329"/>
      <c r="K439" s="338">
        <v>242.98201347187495</v>
      </c>
      <c r="L439" s="338">
        <v>242.98201347187495</v>
      </c>
      <c r="M439" s="338">
        <v>242.98201347187495</v>
      </c>
      <c r="N439" s="338">
        <v>242.98201347187495</v>
      </c>
      <c r="O439" s="338"/>
    </row>
    <row r="440" spans="1:15" hidden="1" outlineLevel="2" x14ac:dyDescent="0.35">
      <c r="A440" s="425" t="s">
        <v>7971</v>
      </c>
      <c r="B440" s="327" t="s">
        <v>8005</v>
      </c>
      <c r="C440" s="426" t="s">
        <v>8006</v>
      </c>
      <c r="D440" s="427" t="s">
        <v>8629</v>
      </c>
      <c r="E440" s="426" t="s">
        <v>8144</v>
      </c>
      <c r="F440" s="338">
        <v>4076825</v>
      </c>
      <c r="G440" s="338" t="s">
        <v>3800</v>
      </c>
      <c r="H440" s="338"/>
      <c r="I440" s="329">
        <v>971.9280538874998</v>
      </c>
      <c r="J440" s="329"/>
      <c r="K440" s="338">
        <v>242.98201347187495</v>
      </c>
      <c r="L440" s="338">
        <v>242.98201347187495</v>
      </c>
      <c r="M440" s="338">
        <v>242.98201347187495</v>
      </c>
      <c r="N440" s="338">
        <v>242.98201347187495</v>
      </c>
      <c r="O440" s="338"/>
    </row>
    <row r="441" spans="1:15" hidden="1" outlineLevel="2" x14ac:dyDescent="0.35">
      <c r="A441" s="425" t="s">
        <v>7971</v>
      </c>
      <c r="B441" s="327" t="s">
        <v>7996</v>
      </c>
      <c r="C441" s="426" t="s">
        <v>7997</v>
      </c>
      <c r="D441" s="427" t="s">
        <v>8630</v>
      </c>
      <c r="E441" s="426" t="s">
        <v>8144</v>
      </c>
      <c r="F441" s="338">
        <v>4076825</v>
      </c>
      <c r="G441" s="338" t="s">
        <v>3800</v>
      </c>
      <c r="H441" s="338"/>
      <c r="I441" s="329">
        <v>971.9280538874998</v>
      </c>
      <c r="J441" s="329"/>
      <c r="K441" s="338">
        <v>242.98201347187495</v>
      </c>
      <c r="L441" s="338">
        <v>242.98201347187495</v>
      </c>
      <c r="M441" s="338">
        <v>242.98201347187495</v>
      </c>
      <c r="N441" s="338">
        <v>242.98201347187495</v>
      </c>
      <c r="O441" s="338"/>
    </row>
    <row r="442" spans="1:15" hidden="1" outlineLevel="2" x14ac:dyDescent="0.35">
      <c r="A442" s="425" t="s">
        <v>7971</v>
      </c>
      <c r="B442" s="327" t="s">
        <v>7993</v>
      </c>
      <c r="C442" s="426" t="s">
        <v>7994</v>
      </c>
      <c r="D442" s="427" t="s">
        <v>8631</v>
      </c>
      <c r="E442" s="426" t="s">
        <v>8144</v>
      </c>
      <c r="F442" s="338">
        <v>4076825</v>
      </c>
      <c r="G442" s="338" t="s">
        <v>3800</v>
      </c>
      <c r="H442" s="338"/>
      <c r="I442" s="329">
        <v>971.9280538874998</v>
      </c>
      <c r="J442" s="329"/>
      <c r="K442" s="338">
        <v>242.98201347187495</v>
      </c>
      <c r="L442" s="338">
        <v>242.98201347187495</v>
      </c>
      <c r="M442" s="338">
        <v>242.98201347187495</v>
      </c>
      <c r="N442" s="338">
        <v>242.98201347187495</v>
      </c>
      <c r="O442" s="338"/>
    </row>
    <row r="443" spans="1:15" hidden="1" outlineLevel="2" x14ac:dyDescent="0.35">
      <c r="A443" s="425" t="s">
        <v>7971</v>
      </c>
      <c r="B443" s="327">
        <v>44135</v>
      </c>
      <c r="C443" s="426">
        <v>236</v>
      </c>
      <c r="D443" s="427" t="s">
        <v>8632</v>
      </c>
      <c r="E443" s="426" t="s">
        <v>8545</v>
      </c>
      <c r="F443" s="338">
        <v>122305</v>
      </c>
      <c r="G443" s="338" t="s">
        <v>3800</v>
      </c>
      <c r="H443" s="338"/>
      <c r="I443" s="329">
        <v>28.670515626487287</v>
      </c>
      <c r="J443" s="329"/>
      <c r="K443" s="338">
        <v>7.1676289066218217</v>
      </c>
      <c r="L443" s="338">
        <v>7.1676289066218217</v>
      </c>
      <c r="M443" s="338">
        <v>7.1676289066218217</v>
      </c>
      <c r="N443" s="338">
        <v>7.1676289066218217</v>
      </c>
      <c r="O443" s="338"/>
    </row>
    <row r="444" spans="1:15" hidden="1" outlineLevel="2" x14ac:dyDescent="0.35">
      <c r="A444" s="425" t="s">
        <v>7971</v>
      </c>
      <c r="B444" s="327">
        <v>44135</v>
      </c>
      <c r="C444" s="426">
        <v>236</v>
      </c>
      <c r="D444" s="427" t="s">
        <v>8633</v>
      </c>
      <c r="E444" s="426" t="s">
        <v>8144</v>
      </c>
      <c r="F444" s="338">
        <v>122305</v>
      </c>
      <c r="G444" s="338" t="s">
        <v>3800</v>
      </c>
      <c r="H444" s="338"/>
      <c r="I444" s="329">
        <v>28.670515626487287</v>
      </c>
      <c r="J444" s="329"/>
      <c r="K444" s="338">
        <v>7.1676289066218217</v>
      </c>
      <c r="L444" s="338">
        <v>7.1676289066218217</v>
      </c>
      <c r="M444" s="338">
        <v>7.1676289066218217</v>
      </c>
      <c r="N444" s="338">
        <v>7.1676289066218217</v>
      </c>
      <c r="O444" s="338"/>
    </row>
    <row r="445" spans="1:15" hidden="1" outlineLevel="2" x14ac:dyDescent="0.35">
      <c r="A445" s="425" t="s">
        <v>7971</v>
      </c>
      <c r="B445" s="327">
        <v>44135</v>
      </c>
      <c r="C445" s="426">
        <v>238</v>
      </c>
      <c r="D445" s="427" t="s">
        <v>8634</v>
      </c>
      <c r="E445" s="426" t="s">
        <v>8548</v>
      </c>
      <c r="F445" s="338">
        <v>122305</v>
      </c>
      <c r="G445" s="338" t="s">
        <v>3800</v>
      </c>
      <c r="H445" s="338"/>
      <c r="I445" s="329">
        <v>28.670515626487287</v>
      </c>
      <c r="J445" s="329"/>
      <c r="K445" s="338">
        <v>7.1676289066218217</v>
      </c>
      <c r="L445" s="338">
        <v>7.1676289066218217</v>
      </c>
      <c r="M445" s="338">
        <v>7.1676289066218217</v>
      </c>
      <c r="N445" s="338">
        <v>7.1676289066218217</v>
      </c>
      <c r="O445" s="338"/>
    </row>
    <row r="446" spans="1:15" hidden="1" outlineLevel="2" x14ac:dyDescent="0.35">
      <c r="A446" s="425" t="s">
        <v>7971</v>
      </c>
      <c r="B446" s="327" t="s">
        <v>8002</v>
      </c>
      <c r="C446" s="426" t="s">
        <v>8003</v>
      </c>
      <c r="D446" s="427" t="s">
        <v>8635</v>
      </c>
      <c r="E446" s="426" t="s">
        <v>8545</v>
      </c>
      <c r="F446" s="338">
        <v>122305</v>
      </c>
      <c r="G446" s="338" t="s">
        <v>3800</v>
      </c>
      <c r="H446" s="338"/>
      <c r="I446" s="329">
        <v>29.15790121742058</v>
      </c>
      <c r="J446" s="329"/>
      <c r="K446" s="338">
        <v>7.289475304355145</v>
      </c>
      <c r="L446" s="338">
        <v>7.289475304355145</v>
      </c>
      <c r="M446" s="338">
        <v>7.289475304355145</v>
      </c>
      <c r="N446" s="338">
        <v>7.289475304355145</v>
      </c>
      <c r="O446" s="338"/>
    </row>
    <row r="447" spans="1:15" hidden="1" outlineLevel="2" x14ac:dyDescent="0.35">
      <c r="A447" s="425" t="s">
        <v>7971</v>
      </c>
      <c r="B447" s="327" t="s">
        <v>7999</v>
      </c>
      <c r="C447" s="426" t="s">
        <v>8000</v>
      </c>
      <c r="D447" s="427" t="s">
        <v>8635</v>
      </c>
      <c r="E447" s="426" t="s">
        <v>8545</v>
      </c>
      <c r="F447" s="338">
        <v>122305</v>
      </c>
      <c r="G447" s="338" t="s">
        <v>3800</v>
      </c>
      <c r="H447" s="338"/>
      <c r="I447" s="329">
        <v>29.15790121742058</v>
      </c>
      <c r="J447" s="329"/>
      <c r="K447" s="338">
        <v>7.289475304355145</v>
      </c>
      <c r="L447" s="338">
        <v>7.289475304355145</v>
      </c>
      <c r="M447" s="338">
        <v>7.289475304355145</v>
      </c>
      <c r="N447" s="338">
        <v>7.289475304355145</v>
      </c>
      <c r="O447" s="338"/>
    </row>
    <row r="448" spans="1:15" hidden="1" outlineLevel="2" x14ac:dyDescent="0.35">
      <c r="A448" s="425" t="s">
        <v>7971</v>
      </c>
      <c r="B448" s="327" t="s">
        <v>8002</v>
      </c>
      <c r="C448" s="426" t="s">
        <v>8003</v>
      </c>
      <c r="D448" s="427" t="s">
        <v>8636</v>
      </c>
      <c r="E448" s="426" t="s">
        <v>8144</v>
      </c>
      <c r="F448" s="338">
        <v>122305</v>
      </c>
      <c r="G448" s="338" t="s">
        <v>3800</v>
      </c>
      <c r="H448" s="338"/>
      <c r="I448" s="329">
        <v>29.15790121742058</v>
      </c>
      <c r="J448" s="329"/>
      <c r="K448" s="338">
        <v>7.289475304355145</v>
      </c>
      <c r="L448" s="338">
        <v>7.289475304355145</v>
      </c>
      <c r="M448" s="338">
        <v>7.289475304355145</v>
      </c>
      <c r="N448" s="338">
        <v>7.289475304355145</v>
      </c>
      <c r="O448" s="338"/>
    </row>
    <row r="449" spans="1:15" hidden="1" outlineLevel="2" x14ac:dyDescent="0.35">
      <c r="A449" s="425" t="s">
        <v>7971</v>
      </c>
      <c r="B449" s="327" t="s">
        <v>7999</v>
      </c>
      <c r="C449" s="426" t="s">
        <v>8000</v>
      </c>
      <c r="D449" s="427" t="s">
        <v>8636</v>
      </c>
      <c r="E449" s="426" t="s">
        <v>8144</v>
      </c>
      <c r="F449" s="338">
        <v>122305</v>
      </c>
      <c r="G449" s="338" t="s">
        <v>3800</v>
      </c>
      <c r="H449" s="338"/>
      <c r="I449" s="329">
        <v>29.15790121742058</v>
      </c>
      <c r="J449" s="329"/>
      <c r="K449" s="338">
        <v>7.289475304355145</v>
      </c>
      <c r="L449" s="338">
        <v>7.289475304355145</v>
      </c>
      <c r="M449" s="338">
        <v>7.289475304355145</v>
      </c>
      <c r="N449" s="338">
        <v>7.289475304355145</v>
      </c>
      <c r="O449" s="338"/>
    </row>
    <row r="450" spans="1:15" hidden="1" outlineLevel="2" x14ac:dyDescent="0.35">
      <c r="A450" s="425" t="s">
        <v>7971</v>
      </c>
      <c r="B450" s="327">
        <v>43799</v>
      </c>
      <c r="C450" s="426">
        <v>153</v>
      </c>
      <c r="D450" s="427" t="s">
        <v>8637</v>
      </c>
      <c r="E450" s="426" t="s">
        <v>8552</v>
      </c>
      <c r="F450" s="338">
        <v>122305</v>
      </c>
      <c r="G450" s="338" t="s">
        <v>3800</v>
      </c>
      <c r="H450" s="338"/>
      <c r="I450" s="329">
        <v>28.670515626487287</v>
      </c>
      <c r="J450" s="329"/>
      <c r="K450" s="338">
        <v>7.1676289066218217</v>
      </c>
      <c r="L450" s="338">
        <v>7.1676289066218217</v>
      </c>
      <c r="M450" s="338">
        <v>7.1676289066218217</v>
      </c>
      <c r="N450" s="338">
        <v>7.1676289066218217</v>
      </c>
      <c r="O450" s="338"/>
    </row>
    <row r="451" spans="1:15" hidden="1" outlineLevel="2" x14ac:dyDescent="0.35">
      <c r="A451" s="425" t="s">
        <v>7971</v>
      </c>
      <c r="B451" s="327">
        <v>43799</v>
      </c>
      <c r="C451" s="426">
        <v>154</v>
      </c>
      <c r="D451" s="427" t="s">
        <v>8638</v>
      </c>
      <c r="E451" s="426" t="s">
        <v>8554</v>
      </c>
      <c r="F451" s="338">
        <v>122305</v>
      </c>
      <c r="G451" s="338" t="s">
        <v>3800</v>
      </c>
      <c r="H451" s="338"/>
      <c r="I451" s="329">
        <v>28.670515626487287</v>
      </c>
      <c r="J451" s="329"/>
      <c r="K451" s="338">
        <v>7.1676289066218217</v>
      </c>
      <c r="L451" s="338">
        <v>7.1676289066218217</v>
      </c>
      <c r="M451" s="338">
        <v>7.1676289066218217</v>
      </c>
      <c r="N451" s="338">
        <v>7.1676289066218217</v>
      </c>
      <c r="O451" s="338"/>
    </row>
    <row r="452" spans="1:15" hidden="1" outlineLevel="2" x14ac:dyDescent="0.35">
      <c r="A452" s="425" t="s">
        <v>7971</v>
      </c>
      <c r="B452" s="327">
        <v>43799</v>
      </c>
      <c r="C452" s="426">
        <v>156</v>
      </c>
      <c r="D452" s="427" t="s">
        <v>8639</v>
      </c>
      <c r="E452" s="426" t="s">
        <v>8556</v>
      </c>
      <c r="F452" s="338">
        <v>122305</v>
      </c>
      <c r="G452" s="338" t="s">
        <v>3800</v>
      </c>
      <c r="H452" s="338"/>
      <c r="I452" s="329">
        <v>28.670515626487287</v>
      </c>
      <c r="J452" s="329"/>
      <c r="K452" s="338">
        <v>7.1676289066218217</v>
      </c>
      <c r="L452" s="338">
        <v>7.1676289066218217</v>
      </c>
      <c r="M452" s="338">
        <v>7.1676289066218217</v>
      </c>
      <c r="N452" s="338">
        <v>7.1676289066218217</v>
      </c>
      <c r="O452" s="338"/>
    </row>
    <row r="453" spans="1:15" hidden="1" outlineLevel="2" x14ac:dyDescent="0.35">
      <c r="A453" s="425" t="s">
        <v>7971</v>
      </c>
      <c r="B453" s="327">
        <v>44165</v>
      </c>
      <c r="C453" s="426">
        <v>242</v>
      </c>
      <c r="D453" s="427" t="s">
        <v>8640</v>
      </c>
      <c r="E453" s="426" t="s">
        <v>8545</v>
      </c>
      <c r="F453" s="338">
        <v>122305</v>
      </c>
      <c r="G453" s="338" t="s">
        <v>3800</v>
      </c>
      <c r="H453" s="338"/>
      <c r="I453" s="329">
        <v>28.670515626487287</v>
      </c>
      <c r="J453" s="329"/>
      <c r="K453" s="338">
        <v>7.1676289066218217</v>
      </c>
      <c r="L453" s="338">
        <v>7.1676289066218217</v>
      </c>
      <c r="M453" s="338">
        <v>7.1676289066218217</v>
      </c>
      <c r="N453" s="338">
        <v>7.1676289066218217</v>
      </c>
      <c r="O453" s="338"/>
    </row>
    <row r="454" spans="1:15" hidden="1" outlineLevel="2" x14ac:dyDescent="0.35">
      <c r="A454" s="425" t="s">
        <v>7971</v>
      </c>
      <c r="B454" s="327">
        <v>44165</v>
      </c>
      <c r="C454" s="426">
        <v>244</v>
      </c>
      <c r="D454" s="427" t="s">
        <v>8641</v>
      </c>
      <c r="E454" s="426" t="s">
        <v>8144</v>
      </c>
      <c r="F454" s="338">
        <v>122305</v>
      </c>
      <c r="G454" s="338" t="s">
        <v>3800</v>
      </c>
      <c r="H454" s="338"/>
      <c r="I454" s="329">
        <v>28.670515626487287</v>
      </c>
      <c r="J454" s="329"/>
      <c r="K454" s="338">
        <v>7.1676289066218217</v>
      </c>
      <c r="L454" s="338">
        <v>7.1676289066218217</v>
      </c>
      <c r="M454" s="338">
        <v>7.1676289066218217</v>
      </c>
      <c r="N454" s="338">
        <v>7.1676289066218217</v>
      </c>
      <c r="O454" s="338"/>
    </row>
    <row r="455" spans="1:15" hidden="1" outlineLevel="2" x14ac:dyDescent="0.35">
      <c r="A455" s="425" t="s">
        <v>7971</v>
      </c>
      <c r="B455" s="327">
        <v>44165</v>
      </c>
      <c r="C455" s="426">
        <v>246</v>
      </c>
      <c r="D455" s="427" t="s">
        <v>8642</v>
      </c>
      <c r="E455" s="426" t="s">
        <v>8548</v>
      </c>
      <c r="F455" s="338">
        <v>122305</v>
      </c>
      <c r="G455" s="338" t="s">
        <v>3800</v>
      </c>
      <c r="H455" s="338"/>
      <c r="I455" s="329">
        <v>28.670515626487287</v>
      </c>
      <c r="J455" s="329"/>
      <c r="K455" s="338">
        <v>7.1676289066218217</v>
      </c>
      <c r="L455" s="338">
        <v>7.1676289066218217</v>
      </c>
      <c r="M455" s="338">
        <v>7.1676289066218217</v>
      </c>
      <c r="N455" s="338">
        <v>7.1676289066218217</v>
      </c>
      <c r="O455" s="338"/>
    </row>
    <row r="456" spans="1:15" hidden="1" outlineLevel="2" x14ac:dyDescent="0.35">
      <c r="A456" s="425" t="s">
        <v>7971</v>
      </c>
      <c r="B456" s="327">
        <v>43861</v>
      </c>
      <c r="C456" s="426">
        <v>162</v>
      </c>
      <c r="D456" s="427" t="s">
        <v>8643</v>
      </c>
      <c r="E456" s="426" t="s">
        <v>8545</v>
      </c>
      <c r="F456" s="338">
        <v>122305</v>
      </c>
      <c r="G456" s="338" t="s">
        <v>3800</v>
      </c>
      <c r="H456" s="338"/>
      <c r="I456" s="329">
        <v>28.670515626487287</v>
      </c>
      <c r="J456" s="329"/>
      <c r="K456" s="338">
        <v>7.1676289066218217</v>
      </c>
      <c r="L456" s="338">
        <v>7.1676289066218217</v>
      </c>
      <c r="M456" s="338">
        <v>7.1676289066218217</v>
      </c>
      <c r="N456" s="338">
        <v>7.1676289066218217</v>
      </c>
      <c r="O456" s="338"/>
    </row>
    <row r="457" spans="1:15" hidden="1" outlineLevel="2" x14ac:dyDescent="0.35">
      <c r="A457" s="425" t="s">
        <v>7971</v>
      </c>
      <c r="B457" s="327">
        <v>43861</v>
      </c>
      <c r="C457" s="426">
        <v>164</v>
      </c>
      <c r="D457" s="427" t="s">
        <v>8644</v>
      </c>
      <c r="E457" s="426" t="s">
        <v>8562</v>
      </c>
      <c r="F457" s="338">
        <v>122305</v>
      </c>
      <c r="G457" s="338" t="s">
        <v>3800</v>
      </c>
      <c r="H457" s="338"/>
      <c r="I457" s="329">
        <v>28.670515626487287</v>
      </c>
      <c r="J457" s="329"/>
      <c r="K457" s="338">
        <v>7.1676289066218217</v>
      </c>
      <c r="L457" s="338">
        <v>7.1676289066218217</v>
      </c>
      <c r="M457" s="338">
        <v>7.1676289066218217</v>
      </c>
      <c r="N457" s="338">
        <v>7.1676289066218217</v>
      </c>
      <c r="O457" s="338"/>
    </row>
    <row r="458" spans="1:15" hidden="1" outlineLevel="2" x14ac:dyDescent="0.35">
      <c r="A458" s="425" t="s">
        <v>7971</v>
      </c>
      <c r="B458" s="327">
        <v>43861</v>
      </c>
      <c r="C458" s="426">
        <v>166</v>
      </c>
      <c r="D458" s="427" t="s">
        <v>8645</v>
      </c>
      <c r="E458" s="426" t="s">
        <v>8548</v>
      </c>
      <c r="F458" s="338">
        <v>122305</v>
      </c>
      <c r="G458" s="338" t="s">
        <v>3800</v>
      </c>
      <c r="H458" s="338"/>
      <c r="I458" s="329">
        <v>28.670515626487287</v>
      </c>
      <c r="J458" s="329"/>
      <c r="K458" s="338">
        <v>7.1676289066218217</v>
      </c>
      <c r="L458" s="338">
        <v>7.1676289066218217</v>
      </c>
      <c r="M458" s="338">
        <v>7.1676289066218217</v>
      </c>
      <c r="N458" s="338">
        <v>7.1676289066218217</v>
      </c>
      <c r="O458" s="338"/>
    </row>
    <row r="459" spans="1:15" hidden="1" outlineLevel="2" x14ac:dyDescent="0.35">
      <c r="A459" s="425" t="s">
        <v>7971</v>
      </c>
      <c r="B459" s="327" t="s">
        <v>8077</v>
      </c>
      <c r="C459" s="426" t="s">
        <v>8564</v>
      </c>
      <c r="D459" s="427" t="s">
        <v>8646</v>
      </c>
      <c r="E459" s="426" t="s">
        <v>8545</v>
      </c>
      <c r="F459" s="338">
        <v>122305</v>
      </c>
      <c r="G459" s="338" t="s">
        <v>3800</v>
      </c>
      <c r="H459" s="338"/>
      <c r="I459" s="329">
        <v>29.15790121742058</v>
      </c>
      <c r="J459" s="329"/>
      <c r="K459" s="338">
        <v>7.289475304355145</v>
      </c>
      <c r="L459" s="338">
        <v>7.289475304355145</v>
      </c>
      <c r="M459" s="338">
        <v>7.289475304355145</v>
      </c>
      <c r="N459" s="338">
        <v>7.289475304355145</v>
      </c>
      <c r="O459" s="338"/>
    </row>
    <row r="460" spans="1:15" hidden="1" outlineLevel="2" x14ac:dyDescent="0.35">
      <c r="A460" s="425" t="s">
        <v>7971</v>
      </c>
      <c r="B460" s="327" t="s">
        <v>8077</v>
      </c>
      <c r="C460" s="426" t="s">
        <v>8566</v>
      </c>
      <c r="D460" s="427" t="s">
        <v>8647</v>
      </c>
      <c r="E460" s="426" t="s">
        <v>8144</v>
      </c>
      <c r="F460" s="338">
        <v>122305</v>
      </c>
      <c r="G460" s="338" t="s">
        <v>3800</v>
      </c>
      <c r="H460" s="338"/>
      <c r="I460" s="329">
        <v>29.15790121742058</v>
      </c>
      <c r="J460" s="329"/>
      <c r="K460" s="338">
        <v>7.289475304355145</v>
      </c>
      <c r="L460" s="338">
        <v>7.289475304355145</v>
      </c>
      <c r="M460" s="338">
        <v>7.289475304355145</v>
      </c>
      <c r="N460" s="338">
        <v>7.289475304355145</v>
      </c>
      <c r="O460" s="338"/>
    </row>
    <row r="461" spans="1:15" hidden="1" outlineLevel="2" x14ac:dyDescent="0.35">
      <c r="A461" s="425" t="s">
        <v>7971</v>
      </c>
      <c r="B461" s="327" t="s">
        <v>8077</v>
      </c>
      <c r="C461" s="426" t="s">
        <v>8568</v>
      </c>
      <c r="D461" s="427" t="s">
        <v>8648</v>
      </c>
      <c r="E461" s="426" t="s">
        <v>8548</v>
      </c>
      <c r="F461" s="338">
        <v>122305</v>
      </c>
      <c r="G461" s="338" t="s">
        <v>3800</v>
      </c>
      <c r="H461" s="338"/>
      <c r="I461" s="329">
        <v>29.15790121742058</v>
      </c>
      <c r="J461" s="329"/>
      <c r="K461" s="338">
        <v>7.289475304355145</v>
      </c>
      <c r="L461" s="338">
        <v>7.289475304355145</v>
      </c>
      <c r="M461" s="338">
        <v>7.289475304355145</v>
      </c>
      <c r="N461" s="338">
        <v>7.289475304355145</v>
      </c>
      <c r="O461" s="338"/>
    </row>
    <row r="462" spans="1:15" hidden="1" outlineLevel="2" x14ac:dyDescent="0.35">
      <c r="A462" s="425" t="s">
        <v>7971</v>
      </c>
      <c r="B462" s="327" t="s">
        <v>8079</v>
      </c>
      <c r="C462" s="426" t="s">
        <v>8327</v>
      </c>
      <c r="D462" s="427" t="s">
        <v>8649</v>
      </c>
      <c r="E462" s="426" t="s">
        <v>8545</v>
      </c>
      <c r="F462" s="338">
        <v>122305</v>
      </c>
      <c r="G462" s="338" t="s">
        <v>3800</v>
      </c>
      <c r="H462" s="338"/>
      <c r="I462" s="329">
        <v>29.15790121742058</v>
      </c>
      <c r="J462" s="329"/>
      <c r="K462" s="338">
        <v>7.289475304355145</v>
      </c>
      <c r="L462" s="338">
        <v>7.289475304355145</v>
      </c>
      <c r="M462" s="338">
        <v>7.289475304355145</v>
      </c>
      <c r="N462" s="338">
        <v>7.289475304355145</v>
      </c>
      <c r="O462" s="338"/>
    </row>
    <row r="463" spans="1:15" hidden="1" outlineLevel="2" x14ac:dyDescent="0.35">
      <c r="A463" s="425" t="s">
        <v>7971</v>
      </c>
      <c r="B463" s="327" t="s">
        <v>8079</v>
      </c>
      <c r="C463" s="426" t="s">
        <v>8327</v>
      </c>
      <c r="D463" s="427" t="s">
        <v>8650</v>
      </c>
      <c r="E463" s="426" t="s">
        <v>8144</v>
      </c>
      <c r="F463" s="338">
        <v>122305</v>
      </c>
      <c r="G463" s="338" t="s">
        <v>3800</v>
      </c>
      <c r="H463" s="338"/>
      <c r="I463" s="329">
        <v>29.15790121742058</v>
      </c>
      <c r="J463" s="329"/>
      <c r="K463" s="338">
        <v>7.289475304355145</v>
      </c>
      <c r="L463" s="338">
        <v>7.289475304355145</v>
      </c>
      <c r="M463" s="338">
        <v>7.289475304355145</v>
      </c>
      <c r="N463" s="338">
        <v>7.289475304355145</v>
      </c>
      <c r="O463" s="338"/>
    </row>
    <row r="464" spans="1:15" hidden="1" outlineLevel="2" x14ac:dyDescent="0.35">
      <c r="A464" s="425" t="s">
        <v>7971</v>
      </c>
      <c r="B464" s="327">
        <v>43830</v>
      </c>
      <c r="C464" s="426">
        <v>157</v>
      </c>
      <c r="D464" s="427" t="s">
        <v>8651</v>
      </c>
      <c r="E464" s="426" t="s">
        <v>8552</v>
      </c>
      <c r="F464" s="338">
        <v>122305</v>
      </c>
      <c r="G464" s="338" t="s">
        <v>3800</v>
      </c>
      <c r="H464" s="338"/>
      <c r="I464" s="329">
        <v>28.670515626487287</v>
      </c>
      <c r="J464" s="329"/>
      <c r="K464" s="338">
        <v>7.1676289066218217</v>
      </c>
      <c r="L464" s="338">
        <v>7.1676289066218217</v>
      </c>
      <c r="M464" s="338">
        <v>7.1676289066218217</v>
      </c>
      <c r="N464" s="338">
        <v>7.1676289066218217</v>
      </c>
      <c r="O464" s="338"/>
    </row>
    <row r="465" spans="1:15" hidden="1" outlineLevel="2" x14ac:dyDescent="0.35">
      <c r="A465" s="425" t="s">
        <v>7971</v>
      </c>
      <c r="B465" s="327">
        <v>43830</v>
      </c>
      <c r="C465" s="426">
        <v>158</v>
      </c>
      <c r="D465" s="427" t="s">
        <v>8652</v>
      </c>
      <c r="E465" s="426" t="s">
        <v>8554</v>
      </c>
      <c r="F465" s="338">
        <v>122305</v>
      </c>
      <c r="G465" s="338" t="s">
        <v>3800</v>
      </c>
      <c r="H465" s="338"/>
      <c r="I465" s="329">
        <v>28.670515626487287</v>
      </c>
      <c r="J465" s="329"/>
      <c r="K465" s="338">
        <v>7.1676289066218217</v>
      </c>
      <c r="L465" s="338">
        <v>7.1676289066218217</v>
      </c>
      <c r="M465" s="338">
        <v>7.1676289066218217</v>
      </c>
      <c r="N465" s="338">
        <v>7.1676289066218217</v>
      </c>
      <c r="O465" s="338"/>
    </row>
    <row r="466" spans="1:15" hidden="1" outlineLevel="2" x14ac:dyDescent="0.35">
      <c r="A466" s="425" t="s">
        <v>7971</v>
      </c>
      <c r="B466" s="327">
        <v>43830</v>
      </c>
      <c r="C466" s="426">
        <v>160</v>
      </c>
      <c r="D466" s="427" t="s">
        <v>8653</v>
      </c>
      <c r="E466" s="426" t="s">
        <v>8575</v>
      </c>
      <c r="F466" s="338">
        <v>122305</v>
      </c>
      <c r="G466" s="338" t="s">
        <v>3800</v>
      </c>
      <c r="H466" s="338"/>
      <c r="I466" s="329">
        <v>28.670515626487287</v>
      </c>
      <c r="J466" s="329"/>
      <c r="K466" s="338">
        <v>7.1676289066218217</v>
      </c>
      <c r="L466" s="338">
        <v>7.1676289066218217</v>
      </c>
      <c r="M466" s="338">
        <v>7.1676289066218217</v>
      </c>
      <c r="N466" s="338">
        <v>7.1676289066218217</v>
      </c>
      <c r="O466" s="338"/>
    </row>
    <row r="467" spans="1:15" hidden="1" outlineLevel="2" x14ac:dyDescent="0.35">
      <c r="A467" s="425" t="s">
        <v>7971</v>
      </c>
      <c r="B467" s="327">
        <v>44196</v>
      </c>
      <c r="C467" s="426">
        <v>250</v>
      </c>
      <c r="D467" s="427" t="s">
        <v>8654</v>
      </c>
      <c r="E467" s="426" t="s">
        <v>8545</v>
      </c>
      <c r="F467" s="338">
        <v>122305</v>
      </c>
      <c r="G467" s="338" t="s">
        <v>3800</v>
      </c>
      <c r="H467" s="338"/>
      <c r="I467" s="329">
        <v>28.670515626487287</v>
      </c>
      <c r="J467" s="329"/>
      <c r="K467" s="338">
        <v>7.1676289066218217</v>
      </c>
      <c r="L467" s="338">
        <v>7.1676289066218217</v>
      </c>
      <c r="M467" s="338">
        <v>7.1676289066218217</v>
      </c>
      <c r="N467" s="338">
        <v>7.1676289066218217</v>
      </c>
      <c r="O467" s="338"/>
    </row>
    <row r="468" spans="1:15" hidden="1" outlineLevel="2" x14ac:dyDescent="0.35">
      <c r="A468" s="425" t="s">
        <v>7971</v>
      </c>
      <c r="B468" s="327">
        <v>44196</v>
      </c>
      <c r="C468" s="426">
        <v>252</v>
      </c>
      <c r="D468" s="427" t="s">
        <v>8655</v>
      </c>
      <c r="E468" s="426" t="s">
        <v>8144</v>
      </c>
      <c r="F468" s="338">
        <v>122305</v>
      </c>
      <c r="G468" s="338" t="s">
        <v>3800</v>
      </c>
      <c r="H468" s="338"/>
      <c r="I468" s="329">
        <v>28.670515626487287</v>
      </c>
      <c r="J468" s="329"/>
      <c r="K468" s="338">
        <v>7.1676289066218217</v>
      </c>
      <c r="L468" s="338">
        <v>7.1676289066218217</v>
      </c>
      <c r="M468" s="338">
        <v>7.1676289066218217</v>
      </c>
      <c r="N468" s="338">
        <v>7.1676289066218217</v>
      </c>
      <c r="O468" s="338"/>
    </row>
    <row r="469" spans="1:15" hidden="1" outlineLevel="2" x14ac:dyDescent="0.35">
      <c r="A469" s="425" t="s">
        <v>7971</v>
      </c>
      <c r="B469" s="327">
        <v>44196</v>
      </c>
      <c r="C469" s="426">
        <v>254</v>
      </c>
      <c r="D469" s="427" t="s">
        <v>8656</v>
      </c>
      <c r="E469" s="426" t="s">
        <v>8548</v>
      </c>
      <c r="F469" s="338">
        <v>122305</v>
      </c>
      <c r="G469" s="338" t="s">
        <v>3800</v>
      </c>
      <c r="H469" s="338"/>
      <c r="I469" s="329">
        <v>28.670515626487287</v>
      </c>
      <c r="J469" s="329"/>
      <c r="K469" s="338">
        <v>7.1676289066218217</v>
      </c>
      <c r="L469" s="338">
        <v>7.1676289066218217</v>
      </c>
      <c r="M469" s="338">
        <v>7.1676289066218217</v>
      </c>
      <c r="N469" s="338">
        <v>7.1676289066218217</v>
      </c>
      <c r="O469" s="338"/>
    </row>
    <row r="470" spans="1:15" hidden="1" outlineLevel="2" x14ac:dyDescent="0.35">
      <c r="A470" s="425" t="s">
        <v>7971</v>
      </c>
      <c r="B470" s="327" t="s">
        <v>7987</v>
      </c>
      <c r="C470" s="426" t="s">
        <v>7988</v>
      </c>
      <c r="D470" s="427" t="s">
        <v>8657</v>
      </c>
      <c r="E470" s="426" t="s">
        <v>8545</v>
      </c>
      <c r="F470" s="338">
        <v>122305</v>
      </c>
      <c r="G470" s="338" t="s">
        <v>3800</v>
      </c>
      <c r="H470" s="338"/>
      <c r="I470" s="329">
        <v>29.15790121742058</v>
      </c>
      <c r="J470" s="329"/>
      <c r="K470" s="338">
        <v>7.289475304355145</v>
      </c>
      <c r="L470" s="338">
        <v>7.289475304355145</v>
      </c>
      <c r="M470" s="338">
        <v>7.289475304355145</v>
      </c>
      <c r="N470" s="338">
        <v>7.289475304355145</v>
      </c>
      <c r="O470" s="338"/>
    </row>
    <row r="471" spans="1:15" hidden="1" outlineLevel="2" x14ac:dyDescent="0.35">
      <c r="A471" s="425" t="s">
        <v>7971</v>
      </c>
      <c r="B471" s="327" t="s">
        <v>7987</v>
      </c>
      <c r="C471" s="426" t="s">
        <v>7988</v>
      </c>
      <c r="D471" s="427" t="s">
        <v>8658</v>
      </c>
      <c r="E471" s="426" t="s">
        <v>8144</v>
      </c>
      <c r="F471" s="338">
        <v>122305</v>
      </c>
      <c r="G471" s="338" t="s">
        <v>3800</v>
      </c>
      <c r="H471" s="338"/>
      <c r="I471" s="329">
        <v>29.15790121742058</v>
      </c>
      <c r="J471" s="329"/>
      <c r="K471" s="338">
        <v>7.289475304355145</v>
      </c>
      <c r="L471" s="338">
        <v>7.289475304355145</v>
      </c>
      <c r="M471" s="338">
        <v>7.289475304355145</v>
      </c>
      <c r="N471" s="338">
        <v>7.289475304355145</v>
      </c>
      <c r="O471" s="338"/>
    </row>
    <row r="472" spans="1:15" hidden="1" outlineLevel="2" x14ac:dyDescent="0.35">
      <c r="A472" s="425" t="s">
        <v>7971</v>
      </c>
      <c r="B472" s="327">
        <v>43890</v>
      </c>
      <c r="C472" s="426">
        <v>169</v>
      </c>
      <c r="D472" s="427" t="s">
        <v>8659</v>
      </c>
      <c r="E472" s="426" t="s">
        <v>8545</v>
      </c>
      <c r="F472" s="338">
        <v>122305</v>
      </c>
      <c r="G472" s="338" t="s">
        <v>3800</v>
      </c>
      <c r="H472" s="338"/>
      <c r="I472" s="329">
        <v>28.670515626487287</v>
      </c>
      <c r="J472" s="329"/>
      <c r="K472" s="338">
        <v>7.1676289066218217</v>
      </c>
      <c r="L472" s="338">
        <v>7.1676289066218217</v>
      </c>
      <c r="M472" s="338">
        <v>7.1676289066218217</v>
      </c>
      <c r="N472" s="338">
        <v>7.1676289066218217</v>
      </c>
      <c r="O472" s="338"/>
    </row>
    <row r="473" spans="1:15" hidden="1" outlineLevel="2" x14ac:dyDescent="0.35">
      <c r="A473" s="425" t="s">
        <v>7971</v>
      </c>
      <c r="B473" s="327">
        <v>43890</v>
      </c>
      <c r="C473" s="426">
        <v>171</v>
      </c>
      <c r="D473" s="427" t="s">
        <v>8660</v>
      </c>
      <c r="E473" s="426" t="s">
        <v>8144</v>
      </c>
      <c r="F473" s="338">
        <v>122305</v>
      </c>
      <c r="G473" s="338" t="s">
        <v>3800</v>
      </c>
      <c r="H473" s="338"/>
      <c r="I473" s="329">
        <v>28.670515626487287</v>
      </c>
      <c r="J473" s="329"/>
      <c r="K473" s="338">
        <v>7.1676289066218217</v>
      </c>
      <c r="L473" s="338">
        <v>7.1676289066218217</v>
      </c>
      <c r="M473" s="338">
        <v>7.1676289066218217</v>
      </c>
      <c r="N473" s="338">
        <v>7.1676289066218217</v>
      </c>
      <c r="O473" s="338"/>
    </row>
    <row r="474" spans="1:15" hidden="1" outlineLevel="2" x14ac:dyDescent="0.35">
      <c r="A474" s="425" t="s">
        <v>7971</v>
      </c>
      <c r="B474" s="327">
        <v>43890</v>
      </c>
      <c r="C474" s="426">
        <v>173</v>
      </c>
      <c r="D474" s="427" t="s">
        <v>8661</v>
      </c>
      <c r="E474" s="426" t="s">
        <v>8548</v>
      </c>
      <c r="F474" s="338">
        <v>122305</v>
      </c>
      <c r="G474" s="338" t="s">
        <v>3800</v>
      </c>
      <c r="H474" s="338"/>
      <c r="I474" s="329">
        <v>28.670515626487287</v>
      </c>
      <c r="J474" s="329"/>
      <c r="K474" s="338">
        <v>7.1676289066218217</v>
      </c>
      <c r="L474" s="338">
        <v>7.1676289066218217</v>
      </c>
      <c r="M474" s="338">
        <v>7.1676289066218217</v>
      </c>
      <c r="N474" s="338">
        <v>7.1676289066218217</v>
      </c>
      <c r="O474" s="338"/>
    </row>
    <row r="475" spans="1:15" hidden="1" outlineLevel="2" x14ac:dyDescent="0.35">
      <c r="A475" s="425" t="s">
        <v>7971</v>
      </c>
      <c r="B475" s="327" t="s">
        <v>8075</v>
      </c>
      <c r="C475" s="426" t="s">
        <v>8584</v>
      </c>
      <c r="D475" s="427" t="s">
        <v>8662</v>
      </c>
      <c r="E475" s="426" t="s">
        <v>8545</v>
      </c>
      <c r="F475" s="338">
        <v>122305</v>
      </c>
      <c r="G475" s="338" t="s">
        <v>3800</v>
      </c>
      <c r="H475" s="338"/>
      <c r="I475" s="329">
        <v>29.15790121742058</v>
      </c>
      <c r="J475" s="329"/>
      <c r="K475" s="338">
        <v>7.289475304355145</v>
      </c>
      <c r="L475" s="338">
        <v>7.289475304355145</v>
      </c>
      <c r="M475" s="338">
        <v>7.289475304355145</v>
      </c>
      <c r="N475" s="338">
        <v>7.289475304355145</v>
      </c>
      <c r="O475" s="338"/>
    </row>
    <row r="476" spans="1:15" hidden="1" outlineLevel="2" x14ac:dyDescent="0.35">
      <c r="A476" s="425" t="s">
        <v>7971</v>
      </c>
      <c r="B476" s="327" t="s">
        <v>8075</v>
      </c>
      <c r="C476" s="426" t="s">
        <v>8588</v>
      </c>
      <c r="D476" s="427" t="s">
        <v>8663</v>
      </c>
      <c r="E476" s="426" t="s">
        <v>8548</v>
      </c>
      <c r="F476" s="338">
        <v>122305</v>
      </c>
      <c r="G476" s="338" t="s">
        <v>3800</v>
      </c>
      <c r="H476" s="338"/>
      <c r="I476" s="329">
        <v>29.15790121742058</v>
      </c>
      <c r="J476" s="329"/>
      <c r="K476" s="338">
        <v>7.289475304355145</v>
      </c>
      <c r="L476" s="338">
        <v>7.289475304355145</v>
      </c>
      <c r="M476" s="338">
        <v>7.289475304355145</v>
      </c>
      <c r="N476" s="338">
        <v>7.289475304355145</v>
      </c>
      <c r="O476" s="338"/>
    </row>
    <row r="477" spans="1:15" hidden="1" outlineLevel="2" x14ac:dyDescent="0.35">
      <c r="A477" s="425" t="s">
        <v>7971</v>
      </c>
      <c r="B477" s="327" t="s">
        <v>8075</v>
      </c>
      <c r="C477" s="426" t="s">
        <v>8586</v>
      </c>
      <c r="D477" s="427" t="s">
        <v>8664</v>
      </c>
      <c r="E477" s="426" t="s">
        <v>8144</v>
      </c>
      <c r="F477" s="338">
        <v>122305</v>
      </c>
      <c r="G477" s="338" t="s">
        <v>3800</v>
      </c>
      <c r="H477" s="338"/>
      <c r="I477" s="329">
        <v>29.15790121742058</v>
      </c>
      <c r="J477" s="329"/>
      <c r="K477" s="338">
        <v>7.289475304355145</v>
      </c>
      <c r="L477" s="338">
        <v>7.289475304355145</v>
      </c>
      <c r="M477" s="338">
        <v>7.289475304355145</v>
      </c>
      <c r="N477" s="338">
        <v>7.289475304355145</v>
      </c>
      <c r="O477" s="338"/>
    </row>
    <row r="478" spans="1:15" hidden="1" outlineLevel="2" x14ac:dyDescent="0.35">
      <c r="A478" s="425" t="s">
        <v>7971</v>
      </c>
      <c r="B478" s="327">
        <v>43921</v>
      </c>
      <c r="C478" s="426">
        <v>176</v>
      </c>
      <c r="D478" s="427" t="s">
        <v>8665</v>
      </c>
      <c r="E478" s="426" t="s">
        <v>8545</v>
      </c>
      <c r="F478" s="338">
        <v>122305</v>
      </c>
      <c r="G478" s="338" t="s">
        <v>3800</v>
      </c>
      <c r="H478" s="338"/>
      <c r="I478" s="329">
        <v>28.670515626487287</v>
      </c>
      <c r="J478" s="329"/>
      <c r="K478" s="338">
        <v>7.1676289066218217</v>
      </c>
      <c r="L478" s="338">
        <v>7.1676289066218217</v>
      </c>
      <c r="M478" s="338">
        <v>7.1676289066218217</v>
      </c>
      <c r="N478" s="338">
        <v>7.1676289066218217</v>
      </c>
      <c r="O478" s="338"/>
    </row>
    <row r="479" spans="1:15" hidden="1" outlineLevel="2" x14ac:dyDescent="0.35">
      <c r="A479" s="425" t="s">
        <v>7971</v>
      </c>
      <c r="B479" s="327">
        <v>43921</v>
      </c>
      <c r="C479" s="426">
        <v>178</v>
      </c>
      <c r="D479" s="427" t="s">
        <v>8666</v>
      </c>
      <c r="E479" s="426" t="s">
        <v>8144</v>
      </c>
      <c r="F479" s="338">
        <v>122305</v>
      </c>
      <c r="G479" s="338" t="s">
        <v>3800</v>
      </c>
      <c r="H479" s="338"/>
      <c r="I479" s="329">
        <v>28.670515626487287</v>
      </c>
      <c r="J479" s="329"/>
      <c r="K479" s="338">
        <v>7.1676289066218217</v>
      </c>
      <c r="L479" s="338">
        <v>7.1676289066218217</v>
      </c>
      <c r="M479" s="338">
        <v>7.1676289066218217</v>
      </c>
      <c r="N479" s="338">
        <v>7.1676289066218217</v>
      </c>
      <c r="O479" s="338"/>
    </row>
    <row r="480" spans="1:15" hidden="1" outlineLevel="2" x14ac:dyDescent="0.35">
      <c r="A480" s="425" t="s">
        <v>7971</v>
      </c>
      <c r="B480" s="327">
        <v>43921</v>
      </c>
      <c r="C480" s="426">
        <v>180</v>
      </c>
      <c r="D480" s="427" t="s">
        <v>8667</v>
      </c>
      <c r="E480" s="426" t="s">
        <v>8548</v>
      </c>
      <c r="F480" s="338">
        <v>122305</v>
      </c>
      <c r="G480" s="338" t="s">
        <v>3800</v>
      </c>
      <c r="H480" s="338"/>
      <c r="I480" s="329">
        <v>28.670515626487287</v>
      </c>
      <c r="J480" s="329"/>
      <c r="K480" s="338">
        <v>7.1676289066218217</v>
      </c>
      <c r="L480" s="338">
        <v>7.1676289066218217</v>
      </c>
      <c r="M480" s="338">
        <v>7.1676289066218217</v>
      </c>
      <c r="N480" s="338">
        <v>7.1676289066218217</v>
      </c>
      <c r="O480" s="338"/>
    </row>
    <row r="481" spans="1:15" hidden="1" outlineLevel="2" x14ac:dyDescent="0.35">
      <c r="A481" s="425" t="s">
        <v>7971</v>
      </c>
      <c r="B481" s="327" t="s">
        <v>8089</v>
      </c>
      <c r="C481" s="426" t="s">
        <v>8593</v>
      </c>
      <c r="D481" s="427" t="s">
        <v>8668</v>
      </c>
      <c r="E481" s="426" t="s">
        <v>8545</v>
      </c>
      <c r="F481" s="338">
        <v>122305</v>
      </c>
      <c r="G481" s="338" t="s">
        <v>3800</v>
      </c>
      <c r="H481" s="338"/>
      <c r="I481" s="329">
        <v>29.15790121742058</v>
      </c>
      <c r="J481" s="329"/>
      <c r="K481" s="338">
        <v>7.289475304355145</v>
      </c>
      <c r="L481" s="338">
        <v>7.289475304355145</v>
      </c>
      <c r="M481" s="338">
        <v>7.289475304355145</v>
      </c>
      <c r="N481" s="338">
        <v>7.289475304355145</v>
      </c>
      <c r="O481" s="338"/>
    </row>
    <row r="482" spans="1:15" hidden="1" outlineLevel="2" x14ac:dyDescent="0.35">
      <c r="A482" s="425" t="s">
        <v>7971</v>
      </c>
      <c r="B482" s="327" t="s">
        <v>7980</v>
      </c>
      <c r="C482" s="426" t="s">
        <v>8595</v>
      </c>
      <c r="D482" s="427" t="s">
        <v>8668</v>
      </c>
      <c r="E482" s="426" t="s">
        <v>8545</v>
      </c>
      <c r="F482" s="338">
        <v>122305</v>
      </c>
      <c r="G482" s="338" t="s">
        <v>3800</v>
      </c>
      <c r="H482" s="338"/>
      <c r="I482" s="329">
        <v>29.15790121742058</v>
      </c>
      <c r="J482" s="329"/>
      <c r="K482" s="338">
        <v>7.289475304355145</v>
      </c>
      <c r="L482" s="338">
        <v>7.289475304355145</v>
      </c>
      <c r="M482" s="338">
        <v>7.289475304355145</v>
      </c>
      <c r="N482" s="338">
        <v>7.289475304355145</v>
      </c>
      <c r="O482" s="338"/>
    </row>
    <row r="483" spans="1:15" hidden="1" outlineLevel="2" x14ac:dyDescent="0.35">
      <c r="A483" s="425" t="s">
        <v>7971</v>
      </c>
      <c r="B483" s="327" t="s">
        <v>8089</v>
      </c>
      <c r="C483" s="426" t="s">
        <v>8599</v>
      </c>
      <c r="D483" s="427" t="s">
        <v>8669</v>
      </c>
      <c r="E483" s="426" t="s">
        <v>8548</v>
      </c>
      <c r="F483" s="338">
        <v>122305</v>
      </c>
      <c r="G483" s="338" t="s">
        <v>3800</v>
      </c>
      <c r="H483" s="338"/>
      <c r="I483" s="329">
        <v>29.15790121742058</v>
      </c>
      <c r="J483" s="329"/>
      <c r="K483" s="338">
        <v>7.289475304355145</v>
      </c>
      <c r="L483" s="338">
        <v>7.289475304355145</v>
      </c>
      <c r="M483" s="338">
        <v>7.289475304355145</v>
      </c>
      <c r="N483" s="338">
        <v>7.289475304355145</v>
      </c>
      <c r="O483" s="338"/>
    </row>
    <row r="484" spans="1:15" hidden="1" outlineLevel="2" x14ac:dyDescent="0.35">
      <c r="A484" s="425" t="s">
        <v>7971</v>
      </c>
      <c r="B484" s="327" t="s">
        <v>7980</v>
      </c>
      <c r="C484" s="426" t="s">
        <v>8601</v>
      </c>
      <c r="D484" s="427" t="s">
        <v>8669</v>
      </c>
      <c r="E484" s="426" t="s">
        <v>8548</v>
      </c>
      <c r="F484" s="338">
        <v>122305</v>
      </c>
      <c r="G484" s="338" t="s">
        <v>3800</v>
      </c>
      <c r="H484" s="338"/>
      <c r="I484" s="329">
        <v>29.15790121742058</v>
      </c>
      <c r="J484" s="329"/>
      <c r="K484" s="338">
        <v>7.289475304355145</v>
      </c>
      <c r="L484" s="338">
        <v>7.289475304355145</v>
      </c>
      <c r="M484" s="338">
        <v>7.289475304355145</v>
      </c>
      <c r="N484" s="338">
        <v>7.289475304355145</v>
      </c>
      <c r="O484" s="338"/>
    </row>
    <row r="485" spans="1:15" hidden="1" outlineLevel="2" x14ac:dyDescent="0.35">
      <c r="A485" s="425" t="s">
        <v>7971</v>
      </c>
      <c r="B485" s="327" t="s">
        <v>8089</v>
      </c>
      <c r="C485" s="426" t="s">
        <v>8596</v>
      </c>
      <c r="D485" s="427" t="s">
        <v>8670</v>
      </c>
      <c r="E485" s="426" t="s">
        <v>8144</v>
      </c>
      <c r="F485" s="338">
        <v>122305</v>
      </c>
      <c r="G485" s="338" t="s">
        <v>3800</v>
      </c>
      <c r="H485" s="338"/>
      <c r="I485" s="329">
        <v>29.15790121742058</v>
      </c>
      <c r="J485" s="329"/>
      <c r="K485" s="338">
        <v>7.289475304355145</v>
      </c>
      <c r="L485" s="338">
        <v>7.289475304355145</v>
      </c>
      <c r="M485" s="338">
        <v>7.289475304355145</v>
      </c>
      <c r="N485" s="338">
        <v>7.289475304355145</v>
      </c>
      <c r="O485" s="338"/>
    </row>
    <row r="486" spans="1:15" hidden="1" outlineLevel="2" x14ac:dyDescent="0.35">
      <c r="A486" s="425" t="s">
        <v>7971</v>
      </c>
      <c r="B486" s="327" t="s">
        <v>7980</v>
      </c>
      <c r="C486" s="426" t="s">
        <v>8598</v>
      </c>
      <c r="D486" s="427" t="s">
        <v>8670</v>
      </c>
      <c r="E486" s="426" t="s">
        <v>8144</v>
      </c>
      <c r="F486" s="338">
        <v>122305</v>
      </c>
      <c r="G486" s="338" t="s">
        <v>3800</v>
      </c>
      <c r="H486" s="338"/>
      <c r="I486" s="329">
        <v>29.15790121742058</v>
      </c>
      <c r="J486" s="329"/>
      <c r="K486" s="338">
        <v>7.289475304355145</v>
      </c>
      <c r="L486" s="338">
        <v>7.289475304355145</v>
      </c>
      <c r="M486" s="338">
        <v>7.289475304355145</v>
      </c>
      <c r="N486" s="338">
        <v>7.289475304355145</v>
      </c>
      <c r="O486" s="338"/>
    </row>
    <row r="487" spans="1:15" hidden="1" outlineLevel="2" x14ac:dyDescent="0.35">
      <c r="A487" s="425" t="s">
        <v>7971</v>
      </c>
      <c r="B487" s="327">
        <v>43951</v>
      </c>
      <c r="C487" s="426">
        <v>186</v>
      </c>
      <c r="D487" s="427" t="s">
        <v>8671</v>
      </c>
      <c r="E487" s="426" t="s">
        <v>8545</v>
      </c>
      <c r="F487" s="338">
        <v>122305</v>
      </c>
      <c r="G487" s="338" t="s">
        <v>3800</v>
      </c>
      <c r="H487" s="338"/>
      <c r="I487" s="329">
        <v>28.670515626487287</v>
      </c>
      <c r="J487" s="329"/>
      <c r="K487" s="338">
        <v>7.1676289066218217</v>
      </c>
      <c r="L487" s="338">
        <v>7.1676289066218217</v>
      </c>
      <c r="M487" s="338">
        <v>7.1676289066218217</v>
      </c>
      <c r="N487" s="338">
        <v>7.1676289066218217</v>
      </c>
      <c r="O487" s="338"/>
    </row>
    <row r="488" spans="1:15" hidden="1" outlineLevel="2" x14ac:dyDescent="0.35">
      <c r="A488" s="425" t="s">
        <v>7971</v>
      </c>
      <c r="B488" s="327">
        <v>43951</v>
      </c>
      <c r="C488" s="426">
        <v>187</v>
      </c>
      <c r="D488" s="427" t="s">
        <v>8672</v>
      </c>
      <c r="E488" s="426" t="s">
        <v>8144</v>
      </c>
      <c r="F488" s="338">
        <v>122305</v>
      </c>
      <c r="G488" s="338" t="s">
        <v>3800</v>
      </c>
      <c r="H488" s="338"/>
      <c r="I488" s="329">
        <v>28.670515626487287</v>
      </c>
      <c r="J488" s="329"/>
      <c r="K488" s="338">
        <v>7.1676289066218217</v>
      </c>
      <c r="L488" s="338">
        <v>7.1676289066218217</v>
      </c>
      <c r="M488" s="338">
        <v>7.1676289066218217</v>
      </c>
      <c r="N488" s="338">
        <v>7.1676289066218217</v>
      </c>
      <c r="O488" s="338"/>
    </row>
    <row r="489" spans="1:15" hidden="1" outlineLevel="2" x14ac:dyDescent="0.35">
      <c r="A489" s="425" t="s">
        <v>7971</v>
      </c>
      <c r="B489" s="327">
        <v>43951</v>
      </c>
      <c r="C489" s="426">
        <v>189</v>
      </c>
      <c r="D489" s="427" t="s">
        <v>8673</v>
      </c>
      <c r="E489" s="426" t="s">
        <v>8548</v>
      </c>
      <c r="F489" s="338">
        <v>122305</v>
      </c>
      <c r="G489" s="338" t="s">
        <v>3800</v>
      </c>
      <c r="H489" s="338"/>
      <c r="I489" s="329">
        <v>28.670515626487287</v>
      </c>
      <c r="J489" s="329"/>
      <c r="K489" s="338">
        <v>7.1676289066218217</v>
      </c>
      <c r="L489" s="338">
        <v>7.1676289066218217</v>
      </c>
      <c r="M489" s="338">
        <v>7.1676289066218217</v>
      </c>
      <c r="N489" s="338">
        <v>7.1676289066218217</v>
      </c>
      <c r="O489" s="338"/>
    </row>
    <row r="490" spans="1:15" hidden="1" outlineLevel="2" x14ac:dyDescent="0.35">
      <c r="A490" s="425" t="s">
        <v>7971</v>
      </c>
      <c r="B490" s="327">
        <v>43982</v>
      </c>
      <c r="C490" s="426">
        <v>169</v>
      </c>
      <c r="D490" s="427" t="s">
        <v>8674</v>
      </c>
      <c r="E490" s="426" t="s">
        <v>8545</v>
      </c>
      <c r="F490" s="338">
        <v>122305</v>
      </c>
      <c r="G490" s="338" t="s">
        <v>3800</v>
      </c>
      <c r="H490" s="338"/>
      <c r="I490" s="329">
        <v>28.670515626487287</v>
      </c>
      <c r="J490" s="329"/>
      <c r="K490" s="338">
        <v>7.1676289066218217</v>
      </c>
      <c r="L490" s="338">
        <v>7.1676289066218217</v>
      </c>
      <c r="M490" s="338">
        <v>7.1676289066218217</v>
      </c>
      <c r="N490" s="338">
        <v>7.1676289066218217</v>
      </c>
      <c r="O490" s="338"/>
    </row>
    <row r="491" spans="1:15" hidden="1" outlineLevel="2" x14ac:dyDescent="0.35">
      <c r="A491" s="425" t="s">
        <v>7971</v>
      </c>
      <c r="B491" s="327">
        <v>43982</v>
      </c>
      <c r="C491" s="426">
        <v>193</v>
      </c>
      <c r="D491" s="427" t="s">
        <v>8675</v>
      </c>
      <c r="E491" s="426" t="s">
        <v>8144</v>
      </c>
      <c r="F491" s="338">
        <v>122305</v>
      </c>
      <c r="G491" s="338" t="s">
        <v>3800</v>
      </c>
      <c r="H491" s="338"/>
      <c r="I491" s="329">
        <v>28.670515626487287</v>
      </c>
      <c r="J491" s="329"/>
      <c r="K491" s="338">
        <v>7.1676289066218217</v>
      </c>
      <c r="L491" s="338">
        <v>7.1676289066218217</v>
      </c>
      <c r="M491" s="338">
        <v>7.1676289066218217</v>
      </c>
      <c r="N491" s="338">
        <v>7.1676289066218217</v>
      </c>
      <c r="O491" s="338"/>
    </row>
    <row r="492" spans="1:15" hidden="1" outlineLevel="2" x14ac:dyDescent="0.35">
      <c r="A492" s="425" t="s">
        <v>7971</v>
      </c>
      <c r="B492" s="327">
        <v>43982</v>
      </c>
      <c r="C492" s="426">
        <v>195</v>
      </c>
      <c r="D492" s="427" t="s">
        <v>8676</v>
      </c>
      <c r="E492" s="426" t="s">
        <v>8548</v>
      </c>
      <c r="F492" s="338">
        <v>122305</v>
      </c>
      <c r="G492" s="338" t="s">
        <v>3800</v>
      </c>
      <c r="H492" s="338"/>
      <c r="I492" s="329">
        <v>28.670515626487287</v>
      </c>
      <c r="J492" s="329"/>
      <c r="K492" s="338">
        <v>7.1676289066218217</v>
      </c>
      <c r="L492" s="338">
        <v>7.1676289066218217</v>
      </c>
      <c r="M492" s="338">
        <v>7.1676289066218217</v>
      </c>
      <c r="N492" s="338">
        <v>7.1676289066218217</v>
      </c>
      <c r="O492" s="338"/>
    </row>
    <row r="493" spans="1:15" hidden="1" outlineLevel="2" x14ac:dyDescent="0.35">
      <c r="A493" s="425" t="s">
        <v>7971</v>
      </c>
      <c r="B493" s="327" t="s">
        <v>7996</v>
      </c>
      <c r="C493" s="426" t="s">
        <v>7997</v>
      </c>
      <c r="D493" s="427" t="s">
        <v>8677</v>
      </c>
      <c r="E493" s="426" t="s">
        <v>8545</v>
      </c>
      <c r="F493" s="338">
        <v>122305</v>
      </c>
      <c r="G493" s="338" t="s">
        <v>3800</v>
      </c>
      <c r="H493" s="338"/>
      <c r="I493" s="329">
        <v>29.15790121742058</v>
      </c>
      <c r="J493" s="329"/>
      <c r="K493" s="338">
        <v>7.289475304355145</v>
      </c>
      <c r="L493" s="338">
        <v>7.289475304355145</v>
      </c>
      <c r="M493" s="338">
        <v>7.289475304355145</v>
      </c>
      <c r="N493" s="338">
        <v>7.289475304355145</v>
      </c>
      <c r="O493" s="338"/>
    </row>
    <row r="494" spans="1:15" hidden="1" outlineLevel="2" x14ac:dyDescent="0.35">
      <c r="A494" s="425" t="s">
        <v>7971</v>
      </c>
      <c r="B494" s="327" t="s">
        <v>7996</v>
      </c>
      <c r="C494" s="426" t="s">
        <v>7997</v>
      </c>
      <c r="D494" s="427" t="s">
        <v>8678</v>
      </c>
      <c r="E494" s="426" t="s">
        <v>8548</v>
      </c>
      <c r="F494" s="338">
        <v>122305</v>
      </c>
      <c r="G494" s="338" t="s">
        <v>3800</v>
      </c>
      <c r="H494" s="338"/>
      <c r="I494" s="329">
        <v>29.15790121742058</v>
      </c>
      <c r="J494" s="329"/>
      <c r="K494" s="338">
        <v>7.289475304355145</v>
      </c>
      <c r="L494" s="338">
        <v>7.289475304355145</v>
      </c>
      <c r="M494" s="338">
        <v>7.289475304355145</v>
      </c>
      <c r="N494" s="338">
        <v>7.289475304355145</v>
      </c>
      <c r="O494" s="338"/>
    </row>
    <row r="495" spans="1:15" hidden="1" outlineLevel="2" x14ac:dyDescent="0.35">
      <c r="A495" s="425" t="s">
        <v>7971</v>
      </c>
      <c r="B495" s="327" t="s">
        <v>7996</v>
      </c>
      <c r="C495" s="426" t="s">
        <v>7997</v>
      </c>
      <c r="D495" s="427" t="s">
        <v>8679</v>
      </c>
      <c r="E495" s="426" t="s">
        <v>8144</v>
      </c>
      <c r="F495" s="338">
        <v>122305</v>
      </c>
      <c r="G495" s="338" t="s">
        <v>3800</v>
      </c>
      <c r="H495" s="338"/>
      <c r="I495" s="329">
        <v>29.15790121742058</v>
      </c>
      <c r="J495" s="329"/>
      <c r="K495" s="338">
        <v>7.289475304355145</v>
      </c>
      <c r="L495" s="338">
        <v>7.289475304355145</v>
      </c>
      <c r="M495" s="338">
        <v>7.289475304355145</v>
      </c>
      <c r="N495" s="338">
        <v>7.289475304355145</v>
      </c>
      <c r="O495" s="338"/>
    </row>
    <row r="496" spans="1:15" hidden="1" outlineLevel="2" x14ac:dyDescent="0.35">
      <c r="A496" s="425" t="s">
        <v>7971</v>
      </c>
      <c r="B496" s="327">
        <v>44012</v>
      </c>
      <c r="C496" s="426">
        <v>199</v>
      </c>
      <c r="D496" s="427" t="s">
        <v>8680</v>
      </c>
      <c r="E496" s="426" t="s">
        <v>8545</v>
      </c>
      <c r="F496" s="338">
        <v>122305</v>
      </c>
      <c r="G496" s="338" t="s">
        <v>3800</v>
      </c>
      <c r="H496" s="338"/>
      <c r="I496" s="329">
        <v>28.670515626487287</v>
      </c>
      <c r="J496" s="329"/>
      <c r="K496" s="338">
        <v>7.1676289066218217</v>
      </c>
      <c r="L496" s="338">
        <v>7.1676289066218217</v>
      </c>
      <c r="M496" s="338">
        <v>7.1676289066218217</v>
      </c>
      <c r="N496" s="338">
        <v>7.1676289066218217</v>
      </c>
      <c r="O496" s="338"/>
    </row>
    <row r="497" spans="1:15" hidden="1" outlineLevel="2" x14ac:dyDescent="0.35">
      <c r="A497" s="425" t="s">
        <v>7971</v>
      </c>
      <c r="B497" s="327">
        <v>44012</v>
      </c>
      <c r="C497" s="426">
        <v>200</v>
      </c>
      <c r="D497" s="427" t="s">
        <v>8681</v>
      </c>
      <c r="E497" s="426" t="s">
        <v>8144</v>
      </c>
      <c r="F497" s="338">
        <v>122305</v>
      </c>
      <c r="G497" s="338" t="s">
        <v>3800</v>
      </c>
      <c r="H497" s="338"/>
      <c r="I497" s="329">
        <v>28.670515626487287</v>
      </c>
      <c r="J497" s="329"/>
      <c r="K497" s="338">
        <v>7.1676289066218217</v>
      </c>
      <c r="L497" s="338">
        <v>7.1676289066218217</v>
      </c>
      <c r="M497" s="338">
        <v>7.1676289066218217</v>
      </c>
      <c r="N497" s="338">
        <v>7.1676289066218217</v>
      </c>
      <c r="O497" s="338"/>
    </row>
    <row r="498" spans="1:15" hidden="1" outlineLevel="2" x14ac:dyDescent="0.35">
      <c r="A498" s="425" t="s">
        <v>7971</v>
      </c>
      <c r="B498" s="327">
        <v>44012</v>
      </c>
      <c r="C498" s="426">
        <v>202</v>
      </c>
      <c r="D498" s="427" t="s">
        <v>8682</v>
      </c>
      <c r="E498" s="426" t="s">
        <v>8548</v>
      </c>
      <c r="F498" s="338">
        <v>122305</v>
      </c>
      <c r="G498" s="338" t="s">
        <v>3800</v>
      </c>
      <c r="H498" s="338"/>
      <c r="I498" s="329">
        <v>28.670515626487287</v>
      </c>
      <c r="J498" s="329"/>
      <c r="K498" s="338">
        <v>7.1676289066218217</v>
      </c>
      <c r="L498" s="338">
        <v>7.1676289066218217</v>
      </c>
      <c r="M498" s="338">
        <v>7.1676289066218217</v>
      </c>
      <c r="N498" s="338">
        <v>7.1676289066218217</v>
      </c>
      <c r="O498" s="338"/>
    </row>
    <row r="499" spans="1:15" hidden="1" outlineLevel="2" x14ac:dyDescent="0.35">
      <c r="A499" s="425" t="s">
        <v>7971</v>
      </c>
      <c r="B499" s="327" t="s">
        <v>7993</v>
      </c>
      <c r="C499" s="426" t="s">
        <v>7994</v>
      </c>
      <c r="D499" s="427" t="s">
        <v>8683</v>
      </c>
      <c r="E499" s="426" t="s">
        <v>8545</v>
      </c>
      <c r="F499" s="338">
        <v>122305</v>
      </c>
      <c r="G499" s="338" t="s">
        <v>3800</v>
      </c>
      <c r="H499" s="338"/>
      <c r="I499" s="329">
        <v>29.15790121742058</v>
      </c>
      <c r="J499" s="329"/>
      <c r="K499" s="338">
        <v>7.289475304355145</v>
      </c>
      <c r="L499" s="338">
        <v>7.289475304355145</v>
      </c>
      <c r="M499" s="338">
        <v>7.289475304355145</v>
      </c>
      <c r="N499" s="338">
        <v>7.289475304355145</v>
      </c>
      <c r="O499" s="338"/>
    </row>
    <row r="500" spans="1:15" hidden="1" outlineLevel="2" x14ac:dyDescent="0.35">
      <c r="A500" s="425" t="s">
        <v>7971</v>
      </c>
      <c r="B500" s="327" t="s">
        <v>7993</v>
      </c>
      <c r="C500" s="426" t="s">
        <v>7994</v>
      </c>
      <c r="D500" s="427" t="s">
        <v>8684</v>
      </c>
      <c r="E500" s="426" t="s">
        <v>8548</v>
      </c>
      <c r="F500" s="338">
        <v>122305</v>
      </c>
      <c r="G500" s="338" t="s">
        <v>3800</v>
      </c>
      <c r="H500" s="338"/>
      <c r="I500" s="329">
        <v>29.15790121742058</v>
      </c>
      <c r="J500" s="329"/>
      <c r="K500" s="338">
        <v>7.289475304355145</v>
      </c>
      <c r="L500" s="338">
        <v>7.289475304355145</v>
      </c>
      <c r="M500" s="338">
        <v>7.289475304355145</v>
      </c>
      <c r="N500" s="338">
        <v>7.289475304355145</v>
      </c>
      <c r="O500" s="338"/>
    </row>
    <row r="501" spans="1:15" hidden="1" outlineLevel="2" x14ac:dyDescent="0.35">
      <c r="A501" s="425" t="s">
        <v>7971</v>
      </c>
      <c r="B501" s="327" t="s">
        <v>7993</v>
      </c>
      <c r="C501" s="426" t="s">
        <v>7994</v>
      </c>
      <c r="D501" s="427" t="s">
        <v>8685</v>
      </c>
      <c r="E501" s="426" t="s">
        <v>8144</v>
      </c>
      <c r="F501" s="338">
        <v>122305</v>
      </c>
      <c r="G501" s="338" t="s">
        <v>3800</v>
      </c>
      <c r="H501" s="338"/>
      <c r="I501" s="329">
        <v>29.15790121742058</v>
      </c>
      <c r="J501" s="329"/>
      <c r="K501" s="338">
        <v>7.289475304355145</v>
      </c>
      <c r="L501" s="338">
        <v>7.289475304355145</v>
      </c>
      <c r="M501" s="338">
        <v>7.289475304355145</v>
      </c>
      <c r="N501" s="338">
        <v>7.289475304355145</v>
      </c>
      <c r="O501" s="338"/>
    </row>
    <row r="502" spans="1:15" hidden="1" outlineLevel="2" x14ac:dyDescent="0.35">
      <c r="A502" s="425" t="s">
        <v>7971</v>
      </c>
      <c r="B502" s="327">
        <v>44043</v>
      </c>
      <c r="C502" s="426">
        <v>205</v>
      </c>
      <c r="D502" s="427" t="s">
        <v>8686</v>
      </c>
      <c r="E502" s="426" t="s">
        <v>8545</v>
      </c>
      <c r="F502" s="338">
        <v>122305</v>
      </c>
      <c r="G502" s="338" t="s">
        <v>3800</v>
      </c>
      <c r="H502" s="338"/>
      <c r="I502" s="329">
        <v>28.670515626487287</v>
      </c>
      <c r="J502" s="329"/>
      <c r="K502" s="338">
        <v>7.1676289066218217</v>
      </c>
      <c r="L502" s="338">
        <v>7.1676289066218217</v>
      </c>
      <c r="M502" s="338">
        <v>7.1676289066218217</v>
      </c>
      <c r="N502" s="338">
        <v>7.1676289066218217</v>
      </c>
      <c r="O502" s="338"/>
    </row>
    <row r="503" spans="1:15" hidden="1" outlineLevel="2" x14ac:dyDescent="0.35">
      <c r="A503" s="425" t="s">
        <v>7971</v>
      </c>
      <c r="B503" s="327">
        <v>44043</v>
      </c>
      <c r="C503" s="426">
        <v>206</v>
      </c>
      <c r="D503" s="427" t="s">
        <v>8687</v>
      </c>
      <c r="E503" s="426" t="s">
        <v>8144</v>
      </c>
      <c r="F503" s="338">
        <v>122305</v>
      </c>
      <c r="G503" s="338" t="s">
        <v>3800</v>
      </c>
      <c r="H503" s="338"/>
      <c r="I503" s="329">
        <v>28.670515626487287</v>
      </c>
      <c r="J503" s="329"/>
      <c r="K503" s="338">
        <v>7.1676289066218217</v>
      </c>
      <c r="L503" s="338">
        <v>7.1676289066218217</v>
      </c>
      <c r="M503" s="338">
        <v>7.1676289066218217</v>
      </c>
      <c r="N503" s="338">
        <v>7.1676289066218217</v>
      </c>
      <c r="O503" s="338"/>
    </row>
    <row r="504" spans="1:15" hidden="1" outlineLevel="2" x14ac:dyDescent="0.35">
      <c r="A504" s="425" t="s">
        <v>7971</v>
      </c>
      <c r="B504" s="327">
        <v>44043</v>
      </c>
      <c r="C504" s="426">
        <v>208</v>
      </c>
      <c r="D504" s="427" t="s">
        <v>8688</v>
      </c>
      <c r="E504" s="426" t="s">
        <v>8548</v>
      </c>
      <c r="F504" s="338">
        <v>122305</v>
      </c>
      <c r="G504" s="338" t="s">
        <v>3800</v>
      </c>
      <c r="H504" s="338"/>
      <c r="I504" s="329">
        <v>28.670515626487287</v>
      </c>
      <c r="J504" s="329"/>
      <c r="K504" s="338">
        <v>7.1676289066218217</v>
      </c>
      <c r="L504" s="338">
        <v>7.1676289066218217</v>
      </c>
      <c r="M504" s="338">
        <v>7.1676289066218217</v>
      </c>
      <c r="N504" s="338">
        <v>7.1676289066218217</v>
      </c>
      <c r="O504" s="338"/>
    </row>
    <row r="505" spans="1:15" hidden="1" outlineLevel="2" x14ac:dyDescent="0.35">
      <c r="A505" s="425" t="s">
        <v>7971</v>
      </c>
      <c r="B505" s="327" t="s">
        <v>7990</v>
      </c>
      <c r="C505" s="426" t="s">
        <v>7991</v>
      </c>
      <c r="D505" s="427" t="s">
        <v>8689</v>
      </c>
      <c r="E505" s="426" t="s">
        <v>8545</v>
      </c>
      <c r="F505" s="338">
        <v>122305</v>
      </c>
      <c r="G505" s="338" t="s">
        <v>3800</v>
      </c>
      <c r="H505" s="338"/>
      <c r="I505" s="329">
        <v>29.15790121742058</v>
      </c>
      <c r="J505" s="329"/>
      <c r="K505" s="338">
        <v>7.289475304355145</v>
      </c>
      <c r="L505" s="338">
        <v>7.289475304355145</v>
      </c>
      <c r="M505" s="338">
        <v>7.289475304355145</v>
      </c>
      <c r="N505" s="338">
        <v>7.289475304355145</v>
      </c>
      <c r="O505" s="338"/>
    </row>
    <row r="506" spans="1:15" hidden="1" outlineLevel="2" x14ac:dyDescent="0.35">
      <c r="A506" s="425" t="s">
        <v>7971</v>
      </c>
      <c r="B506" s="327" t="s">
        <v>7990</v>
      </c>
      <c r="C506" s="426" t="s">
        <v>7991</v>
      </c>
      <c r="D506" s="427" t="s">
        <v>8690</v>
      </c>
      <c r="E506" s="426" t="s">
        <v>8144</v>
      </c>
      <c r="F506" s="338">
        <v>122305</v>
      </c>
      <c r="G506" s="338" t="s">
        <v>3800</v>
      </c>
      <c r="H506" s="338"/>
      <c r="I506" s="329">
        <v>29.15790121742058</v>
      </c>
      <c r="J506" s="329"/>
      <c r="K506" s="338">
        <v>7.289475304355145</v>
      </c>
      <c r="L506" s="338">
        <v>7.289475304355145</v>
      </c>
      <c r="M506" s="338">
        <v>7.289475304355145</v>
      </c>
      <c r="N506" s="338">
        <v>7.289475304355145</v>
      </c>
      <c r="O506" s="338"/>
    </row>
    <row r="507" spans="1:15" hidden="1" outlineLevel="2" x14ac:dyDescent="0.35">
      <c r="A507" s="425" t="s">
        <v>7971</v>
      </c>
      <c r="B507" s="327">
        <v>44074</v>
      </c>
      <c r="C507" s="426">
        <v>218</v>
      </c>
      <c r="D507" s="427" t="s">
        <v>8691</v>
      </c>
      <c r="E507" s="426" t="s">
        <v>8545</v>
      </c>
      <c r="F507" s="338">
        <v>122305</v>
      </c>
      <c r="G507" s="338" t="s">
        <v>3800</v>
      </c>
      <c r="H507" s="338"/>
      <c r="I507" s="329">
        <v>28.670515626487287</v>
      </c>
      <c r="J507" s="329"/>
      <c r="K507" s="338">
        <v>7.1676289066218217</v>
      </c>
      <c r="L507" s="338">
        <v>7.1676289066218217</v>
      </c>
      <c r="M507" s="338">
        <v>7.1676289066218217</v>
      </c>
      <c r="N507" s="338">
        <v>7.1676289066218217</v>
      </c>
      <c r="O507" s="338"/>
    </row>
    <row r="508" spans="1:15" hidden="1" outlineLevel="2" x14ac:dyDescent="0.35">
      <c r="A508" s="425" t="s">
        <v>7971</v>
      </c>
      <c r="B508" s="327">
        <v>44074</v>
      </c>
      <c r="C508" s="426">
        <v>220</v>
      </c>
      <c r="D508" s="427" t="s">
        <v>8692</v>
      </c>
      <c r="E508" s="426" t="s">
        <v>8144</v>
      </c>
      <c r="F508" s="338">
        <v>122305</v>
      </c>
      <c r="G508" s="338" t="s">
        <v>3800</v>
      </c>
      <c r="H508" s="338"/>
      <c r="I508" s="329">
        <v>28.670515626487287</v>
      </c>
      <c r="J508" s="329"/>
      <c r="K508" s="338">
        <v>7.1676289066218217</v>
      </c>
      <c r="L508" s="338">
        <v>7.1676289066218217</v>
      </c>
      <c r="M508" s="338">
        <v>7.1676289066218217</v>
      </c>
      <c r="N508" s="338">
        <v>7.1676289066218217</v>
      </c>
      <c r="O508" s="338"/>
    </row>
    <row r="509" spans="1:15" hidden="1" outlineLevel="2" x14ac:dyDescent="0.35">
      <c r="A509" s="425" t="s">
        <v>7971</v>
      </c>
      <c r="B509" s="327">
        <v>44074</v>
      </c>
      <c r="C509" s="426">
        <v>222</v>
      </c>
      <c r="D509" s="427" t="s">
        <v>8693</v>
      </c>
      <c r="E509" s="426" t="s">
        <v>8548</v>
      </c>
      <c r="F509" s="338">
        <v>122305</v>
      </c>
      <c r="G509" s="338" t="s">
        <v>3800</v>
      </c>
      <c r="H509" s="338"/>
      <c r="I509" s="329">
        <v>28.670515626487287</v>
      </c>
      <c r="J509" s="329"/>
      <c r="K509" s="338">
        <v>7.1676289066218217</v>
      </c>
      <c r="L509" s="338">
        <v>7.1676289066218217</v>
      </c>
      <c r="M509" s="338">
        <v>7.1676289066218217</v>
      </c>
      <c r="N509" s="338">
        <v>7.1676289066218217</v>
      </c>
      <c r="O509" s="338"/>
    </row>
    <row r="510" spans="1:15" hidden="1" outlineLevel="2" x14ac:dyDescent="0.35">
      <c r="A510" s="425" t="s">
        <v>7971</v>
      </c>
      <c r="B510" s="327" t="s">
        <v>7984</v>
      </c>
      <c r="C510" s="426" t="s">
        <v>7985</v>
      </c>
      <c r="D510" s="427" t="s">
        <v>8694</v>
      </c>
      <c r="E510" s="426" t="s">
        <v>8545</v>
      </c>
      <c r="F510" s="338">
        <v>122305</v>
      </c>
      <c r="G510" s="338" t="s">
        <v>3800</v>
      </c>
      <c r="H510" s="338"/>
      <c r="I510" s="329">
        <v>29.15790121742058</v>
      </c>
      <c r="J510" s="329"/>
      <c r="K510" s="338">
        <v>7.289475304355145</v>
      </c>
      <c r="L510" s="338">
        <v>7.289475304355145</v>
      </c>
      <c r="M510" s="338">
        <v>7.289475304355145</v>
      </c>
      <c r="N510" s="338">
        <v>7.289475304355145</v>
      </c>
      <c r="O510" s="338"/>
    </row>
    <row r="511" spans="1:15" hidden="1" outlineLevel="2" x14ac:dyDescent="0.35">
      <c r="A511" s="425" t="s">
        <v>7971</v>
      </c>
      <c r="B511" s="327" t="s">
        <v>7984</v>
      </c>
      <c r="C511" s="426" t="s">
        <v>7985</v>
      </c>
      <c r="D511" s="427" t="s">
        <v>8695</v>
      </c>
      <c r="E511" s="426" t="s">
        <v>8144</v>
      </c>
      <c r="F511" s="338">
        <v>122305</v>
      </c>
      <c r="G511" s="338" t="s">
        <v>3800</v>
      </c>
      <c r="H511" s="338"/>
      <c r="I511" s="329">
        <v>29.15790121742058</v>
      </c>
      <c r="J511" s="329"/>
      <c r="K511" s="338">
        <v>7.289475304355145</v>
      </c>
      <c r="L511" s="338">
        <v>7.289475304355145</v>
      </c>
      <c r="M511" s="338">
        <v>7.289475304355145</v>
      </c>
      <c r="N511" s="338">
        <v>7.289475304355145</v>
      </c>
      <c r="O511" s="338"/>
    </row>
    <row r="512" spans="1:15" hidden="1" outlineLevel="2" x14ac:dyDescent="0.35">
      <c r="A512" s="425" t="s">
        <v>7971</v>
      </c>
      <c r="B512" s="327">
        <v>44104</v>
      </c>
      <c r="C512" s="426">
        <v>228</v>
      </c>
      <c r="D512" s="427" t="s">
        <v>8696</v>
      </c>
      <c r="E512" s="426" t="s">
        <v>8545</v>
      </c>
      <c r="F512" s="338">
        <v>122305</v>
      </c>
      <c r="G512" s="338" t="s">
        <v>3800</v>
      </c>
      <c r="H512" s="338"/>
      <c r="I512" s="329">
        <v>28.670515626487287</v>
      </c>
      <c r="J512" s="329"/>
      <c r="K512" s="338">
        <v>7.1676289066218217</v>
      </c>
      <c r="L512" s="338">
        <v>7.1676289066218217</v>
      </c>
      <c r="M512" s="338">
        <v>7.1676289066218217</v>
      </c>
      <c r="N512" s="338">
        <v>7.1676289066218217</v>
      </c>
      <c r="O512" s="338"/>
    </row>
    <row r="513" spans="1:15" hidden="1" outlineLevel="2" x14ac:dyDescent="0.35">
      <c r="A513" s="425" t="s">
        <v>7971</v>
      </c>
      <c r="B513" s="327">
        <v>44104</v>
      </c>
      <c r="C513" s="426">
        <v>230</v>
      </c>
      <c r="D513" s="427" t="s">
        <v>8697</v>
      </c>
      <c r="E513" s="426" t="s">
        <v>8144</v>
      </c>
      <c r="F513" s="338">
        <v>122305</v>
      </c>
      <c r="G513" s="338" t="s">
        <v>3800</v>
      </c>
      <c r="H513" s="338"/>
      <c r="I513" s="329">
        <v>28.670515626487287</v>
      </c>
      <c r="J513" s="329"/>
      <c r="K513" s="338">
        <v>7.1676289066218217</v>
      </c>
      <c r="L513" s="338">
        <v>7.1676289066218217</v>
      </c>
      <c r="M513" s="338">
        <v>7.1676289066218217</v>
      </c>
      <c r="N513" s="338">
        <v>7.1676289066218217</v>
      </c>
      <c r="O513" s="338"/>
    </row>
    <row r="514" spans="1:15" hidden="1" outlineLevel="2" x14ac:dyDescent="0.35">
      <c r="A514" s="425" t="s">
        <v>7971</v>
      </c>
      <c r="B514" s="327">
        <v>44104</v>
      </c>
      <c r="C514" s="426">
        <v>232</v>
      </c>
      <c r="D514" s="427" t="s">
        <v>8698</v>
      </c>
      <c r="E514" s="426" t="s">
        <v>8548</v>
      </c>
      <c r="F514" s="338">
        <v>122305</v>
      </c>
      <c r="G514" s="338" t="s">
        <v>3800</v>
      </c>
      <c r="H514" s="338"/>
      <c r="I514" s="329">
        <v>28.670515626487287</v>
      </c>
      <c r="J514" s="329"/>
      <c r="K514" s="338">
        <v>7.1676289066218217</v>
      </c>
      <c r="L514" s="338">
        <v>7.1676289066218217</v>
      </c>
      <c r="M514" s="338">
        <v>7.1676289066218217</v>
      </c>
      <c r="N514" s="338">
        <v>7.1676289066218217</v>
      </c>
      <c r="O514" s="338"/>
    </row>
    <row r="515" spans="1:15" hidden="1" outlineLevel="2" x14ac:dyDescent="0.35">
      <c r="A515" s="425" t="s">
        <v>7971</v>
      </c>
      <c r="B515" s="327" t="s">
        <v>8005</v>
      </c>
      <c r="C515" s="426" t="s">
        <v>8006</v>
      </c>
      <c r="D515" s="427" t="s">
        <v>8699</v>
      </c>
      <c r="E515" s="426" t="s">
        <v>8545</v>
      </c>
      <c r="F515" s="338">
        <v>122305</v>
      </c>
      <c r="G515" s="338" t="s">
        <v>3800</v>
      </c>
      <c r="H515" s="338"/>
      <c r="I515" s="329">
        <v>29.15790121742058</v>
      </c>
      <c r="J515" s="329"/>
      <c r="K515" s="338">
        <v>7.289475304355145</v>
      </c>
      <c r="L515" s="338">
        <v>7.289475304355145</v>
      </c>
      <c r="M515" s="338">
        <v>7.289475304355145</v>
      </c>
      <c r="N515" s="338">
        <v>7.289475304355145</v>
      </c>
      <c r="O515" s="338"/>
    </row>
    <row r="516" spans="1:15" hidden="1" outlineLevel="2" x14ac:dyDescent="0.35">
      <c r="A516" s="425" t="s">
        <v>7971</v>
      </c>
      <c r="B516" s="327" t="s">
        <v>8005</v>
      </c>
      <c r="C516" s="426" t="s">
        <v>8006</v>
      </c>
      <c r="D516" s="427" t="s">
        <v>8700</v>
      </c>
      <c r="E516" s="426" t="s">
        <v>8144</v>
      </c>
      <c r="F516" s="338">
        <v>122305</v>
      </c>
      <c r="G516" s="338" t="s">
        <v>3800</v>
      </c>
      <c r="H516" s="338"/>
      <c r="I516" s="329">
        <v>29.15790121742058</v>
      </c>
      <c r="J516" s="329"/>
      <c r="K516" s="338">
        <v>7.289475304355145</v>
      </c>
      <c r="L516" s="338">
        <v>7.289475304355145</v>
      </c>
      <c r="M516" s="338">
        <v>7.289475304355145</v>
      </c>
      <c r="N516" s="338">
        <v>7.289475304355145</v>
      </c>
      <c r="O516" s="338"/>
    </row>
    <row r="517" spans="1:15" hidden="1" outlineLevel="2" x14ac:dyDescent="0.35">
      <c r="A517" s="425" t="s">
        <v>7971</v>
      </c>
      <c r="B517" s="327">
        <v>44047</v>
      </c>
      <c r="C517" s="426">
        <v>213</v>
      </c>
      <c r="D517" s="427" t="s">
        <v>8701</v>
      </c>
      <c r="E517" s="426" t="s">
        <v>8702</v>
      </c>
      <c r="F517" s="338">
        <v>9600000</v>
      </c>
      <c r="G517" s="338" t="s">
        <v>3800</v>
      </c>
      <c r="H517" s="338"/>
      <c r="I517" s="329">
        <v>2250.4145375436651</v>
      </c>
      <c r="J517" s="329"/>
      <c r="K517" s="338">
        <v>562.60363438591628</v>
      </c>
      <c r="L517" s="338">
        <v>562.60363438591628</v>
      </c>
      <c r="M517" s="338">
        <v>562.60363438591628</v>
      </c>
      <c r="N517" s="338">
        <v>562.60363438591628</v>
      </c>
      <c r="O517" s="338"/>
    </row>
    <row r="518" spans="1:15" hidden="1" outlineLevel="2" x14ac:dyDescent="0.35">
      <c r="A518" s="425" t="s">
        <v>7971</v>
      </c>
      <c r="B518" s="327">
        <v>43944</v>
      </c>
      <c r="C518" s="426">
        <v>184</v>
      </c>
      <c r="D518" s="427" t="s">
        <v>8703</v>
      </c>
      <c r="E518" s="426" t="s">
        <v>8294</v>
      </c>
      <c r="F518" s="338">
        <v>3046728</v>
      </c>
      <c r="G518" s="338" t="s">
        <v>3800</v>
      </c>
      <c r="H518" s="338"/>
      <c r="I518" s="329">
        <v>714.20843574388914</v>
      </c>
      <c r="J518" s="329"/>
      <c r="K518" s="338">
        <v>178.55210893597229</v>
      </c>
      <c r="L518" s="338">
        <v>178.55210893597229</v>
      </c>
      <c r="M518" s="338">
        <v>178.55210893597229</v>
      </c>
      <c r="N518" s="338">
        <v>178.55210893597229</v>
      </c>
      <c r="O518" s="338"/>
    </row>
    <row r="519" spans="1:15" hidden="1" outlineLevel="2" x14ac:dyDescent="0.35">
      <c r="A519" s="425" t="s">
        <v>7971</v>
      </c>
      <c r="B519" s="327">
        <v>44135</v>
      </c>
      <c r="C519" s="426">
        <v>237</v>
      </c>
      <c r="D519" s="427" t="s">
        <v>8704</v>
      </c>
      <c r="E519" s="426" t="s">
        <v>8705</v>
      </c>
      <c r="F519" s="338">
        <v>457683</v>
      </c>
      <c r="G519" s="338" t="s">
        <v>3800</v>
      </c>
      <c r="H519" s="338"/>
      <c r="I519" s="329">
        <v>107.28921633193721</v>
      </c>
      <c r="J519" s="329"/>
      <c r="K519" s="338">
        <v>26.822304082984303</v>
      </c>
      <c r="L519" s="338">
        <v>26.822304082984303</v>
      </c>
      <c r="M519" s="338">
        <v>26.822304082984303</v>
      </c>
      <c r="N519" s="338">
        <v>26.822304082984303</v>
      </c>
      <c r="O519" s="338"/>
    </row>
    <row r="520" spans="1:15" hidden="1" outlineLevel="2" x14ac:dyDescent="0.35">
      <c r="A520" s="425" t="s">
        <v>7971</v>
      </c>
      <c r="B520" s="327">
        <v>44135</v>
      </c>
      <c r="C520" s="426">
        <v>236</v>
      </c>
      <c r="D520" s="427" t="s">
        <v>8706</v>
      </c>
      <c r="E520" s="426" t="s">
        <v>8545</v>
      </c>
      <c r="F520" s="338">
        <v>407683</v>
      </c>
      <c r="G520" s="338" t="s">
        <v>3800</v>
      </c>
      <c r="H520" s="338"/>
      <c r="I520" s="329">
        <v>95.56830728223062</v>
      </c>
      <c r="J520" s="329"/>
      <c r="K520" s="338">
        <v>23.892076820557655</v>
      </c>
      <c r="L520" s="338">
        <v>23.892076820557655</v>
      </c>
      <c r="M520" s="338">
        <v>23.892076820557655</v>
      </c>
      <c r="N520" s="338">
        <v>23.892076820557655</v>
      </c>
      <c r="O520" s="338"/>
    </row>
    <row r="521" spans="1:15" hidden="1" outlineLevel="2" x14ac:dyDescent="0.35">
      <c r="A521" s="425" t="s">
        <v>7971</v>
      </c>
      <c r="B521" s="327">
        <v>44135</v>
      </c>
      <c r="C521" s="426">
        <v>236</v>
      </c>
      <c r="D521" s="427" t="s">
        <v>8707</v>
      </c>
      <c r="E521" s="426" t="s">
        <v>8144</v>
      </c>
      <c r="F521" s="338">
        <v>407683</v>
      </c>
      <c r="G521" s="338" t="s">
        <v>3800</v>
      </c>
      <c r="H521" s="338"/>
      <c r="I521" s="329">
        <v>95.56830728223062</v>
      </c>
      <c r="J521" s="329"/>
      <c r="K521" s="338">
        <v>23.892076820557655</v>
      </c>
      <c r="L521" s="338">
        <v>23.892076820557655</v>
      </c>
      <c r="M521" s="338">
        <v>23.892076820557655</v>
      </c>
      <c r="N521" s="338">
        <v>23.892076820557655</v>
      </c>
      <c r="O521" s="338"/>
    </row>
    <row r="522" spans="1:15" hidden="1" outlineLevel="2" x14ac:dyDescent="0.35">
      <c r="A522" s="425" t="s">
        <v>7971</v>
      </c>
      <c r="B522" s="327">
        <v>44135</v>
      </c>
      <c r="C522" s="426">
        <v>238</v>
      </c>
      <c r="D522" s="427" t="s">
        <v>8708</v>
      </c>
      <c r="E522" s="426" t="s">
        <v>8548</v>
      </c>
      <c r="F522" s="338">
        <v>407683</v>
      </c>
      <c r="G522" s="338" t="s">
        <v>3800</v>
      </c>
      <c r="H522" s="338"/>
      <c r="I522" s="329">
        <v>95.56830728223062</v>
      </c>
      <c r="J522" s="329"/>
      <c r="K522" s="338">
        <v>23.892076820557655</v>
      </c>
      <c r="L522" s="338">
        <v>23.892076820557655</v>
      </c>
      <c r="M522" s="338">
        <v>23.892076820557655</v>
      </c>
      <c r="N522" s="338">
        <v>23.892076820557655</v>
      </c>
      <c r="O522" s="338"/>
    </row>
    <row r="523" spans="1:15" hidden="1" outlineLevel="2" x14ac:dyDescent="0.35">
      <c r="A523" s="425" t="s">
        <v>7971</v>
      </c>
      <c r="B523" s="327" t="s">
        <v>8002</v>
      </c>
      <c r="C523" s="426" t="s">
        <v>8003</v>
      </c>
      <c r="D523" s="427" t="s">
        <v>8709</v>
      </c>
      <c r="E523" s="426" t="s">
        <v>8545</v>
      </c>
      <c r="F523" s="338">
        <v>407683</v>
      </c>
      <c r="G523" s="338" t="s">
        <v>3800</v>
      </c>
      <c r="H523" s="338"/>
      <c r="I523" s="329">
        <v>97.19292459034115</v>
      </c>
      <c r="J523" s="329"/>
      <c r="K523" s="338">
        <v>24.298231147585287</v>
      </c>
      <c r="L523" s="338">
        <v>24.298231147585287</v>
      </c>
      <c r="M523" s="338">
        <v>24.298231147585287</v>
      </c>
      <c r="N523" s="338">
        <v>24.298231147585287</v>
      </c>
      <c r="O523" s="338"/>
    </row>
    <row r="524" spans="1:15" hidden="1" outlineLevel="2" x14ac:dyDescent="0.35">
      <c r="A524" s="425" t="s">
        <v>7971</v>
      </c>
      <c r="B524" s="327" t="s">
        <v>7999</v>
      </c>
      <c r="C524" s="426" t="s">
        <v>8000</v>
      </c>
      <c r="D524" s="427" t="s">
        <v>8709</v>
      </c>
      <c r="E524" s="426" t="s">
        <v>8545</v>
      </c>
      <c r="F524" s="338">
        <v>407683</v>
      </c>
      <c r="G524" s="338" t="s">
        <v>3800</v>
      </c>
      <c r="H524" s="338"/>
      <c r="I524" s="329">
        <v>97.19292459034115</v>
      </c>
      <c r="J524" s="329"/>
      <c r="K524" s="338">
        <v>24.298231147585287</v>
      </c>
      <c r="L524" s="338">
        <v>24.298231147585287</v>
      </c>
      <c r="M524" s="338">
        <v>24.298231147585287</v>
      </c>
      <c r="N524" s="338">
        <v>24.298231147585287</v>
      </c>
      <c r="O524" s="338"/>
    </row>
    <row r="525" spans="1:15" hidden="1" outlineLevel="2" x14ac:dyDescent="0.35">
      <c r="A525" s="425" t="s">
        <v>7971</v>
      </c>
      <c r="B525" s="327" t="s">
        <v>8002</v>
      </c>
      <c r="C525" s="426" t="s">
        <v>8003</v>
      </c>
      <c r="D525" s="427" t="s">
        <v>8710</v>
      </c>
      <c r="E525" s="426" t="s">
        <v>8144</v>
      </c>
      <c r="F525" s="338">
        <v>407683</v>
      </c>
      <c r="G525" s="338" t="s">
        <v>3800</v>
      </c>
      <c r="H525" s="338"/>
      <c r="I525" s="329">
        <v>97.19292459034115</v>
      </c>
      <c r="J525" s="329"/>
      <c r="K525" s="338">
        <v>24.298231147585287</v>
      </c>
      <c r="L525" s="338">
        <v>24.298231147585287</v>
      </c>
      <c r="M525" s="338">
        <v>24.298231147585287</v>
      </c>
      <c r="N525" s="338">
        <v>24.298231147585287</v>
      </c>
      <c r="O525" s="338"/>
    </row>
    <row r="526" spans="1:15" hidden="1" outlineLevel="2" x14ac:dyDescent="0.35">
      <c r="A526" s="425" t="s">
        <v>7971</v>
      </c>
      <c r="B526" s="327" t="s">
        <v>7999</v>
      </c>
      <c r="C526" s="426" t="s">
        <v>8000</v>
      </c>
      <c r="D526" s="427" t="s">
        <v>8710</v>
      </c>
      <c r="E526" s="426" t="s">
        <v>8144</v>
      </c>
      <c r="F526" s="338">
        <v>407683</v>
      </c>
      <c r="G526" s="338" t="s">
        <v>3800</v>
      </c>
      <c r="H526" s="338"/>
      <c r="I526" s="329">
        <v>97.19292459034115</v>
      </c>
      <c r="J526" s="329"/>
      <c r="K526" s="338">
        <v>24.298231147585287</v>
      </c>
      <c r="L526" s="338">
        <v>24.298231147585287</v>
      </c>
      <c r="M526" s="338">
        <v>24.298231147585287</v>
      </c>
      <c r="N526" s="338">
        <v>24.298231147585287</v>
      </c>
      <c r="O526" s="338"/>
    </row>
    <row r="527" spans="1:15" hidden="1" outlineLevel="2" x14ac:dyDescent="0.35">
      <c r="A527" s="425" t="s">
        <v>7971</v>
      </c>
      <c r="B527" s="327">
        <v>43799</v>
      </c>
      <c r="C527" s="426">
        <v>153</v>
      </c>
      <c r="D527" s="427" t="s">
        <v>8711</v>
      </c>
      <c r="E527" s="426" t="s">
        <v>8552</v>
      </c>
      <c r="F527" s="338">
        <v>407683</v>
      </c>
      <c r="G527" s="338" t="s">
        <v>3800</v>
      </c>
      <c r="H527" s="338"/>
      <c r="I527" s="329">
        <v>95.56830728223062</v>
      </c>
      <c r="J527" s="329"/>
      <c r="K527" s="338">
        <v>23.892076820557655</v>
      </c>
      <c r="L527" s="338">
        <v>23.892076820557655</v>
      </c>
      <c r="M527" s="338">
        <v>23.892076820557655</v>
      </c>
      <c r="N527" s="338">
        <v>23.892076820557655</v>
      </c>
      <c r="O527" s="338"/>
    </row>
    <row r="528" spans="1:15" hidden="1" outlineLevel="2" x14ac:dyDescent="0.35">
      <c r="A528" s="425" t="s">
        <v>7971</v>
      </c>
      <c r="B528" s="327">
        <v>43799</v>
      </c>
      <c r="C528" s="426">
        <v>154</v>
      </c>
      <c r="D528" s="427" t="s">
        <v>8712</v>
      </c>
      <c r="E528" s="426" t="s">
        <v>8554</v>
      </c>
      <c r="F528" s="338">
        <v>407683</v>
      </c>
      <c r="G528" s="338" t="s">
        <v>3800</v>
      </c>
      <c r="H528" s="338"/>
      <c r="I528" s="329">
        <v>95.56830728223062</v>
      </c>
      <c r="J528" s="329"/>
      <c r="K528" s="338">
        <v>23.892076820557655</v>
      </c>
      <c r="L528" s="338">
        <v>23.892076820557655</v>
      </c>
      <c r="M528" s="338">
        <v>23.892076820557655</v>
      </c>
      <c r="N528" s="338">
        <v>23.892076820557655</v>
      </c>
      <c r="O528" s="338"/>
    </row>
    <row r="529" spans="1:15" hidden="1" outlineLevel="2" x14ac:dyDescent="0.35">
      <c r="A529" s="425" t="s">
        <v>7971</v>
      </c>
      <c r="B529" s="327">
        <v>43799</v>
      </c>
      <c r="C529" s="426">
        <v>156</v>
      </c>
      <c r="D529" s="427" t="s">
        <v>8713</v>
      </c>
      <c r="E529" s="426" t="s">
        <v>8556</v>
      </c>
      <c r="F529" s="338">
        <v>407683</v>
      </c>
      <c r="G529" s="338" t="s">
        <v>3800</v>
      </c>
      <c r="H529" s="338"/>
      <c r="I529" s="329">
        <v>95.56830728223062</v>
      </c>
      <c r="J529" s="329"/>
      <c r="K529" s="338">
        <v>23.892076820557655</v>
      </c>
      <c r="L529" s="338">
        <v>23.892076820557655</v>
      </c>
      <c r="M529" s="338">
        <v>23.892076820557655</v>
      </c>
      <c r="N529" s="338">
        <v>23.892076820557655</v>
      </c>
      <c r="O529" s="338"/>
    </row>
    <row r="530" spans="1:15" hidden="1" outlineLevel="2" x14ac:dyDescent="0.35">
      <c r="A530" s="425" t="s">
        <v>7971</v>
      </c>
      <c r="B530" s="327">
        <v>44165</v>
      </c>
      <c r="C530" s="426">
        <v>245</v>
      </c>
      <c r="D530" s="427" t="s">
        <v>8714</v>
      </c>
      <c r="E530" s="426" t="s">
        <v>8705</v>
      </c>
      <c r="F530" s="338">
        <v>457683</v>
      </c>
      <c r="G530" s="338" t="s">
        <v>3800</v>
      </c>
      <c r="H530" s="338"/>
      <c r="I530" s="329">
        <v>107.28921633193721</v>
      </c>
      <c r="J530" s="329"/>
      <c r="K530" s="338">
        <v>26.822304082984303</v>
      </c>
      <c r="L530" s="338">
        <v>26.822304082984303</v>
      </c>
      <c r="M530" s="338">
        <v>26.822304082984303</v>
      </c>
      <c r="N530" s="338">
        <v>26.822304082984303</v>
      </c>
      <c r="O530" s="338"/>
    </row>
    <row r="531" spans="1:15" hidden="1" outlineLevel="2" x14ac:dyDescent="0.35">
      <c r="A531" s="425" t="s">
        <v>7971</v>
      </c>
      <c r="B531" s="327">
        <v>44165</v>
      </c>
      <c r="C531" s="426">
        <v>242</v>
      </c>
      <c r="D531" s="427" t="s">
        <v>8715</v>
      </c>
      <c r="E531" s="426" t="s">
        <v>8545</v>
      </c>
      <c r="F531" s="338">
        <v>407683</v>
      </c>
      <c r="G531" s="338" t="s">
        <v>3800</v>
      </c>
      <c r="H531" s="338"/>
      <c r="I531" s="329">
        <v>95.56830728223062</v>
      </c>
      <c r="J531" s="329"/>
      <c r="K531" s="338">
        <v>23.892076820557655</v>
      </c>
      <c r="L531" s="338">
        <v>23.892076820557655</v>
      </c>
      <c r="M531" s="338">
        <v>23.892076820557655</v>
      </c>
      <c r="N531" s="338">
        <v>23.892076820557655</v>
      </c>
      <c r="O531" s="338"/>
    </row>
    <row r="532" spans="1:15" hidden="1" outlineLevel="2" x14ac:dyDescent="0.35">
      <c r="A532" s="425" t="s">
        <v>7971</v>
      </c>
      <c r="B532" s="327">
        <v>44165</v>
      </c>
      <c r="C532" s="426">
        <v>244</v>
      </c>
      <c r="D532" s="427" t="s">
        <v>8716</v>
      </c>
      <c r="E532" s="426" t="s">
        <v>8144</v>
      </c>
      <c r="F532" s="338">
        <v>407683</v>
      </c>
      <c r="G532" s="338" t="s">
        <v>3800</v>
      </c>
      <c r="H532" s="338"/>
      <c r="I532" s="329">
        <v>95.56830728223062</v>
      </c>
      <c r="J532" s="329"/>
      <c r="K532" s="338">
        <v>23.892076820557655</v>
      </c>
      <c r="L532" s="338">
        <v>23.892076820557655</v>
      </c>
      <c r="M532" s="338">
        <v>23.892076820557655</v>
      </c>
      <c r="N532" s="338">
        <v>23.892076820557655</v>
      </c>
      <c r="O532" s="338"/>
    </row>
    <row r="533" spans="1:15" hidden="1" outlineLevel="2" x14ac:dyDescent="0.35">
      <c r="A533" s="425" t="s">
        <v>7971</v>
      </c>
      <c r="B533" s="327">
        <v>44165</v>
      </c>
      <c r="C533" s="426">
        <v>246</v>
      </c>
      <c r="D533" s="427" t="s">
        <v>8717</v>
      </c>
      <c r="E533" s="426" t="s">
        <v>8548</v>
      </c>
      <c r="F533" s="338">
        <v>407683</v>
      </c>
      <c r="G533" s="338" t="s">
        <v>3800</v>
      </c>
      <c r="H533" s="338"/>
      <c r="I533" s="329">
        <v>95.56830728223062</v>
      </c>
      <c r="J533" s="329"/>
      <c r="K533" s="338">
        <v>23.892076820557655</v>
      </c>
      <c r="L533" s="338">
        <v>23.892076820557655</v>
      </c>
      <c r="M533" s="338">
        <v>23.892076820557655</v>
      </c>
      <c r="N533" s="338">
        <v>23.892076820557655</v>
      </c>
      <c r="O533" s="338"/>
    </row>
    <row r="534" spans="1:15" hidden="1" outlineLevel="2" x14ac:dyDescent="0.35">
      <c r="A534" s="425" t="s">
        <v>7971</v>
      </c>
      <c r="B534" s="327">
        <v>43861</v>
      </c>
      <c r="C534" s="426">
        <v>162</v>
      </c>
      <c r="D534" s="427" t="s">
        <v>8718</v>
      </c>
      <c r="E534" s="426" t="s">
        <v>8545</v>
      </c>
      <c r="F534" s="338">
        <v>407683</v>
      </c>
      <c r="G534" s="338" t="s">
        <v>3800</v>
      </c>
      <c r="H534" s="338"/>
      <c r="I534" s="329">
        <v>95.56830728223062</v>
      </c>
      <c r="J534" s="329"/>
      <c r="K534" s="338">
        <v>23.892076820557655</v>
      </c>
      <c r="L534" s="338">
        <v>23.892076820557655</v>
      </c>
      <c r="M534" s="338">
        <v>23.892076820557655</v>
      </c>
      <c r="N534" s="338">
        <v>23.892076820557655</v>
      </c>
      <c r="O534" s="338"/>
    </row>
    <row r="535" spans="1:15" hidden="1" outlineLevel="2" x14ac:dyDescent="0.35">
      <c r="A535" s="425" t="s">
        <v>7971</v>
      </c>
      <c r="B535" s="327">
        <v>43861</v>
      </c>
      <c r="C535" s="426">
        <v>164</v>
      </c>
      <c r="D535" s="427" t="s">
        <v>8719</v>
      </c>
      <c r="E535" s="426" t="s">
        <v>8562</v>
      </c>
      <c r="F535" s="338">
        <v>407683</v>
      </c>
      <c r="G535" s="338" t="s">
        <v>3800</v>
      </c>
      <c r="H535" s="338"/>
      <c r="I535" s="329">
        <v>95.56830728223062</v>
      </c>
      <c r="J535" s="329"/>
      <c r="K535" s="338">
        <v>23.892076820557655</v>
      </c>
      <c r="L535" s="338">
        <v>23.892076820557655</v>
      </c>
      <c r="M535" s="338">
        <v>23.892076820557655</v>
      </c>
      <c r="N535" s="338">
        <v>23.892076820557655</v>
      </c>
      <c r="O535" s="338"/>
    </row>
    <row r="536" spans="1:15" hidden="1" outlineLevel="2" x14ac:dyDescent="0.35">
      <c r="A536" s="425" t="s">
        <v>7971</v>
      </c>
      <c r="B536" s="327">
        <v>43861</v>
      </c>
      <c r="C536" s="426">
        <v>166</v>
      </c>
      <c r="D536" s="427" t="s">
        <v>8720</v>
      </c>
      <c r="E536" s="426" t="s">
        <v>8548</v>
      </c>
      <c r="F536" s="338">
        <v>407683</v>
      </c>
      <c r="G536" s="338" t="s">
        <v>3800</v>
      </c>
      <c r="H536" s="338"/>
      <c r="I536" s="329">
        <v>95.56830728223062</v>
      </c>
      <c r="J536" s="329"/>
      <c r="K536" s="338">
        <v>23.892076820557655</v>
      </c>
      <c r="L536" s="338">
        <v>23.892076820557655</v>
      </c>
      <c r="M536" s="338">
        <v>23.892076820557655</v>
      </c>
      <c r="N536" s="338">
        <v>23.892076820557655</v>
      </c>
      <c r="O536" s="338"/>
    </row>
    <row r="537" spans="1:15" hidden="1" outlineLevel="2" x14ac:dyDescent="0.35">
      <c r="A537" s="425" t="s">
        <v>7971</v>
      </c>
      <c r="B537" s="327" t="s">
        <v>8077</v>
      </c>
      <c r="C537" s="426" t="s">
        <v>8564</v>
      </c>
      <c r="D537" s="427" t="s">
        <v>8721</v>
      </c>
      <c r="E537" s="426" t="s">
        <v>8545</v>
      </c>
      <c r="F537" s="338">
        <v>407683</v>
      </c>
      <c r="G537" s="338" t="s">
        <v>3800</v>
      </c>
      <c r="H537" s="338"/>
      <c r="I537" s="329">
        <v>97.19292459034115</v>
      </c>
      <c r="J537" s="329"/>
      <c r="K537" s="338">
        <v>24.298231147585287</v>
      </c>
      <c r="L537" s="338">
        <v>24.298231147585287</v>
      </c>
      <c r="M537" s="338">
        <v>24.298231147585287</v>
      </c>
      <c r="N537" s="338">
        <v>24.298231147585287</v>
      </c>
      <c r="O537" s="338"/>
    </row>
    <row r="538" spans="1:15" hidden="1" outlineLevel="2" x14ac:dyDescent="0.35">
      <c r="A538" s="425" t="s">
        <v>7971</v>
      </c>
      <c r="B538" s="327" t="s">
        <v>8077</v>
      </c>
      <c r="C538" s="426" t="s">
        <v>8566</v>
      </c>
      <c r="D538" s="427" t="s">
        <v>8722</v>
      </c>
      <c r="E538" s="426" t="s">
        <v>8144</v>
      </c>
      <c r="F538" s="338">
        <v>407683</v>
      </c>
      <c r="G538" s="338" t="s">
        <v>3800</v>
      </c>
      <c r="H538" s="338"/>
      <c r="I538" s="329">
        <v>97.19292459034115</v>
      </c>
      <c r="J538" s="329"/>
      <c r="K538" s="338">
        <v>24.298231147585287</v>
      </c>
      <c r="L538" s="338">
        <v>24.298231147585287</v>
      </c>
      <c r="M538" s="338">
        <v>24.298231147585287</v>
      </c>
      <c r="N538" s="338">
        <v>24.298231147585287</v>
      </c>
      <c r="O538" s="338"/>
    </row>
    <row r="539" spans="1:15" hidden="1" outlineLevel="2" x14ac:dyDescent="0.35">
      <c r="A539" s="425" t="s">
        <v>7971</v>
      </c>
      <c r="B539" s="327" t="s">
        <v>8077</v>
      </c>
      <c r="C539" s="426" t="s">
        <v>8568</v>
      </c>
      <c r="D539" s="427" t="s">
        <v>8723</v>
      </c>
      <c r="E539" s="426" t="s">
        <v>8548</v>
      </c>
      <c r="F539" s="338">
        <v>407683</v>
      </c>
      <c r="G539" s="338" t="s">
        <v>3800</v>
      </c>
      <c r="H539" s="338"/>
      <c r="I539" s="329">
        <v>97.19292459034115</v>
      </c>
      <c r="J539" s="329"/>
      <c r="K539" s="338">
        <v>24.298231147585287</v>
      </c>
      <c r="L539" s="338">
        <v>24.298231147585287</v>
      </c>
      <c r="M539" s="338">
        <v>24.298231147585287</v>
      </c>
      <c r="N539" s="338">
        <v>24.298231147585287</v>
      </c>
      <c r="O539" s="338"/>
    </row>
    <row r="540" spans="1:15" hidden="1" outlineLevel="2" x14ac:dyDescent="0.35">
      <c r="A540" s="425" t="s">
        <v>7971</v>
      </c>
      <c r="B540" s="327" t="s">
        <v>8079</v>
      </c>
      <c r="C540" s="426" t="s">
        <v>8327</v>
      </c>
      <c r="D540" s="427" t="s">
        <v>8724</v>
      </c>
      <c r="E540" s="426" t="s">
        <v>8545</v>
      </c>
      <c r="F540" s="338">
        <v>407683</v>
      </c>
      <c r="G540" s="338" t="s">
        <v>3800</v>
      </c>
      <c r="H540" s="338"/>
      <c r="I540" s="329">
        <v>97.19292459034115</v>
      </c>
      <c r="J540" s="329"/>
      <c r="K540" s="338">
        <v>24.298231147585287</v>
      </c>
      <c r="L540" s="338">
        <v>24.298231147585287</v>
      </c>
      <c r="M540" s="338">
        <v>24.298231147585287</v>
      </c>
      <c r="N540" s="338">
        <v>24.298231147585287</v>
      </c>
      <c r="O540" s="338"/>
    </row>
    <row r="541" spans="1:15" hidden="1" outlineLevel="2" x14ac:dyDescent="0.35">
      <c r="A541" s="425" t="s">
        <v>7971</v>
      </c>
      <c r="B541" s="327" t="s">
        <v>8079</v>
      </c>
      <c r="C541" s="426" t="s">
        <v>8327</v>
      </c>
      <c r="D541" s="427" t="s">
        <v>8725</v>
      </c>
      <c r="E541" s="426" t="s">
        <v>8144</v>
      </c>
      <c r="F541" s="338">
        <v>407683</v>
      </c>
      <c r="G541" s="338" t="s">
        <v>3800</v>
      </c>
      <c r="H541" s="338"/>
      <c r="I541" s="329">
        <v>97.19292459034115</v>
      </c>
      <c r="J541" s="329"/>
      <c r="K541" s="338">
        <v>24.298231147585287</v>
      </c>
      <c r="L541" s="338">
        <v>24.298231147585287</v>
      </c>
      <c r="M541" s="338">
        <v>24.298231147585287</v>
      </c>
      <c r="N541" s="338">
        <v>24.298231147585287</v>
      </c>
      <c r="O541" s="338"/>
    </row>
    <row r="542" spans="1:15" hidden="1" outlineLevel="2" x14ac:dyDescent="0.35">
      <c r="A542" s="425" t="s">
        <v>7971</v>
      </c>
      <c r="B542" s="327">
        <v>43830</v>
      </c>
      <c r="C542" s="426">
        <v>157</v>
      </c>
      <c r="D542" s="427" t="s">
        <v>8726</v>
      </c>
      <c r="E542" s="426" t="s">
        <v>8552</v>
      </c>
      <c r="F542" s="338">
        <v>407683</v>
      </c>
      <c r="G542" s="338" t="s">
        <v>3800</v>
      </c>
      <c r="H542" s="338"/>
      <c r="I542" s="329">
        <v>95.56830728223062</v>
      </c>
      <c r="J542" s="329"/>
      <c r="K542" s="338">
        <v>23.892076820557655</v>
      </c>
      <c r="L542" s="338">
        <v>23.892076820557655</v>
      </c>
      <c r="M542" s="338">
        <v>23.892076820557655</v>
      </c>
      <c r="N542" s="338">
        <v>23.892076820557655</v>
      </c>
      <c r="O542" s="338"/>
    </row>
    <row r="543" spans="1:15" hidden="1" outlineLevel="2" x14ac:dyDescent="0.35">
      <c r="A543" s="425" t="s">
        <v>7971</v>
      </c>
      <c r="B543" s="327">
        <v>43830</v>
      </c>
      <c r="C543" s="426">
        <v>158</v>
      </c>
      <c r="D543" s="427" t="s">
        <v>8727</v>
      </c>
      <c r="E543" s="426" t="s">
        <v>8554</v>
      </c>
      <c r="F543" s="338">
        <v>407683</v>
      </c>
      <c r="G543" s="338" t="s">
        <v>3800</v>
      </c>
      <c r="H543" s="338"/>
      <c r="I543" s="329">
        <v>95.56830728223062</v>
      </c>
      <c r="J543" s="329"/>
      <c r="K543" s="338">
        <v>23.892076820557655</v>
      </c>
      <c r="L543" s="338">
        <v>23.892076820557655</v>
      </c>
      <c r="M543" s="338">
        <v>23.892076820557655</v>
      </c>
      <c r="N543" s="338">
        <v>23.892076820557655</v>
      </c>
      <c r="O543" s="338"/>
    </row>
    <row r="544" spans="1:15" hidden="1" outlineLevel="2" x14ac:dyDescent="0.35">
      <c r="A544" s="425" t="s">
        <v>7971</v>
      </c>
      <c r="B544" s="327">
        <v>43830</v>
      </c>
      <c r="C544" s="426">
        <v>160</v>
      </c>
      <c r="D544" s="427" t="s">
        <v>8728</v>
      </c>
      <c r="E544" s="426" t="s">
        <v>8575</v>
      </c>
      <c r="F544" s="338">
        <v>407683</v>
      </c>
      <c r="G544" s="338" t="s">
        <v>3800</v>
      </c>
      <c r="H544" s="338"/>
      <c r="I544" s="329">
        <v>95.56830728223062</v>
      </c>
      <c r="J544" s="329"/>
      <c r="K544" s="338">
        <v>23.892076820557655</v>
      </c>
      <c r="L544" s="338">
        <v>23.892076820557655</v>
      </c>
      <c r="M544" s="338">
        <v>23.892076820557655</v>
      </c>
      <c r="N544" s="338">
        <v>23.892076820557655</v>
      </c>
      <c r="O544" s="338"/>
    </row>
    <row r="545" spans="1:15" hidden="1" outlineLevel="2" x14ac:dyDescent="0.35">
      <c r="A545" s="425" t="s">
        <v>7971</v>
      </c>
      <c r="B545" s="327">
        <v>44196</v>
      </c>
      <c r="C545" s="426">
        <v>253</v>
      </c>
      <c r="D545" s="427" t="s">
        <v>8729</v>
      </c>
      <c r="E545" s="426" t="s">
        <v>8705</v>
      </c>
      <c r="F545" s="338">
        <v>457683</v>
      </c>
      <c r="G545" s="338" t="s">
        <v>3800</v>
      </c>
      <c r="H545" s="338"/>
      <c r="I545" s="329">
        <v>107.28921633193721</v>
      </c>
      <c r="J545" s="329"/>
      <c r="K545" s="338">
        <v>26.822304082984303</v>
      </c>
      <c r="L545" s="338">
        <v>26.822304082984303</v>
      </c>
      <c r="M545" s="338">
        <v>26.822304082984303</v>
      </c>
      <c r="N545" s="338">
        <v>26.822304082984303</v>
      </c>
      <c r="O545" s="338"/>
    </row>
    <row r="546" spans="1:15" hidden="1" outlineLevel="2" x14ac:dyDescent="0.35">
      <c r="A546" s="425" t="s">
        <v>7971</v>
      </c>
      <c r="B546" s="327">
        <v>44196</v>
      </c>
      <c r="C546" s="426">
        <v>250</v>
      </c>
      <c r="D546" s="427" t="s">
        <v>8730</v>
      </c>
      <c r="E546" s="426" t="s">
        <v>8545</v>
      </c>
      <c r="F546" s="338">
        <v>407683</v>
      </c>
      <c r="G546" s="338" t="s">
        <v>3800</v>
      </c>
      <c r="H546" s="338"/>
      <c r="I546" s="329">
        <v>95.56830728223062</v>
      </c>
      <c r="J546" s="329"/>
      <c r="K546" s="338">
        <v>23.892076820557655</v>
      </c>
      <c r="L546" s="338">
        <v>23.892076820557655</v>
      </c>
      <c r="M546" s="338">
        <v>23.892076820557655</v>
      </c>
      <c r="N546" s="338">
        <v>23.892076820557655</v>
      </c>
      <c r="O546" s="338"/>
    </row>
    <row r="547" spans="1:15" hidden="1" outlineLevel="2" x14ac:dyDescent="0.35">
      <c r="A547" s="425" t="s">
        <v>7971</v>
      </c>
      <c r="B547" s="327">
        <v>44196</v>
      </c>
      <c r="C547" s="426">
        <v>252</v>
      </c>
      <c r="D547" s="427" t="s">
        <v>8731</v>
      </c>
      <c r="E547" s="426" t="s">
        <v>8144</v>
      </c>
      <c r="F547" s="338">
        <v>407683</v>
      </c>
      <c r="G547" s="338" t="s">
        <v>3800</v>
      </c>
      <c r="H547" s="338"/>
      <c r="I547" s="329">
        <v>95.56830728223062</v>
      </c>
      <c r="J547" s="329"/>
      <c r="K547" s="338">
        <v>23.892076820557655</v>
      </c>
      <c r="L547" s="338">
        <v>23.892076820557655</v>
      </c>
      <c r="M547" s="338">
        <v>23.892076820557655</v>
      </c>
      <c r="N547" s="338">
        <v>23.892076820557655</v>
      </c>
      <c r="O547" s="338"/>
    </row>
    <row r="548" spans="1:15" hidden="1" outlineLevel="2" x14ac:dyDescent="0.35">
      <c r="A548" s="425" t="s">
        <v>7971</v>
      </c>
      <c r="B548" s="327">
        <v>44196</v>
      </c>
      <c r="C548" s="426">
        <v>254</v>
      </c>
      <c r="D548" s="427" t="s">
        <v>8732</v>
      </c>
      <c r="E548" s="426" t="s">
        <v>8548</v>
      </c>
      <c r="F548" s="338">
        <v>407683</v>
      </c>
      <c r="G548" s="338" t="s">
        <v>3800</v>
      </c>
      <c r="H548" s="338"/>
      <c r="I548" s="329">
        <v>95.56830728223062</v>
      </c>
      <c r="J548" s="329"/>
      <c r="K548" s="338">
        <v>23.892076820557655</v>
      </c>
      <c r="L548" s="338">
        <v>23.892076820557655</v>
      </c>
      <c r="M548" s="338">
        <v>23.892076820557655</v>
      </c>
      <c r="N548" s="338">
        <v>23.892076820557655</v>
      </c>
      <c r="O548" s="338"/>
    </row>
    <row r="549" spans="1:15" hidden="1" outlineLevel="2" x14ac:dyDescent="0.35">
      <c r="A549" s="425" t="s">
        <v>7971</v>
      </c>
      <c r="B549" s="327" t="s">
        <v>7987</v>
      </c>
      <c r="C549" s="426" t="s">
        <v>7988</v>
      </c>
      <c r="D549" s="427" t="s">
        <v>8733</v>
      </c>
      <c r="E549" s="426" t="s">
        <v>8545</v>
      </c>
      <c r="F549" s="338">
        <v>407683</v>
      </c>
      <c r="G549" s="338" t="s">
        <v>3800</v>
      </c>
      <c r="H549" s="338"/>
      <c r="I549" s="329">
        <v>97.19292459034115</v>
      </c>
      <c r="J549" s="329"/>
      <c r="K549" s="338">
        <v>24.298231147585287</v>
      </c>
      <c r="L549" s="338">
        <v>24.298231147585287</v>
      </c>
      <c r="M549" s="338">
        <v>24.298231147585287</v>
      </c>
      <c r="N549" s="338">
        <v>24.298231147585287</v>
      </c>
      <c r="O549" s="338"/>
    </row>
    <row r="550" spans="1:15" hidden="1" outlineLevel="2" x14ac:dyDescent="0.35">
      <c r="A550" s="425" t="s">
        <v>7971</v>
      </c>
      <c r="B550" s="327" t="s">
        <v>7987</v>
      </c>
      <c r="C550" s="426" t="s">
        <v>7988</v>
      </c>
      <c r="D550" s="427" t="s">
        <v>8734</v>
      </c>
      <c r="E550" s="426" t="s">
        <v>8144</v>
      </c>
      <c r="F550" s="338">
        <v>407683</v>
      </c>
      <c r="G550" s="338" t="s">
        <v>3800</v>
      </c>
      <c r="H550" s="338"/>
      <c r="I550" s="329">
        <v>97.19292459034115</v>
      </c>
      <c r="J550" s="329"/>
      <c r="K550" s="338">
        <v>24.298231147585287</v>
      </c>
      <c r="L550" s="338">
        <v>24.298231147585287</v>
      </c>
      <c r="M550" s="338">
        <v>24.298231147585287</v>
      </c>
      <c r="N550" s="338">
        <v>24.298231147585287</v>
      </c>
      <c r="O550" s="338"/>
    </row>
    <row r="551" spans="1:15" hidden="1" outlineLevel="2" x14ac:dyDescent="0.35">
      <c r="A551" s="425" t="s">
        <v>7971</v>
      </c>
      <c r="B551" s="327">
        <v>43890</v>
      </c>
      <c r="C551" s="426">
        <v>169</v>
      </c>
      <c r="D551" s="427" t="s">
        <v>8735</v>
      </c>
      <c r="E551" s="426" t="s">
        <v>8545</v>
      </c>
      <c r="F551" s="338">
        <v>407683</v>
      </c>
      <c r="G551" s="338" t="s">
        <v>3800</v>
      </c>
      <c r="H551" s="338"/>
      <c r="I551" s="329">
        <v>95.56830728223062</v>
      </c>
      <c r="J551" s="329"/>
      <c r="K551" s="338">
        <v>23.892076820557655</v>
      </c>
      <c r="L551" s="338">
        <v>23.892076820557655</v>
      </c>
      <c r="M551" s="338">
        <v>23.892076820557655</v>
      </c>
      <c r="N551" s="338">
        <v>23.892076820557655</v>
      </c>
      <c r="O551" s="338"/>
    </row>
    <row r="552" spans="1:15" hidden="1" outlineLevel="2" x14ac:dyDescent="0.35">
      <c r="A552" s="425" t="s">
        <v>7971</v>
      </c>
      <c r="B552" s="327">
        <v>43890</v>
      </c>
      <c r="C552" s="426">
        <v>171</v>
      </c>
      <c r="D552" s="427" t="s">
        <v>8736</v>
      </c>
      <c r="E552" s="426" t="s">
        <v>8144</v>
      </c>
      <c r="F552" s="338">
        <v>407683</v>
      </c>
      <c r="G552" s="338" t="s">
        <v>3800</v>
      </c>
      <c r="H552" s="338"/>
      <c r="I552" s="329">
        <v>95.56830728223062</v>
      </c>
      <c r="J552" s="329"/>
      <c r="K552" s="338">
        <v>23.892076820557655</v>
      </c>
      <c r="L552" s="338">
        <v>23.892076820557655</v>
      </c>
      <c r="M552" s="338">
        <v>23.892076820557655</v>
      </c>
      <c r="N552" s="338">
        <v>23.892076820557655</v>
      </c>
      <c r="O552" s="338"/>
    </row>
    <row r="553" spans="1:15" hidden="1" outlineLevel="2" x14ac:dyDescent="0.35">
      <c r="A553" s="425" t="s">
        <v>7971</v>
      </c>
      <c r="B553" s="327">
        <v>43890</v>
      </c>
      <c r="C553" s="426">
        <v>173</v>
      </c>
      <c r="D553" s="427" t="s">
        <v>8737</v>
      </c>
      <c r="E553" s="426" t="s">
        <v>8548</v>
      </c>
      <c r="F553" s="338">
        <v>407683</v>
      </c>
      <c r="G553" s="338" t="s">
        <v>3800</v>
      </c>
      <c r="H553" s="338"/>
      <c r="I553" s="329">
        <v>95.56830728223062</v>
      </c>
      <c r="J553" s="329"/>
      <c r="K553" s="338">
        <v>23.892076820557655</v>
      </c>
      <c r="L553" s="338">
        <v>23.892076820557655</v>
      </c>
      <c r="M553" s="338">
        <v>23.892076820557655</v>
      </c>
      <c r="N553" s="338">
        <v>23.892076820557655</v>
      </c>
      <c r="O553" s="338"/>
    </row>
    <row r="554" spans="1:15" hidden="1" outlineLevel="2" x14ac:dyDescent="0.35">
      <c r="A554" s="425" t="s">
        <v>7971</v>
      </c>
      <c r="B554" s="327" t="s">
        <v>8075</v>
      </c>
      <c r="C554" s="426" t="s">
        <v>8584</v>
      </c>
      <c r="D554" s="427" t="s">
        <v>8738</v>
      </c>
      <c r="E554" s="426" t="s">
        <v>8545</v>
      </c>
      <c r="F554" s="338">
        <v>407683</v>
      </c>
      <c r="G554" s="338" t="s">
        <v>3800</v>
      </c>
      <c r="H554" s="338"/>
      <c r="I554" s="329">
        <v>97.19292459034115</v>
      </c>
      <c r="J554" s="329"/>
      <c r="K554" s="338">
        <v>24.298231147585287</v>
      </c>
      <c r="L554" s="338">
        <v>24.298231147585287</v>
      </c>
      <c r="M554" s="338">
        <v>24.298231147585287</v>
      </c>
      <c r="N554" s="338">
        <v>24.298231147585287</v>
      </c>
      <c r="O554" s="338"/>
    </row>
    <row r="555" spans="1:15" hidden="1" outlineLevel="2" x14ac:dyDescent="0.35">
      <c r="A555" s="425" t="s">
        <v>7971</v>
      </c>
      <c r="B555" s="327" t="s">
        <v>8075</v>
      </c>
      <c r="C555" s="426" t="s">
        <v>8586</v>
      </c>
      <c r="D555" s="427" t="s">
        <v>8739</v>
      </c>
      <c r="E555" s="426" t="s">
        <v>8144</v>
      </c>
      <c r="F555" s="338">
        <v>407683</v>
      </c>
      <c r="G555" s="338" t="s">
        <v>3800</v>
      </c>
      <c r="H555" s="338"/>
      <c r="I555" s="329">
        <v>97.19292459034115</v>
      </c>
      <c r="J555" s="329"/>
      <c r="K555" s="338">
        <v>24.298231147585287</v>
      </c>
      <c r="L555" s="338">
        <v>24.298231147585287</v>
      </c>
      <c r="M555" s="338">
        <v>24.298231147585287</v>
      </c>
      <c r="N555" s="338">
        <v>24.298231147585287</v>
      </c>
      <c r="O555" s="338"/>
    </row>
    <row r="556" spans="1:15" hidden="1" outlineLevel="2" x14ac:dyDescent="0.35">
      <c r="A556" s="425" t="s">
        <v>7971</v>
      </c>
      <c r="B556" s="327" t="s">
        <v>8075</v>
      </c>
      <c r="C556" s="426" t="s">
        <v>8588</v>
      </c>
      <c r="D556" s="427" t="s">
        <v>8740</v>
      </c>
      <c r="E556" s="426" t="s">
        <v>8548</v>
      </c>
      <c r="F556" s="338">
        <v>407683</v>
      </c>
      <c r="G556" s="338" t="s">
        <v>3800</v>
      </c>
      <c r="H556" s="338"/>
      <c r="I556" s="329">
        <v>97.19292459034115</v>
      </c>
      <c r="J556" s="329"/>
      <c r="K556" s="338">
        <v>24.298231147585287</v>
      </c>
      <c r="L556" s="338">
        <v>24.298231147585287</v>
      </c>
      <c r="M556" s="338">
        <v>24.298231147585287</v>
      </c>
      <c r="N556" s="338">
        <v>24.298231147585287</v>
      </c>
      <c r="O556" s="338"/>
    </row>
    <row r="557" spans="1:15" hidden="1" outlineLevel="2" x14ac:dyDescent="0.35">
      <c r="A557" s="425" t="s">
        <v>7971</v>
      </c>
      <c r="B557" s="327">
        <v>43921</v>
      </c>
      <c r="C557" s="426">
        <v>176</v>
      </c>
      <c r="D557" s="427" t="s">
        <v>8741</v>
      </c>
      <c r="E557" s="426" t="s">
        <v>8545</v>
      </c>
      <c r="F557" s="338">
        <v>407683</v>
      </c>
      <c r="G557" s="338" t="s">
        <v>3800</v>
      </c>
      <c r="H557" s="338"/>
      <c r="I557" s="329">
        <v>95.56830728223062</v>
      </c>
      <c r="J557" s="329"/>
      <c r="K557" s="338">
        <v>23.892076820557655</v>
      </c>
      <c r="L557" s="338">
        <v>23.892076820557655</v>
      </c>
      <c r="M557" s="338">
        <v>23.892076820557655</v>
      </c>
      <c r="N557" s="338">
        <v>23.892076820557655</v>
      </c>
      <c r="O557" s="338"/>
    </row>
    <row r="558" spans="1:15" hidden="1" outlineLevel="2" x14ac:dyDescent="0.35">
      <c r="A558" s="425" t="s">
        <v>7971</v>
      </c>
      <c r="B558" s="327">
        <v>43921</v>
      </c>
      <c r="C558" s="426">
        <v>178</v>
      </c>
      <c r="D558" s="427" t="s">
        <v>8742</v>
      </c>
      <c r="E558" s="426" t="s">
        <v>8144</v>
      </c>
      <c r="F558" s="338">
        <v>407683</v>
      </c>
      <c r="G558" s="338" t="s">
        <v>3800</v>
      </c>
      <c r="H558" s="338"/>
      <c r="I558" s="329">
        <v>95.56830728223062</v>
      </c>
      <c r="J558" s="329"/>
      <c r="K558" s="338">
        <v>23.892076820557655</v>
      </c>
      <c r="L558" s="338">
        <v>23.892076820557655</v>
      </c>
      <c r="M558" s="338">
        <v>23.892076820557655</v>
      </c>
      <c r="N558" s="338">
        <v>23.892076820557655</v>
      </c>
      <c r="O558" s="338"/>
    </row>
    <row r="559" spans="1:15" hidden="1" outlineLevel="2" x14ac:dyDescent="0.35">
      <c r="A559" s="425" t="s">
        <v>7971</v>
      </c>
      <c r="B559" s="327">
        <v>43921</v>
      </c>
      <c r="C559" s="426">
        <v>180</v>
      </c>
      <c r="D559" s="427" t="s">
        <v>8743</v>
      </c>
      <c r="E559" s="426" t="s">
        <v>8548</v>
      </c>
      <c r="F559" s="338">
        <v>407683</v>
      </c>
      <c r="G559" s="338" t="s">
        <v>3800</v>
      </c>
      <c r="H559" s="338"/>
      <c r="I559" s="329">
        <v>95.56830728223062</v>
      </c>
      <c r="J559" s="329"/>
      <c r="K559" s="338">
        <v>23.892076820557655</v>
      </c>
      <c r="L559" s="338">
        <v>23.892076820557655</v>
      </c>
      <c r="M559" s="338">
        <v>23.892076820557655</v>
      </c>
      <c r="N559" s="338">
        <v>23.892076820557655</v>
      </c>
      <c r="O559" s="338"/>
    </row>
    <row r="560" spans="1:15" hidden="1" outlineLevel="2" x14ac:dyDescent="0.35">
      <c r="A560" s="425" t="s">
        <v>7971</v>
      </c>
      <c r="B560" s="327" t="s">
        <v>8089</v>
      </c>
      <c r="C560" s="426" t="s">
        <v>8593</v>
      </c>
      <c r="D560" s="427" t="s">
        <v>8744</v>
      </c>
      <c r="E560" s="426" t="s">
        <v>8545</v>
      </c>
      <c r="F560" s="338">
        <v>407683</v>
      </c>
      <c r="G560" s="338" t="s">
        <v>3800</v>
      </c>
      <c r="H560" s="338"/>
      <c r="I560" s="329">
        <v>97.19292459034115</v>
      </c>
      <c r="J560" s="329"/>
      <c r="K560" s="338">
        <v>24.298231147585287</v>
      </c>
      <c r="L560" s="338">
        <v>24.298231147585287</v>
      </c>
      <c r="M560" s="338">
        <v>24.298231147585287</v>
      </c>
      <c r="N560" s="338">
        <v>24.298231147585287</v>
      </c>
      <c r="O560" s="338"/>
    </row>
    <row r="561" spans="1:15" hidden="1" outlineLevel="2" x14ac:dyDescent="0.35">
      <c r="A561" s="425" t="s">
        <v>7971</v>
      </c>
      <c r="B561" s="327" t="s">
        <v>7980</v>
      </c>
      <c r="C561" s="426" t="s">
        <v>8595</v>
      </c>
      <c r="D561" s="427" t="s">
        <v>8744</v>
      </c>
      <c r="E561" s="426" t="s">
        <v>8545</v>
      </c>
      <c r="F561" s="338">
        <v>407683</v>
      </c>
      <c r="G561" s="338" t="s">
        <v>3800</v>
      </c>
      <c r="H561" s="338"/>
      <c r="I561" s="329">
        <v>97.19292459034115</v>
      </c>
      <c r="J561" s="329"/>
      <c r="K561" s="338">
        <v>24.298231147585287</v>
      </c>
      <c r="L561" s="338">
        <v>24.298231147585287</v>
      </c>
      <c r="M561" s="338">
        <v>24.298231147585287</v>
      </c>
      <c r="N561" s="338">
        <v>24.298231147585287</v>
      </c>
      <c r="O561" s="338"/>
    </row>
    <row r="562" spans="1:15" hidden="1" outlineLevel="2" x14ac:dyDescent="0.35">
      <c r="A562" s="425" t="s">
        <v>7971</v>
      </c>
      <c r="B562" s="327" t="s">
        <v>8089</v>
      </c>
      <c r="C562" s="426" t="s">
        <v>8596</v>
      </c>
      <c r="D562" s="427" t="s">
        <v>8745</v>
      </c>
      <c r="E562" s="426" t="s">
        <v>8144</v>
      </c>
      <c r="F562" s="338">
        <v>407683</v>
      </c>
      <c r="G562" s="338" t="s">
        <v>3800</v>
      </c>
      <c r="H562" s="338"/>
      <c r="I562" s="329">
        <v>97.19292459034115</v>
      </c>
      <c r="J562" s="329"/>
      <c r="K562" s="338">
        <v>24.298231147585287</v>
      </c>
      <c r="L562" s="338">
        <v>24.298231147585287</v>
      </c>
      <c r="M562" s="338">
        <v>24.298231147585287</v>
      </c>
      <c r="N562" s="338">
        <v>24.298231147585287</v>
      </c>
      <c r="O562" s="338"/>
    </row>
    <row r="563" spans="1:15" hidden="1" outlineLevel="2" x14ac:dyDescent="0.35">
      <c r="A563" s="425" t="s">
        <v>7971</v>
      </c>
      <c r="B563" s="327" t="s">
        <v>7980</v>
      </c>
      <c r="C563" s="426" t="s">
        <v>8598</v>
      </c>
      <c r="D563" s="427" t="s">
        <v>8745</v>
      </c>
      <c r="E563" s="426" t="s">
        <v>8144</v>
      </c>
      <c r="F563" s="338">
        <v>407683</v>
      </c>
      <c r="G563" s="338" t="s">
        <v>3800</v>
      </c>
      <c r="H563" s="338"/>
      <c r="I563" s="329">
        <v>97.19292459034115</v>
      </c>
      <c r="J563" s="329"/>
      <c r="K563" s="338">
        <v>24.298231147585287</v>
      </c>
      <c r="L563" s="338">
        <v>24.298231147585287</v>
      </c>
      <c r="M563" s="338">
        <v>24.298231147585287</v>
      </c>
      <c r="N563" s="338">
        <v>24.298231147585287</v>
      </c>
      <c r="O563" s="338"/>
    </row>
    <row r="564" spans="1:15" hidden="1" outlineLevel="2" x14ac:dyDescent="0.35">
      <c r="A564" s="425" t="s">
        <v>7971</v>
      </c>
      <c r="B564" s="327" t="s">
        <v>8089</v>
      </c>
      <c r="C564" s="426" t="s">
        <v>8599</v>
      </c>
      <c r="D564" s="427" t="s">
        <v>8746</v>
      </c>
      <c r="E564" s="426" t="s">
        <v>8548</v>
      </c>
      <c r="F564" s="338">
        <v>407683</v>
      </c>
      <c r="G564" s="338" t="s">
        <v>3800</v>
      </c>
      <c r="H564" s="338"/>
      <c r="I564" s="329">
        <v>97.19292459034115</v>
      </c>
      <c r="J564" s="329"/>
      <c r="K564" s="338">
        <v>24.298231147585287</v>
      </c>
      <c r="L564" s="338">
        <v>24.298231147585287</v>
      </c>
      <c r="M564" s="338">
        <v>24.298231147585287</v>
      </c>
      <c r="N564" s="338">
        <v>24.298231147585287</v>
      </c>
      <c r="O564" s="338"/>
    </row>
    <row r="565" spans="1:15" hidden="1" outlineLevel="2" x14ac:dyDescent="0.35">
      <c r="A565" s="425" t="s">
        <v>7971</v>
      </c>
      <c r="B565" s="327" t="s">
        <v>7980</v>
      </c>
      <c r="C565" s="426" t="s">
        <v>8601</v>
      </c>
      <c r="D565" s="427" t="s">
        <v>8746</v>
      </c>
      <c r="E565" s="426" t="s">
        <v>8548</v>
      </c>
      <c r="F565" s="338">
        <v>407683</v>
      </c>
      <c r="G565" s="338" t="s">
        <v>3800</v>
      </c>
      <c r="H565" s="338"/>
      <c r="I565" s="329">
        <v>97.19292459034115</v>
      </c>
      <c r="J565" s="329"/>
      <c r="K565" s="338">
        <v>24.298231147585287</v>
      </c>
      <c r="L565" s="338">
        <v>24.298231147585287</v>
      </c>
      <c r="M565" s="338">
        <v>24.298231147585287</v>
      </c>
      <c r="N565" s="338">
        <v>24.298231147585287</v>
      </c>
      <c r="O565" s="338"/>
    </row>
    <row r="566" spans="1:15" hidden="1" outlineLevel="2" x14ac:dyDescent="0.35">
      <c r="A566" s="425" t="s">
        <v>7971</v>
      </c>
      <c r="B566" s="327">
        <v>43951</v>
      </c>
      <c r="C566" s="426">
        <v>186</v>
      </c>
      <c r="D566" s="427" t="s">
        <v>8747</v>
      </c>
      <c r="E566" s="426" t="s">
        <v>8545</v>
      </c>
      <c r="F566" s="338">
        <v>407683</v>
      </c>
      <c r="G566" s="338" t="s">
        <v>3800</v>
      </c>
      <c r="H566" s="338"/>
      <c r="I566" s="329">
        <v>95.56830728223062</v>
      </c>
      <c r="J566" s="329"/>
      <c r="K566" s="338">
        <v>23.892076820557655</v>
      </c>
      <c r="L566" s="338">
        <v>23.892076820557655</v>
      </c>
      <c r="M566" s="338">
        <v>23.892076820557655</v>
      </c>
      <c r="N566" s="338">
        <v>23.892076820557655</v>
      </c>
      <c r="O566" s="338"/>
    </row>
    <row r="567" spans="1:15" hidden="1" outlineLevel="2" x14ac:dyDescent="0.35">
      <c r="A567" s="425" t="s">
        <v>7971</v>
      </c>
      <c r="B567" s="327">
        <v>43951</v>
      </c>
      <c r="C567" s="426">
        <v>187</v>
      </c>
      <c r="D567" s="427" t="s">
        <v>8748</v>
      </c>
      <c r="E567" s="426" t="s">
        <v>8144</v>
      </c>
      <c r="F567" s="338">
        <v>407683</v>
      </c>
      <c r="G567" s="338" t="s">
        <v>3800</v>
      </c>
      <c r="H567" s="338"/>
      <c r="I567" s="329">
        <v>95.56830728223062</v>
      </c>
      <c r="J567" s="329"/>
      <c r="K567" s="338">
        <v>23.892076820557655</v>
      </c>
      <c r="L567" s="338">
        <v>23.892076820557655</v>
      </c>
      <c r="M567" s="338">
        <v>23.892076820557655</v>
      </c>
      <c r="N567" s="338">
        <v>23.892076820557655</v>
      </c>
      <c r="O567" s="338"/>
    </row>
    <row r="568" spans="1:15" hidden="1" outlineLevel="2" x14ac:dyDescent="0.35">
      <c r="A568" s="425" t="s">
        <v>7971</v>
      </c>
      <c r="B568" s="327">
        <v>43951</v>
      </c>
      <c r="C568" s="426">
        <v>189</v>
      </c>
      <c r="D568" s="427" t="s">
        <v>8749</v>
      </c>
      <c r="E568" s="426" t="s">
        <v>8548</v>
      </c>
      <c r="F568" s="338">
        <v>407683</v>
      </c>
      <c r="G568" s="338" t="s">
        <v>3800</v>
      </c>
      <c r="H568" s="338"/>
      <c r="I568" s="329">
        <v>95.56830728223062</v>
      </c>
      <c r="J568" s="329"/>
      <c r="K568" s="338">
        <v>23.892076820557655</v>
      </c>
      <c r="L568" s="338">
        <v>23.892076820557655</v>
      </c>
      <c r="M568" s="338">
        <v>23.892076820557655</v>
      </c>
      <c r="N568" s="338">
        <v>23.892076820557655</v>
      </c>
      <c r="O568" s="338"/>
    </row>
    <row r="569" spans="1:15" hidden="1" outlineLevel="2" x14ac:dyDescent="0.35">
      <c r="A569" s="425" t="s">
        <v>7971</v>
      </c>
      <c r="B569" s="327">
        <v>43982</v>
      </c>
      <c r="C569" s="426">
        <v>194</v>
      </c>
      <c r="D569" s="427" t="s">
        <v>8750</v>
      </c>
      <c r="E569" s="426" t="s">
        <v>8705</v>
      </c>
      <c r="F569" s="338">
        <v>457683</v>
      </c>
      <c r="G569" s="338" t="s">
        <v>3800</v>
      </c>
      <c r="H569" s="338"/>
      <c r="I569" s="329">
        <v>107.28921633193721</v>
      </c>
      <c r="J569" s="329"/>
      <c r="K569" s="338">
        <v>26.822304082984303</v>
      </c>
      <c r="L569" s="338">
        <v>26.822304082984303</v>
      </c>
      <c r="M569" s="338">
        <v>26.822304082984303</v>
      </c>
      <c r="N569" s="338">
        <v>26.822304082984303</v>
      </c>
      <c r="O569" s="338"/>
    </row>
    <row r="570" spans="1:15" hidden="1" outlineLevel="2" x14ac:dyDescent="0.35">
      <c r="A570" s="425" t="s">
        <v>7971</v>
      </c>
      <c r="B570" s="327">
        <v>43982</v>
      </c>
      <c r="C570" s="426">
        <v>169</v>
      </c>
      <c r="D570" s="427" t="s">
        <v>8751</v>
      </c>
      <c r="E570" s="426" t="s">
        <v>8545</v>
      </c>
      <c r="F570" s="338">
        <v>407683</v>
      </c>
      <c r="G570" s="338" t="s">
        <v>3800</v>
      </c>
      <c r="H570" s="338"/>
      <c r="I570" s="329">
        <v>95.56830728223062</v>
      </c>
      <c r="J570" s="329"/>
      <c r="K570" s="338">
        <v>23.892076820557655</v>
      </c>
      <c r="L570" s="338">
        <v>23.892076820557655</v>
      </c>
      <c r="M570" s="338">
        <v>23.892076820557655</v>
      </c>
      <c r="N570" s="338">
        <v>23.892076820557655</v>
      </c>
      <c r="O570" s="338"/>
    </row>
    <row r="571" spans="1:15" hidden="1" outlineLevel="2" x14ac:dyDescent="0.35">
      <c r="A571" s="425" t="s">
        <v>7971</v>
      </c>
      <c r="B571" s="327">
        <v>43982</v>
      </c>
      <c r="C571" s="426">
        <v>193</v>
      </c>
      <c r="D571" s="427" t="s">
        <v>8752</v>
      </c>
      <c r="E571" s="426" t="s">
        <v>8144</v>
      </c>
      <c r="F571" s="338">
        <v>407683</v>
      </c>
      <c r="G571" s="338" t="s">
        <v>3800</v>
      </c>
      <c r="H571" s="338"/>
      <c r="I571" s="329">
        <v>95.56830728223062</v>
      </c>
      <c r="J571" s="329"/>
      <c r="K571" s="338">
        <v>23.892076820557655</v>
      </c>
      <c r="L571" s="338">
        <v>23.892076820557655</v>
      </c>
      <c r="M571" s="338">
        <v>23.892076820557655</v>
      </c>
      <c r="N571" s="338">
        <v>23.892076820557655</v>
      </c>
      <c r="O571" s="338"/>
    </row>
    <row r="572" spans="1:15" hidden="1" outlineLevel="2" x14ac:dyDescent="0.35">
      <c r="A572" s="425" t="s">
        <v>7971</v>
      </c>
      <c r="B572" s="327">
        <v>43982</v>
      </c>
      <c r="C572" s="426">
        <v>195</v>
      </c>
      <c r="D572" s="427" t="s">
        <v>8753</v>
      </c>
      <c r="E572" s="426" t="s">
        <v>8548</v>
      </c>
      <c r="F572" s="338">
        <v>407683</v>
      </c>
      <c r="G572" s="338" t="s">
        <v>3800</v>
      </c>
      <c r="H572" s="338"/>
      <c r="I572" s="329">
        <v>95.56830728223062</v>
      </c>
      <c r="J572" s="329"/>
      <c r="K572" s="338">
        <v>23.892076820557655</v>
      </c>
      <c r="L572" s="338">
        <v>23.892076820557655</v>
      </c>
      <c r="M572" s="338">
        <v>23.892076820557655</v>
      </c>
      <c r="N572" s="338">
        <v>23.892076820557655</v>
      </c>
      <c r="O572" s="338"/>
    </row>
    <row r="573" spans="1:15" hidden="1" outlineLevel="2" x14ac:dyDescent="0.35">
      <c r="A573" s="425" t="s">
        <v>7971</v>
      </c>
      <c r="B573" s="327" t="s">
        <v>7996</v>
      </c>
      <c r="C573" s="426" t="s">
        <v>7997</v>
      </c>
      <c r="D573" s="427" t="s">
        <v>8754</v>
      </c>
      <c r="E573" s="426" t="s">
        <v>8545</v>
      </c>
      <c r="F573" s="338">
        <v>407683</v>
      </c>
      <c r="G573" s="338" t="s">
        <v>3800</v>
      </c>
      <c r="H573" s="338"/>
      <c r="I573" s="329">
        <v>97.19292459034115</v>
      </c>
      <c r="J573" s="329"/>
      <c r="K573" s="338">
        <v>24.298231147585287</v>
      </c>
      <c r="L573" s="338">
        <v>24.298231147585287</v>
      </c>
      <c r="M573" s="338">
        <v>24.298231147585287</v>
      </c>
      <c r="N573" s="338">
        <v>24.298231147585287</v>
      </c>
      <c r="O573" s="338"/>
    </row>
    <row r="574" spans="1:15" hidden="1" outlineLevel="2" x14ac:dyDescent="0.35">
      <c r="A574" s="425" t="s">
        <v>7971</v>
      </c>
      <c r="B574" s="327" t="s">
        <v>7996</v>
      </c>
      <c r="C574" s="426" t="s">
        <v>7997</v>
      </c>
      <c r="D574" s="427" t="s">
        <v>8755</v>
      </c>
      <c r="E574" s="426" t="s">
        <v>8144</v>
      </c>
      <c r="F574" s="338">
        <v>407683</v>
      </c>
      <c r="G574" s="338" t="s">
        <v>3800</v>
      </c>
      <c r="H574" s="338"/>
      <c r="I574" s="329">
        <v>97.19292459034115</v>
      </c>
      <c r="J574" s="329"/>
      <c r="K574" s="338">
        <v>24.298231147585287</v>
      </c>
      <c r="L574" s="338">
        <v>24.298231147585287</v>
      </c>
      <c r="M574" s="338">
        <v>24.298231147585287</v>
      </c>
      <c r="N574" s="338">
        <v>24.298231147585287</v>
      </c>
      <c r="O574" s="338"/>
    </row>
    <row r="575" spans="1:15" hidden="1" outlineLevel="2" x14ac:dyDescent="0.35">
      <c r="A575" s="425" t="s">
        <v>7971</v>
      </c>
      <c r="B575" s="327" t="s">
        <v>7996</v>
      </c>
      <c r="C575" s="426" t="s">
        <v>7997</v>
      </c>
      <c r="D575" s="427" t="s">
        <v>8756</v>
      </c>
      <c r="E575" s="426" t="s">
        <v>8548</v>
      </c>
      <c r="F575" s="338">
        <v>407683</v>
      </c>
      <c r="G575" s="338" t="s">
        <v>3800</v>
      </c>
      <c r="H575" s="338"/>
      <c r="I575" s="329">
        <v>97.19292459034115</v>
      </c>
      <c r="J575" s="329"/>
      <c r="K575" s="338">
        <v>24.298231147585287</v>
      </c>
      <c r="L575" s="338">
        <v>24.298231147585287</v>
      </c>
      <c r="M575" s="338">
        <v>24.298231147585287</v>
      </c>
      <c r="N575" s="338">
        <v>24.298231147585287</v>
      </c>
      <c r="O575" s="338"/>
    </row>
    <row r="576" spans="1:15" hidden="1" outlineLevel="2" x14ac:dyDescent="0.35">
      <c r="A576" s="425" t="s">
        <v>7971</v>
      </c>
      <c r="B576" s="327">
        <v>44012</v>
      </c>
      <c r="C576" s="426">
        <v>201</v>
      </c>
      <c r="D576" s="427" t="s">
        <v>8757</v>
      </c>
      <c r="E576" s="426" t="s">
        <v>8705</v>
      </c>
      <c r="F576" s="338">
        <v>457683</v>
      </c>
      <c r="G576" s="338" t="s">
        <v>3800</v>
      </c>
      <c r="H576" s="338"/>
      <c r="I576" s="329">
        <v>107.28921633193721</v>
      </c>
      <c r="J576" s="329"/>
      <c r="K576" s="338">
        <v>26.822304082984303</v>
      </c>
      <c r="L576" s="338">
        <v>26.822304082984303</v>
      </c>
      <c r="M576" s="338">
        <v>26.822304082984303</v>
      </c>
      <c r="N576" s="338">
        <v>26.822304082984303</v>
      </c>
      <c r="O576" s="338"/>
    </row>
    <row r="577" spans="1:15" hidden="1" outlineLevel="2" x14ac:dyDescent="0.35">
      <c r="A577" s="425" t="s">
        <v>7971</v>
      </c>
      <c r="B577" s="327">
        <v>44012</v>
      </c>
      <c r="C577" s="426">
        <v>199</v>
      </c>
      <c r="D577" s="427" t="s">
        <v>8758</v>
      </c>
      <c r="E577" s="426" t="s">
        <v>8545</v>
      </c>
      <c r="F577" s="338">
        <v>407683</v>
      </c>
      <c r="G577" s="338" t="s">
        <v>3800</v>
      </c>
      <c r="H577" s="338"/>
      <c r="I577" s="329">
        <v>95.56830728223062</v>
      </c>
      <c r="J577" s="329"/>
      <c r="K577" s="338">
        <v>23.892076820557655</v>
      </c>
      <c r="L577" s="338">
        <v>23.892076820557655</v>
      </c>
      <c r="M577" s="338">
        <v>23.892076820557655</v>
      </c>
      <c r="N577" s="338">
        <v>23.892076820557655</v>
      </c>
      <c r="O577" s="338"/>
    </row>
    <row r="578" spans="1:15" hidden="1" outlineLevel="2" x14ac:dyDescent="0.35">
      <c r="A578" s="425" t="s">
        <v>7971</v>
      </c>
      <c r="B578" s="327">
        <v>44012</v>
      </c>
      <c r="C578" s="426">
        <v>200</v>
      </c>
      <c r="D578" s="427" t="s">
        <v>8759</v>
      </c>
      <c r="E578" s="426" t="s">
        <v>8144</v>
      </c>
      <c r="F578" s="338">
        <v>407683</v>
      </c>
      <c r="G578" s="338" t="s">
        <v>3800</v>
      </c>
      <c r="H578" s="338"/>
      <c r="I578" s="329">
        <v>95.56830728223062</v>
      </c>
      <c r="J578" s="329"/>
      <c r="K578" s="338">
        <v>23.892076820557655</v>
      </c>
      <c r="L578" s="338">
        <v>23.892076820557655</v>
      </c>
      <c r="M578" s="338">
        <v>23.892076820557655</v>
      </c>
      <c r="N578" s="338">
        <v>23.892076820557655</v>
      </c>
      <c r="O578" s="338"/>
    </row>
    <row r="579" spans="1:15" hidden="1" outlineLevel="2" x14ac:dyDescent="0.35">
      <c r="A579" s="425" t="s">
        <v>7971</v>
      </c>
      <c r="B579" s="327">
        <v>44012</v>
      </c>
      <c r="C579" s="426">
        <v>202</v>
      </c>
      <c r="D579" s="427" t="s">
        <v>8760</v>
      </c>
      <c r="E579" s="426" t="s">
        <v>8548</v>
      </c>
      <c r="F579" s="338">
        <v>407683</v>
      </c>
      <c r="G579" s="338" t="s">
        <v>3800</v>
      </c>
      <c r="H579" s="338"/>
      <c r="I579" s="329">
        <v>95.56830728223062</v>
      </c>
      <c r="J579" s="329"/>
      <c r="K579" s="338">
        <v>23.892076820557655</v>
      </c>
      <c r="L579" s="338">
        <v>23.892076820557655</v>
      </c>
      <c r="M579" s="338">
        <v>23.892076820557655</v>
      </c>
      <c r="N579" s="338">
        <v>23.892076820557655</v>
      </c>
      <c r="O579" s="338"/>
    </row>
    <row r="580" spans="1:15" hidden="1" outlineLevel="2" x14ac:dyDescent="0.35">
      <c r="A580" s="425" t="s">
        <v>7971</v>
      </c>
      <c r="B580" s="327" t="s">
        <v>7993</v>
      </c>
      <c r="C580" s="426" t="s">
        <v>7994</v>
      </c>
      <c r="D580" s="427" t="s">
        <v>8761</v>
      </c>
      <c r="E580" s="426" t="s">
        <v>8545</v>
      </c>
      <c r="F580" s="338">
        <v>407683</v>
      </c>
      <c r="G580" s="338" t="s">
        <v>3800</v>
      </c>
      <c r="H580" s="338"/>
      <c r="I580" s="329">
        <v>97.19292459034115</v>
      </c>
      <c r="J580" s="329"/>
      <c r="K580" s="338">
        <v>24.298231147585287</v>
      </c>
      <c r="L580" s="338">
        <v>24.298231147585287</v>
      </c>
      <c r="M580" s="338">
        <v>24.298231147585287</v>
      </c>
      <c r="N580" s="338">
        <v>24.298231147585287</v>
      </c>
      <c r="O580" s="338"/>
    </row>
    <row r="581" spans="1:15" hidden="1" outlineLevel="2" x14ac:dyDescent="0.35">
      <c r="A581" s="425" t="s">
        <v>7971</v>
      </c>
      <c r="B581" s="327" t="s">
        <v>7993</v>
      </c>
      <c r="C581" s="426" t="s">
        <v>7994</v>
      </c>
      <c r="D581" s="427" t="s">
        <v>8762</v>
      </c>
      <c r="E581" s="426" t="s">
        <v>8144</v>
      </c>
      <c r="F581" s="338">
        <v>407683</v>
      </c>
      <c r="G581" s="338" t="s">
        <v>3800</v>
      </c>
      <c r="H581" s="338"/>
      <c r="I581" s="329">
        <v>97.19292459034115</v>
      </c>
      <c r="J581" s="329"/>
      <c r="K581" s="338">
        <v>24.298231147585287</v>
      </c>
      <c r="L581" s="338">
        <v>24.298231147585287</v>
      </c>
      <c r="M581" s="338">
        <v>24.298231147585287</v>
      </c>
      <c r="N581" s="338">
        <v>24.298231147585287</v>
      </c>
      <c r="O581" s="338"/>
    </row>
    <row r="582" spans="1:15" hidden="1" outlineLevel="2" x14ac:dyDescent="0.35">
      <c r="A582" s="425" t="s">
        <v>7971</v>
      </c>
      <c r="B582" s="327" t="s">
        <v>7993</v>
      </c>
      <c r="C582" s="426" t="s">
        <v>7994</v>
      </c>
      <c r="D582" s="427" t="s">
        <v>8763</v>
      </c>
      <c r="E582" s="426" t="s">
        <v>8548</v>
      </c>
      <c r="F582" s="338">
        <v>407683</v>
      </c>
      <c r="G582" s="338" t="s">
        <v>3800</v>
      </c>
      <c r="H582" s="338"/>
      <c r="I582" s="329">
        <v>97.19292459034115</v>
      </c>
      <c r="J582" s="329"/>
      <c r="K582" s="338">
        <v>24.298231147585287</v>
      </c>
      <c r="L582" s="338">
        <v>24.298231147585287</v>
      </c>
      <c r="M582" s="338">
        <v>24.298231147585287</v>
      </c>
      <c r="N582" s="338">
        <v>24.298231147585287</v>
      </c>
      <c r="O582" s="338"/>
    </row>
    <row r="583" spans="1:15" hidden="1" outlineLevel="2" x14ac:dyDescent="0.35">
      <c r="A583" s="425" t="s">
        <v>7971</v>
      </c>
      <c r="B583" s="327">
        <v>44043</v>
      </c>
      <c r="C583" s="426">
        <v>207</v>
      </c>
      <c r="D583" s="427" t="s">
        <v>8764</v>
      </c>
      <c r="E583" s="426" t="s">
        <v>8705</v>
      </c>
      <c r="F583" s="338">
        <v>457683</v>
      </c>
      <c r="G583" s="338" t="s">
        <v>3800</v>
      </c>
      <c r="H583" s="338"/>
      <c r="I583" s="329">
        <v>107.28921633193721</v>
      </c>
      <c r="J583" s="329"/>
      <c r="K583" s="338">
        <v>26.822304082984303</v>
      </c>
      <c r="L583" s="338">
        <v>26.822304082984303</v>
      </c>
      <c r="M583" s="338">
        <v>26.822304082984303</v>
      </c>
      <c r="N583" s="338">
        <v>26.822304082984303</v>
      </c>
      <c r="O583" s="338"/>
    </row>
    <row r="584" spans="1:15" hidden="1" outlineLevel="2" x14ac:dyDescent="0.35">
      <c r="A584" s="425" t="s">
        <v>7971</v>
      </c>
      <c r="B584" s="327">
        <v>44043</v>
      </c>
      <c r="C584" s="426">
        <v>205</v>
      </c>
      <c r="D584" s="427" t="s">
        <v>8765</v>
      </c>
      <c r="E584" s="426" t="s">
        <v>8545</v>
      </c>
      <c r="F584" s="338">
        <v>407683</v>
      </c>
      <c r="G584" s="338" t="s">
        <v>3800</v>
      </c>
      <c r="H584" s="338"/>
      <c r="I584" s="329">
        <v>95.56830728223062</v>
      </c>
      <c r="J584" s="329"/>
      <c r="K584" s="338">
        <v>23.892076820557655</v>
      </c>
      <c r="L584" s="338">
        <v>23.892076820557655</v>
      </c>
      <c r="M584" s="338">
        <v>23.892076820557655</v>
      </c>
      <c r="N584" s="338">
        <v>23.892076820557655</v>
      </c>
      <c r="O584" s="338"/>
    </row>
    <row r="585" spans="1:15" hidden="1" outlineLevel="2" x14ac:dyDescent="0.35">
      <c r="A585" s="425" t="s">
        <v>7971</v>
      </c>
      <c r="B585" s="327">
        <v>44043</v>
      </c>
      <c r="C585" s="426">
        <v>206</v>
      </c>
      <c r="D585" s="427" t="s">
        <v>8766</v>
      </c>
      <c r="E585" s="426" t="s">
        <v>8144</v>
      </c>
      <c r="F585" s="338">
        <v>407683</v>
      </c>
      <c r="G585" s="338" t="s">
        <v>3800</v>
      </c>
      <c r="H585" s="338"/>
      <c r="I585" s="329">
        <v>95.56830728223062</v>
      </c>
      <c r="J585" s="329"/>
      <c r="K585" s="338">
        <v>23.892076820557655</v>
      </c>
      <c r="L585" s="338">
        <v>23.892076820557655</v>
      </c>
      <c r="M585" s="338">
        <v>23.892076820557655</v>
      </c>
      <c r="N585" s="338">
        <v>23.892076820557655</v>
      </c>
      <c r="O585" s="338"/>
    </row>
    <row r="586" spans="1:15" hidden="1" outlineLevel="2" x14ac:dyDescent="0.35">
      <c r="A586" s="425" t="s">
        <v>7971</v>
      </c>
      <c r="B586" s="327">
        <v>44043</v>
      </c>
      <c r="C586" s="426">
        <v>208</v>
      </c>
      <c r="D586" s="427" t="s">
        <v>8767</v>
      </c>
      <c r="E586" s="426" t="s">
        <v>8548</v>
      </c>
      <c r="F586" s="338">
        <v>407683</v>
      </c>
      <c r="G586" s="338" t="s">
        <v>3800</v>
      </c>
      <c r="H586" s="338"/>
      <c r="I586" s="329">
        <v>95.56830728223062</v>
      </c>
      <c r="J586" s="329"/>
      <c r="K586" s="338">
        <v>23.892076820557655</v>
      </c>
      <c r="L586" s="338">
        <v>23.892076820557655</v>
      </c>
      <c r="M586" s="338">
        <v>23.892076820557655</v>
      </c>
      <c r="N586" s="338">
        <v>23.892076820557655</v>
      </c>
      <c r="O586" s="338"/>
    </row>
    <row r="587" spans="1:15" hidden="1" outlineLevel="2" x14ac:dyDescent="0.35">
      <c r="A587" s="425" t="s">
        <v>7971</v>
      </c>
      <c r="B587" s="327" t="s">
        <v>7990</v>
      </c>
      <c r="C587" s="426" t="s">
        <v>7991</v>
      </c>
      <c r="D587" s="427" t="s">
        <v>8768</v>
      </c>
      <c r="E587" s="426" t="s">
        <v>8545</v>
      </c>
      <c r="F587" s="338">
        <v>407683</v>
      </c>
      <c r="G587" s="338" t="s">
        <v>3800</v>
      </c>
      <c r="H587" s="338"/>
      <c r="I587" s="329">
        <v>97.19292459034115</v>
      </c>
      <c r="J587" s="329"/>
      <c r="K587" s="338">
        <v>24.298231147585287</v>
      </c>
      <c r="L587" s="338">
        <v>24.298231147585287</v>
      </c>
      <c r="M587" s="338">
        <v>24.298231147585287</v>
      </c>
      <c r="N587" s="338">
        <v>24.298231147585287</v>
      </c>
      <c r="O587" s="338"/>
    </row>
    <row r="588" spans="1:15" hidden="1" outlineLevel="2" x14ac:dyDescent="0.35">
      <c r="A588" s="425" t="s">
        <v>7971</v>
      </c>
      <c r="B588" s="327" t="s">
        <v>7990</v>
      </c>
      <c r="C588" s="426" t="s">
        <v>7991</v>
      </c>
      <c r="D588" s="427" t="s">
        <v>8769</v>
      </c>
      <c r="E588" s="426" t="s">
        <v>8144</v>
      </c>
      <c r="F588" s="338">
        <v>407683</v>
      </c>
      <c r="G588" s="338" t="s">
        <v>3800</v>
      </c>
      <c r="H588" s="338"/>
      <c r="I588" s="329">
        <v>97.19292459034115</v>
      </c>
      <c r="J588" s="329"/>
      <c r="K588" s="338">
        <v>24.298231147585287</v>
      </c>
      <c r="L588" s="338">
        <v>24.298231147585287</v>
      </c>
      <c r="M588" s="338">
        <v>24.298231147585287</v>
      </c>
      <c r="N588" s="338">
        <v>24.298231147585287</v>
      </c>
      <c r="O588" s="338"/>
    </row>
    <row r="589" spans="1:15" hidden="1" outlineLevel="2" x14ac:dyDescent="0.35">
      <c r="A589" s="425" t="s">
        <v>7971</v>
      </c>
      <c r="B589" s="327">
        <v>44074</v>
      </c>
      <c r="C589" s="426">
        <v>221</v>
      </c>
      <c r="D589" s="427" t="s">
        <v>8770</v>
      </c>
      <c r="E589" s="426" t="s">
        <v>8705</v>
      </c>
      <c r="F589" s="338">
        <v>457683</v>
      </c>
      <c r="G589" s="338" t="s">
        <v>3800</v>
      </c>
      <c r="H589" s="338"/>
      <c r="I589" s="329">
        <v>107.28921633193721</v>
      </c>
      <c r="J589" s="329"/>
      <c r="K589" s="338">
        <v>26.822304082984303</v>
      </c>
      <c r="L589" s="338">
        <v>26.822304082984303</v>
      </c>
      <c r="M589" s="338">
        <v>26.822304082984303</v>
      </c>
      <c r="N589" s="338">
        <v>26.822304082984303</v>
      </c>
      <c r="O589" s="338"/>
    </row>
    <row r="590" spans="1:15" hidden="1" outlineLevel="2" x14ac:dyDescent="0.35">
      <c r="A590" s="425" t="s">
        <v>7971</v>
      </c>
      <c r="B590" s="327">
        <v>44074</v>
      </c>
      <c r="C590" s="426">
        <v>218</v>
      </c>
      <c r="D590" s="427" t="s">
        <v>8771</v>
      </c>
      <c r="E590" s="426" t="s">
        <v>8545</v>
      </c>
      <c r="F590" s="338">
        <v>407683</v>
      </c>
      <c r="G590" s="338" t="s">
        <v>3800</v>
      </c>
      <c r="H590" s="338"/>
      <c r="I590" s="329">
        <v>95.56830728223062</v>
      </c>
      <c r="J590" s="329"/>
      <c r="K590" s="338">
        <v>23.892076820557655</v>
      </c>
      <c r="L590" s="338">
        <v>23.892076820557655</v>
      </c>
      <c r="M590" s="338">
        <v>23.892076820557655</v>
      </c>
      <c r="N590" s="338">
        <v>23.892076820557655</v>
      </c>
      <c r="O590" s="338"/>
    </row>
    <row r="591" spans="1:15" hidden="1" outlineLevel="2" x14ac:dyDescent="0.35">
      <c r="A591" s="425" t="s">
        <v>7971</v>
      </c>
      <c r="B591" s="327">
        <v>44074</v>
      </c>
      <c r="C591" s="426">
        <v>220</v>
      </c>
      <c r="D591" s="427" t="s">
        <v>8772</v>
      </c>
      <c r="E591" s="426" t="s">
        <v>8144</v>
      </c>
      <c r="F591" s="338">
        <v>407683</v>
      </c>
      <c r="G591" s="338" t="s">
        <v>3800</v>
      </c>
      <c r="H591" s="338"/>
      <c r="I591" s="329">
        <v>95.56830728223062</v>
      </c>
      <c r="J591" s="329"/>
      <c r="K591" s="338">
        <v>23.892076820557655</v>
      </c>
      <c r="L591" s="338">
        <v>23.892076820557655</v>
      </c>
      <c r="M591" s="338">
        <v>23.892076820557655</v>
      </c>
      <c r="N591" s="338">
        <v>23.892076820557655</v>
      </c>
      <c r="O591" s="338"/>
    </row>
    <row r="592" spans="1:15" hidden="1" outlineLevel="2" x14ac:dyDescent="0.35">
      <c r="A592" s="425" t="s">
        <v>7971</v>
      </c>
      <c r="B592" s="327">
        <v>44074</v>
      </c>
      <c r="C592" s="426">
        <v>222</v>
      </c>
      <c r="D592" s="427" t="s">
        <v>8773</v>
      </c>
      <c r="E592" s="426" t="s">
        <v>8548</v>
      </c>
      <c r="F592" s="338">
        <v>407683</v>
      </c>
      <c r="G592" s="338" t="s">
        <v>3800</v>
      </c>
      <c r="H592" s="338"/>
      <c r="I592" s="329">
        <v>95.56830728223062</v>
      </c>
      <c r="J592" s="329"/>
      <c r="K592" s="338">
        <v>23.892076820557655</v>
      </c>
      <c r="L592" s="338">
        <v>23.892076820557655</v>
      </c>
      <c r="M592" s="338">
        <v>23.892076820557655</v>
      </c>
      <c r="N592" s="338">
        <v>23.892076820557655</v>
      </c>
      <c r="O592" s="338"/>
    </row>
    <row r="593" spans="1:15" hidden="1" outlineLevel="2" x14ac:dyDescent="0.35">
      <c r="A593" s="425" t="s">
        <v>7971</v>
      </c>
      <c r="B593" s="327" t="s">
        <v>7984</v>
      </c>
      <c r="C593" s="426" t="s">
        <v>7985</v>
      </c>
      <c r="D593" s="427" t="s">
        <v>8774</v>
      </c>
      <c r="E593" s="426" t="s">
        <v>8545</v>
      </c>
      <c r="F593" s="338">
        <v>407683</v>
      </c>
      <c r="G593" s="338" t="s">
        <v>3800</v>
      </c>
      <c r="H593" s="338"/>
      <c r="I593" s="329">
        <v>97.19292459034115</v>
      </c>
      <c r="J593" s="329"/>
      <c r="K593" s="338">
        <v>24.298231147585287</v>
      </c>
      <c r="L593" s="338">
        <v>24.298231147585287</v>
      </c>
      <c r="M593" s="338">
        <v>24.298231147585287</v>
      </c>
      <c r="N593" s="338">
        <v>24.298231147585287</v>
      </c>
      <c r="O593" s="338"/>
    </row>
    <row r="594" spans="1:15" hidden="1" outlineLevel="2" x14ac:dyDescent="0.35">
      <c r="A594" s="425" t="s">
        <v>7971</v>
      </c>
      <c r="B594" s="327" t="s">
        <v>7984</v>
      </c>
      <c r="C594" s="426" t="s">
        <v>7985</v>
      </c>
      <c r="D594" s="427" t="s">
        <v>8775</v>
      </c>
      <c r="E594" s="426" t="s">
        <v>8144</v>
      </c>
      <c r="F594" s="338">
        <v>407683</v>
      </c>
      <c r="G594" s="338" t="s">
        <v>3800</v>
      </c>
      <c r="H594" s="338"/>
      <c r="I594" s="329">
        <v>97.19292459034115</v>
      </c>
      <c r="J594" s="329"/>
      <c r="K594" s="338">
        <v>24.298231147585287</v>
      </c>
      <c r="L594" s="338">
        <v>24.298231147585287</v>
      </c>
      <c r="M594" s="338">
        <v>24.298231147585287</v>
      </c>
      <c r="N594" s="338">
        <v>24.298231147585287</v>
      </c>
      <c r="O594" s="338"/>
    </row>
    <row r="595" spans="1:15" hidden="1" outlineLevel="2" x14ac:dyDescent="0.35">
      <c r="A595" s="425" t="s">
        <v>7971</v>
      </c>
      <c r="B595" s="327">
        <v>44104</v>
      </c>
      <c r="C595" s="426">
        <v>231</v>
      </c>
      <c r="D595" s="427" t="s">
        <v>8776</v>
      </c>
      <c r="E595" s="426" t="s">
        <v>8705</v>
      </c>
      <c r="F595" s="338">
        <v>457683</v>
      </c>
      <c r="G595" s="338" t="s">
        <v>3800</v>
      </c>
      <c r="H595" s="338"/>
      <c r="I595" s="329">
        <v>107.28921633193721</v>
      </c>
      <c r="J595" s="329"/>
      <c r="K595" s="338">
        <v>26.822304082984303</v>
      </c>
      <c r="L595" s="338">
        <v>26.822304082984303</v>
      </c>
      <c r="M595" s="338">
        <v>26.822304082984303</v>
      </c>
      <c r="N595" s="338">
        <v>26.822304082984303</v>
      </c>
      <c r="O595" s="338"/>
    </row>
    <row r="596" spans="1:15" hidden="1" outlineLevel="2" x14ac:dyDescent="0.35">
      <c r="A596" s="425" t="s">
        <v>7971</v>
      </c>
      <c r="B596" s="327">
        <v>44104</v>
      </c>
      <c r="C596" s="426">
        <v>228</v>
      </c>
      <c r="D596" s="427" t="s">
        <v>8777</v>
      </c>
      <c r="E596" s="426" t="s">
        <v>8545</v>
      </c>
      <c r="F596" s="338">
        <v>407683</v>
      </c>
      <c r="G596" s="338" t="s">
        <v>3800</v>
      </c>
      <c r="H596" s="338"/>
      <c r="I596" s="329">
        <v>95.56830728223062</v>
      </c>
      <c r="J596" s="329"/>
      <c r="K596" s="338">
        <v>23.892076820557655</v>
      </c>
      <c r="L596" s="338">
        <v>23.892076820557655</v>
      </c>
      <c r="M596" s="338">
        <v>23.892076820557655</v>
      </c>
      <c r="N596" s="338">
        <v>23.892076820557655</v>
      </c>
      <c r="O596" s="338"/>
    </row>
    <row r="597" spans="1:15" hidden="1" outlineLevel="2" x14ac:dyDescent="0.35">
      <c r="A597" s="425" t="s">
        <v>7971</v>
      </c>
      <c r="B597" s="327">
        <v>44104</v>
      </c>
      <c r="C597" s="426">
        <v>230</v>
      </c>
      <c r="D597" s="427" t="s">
        <v>8778</v>
      </c>
      <c r="E597" s="426" t="s">
        <v>8144</v>
      </c>
      <c r="F597" s="338">
        <v>407683</v>
      </c>
      <c r="G597" s="338" t="s">
        <v>3800</v>
      </c>
      <c r="H597" s="338"/>
      <c r="I597" s="329">
        <v>95.56830728223062</v>
      </c>
      <c r="J597" s="329"/>
      <c r="K597" s="338">
        <v>23.892076820557655</v>
      </c>
      <c r="L597" s="338">
        <v>23.892076820557655</v>
      </c>
      <c r="M597" s="338">
        <v>23.892076820557655</v>
      </c>
      <c r="N597" s="338">
        <v>23.892076820557655</v>
      </c>
      <c r="O597" s="338"/>
    </row>
    <row r="598" spans="1:15" hidden="1" outlineLevel="2" x14ac:dyDescent="0.35">
      <c r="A598" s="425" t="s">
        <v>7971</v>
      </c>
      <c r="B598" s="327">
        <v>44104</v>
      </c>
      <c r="C598" s="426">
        <v>232</v>
      </c>
      <c r="D598" s="427" t="s">
        <v>8779</v>
      </c>
      <c r="E598" s="426" t="s">
        <v>8548</v>
      </c>
      <c r="F598" s="338">
        <v>407683</v>
      </c>
      <c r="G598" s="338" t="s">
        <v>3800</v>
      </c>
      <c r="H598" s="338"/>
      <c r="I598" s="329">
        <v>95.56830728223062</v>
      </c>
      <c r="J598" s="329"/>
      <c r="K598" s="338">
        <v>23.892076820557655</v>
      </c>
      <c r="L598" s="338">
        <v>23.892076820557655</v>
      </c>
      <c r="M598" s="338">
        <v>23.892076820557655</v>
      </c>
      <c r="N598" s="338">
        <v>23.892076820557655</v>
      </c>
      <c r="O598" s="338"/>
    </row>
    <row r="599" spans="1:15" hidden="1" outlineLevel="2" x14ac:dyDescent="0.35">
      <c r="A599" s="425" t="s">
        <v>7971</v>
      </c>
      <c r="B599" s="327" t="s">
        <v>8005</v>
      </c>
      <c r="C599" s="426" t="s">
        <v>8006</v>
      </c>
      <c r="D599" s="427" t="s">
        <v>8780</v>
      </c>
      <c r="E599" s="426" t="s">
        <v>8545</v>
      </c>
      <c r="F599" s="338">
        <v>407683</v>
      </c>
      <c r="G599" s="338" t="s">
        <v>3800</v>
      </c>
      <c r="H599" s="338"/>
      <c r="I599" s="329">
        <v>97.19292459034115</v>
      </c>
      <c r="J599" s="329"/>
      <c r="K599" s="338">
        <v>24.298231147585287</v>
      </c>
      <c r="L599" s="338">
        <v>24.298231147585287</v>
      </c>
      <c r="M599" s="338">
        <v>24.298231147585287</v>
      </c>
      <c r="N599" s="338">
        <v>24.298231147585287</v>
      </c>
      <c r="O599" s="338"/>
    </row>
    <row r="600" spans="1:15" hidden="1" outlineLevel="2" x14ac:dyDescent="0.35">
      <c r="A600" s="425" t="s">
        <v>7971</v>
      </c>
      <c r="B600" s="327" t="s">
        <v>8005</v>
      </c>
      <c r="C600" s="426" t="s">
        <v>8006</v>
      </c>
      <c r="D600" s="427" t="s">
        <v>8781</v>
      </c>
      <c r="E600" s="426" t="s">
        <v>8144</v>
      </c>
      <c r="F600" s="338">
        <v>407683</v>
      </c>
      <c r="G600" s="338" t="s">
        <v>3800</v>
      </c>
      <c r="H600" s="338"/>
      <c r="I600" s="329">
        <v>97.19292459034115</v>
      </c>
      <c r="J600" s="329"/>
      <c r="K600" s="338">
        <v>24.298231147585287</v>
      </c>
      <c r="L600" s="338">
        <v>24.298231147585287</v>
      </c>
      <c r="M600" s="338">
        <v>24.298231147585287</v>
      </c>
      <c r="N600" s="338">
        <v>24.298231147585287</v>
      </c>
      <c r="O600" s="338"/>
    </row>
    <row r="601" spans="1:15" hidden="1" outlineLevel="2" x14ac:dyDescent="0.35">
      <c r="A601" s="425" t="s">
        <v>7971</v>
      </c>
      <c r="B601" s="327" t="s">
        <v>7999</v>
      </c>
      <c r="C601" s="426" t="s">
        <v>8000</v>
      </c>
      <c r="D601" s="427" t="s">
        <v>8401</v>
      </c>
      <c r="E601" s="426" t="s">
        <v>8545</v>
      </c>
      <c r="F601" s="338">
        <v>200000</v>
      </c>
      <c r="G601" s="338" t="s">
        <v>3800</v>
      </c>
      <c r="H601" s="338"/>
      <c r="I601" s="329">
        <v>47.680636470169794</v>
      </c>
      <c r="J601" s="329"/>
      <c r="K601" s="338">
        <v>11.920159117542449</v>
      </c>
      <c r="L601" s="338">
        <v>11.920159117542449</v>
      </c>
      <c r="M601" s="338">
        <v>11.920159117542449</v>
      </c>
      <c r="N601" s="338">
        <v>11.920159117542449</v>
      </c>
      <c r="O601" s="338"/>
    </row>
    <row r="602" spans="1:15" hidden="1" outlineLevel="2" x14ac:dyDescent="0.35">
      <c r="A602" s="425" t="s">
        <v>7971</v>
      </c>
      <c r="B602" s="327" t="s">
        <v>7999</v>
      </c>
      <c r="C602" s="426" t="s">
        <v>8000</v>
      </c>
      <c r="D602" s="427" t="s">
        <v>8401</v>
      </c>
      <c r="E602" s="426" t="s">
        <v>8144</v>
      </c>
      <c r="F602" s="338">
        <v>200000</v>
      </c>
      <c r="G602" s="338" t="s">
        <v>3800</v>
      </c>
      <c r="H602" s="338"/>
      <c r="I602" s="329">
        <v>47.680636470169794</v>
      </c>
      <c r="J602" s="329"/>
      <c r="K602" s="338">
        <v>11.920159117542449</v>
      </c>
      <c r="L602" s="338">
        <v>11.920159117542449</v>
      </c>
      <c r="M602" s="338">
        <v>11.920159117542449</v>
      </c>
      <c r="N602" s="338">
        <v>11.920159117542449</v>
      </c>
      <c r="O602" s="338"/>
    </row>
    <row r="603" spans="1:15" hidden="1" outlineLevel="2" x14ac:dyDescent="0.35">
      <c r="A603" s="425" t="s">
        <v>7971</v>
      </c>
      <c r="B603" s="327" t="s">
        <v>7999</v>
      </c>
      <c r="C603" s="426" t="s">
        <v>8000</v>
      </c>
      <c r="D603" s="427" t="s">
        <v>8401</v>
      </c>
      <c r="E603" s="426" t="s">
        <v>8110</v>
      </c>
      <c r="F603" s="338">
        <v>200000</v>
      </c>
      <c r="G603" s="338" t="s">
        <v>3800</v>
      </c>
      <c r="H603" s="338"/>
      <c r="I603" s="329">
        <v>47.680636470169794</v>
      </c>
      <c r="J603" s="329"/>
      <c r="K603" s="338">
        <v>11.920159117542449</v>
      </c>
      <c r="L603" s="338">
        <v>11.920159117542449</v>
      </c>
      <c r="M603" s="338">
        <v>11.920159117542449</v>
      </c>
      <c r="N603" s="338">
        <v>11.920159117542449</v>
      </c>
      <c r="O603" s="338"/>
    </row>
    <row r="604" spans="1:15" hidden="1" outlineLevel="2" x14ac:dyDescent="0.35">
      <c r="A604" s="425" t="s">
        <v>7971</v>
      </c>
      <c r="B604" s="327">
        <v>44135</v>
      </c>
      <c r="C604" s="426">
        <v>236</v>
      </c>
      <c r="D604" s="427" t="s">
        <v>8782</v>
      </c>
      <c r="E604" s="426" t="s">
        <v>8545</v>
      </c>
      <c r="F604" s="338">
        <v>611524</v>
      </c>
      <c r="G604" s="338" t="s">
        <v>3800</v>
      </c>
      <c r="H604" s="338"/>
      <c r="I604" s="329">
        <v>143.35234371425543</v>
      </c>
      <c r="J604" s="329"/>
      <c r="K604" s="338">
        <v>35.838085928563856</v>
      </c>
      <c r="L604" s="338">
        <v>35.838085928563856</v>
      </c>
      <c r="M604" s="338">
        <v>35.838085928563856</v>
      </c>
      <c r="N604" s="338">
        <v>35.838085928563856</v>
      </c>
      <c r="O604" s="338"/>
    </row>
    <row r="605" spans="1:15" hidden="1" outlineLevel="2" x14ac:dyDescent="0.35">
      <c r="A605" s="425" t="s">
        <v>7971</v>
      </c>
      <c r="B605" s="327">
        <v>44135</v>
      </c>
      <c r="C605" s="426">
        <v>236</v>
      </c>
      <c r="D605" s="427" t="s">
        <v>8783</v>
      </c>
      <c r="E605" s="426" t="s">
        <v>8144</v>
      </c>
      <c r="F605" s="338">
        <v>611524</v>
      </c>
      <c r="G605" s="338" t="s">
        <v>3800</v>
      </c>
      <c r="H605" s="338"/>
      <c r="I605" s="329">
        <v>143.35234371425543</v>
      </c>
      <c r="J605" s="329"/>
      <c r="K605" s="338">
        <v>35.838085928563856</v>
      </c>
      <c r="L605" s="338">
        <v>35.838085928563856</v>
      </c>
      <c r="M605" s="338">
        <v>35.838085928563856</v>
      </c>
      <c r="N605" s="338">
        <v>35.838085928563856</v>
      </c>
      <c r="O605" s="338"/>
    </row>
    <row r="606" spans="1:15" hidden="1" outlineLevel="2" x14ac:dyDescent="0.35">
      <c r="A606" s="425" t="s">
        <v>7971</v>
      </c>
      <c r="B606" s="327">
        <v>44135</v>
      </c>
      <c r="C606" s="426">
        <v>238</v>
      </c>
      <c r="D606" s="427" t="s">
        <v>8784</v>
      </c>
      <c r="E606" s="426" t="s">
        <v>8548</v>
      </c>
      <c r="F606" s="338">
        <v>611524</v>
      </c>
      <c r="G606" s="338" t="s">
        <v>3800</v>
      </c>
      <c r="H606" s="338"/>
      <c r="I606" s="329">
        <v>143.35234371425543</v>
      </c>
      <c r="J606" s="329"/>
      <c r="K606" s="338">
        <v>35.838085928563856</v>
      </c>
      <c r="L606" s="338">
        <v>35.838085928563856</v>
      </c>
      <c r="M606" s="338">
        <v>35.838085928563856</v>
      </c>
      <c r="N606" s="338">
        <v>35.838085928563856</v>
      </c>
      <c r="O606" s="338"/>
    </row>
    <row r="607" spans="1:15" hidden="1" outlineLevel="2" x14ac:dyDescent="0.35">
      <c r="A607" s="425" t="s">
        <v>7971</v>
      </c>
      <c r="B607" s="327" t="s">
        <v>8002</v>
      </c>
      <c r="C607" s="426" t="s">
        <v>8003</v>
      </c>
      <c r="D607" s="427" t="s">
        <v>8785</v>
      </c>
      <c r="E607" s="426" t="s">
        <v>8545</v>
      </c>
      <c r="F607" s="338">
        <v>611524</v>
      </c>
      <c r="G607" s="338" t="s">
        <v>3800</v>
      </c>
      <c r="H607" s="338"/>
      <c r="I607" s="329">
        <v>145.78926768392057</v>
      </c>
      <c r="J607" s="329"/>
      <c r="K607" s="338">
        <v>36.447316920980143</v>
      </c>
      <c r="L607" s="338">
        <v>36.447316920980143</v>
      </c>
      <c r="M607" s="338">
        <v>36.447316920980143</v>
      </c>
      <c r="N607" s="338">
        <v>36.447316920980143</v>
      </c>
      <c r="O607" s="338"/>
    </row>
    <row r="608" spans="1:15" hidden="1" outlineLevel="2" x14ac:dyDescent="0.35">
      <c r="A608" s="425" t="s">
        <v>7971</v>
      </c>
      <c r="B608" s="327" t="s">
        <v>7999</v>
      </c>
      <c r="C608" s="426" t="s">
        <v>8000</v>
      </c>
      <c r="D608" s="427" t="s">
        <v>8785</v>
      </c>
      <c r="E608" s="426" t="s">
        <v>8545</v>
      </c>
      <c r="F608" s="338">
        <v>611524</v>
      </c>
      <c r="G608" s="338" t="s">
        <v>3800</v>
      </c>
      <c r="H608" s="338"/>
      <c r="I608" s="329">
        <v>145.78926768392057</v>
      </c>
      <c r="J608" s="329"/>
      <c r="K608" s="338">
        <v>36.447316920980143</v>
      </c>
      <c r="L608" s="338">
        <v>36.447316920980143</v>
      </c>
      <c r="M608" s="338">
        <v>36.447316920980143</v>
      </c>
      <c r="N608" s="338">
        <v>36.447316920980143</v>
      </c>
      <c r="O608" s="338"/>
    </row>
    <row r="609" spans="1:15" hidden="1" outlineLevel="2" x14ac:dyDescent="0.35">
      <c r="A609" s="425" t="s">
        <v>7971</v>
      </c>
      <c r="B609" s="327" t="s">
        <v>8002</v>
      </c>
      <c r="C609" s="426" t="s">
        <v>8003</v>
      </c>
      <c r="D609" s="427" t="s">
        <v>8786</v>
      </c>
      <c r="E609" s="426" t="s">
        <v>8144</v>
      </c>
      <c r="F609" s="338">
        <v>611524</v>
      </c>
      <c r="G609" s="338" t="s">
        <v>3800</v>
      </c>
      <c r="H609" s="338"/>
      <c r="I609" s="329">
        <v>145.78926768392057</v>
      </c>
      <c r="J609" s="329"/>
      <c r="K609" s="338">
        <v>36.447316920980143</v>
      </c>
      <c r="L609" s="338">
        <v>36.447316920980143</v>
      </c>
      <c r="M609" s="338">
        <v>36.447316920980143</v>
      </c>
      <c r="N609" s="338">
        <v>36.447316920980143</v>
      </c>
      <c r="O609" s="338"/>
    </row>
    <row r="610" spans="1:15" hidden="1" outlineLevel="2" x14ac:dyDescent="0.35">
      <c r="A610" s="425" t="s">
        <v>7971</v>
      </c>
      <c r="B610" s="327" t="s">
        <v>7999</v>
      </c>
      <c r="C610" s="426" t="s">
        <v>8000</v>
      </c>
      <c r="D610" s="427" t="s">
        <v>8786</v>
      </c>
      <c r="E610" s="426" t="s">
        <v>8144</v>
      </c>
      <c r="F610" s="338">
        <v>611524</v>
      </c>
      <c r="G610" s="338" t="s">
        <v>3800</v>
      </c>
      <c r="H610" s="338"/>
      <c r="I610" s="329">
        <v>145.78926768392057</v>
      </c>
      <c r="J610" s="329"/>
      <c r="K610" s="338">
        <v>36.447316920980143</v>
      </c>
      <c r="L610" s="338">
        <v>36.447316920980143</v>
      </c>
      <c r="M610" s="338">
        <v>36.447316920980143</v>
      </c>
      <c r="N610" s="338">
        <v>36.447316920980143</v>
      </c>
      <c r="O610" s="338"/>
    </row>
    <row r="611" spans="1:15" hidden="1" outlineLevel="2" x14ac:dyDescent="0.35">
      <c r="A611" s="425" t="s">
        <v>7971</v>
      </c>
      <c r="B611" s="327">
        <v>43799</v>
      </c>
      <c r="C611" s="426">
        <v>153</v>
      </c>
      <c r="D611" s="427" t="s">
        <v>8787</v>
      </c>
      <c r="E611" s="426" t="s">
        <v>8552</v>
      </c>
      <c r="F611" s="338">
        <v>611524</v>
      </c>
      <c r="G611" s="338" t="s">
        <v>3800</v>
      </c>
      <c r="H611" s="338"/>
      <c r="I611" s="329">
        <v>143.35234371425543</v>
      </c>
      <c r="J611" s="329"/>
      <c r="K611" s="338">
        <v>35.838085928563856</v>
      </c>
      <c r="L611" s="338">
        <v>35.838085928563856</v>
      </c>
      <c r="M611" s="338">
        <v>35.838085928563856</v>
      </c>
      <c r="N611" s="338">
        <v>35.838085928563856</v>
      </c>
      <c r="O611" s="338"/>
    </row>
    <row r="612" spans="1:15" hidden="1" outlineLevel="2" x14ac:dyDescent="0.35">
      <c r="A612" s="425" t="s">
        <v>7971</v>
      </c>
      <c r="B612" s="327">
        <v>43799</v>
      </c>
      <c r="C612" s="426">
        <v>154</v>
      </c>
      <c r="D612" s="427" t="s">
        <v>8788</v>
      </c>
      <c r="E612" s="426" t="s">
        <v>8554</v>
      </c>
      <c r="F612" s="338">
        <v>611524</v>
      </c>
      <c r="G612" s="338" t="s">
        <v>3800</v>
      </c>
      <c r="H612" s="338"/>
      <c r="I612" s="329">
        <v>143.35234371425543</v>
      </c>
      <c r="J612" s="329"/>
      <c r="K612" s="338">
        <v>35.838085928563856</v>
      </c>
      <c r="L612" s="338">
        <v>35.838085928563856</v>
      </c>
      <c r="M612" s="338">
        <v>35.838085928563856</v>
      </c>
      <c r="N612" s="338">
        <v>35.838085928563856</v>
      </c>
      <c r="O612" s="338"/>
    </row>
    <row r="613" spans="1:15" hidden="1" outlineLevel="2" x14ac:dyDescent="0.35">
      <c r="A613" s="425" t="s">
        <v>7971</v>
      </c>
      <c r="B613" s="327">
        <v>43799</v>
      </c>
      <c r="C613" s="426">
        <v>156</v>
      </c>
      <c r="D613" s="427" t="s">
        <v>8789</v>
      </c>
      <c r="E613" s="426" t="s">
        <v>8556</v>
      </c>
      <c r="F613" s="338">
        <v>611524</v>
      </c>
      <c r="G613" s="338" t="s">
        <v>3800</v>
      </c>
      <c r="H613" s="338"/>
      <c r="I613" s="329">
        <v>143.35234371425543</v>
      </c>
      <c r="J613" s="329"/>
      <c r="K613" s="338">
        <v>35.838085928563856</v>
      </c>
      <c r="L613" s="338">
        <v>35.838085928563856</v>
      </c>
      <c r="M613" s="338">
        <v>35.838085928563856</v>
      </c>
      <c r="N613" s="338">
        <v>35.838085928563856</v>
      </c>
      <c r="O613" s="338"/>
    </row>
    <row r="614" spans="1:15" hidden="1" outlineLevel="2" x14ac:dyDescent="0.35">
      <c r="A614" s="425" t="s">
        <v>7971</v>
      </c>
      <c r="B614" s="327">
        <v>44165</v>
      </c>
      <c r="C614" s="426">
        <v>242</v>
      </c>
      <c r="D614" s="427" t="s">
        <v>8790</v>
      </c>
      <c r="E614" s="426" t="s">
        <v>8545</v>
      </c>
      <c r="F614" s="338">
        <v>611524</v>
      </c>
      <c r="G614" s="338" t="s">
        <v>3800</v>
      </c>
      <c r="H614" s="338"/>
      <c r="I614" s="329">
        <v>143.35234371425543</v>
      </c>
      <c r="J614" s="329"/>
      <c r="K614" s="338">
        <v>35.838085928563856</v>
      </c>
      <c r="L614" s="338">
        <v>35.838085928563856</v>
      </c>
      <c r="M614" s="338">
        <v>35.838085928563856</v>
      </c>
      <c r="N614" s="338">
        <v>35.838085928563856</v>
      </c>
      <c r="O614" s="338"/>
    </row>
    <row r="615" spans="1:15" hidden="1" outlineLevel="2" x14ac:dyDescent="0.35">
      <c r="A615" s="425" t="s">
        <v>7971</v>
      </c>
      <c r="B615" s="327">
        <v>44165</v>
      </c>
      <c r="C615" s="426">
        <v>244</v>
      </c>
      <c r="D615" s="427" t="s">
        <v>8791</v>
      </c>
      <c r="E615" s="426" t="s">
        <v>8144</v>
      </c>
      <c r="F615" s="338">
        <v>611524</v>
      </c>
      <c r="G615" s="338" t="s">
        <v>3800</v>
      </c>
      <c r="H615" s="338"/>
      <c r="I615" s="329">
        <v>143.35234371425543</v>
      </c>
      <c r="J615" s="329"/>
      <c r="K615" s="338">
        <v>35.838085928563856</v>
      </c>
      <c r="L615" s="338">
        <v>35.838085928563856</v>
      </c>
      <c r="M615" s="338">
        <v>35.838085928563856</v>
      </c>
      <c r="N615" s="338">
        <v>35.838085928563856</v>
      </c>
      <c r="O615" s="338"/>
    </row>
    <row r="616" spans="1:15" hidden="1" outlineLevel="2" x14ac:dyDescent="0.35">
      <c r="A616" s="425" t="s">
        <v>7971</v>
      </c>
      <c r="B616" s="327">
        <v>44165</v>
      </c>
      <c r="C616" s="426">
        <v>246</v>
      </c>
      <c r="D616" s="427" t="s">
        <v>8792</v>
      </c>
      <c r="E616" s="426" t="s">
        <v>8548</v>
      </c>
      <c r="F616" s="338">
        <v>611524</v>
      </c>
      <c r="G616" s="338" t="s">
        <v>3800</v>
      </c>
      <c r="H616" s="338"/>
      <c r="I616" s="329">
        <v>143.35234371425543</v>
      </c>
      <c r="J616" s="329"/>
      <c r="K616" s="338">
        <v>35.838085928563856</v>
      </c>
      <c r="L616" s="338">
        <v>35.838085928563856</v>
      </c>
      <c r="M616" s="338">
        <v>35.838085928563856</v>
      </c>
      <c r="N616" s="338">
        <v>35.838085928563856</v>
      </c>
      <c r="O616" s="338"/>
    </row>
    <row r="617" spans="1:15" hidden="1" outlineLevel="2" x14ac:dyDescent="0.35">
      <c r="A617" s="425" t="s">
        <v>7971</v>
      </c>
      <c r="B617" s="327">
        <v>43861</v>
      </c>
      <c r="C617" s="426">
        <v>162</v>
      </c>
      <c r="D617" s="427" t="s">
        <v>8793</v>
      </c>
      <c r="E617" s="426" t="s">
        <v>8545</v>
      </c>
      <c r="F617" s="338">
        <v>611524</v>
      </c>
      <c r="G617" s="338" t="s">
        <v>3800</v>
      </c>
      <c r="H617" s="338"/>
      <c r="I617" s="329">
        <v>143.35234371425543</v>
      </c>
      <c r="J617" s="329"/>
      <c r="K617" s="338">
        <v>35.838085928563856</v>
      </c>
      <c r="L617" s="338">
        <v>35.838085928563856</v>
      </c>
      <c r="M617" s="338">
        <v>35.838085928563856</v>
      </c>
      <c r="N617" s="338">
        <v>35.838085928563856</v>
      </c>
      <c r="O617" s="338"/>
    </row>
    <row r="618" spans="1:15" hidden="1" outlineLevel="2" x14ac:dyDescent="0.35">
      <c r="A618" s="425" t="s">
        <v>7971</v>
      </c>
      <c r="B618" s="327">
        <v>43861</v>
      </c>
      <c r="C618" s="426">
        <v>164</v>
      </c>
      <c r="D618" s="427" t="s">
        <v>8794</v>
      </c>
      <c r="E618" s="426" t="s">
        <v>8562</v>
      </c>
      <c r="F618" s="338">
        <v>611524</v>
      </c>
      <c r="G618" s="338" t="s">
        <v>3800</v>
      </c>
      <c r="H618" s="338"/>
      <c r="I618" s="329">
        <v>143.35234371425543</v>
      </c>
      <c r="J618" s="329"/>
      <c r="K618" s="338">
        <v>35.838085928563856</v>
      </c>
      <c r="L618" s="338">
        <v>35.838085928563856</v>
      </c>
      <c r="M618" s="338">
        <v>35.838085928563856</v>
      </c>
      <c r="N618" s="338">
        <v>35.838085928563856</v>
      </c>
      <c r="O618" s="338"/>
    </row>
    <row r="619" spans="1:15" hidden="1" outlineLevel="2" x14ac:dyDescent="0.35">
      <c r="A619" s="425" t="s">
        <v>7971</v>
      </c>
      <c r="B619" s="327">
        <v>43861</v>
      </c>
      <c r="C619" s="426">
        <v>166</v>
      </c>
      <c r="D619" s="427" t="s">
        <v>8795</v>
      </c>
      <c r="E619" s="426" t="s">
        <v>8548</v>
      </c>
      <c r="F619" s="338">
        <v>611524</v>
      </c>
      <c r="G619" s="338" t="s">
        <v>3800</v>
      </c>
      <c r="H619" s="338"/>
      <c r="I619" s="329">
        <v>143.35234371425543</v>
      </c>
      <c r="J619" s="329"/>
      <c r="K619" s="338">
        <v>35.838085928563856</v>
      </c>
      <c r="L619" s="338">
        <v>35.838085928563856</v>
      </c>
      <c r="M619" s="338">
        <v>35.838085928563856</v>
      </c>
      <c r="N619" s="338">
        <v>35.838085928563856</v>
      </c>
      <c r="O619" s="338"/>
    </row>
    <row r="620" spans="1:15" hidden="1" outlineLevel="2" x14ac:dyDescent="0.35">
      <c r="A620" s="425" t="s">
        <v>7971</v>
      </c>
      <c r="B620" s="327" t="s">
        <v>8077</v>
      </c>
      <c r="C620" s="426" t="s">
        <v>8564</v>
      </c>
      <c r="D620" s="427" t="s">
        <v>8796</v>
      </c>
      <c r="E620" s="426" t="s">
        <v>8545</v>
      </c>
      <c r="F620" s="338">
        <v>611524</v>
      </c>
      <c r="G620" s="338" t="s">
        <v>3800</v>
      </c>
      <c r="H620" s="338"/>
      <c r="I620" s="329">
        <v>145.78926768392057</v>
      </c>
      <c r="J620" s="329"/>
      <c r="K620" s="338">
        <v>36.447316920980143</v>
      </c>
      <c r="L620" s="338">
        <v>36.447316920980143</v>
      </c>
      <c r="M620" s="338">
        <v>36.447316920980143</v>
      </c>
      <c r="N620" s="338">
        <v>36.447316920980143</v>
      </c>
      <c r="O620" s="338"/>
    </row>
    <row r="621" spans="1:15" hidden="1" outlineLevel="2" x14ac:dyDescent="0.35">
      <c r="A621" s="425" t="s">
        <v>7971</v>
      </c>
      <c r="B621" s="327" t="s">
        <v>8077</v>
      </c>
      <c r="C621" s="426" t="s">
        <v>8566</v>
      </c>
      <c r="D621" s="427" t="s">
        <v>8797</v>
      </c>
      <c r="E621" s="426" t="s">
        <v>8144</v>
      </c>
      <c r="F621" s="338">
        <v>611524</v>
      </c>
      <c r="G621" s="338" t="s">
        <v>3800</v>
      </c>
      <c r="H621" s="338"/>
      <c r="I621" s="329">
        <v>145.78926768392057</v>
      </c>
      <c r="J621" s="329"/>
      <c r="K621" s="338">
        <v>36.447316920980143</v>
      </c>
      <c r="L621" s="338">
        <v>36.447316920980143</v>
      </c>
      <c r="M621" s="338">
        <v>36.447316920980143</v>
      </c>
      <c r="N621" s="338">
        <v>36.447316920980143</v>
      </c>
      <c r="O621" s="338"/>
    </row>
    <row r="622" spans="1:15" hidden="1" outlineLevel="2" x14ac:dyDescent="0.35">
      <c r="A622" s="425" t="s">
        <v>7971</v>
      </c>
      <c r="B622" s="327" t="s">
        <v>8077</v>
      </c>
      <c r="C622" s="426" t="s">
        <v>8568</v>
      </c>
      <c r="D622" s="427" t="s">
        <v>8798</v>
      </c>
      <c r="E622" s="426" t="s">
        <v>8548</v>
      </c>
      <c r="F622" s="338">
        <v>611524</v>
      </c>
      <c r="G622" s="338" t="s">
        <v>3800</v>
      </c>
      <c r="H622" s="338"/>
      <c r="I622" s="329">
        <v>145.78926768392057</v>
      </c>
      <c r="J622" s="329"/>
      <c r="K622" s="338">
        <v>36.447316920980143</v>
      </c>
      <c r="L622" s="338">
        <v>36.447316920980143</v>
      </c>
      <c r="M622" s="338">
        <v>36.447316920980143</v>
      </c>
      <c r="N622" s="338">
        <v>36.447316920980143</v>
      </c>
      <c r="O622" s="338"/>
    </row>
    <row r="623" spans="1:15" hidden="1" outlineLevel="2" x14ac:dyDescent="0.35">
      <c r="A623" s="425" t="s">
        <v>7971</v>
      </c>
      <c r="B623" s="327" t="s">
        <v>8079</v>
      </c>
      <c r="C623" s="426" t="s">
        <v>8327</v>
      </c>
      <c r="D623" s="427" t="s">
        <v>8799</v>
      </c>
      <c r="E623" s="426" t="s">
        <v>8545</v>
      </c>
      <c r="F623" s="338">
        <v>611524</v>
      </c>
      <c r="G623" s="338" t="s">
        <v>3800</v>
      </c>
      <c r="H623" s="338"/>
      <c r="I623" s="329">
        <v>145.78926768392057</v>
      </c>
      <c r="J623" s="329"/>
      <c r="K623" s="338">
        <v>36.447316920980143</v>
      </c>
      <c r="L623" s="338">
        <v>36.447316920980143</v>
      </c>
      <c r="M623" s="338">
        <v>36.447316920980143</v>
      </c>
      <c r="N623" s="338">
        <v>36.447316920980143</v>
      </c>
      <c r="O623" s="338"/>
    </row>
    <row r="624" spans="1:15" hidden="1" outlineLevel="2" x14ac:dyDescent="0.35">
      <c r="A624" s="425" t="s">
        <v>7971</v>
      </c>
      <c r="B624" s="327" t="s">
        <v>8079</v>
      </c>
      <c r="C624" s="426" t="s">
        <v>8327</v>
      </c>
      <c r="D624" s="427" t="s">
        <v>8800</v>
      </c>
      <c r="E624" s="426" t="s">
        <v>8144</v>
      </c>
      <c r="F624" s="338">
        <v>611524</v>
      </c>
      <c r="G624" s="338" t="s">
        <v>3800</v>
      </c>
      <c r="H624" s="338"/>
      <c r="I624" s="329">
        <v>145.78926768392057</v>
      </c>
      <c r="J624" s="329"/>
      <c r="K624" s="338">
        <v>36.447316920980143</v>
      </c>
      <c r="L624" s="338">
        <v>36.447316920980143</v>
      </c>
      <c r="M624" s="338">
        <v>36.447316920980143</v>
      </c>
      <c r="N624" s="338">
        <v>36.447316920980143</v>
      </c>
      <c r="O624" s="338"/>
    </row>
    <row r="625" spans="1:15" hidden="1" outlineLevel="2" x14ac:dyDescent="0.35">
      <c r="A625" s="425" t="s">
        <v>7971</v>
      </c>
      <c r="B625" s="327">
        <v>43830</v>
      </c>
      <c r="C625" s="426">
        <v>157</v>
      </c>
      <c r="D625" s="427" t="s">
        <v>8801</v>
      </c>
      <c r="E625" s="426" t="s">
        <v>8552</v>
      </c>
      <c r="F625" s="338">
        <v>611524</v>
      </c>
      <c r="G625" s="338" t="s">
        <v>3800</v>
      </c>
      <c r="H625" s="338"/>
      <c r="I625" s="329">
        <v>143.35234371425543</v>
      </c>
      <c r="J625" s="329"/>
      <c r="K625" s="338">
        <v>35.838085928563856</v>
      </c>
      <c r="L625" s="338">
        <v>35.838085928563856</v>
      </c>
      <c r="M625" s="338">
        <v>35.838085928563856</v>
      </c>
      <c r="N625" s="338">
        <v>35.838085928563856</v>
      </c>
      <c r="O625" s="338"/>
    </row>
    <row r="626" spans="1:15" hidden="1" outlineLevel="2" x14ac:dyDescent="0.35">
      <c r="A626" s="425" t="s">
        <v>7971</v>
      </c>
      <c r="B626" s="327">
        <v>43830</v>
      </c>
      <c r="C626" s="426">
        <v>158</v>
      </c>
      <c r="D626" s="427" t="s">
        <v>8802</v>
      </c>
      <c r="E626" s="426" t="s">
        <v>8554</v>
      </c>
      <c r="F626" s="338">
        <v>611524</v>
      </c>
      <c r="G626" s="338" t="s">
        <v>3800</v>
      </c>
      <c r="H626" s="338"/>
      <c r="I626" s="329">
        <v>143.35234371425543</v>
      </c>
      <c r="J626" s="329"/>
      <c r="K626" s="338">
        <v>35.838085928563856</v>
      </c>
      <c r="L626" s="338">
        <v>35.838085928563856</v>
      </c>
      <c r="M626" s="338">
        <v>35.838085928563856</v>
      </c>
      <c r="N626" s="338">
        <v>35.838085928563856</v>
      </c>
      <c r="O626" s="338"/>
    </row>
    <row r="627" spans="1:15" hidden="1" outlineLevel="2" x14ac:dyDescent="0.35">
      <c r="A627" s="425" t="s">
        <v>7971</v>
      </c>
      <c r="B627" s="327">
        <v>43830</v>
      </c>
      <c r="C627" s="426">
        <v>160</v>
      </c>
      <c r="D627" s="427" t="s">
        <v>8803</v>
      </c>
      <c r="E627" s="426" t="s">
        <v>8575</v>
      </c>
      <c r="F627" s="338">
        <v>611524</v>
      </c>
      <c r="G627" s="338" t="s">
        <v>3800</v>
      </c>
      <c r="H627" s="338"/>
      <c r="I627" s="329">
        <v>143.35234371425543</v>
      </c>
      <c r="J627" s="329"/>
      <c r="K627" s="338">
        <v>35.838085928563856</v>
      </c>
      <c r="L627" s="338">
        <v>35.838085928563856</v>
      </c>
      <c r="M627" s="338">
        <v>35.838085928563856</v>
      </c>
      <c r="N627" s="338">
        <v>35.838085928563856</v>
      </c>
      <c r="O627" s="338"/>
    </row>
    <row r="628" spans="1:15" hidden="1" outlineLevel="2" x14ac:dyDescent="0.35">
      <c r="A628" s="425" t="s">
        <v>7971</v>
      </c>
      <c r="B628" s="327">
        <v>44196</v>
      </c>
      <c r="C628" s="426">
        <v>250</v>
      </c>
      <c r="D628" s="427" t="s">
        <v>8804</v>
      </c>
      <c r="E628" s="426" t="s">
        <v>8545</v>
      </c>
      <c r="F628" s="338">
        <v>611524</v>
      </c>
      <c r="G628" s="338" t="s">
        <v>3800</v>
      </c>
      <c r="H628" s="338"/>
      <c r="I628" s="329">
        <v>143.35234371425543</v>
      </c>
      <c r="J628" s="329"/>
      <c r="K628" s="338">
        <v>35.838085928563856</v>
      </c>
      <c r="L628" s="338">
        <v>35.838085928563856</v>
      </c>
      <c r="M628" s="338">
        <v>35.838085928563856</v>
      </c>
      <c r="N628" s="338">
        <v>35.838085928563856</v>
      </c>
      <c r="O628" s="338"/>
    </row>
    <row r="629" spans="1:15" hidden="1" outlineLevel="2" x14ac:dyDescent="0.35">
      <c r="A629" s="425" t="s">
        <v>7971</v>
      </c>
      <c r="B629" s="327">
        <v>44196</v>
      </c>
      <c r="C629" s="426">
        <v>252</v>
      </c>
      <c r="D629" s="427" t="s">
        <v>8805</v>
      </c>
      <c r="E629" s="426" t="s">
        <v>8144</v>
      </c>
      <c r="F629" s="338">
        <v>611524</v>
      </c>
      <c r="G629" s="338" t="s">
        <v>3800</v>
      </c>
      <c r="H629" s="338"/>
      <c r="I629" s="329">
        <v>143.35234371425543</v>
      </c>
      <c r="J629" s="329"/>
      <c r="K629" s="338">
        <v>35.838085928563856</v>
      </c>
      <c r="L629" s="338">
        <v>35.838085928563856</v>
      </c>
      <c r="M629" s="338">
        <v>35.838085928563856</v>
      </c>
      <c r="N629" s="338">
        <v>35.838085928563856</v>
      </c>
      <c r="O629" s="338"/>
    </row>
    <row r="630" spans="1:15" hidden="1" outlineLevel="2" x14ac:dyDescent="0.35">
      <c r="A630" s="425" t="s">
        <v>7971</v>
      </c>
      <c r="B630" s="327">
        <v>44196</v>
      </c>
      <c r="C630" s="426">
        <v>254</v>
      </c>
      <c r="D630" s="427" t="s">
        <v>8806</v>
      </c>
      <c r="E630" s="426" t="s">
        <v>8548</v>
      </c>
      <c r="F630" s="338">
        <v>611524</v>
      </c>
      <c r="G630" s="338" t="s">
        <v>3800</v>
      </c>
      <c r="H630" s="338"/>
      <c r="I630" s="329">
        <v>143.35234371425543</v>
      </c>
      <c r="J630" s="329"/>
      <c r="K630" s="338">
        <v>35.838085928563856</v>
      </c>
      <c r="L630" s="338">
        <v>35.838085928563856</v>
      </c>
      <c r="M630" s="338">
        <v>35.838085928563856</v>
      </c>
      <c r="N630" s="338">
        <v>35.838085928563856</v>
      </c>
      <c r="O630" s="338"/>
    </row>
    <row r="631" spans="1:15" hidden="1" outlineLevel="2" x14ac:dyDescent="0.35">
      <c r="A631" s="425" t="s">
        <v>7971</v>
      </c>
      <c r="B631" s="327" t="s">
        <v>7987</v>
      </c>
      <c r="C631" s="426" t="s">
        <v>7988</v>
      </c>
      <c r="D631" s="427" t="s">
        <v>8807</v>
      </c>
      <c r="E631" s="426" t="s">
        <v>8545</v>
      </c>
      <c r="F631" s="338">
        <v>611524</v>
      </c>
      <c r="G631" s="338" t="s">
        <v>3800</v>
      </c>
      <c r="H631" s="338"/>
      <c r="I631" s="329">
        <v>145.78926768392057</v>
      </c>
      <c r="J631" s="329"/>
      <c r="K631" s="338">
        <v>36.447316920980143</v>
      </c>
      <c r="L631" s="338">
        <v>36.447316920980143</v>
      </c>
      <c r="M631" s="338">
        <v>36.447316920980143</v>
      </c>
      <c r="N631" s="338">
        <v>36.447316920980143</v>
      </c>
      <c r="O631" s="338"/>
    </row>
    <row r="632" spans="1:15" hidden="1" outlineLevel="2" x14ac:dyDescent="0.35">
      <c r="A632" s="425" t="s">
        <v>7971</v>
      </c>
      <c r="B632" s="327" t="s">
        <v>7987</v>
      </c>
      <c r="C632" s="426" t="s">
        <v>7988</v>
      </c>
      <c r="D632" s="427" t="s">
        <v>8808</v>
      </c>
      <c r="E632" s="426" t="s">
        <v>8144</v>
      </c>
      <c r="F632" s="338">
        <v>611524</v>
      </c>
      <c r="G632" s="338" t="s">
        <v>3800</v>
      </c>
      <c r="H632" s="338"/>
      <c r="I632" s="329">
        <v>145.78926768392057</v>
      </c>
      <c r="J632" s="329"/>
      <c r="K632" s="338">
        <v>36.447316920980143</v>
      </c>
      <c r="L632" s="338">
        <v>36.447316920980143</v>
      </c>
      <c r="M632" s="338">
        <v>36.447316920980143</v>
      </c>
      <c r="N632" s="338">
        <v>36.447316920980143</v>
      </c>
      <c r="O632" s="338"/>
    </row>
    <row r="633" spans="1:15" hidden="1" outlineLevel="2" x14ac:dyDescent="0.35">
      <c r="A633" s="425" t="s">
        <v>7971</v>
      </c>
      <c r="B633" s="327">
        <v>43890</v>
      </c>
      <c r="C633" s="426">
        <v>169</v>
      </c>
      <c r="D633" s="427" t="s">
        <v>8809</v>
      </c>
      <c r="E633" s="426" t="s">
        <v>8545</v>
      </c>
      <c r="F633" s="338">
        <v>611524</v>
      </c>
      <c r="G633" s="338" t="s">
        <v>3800</v>
      </c>
      <c r="H633" s="338"/>
      <c r="I633" s="329">
        <v>143.35234371425543</v>
      </c>
      <c r="J633" s="329"/>
      <c r="K633" s="338">
        <v>35.838085928563856</v>
      </c>
      <c r="L633" s="338">
        <v>35.838085928563856</v>
      </c>
      <c r="M633" s="338">
        <v>35.838085928563856</v>
      </c>
      <c r="N633" s="338">
        <v>35.838085928563856</v>
      </c>
      <c r="O633" s="338"/>
    </row>
    <row r="634" spans="1:15" hidden="1" outlineLevel="2" x14ac:dyDescent="0.35">
      <c r="A634" s="425" t="s">
        <v>7971</v>
      </c>
      <c r="B634" s="327">
        <v>43890</v>
      </c>
      <c r="C634" s="426">
        <v>171</v>
      </c>
      <c r="D634" s="427" t="s">
        <v>8810</v>
      </c>
      <c r="E634" s="426" t="s">
        <v>8144</v>
      </c>
      <c r="F634" s="338">
        <v>611524</v>
      </c>
      <c r="G634" s="338" t="s">
        <v>3800</v>
      </c>
      <c r="H634" s="338"/>
      <c r="I634" s="329">
        <v>143.35234371425543</v>
      </c>
      <c r="J634" s="329"/>
      <c r="K634" s="338">
        <v>35.838085928563856</v>
      </c>
      <c r="L634" s="338">
        <v>35.838085928563856</v>
      </c>
      <c r="M634" s="338">
        <v>35.838085928563856</v>
      </c>
      <c r="N634" s="338">
        <v>35.838085928563856</v>
      </c>
      <c r="O634" s="338"/>
    </row>
    <row r="635" spans="1:15" hidden="1" outlineLevel="2" x14ac:dyDescent="0.35">
      <c r="A635" s="425" t="s">
        <v>7971</v>
      </c>
      <c r="B635" s="327">
        <v>43890</v>
      </c>
      <c r="C635" s="426">
        <v>173</v>
      </c>
      <c r="D635" s="427" t="s">
        <v>8811</v>
      </c>
      <c r="E635" s="426" t="s">
        <v>8548</v>
      </c>
      <c r="F635" s="338">
        <v>611524</v>
      </c>
      <c r="G635" s="338" t="s">
        <v>3800</v>
      </c>
      <c r="H635" s="338"/>
      <c r="I635" s="329">
        <v>143.35234371425543</v>
      </c>
      <c r="J635" s="329"/>
      <c r="K635" s="338">
        <v>35.838085928563856</v>
      </c>
      <c r="L635" s="338">
        <v>35.838085928563856</v>
      </c>
      <c r="M635" s="338">
        <v>35.838085928563856</v>
      </c>
      <c r="N635" s="338">
        <v>35.838085928563856</v>
      </c>
      <c r="O635" s="338"/>
    </row>
    <row r="636" spans="1:15" hidden="1" outlineLevel="2" x14ac:dyDescent="0.35">
      <c r="A636" s="425" t="s">
        <v>7971</v>
      </c>
      <c r="B636" s="327" t="s">
        <v>8075</v>
      </c>
      <c r="C636" s="426" t="s">
        <v>8584</v>
      </c>
      <c r="D636" s="427" t="s">
        <v>8812</v>
      </c>
      <c r="E636" s="426" t="s">
        <v>8545</v>
      </c>
      <c r="F636" s="338">
        <v>611524</v>
      </c>
      <c r="G636" s="338" t="s">
        <v>3800</v>
      </c>
      <c r="H636" s="338"/>
      <c r="I636" s="329">
        <v>145.78926768392057</v>
      </c>
      <c r="J636" s="329"/>
      <c r="K636" s="338">
        <v>36.447316920980143</v>
      </c>
      <c r="L636" s="338">
        <v>36.447316920980143</v>
      </c>
      <c r="M636" s="338">
        <v>36.447316920980143</v>
      </c>
      <c r="N636" s="338">
        <v>36.447316920980143</v>
      </c>
      <c r="O636" s="338"/>
    </row>
    <row r="637" spans="1:15" hidden="1" outlineLevel="2" x14ac:dyDescent="0.35">
      <c r="A637" s="425" t="s">
        <v>7971</v>
      </c>
      <c r="B637" s="327" t="s">
        <v>8075</v>
      </c>
      <c r="C637" s="426" t="s">
        <v>8586</v>
      </c>
      <c r="D637" s="427" t="s">
        <v>8813</v>
      </c>
      <c r="E637" s="426" t="s">
        <v>8144</v>
      </c>
      <c r="F637" s="338">
        <v>611524</v>
      </c>
      <c r="G637" s="338" t="s">
        <v>3800</v>
      </c>
      <c r="H637" s="338"/>
      <c r="I637" s="329">
        <v>145.78926768392057</v>
      </c>
      <c r="J637" s="329"/>
      <c r="K637" s="338">
        <v>36.447316920980143</v>
      </c>
      <c r="L637" s="338">
        <v>36.447316920980143</v>
      </c>
      <c r="M637" s="338">
        <v>36.447316920980143</v>
      </c>
      <c r="N637" s="338">
        <v>36.447316920980143</v>
      </c>
      <c r="O637" s="338"/>
    </row>
    <row r="638" spans="1:15" hidden="1" outlineLevel="2" x14ac:dyDescent="0.35">
      <c r="A638" s="425" t="s">
        <v>7971</v>
      </c>
      <c r="B638" s="327" t="s">
        <v>8075</v>
      </c>
      <c r="C638" s="426" t="s">
        <v>8588</v>
      </c>
      <c r="D638" s="427" t="s">
        <v>8814</v>
      </c>
      <c r="E638" s="426" t="s">
        <v>8548</v>
      </c>
      <c r="F638" s="338">
        <v>611524</v>
      </c>
      <c r="G638" s="338" t="s">
        <v>3800</v>
      </c>
      <c r="H638" s="338"/>
      <c r="I638" s="329">
        <v>145.78926768392057</v>
      </c>
      <c r="J638" s="329"/>
      <c r="K638" s="338">
        <v>36.447316920980143</v>
      </c>
      <c r="L638" s="338">
        <v>36.447316920980143</v>
      </c>
      <c r="M638" s="338">
        <v>36.447316920980143</v>
      </c>
      <c r="N638" s="338">
        <v>36.447316920980143</v>
      </c>
      <c r="O638" s="338"/>
    </row>
    <row r="639" spans="1:15" hidden="1" outlineLevel="2" x14ac:dyDescent="0.35">
      <c r="A639" s="425" t="s">
        <v>7971</v>
      </c>
      <c r="B639" s="327">
        <v>43921</v>
      </c>
      <c r="C639" s="426">
        <v>176</v>
      </c>
      <c r="D639" s="427" t="s">
        <v>8815</v>
      </c>
      <c r="E639" s="426" t="s">
        <v>8545</v>
      </c>
      <c r="F639" s="338">
        <v>611524</v>
      </c>
      <c r="G639" s="338" t="s">
        <v>3800</v>
      </c>
      <c r="H639" s="338"/>
      <c r="I639" s="329">
        <v>143.35234371425543</v>
      </c>
      <c r="J639" s="329"/>
      <c r="K639" s="338">
        <v>35.838085928563856</v>
      </c>
      <c r="L639" s="338">
        <v>35.838085928563856</v>
      </c>
      <c r="M639" s="338">
        <v>35.838085928563856</v>
      </c>
      <c r="N639" s="338">
        <v>35.838085928563856</v>
      </c>
      <c r="O639" s="338"/>
    </row>
    <row r="640" spans="1:15" hidden="1" outlineLevel="2" x14ac:dyDescent="0.35">
      <c r="A640" s="425" t="s">
        <v>7971</v>
      </c>
      <c r="B640" s="327">
        <v>43921</v>
      </c>
      <c r="C640" s="426">
        <v>178</v>
      </c>
      <c r="D640" s="427" t="s">
        <v>8816</v>
      </c>
      <c r="E640" s="426" t="s">
        <v>8144</v>
      </c>
      <c r="F640" s="338">
        <v>611524</v>
      </c>
      <c r="G640" s="338" t="s">
        <v>3800</v>
      </c>
      <c r="H640" s="338"/>
      <c r="I640" s="329">
        <v>143.35234371425543</v>
      </c>
      <c r="J640" s="329"/>
      <c r="K640" s="338">
        <v>35.838085928563856</v>
      </c>
      <c r="L640" s="338">
        <v>35.838085928563856</v>
      </c>
      <c r="M640" s="338">
        <v>35.838085928563856</v>
      </c>
      <c r="N640" s="338">
        <v>35.838085928563856</v>
      </c>
      <c r="O640" s="338"/>
    </row>
    <row r="641" spans="1:15" hidden="1" outlineLevel="2" x14ac:dyDescent="0.35">
      <c r="A641" s="425" t="s">
        <v>7971</v>
      </c>
      <c r="B641" s="327">
        <v>43921</v>
      </c>
      <c r="C641" s="426">
        <v>180</v>
      </c>
      <c r="D641" s="427" t="s">
        <v>8817</v>
      </c>
      <c r="E641" s="426" t="s">
        <v>8548</v>
      </c>
      <c r="F641" s="338">
        <v>611524</v>
      </c>
      <c r="G641" s="338" t="s">
        <v>3800</v>
      </c>
      <c r="H641" s="338"/>
      <c r="I641" s="329">
        <v>143.35234371425543</v>
      </c>
      <c r="J641" s="329"/>
      <c r="K641" s="338">
        <v>35.838085928563856</v>
      </c>
      <c r="L641" s="338">
        <v>35.838085928563856</v>
      </c>
      <c r="M641" s="338">
        <v>35.838085928563856</v>
      </c>
      <c r="N641" s="338">
        <v>35.838085928563856</v>
      </c>
      <c r="O641" s="338"/>
    </row>
    <row r="642" spans="1:15" hidden="1" outlineLevel="2" x14ac:dyDescent="0.35">
      <c r="A642" s="425" t="s">
        <v>7971</v>
      </c>
      <c r="B642" s="327" t="s">
        <v>8089</v>
      </c>
      <c r="C642" s="426" t="s">
        <v>8593</v>
      </c>
      <c r="D642" s="427" t="s">
        <v>8818</v>
      </c>
      <c r="E642" s="426" t="s">
        <v>8545</v>
      </c>
      <c r="F642" s="338">
        <v>611524</v>
      </c>
      <c r="G642" s="338" t="s">
        <v>3800</v>
      </c>
      <c r="H642" s="338"/>
      <c r="I642" s="329">
        <v>145.78926768392057</v>
      </c>
      <c r="J642" s="329"/>
      <c r="K642" s="338">
        <v>36.447316920980143</v>
      </c>
      <c r="L642" s="338">
        <v>36.447316920980143</v>
      </c>
      <c r="M642" s="338">
        <v>36.447316920980143</v>
      </c>
      <c r="N642" s="338">
        <v>36.447316920980143</v>
      </c>
      <c r="O642" s="338"/>
    </row>
    <row r="643" spans="1:15" hidden="1" outlineLevel="2" x14ac:dyDescent="0.35">
      <c r="A643" s="425" t="s">
        <v>7971</v>
      </c>
      <c r="B643" s="327" t="s">
        <v>7980</v>
      </c>
      <c r="C643" s="426" t="s">
        <v>8598</v>
      </c>
      <c r="D643" s="427" t="s">
        <v>8818</v>
      </c>
      <c r="E643" s="426" t="s">
        <v>8545</v>
      </c>
      <c r="F643" s="338">
        <v>611524</v>
      </c>
      <c r="G643" s="338" t="s">
        <v>3800</v>
      </c>
      <c r="H643" s="338"/>
      <c r="I643" s="329">
        <v>145.78926768392057</v>
      </c>
      <c r="J643" s="329"/>
      <c r="K643" s="338">
        <v>36.447316920980143</v>
      </c>
      <c r="L643" s="338">
        <v>36.447316920980143</v>
      </c>
      <c r="M643" s="338">
        <v>36.447316920980143</v>
      </c>
      <c r="N643" s="338">
        <v>36.447316920980143</v>
      </c>
      <c r="O643" s="338"/>
    </row>
    <row r="644" spans="1:15" hidden="1" outlineLevel="2" x14ac:dyDescent="0.35">
      <c r="A644" s="425" t="s">
        <v>7971</v>
      </c>
      <c r="B644" s="327" t="s">
        <v>8089</v>
      </c>
      <c r="C644" s="426" t="s">
        <v>8596</v>
      </c>
      <c r="D644" s="427" t="s">
        <v>8819</v>
      </c>
      <c r="E644" s="426" t="s">
        <v>8144</v>
      </c>
      <c r="F644" s="338">
        <v>611524</v>
      </c>
      <c r="G644" s="338" t="s">
        <v>3800</v>
      </c>
      <c r="H644" s="338"/>
      <c r="I644" s="329">
        <v>145.78926768392057</v>
      </c>
      <c r="J644" s="329"/>
      <c r="K644" s="338">
        <v>36.447316920980143</v>
      </c>
      <c r="L644" s="338">
        <v>36.447316920980143</v>
      </c>
      <c r="M644" s="338">
        <v>36.447316920980143</v>
      </c>
      <c r="N644" s="338">
        <v>36.447316920980143</v>
      </c>
      <c r="O644" s="338"/>
    </row>
    <row r="645" spans="1:15" hidden="1" outlineLevel="2" x14ac:dyDescent="0.35">
      <c r="A645" s="425" t="s">
        <v>7971</v>
      </c>
      <c r="B645" s="327" t="s">
        <v>7980</v>
      </c>
      <c r="C645" s="426" t="s">
        <v>8598</v>
      </c>
      <c r="D645" s="427" t="s">
        <v>8819</v>
      </c>
      <c r="E645" s="426" t="s">
        <v>8144</v>
      </c>
      <c r="F645" s="338">
        <v>611524</v>
      </c>
      <c r="G645" s="338" t="s">
        <v>3800</v>
      </c>
      <c r="H645" s="338"/>
      <c r="I645" s="329">
        <v>145.78926768392057</v>
      </c>
      <c r="J645" s="329"/>
      <c r="K645" s="338">
        <v>36.447316920980143</v>
      </c>
      <c r="L645" s="338">
        <v>36.447316920980143</v>
      </c>
      <c r="M645" s="338">
        <v>36.447316920980143</v>
      </c>
      <c r="N645" s="338">
        <v>36.447316920980143</v>
      </c>
      <c r="O645" s="338"/>
    </row>
    <row r="646" spans="1:15" hidden="1" outlineLevel="2" x14ac:dyDescent="0.35">
      <c r="A646" s="425" t="s">
        <v>7971</v>
      </c>
      <c r="B646" s="327" t="s">
        <v>8089</v>
      </c>
      <c r="C646" s="426" t="s">
        <v>8599</v>
      </c>
      <c r="D646" s="427" t="s">
        <v>8820</v>
      </c>
      <c r="E646" s="426" t="s">
        <v>8548</v>
      </c>
      <c r="F646" s="338">
        <v>611524</v>
      </c>
      <c r="G646" s="338" t="s">
        <v>3800</v>
      </c>
      <c r="H646" s="338"/>
      <c r="I646" s="329">
        <v>145.78926768392057</v>
      </c>
      <c r="J646" s="329"/>
      <c r="K646" s="338">
        <v>36.447316920980143</v>
      </c>
      <c r="L646" s="338">
        <v>36.447316920980143</v>
      </c>
      <c r="M646" s="338">
        <v>36.447316920980143</v>
      </c>
      <c r="N646" s="338">
        <v>36.447316920980143</v>
      </c>
      <c r="O646" s="338"/>
    </row>
    <row r="647" spans="1:15" hidden="1" outlineLevel="2" x14ac:dyDescent="0.35">
      <c r="A647" s="425" t="s">
        <v>7971</v>
      </c>
      <c r="B647" s="327" t="s">
        <v>7980</v>
      </c>
      <c r="C647" s="426" t="s">
        <v>8601</v>
      </c>
      <c r="D647" s="427" t="s">
        <v>8820</v>
      </c>
      <c r="E647" s="426" t="s">
        <v>8548</v>
      </c>
      <c r="F647" s="338">
        <v>611524</v>
      </c>
      <c r="G647" s="338" t="s">
        <v>3800</v>
      </c>
      <c r="H647" s="338"/>
      <c r="I647" s="329">
        <v>145.78926768392057</v>
      </c>
      <c r="J647" s="329"/>
      <c r="K647" s="338">
        <v>36.447316920980143</v>
      </c>
      <c r="L647" s="338">
        <v>36.447316920980143</v>
      </c>
      <c r="M647" s="338">
        <v>36.447316920980143</v>
      </c>
      <c r="N647" s="338">
        <v>36.447316920980143</v>
      </c>
      <c r="O647" s="338"/>
    </row>
    <row r="648" spans="1:15" hidden="1" outlineLevel="2" x14ac:dyDescent="0.35">
      <c r="A648" s="425" t="s">
        <v>7971</v>
      </c>
      <c r="B648" s="327">
        <v>43951</v>
      </c>
      <c r="C648" s="426">
        <v>186</v>
      </c>
      <c r="D648" s="427" t="s">
        <v>8821</v>
      </c>
      <c r="E648" s="426" t="s">
        <v>8545</v>
      </c>
      <c r="F648" s="338">
        <v>611524</v>
      </c>
      <c r="G648" s="338" t="s">
        <v>3800</v>
      </c>
      <c r="H648" s="338"/>
      <c r="I648" s="329">
        <v>143.35234371425543</v>
      </c>
      <c r="J648" s="329"/>
      <c r="K648" s="338">
        <v>35.838085928563856</v>
      </c>
      <c r="L648" s="338">
        <v>35.838085928563856</v>
      </c>
      <c r="M648" s="338">
        <v>35.838085928563856</v>
      </c>
      <c r="N648" s="338">
        <v>35.838085928563856</v>
      </c>
      <c r="O648" s="338"/>
    </row>
    <row r="649" spans="1:15" hidden="1" outlineLevel="2" x14ac:dyDescent="0.35">
      <c r="A649" s="425" t="s">
        <v>7971</v>
      </c>
      <c r="B649" s="327">
        <v>43951</v>
      </c>
      <c r="C649" s="426">
        <v>187</v>
      </c>
      <c r="D649" s="427" t="s">
        <v>8822</v>
      </c>
      <c r="E649" s="426" t="s">
        <v>8144</v>
      </c>
      <c r="F649" s="338">
        <v>611524</v>
      </c>
      <c r="G649" s="338" t="s">
        <v>3800</v>
      </c>
      <c r="H649" s="338"/>
      <c r="I649" s="329">
        <v>143.35234371425543</v>
      </c>
      <c r="J649" s="329"/>
      <c r="K649" s="338">
        <v>35.838085928563856</v>
      </c>
      <c r="L649" s="338">
        <v>35.838085928563856</v>
      </c>
      <c r="M649" s="338">
        <v>35.838085928563856</v>
      </c>
      <c r="N649" s="338">
        <v>35.838085928563856</v>
      </c>
      <c r="O649" s="338"/>
    </row>
    <row r="650" spans="1:15" hidden="1" outlineLevel="2" x14ac:dyDescent="0.35">
      <c r="A650" s="425" t="s">
        <v>7971</v>
      </c>
      <c r="B650" s="327">
        <v>43951</v>
      </c>
      <c r="C650" s="426">
        <v>189</v>
      </c>
      <c r="D650" s="427" t="s">
        <v>8823</v>
      </c>
      <c r="E650" s="426" t="s">
        <v>8548</v>
      </c>
      <c r="F650" s="338">
        <v>611524</v>
      </c>
      <c r="G650" s="338" t="s">
        <v>3800</v>
      </c>
      <c r="H650" s="338"/>
      <c r="I650" s="329">
        <v>143.35234371425543</v>
      </c>
      <c r="J650" s="329"/>
      <c r="K650" s="338">
        <v>35.838085928563856</v>
      </c>
      <c r="L650" s="338">
        <v>35.838085928563856</v>
      </c>
      <c r="M650" s="338">
        <v>35.838085928563856</v>
      </c>
      <c r="N650" s="338">
        <v>35.838085928563856</v>
      </c>
      <c r="O650" s="338"/>
    </row>
    <row r="651" spans="1:15" hidden="1" outlineLevel="2" x14ac:dyDescent="0.35">
      <c r="A651" s="425" t="s">
        <v>7971</v>
      </c>
      <c r="B651" s="327">
        <v>43982</v>
      </c>
      <c r="C651" s="426">
        <v>169</v>
      </c>
      <c r="D651" s="427" t="s">
        <v>8824</v>
      </c>
      <c r="E651" s="426" t="s">
        <v>8545</v>
      </c>
      <c r="F651" s="338">
        <v>611524</v>
      </c>
      <c r="G651" s="338" t="s">
        <v>3800</v>
      </c>
      <c r="H651" s="338"/>
      <c r="I651" s="329">
        <v>143.35234371425543</v>
      </c>
      <c r="J651" s="329"/>
      <c r="K651" s="338">
        <v>35.838085928563856</v>
      </c>
      <c r="L651" s="338">
        <v>35.838085928563856</v>
      </c>
      <c r="M651" s="338">
        <v>35.838085928563856</v>
      </c>
      <c r="N651" s="338">
        <v>35.838085928563856</v>
      </c>
      <c r="O651" s="338"/>
    </row>
    <row r="652" spans="1:15" hidden="1" outlineLevel="2" x14ac:dyDescent="0.35">
      <c r="A652" s="425" t="s">
        <v>7971</v>
      </c>
      <c r="B652" s="327">
        <v>43982</v>
      </c>
      <c r="C652" s="426">
        <v>193</v>
      </c>
      <c r="D652" s="427" t="s">
        <v>8825</v>
      </c>
      <c r="E652" s="426" t="s">
        <v>8144</v>
      </c>
      <c r="F652" s="338">
        <v>611524</v>
      </c>
      <c r="G652" s="338" t="s">
        <v>3800</v>
      </c>
      <c r="H652" s="338"/>
      <c r="I652" s="329">
        <v>143.35234371425543</v>
      </c>
      <c r="J652" s="329"/>
      <c r="K652" s="338">
        <v>35.838085928563856</v>
      </c>
      <c r="L652" s="338">
        <v>35.838085928563856</v>
      </c>
      <c r="M652" s="338">
        <v>35.838085928563856</v>
      </c>
      <c r="N652" s="338">
        <v>35.838085928563856</v>
      </c>
      <c r="O652" s="338"/>
    </row>
    <row r="653" spans="1:15" hidden="1" outlineLevel="2" x14ac:dyDescent="0.35">
      <c r="A653" s="425" t="s">
        <v>7971</v>
      </c>
      <c r="B653" s="327">
        <v>43982</v>
      </c>
      <c r="C653" s="426">
        <v>195</v>
      </c>
      <c r="D653" s="427" t="s">
        <v>8826</v>
      </c>
      <c r="E653" s="426" t="s">
        <v>8548</v>
      </c>
      <c r="F653" s="338">
        <v>611524</v>
      </c>
      <c r="G653" s="338" t="s">
        <v>3800</v>
      </c>
      <c r="H653" s="338"/>
      <c r="I653" s="329">
        <v>143.35234371425543</v>
      </c>
      <c r="J653" s="329"/>
      <c r="K653" s="338">
        <v>35.838085928563856</v>
      </c>
      <c r="L653" s="338">
        <v>35.838085928563856</v>
      </c>
      <c r="M653" s="338">
        <v>35.838085928563856</v>
      </c>
      <c r="N653" s="338">
        <v>35.838085928563856</v>
      </c>
      <c r="O653" s="338"/>
    </row>
    <row r="654" spans="1:15" hidden="1" outlineLevel="2" x14ac:dyDescent="0.35">
      <c r="A654" s="425" t="s">
        <v>7971</v>
      </c>
      <c r="B654" s="327" t="s">
        <v>7996</v>
      </c>
      <c r="C654" s="426" t="s">
        <v>7997</v>
      </c>
      <c r="D654" s="427" t="s">
        <v>8827</v>
      </c>
      <c r="E654" s="426" t="s">
        <v>8545</v>
      </c>
      <c r="F654" s="338">
        <v>611524</v>
      </c>
      <c r="G654" s="338" t="s">
        <v>3800</v>
      </c>
      <c r="H654" s="338"/>
      <c r="I654" s="329">
        <v>145.78926768392057</v>
      </c>
      <c r="J654" s="329"/>
      <c r="K654" s="338">
        <v>36.447316920980143</v>
      </c>
      <c r="L654" s="338">
        <v>36.447316920980143</v>
      </c>
      <c r="M654" s="338">
        <v>36.447316920980143</v>
      </c>
      <c r="N654" s="338">
        <v>36.447316920980143</v>
      </c>
      <c r="O654" s="338"/>
    </row>
    <row r="655" spans="1:15" hidden="1" outlineLevel="2" x14ac:dyDescent="0.35">
      <c r="A655" s="425" t="s">
        <v>7971</v>
      </c>
      <c r="B655" s="327" t="s">
        <v>7996</v>
      </c>
      <c r="C655" s="426" t="s">
        <v>7997</v>
      </c>
      <c r="D655" s="427" t="s">
        <v>8828</v>
      </c>
      <c r="E655" s="426" t="s">
        <v>8144</v>
      </c>
      <c r="F655" s="338">
        <v>611524</v>
      </c>
      <c r="G655" s="338" t="s">
        <v>3800</v>
      </c>
      <c r="H655" s="338"/>
      <c r="I655" s="329">
        <v>145.78926768392057</v>
      </c>
      <c r="J655" s="329"/>
      <c r="K655" s="338">
        <v>36.447316920980143</v>
      </c>
      <c r="L655" s="338">
        <v>36.447316920980143</v>
      </c>
      <c r="M655" s="338">
        <v>36.447316920980143</v>
      </c>
      <c r="N655" s="338">
        <v>36.447316920980143</v>
      </c>
      <c r="O655" s="338"/>
    </row>
    <row r="656" spans="1:15" hidden="1" outlineLevel="2" x14ac:dyDescent="0.35">
      <c r="A656" s="425" t="s">
        <v>7971</v>
      </c>
      <c r="B656" s="327" t="s">
        <v>7996</v>
      </c>
      <c r="C656" s="426" t="s">
        <v>7997</v>
      </c>
      <c r="D656" s="427" t="s">
        <v>8829</v>
      </c>
      <c r="E656" s="426" t="s">
        <v>8548</v>
      </c>
      <c r="F656" s="338">
        <v>611524</v>
      </c>
      <c r="G656" s="338" t="s">
        <v>3800</v>
      </c>
      <c r="H656" s="338"/>
      <c r="I656" s="329">
        <v>145.78926768392057</v>
      </c>
      <c r="J656" s="329"/>
      <c r="K656" s="338">
        <v>36.447316920980143</v>
      </c>
      <c r="L656" s="338">
        <v>36.447316920980143</v>
      </c>
      <c r="M656" s="338">
        <v>36.447316920980143</v>
      </c>
      <c r="N656" s="338">
        <v>36.447316920980143</v>
      </c>
      <c r="O656" s="338"/>
    </row>
    <row r="657" spans="1:15" hidden="1" outlineLevel="2" x14ac:dyDescent="0.35">
      <c r="A657" s="425" t="s">
        <v>7971</v>
      </c>
      <c r="B657" s="327">
        <v>44012</v>
      </c>
      <c r="C657" s="426">
        <v>199</v>
      </c>
      <c r="D657" s="427" t="s">
        <v>8830</v>
      </c>
      <c r="E657" s="426" t="s">
        <v>8545</v>
      </c>
      <c r="F657" s="338">
        <v>611524</v>
      </c>
      <c r="G657" s="338" t="s">
        <v>3800</v>
      </c>
      <c r="H657" s="338"/>
      <c r="I657" s="329">
        <v>143.35234371425543</v>
      </c>
      <c r="J657" s="329"/>
      <c r="K657" s="338">
        <v>35.838085928563856</v>
      </c>
      <c r="L657" s="338">
        <v>35.838085928563856</v>
      </c>
      <c r="M657" s="338">
        <v>35.838085928563856</v>
      </c>
      <c r="N657" s="338">
        <v>35.838085928563856</v>
      </c>
      <c r="O657" s="338"/>
    </row>
    <row r="658" spans="1:15" hidden="1" outlineLevel="2" x14ac:dyDescent="0.35">
      <c r="A658" s="425" t="s">
        <v>7971</v>
      </c>
      <c r="B658" s="327">
        <v>44012</v>
      </c>
      <c r="C658" s="426">
        <v>200</v>
      </c>
      <c r="D658" s="427" t="s">
        <v>8831</v>
      </c>
      <c r="E658" s="426" t="s">
        <v>8144</v>
      </c>
      <c r="F658" s="338">
        <v>611524</v>
      </c>
      <c r="G658" s="338" t="s">
        <v>3800</v>
      </c>
      <c r="H658" s="338"/>
      <c r="I658" s="329">
        <v>143.35234371425543</v>
      </c>
      <c r="J658" s="329"/>
      <c r="K658" s="338">
        <v>35.838085928563856</v>
      </c>
      <c r="L658" s="338">
        <v>35.838085928563856</v>
      </c>
      <c r="M658" s="338">
        <v>35.838085928563856</v>
      </c>
      <c r="N658" s="338">
        <v>35.838085928563856</v>
      </c>
      <c r="O658" s="338"/>
    </row>
    <row r="659" spans="1:15" hidden="1" outlineLevel="2" x14ac:dyDescent="0.35">
      <c r="A659" s="425" t="s">
        <v>7971</v>
      </c>
      <c r="B659" s="327">
        <v>44012</v>
      </c>
      <c r="C659" s="426">
        <v>202</v>
      </c>
      <c r="D659" s="427" t="s">
        <v>8832</v>
      </c>
      <c r="E659" s="426" t="s">
        <v>8548</v>
      </c>
      <c r="F659" s="338">
        <v>611524</v>
      </c>
      <c r="G659" s="338" t="s">
        <v>3800</v>
      </c>
      <c r="H659" s="338"/>
      <c r="I659" s="329">
        <v>143.35234371425543</v>
      </c>
      <c r="J659" s="329"/>
      <c r="K659" s="338">
        <v>35.838085928563856</v>
      </c>
      <c r="L659" s="338">
        <v>35.838085928563856</v>
      </c>
      <c r="M659" s="338">
        <v>35.838085928563856</v>
      </c>
      <c r="N659" s="338">
        <v>35.838085928563856</v>
      </c>
      <c r="O659" s="338"/>
    </row>
    <row r="660" spans="1:15" hidden="1" outlineLevel="2" x14ac:dyDescent="0.35">
      <c r="A660" s="425" t="s">
        <v>7971</v>
      </c>
      <c r="B660" s="327" t="s">
        <v>7993</v>
      </c>
      <c r="C660" s="426" t="s">
        <v>7994</v>
      </c>
      <c r="D660" s="427" t="s">
        <v>8833</v>
      </c>
      <c r="E660" s="426" t="s">
        <v>8545</v>
      </c>
      <c r="F660" s="338">
        <v>611524</v>
      </c>
      <c r="G660" s="338" t="s">
        <v>3800</v>
      </c>
      <c r="H660" s="338"/>
      <c r="I660" s="329">
        <v>145.78926768392057</v>
      </c>
      <c r="J660" s="329"/>
      <c r="K660" s="338">
        <v>36.447316920980143</v>
      </c>
      <c r="L660" s="338">
        <v>36.447316920980143</v>
      </c>
      <c r="M660" s="338">
        <v>36.447316920980143</v>
      </c>
      <c r="N660" s="338">
        <v>36.447316920980143</v>
      </c>
      <c r="O660" s="338"/>
    </row>
    <row r="661" spans="1:15" hidden="1" outlineLevel="2" x14ac:dyDescent="0.35">
      <c r="A661" s="425" t="s">
        <v>7971</v>
      </c>
      <c r="B661" s="327" t="s">
        <v>7993</v>
      </c>
      <c r="C661" s="426" t="s">
        <v>7994</v>
      </c>
      <c r="D661" s="427" t="s">
        <v>8834</v>
      </c>
      <c r="E661" s="426" t="s">
        <v>8144</v>
      </c>
      <c r="F661" s="338">
        <v>611524</v>
      </c>
      <c r="G661" s="338" t="s">
        <v>3800</v>
      </c>
      <c r="H661" s="338"/>
      <c r="I661" s="329">
        <v>145.78926768392057</v>
      </c>
      <c r="J661" s="329"/>
      <c r="K661" s="338">
        <v>36.447316920980143</v>
      </c>
      <c r="L661" s="338">
        <v>36.447316920980143</v>
      </c>
      <c r="M661" s="338">
        <v>36.447316920980143</v>
      </c>
      <c r="N661" s="338">
        <v>36.447316920980143</v>
      </c>
      <c r="O661" s="338"/>
    </row>
    <row r="662" spans="1:15" hidden="1" outlineLevel="2" x14ac:dyDescent="0.35">
      <c r="A662" s="425" t="s">
        <v>7971</v>
      </c>
      <c r="B662" s="327" t="s">
        <v>7993</v>
      </c>
      <c r="C662" s="426" t="s">
        <v>7994</v>
      </c>
      <c r="D662" s="427" t="s">
        <v>8835</v>
      </c>
      <c r="E662" s="426" t="s">
        <v>8548</v>
      </c>
      <c r="F662" s="338">
        <v>611524</v>
      </c>
      <c r="G662" s="338" t="s">
        <v>3800</v>
      </c>
      <c r="H662" s="338"/>
      <c r="I662" s="329">
        <v>145.78926768392057</v>
      </c>
      <c r="J662" s="329"/>
      <c r="K662" s="338">
        <v>36.447316920980143</v>
      </c>
      <c r="L662" s="338">
        <v>36.447316920980143</v>
      </c>
      <c r="M662" s="338">
        <v>36.447316920980143</v>
      </c>
      <c r="N662" s="338">
        <v>36.447316920980143</v>
      </c>
      <c r="O662" s="338"/>
    </row>
    <row r="663" spans="1:15" hidden="1" outlineLevel="2" x14ac:dyDescent="0.35">
      <c r="A663" s="425" t="s">
        <v>7971</v>
      </c>
      <c r="B663" s="327">
        <v>44043</v>
      </c>
      <c r="C663" s="426">
        <v>205</v>
      </c>
      <c r="D663" s="427" t="s">
        <v>8836</v>
      </c>
      <c r="E663" s="426" t="s">
        <v>8545</v>
      </c>
      <c r="F663" s="338">
        <v>611524</v>
      </c>
      <c r="G663" s="338" t="s">
        <v>3800</v>
      </c>
      <c r="H663" s="338"/>
      <c r="I663" s="329">
        <v>143.35234371425543</v>
      </c>
      <c r="J663" s="329"/>
      <c r="K663" s="338">
        <v>35.838085928563856</v>
      </c>
      <c r="L663" s="338">
        <v>35.838085928563856</v>
      </c>
      <c r="M663" s="338">
        <v>35.838085928563856</v>
      </c>
      <c r="N663" s="338">
        <v>35.838085928563856</v>
      </c>
      <c r="O663" s="338"/>
    </row>
    <row r="664" spans="1:15" hidden="1" outlineLevel="2" x14ac:dyDescent="0.35">
      <c r="A664" s="425" t="s">
        <v>7971</v>
      </c>
      <c r="B664" s="327">
        <v>44043</v>
      </c>
      <c r="C664" s="426">
        <v>206</v>
      </c>
      <c r="D664" s="427" t="s">
        <v>8837</v>
      </c>
      <c r="E664" s="426" t="s">
        <v>8144</v>
      </c>
      <c r="F664" s="338">
        <v>611524</v>
      </c>
      <c r="G664" s="338" t="s">
        <v>3800</v>
      </c>
      <c r="H664" s="338"/>
      <c r="I664" s="329">
        <v>143.35234371425543</v>
      </c>
      <c r="J664" s="329"/>
      <c r="K664" s="338">
        <v>35.838085928563856</v>
      </c>
      <c r="L664" s="338">
        <v>35.838085928563856</v>
      </c>
      <c r="M664" s="338">
        <v>35.838085928563856</v>
      </c>
      <c r="N664" s="338">
        <v>35.838085928563856</v>
      </c>
      <c r="O664" s="338"/>
    </row>
    <row r="665" spans="1:15" hidden="1" outlineLevel="2" x14ac:dyDescent="0.35">
      <c r="A665" s="425" t="s">
        <v>7971</v>
      </c>
      <c r="B665" s="327">
        <v>44043</v>
      </c>
      <c r="C665" s="426">
        <v>208</v>
      </c>
      <c r="D665" s="427" t="s">
        <v>8838</v>
      </c>
      <c r="E665" s="426" t="s">
        <v>8548</v>
      </c>
      <c r="F665" s="338">
        <v>611524</v>
      </c>
      <c r="G665" s="338" t="s">
        <v>3800</v>
      </c>
      <c r="H665" s="338"/>
      <c r="I665" s="329">
        <v>143.35234371425543</v>
      </c>
      <c r="J665" s="329"/>
      <c r="K665" s="338">
        <v>35.838085928563856</v>
      </c>
      <c r="L665" s="338">
        <v>35.838085928563856</v>
      </c>
      <c r="M665" s="338">
        <v>35.838085928563856</v>
      </c>
      <c r="N665" s="338">
        <v>35.838085928563856</v>
      </c>
      <c r="O665" s="338"/>
    </row>
    <row r="666" spans="1:15" hidden="1" outlineLevel="2" x14ac:dyDescent="0.35">
      <c r="A666" s="425" t="s">
        <v>7971</v>
      </c>
      <c r="B666" s="327" t="s">
        <v>7990</v>
      </c>
      <c r="C666" s="426" t="s">
        <v>7991</v>
      </c>
      <c r="D666" s="427" t="s">
        <v>8839</v>
      </c>
      <c r="E666" s="426" t="s">
        <v>8545</v>
      </c>
      <c r="F666" s="338">
        <v>611524</v>
      </c>
      <c r="G666" s="338" t="s">
        <v>3800</v>
      </c>
      <c r="H666" s="338"/>
      <c r="I666" s="329">
        <v>145.78926768392057</v>
      </c>
      <c r="J666" s="329"/>
      <c r="K666" s="338">
        <v>36.447316920980143</v>
      </c>
      <c r="L666" s="338">
        <v>36.447316920980143</v>
      </c>
      <c r="M666" s="338">
        <v>36.447316920980143</v>
      </c>
      <c r="N666" s="338">
        <v>36.447316920980143</v>
      </c>
      <c r="O666" s="338"/>
    </row>
    <row r="667" spans="1:15" hidden="1" outlineLevel="2" x14ac:dyDescent="0.35">
      <c r="A667" s="425" t="s">
        <v>7971</v>
      </c>
      <c r="B667" s="327" t="s">
        <v>7990</v>
      </c>
      <c r="C667" s="426" t="s">
        <v>7991</v>
      </c>
      <c r="D667" s="427" t="s">
        <v>8840</v>
      </c>
      <c r="E667" s="426" t="s">
        <v>8144</v>
      </c>
      <c r="F667" s="338">
        <v>611524</v>
      </c>
      <c r="G667" s="338" t="s">
        <v>3800</v>
      </c>
      <c r="H667" s="338"/>
      <c r="I667" s="329">
        <v>145.78926768392057</v>
      </c>
      <c r="J667" s="329"/>
      <c r="K667" s="338">
        <v>36.447316920980143</v>
      </c>
      <c r="L667" s="338">
        <v>36.447316920980143</v>
      </c>
      <c r="M667" s="338">
        <v>36.447316920980143</v>
      </c>
      <c r="N667" s="338">
        <v>36.447316920980143</v>
      </c>
      <c r="O667" s="338"/>
    </row>
    <row r="668" spans="1:15" hidden="1" outlineLevel="2" x14ac:dyDescent="0.35">
      <c r="A668" s="425" t="s">
        <v>7971</v>
      </c>
      <c r="B668" s="327">
        <v>44074</v>
      </c>
      <c r="C668" s="426">
        <v>218</v>
      </c>
      <c r="D668" s="427" t="s">
        <v>8841</v>
      </c>
      <c r="E668" s="426" t="s">
        <v>8545</v>
      </c>
      <c r="F668" s="338">
        <v>611524</v>
      </c>
      <c r="G668" s="338" t="s">
        <v>3800</v>
      </c>
      <c r="H668" s="338"/>
      <c r="I668" s="329">
        <v>143.35234371425543</v>
      </c>
      <c r="J668" s="329"/>
      <c r="K668" s="338">
        <v>35.838085928563856</v>
      </c>
      <c r="L668" s="338">
        <v>35.838085928563856</v>
      </c>
      <c r="M668" s="338">
        <v>35.838085928563856</v>
      </c>
      <c r="N668" s="338">
        <v>35.838085928563856</v>
      </c>
      <c r="O668" s="338"/>
    </row>
    <row r="669" spans="1:15" hidden="1" outlineLevel="2" x14ac:dyDescent="0.35">
      <c r="A669" s="425" t="s">
        <v>7971</v>
      </c>
      <c r="B669" s="327">
        <v>44074</v>
      </c>
      <c r="C669" s="426">
        <v>220</v>
      </c>
      <c r="D669" s="427" t="s">
        <v>8842</v>
      </c>
      <c r="E669" s="426" t="s">
        <v>8144</v>
      </c>
      <c r="F669" s="338">
        <v>611524</v>
      </c>
      <c r="G669" s="338" t="s">
        <v>3800</v>
      </c>
      <c r="H669" s="338"/>
      <c r="I669" s="329">
        <v>143.35234371425543</v>
      </c>
      <c r="J669" s="329"/>
      <c r="K669" s="338">
        <v>35.838085928563856</v>
      </c>
      <c r="L669" s="338">
        <v>35.838085928563856</v>
      </c>
      <c r="M669" s="338">
        <v>35.838085928563856</v>
      </c>
      <c r="N669" s="338">
        <v>35.838085928563856</v>
      </c>
      <c r="O669" s="338"/>
    </row>
    <row r="670" spans="1:15" hidden="1" outlineLevel="2" x14ac:dyDescent="0.35">
      <c r="A670" s="425" t="s">
        <v>7971</v>
      </c>
      <c r="B670" s="327">
        <v>44074</v>
      </c>
      <c r="C670" s="426">
        <v>222</v>
      </c>
      <c r="D670" s="427" t="s">
        <v>8843</v>
      </c>
      <c r="E670" s="426" t="s">
        <v>8548</v>
      </c>
      <c r="F670" s="338">
        <v>611524</v>
      </c>
      <c r="G670" s="338" t="s">
        <v>3800</v>
      </c>
      <c r="H670" s="338"/>
      <c r="I670" s="329">
        <v>143.35234371425543</v>
      </c>
      <c r="J670" s="329"/>
      <c r="K670" s="338">
        <v>35.838085928563856</v>
      </c>
      <c r="L670" s="338">
        <v>35.838085928563856</v>
      </c>
      <c r="M670" s="338">
        <v>35.838085928563856</v>
      </c>
      <c r="N670" s="338">
        <v>35.838085928563856</v>
      </c>
      <c r="O670" s="338"/>
    </row>
    <row r="671" spans="1:15" hidden="1" outlineLevel="2" x14ac:dyDescent="0.35">
      <c r="A671" s="425" t="s">
        <v>7971</v>
      </c>
      <c r="B671" s="327" t="s">
        <v>7984</v>
      </c>
      <c r="C671" s="426" t="s">
        <v>7985</v>
      </c>
      <c r="D671" s="427" t="s">
        <v>8844</v>
      </c>
      <c r="E671" s="426" t="s">
        <v>8545</v>
      </c>
      <c r="F671" s="338">
        <v>611524</v>
      </c>
      <c r="G671" s="338" t="s">
        <v>3800</v>
      </c>
      <c r="H671" s="338"/>
      <c r="I671" s="329">
        <v>145.78926768392057</v>
      </c>
      <c r="J671" s="329"/>
      <c r="K671" s="338">
        <v>36.447316920980143</v>
      </c>
      <c r="L671" s="338">
        <v>36.447316920980143</v>
      </c>
      <c r="M671" s="338">
        <v>36.447316920980143</v>
      </c>
      <c r="N671" s="338">
        <v>36.447316920980143</v>
      </c>
      <c r="O671" s="338"/>
    </row>
    <row r="672" spans="1:15" hidden="1" outlineLevel="2" x14ac:dyDescent="0.35">
      <c r="A672" s="425" t="s">
        <v>7971</v>
      </c>
      <c r="B672" s="327" t="s">
        <v>7984</v>
      </c>
      <c r="C672" s="426" t="s">
        <v>7985</v>
      </c>
      <c r="D672" s="427" t="s">
        <v>8845</v>
      </c>
      <c r="E672" s="426" t="s">
        <v>8144</v>
      </c>
      <c r="F672" s="338">
        <v>611524</v>
      </c>
      <c r="G672" s="338" t="s">
        <v>3800</v>
      </c>
      <c r="H672" s="338"/>
      <c r="I672" s="329">
        <v>145.78926768392057</v>
      </c>
      <c r="J672" s="329"/>
      <c r="K672" s="338">
        <v>36.447316920980143</v>
      </c>
      <c r="L672" s="338">
        <v>36.447316920980143</v>
      </c>
      <c r="M672" s="338">
        <v>36.447316920980143</v>
      </c>
      <c r="N672" s="338">
        <v>36.447316920980143</v>
      </c>
      <c r="O672" s="338"/>
    </row>
    <row r="673" spans="1:15" hidden="1" outlineLevel="2" x14ac:dyDescent="0.35">
      <c r="A673" s="425" t="s">
        <v>7971</v>
      </c>
      <c r="B673" s="327">
        <v>44104</v>
      </c>
      <c r="C673" s="426">
        <v>228</v>
      </c>
      <c r="D673" s="427" t="s">
        <v>8846</v>
      </c>
      <c r="E673" s="426" t="s">
        <v>8545</v>
      </c>
      <c r="F673" s="338">
        <v>611524</v>
      </c>
      <c r="G673" s="338" t="s">
        <v>3800</v>
      </c>
      <c r="H673" s="338"/>
      <c r="I673" s="329">
        <v>143.35234371425543</v>
      </c>
      <c r="J673" s="329"/>
      <c r="K673" s="338">
        <v>35.838085928563856</v>
      </c>
      <c r="L673" s="338">
        <v>35.838085928563856</v>
      </c>
      <c r="M673" s="338">
        <v>35.838085928563856</v>
      </c>
      <c r="N673" s="338">
        <v>35.838085928563856</v>
      </c>
      <c r="O673" s="338"/>
    </row>
    <row r="674" spans="1:15" hidden="1" outlineLevel="2" x14ac:dyDescent="0.35">
      <c r="A674" s="425" t="s">
        <v>7971</v>
      </c>
      <c r="B674" s="327">
        <v>44104</v>
      </c>
      <c r="C674" s="426">
        <v>230</v>
      </c>
      <c r="D674" s="427" t="s">
        <v>8847</v>
      </c>
      <c r="E674" s="426" t="s">
        <v>8144</v>
      </c>
      <c r="F674" s="338">
        <v>611524</v>
      </c>
      <c r="G674" s="338" t="s">
        <v>3800</v>
      </c>
      <c r="H674" s="338"/>
      <c r="I674" s="329">
        <v>143.35234371425543</v>
      </c>
      <c r="J674" s="329"/>
      <c r="K674" s="338">
        <v>35.838085928563856</v>
      </c>
      <c r="L674" s="338">
        <v>35.838085928563856</v>
      </c>
      <c r="M674" s="338">
        <v>35.838085928563856</v>
      </c>
      <c r="N674" s="338">
        <v>35.838085928563856</v>
      </c>
      <c r="O674" s="338"/>
    </row>
    <row r="675" spans="1:15" hidden="1" outlineLevel="2" x14ac:dyDescent="0.35">
      <c r="A675" s="425" t="s">
        <v>7971</v>
      </c>
      <c r="B675" s="327">
        <v>44104</v>
      </c>
      <c r="C675" s="426">
        <v>232</v>
      </c>
      <c r="D675" s="427" t="s">
        <v>8848</v>
      </c>
      <c r="E675" s="426" t="s">
        <v>8548</v>
      </c>
      <c r="F675" s="338">
        <v>611524</v>
      </c>
      <c r="G675" s="338" t="s">
        <v>3800</v>
      </c>
      <c r="H675" s="338"/>
      <c r="I675" s="329">
        <v>143.35234371425543</v>
      </c>
      <c r="J675" s="329"/>
      <c r="K675" s="338">
        <v>35.838085928563856</v>
      </c>
      <c r="L675" s="338">
        <v>35.838085928563856</v>
      </c>
      <c r="M675" s="338">
        <v>35.838085928563856</v>
      </c>
      <c r="N675" s="338">
        <v>35.838085928563856</v>
      </c>
      <c r="O675" s="338"/>
    </row>
    <row r="676" spans="1:15" hidden="1" outlineLevel="2" x14ac:dyDescent="0.35">
      <c r="A676" s="425" t="s">
        <v>7971</v>
      </c>
      <c r="B676" s="327" t="s">
        <v>8005</v>
      </c>
      <c r="C676" s="426" t="s">
        <v>8006</v>
      </c>
      <c r="D676" s="427" t="s">
        <v>8849</v>
      </c>
      <c r="E676" s="426" t="s">
        <v>8545</v>
      </c>
      <c r="F676" s="338">
        <v>611524</v>
      </c>
      <c r="G676" s="338" t="s">
        <v>3800</v>
      </c>
      <c r="H676" s="338"/>
      <c r="I676" s="329">
        <v>145.78926768392057</v>
      </c>
      <c r="J676" s="329"/>
      <c r="K676" s="338">
        <v>36.447316920980143</v>
      </c>
      <c r="L676" s="338">
        <v>36.447316920980143</v>
      </c>
      <c r="M676" s="338">
        <v>36.447316920980143</v>
      </c>
      <c r="N676" s="338">
        <v>36.447316920980143</v>
      </c>
      <c r="O676" s="338"/>
    </row>
    <row r="677" spans="1:15" hidden="1" outlineLevel="2" x14ac:dyDescent="0.35">
      <c r="A677" s="425" t="s">
        <v>7971</v>
      </c>
      <c r="B677" s="327" t="s">
        <v>8005</v>
      </c>
      <c r="C677" s="426" t="s">
        <v>8006</v>
      </c>
      <c r="D677" s="427" t="s">
        <v>8850</v>
      </c>
      <c r="E677" s="426" t="s">
        <v>8144</v>
      </c>
      <c r="F677" s="338">
        <v>611524</v>
      </c>
      <c r="G677" s="338" t="s">
        <v>3800</v>
      </c>
      <c r="H677" s="338"/>
      <c r="I677" s="329">
        <v>145.78926768392057</v>
      </c>
      <c r="J677" s="329"/>
      <c r="K677" s="338">
        <v>36.447316920980143</v>
      </c>
      <c r="L677" s="338">
        <v>36.447316920980143</v>
      </c>
      <c r="M677" s="338">
        <v>36.447316920980143</v>
      </c>
      <c r="N677" s="338">
        <v>36.447316920980143</v>
      </c>
      <c r="O677" s="338"/>
    </row>
    <row r="678" spans="1:15" outlineLevel="1" collapsed="1" x14ac:dyDescent="0.35">
      <c r="A678" s="432" t="s">
        <v>8851</v>
      </c>
      <c r="B678" s="327"/>
      <c r="C678" s="426"/>
      <c r="D678" s="427"/>
      <c r="E678" s="426"/>
      <c r="F678" s="338"/>
      <c r="G678" s="338"/>
      <c r="H678" s="338"/>
      <c r="I678" s="329">
        <f t="shared" ref="I678:O678" si="17">SUBTOTAL(9,I367:I677)</f>
        <v>97635.693708260049</v>
      </c>
      <c r="J678" s="329"/>
      <c r="K678" s="338">
        <f t="shared" si="17"/>
        <v>24408.923427065012</v>
      </c>
      <c r="L678" s="338">
        <f t="shared" si="17"/>
        <v>24408.923427065012</v>
      </c>
      <c r="M678" s="338">
        <f t="shared" si="17"/>
        <v>24408.923427065012</v>
      </c>
      <c r="N678" s="338">
        <f t="shared" si="17"/>
        <v>24408.923427065012</v>
      </c>
      <c r="O678" s="338">
        <f t="shared" si="17"/>
        <v>0</v>
      </c>
    </row>
    <row r="679" spans="1:15" hidden="1" outlineLevel="2" x14ac:dyDescent="0.35">
      <c r="A679" s="425" t="s">
        <v>224</v>
      </c>
      <c r="B679" s="327">
        <v>44286</v>
      </c>
      <c r="C679" s="426" t="s">
        <v>1101</v>
      </c>
      <c r="D679" s="427" t="s">
        <v>8852</v>
      </c>
      <c r="E679" s="426" t="s">
        <v>1089</v>
      </c>
      <c r="F679" s="338">
        <v>474.12</v>
      </c>
      <c r="G679" s="338" t="s">
        <v>56</v>
      </c>
      <c r="H679" s="338"/>
      <c r="I679" s="329">
        <v>474.12</v>
      </c>
      <c r="J679" s="329"/>
      <c r="K679" s="338">
        <f t="shared" ref="K679:N689" si="18">$I679/4</f>
        <v>118.53</v>
      </c>
      <c r="L679" s="338">
        <f t="shared" si="18"/>
        <v>118.53</v>
      </c>
      <c r="M679" s="338">
        <f t="shared" si="18"/>
        <v>118.53</v>
      </c>
      <c r="N679" s="338">
        <f t="shared" si="18"/>
        <v>118.53</v>
      </c>
      <c r="O679" s="338"/>
    </row>
    <row r="680" spans="1:15" hidden="1" outlineLevel="2" x14ac:dyDescent="0.35">
      <c r="A680" s="425" t="s">
        <v>224</v>
      </c>
      <c r="B680" s="327">
        <v>43921</v>
      </c>
      <c r="C680" s="426" t="s">
        <v>1092</v>
      </c>
      <c r="D680" s="427" t="s">
        <v>1093</v>
      </c>
      <c r="E680" s="426" t="s">
        <v>1089</v>
      </c>
      <c r="F680" s="338">
        <v>598.89</v>
      </c>
      <c r="G680" s="338" t="s">
        <v>56</v>
      </c>
      <c r="H680" s="338"/>
      <c r="I680" s="329">
        <v>598.89</v>
      </c>
      <c r="J680" s="329"/>
      <c r="K680" s="338">
        <f t="shared" si="18"/>
        <v>149.7225</v>
      </c>
      <c r="L680" s="338">
        <f t="shared" si="18"/>
        <v>149.7225</v>
      </c>
      <c r="M680" s="338">
        <f t="shared" si="18"/>
        <v>149.7225</v>
      </c>
      <c r="N680" s="338">
        <f t="shared" si="18"/>
        <v>149.7225</v>
      </c>
      <c r="O680" s="338"/>
    </row>
    <row r="681" spans="1:15" hidden="1" outlineLevel="2" x14ac:dyDescent="0.35">
      <c r="A681" s="425" t="s">
        <v>224</v>
      </c>
      <c r="B681" s="327">
        <v>44012</v>
      </c>
      <c r="C681" s="426" t="s">
        <v>1094</v>
      </c>
      <c r="D681" s="427" t="s">
        <v>1095</v>
      </c>
      <c r="E681" s="426" t="s">
        <v>1089</v>
      </c>
      <c r="F681" s="338">
        <v>598.89</v>
      </c>
      <c r="G681" s="338" t="s">
        <v>56</v>
      </c>
      <c r="H681" s="338"/>
      <c r="I681" s="329">
        <v>598.89</v>
      </c>
      <c r="J681" s="329"/>
      <c r="K681" s="338">
        <f t="shared" si="18"/>
        <v>149.7225</v>
      </c>
      <c r="L681" s="338">
        <f t="shared" si="18"/>
        <v>149.7225</v>
      </c>
      <c r="M681" s="338">
        <f t="shared" si="18"/>
        <v>149.7225</v>
      </c>
      <c r="N681" s="338">
        <f t="shared" si="18"/>
        <v>149.7225</v>
      </c>
      <c r="O681" s="338"/>
    </row>
    <row r="682" spans="1:15" hidden="1" outlineLevel="2" x14ac:dyDescent="0.35">
      <c r="A682" s="425" t="s">
        <v>224</v>
      </c>
      <c r="B682" s="327">
        <v>43738</v>
      </c>
      <c r="C682" s="426" t="s">
        <v>1087</v>
      </c>
      <c r="D682" s="427" t="s">
        <v>1088</v>
      </c>
      <c r="E682" s="426" t="s">
        <v>1089</v>
      </c>
      <c r="F682" s="338">
        <v>499.08</v>
      </c>
      <c r="G682" s="338" t="s">
        <v>56</v>
      </c>
      <c r="H682" s="338"/>
      <c r="I682" s="329">
        <v>499.08</v>
      </c>
      <c r="J682" s="329"/>
      <c r="K682" s="338">
        <f t="shared" si="18"/>
        <v>124.77</v>
      </c>
      <c r="L682" s="338">
        <f t="shared" si="18"/>
        <v>124.77</v>
      </c>
      <c r="M682" s="338">
        <f t="shared" si="18"/>
        <v>124.77</v>
      </c>
      <c r="N682" s="338">
        <f t="shared" si="18"/>
        <v>124.77</v>
      </c>
      <c r="O682" s="338"/>
    </row>
    <row r="683" spans="1:15" hidden="1" outlineLevel="2" x14ac:dyDescent="0.35">
      <c r="A683" s="425" t="s">
        <v>224</v>
      </c>
      <c r="B683" s="327">
        <v>44104</v>
      </c>
      <c r="C683" s="426" t="s">
        <v>1096</v>
      </c>
      <c r="D683" s="427" t="s">
        <v>1097</v>
      </c>
      <c r="E683" s="426" t="s">
        <v>1089</v>
      </c>
      <c r="F683" s="338">
        <v>349.35</v>
      </c>
      <c r="G683" s="338" t="s">
        <v>56</v>
      </c>
      <c r="H683" s="338"/>
      <c r="I683" s="329">
        <v>349.35</v>
      </c>
      <c r="J683" s="329"/>
      <c r="K683" s="338">
        <f t="shared" si="18"/>
        <v>87.337500000000006</v>
      </c>
      <c r="L683" s="338">
        <f t="shared" si="18"/>
        <v>87.337500000000006</v>
      </c>
      <c r="M683" s="338">
        <f t="shared" si="18"/>
        <v>87.337500000000006</v>
      </c>
      <c r="N683" s="338">
        <f t="shared" si="18"/>
        <v>87.337500000000006</v>
      </c>
      <c r="O683" s="338"/>
    </row>
    <row r="684" spans="1:15" hidden="1" outlineLevel="2" x14ac:dyDescent="0.35">
      <c r="A684" s="425" t="s">
        <v>224</v>
      </c>
      <c r="B684" s="327">
        <v>43830</v>
      </c>
      <c r="C684" s="426" t="s">
        <v>1090</v>
      </c>
      <c r="D684" s="427" t="s">
        <v>1091</v>
      </c>
      <c r="E684" s="426" t="s">
        <v>1089</v>
      </c>
      <c r="F684" s="338">
        <v>499.08</v>
      </c>
      <c r="G684" s="338" t="s">
        <v>56</v>
      </c>
      <c r="H684" s="338"/>
      <c r="I684" s="329">
        <v>499.08</v>
      </c>
      <c r="J684" s="329"/>
      <c r="K684" s="338">
        <f t="shared" si="18"/>
        <v>124.77</v>
      </c>
      <c r="L684" s="338">
        <f t="shared" si="18"/>
        <v>124.77</v>
      </c>
      <c r="M684" s="338">
        <f t="shared" si="18"/>
        <v>124.77</v>
      </c>
      <c r="N684" s="338">
        <f t="shared" si="18"/>
        <v>124.77</v>
      </c>
      <c r="O684" s="338"/>
    </row>
    <row r="685" spans="1:15" hidden="1" outlineLevel="2" x14ac:dyDescent="0.35">
      <c r="A685" s="425" t="s">
        <v>224</v>
      </c>
      <c r="B685" s="327">
        <v>44469</v>
      </c>
      <c r="C685" s="426" t="s">
        <v>8853</v>
      </c>
      <c r="D685" s="427" t="s">
        <v>8854</v>
      </c>
      <c r="E685" s="426" t="s">
        <v>1089</v>
      </c>
      <c r="F685" s="338">
        <v>401.18</v>
      </c>
      <c r="G685" s="338" t="s">
        <v>56</v>
      </c>
      <c r="H685" s="338"/>
      <c r="I685" s="329">
        <v>401.18</v>
      </c>
      <c r="J685" s="329"/>
      <c r="K685" s="338">
        <f t="shared" si="18"/>
        <v>100.295</v>
      </c>
      <c r="L685" s="338">
        <f t="shared" si="18"/>
        <v>100.295</v>
      </c>
      <c r="M685" s="338">
        <f t="shared" si="18"/>
        <v>100.295</v>
      </c>
      <c r="N685" s="338">
        <f t="shared" si="18"/>
        <v>100.295</v>
      </c>
      <c r="O685" s="338"/>
    </row>
    <row r="686" spans="1:15" hidden="1" outlineLevel="2" x14ac:dyDescent="0.35">
      <c r="A686" s="425" t="s">
        <v>224</v>
      </c>
      <c r="B686" s="327">
        <v>44561</v>
      </c>
      <c r="C686" s="426" t="s">
        <v>8855</v>
      </c>
      <c r="D686" s="427" t="s">
        <v>8856</v>
      </c>
      <c r="E686" s="426" t="s">
        <v>1574</v>
      </c>
      <c r="F686" s="338">
        <v>200.59</v>
      </c>
      <c r="G686" s="338" t="s">
        <v>56</v>
      </c>
      <c r="H686" s="338"/>
      <c r="I686" s="329">
        <v>200.59</v>
      </c>
      <c r="J686" s="329"/>
      <c r="K686" s="338">
        <f t="shared" si="18"/>
        <v>50.147500000000001</v>
      </c>
      <c r="L686" s="338">
        <f t="shared" si="18"/>
        <v>50.147500000000001</v>
      </c>
      <c r="M686" s="338">
        <f t="shared" si="18"/>
        <v>50.147500000000001</v>
      </c>
      <c r="N686" s="338">
        <f t="shared" si="18"/>
        <v>50.147500000000001</v>
      </c>
      <c r="O686" s="338"/>
    </row>
    <row r="687" spans="1:15" hidden="1" outlineLevel="2" x14ac:dyDescent="0.35">
      <c r="A687" s="425" t="s">
        <v>224</v>
      </c>
      <c r="B687" s="327">
        <v>44561</v>
      </c>
      <c r="C687" s="426" t="s">
        <v>8857</v>
      </c>
      <c r="D687" s="427" t="s">
        <v>8858</v>
      </c>
      <c r="E687" s="426" t="s">
        <v>1574</v>
      </c>
      <c r="F687" s="338">
        <v>200.59</v>
      </c>
      <c r="G687" s="338" t="s">
        <v>56</v>
      </c>
      <c r="H687" s="338"/>
      <c r="I687" s="329">
        <v>200.59</v>
      </c>
      <c r="J687" s="329"/>
      <c r="K687" s="338">
        <f t="shared" si="18"/>
        <v>50.147500000000001</v>
      </c>
      <c r="L687" s="338">
        <f t="shared" si="18"/>
        <v>50.147500000000001</v>
      </c>
      <c r="M687" s="338">
        <f t="shared" si="18"/>
        <v>50.147500000000001</v>
      </c>
      <c r="N687" s="338">
        <f t="shared" si="18"/>
        <v>50.147500000000001</v>
      </c>
      <c r="O687" s="338"/>
    </row>
    <row r="688" spans="1:15" hidden="1" outlineLevel="2" x14ac:dyDescent="0.35">
      <c r="A688" s="425" t="s">
        <v>224</v>
      </c>
      <c r="B688" s="327">
        <v>44377</v>
      </c>
      <c r="C688" s="426" t="s">
        <v>1103</v>
      </c>
      <c r="D688" s="427" t="s">
        <v>8859</v>
      </c>
      <c r="E688" s="426" t="s">
        <v>1089</v>
      </c>
      <c r="F688" s="338">
        <v>474.12</v>
      </c>
      <c r="G688" s="338" t="s">
        <v>56</v>
      </c>
      <c r="H688" s="338"/>
      <c r="I688" s="329">
        <v>474.12</v>
      </c>
      <c r="J688" s="329"/>
      <c r="K688" s="338">
        <f t="shared" si="18"/>
        <v>118.53</v>
      </c>
      <c r="L688" s="338">
        <f t="shared" si="18"/>
        <v>118.53</v>
      </c>
      <c r="M688" s="338">
        <f t="shared" si="18"/>
        <v>118.53</v>
      </c>
      <c r="N688" s="338">
        <f t="shared" si="18"/>
        <v>118.53</v>
      </c>
      <c r="O688" s="338"/>
    </row>
    <row r="689" spans="1:15" hidden="1" outlineLevel="2" x14ac:dyDescent="0.35">
      <c r="A689" s="425" t="s">
        <v>224</v>
      </c>
      <c r="B689" s="327">
        <v>44196</v>
      </c>
      <c r="C689" s="426" t="s">
        <v>1099</v>
      </c>
      <c r="D689" s="427" t="s">
        <v>1100</v>
      </c>
      <c r="E689" s="426" t="s">
        <v>1089</v>
      </c>
      <c r="F689" s="338">
        <v>349.35</v>
      </c>
      <c r="G689" s="338" t="s">
        <v>56</v>
      </c>
      <c r="H689" s="338"/>
      <c r="I689" s="329">
        <v>349.35</v>
      </c>
      <c r="J689" s="329"/>
      <c r="K689" s="338">
        <f t="shared" si="18"/>
        <v>87.337500000000006</v>
      </c>
      <c r="L689" s="338">
        <f t="shared" si="18"/>
        <v>87.337500000000006</v>
      </c>
      <c r="M689" s="338">
        <f t="shared" si="18"/>
        <v>87.337500000000006</v>
      </c>
      <c r="N689" s="338">
        <f t="shared" si="18"/>
        <v>87.337500000000006</v>
      </c>
      <c r="O689" s="338"/>
    </row>
    <row r="690" spans="1:15" outlineLevel="1" collapsed="1" x14ac:dyDescent="0.35">
      <c r="A690" s="432" t="s">
        <v>1111</v>
      </c>
      <c r="B690" s="327"/>
      <c r="C690" s="426"/>
      <c r="D690" s="427"/>
      <c r="E690" s="426"/>
      <c r="F690" s="338"/>
      <c r="G690" s="338"/>
      <c r="H690" s="338"/>
      <c r="I690" s="329">
        <f t="shared" ref="I690:O690" si="19">SUBTOTAL(9,I679:I689)</f>
        <v>4645.2400000000007</v>
      </c>
      <c r="J690" s="329"/>
      <c r="K690" s="338">
        <f t="shared" si="19"/>
        <v>1161.3100000000002</v>
      </c>
      <c r="L690" s="338">
        <f t="shared" si="19"/>
        <v>1161.3100000000002</v>
      </c>
      <c r="M690" s="338">
        <f t="shared" si="19"/>
        <v>1161.3100000000002</v>
      </c>
      <c r="N690" s="338">
        <f t="shared" si="19"/>
        <v>1161.3100000000002</v>
      </c>
      <c r="O690" s="338">
        <f t="shared" si="19"/>
        <v>0</v>
      </c>
    </row>
    <row r="691" spans="1:15" hidden="1" outlineLevel="2" x14ac:dyDescent="0.35">
      <c r="A691" s="425" t="s">
        <v>216</v>
      </c>
      <c r="B691" s="327">
        <v>43921</v>
      </c>
      <c r="C691" s="426" t="s">
        <v>1092</v>
      </c>
      <c r="D691" s="427" t="s">
        <v>1112</v>
      </c>
      <c r="E691" s="426" t="s">
        <v>1113</v>
      </c>
      <c r="F691" s="338">
        <v>4550.66</v>
      </c>
      <c r="G691" s="338" t="s">
        <v>56</v>
      </c>
      <c r="H691" s="338"/>
      <c r="I691" s="329">
        <v>4550.66</v>
      </c>
      <c r="J691" s="329"/>
      <c r="K691" s="338">
        <f t="shared" ref="K691:N697" si="20">$I691/4</f>
        <v>1137.665</v>
      </c>
      <c r="L691" s="338">
        <f t="shared" si="20"/>
        <v>1137.665</v>
      </c>
      <c r="M691" s="338">
        <f t="shared" si="20"/>
        <v>1137.665</v>
      </c>
      <c r="N691" s="338">
        <f t="shared" si="20"/>
        <v>1137.665</v>
      </c>
      <c r="O691" s="338"/>
    </row>
    <row r="692" spans="1:15" hidden="1" outlineLevel="2" x14ac:dyDescent="0.35">
      <c r="A692" s="425" t="s">
        <v>216</v>
      </c>
      <c r="B692" s="327">
        <v>44012</v>
      </c>
      <c r="C692" s="426" t="s">
        <v>1094</v>
      </c>
      <c r="D692" s="427" t="s">
        <v>1114</v>
      </c>
      <c r="E692" s="426" t="s">
        <v>1113</v>
      </c>
      <c r="F692" s="338">
        <v>4550.66</v>
      </c>
      <c r="G692" s="338" t="s">
        <v>56</v>
      </c>
      <c r="H692" s="338"/>
      <c r="I692" s="329">
        <v>4550.66</v>
      </c>
      <c r="J692" s="329"/>
      <c r="K692" s="338">
        <f t="shared" si="20"/>
        <v>1137.665</v>
      </c>
      <c r="L692" s="338">
        <f t="shared" si="20"/>
        <v>1137.665</v>
      </c>
      <c r="M692" s="338">
        <f t="shared" si="20"/>
        <v>1137.665</v>
      </c>
      <c r="N692" s="338">
        <f t="shared" si="20"/>
        <v>1137.665</v>
      </c>
      <c r="O692" s="338"/>
    </row>
    <row r="693" spans="1:15" hidden="1" outlineLevel="2" x14ac:dyDescent="0.35">
      <c r="A693" s="425" t="s">
        <v>216</v>
      </c>
      <c r="B693" s="327">
        <v>44104</v>
      </c>
      <c r="C693" s="426" t="s">
        <v>1096</v>
      </c>
      <c r="D693" s="427" t="s">
        <v>1115</v>
      </c>
      <c r="E693" s="426" t="s">
        <v>1113</v>
      </c>
      <c r="F693" s="338">
        <v>79.959999999999994</v>
      </c>
      <c r="G693" s="338" t="s">
        <v>56</v>
      </c>
      <c r="H693" s="338"/>
      <c r="I693" s="329">
        <v>79.959999999999994</v>
      </c>
      <c r="J693" s="329"/>
      <c r="K693" s="338">
        <f t="shared" si="20"/>
        <v>19.989999999999998</v>
      </c>
      <c r="L693" s="338">
        <f t="shared" si="20"/>
        <v>19.989999999999998</v>
      </c>
      <c r="M693" s="338">
        <f t="shared" si="20"/>
        <v>19.989999999999998</v>
      </c>
      <c r="N693" s="338">
        <f t="shared" si="20"/>
        <v>19.989999999999998</v>
      </c>
      <c r="O693" s="338"/>
    </row>
    <row r="694" spans="1:15" hidden="1" outlineLevel="2" x14ac:dyDescent="0.35">
      <c r="A694" s="425" t="s">
        <v>216</v>
      </c>
      <c r="B694" s="327">
        <v>44469</v>
      </c>
      <c r="C694" s="426" t="s">
        <v>8860</v>
      </c>
      <c r="D694" s="427" t="s">
        <v>8861</v>
      </c>
      <c r="E694" s="426" t="s">
        <v>1545</v>
      </c>
      <c r="F694" s="338">
        <v>4274.42</v>
      </c>
      <c r="G694" s="338" t="s">
        <v>56</v>
      </c>
      <c r="H694" s="338"/>
      <c r="I694" s="329">
        <v>4274.42</v>
      </c>
      <c r="J694" s="329"/>
      <c r="K694" s="338">
        <f t="shared" si="20"/>
        <v>1068.605</v>
      </c>
      <c r="L694" s="338">
        <f t="shared" si="20"/>
        <v>1068.605</v>
      </c>
      <c r="M694" s="338">
        <f t="shared" si="20"/>
        <v>1068.605</v>
      </c>
      <c r="N694" s="338">
        <f t="shared" si="20"/>
        <v>1068.605</v>
      </c>
      <c r="O694" s="338"/>
    </row>
    <row r="695" spans="1:15" hidden="1" outlineLevel="2" x14ac:dyDescent="0.35">
      <c r="A695" s="425" t="s">
        <v>216</v>
      </c>
      <c r="B695" s="327">
        <v>44561</v>
      </c>
      <c r="C695" s="426" t="s">
        <v>8862</v>
      </c>
      <c r="D695" s="427" t="s">
        <v>8863</v>
      </c>
      <c r="E695" s="426" t="s">
        <v>1959</v>
      </c>
      <c r="F695" s="338">
        <v>2137.21</v>
      </c>
      <c r="G695" s="338" t="s">
        <v>56</v>
      </c>
      <c r="H695" s="338"/>
      <c r="I695" s="329">
        <v>2137.21</v>
      </c>
      <c r="J695" s="329"/>
      <c r="K695" s="338">
        <f t="shared" si="20"/>
        <v>534.30250000000001</v>
      </c>
      <c r="L695" s="338">
        <f t="shared" si="20"/>
        <v>534.30250000000001</v>
      </c>
      <c r="M695" s="338">
        <f t="shared" si="20"/>
        <v>534.30250000000001</v>
      </c>
      <c r="N695" s="338">
        <f t="shared" si="20"/>
        <v>534.30250000000001</v>
      </c>
      <c r="O695" s="338"/>
    </row>
    <row r="696" spans="1:15" hidden="1" outlineLevel="2" x14ac:dyDescent="0.35">
      <c r="A696" s="425" t="s">
        <v>216</v>
      </c>
      <c r="B696" s="327">
        <v>44561</v>
      </c>
      <c r="C696" s="426" t="s">
        <v>8864</v>
      </c>
      <c r="D696" s="427" t="s">
        <v>8865</v>
      </c>
      <c r="E696" s="426" t="s">
        <v>1959</v>
      </c>
      <c r="F696" s="338">
        <v>2137.21</v>
      </c>
      <c r="G696" s="338" t="s">
        <v>56</v>
      </c>
      <c r="H696" s="338"/>
      <c r="I696" s="329">
        <v>2137.21</v>
      </c>
      <c r="J696" s="329"/>
      <c r="K696" s="338">
        <f t="shared" si="20"/>
        <v>534.30250000000001</v>
      </c>
      <c r="L696" s="338">
        <f t="shared" si="20"/>
        <v>534.30250000000001</v>
      </c>
      <c r="M696" s="338">
        <f t="shared" si="20"/>
        <v>534.30250000000001</v>
      </c>
      <c r="N696" s="338">
        <f t="shared" si="20"/>
        <v>534.30250000000001</v>
      </c>
      <c r="O696" s="338"/>
    </row>
    <row r="697" spans="1:15" hidden="1" outlineLevel="2" x14ac:dyDescent="0.35">
      <c r="A697" s="425" t="s">
        <v>216</v>
      </c>
      <c r="B697" s="327">
        <v>44196</v>
      </c>
      <c r="C697" s="426" t="s">
        <v>1099</v>
      </c>
      <c r="D697" s="427" t="s">
        <v>1117</v>
      </c>
      <c r="E697" s="426" t="s">
        <v>1113</v>
      </c>
      <c r="F697" s="338">
        <v>79.959999999999994</v>
      </c>
      <c r="G697" s="338" t="s">
        <v>56</v>
      </c>
      <c r="H697" s="338"/>
      <c r="I697" s="329">
        <v>79.959999999999994</v>
      </c>
      <c r="J697" s="329"/>
      <c r="K697" s="338">
        <f t="shared" si="20"/>
        <v>19.989999999999998</v>
      </c>
      <c r="L697" s="338">
        <f t="shared" si="20"/>
        <v>19.989999999999998</v>
      </c>
      <c r="M697" s="338">
        <f t="shared" si="20"/>
        <v>19.989999999999998</v>
      </c>
      <c r="N697" s="338">
        <f t="shared" si="20"/>
        <v>19.989999999999998</v>
      </c>
      <c r="O697" s="338"/>
    </row>
    <row r="698" spans="1:15" outlineLevel="1" collapsed="1" x14ac:dyDescent="0.35">
      <c r="A698" s="432" t="s">
        <v>1123</v>
      </c>
      <c r="B698" s="327"/>
      <c r="C698" s="426"/>
      <c r="D698" s="427"/>
      <c r="E698" s="426"/>
      <c r="F698" s="338"/>
      <c r="G698" s="338"/>
      <c r="H698" s="338"/>
      <c r="I698" s="329">
        <f t="shared" ref="I698:O698" si="21">SUBTOTAL(9,I691:I697)</f>
        <v>17810.079999999998</v>
      </c>
      <c r="J698" s="329"/>
      <c r="K698" s="338">
        <f t="shared" si="21"/>
        <v>4452.5199999999995</v>
      </c>
      <c r="L698" s="338">
        <f t="shared" si="21"/>
        <v>4452.5199999999995</v>
      </c>
      <c r="M698" s="338">
        <f t="shared" si="21"/>
        <v>4452.5199999999995</v>
      </c>
      <c r="N698" s="338">
        <f t="shared" si="21"/>
        <v>4452.5199999999995</v>
      </c>
      <c r="O698" s="338">
        <f t="shared" si="21"/>
        <v>0</v>
      </c>
    </row>
    <row r="699" spans="1:15" hidden="1" outlineLevel="2" x14ac:dyDescent="0.35">
      <c r="A699" s="425" t="s">
        <v>7945</v>
      </c>
      <c r="B699" s="327">
        <v>44193</v>
      </c>
      <c r="C699" s="426" t="s">
        <v>8866</v>
      </c>
      <c r="D699" s="427" t="s">
        <v>8867</v>
      </c>
      <c r="E699" s="426" t="s">
        <v>8868</v>
      </c>
      <c r="F699" s="338">
        <v>1180000</v>
      </c>
      <c r="G699" s="338" t="s">
        <v>3800</v>
      </c>
      <c r="H699" s="338"/>
      <c r="I699" s="329">
        <v>276.6134535730755</v>
      </c>
      <c r="J699" s="329"/>
      <c r="K699" s="338"/>
      <c r="L699" s="338"/>
      <c r="M699" s="338">
        <v>276.6134535730755</v>
      </c>
      <c r="N699" s="338"/>
      <c r="O699" s="338"/>
    </row>
    <row r="700" spans="1:15" hidden="1" outlineLevel="2" x14ac:dyDescent="0.35">
      <c r="A700" s="425" t="s">
        <v>7945</v>
      </c>
      <c r="B700" s="327">
        <v>44193</v>
      </c>
      <c r="C700" s="426" t="s">
        <v>8866</v>
      </c>
      <c r="D700" s="427" t="s">
        <v>8867</v>
      </c>
      <c r="E700" s="426" t="s">
        <v>8220</v>
      </c>
      <c r="F700" s="338">
        <v>150000</v>
      </c>
      <c r="G700" s="338" t="s">
        <v>3800</v>
      </c>
      <c r="H700" s="338"/>
      <c r="I700" s="329">
        <v>35.162727149119767</v>
      </c>
      <c r="J700" s="329"/>
      <c r="K700" s="338"/>
      <c r="L700" s="338"/>
      <c r="M700" s="338">
        <v>35.162727149119767</v>
      </c>
      <c r="N700" s="338"/>
      <c r="O700" s="338"/>
    </row>
    <row r="701" spans="1:15" hidden="1" outlineLevel="2" x14ac:dyDescent="0.35">
      <c r="A701" s="425" t="s">
        <v>7945</v>
      </c>
      <c r="B701" s="327">
        <v>44194</v>
      </c>
      <c r="C701" s="426" t="s">
        <v>8869</v>
      </c>
      <c r="D701" s="427" t="s">
        <v>8867</v>
      </c>
      <c r="E701" s="426" t="s">
        <v>8220</v>
      </c>
      <c r="F701" s="338">
        <v>100000</v>
      </c>
      <c r="G701" s="338" t="s">
        <v>3800</v>
      </c>
      <c r="H701" s="338"/>
      <c r="I701" s="329">
        <v>23.441818099413176</v>
      </c>
      <c r="J701" s="329"/>
      <c r="K701" s="338"/>
      <c r="L701" s="338"/>
      <c r="M701" s="338">
        <v>23.441818099413176</v>
      </c>
      <c r="N701" s="338"/>
      <c r="O701" s="338"/>
    </row>
    <row r="702" spans="1:15" hidden="1" outlineLevel="2" x14ac:dyDescent="0.35">
      <c r="A702" s="425" t="s">
        <v>7945</v>
      </c>
      <c r="B702" s="327">
        <v>44194</v>
      </c>
      <c r="C702" s="426" t="s">
        <v>8870</v>
      </c>
      <c r="D702" s="427" t="s">
        <v>8867</v>
      </c>
      <c r="E702" s="426" t="s">
        <v>6620</v>
      </c>
      <c r="F702" s="338">
        <v>1045000</v>
      </c>
      <c r="G702" s="338" t="s">
        <v>3800</v>
      </c>
      <c r="H702" s="338"/>
      <c r="I702" s="329">
        <v>244.96699913886769</v>
      </c>
      <c r="J702" s="329"/>
      <c r="K702" s="338"/>
      <c r="L702" s="338"/>
      <c r="M702" s="338">
        <v>244.96699913886769</v>
      </c>
      <c r="N702" s="338"/>
      <c r="O702" s="338"/>
    </row>
    <row r="703" spans="1:15" hidden="1" outlineLevel="2" x14ac:dyDescent="0.35">
      <c r="A703" s="425" t="s">
        <v>7945</v>
      </c>
      <c r="B703" s="327">
        <v>44194</v>
      </c>
      <c r="C703" s="426" t="s">
        <v>8871</v>
      </c>
      <c r="D703" s="427" t="s">
        <v>8867</v>
      </c>
      <c r="E703" s="426" t="s">
        <v>8872</v>
      </c>
      <c r="F703" s="338">
        <v>35000</v>
      </c>
      <c r="G703" s="338" t="s">
        <v>3800</v>
      </c>
      <c r="H703" s="338"/>
      <c r="I703" s="329">
        <v>8.2046363347946123</v>
      </c>
      <c r="J703" s="329"/>
      <c r="K703" s="338"/>
      <c r="L703" s="338"/>
      <c r="M703" s="338">
        <v>8.2046363347946123</v>
      </c>
      <c r="N703" s="338"/>
      <c r="O703" s="338"/>
    </row>
    <row r="704" spans="1:15" hidden="1" outlineLevel="2" x14ac:dyDescent="0.35">
      <c r="A704" s="425" t="s">
        <v>7945</v>
      </c>
      <c r="B704" s="327">
        <v>44194</v>
      </c>
      <c r="C704" s="426" t="s">
        <v>8873</v>
      </c>
      <c r="D704" s="427" t="s">
        <v>8867</v>
      </c>
      <c r="E704" s="426" t="s">
        <v>6620</v>
      </c>
      <c r="F704" s="338">
        <v>750000</v>
      </c>
      <c r="G704" s="338" t="s">
        <v>3800</v>
      </c>
      <c r="H704" s="338"/>
      <c r="I704" s="329">
        <v>175.81363574559882</v>
      </c>
      <c r="J704" s="329"/>
      <c r="K704" s="338"/>
      <c r="L704" s="338"/>
      <c r="M704" s="338">
        <v>175.81363574559882</v>
      </c>
      <c r="N704" s="338"/>
      <c r="O704" s="338"/>
    </row>
    <row r="705" spans="1:15" hidden="1" outlineLevel="2" x14ac:dyDescent="0.35">
      <c r="A705" s="425" t="s">
        <v>7945</v>
      </c>
      <c r="B705" s="327">
        <v>44194</v>
      </c>
      <c r="C705" s="426" t="s">
        <v>8874</v>
      </c>
      <c r="D705" s="427" t="s">
        <v>8867</v>
      </c>
      <c r="E705" s="426" t="s">
        <v>6620</v>
      </c>
      <c r="F705" s="338">
        <v>600000</v>
      </c>
      <c r="G705" s="338" t="s">
        <v>3800</v>
      </c>
      <c r="H705" s="338"/>
      <c r="I705" s="329">
        <v>140.65090859647907</v>
      </c>
      <c r="J705" s="329"/>
      <c r="K705" s="338"/>
      <c r="L705" s="338"/>
      <c r="M705" s="338">
        <v>140.65090859647907</v>
      </c>
      <c r="N705" s="338"/>
      <c r="O705" s="338"/>
    </row>
    <row r="706" spans="1:15" outlineLevel="1" collapsed="1" x14ac:dyDescent="0.35">
      <c r="A706" s="432" t="s">
        <v>8875</v>
      </c>
      <c r="B706" s="327"/>
      <c r="C706" s="426"/>
      <c r="D706" s="427"/>
      <c r="E706" s="426"/>
      <c r="F706" s="338"/>
      <c r="G706" s="338"/>
      <c r="H706" s="338"/>
      <c r="I706" s="329">
        <f t="shared" ref="I706:O706" si="22">SUBTOTAL(9,I699:I705)</f>
        <v>904.8541786373487</v>
      </c>
      <c r="J706" s="329"/>
      <c r="K706" s="338">
        <f t="shared" si="22"/>
        <v>0</v>
      </c>
      <c r="L706" s="338">
        <f t="shared" si="22"/>
        <v>0</v>
      </c>
      <c r="M706" s="338">
        <f t="shared" si="22"/>
        <v>904.8541786373487</v>
      </c>
      <c r="N706" s="338">
        <f t="shared" si="22"/>
        <v>0</v>
      </c>
      <c r="O706" s="338">
        <f t="shared" si="22"/>
        <v>0</v>
      </c>
    </row>
    <row r="707" spans="1:15" hidden="1" outlineLevel="2" x14ac:dyDescent="0.35">
      <c r="A707" s="425" t="s">
        <v>7975</v>
      </c>
      <c r="B707" s="327" t="s">
        <v>8264</v>
      </c>
      <c r="C707" s="426" t="s">
        <v>8876</v>
      </c>
      <c r="D707" s="427" t="s">
        <v>8877</v>
      </c>
      <c r="E707" s="426" t="s">
        <v>8110</v>
      </c>
      <c r="F707" s="338">
        <v>4000000</v>
      </c>
      <c r="G707" s="338" t="s">
        <v>3800</v>
      </c>
      <c r="H707" s="338"/>
      <c r="I707" s="329">
        <v>953.61272940339586</v>
      </c>
      <c r="J707" s="329"/>
      <c r="K707" s="338">
        <v>238.40318235084897</v>
      </c>
      <c r="L707" s="338">
        <v>238.40318235084897</v>
      </c>
      <c r="M707" s="338">
        <v>238.40318235084897</v>
      </c>
      <c r="N707" s="338">
        <v>238.40318235084897</v>
      </c>
      <c r="O707" s="338"/>
    </row>
    <row r="708" spans="1:15" hidden="1" outlineLevel="2" x14ac:dyDescent="0.35">
      <c r="A708" s="425" t="s">
        <v>7975</v>
      </c>
      <c r="B708" s="327">
        <v>44135</v>
      </c>
      <c r="C708" s="426">
        <v>240</v>
      </c>
      <c r="D708" s="427" t="s">
        <v>8878</v>
      </c>
      <c r="E708" s="426" t="s">
        <v>8879</v>
      </c>
      <c r="F708" s="338">
        <v>1708811</v>
      </c>
      <c r="G708" s="338" t="s">
        <v>3800</v>
      </c>
      <c r="H708" s="338"/>
      <c r="I708" s="329">
        <v>400.57636628276327</v>
      </c>
      <c r="J708" s="329"/>
      <c r="K708" s="338">
        <v>100.14409157069082</v>
      </c>
      <c r="L708" s="338">
        <v>100.14409157069082</v>
      </c>
      <c r="M708" s="338">
        <v>100.14409157069082</v>
      </c>
      <c r="N708" s="338">
        <v>100.14409157069082</v>
      </c>
      <c r="O708" s="338"/>
    </row>
    <row r="709" spans="1:15" hidden="1" outlineLevel="2" x14ac:dyDescent="0.35">
      <c r="A709" s="425" t="s">
        <v>7975</v>
      </c>
      <c r="B709" s="327" t="s">
        <v>8002</v>
      </c>
      <c r="C709" s="426" t="s">
        <v>8003</v>
      </c>
      <c r="D709" s="427" t="s">
        <v>8880</v>
      </c>
      <c r="E709" s="426" t="s">
        <v>8881</v>
      </c>
      <c r="F709" s="338">
        <v>1708811</v>
      </c>
      <c r="G709" s="338" t="s">
        <v>3800</v>
      </c>
      <c r="H709" s="338"/>
      <c r="I709" s="329">
        <v>407.38598043613655</v>
      </c>
      <c r="J709" s="329"/>
      <c r="K709" s="338">
        <v>101.84649510903414</v>
      </c>
      <c r="L709" s="338">
        <v>101.84649510903414</v>
      </c>
      <c r="M709" s="338">
        <v>101.84649510903414</v>
      </c>
      <c r="N709" s="338">
        <v>101.84649510903414</v>
      </c>
      <c r="O709" s="338"/>
    </row>
    <row r="710" spans="1:15" hidden="1" outlineLevel="2" x14ac:dyDescent="0.35">
      <c r="A710" s="425" t="s">
        <v>7975</v>
      </c>
      <c r="B710" s="327" t="s">
        <v>7999</v>
      </c>
      <c r="C710" s="426" t="s">
        <v>8000</v>
      </c>
      <c r="D710" s="427" t="s">
        <v>8880</v>
      </c>
      <c r="E710" s="426" t="s">
        <v>8881</v>
      </c>
      <c r="F710" s="338">
        <v>1708811</v>
      </c>
      <c r="G710" s="338" t="s">
        <v>3800</v>
      </c>
      <c r="H710" s="338"/>
      <c r="I710" s="329">
        <v>407.38598043613655</v>
      </c>
      <c r="J710" s="329"/>
      <c r="K710" s="338">
        <v>101.84649510903414</v>
      </c>
      <c r="L710" s="338">
        <v>101.84649510903414</v>
      </c>
      <c r="M710" s="338">
        <v>101.84649510903414</v>
      </c>
      <c r="N710" s="338">
        <v>101.84649510903414</v>
      </c>
      <c r="O710" s="338"/>
    </row>
    <row r="711" spans="1:15" hidden="1" outlineLevel="2" x14ac:dyDescent="0.35">
      <c r="A711" s="425" t="s">
        <v>7975</v>
      </c>
      <c r="B711" s="327">
        <v>44165</v>
      </c>
      <c r="C711" s="426">
        <v>248</v>
      </c>
      <c r="D711" s="427" t="s">
        <v>8882</v>
      </c>
      <c r="E711" s="426" t="s">
        <v>8879</v>
      </c>
      <c r="F711" s="338">
        <v>1708811</v>
      </c>
      <c r="G711" s="338" t="s">
        <v>3800</v>
      </c>
      <c r="H711" s="338"/>
      <c r="I711" s="329">
        <v>400.57636628276327</v>
      </c>
      <c r="J711" s="329"/>
      <c r="K711" s="338">
        <v>100.14409157069082</v>
      </c>
      <c r="L711" s="338">
        <v>100.14409157069082</v>
      </c>
      <c r="M711" s="338">
        <v>100.14409157069082</v>
      </c>
      <c r="N711" s="338">
        <v>100.14409157069082</v>
      </c>
      <c r="O711" s="338"/>
    </row>
    <row r="712" spans="1:15" hidden="1" outlineLevel="2" x14ac:dyDescent="0.35">
      <c r="A712" s="425" t="s">
        <v>7975</v>
      </c>
      <c r="B712" s="327" t="s">
        <v>8077</v>
      </c>
      <c r="C712" s="426" t="s">
        <v>8883</v>
      </c>
      <c r="D712" s="427" t="s">
        <v>8884</v>
      </c>
      <c r="E712" s="426" t="s">
        <v>8881</v>
      </c>
      <c r="F712" s="338">
        <v>1708811</v>
      </c>
      <c r="G712" s="338" t="s">
        <v>3800</v>
      </c>
      <c r="H712" s="338"/>
      <c r="I712" s="329">
        <v>407.38598043613655</v>
      </c>
      <c r="J712" s="329"/>
      <c r="K712" s="338">
        <v>101.84649510903414</v>
      </c>
      <c r="L712" s="338">
        <v>101.84649510903414</v>
      </c>
      <c r="M712" s="338">
        <v>101.84649510903414</v>
      </c>
      <c r="N712" s="338">
        <v>101.84649510903414</v>
      </c>
      <c r="O712" s="338"/>
    </row>
    <row r="713" spans="1:15" hidden="1" outlineLevel="2" x14ac:dyDescent="0.35">
      <c r="A713" s="425" t="s">
        <v>7975</v>
      </c>
      <c r="B713" s="327" t="s">
        <v>8079</v>
      </c>
      <c r="C713" s="426" t="s">
        <v>8327</v>
      </c>
      <c r="D713" s="427" t="s">
        <v>8885</v>
      </c>
      <c r="E713" s="426" t="s">
        <v>8881</v>
      </c>
      <c r="F713" s="338">
        <v>1708811</v>
      </c>
      <c r="G713" s="338" t="s">
        <v>3800</v>
      </c>
      <c r="H713" s="338"/>
      <c r="I713" s="329">
        <v>407.38598043613655</v>
      </c>
      <c r="J713" s="329"/>
      <c r="K713" s="338">
        <v>101.84649510903414</v>
      </c>
      <c r="L713" s="338">
        <v>101.84649510903414</v>
      </c>
      <c r="M713" s="338">
        <v>101.84649510903414</v>
      </c>
      <c r="N713" s="338">
        <v>101.84649510903414</v>
      </c>
      <c r="O713" s="338"/>
    </row>
    <row r="714" spans="1:15" hidden="1" outlineLevel="2" x14ac:dyDescent="0.35">
      <c r="A714" s="425" t="s">
        <v>7975</v>
      </c>
      <c r="B714" s="327">
        <v>44196</v>
      </c>
      <c r="C714" s="426">
        <v>256</v>
      </c>
      <c r="D714" s="427" t="s">
        <v>8886</v>
      </c>
      <c r="E714" s="426" t="s">
        <v>8879</v>
      </c>
      <c r="F714" s="338">
        <v>1708811</v>
      </c>
      <c r="G714" s="338" t="s">
        <v>3800</v>
      </c>
      <c r="H714" s="338"/>
      <c r="I714" s="329">
        <v>400.57636628276327</v>
      </c>
      <c r="J714" s="329"/>
      <c r="K714" s="338">
        <v>100.14409157069082</v>
      </c>
      <c r="L714" s="338">
        <v>100.14409157069082</v>
      </c>
      <c r="M714" s="338">
        <v>100.14409157069082</v>
      </c>
      <c r="N714" s="338">
        <v>100.14409157069082</v>
      </c>
      <c r="O714" s="338"/>
    </row>
    <row r="715" spans="1:15" hidden="1" outlineLevel="2" x14ac:dyDescent="0.35">
      <c r="A715" s="425" t="s">
        <v>7975</v>
      </c>
      <c r="B715" s="327" t="s">
        <v>7987</v>
      </c>
      <c r="C715" s="426" t="s">
        <v>7988</v>
      </c>
      <c r="D715" s="427" t="s">
        <v>8887</v>
      </c>
      <c r="E715" s="426" t="s">
        <v>8881</v>
      </c>
      <c r="F715" s="338">
        <v>1708811</v>
      </c>
      <c r="G715" s="338" t="s">
        <v>3800</v>
      </c>
      <c r="H715" s="338"/>
      <c r="I715" s="329">
        <v>407.38598043613655</v>
      </c>
      <c r="J715" s="329"/>
      <c r="K715" s="338">
        <v>101.84649510903414</v>
      </c>
      <c r="L715" s="338">
        <v>101.84649510903414</v>
      </c>
      <c r="M715" s="338">
        <v>101.84649510903414</v>
      </c>
      <c r="N715" s="338">
        <v>101.84649510903414</v>
      </c>
      <c r="O715" s="338"/>
    </row>
    <row r="716" spans="1:15" hidden="1" outlineLevel="2" x14ac:dyDescent="0.35">
      <c r="A716" s="425" t="s">
        <v>7975</v>
      </c>
      <c r="B716" s="327">
        <v>43890</v>
      </c>
      <c r="C716" s="426">
        <v>175</v>
      </c>
      <c r="D716" s="427" t="s">
        <v>8888</v>
      </c>
      <c r="E716" s="426" t="s">
        <v>8881</v>
      </c>
      <c r="F716" s="338">
        <v>1178490</v>
      </c>
      <c r="G716" s="338" t="s">
        <v>3800</v>
      </c>
      <c r="H716" s="338"/>
      <c r="I716" s="329">
        <v>276.25948211977436</v>
      </c>
      <c r="J716" s="329"/>
      <c r="K716" s="338">
        <v>69.06487052994359</v>
      </c>
      <c r="L716" s="338">
        <v>69.06487052994359</v>
      </c>
      <c r="M716" s="338">
        <v>69.06487052994359</v>
      </c>
      <c r="N716" s="338">
        <v>69.06487052994359</v>
      </c>
      <c r="O716" s="338"/>
    </row>
    <row r="717" spans="1:15" hidden="1" outlineLevel="2" x14ac:dyDescent="0.35">
      <c r="A717" s="425" t="s">
        <v>7975</v>
      </c>
      <c r="B717" s="327" t="s">
        <v>8075</v>
      </c>
      <c r="C717" s="426" t="s">
        <v>8889</v>
      </c>
      <c r="D717" s="427" t="s">
        <v>8890</v>
      </c>
      <c r="E717" s="426" t="s">
        <v>8881</v>
      </c>
      <c r="F717" s="338">
        <v>1708811</v>
      </c>
      <c r="G717" s="338" t="s">
        <v>3800</v>
      </c>
      <c r="H717" s="338"/>
      <c r="I717" s="329">
        <v>407.38598043613655</v>
      </c>
      <c r="J717" s="329"/>
      <c r="K717" s="338">
        <v>101.84649510903414</v>
      </c>
      <c r="L717" s="338">
        <v>101.84649510903414</v>
      </c>
      <c r="M717" s="338">
        <v>101.84649510903414</v>
      </c>
      <c r="N717" s="338">
        <v>101.84649510903414</v>
      </c>
      <c r="O717" s="338"/>
    </row>
    <row r="718" spans="1:15" hidden="1" outlineLevel="2" x14ac:dyDescent="0.35">
      <c r="A718" s="425" t="s">
        <v>7975</v>
      </c>
      <c r="B718" s="327" t="s">
        <v>8089</v>
      </c>
      <c r="C718" s="426" t="s">
        <v>8891</v>
      </c>
      <c r="D718" s="427" t="s">
        <v>8890</v>
      </c>
      <c r="E718" s="426" t="s">
        <v>8881</v>
      </c>
      <c r="F718" s="338">
        <v>1708811</v>
      </c>
      <c r="G718" s="338" t="s">
        <v>3800</v>
      </c>
      <c r="H718" s="338"/>
      <c r="I718" s="329">
        <v>407.38598043613655</v>
      </c>
      <c r="J718" s="329"/>
      <c r="K718" s="338">
        <v>101.84649510903414</v>
      </c>
      <c r="L718" s="338">
        <v>101.84649510903414</v>
      </c>
      <c r="M718" s="338">
        <v>101.84649510903414</v>
      </c>
      <c r="N718" s="338">
        <v>101.84649510903414</v>
      </c>
      <c r="O718" s="338"/>
    </row>
    <row r="719" spans="1:15" hidden="1" outlineLevel="2" x14ac:dyDescent="0.35">
      <c r="A719" s="425" t="s">
        <v>7975</v>
      </c>
      <c r="B719" s="327" t="s">
        <v>7980</v>
      </c>
      <c r="C719" s="426" t="s">
        <v>8892</v>
      </c>
      <c r="D719" s="427" t="s">
        <v>8890</v>
      </c>
      <c r="E719" s="426" t="s">
        <v>8881</v>
      </c>
      <c r="F719" s="338">
        <v>1708811</v>
      </c>
      <c r="G719" s="338" t="s">
        <v>3800</v>
      </c>
      <c r="H719" s="338"/>
      <c r="I719" s="329">
        <v>407.38598043613655</v>
      </c>
      <c r="J719" s="329"/>
      <c r="K719" s="338">
        <v>101.84649510903414</v>
      </c>
      <c r="L719" s="338">
        <v>101.84649510903414</v>
      </c>
      <c r="M719" s="338">
        <v>101.84649510903414</v>
      </c>
      <c r="N719" s="338">
        <v>101.84649510903414</v>
      </c>
      <c r="O719" s="338"/>
    </row>
    <row r="720" spans="1:15" hidden="1" outlineLevel="2" x14ac:dyDescent="0.35">
      <c r="A720" s="425" t="s">
        <v>7975</v>
      </c>
      <c r="B720" s="327">
        <v>43921</v>
      </c>
      <c r="C720" s="426">
        <v>182</v>
      </c>
      <c r="D720" s="427" t="s">
        <v>8893</v>
      </c>
      <c r="E720" s="426" t="s">
        <v>8881</v>
      </c>
      <c r="F720" s="338">
        <v>1708811</v>
      </c>
      <c r="G720" s="338" t="s">
        <v>3800</v>
      </c>
      <c r="H720" s="338"/>
      <c r="I720" s="329">
        <v>400.57636628276327</v>
      </c>
      <c r="J720" s="329"/>
      <c r="K720" s="338">
        <v>100.14409157069082</v>
      </c>
      <c r="L720" s="338">
        <v>100.14409157069082</v>
      </c>
      <c r="M720" s="338">
        <v>100.14409157069082</v>
      </c>
      <c r="N720" s="338">
        <v>100.14409157069082</v>
      </c>
      <c r="O720" s="338"/>
    </row>
    <row r="721" spans="1:15" hidden="1" outlineLevel="2" x14ac:dyDescent="0.35">
      <c r="A721" s="425" t="s">
        <v>7975</v>
      </c>
      <c r="B721" s="327">
        <v>43951</v>
      </c>
      <c r="C721" s="426">
        <v>191</v>
      </c>
      <c r="D721" s="427" t="s">
        <v>8894</v>
      </c>
      <c r="E721" s="426" t="s">
        <v>8881</v>
      </c>
      <c r="F721" s="338">
        <v>1708811</v>
      </c>
      <c r="G721" s="338" t="s">
        <v>3800</v>
      </c>
      <c r="H721" s="338"/>
      <c r="I721" s="329">
        <v>400.57636628276327</v>
      </c>
      <c r="J721" s="329"/>
      <c r="K721" s="338">
        <v>100.14409157069082</v>
      </c>
      <c r="L721" s="338">
        <v>100.14409157069082</v>
      </c>
      <c r="M721" s="338">
        <v>100.14409157069082</v>
      </c>
      <c r="N721" s="338">
        <v>100.14409157069082</v>
      </c>
      <c r="O721" s="338"/>
    </row>
    <row r="722" spans="1:15" hidden="1" outlineLevel="2" x14ac:dyDescent="0.35">
      <c r="A722" s="425" t="s">
        <v>7975</v>
      </c>
      <c r="B722" s="327">
        <v>43982</v>
      </c>
      <c r="C722" s="426">
        <v>197</v>
      </c>
      <c r="D722" s="427" t="s">
        <v>8895</v>
      </c>
      <c r="E722" s="426" t="s">
        <v>8879</v>
      </c>
      <c r="F722" s="338">
        <v>1708811</v>
      </c>
      <c r="G722" s="338" t="s">
        <v>3800</v>
      </c>
      <c r="H722" s="338"/>
      <c r="I722" s="329">
        <v>400.57636628276327</v>
      </c>
      <c r="J722" s="329"/>
      <c r="K722" s="338">
        <v>100.14409157069082</v>
      </c>
      <c r="L722" s="338">
        <v>100.14409157069082</v>
      </c>
      <c r="M722" s="338">
        <v>100.14409157069082</v>
      </c>
      <c r="N722" s="338">
        <v>100.14409157069082</v>
      </c>
      <c r="O722" s="338"/>
    </row>
    <row r="723" spans="1:15" hidden="1" outlineLevel="2" x14ac:dyDescent="0.35">
      <c r="A723" s="425" t="s">
        <v>7975</v>
      </c>
      <c r="B723" s="327" t="s">
        <v>7996</v>
      </c>
      <c r="C723" s="426" t="s">
        <v>7997</v>
      </c>
      <c r="D723" s="427" t="s">
        <v>8896</v>
      </c>
      <c r="E723" s="426" t="s">
        <v>8881</v>
      </c>
      <c r="F723" s="338">
        <v>1708811</v>
      </c>
      <c r="G723" s="338" t="s">
        <v>3800</v>
      </c>
      <c r="H723" s="338"/>
      <c r="I723" s="329">
        <v>407.38598043613655</v>
      </c>
      <c r="J723" s="329"/>
      <c r="K723" s="338">
        <v>101.84649510903414</v>
      </c>
      <c r="L723" s="338">
        <v>101.84649510903414</v>
      </c>
      <c r="M723" s="338">
        <v>101.84649510903414</v>
      </c>
      <c r="N723" s="338">
        <v>101.84649510903414</v>
      </c>
      <c r="O723" s="338"/>
    </row>
    <row r="724" spans="1:15" hidden="1" outlineLevel="2" x14ac:dyDescent="0.35">
      <c r="A724" s="425" t="s">
        <v>7975</v>
      </c>
      <c r="B724" s="327">
        <v>44012</v>
      </c>
      <c r="C724" s="426">
        <v>204</v>
      </c>
      <c r="D724" s="427" t="s">
        <v>8897</v>
      </c>
      <c r="E724" s="426" t="s">
        <v>8879</v>
      </c>
      <c r="F724" s="338">
        <v>1708811</v>
      </c>
      <c r="G724" s="338" t="s">
        <v>3800</v>
      </c>
      <c r="H724" s="338"/>
      <c r="I724" s="329">
        <v>400.57636628276327</v>
      </c>
      <c r="J724" s="329"/>
      <c r="K724" s="338">
        <v>100.14409157069082</v>
      </c>
      <c r="L724" s="338">
        <v>100.14409157069082</v>
      </c>
      <c r="M724" s="338">
        <v>100.14409157069082</v>
      </c>
      <c r="N724" s="338">
        <v>100.14409157069082</v>
      </c>
      <c r="O724" s="338"/>
    </row>
    <row r="725" spans="1:15" hidden="1" outlineLevel="2" x14ac:dyDescent="0.35">
      <c r="A725" s="425" t="s">
        <v>7975</v>
      </c>
      <c r="B725" s="327" t="s">
        <v>7993</v>
      </c>
      <c r="C725" s="426" t="s">
        <v>7994</v>
      </c>
      <c r="D725" s="427" t="s">
        <v>8898</v>
      </c>
      <c r="E725" s="426" t="s">
        <v>8881</v>
      </c>
      <c r="F725" s="338">
        <v>1708811</v>
      </c>
      <c r="G725" s="338" t="s">
        <v>3800</v>
      </c>
      <c r="H725" s="338"/>
      <c r="I725" s="329">
        <v>407.38598043613655</v>
      </c>
      <c r="J725" s="329"/>
      <c r="K725" s="338">
        <v>101.84649510903414</v>
      </c>
      <c r="L725" s="338">
        <v>101.84649510903414</v>
      </c>
      <c r="M725" s="338">
        <v>101.84649510903414</v>
      </c>
      <c r="N725" s="338">
        <v>101.84649510903414</v>
      </c>
      <c r="O725" s="338"/>
    </row>
    <row r="726" spans="1:15" hidden="1" outlineLevel="2" x14ac:dyDescent="0.35">
      <c r="A726" s="425" t="s">
        <v>7975</v>
      </c>
      <c r="B726" s="327">
        <v>44043</v>
      </c>
      <c r="C726" s="426">
        <v>210</v>
      </c>
      <c r="D726" s="427" t="s">
        <v>8899</v>
      </c>
      <c r="E726" s="426" t="s">
        <v>8879</v>
      </c>
      <c r="F726" s="338">
        <v>1708811</v>
      </c>
      <c r="G726" s="338" t="s">
        <v>3800</v>
      </c>
      <c r="H726" s="338"/>
      <c r="I726" s="329">
        <v>400.57636628276327</v>
      </c>
      <c r="J726" s="329"/>
      <c r="K726" s="338">
        <v>100.14409157069082</v>
      </c>
      <c r="L726" s="338">
        <v>100.14409157069082</v>
      </c>
      <c r="M726" s="338">
        <v>100.14409157069082</v>
      </c>
      <c r="N726" s="338">
        <v>100.14409157069082</v>
      </c>
      <c r="O726" s="338"/>
    </row>
    <row r="727" spans="1:15" hidden="1" outlineLevel="2" x14ac:dyDescent="0.35">
      <c r="A727" s="425" t="s">
        <v>7975</v>
      </c>
      <c r="B727" s="327" t="s">
        <v>7990</v>
      </c>
      <c r="C727" s="426" t="s">
        <v>7991</v>
      </c>
      <c r="D727" s="427" t="s">
        <v>8900</v>
      </c>
      <c r="E727" s="426" t="s">
        <v>8881</v>
      </c>
      <c r="F727" s="338">
        <v>1708811</v>
      </c>
      <c r="G727" s="338" t="s">
        <v>3800</v>
      </c>
      <c r="H727" s="338"/>
      <c r="I727" s="329">
        <v>407.38598043613655</v>
      </c>
      <c r="J727" s="329"/>
      <c r="K727" s="338">
        <v>101.84649510903414</v>
      </c>
      <c r="L727" s="338">
        <v>101.84649510903414</v>
      </c>
      <c r="M727" s="338">
        <v>101.84649510903414</v>
      </c>
      <c r="N727" s="338">
        <v>101.84649510903414</v>
      </c>
      <c r="O727" s="338"/>
    </row>
    <row r="728" spans="1:15" hidden="1" outlineLevel="2" x14ac:dyDescent="0.35">
      <c r="A728" s="425" t="s">
        <v>7975</v>
      </c>
      <c r="B728" s="327">
        <v>44074</v>
      </c>
      <c r="C728" s="426">
        <v>224</v>
      </c>
      <c r="D728" s="427" t="s">
        <v>8901</v>
      </c>
      <c r="E728" s="426" t="s">
        <v>8879</v>
      </c>
      <c r="F728" s="338">
        <v>1708811</v>
      </c>
      <c r="G728" s="338" t="s">
        <v>3800</v>
      </c>
      <c r="H728" s="338"/>
      <c r="I728" s="329">
        <v>400.57636628276327</v>
      </c>
      <c r="J728" s="329"/>
      <c r="K728" s="338">
        <v>100.14409157069082</v>
      </c>
      <c r="L728" s="338">
        <v>100.14409157069082</v>
      </c>
      <c r="M728" s="338">
        <v>100.14409157069082</v>
      </c>
      <c r="N728" s="338">
        <v>100.14409157069082</v>
      </c>
      <c r="O728" s="338"/>
    </row>
    <row r="729" spans="1:15" hidden="1" outlineLevel="2" x14ac:dyDescent="0.35">
      <c r="A729" s="425" t="s">
        <v>7975</v>
      </c>
      <c r="B729" s="327" t="s">
        <v>7984</v>
      </c>
      <c r="C729" s="426" t="s">
        <v>7985</v>
      </c>
      <c r="D729" s="427" t="s">
        <v>8902</v>
      </c>
      <c r="E729" s="426" t="s">
        <v>8881</v>
      </c>
      <c r="F729" s="338">
        <v>1708811</v>
      </c>
      <c r="G729" s="338" t="s">
        <v>3800</v>
      </c>
      <c r="H729" s="338"/>
      <c r="I729" s="329">
        <v>407.38598043613655</v>
      </c>
      <c r="J729" s="329"/>
      <c r="K729" s="338">
        <v>101.84649510903414</v>
      </c>
      <c r="L729" s="338">
        <v>101.84649510903414</v>
      </c>
      <c r="M729" s="338">
        <v>101.84649510903414</v>
      </c>
      <c r="N729" s="338">
        <v>101.84649510903414</v>
      </c>
      <c r="O729" s="338"/>
    </row>
    <row r="730" spans="1:15" hidden="1" outlineLevel="2" x14ac:dyDescent="0.35">
      <c r="A730" s="425" t="s">
        <v>7975</v>
      </c>
      <c r="B730" s="327">
        <v>44104</v>
      </c>
      <c r="C730" s="426">
        <v>234</v>
      </c>
      <c r="D730" s="427" t="s">
        <v>8903</v>
      </c>
      <c r="E730" s="426" t="s">
        <v>8879</v>
      </c>
      <c r="F730" s="338">
        <v>1708811</v>
      </c>
      <c r="G730" s="338" t="s">
        <v>3800</v>
      </c>
      <c r="H730" s="338"/>
      <c r="I730" s="329">
        <v>400.57636628276327</v>
      </c>
      <c r="J730" s="329"/>
      <c r="K730" s="338">
        <v>100.14409157069082</v>
      </c>
      <c r="L730" s="338">
        <v>100.14409157069082</v>
      </c>
      <c r="M730" s="338">
        <v>100.14409157069082</v>
      </c>
      <c r="N730" s="338">
        <v>100.14409157069082</v>
      </c>
      <c r="O730" s="338"/>
    </row>
    <row r="731" spans="1:15" hidden="1" outlineLevel="2" x14ac:dyDescent="0.35">
      <c r="A731" s="425" t="s">
        <v>7975</v>
      </c>
      <c r="B731" s="327" t="s">
        <v>8005</v>
      </c>
      <c r="C731" s="426" t="s">
        <v>8006</v>
      </c>
      <c r="D731" s="427" t="s">
        <v>8904</v>
      </c>
      <c r="E731" s="426" t="s">
        <v>8881</v>
      </c>
      <c r="F731" s="338">
        <v>1708811</v>
      </c>
      <c r="G731" s="338" t="s">
        <v>3800</v>
      </c>
      <c r="H731" s="338"/>
      <c r="I731" s="329">
        <v>407.38598043613655</v>
      </c>
      <c r="J731" s="329"/>
      <c r="K731" s="338">
        <v>101.84649510903414</v>
      </c>
      <c r="L731" s="338">
        <v>101.84649510903414</v>
      </c>
      <c r="M731" s="338">
        <v>101.84649510903414</v>
      </c>
      <c r="N731" s="338">
        <v>101.84649510903414</v>
      </c>
      <c r="O731" s="338"/>
    </row>
    <row r="732" spans="1:15" hidden="1" outlineLevel="2" x14ac:dyDescent="0.35">
      <c r="A732" s="425" t="s">
        <v>7975</v>
      </c>
      <c r="B732" s="327">
        <v>44135</v>
      </c>
      <c r="C732" s="426">
        <v>240</v>
      </c>
      <c r="D732" s="427" t="s">
        <v>8905</v>
      </c>
      <c r="E732" s="426" t="s">
        <v>8879</v>
      </c>
      <c r="F732" s="338">
        <v>51264</v>
      </c>
      <c r="G732" s="338" t="s">
        <v>3800</v>
      </c>
      <c r="H732" s="338"/>
      <c r="I732" s="329">
        <v>12.017213630483171</v>
      </c>
      <c r="J732" s="329"/>
      <c r="K732" s="338">
        <v>3.0043034076207928</v>
      </c>
      <c r="L732" s="338">
        <v>3.0043034076207928</v>
      </c>
      <c r="M732" s="338">
        <v>3.0043034076207928</v>
      </c>
      <c r="N732" s="338">
        <v>3.0043034076207928</v>
      </c>
      <c r="O732" s="338"/>
    </row>
    <row r="733" spans="1:15" hidden="1" outlineLevel="2" x14ac:dyDescent="0.35">
      <c r="A733" s="425" t="s">
        <v>7975</v>
      </c>
      <c r="B733" s="327" t="s">
        <v>8002</v>
      </c>
      <c r="C733" s="426" t="s">
        <v>8003</v>
      </c>
      <c r="D733" s="427" t="s">
        <v>8906</v>
      </c>
      <c r="E733" s="426" t="s">
        <v>8881</v>
      </c>
      <c r="F733" s="338">
        <v>51264</v>
      </c>
      <c r="G733" s="338" t="s">
        <v>3800</v>
      </c>
      <c r="H733" s="338"/>
      <c r="I733" s="329">
        <v>12.221500740033921</v>
      </c>
      <c r="J733" s="329"/>
      <c r="K733" s="338">
        <v>3.0553751850084803</v>
      </c>
      <c r="L733" s="338">
        <v>3.0553751850084803</v>
      </c>
      <c r="M733" s="338">
        <v>3.0553751850084803</v>
      </c>
      <c r="N733" s="338">
        <v>3.0553751850084803</v>
      </c>
      <c r="O733" s="338"/>
    </row>
    <row r="734" spans="1:15" hidden="1" outlineLevel="2" x14ac:dyDescent="0.35">
      <c r="A734" s="425" t="s">
        <v>7975</v>
      </c>
      <c r="B734" s="327" t="s">
        <v>7999</v>
      </c>
      <c r="C734" s="426" t="s">
        <v>8000</v>
      </c>
      <c r="D734" s="427" t="s">
        <v>8906</v>
      </c>
      <c r="E734" s="426" t="s">
        <v>8881</v>
      </c>
      <c r="F734" s="338">
        <v>51264</v>
      </c>
      <c r="G734" s="338" t="s">
        <v>3800</v>
      </c>
      <c r="H734" s="338"/>
      <c r="I734" s="329">
        <v>12.221500740033921</v>
      </c>
      <c r="J734" s="329"/>
      <c r="K734" s="338">
        <v>3.0553751850084803</v>
      </c>
      <c r="L734" s="338">
        <v>3.0553751850084803</v>
      </c>
      <c r="M734" s="338">
        <v>3.0553751850084803</v>
      </c>
      <c r="N734" s="338">
        <v>3.0553751850084803</v>
      </c>
      <c r="O734" s="338"/>
    </row>
    <row r="735" spans="1:15" hidden="1" outlineLevel="2" x14ac:dyDescent="0.35">
      <c r="A735" s="425" t="s">
        <v>7975</v>
      </c>
      <c r="B735" s="327">
        <v>44165</v>
      </c>
      <c r="C735" s="426">
        <v>248</v>
      </c>
      <c r="D735" s="427" t="s">
        <v>8907</v>
      </c>
      <c r="E735" s="426" t="s">
        <v>8879</v>
      </c>
      <c r="F735" s="338">
        <v>51264</v>
      </c>
      <c r="G735" s="338" t="s">
        <v>3800</v>
      </c>
      <c r="H735" s="338"/>
      <c r="I735" s="329">
        <v>12.017213630483171</v>
      </c>
      <c r="J735" s="329"/>
      <c r="K735" s="338">
        <v>3.0043034076207928</v>
      </c>
      <c r="L735" s="338">
        <v>3.0043034076207928</v>
      </c>
      <c r="M735" s="338">
        <v>3.0043034076207928</v>
      </c>
      <c r="N735" s="338">
        <v>3.0043034076207928</v>
      </c>
      <c r="O735" s="338"/>
    </row>
    <row r="736" spans="1:15" hidden="1" outlineLevel="2" x14ac:dyDescent="0.35">
      <c r="A736" s="425" t="s">
        <v>7975</v>
      </c>
      <c r="B736" s="327" t="s">
        <v>8079</v>
      </c>
      <c r="C736" s="426" t="s">
        <v>8327</v>
      </c>
      <c r="D736" s="427" t="s">
        <v>8908</v>
      </c>
      <c r="E736" s="426" t="s">
        <v>8881</v>
      </c>
      <c r="F736" s="338">
        <v>51264</v>
      </c>
      <c r="G736" s="338" t="s">
        <v>3800</v>
      </c>
      <c r="H736" s="338"/>
      <c r="I736" s="329">
        <v>12.221500740033921</v>
      </c>
      <c r="J736" s="329"/>
      <c r="K736" s="338">
        <v>3.0553751850084803</v>
      </c>
      <c r="L736" s="338">
        <v>3.0553751850084803</v>
      </c>
      <c r="M736" s="338">
        <v>3.0553751850084803</v>
      </c>
      <c r="N736" s="338">
        <v>3.0553751850084803</v>
      </c>
      <c r="O736" s="338"/>
    </row>
    <row r="737" spans="1:15" hidden="1" outlineLevel="2" x14ac:dyDescent="0.35">
      <c r="A737" s="425" t="s">
        <v>7975</v>
      </c>
      <c r="B737" s="327" t="s">
        <v>8077</v>
      </c>
      <c r="C737" s="426" t="s">
        <v>8883</v>
      </c>
      <c r="D737" s="427" t="s">
        <v>8908</v>
      </c>
      <c r="E737" s="426" t="s">
        <v>8881</v>
      </c>
      <c r="F737" s="338">
        <v>51264</v>
      </c>
      <c r="G737" s="338" t="s">
        <v>3800</v>
      </c>
      <c r="H737" s="338"/>
      <c r="I737" s="329">
        <v>12.221500740033921</v>
      </c>
      <c r="J737" s="329"/>
      <c r="K737" s="338">
        <v>3.0553751850084803</v>
      </c>
      <c r="L737" s="338">
        <v>3.0553751850084803</v>
      </c>
      <c r="M737" s="338">
        <v>3.0553751850084803</v>
      </c>
      <c r="N737" s="338">
        <v>3.0553751850084803</v>
      </c>
      <c r="O737" s="338"/>
    </row>
    <row r="738" spans="1:15" hidden="1" outlineLevel="2" x14ac:dyDescent="0.35">
      <c r="A738" s="425" t="s">
        <v>7975</v>
      </c>
      <c r="B738" s="327">
        <v>44196</v>
      </c>
      <c r="C738" s="426">
        <v>256</v>
      </c>
      <c r="D738" s="427" t="s">
        <v>8909</v>
      </c>
      <c r="E738" s="426" t="s">
        <v>8879</v>
      </c>
      <c r="F738" s="338">
        <v>51264</v>
      </c>
      <c r="G738" s="338" t="s">
        <v>3800</v>
      </c>
      <c r="H738" s="338"/>
      <c r="I738" s="329">
        <v>12.017213630483171</v>
      </c>
      <c r="J738" s="329"/>
      <c r="K738" s="338">
        <v>3.0043034076207928</v>
      </c>
      <c r="L738" s="338">
        <v>3.0043034076207928</v>
      </c>
      <c r="M738" s="338">
        <v>3.0043034076207928</v>
      </c>
      <c r="N738" s="338">
        <v>3.0043034076207928</v>
      </c>
      <c r="O738" s="338"/>
    </row>
    <row r="739" spans="1:15" hidden="1" outlineLevel="2" x14ac:dyDescent="0.35">
      <c r="A739" s="425" t="s">
        <v>7975</v>
      </c>
      <c r="B739" s="327" t="s">
        <v>7987</v>
      </c>
      <c r="C739" s="426" t="s">
        <v>7988</v>
      </c>
      <c r="D739" s="427" t="s">
        <v>8910</v>
      </c>
      <c r="E739" s="426" t="s">
        <v>8881</v>
      </c>
      <c r="F739" s="338">
        <v>51264</v>
      </c>
      <c r="G739" s="338" t="s">
        <v>3800</v>
      </c>
      <c r="H739" s="338"/>
      <c r="I739" s="329">
        <v>12.221500740033921</v>
      </c>
      <c r="J739" s="329"/>
      <c r="K739" s="338">
        <v>3.0553751850084803</v>
      </c>
      <c r="L739" s="338">
        <v>3.0553751850084803</v>
      </c>
      <c r="M739" s="338">
        <v>3.0553751850084803</v>
      </c>
      <c r="N739" s="338">
        <v>3.0553751850084803</v>
      </c>
      <c r="O739" s="338"/>
    </row>
    <row r="740" spans="1:15" hidden="1" outlineLevel="2" x14ac:dyDescent="0.35">
      <c r="A740" s="425" t="s">
        <v>7975</v>
      </c>
      <c r="B740" s="327">
        <v>43890</v>
      </c>
      <c r="C740" s="426">
        <v>175</v>
      </c>
      <c r="D740" s="427" t="s">
        <v>8911</v>
      </c>
      <c r="E740" s="426" t="s">
        <v>8881</v>
      </c>
      <c r="F740" s="338">
        <v>35355</v>
      </c>
      <c r="G740" s="338" t="s">
        <v>3800</v>
      </c>
      <c r="H740" s="338"/>
      <c r="I740" s="329">
        <v>8.2878547890475289</v>
      </c>
      <c r="J740" s="329"/>
      <c r="K740" s="338">
        <v>2.0719636972618822</v>
      </c>
      <c r="L740" s="338">
        <v>2.0719636972618822</v>
      </c>
      <c r="M740" s="338">
        <v>2.0719636972618822</v>
      </c>
      <c r="N740" s="338">
        <v>2.0719636972618822</v>
      </c>
      <c r="O740" s="338"/>
    </row>
    <row r="741" spans="1:15" hidden="1" outlineLevel="2" x14ac:dyDescent="0.35">
      <c r="A741" s="425" t="s">
        <v>7975</v>
      </c>
      <c r="B741" s="327" t="s">
        <v>8075</v>
      </c>
      <c r="C741" s="426" t="s">
        <v>8889</v>
      </c>
      <c r="D741" s="427" t="s">
        <v>8912</v>
      </c>
      <c r="E741" s="426" t="s">
        <v>8881</v>
      </c>
      <c r="F741" s="338">
        <v>51264</v>
      </c>
      <c r="G741" s="338" t="s">
        <v>3800</v>
      </c>
      <c r="H741" s="338"/>
      <c r="I741" s="329">
        <v>12.221500740033921</v>
      </c>
      <c r="J741" s="329"/>
      <c r="K741" s="338">
        <v>3.0553751850084803</v>
      </c>
      <c r="L741" s="338">
        <v>3.0553751850084803</v>
      </c>
      <c r="M741" s="338">
        <v>3.0553751850084803</v>
      </c>
      <c r="N741" s="338">
        <v>3.0553751850084803</v>
      </c>
      <c r="O741" s="338"/>
    </row>
    <row r="742" spans="1:15" hidden="1" outlineLevel="2" x14ac:dyDescent="0.35">
      <c r="A742" s="425" t="s">
        <v>7975</v>
      </c>
      <c r="B742" s="327" t="s">
        <v>8089</v>
      </c>
      <c r="C742" s="426" t="s">
        <v>8891</v>
      </c>
      <c r="D742" s="427" t="s">
        <v>8912</v>
      </c>
      <c r="E742" s="426" t="s">
        <v>8881</v>
      </c>
      <c r="F742" s="338">
        <v>51264</v>
      </c>
      <c r="G742" s="338" t="s">
        <v>3800</v>
      </c>
      <c r="H742" s="338"/>
      <c r="I742" s="329">
        <v>12.221500740033921</v>
      </c>
      <c r="J742" s="329"/>
      <c r="K742" s="338">
        <v>3.0553751850084803</v>
      </c>
      <c r="L742" s="338">
        <v>3.0553751850084803</v>
      </c>
      <c r="M742" s="338">
        <v>3.0553751850084803</v>
      </c>
      <c r="N742" s="338">
        <v>3.0553751850084803</v>
      </c>
      <c r="O742" s="338"/>
    </row>
    <row r="743" spans="1:15" hidden="1" outlineLevel="2" x14ac:dyDescent="0.35">
      <c r="A743" s="425" t="s">
        <v>7975</v>
      </c>
      <c r="B743" s="327" t="s">
        <v>7980</v>
      </c>
      <c r="C743" s="426" t="s">
        <v>8892</v>
      </c>
      <c r="D743" s="427" t="s">
        <v>8912</v>
      </c>
      <c r="E743" s="426" t="s">
        <v>8881</v>
      </c>
      <c r="F743" s="338">
        <v>51264</v>
      </c>
      <c r="G743" s="338" t="s">
        <v>3800</v>
      </c>
      <c r="H743" s="338"/>
      <c r="I743" s="329">
        <v>12.221500740033921</v>
      </c>
      <c r="J743" s="329"/>
      <c r="K743" s="338">
        <v>3.0553751850084803</v>
      </c>
      <c r="L743" s="338">
        <v>3.0553751850084803</v>
      </c>
      <c r="M743" s="338">
        <v>3.0553751850084803</v>
      </c>
      <c r="N743" s="338">
        <v>3.0553751850084803</v>
      </c>
      <c r="O743" s="338"/>
    </row>
    <row r="744" spans="1:15" hidden="1" outlineLevel="2" x14ac:dyDescent="0.35">
      <c r="A744" s="425" t="s">
        <v>7975</v>
      </c>
      <c r="B744" s="327">
        <v>43921</v>
      </c>
      <c r="C744" s="426">
        <v>182</v>
      </c>
      <c r="D744" s="427" t="s">
        <v>8913</v>
      </c>
      <c r="E744" s="426" t="s">
        <v>8881</v>
      </c>
      <c r="F744" s="338">
        <v>51264</v>
      </c>
      <c r="G744" s="338" t="s">
        <v>3800</v>
      </c>
      <c r="H744" s="338"/>
      <c r="I744" s="329">
        <v>12.017213630483171</v>
      </c>
      <c r="J744" s="329"/>
      <c r="K744" s="338">
        <v>3.0043034076207928</v>
      </c>
      <c r="L744" s="338">
        <v>3.0043034076207928</v>
      </c>
      <c r="M744" s="338">
        <v>3.0043034076207928</v>
      </c>
      <c r="N744" s="338">
        <v>3.0043034076207928</v>
      </c>
      <c r="O744" s="338"/>
    </row>
    <row r="745" spans="1:15" hidden="1" outlineLevel="2" x14ac:dyDescent="0.35">
      <c r="A745" s="425" t="s">
        <v>7975</v>
      </c>
      <c r="B745" s="327">
        <v>43951</v>
      </c>
      <c r="C745" s="426">
        <v>191</v>
      </c>
      <c r="D745" s="427" t="s">
        <v>8914</v>
      </c>
      <c r="E745" s="426" t="s">
        <v>8881</v>
      </c>
      <c r="F745" s="338">
        <v>51264</v>
      </c>
      <c r="G745" s="338" t="s">
        <v>3800</v>
      </c>
      <c r="H745" s="338"/>
      <c r="I745" s="329">
        <v>12.017213630483171</v>
      </c>
      <c r="J745" s="329"/>
      <c r="K745" s="338">
        <v>3.0043034076207928</v>
      </c>
      <c r="L745" s="338">
        <v>3.0043034076207928</v>
      </c>
      <c r="M745" s="338">
        <v>3.0043034076207928</v>
      </c>
      <c r="N745" s="338">
        <v>3.0043034076207928</v>
      </c>
      <c r="O745" s="338"/>
    </row>
    <row r="746" spans="1:15" hidden="1" outlineLevel="2" x14ac:dyDescent="0.35">
      <c r="A746" s="425" t="s">
        <v>7975</v>
      </c>
      <c r="B746" s="327">
        <v>43982</v>
      </c>
      <c r="C746" s="426">
        <v>197</v>
      </c>
      <c r="D746" s="427" t="s">
        <v>8915</v>
      </c>
      <c r="E746" s="426" t="s">
        <v>8879</v>
      </c>
      <c r="F746" s="338">
        <v>51264</v>
      </c>
      <c r="G746" s="338" t="s">
        <v>3800</v>
      </c>
      <c r="H746" s="338"/>
      <c r="I746" s="329">
        <v>12.017213630483171</v>
      </c>
      <c r="J746" s="329"/>
      <c r="K746" s="338">
        <v>3.0043034076207928</v>
      </c>
      <c r="L746" s="338">
        <v>3.0043034076207928</v>
      </c>
      <c r="M746" s="338">
        <v>3.0043034076207928</v>
      </c>
      <c r="N746" s="338">
        <v>3.0043034076207928</v>
      </c>
      <c r="O746" s="338"/>
    </row>
    <row r="747" spans="1:15" hidden="1" outlineLevel="2" x14ac:dyDescent="0.35">
      <c r="A747" s="425" t="s">
        <v>7975</v>
      </c>
      <c r="B747" s="327" t="s">
        <v>7996</v>
      </c>
      <c r="C747" s="426" t="s">
        <v>7997</v>
      </c>
      <c r="D747" s="427" t="s">
        <v>8916</v>
      </c>
      <c r="E747" s="426" t="s">
        <v>8881</v>
      </c>
      <c r="F747" s="338">
        <v>51264</v>
      </c>
      <c r="G747" s="338" t="s">
        <v>3800</v>
      </c>
      <c r="H747" s="338"/>
      <c r="I747" s="329">
        <v>12.221500740033921</v>
      </c>
      <c r="J747" s="329"/>
      <c r="K747" s="338">
        <v>3.0553751850084803</v>
      </c>
      <c r="L747" s="338">
        <v>3.0553751850084803</v>
      </c>
      <c r="M747" s="338">
        <v>3.0553751850084803</v>
      </c>
      <c r="N747" s="338">
        <v>3.0553751850084803</v>
      </c>
      <c r="O747" s="338"/>
    </row>
    <row r="748" spans="1:15" hidden="1" outlineLevel="2" x14ac:dyDescent="0.35">
      <c r="A748" s="425" t="s">
        <v>7975</v>
      </c>
      <c r="B748" s="327">
        <v>44012</v>
      </c>
      <c r="C748" s="426">
        <v>204</v>
      </c>
      <c r="D748" s="427" t="s">
        <v>8917</v>
      </c>
      <c r="E748" s="426" t="s">
        <v>8879</v>
      </c>
      <c r="F748" s="338">
        <v>51264</v>
      </c>
      <c r="G748" s="338" t="s">
        <v>3800</v>
      </c>
      <c r="H748" s="338"/>
      <c r="I748" s="329">
        <v>12.017213630483171</v>
      </c>
      <c r="J748" s="329"/>
      <c r="K748" s="338">
        <v>3.0043034076207928</v>
      </c>
      <c r="L748" s="338">
        <v>3.0043034076207928</v>
      </c>
      <c r="M748" s="338">
        <v>3.0043034076207928</v>
      </c>
      <c r="N748" s="338">
        <v>3.0043034076207928</v>
      </c>
      <c r="O748" s="338"/>
    </row>
    <row r="749" spans="1:15" hidden="1" outlineLevel="2" x14ac:dyDescent="0.35">
      <c r="A749" s="425" t="s">
        <v>7975</v>
      </c>
      <c r="B749" s="327" t="s">
        <v>7993</v>
      </c>
      <c r="C749" s="426" t="s">
        <v>7994</v>
      </c>
      <c r="D749" s="427" t="s">
        <v>8918</v>
      </c>
      <c r="E749" s="426" t="s">
        <v>8881</v>
      </c>
      <c r="F749" s="338">
        <v>51264</v>
      </c>
      <c r="G749" s="338" t="s">
        <v>3800</v>
      </c>
      <c r="H749" s="338"/>
      <c r="I749" s="329">
        <v>12.221500740033921</v>
      </c>
      <c r="J749" s="329"/>
      <c r="K749" s="338">
        <v>3.0553751850084803</v>
      </c>
      <c r="L749" s="338">
        <v>3.0553751850084803</v>
      </c>
      <c r="M749" s="338">
        <v>3.0553751850084803</v>
      </c>
      <c r="N749" s="338">
        <v>3.0553751850084803</v>
      </c>
      <c r="O749" s="338"/>
    </row>
    <row r="750" spans="1:15" hidden="1" outlineLevel="2" x14ac:dyDescent="0.35">
      <c r="A750" s="425" t="s">
        <v>7975</v>
      </c>
      <c r="B750" s="327">
        <v>44043</v>
      </c>
      <c r="C750" s="426">
        <v>210</v>
      </c>
      <c r="D750" s="427" t="s">
        <v>8919</v>
      </c>
      <c r="E750" s="426" t="s">
        <v>8879</v>
      </c>
      <c r="F750" s="338">
        <v>51264</v>
      </c>
      <c r="G750" s="338" t="s">
        <v>3800</v>
      </c>
      <c r="H750" s="338"/>
      <c r="I750" s="329">
        <v>12.017213630483171</v>
      </c>
      <c r="J750" s="329"/>
      <c r="K750" s="338">
        <v>3.0043034076207928</v>
      </c>
      <c r="L750" s="338">
        <v>3.0043034076207928</v>
      </c>
      <c r="M750" s="338">
        <v>3.0043034076207928</v>
      </c>
      <c r="N750" s="338">
        <v>3.0043034076207928</v>
      </c>
      <c r="O750" s="338"/>
    </row>
    <row r="751" spans="1:15" hidden="1" outlineLevel="2" x14ac:dyDescent="0.35">
      <c r="A751" s="425" t="s">
        <v>7975</v>
      </c>
      <c r="B751" s="327" t="s">
        <v>7990</v>
      </c>
      <c r="C751" s="426" t="s">
        <v>7991</v>
      </c>
      <c r="D751" s="427" t="s">
        <v>8920</v>
      </c>
      <c r="E751" s="426" t="s">
        <v>8881</v>
      </c>
      <c r="F751" s="338">
        <v>51264</v>
      </c>
      <c r="G751" s="338" t="s">
        <v>3800</v>
      </c>
      <c r="H751" s="338"/>
      <c r="I751" s="329">
        <v>12.221500740033921</v>
      </c>
      <c r="J751" s="329"/>
      <c r="K751" s="338">
        <v>3.0553751850084803</v>
      </c>
      <c r="L751" s="338">
        <v>3.0553751850084803</v>
      </c>
      <c r="M751" s="338">
        <v>3.0553751850084803</v>
      </c>
      <c r="N751" s="338">
        <v>3.0553751850084803</v>
      </c>
      <c r="O751" s="338"/>
    </row>
    <row r="752" spans="1:15" hidden="1" outlineLevel="2" x14ac:dyDescent="0.35">
      <c r="A752" s="425" t="s">
        <v>7975</v>
      </c>
      <c r="B752" s="327">
        <v>44074</v>
      </c>
      <c r="C752" s="426">
        <v>224</v>
      </c>
      <c r="D752" s="427" t="s">
        <v>8921</v>
      </c>
      <c r="E752" s="426" t="s">
        <v>8879</v>
      </c>
      <c r="F752" s="338">
        <v>51264</v>
      </c>
      <c r="G752" s="338" t="s">
        <v>3800</v>
      </c>
      <c r="H752" s="338"/>
      <c r="I752" s="329">
        <v>12.017213630483171</v>
      </c>
      <c r="J752" s="329"/>
      <c r="K752" s="338">
        <v>3.0043034076207928</v>
      </c>
      <c r="L752" s="338">
        <v>3.0043034076207928</v>
      </c>
      <c r="M752" s="338">
        <v>3.0043034076207928</v>
      </c>
      <c r="N752" s="338">
        <v>3.0043034076207928</v>
      </c>
      <c r="O752" s="338"/>
    </row>
    <row r="753" spans="1:15" hidden="1" outlineLevel="2" x14ac:dyDescent="0.35">
      <c r="A753" s="425" t="s">
        <v>7975</v>
      </c>
      <c r="B753" s="327" t="s">
        <v>7984</v>
      </c>
      <c r="C753" s="426" t="s">
        <v>7985</v>
      </c>
      <c r="D753" s="427" t="s">
        <v>8922</v>
      </c>
      <c r="E753" s="426" t="s">
        <v>8881</v>
      </c>
      <c r="F753" s="338">
        <v>51264</v>
      </c>
      <c r="G753" s="338" t="s">
        <v>3800</v>
      </c>
      <c r="H753" s="338"/>
      <c r="I753" s="329">
        <v>12.221500740033921</v>
      </c>
      <c r="J753" s="329"/>
      <c r="K753" s="338">
        <v>3.0553751850084803</v>
      </c>
      <c r="L753" s="338">
        <v>3.0553751850084803</v>
      </c>
      <c r="M753" s="338">
        <v>3.0553751850084803</v>
      </c>
      <c r="N753" s="338">
        <v>3.0553751850084803</v>
      </c>
      <c r="O753" s="338"/>
    </row>
    <row r="754" spans="1:15" hidden="1" outlineLevel="2" x14ac:dyDescent="0.35">
      <c r="A754" s="428" t="s">
        <v>7975</v>
      </c>
      <c r="B754" s="331">
        <v>44104</v>
      </c>
      <c r="C754" s="429">
        <v>234</v>
      </c>
      <c r="D754" s="430" t="s">
        <v>8923</v>
      </c>
      <c r="E754" s="429" t="s">
        <v>8879</v>
      </c>
      <c r="F754" s="336">
        <v>51264</v>
      </c>
      <c r="G754" s="338" t="s">
        <v>3800</v>
      </c>
      <c r="H754" s="338"/>
      <c r="I754" s="329">
        <v>12.017213630483171</v>
      </c>
      <c r="J754" s="329"/>
      <c r="K754" s="336">
        <v>3.0043034076207928</v>
      </c>
      <c r="L754" s="336">
        <v>3.0043034076207928</v>
      </c>
      <c r="M754" s="336">
        <v>3.0043034076207928</v>
      </c>
      <c r="N754" s="336">
        <v>3.0043034076207928</v>
      </c>
      <c r="O754" s="336"/>
    </row>
    <row r="755" spans="1:15" hidden="1" outlineLevel="2" x14ac:dyDescent="0.35">
      <c r="A755" s="428" t="s">
        <v>7975</v>
      </c>
      <c r="B755" s="331" t="s">
        <v>8005</v>
      </c>
      <c r="C755" s="429" t="s">
        <v>8006</v>
      </c>
      <c r="D755" s="430" t="s">
        <v>8924</v>
      </c>
      <c r="E755" s="429" t="s">
        <v>8881</v>
      </c>
      <c r="F755" s="336">
        <v>51264</v>
      </c>
      <c r="G755" s="338" t="s">
        <v>3800</v>
      </c>
      <c r="H755" s="338"/>
      <c r="I755" s="329">
        <v>12.221500740033921</v>
      </c>
      <c r="J755" s="329"/>
      <c r="K755" s="336">
        <v>3.0553751850084803</v>
      </c>
      <c r="L755" s="336">
        <v>3.0553751850084803</v>
      </c>
      <c r="M755" s="336">
        <v>3.0553751850084803</v>
      </c>
      <c r="N755" s="336">
        <v>3.0553751850084803</v>
      </c>
      <c r="O755" s="336"/>
    </row>
    <row r="756" spans="1:15" hidden="1" outlineLevel="2" x14ac:dyDescent="0.35">
      <c r="A756" s="428" t="s">
        <v>7975</v>
      </c>
      <c r="B756" s="331">
        <v>44047</v>
      </c>
      <c r="C756" s="429">
        <v>216</v>
      </c>
      <c r="D756" s="430" t="s">
        <v>8925</v>
      </c>
      <c r="E756" s="429" t="s">
        <v>8702</v>
      </c>
      <c r="F756" s="336">
        <v>3200000</v>
      </c>
      <c r="G756" s="338" t="s">
        <v>3800</v>
      </c>
      <c r="H756" s="338"/>
      <c r="I756" s="329">
        <v>750.13817918122163</v>
      </c>
      <c r="J756" s="329"/>
      <c r="K756" s="336">
        <v>187.53454479530541</v>
      </c>
      <c r="L756" s="336">
        <v>187.53454479530541</v>
      </c>
      <c r="M756" s="336">
        <v>187.53454479530541</v>
      </c>
      <c r="N756" s="336">
        <v>187.53454479530541</v>
      </c>
      <c r="O756" s="336"/>
    </row>
    <row r="757" spans="1:15" hidden="1" outlineLevel="2" x14ac:dyDescent="0.35">
      <c r="A757" s="428" t="s">
        <v>7975</v>
      </c>
      <c r="B757" s="331">
        <v>44047</v>
      </c>
      <c r="C757" s="429">
        <v>217</v>
      </c>
      <c r="D757" s="430" t="s">
        <v>8926</v>
      </c>
      <c r="E757" s="429" t="s">
        <v>8702</v>
      </c>
      <c r="F757" s="336">
        <v>4000000</v>
      </c>
      <c r="G757" s="338" t="s">
        <v>3800</v>
      </c>
      <c r="H757" s="338"/>
      <c r="I757" s="329">
        <v>937.6727239765271</v>
      </c>
      <c r="J757" s="329"/>
      <c r="K757" s="336">
        <v>234.41818099413177</v>
      </c>
      <c r="L757" s="336">
        <v>234.41818099413177</v>
      </c>
      <c r="M757" s="336">
        <v>234.41818099413177</v>
      </c>
      <c r="N757" s="336">
        <v>234.41818099413177</v>
      </c>
      <c r="O757" s="336"/>
    </row>
    <row r="758" spans="1:15" hidden="1" outlineLevel="2" x14ac:dyDescent="0.35">
      <c r="A758" s="428" t="s">
        <v>7975</v>
      </c>
      <c r="B758" s="331">
        <v>44135</v>
      </c>
      <c r="C758" s="429">
        <v>240</v>
      </c>
      <c r="D758" s="430" t="s">
        <v>8927</v>
      </c>
      <c r="E758" s="429" t="s">
        <v>8879</v>
      </c>
      <c r="F758" s="336">
        <v>220881</v>
      </c>
      <c r="G758" s="338" t="s">
        <v>3800</v>
      </c>
      <c r="H758" s="338"/>
      <c r="I758" s="329">
        <v>51.778522236164818</v>
      </c>
      <c r="J758" s="329"/>
      <c r="K758" s="336">
        <v>12.944630559041205</v>
      </c>
      <c r="L758" s="336">
        <v>12.944630559041205</v>
      </c>
      <c r="M758" s="336">
        <v>12.944630559041205</v>
      </c>
      <c r="N758" s="336">
        <v>12.944630559041205</v>
      </c>
      <c r="O758" s="336"/>
    </row>
    <row r="759" spans="1:15" hidden="1" outlineLevel="2" x14ac:dyDescent="0.35">
      <c r="A759" s="428" t="s">
        <v>7975</v>
      </c>
      <c r="B759" s="331" t="s">
        <v>8002</v>
      </c>
      <c r="C759" s="429" t="s">
        <v>8003</v>
      </c>
      <c r="D759" s="430" t="s">
        <v>8928</v>
      </c>
      <c r="E759" s="429" t="s">
        <v>8881</v>
      </c>
      <c r="F759" s="336">
        <v>220881</v>
      </c>
      <c r="G759" s="338" t="s">
        <v>3800</v>
      </c>
      <c r="H759" s="338"/>
      <c r="I759" s="329">
        <v>52.658733320837868</v>
      </c>
      <c r="J759" s="329"/>
      <c r="K759" s="336">
        <v>13.164683330209467</v>
      </c>
      <c r="L759" s="336">
        <v>13.164683330209467</v>
      </c>
      <c r="M759" s="336">
        <v>13.164683330209467</v>
      </c>
      <c r="N759" s="336">
        <v>13.164683330209467</v>
      </c>
      <c r="O759" s="336"/>
    </row>
    <row r="760" spans="1:15" hidden="1" outlineLevel="2" x14ac:dyDescent="0.35">
      <c r="A760" s="428" t="s">
        <v>7975</v>
      </c>
      <c r="B760" s="331" t="s">
        <v>7999</v>
      </c>
      <c r="C760" s="429" t="s">
        <v>8000</v>
      </c>
      <c r="D760" s="430" t="s">
        <v>8928</v>
      </c>
      <c r="E760" s="429" t="s">
        <v>8881</v>
      </c>
      <c r="F760" s="336">
        <v>220881</v>
      </c>
      <c r="G760" s="338" t="s">
        <v>3800</v>
      </c>
      <c r="H760" s="338"/>
      <c r="I760" s="329">
        <v>52.658733320837868</v>
      </c>
      <c r="J760" s="329"/>
      <c r="K760" s="336">
        <v>13.164683330209467</v>
      </c>
      <c r="L760" s="336">
        <v>13.164683330209467</v>
      </c>
      <c r="M760" s="336">
        <v>13.164683330209467</v>
      </c>
      <c r="N760" s="336">
        <v>13.164683330209467</v>
      </c>
      <c r="O760" s="336"/>
    </row>
    <row r="761" spans="1:15" hidden="1" outlineLevel="2" x14ac:dyDescent="0.35">
      <c r="A761" s="425" t="s">
        <v>7975</v>
      </c>
      <c r="B761" s="327">
        <v>44165</v>
      </c>
      <c r="C761" s="426">
        <v>248</v>
      </c>
      <c r="D761" s="427" t="s">
        <v>8929</v>
      </c>
      <c r="E761" s="426" t="s">
        <v>8879</v>
      </c>
      <c r="F761" s="338">
        <v>220881</v>
      </c>
      <c r="G761" s="338" t="s">
        <v>3800</v>
      </c>
      <c r="H761" s="338"/>
      <c r="I761" s="329">
        <v>51.778522236164818</v>
      </c>
      <c r="J761" s="329"/>
      <c r="K761" s="338">
        <v>12.944630559041205</v>
      </c>
      <c r="L761" s="338">
        <v>12.944630559041205</v>
      </c>
      <c r="M761" s="338">
        <v>12.944630559041205</v>
      </c>
      <c r="N761" s="338">
        <v>12.944630559041205</v>
      </c>
      <c r="O761" s="338"/>
    </row>
    <row r="762" spans="1:15" hidden="1" outlineLevel="2" x14ac:dyDescent="0.35">
      <c r="A762" s="425" t="s">
        <v>7975</v>
      </c>
      <c r="B762" s="327" t="s">
        <v>8079</v>
      </c>
      <c r="C762" s="426" t="s">
        <v>8327</v>
      </c>
      <c r="D762" s="427" t="s">
        <v>8930</v>
      </c>
      <c r="E762" s="426" t="s">
        <v>8881</v>
      </c>
      <c r="F762" s="338">
        <v>220881</v>
      </c>
      <c r="G762" s="338" t="s">
        <v>3800</v>
      </c>
      <c r="H762" s="338"/>
      <c r="I762" s="329">
        <v>52.658733320837868</v>
      </c>
      <c r="J762" s="329"/>
      <c r="K762" s="338">
        <v>13.164683330209467</v>
      </c>
      <c r="L762" s="338">
        <v>13.164683330209467</v>
      </c>
      <c r="M762" s="338">
        <v>13.164683330209467</v>
      </c>
      <c r="N762" s="338">
        <v>13.164683330209467</v>
      </c>
      <c r="O762" s="338"/>
    </row>
    <row r="763" spans="1:15" hidden="1" outlineLevel="2" x14ac:dyDescent="0.35">
      <c r="A763" s="425" t="s">
        <v>7975</v>
      </c>
      <c r="B763" s="327" t="s">
        <v>8077</v>
      </c>
      <c r="C763" s="426" t="s">
        <v>8883</v>
      </c>
      <c r="D763" s="427" t="s">
        <v>8930</v>
      </c>
      <c r="E763" s="426" t="s">
        <v>8881</v>
      </c>
      <c r="F763" s="338">
        <v>220881</v>
      </c>
      <c r="G763" s="338" t="s">
        <v>3800</v>
      </c>
      <c r="H763" s="338"/>
      <c r="I763" s="329">
        <v>52.658733320837868</v>
      </c>
      <c r="J763" s="329"/>
      <c r="K763" s="338">
        <v>13.164683330209467</v>
      </c>
      <c r="L763" s="338">
        <v>13.164683330209467</v>
      </c>
      <c r="M763" s="338">
        <v>13.164683330209467</v>
      </c>
      <c r="N763" s="338">
        <v>13.164683330209467</v>
      </c>
      <c r="O763" s="338"/>
    </row>
    <row r="764" spans="1:15" hidden="1" outlineLevel="2" x14ac:dyDescent="0.35">
      <c r="A764" s="425" t="s">
        <v>7975</v>
      </c>
      <c r="B764" s="327">
        <v>44196</v>
      </c>
      <c r="C764" s="426">
        <v>256</v>
      </c>
      <c r="D764" s="427" t="s">
        <v>8931</v>
      </c>
      <c r="E764" s="426" t="s">
        <v>8879</v>
      </c>
      <c r="F764" s="338">
        <v>220881</v>
      </c>
      <c r="G764" s="338" t="s">
        <v>3800</v>
      </c>
      <c r="H764" s="338"/>
      <c r="I764" s="329">
        <v>51.778522236164818</v>
      </c>
      <c r="J764" s="329"/>
      <c r="K764" s="338">
        <v>12.944630559041205</v>
      </c>
      <c r="L764" s="338">
        <v>12.944630559041205</v>
      </c>
      <c r="M764" s="338">
        <v>12.944630559041205</v>
      </c>
      <c r="N764" s="338">
        <v>12.944630559041205</v>
      </c>
      <c r="O764" s="338"/>
    </row>
    <row r="765" spans="1:15" hidden="1" outlineLevel="2" x14ac:dyDescent="0.35">
      <c r="A765" s="425" t="s">
        <v>7975</v>
      </c>
      <c r="B765" s="327" t="s">
        <v>7987</v>
      </c>
      <c r="C765" s="426" t="s">
        <v>7988</v>
      </c>
      <c r="D765" s="427" t="s">
        <v>8932</v>
      </c>
      <c r="E765" s="426" t="s">
        <v>8881</v>
      </c>
      <c r="F765" s="338">
        <v>220881</v>
      </c>
      <c r="G765" s="338" t="s">
        <v>3800</v>
      </c>
      <c r="H765" s="338"/>
      <c r="I765" s="329">
        <v>52.658733320837868</v>
      </c>
      <c r="J765" s="329"/>
      <c r="K765" s="338">
        <v>13.164683330209467</v>
      </c>
      <c r="L765" s="338">
        <v>13.164683330209467</v>
      </c>
      <c r="M765" s="338">
        <v>13.164683330209467</v>
      </c>
      <c r="N765" s="338">
        <v>13.164683330209467</v>
      </c>
      <c r="O765" s="338"/>
    </row>
    <row r="766" spans="1:15" hidden="1" outlineLevel="2" x14ac:dyDescent="0.35">
      <c r="A766" s="425" t="s">
        <v>7975</v>
      </c>
      <c r="B766" s="327">
        <v>43890</v>
      </c>
      <c r="C766" s="426">
        <v>175</v>
      </c>
      <c r="D766" s="427" t="s">
        <v>8933</v>
      </c>
      <c r="E766" s="426" t="s">
        <v>8881</v>
      </c>
      <c r="F766" s="338">
        <v>152332</v>
      </c>
      <c r="G766" s="338" t="s">
        <v>3800</v>
      </c>
      <c r="H766" s="338"/>
      <c r="I766" s="329">
        <v>35.709390347198081</v>
      </c>
      <c r="J766" s="329"/>
      <c r="K766" s="338">
        <v>8.9273475867995202</v>
      </c>
      <c r="L766" s="338">
        <v>8.9273475867995202</v>
      </c>
      <c r="M766" s="338">
        <v>8.9273475867995202</v>
      </c>
      <c r="N766" s="338">
        <v>8.9273475867995202</v>
      </c>
      <c r="O766" s="338"/>
    </row>
    <row r="767" spans="1:15" hidden="1" outlineLevel="2" x14ac:dyDescent="0.35">
      <c r="A767" s="425" t="s">
        <v>7975</v>
      </c>
      <c r="B767" s="327" t="s">
        <v>8075</v>
      </c>
      <c r="C767" s="426" t="s">
        <v>8889</v>
      </c>
      <c r="D767" s="427" t="s">
        <v>8934</v>
      </c>
      <c r="E767" s="426" t="s">
        <v>8881</v>
      </c>
      <c r="F767" s="338">
        <v>220881</v>
      </c>
      <c r="G767" s="338" t="s">
        <v>3800</v>
      </c>
      <c r="H767" s="338"/>
      <c r="I767" s="329">
        <v>52.658733320837868</v>
      </c>
      <c r="J767" s="329"/>
      <c r="K767" s="338">
        <v>13.164683330209467</v>
      </c>
      <c r="L767" s="338">
        <v>13.164683330209467</v>
      </c>
      <c r="M767" s="338">
        <v>13.164683330209467</v>
      </c>
      <c r="N767" s="338">
        <v>13.164683330209467</v>
      </c>
      <c r="O767" s="338"/>
    </row>
    <row r="768" spans="1:15" hidden="1" outlineLevel="2" x14ac:dyDescent="0.35">
      <c r="A768" s="425" t="s">
        <v>7975</v>
      </c>
      <c r="B768" s="327" t="s">
        <v>8089</v>
      </c>
      <c r="C768" s="426" t="s">
        <v>8891</v>
      </c>
      <c r="D768" s="427" t="s">
        <v>8934</v>
      </c>
      <c r="E768" s="426" t="s">
        <v>8881</v>
      </c>
      <c r="F768" s="338">
        <v>220881</v>
      </c>
      <c r="G768" s="338" t="s">
        <v>3800</v>
      </c>
      <c r="H768" s="338"/>
      <c r="I768" s="329">
        <v>52.658733320837868</v>
      </c>
      <c r="J768" s="329"/>
      <c r="K768" s="338">
        <v>13.164683330209467</v>
      </c>
      <c r="L768" s="338">
        <v>13.164683330209467</v>
      </c>
      <c r="M768" s="338">
        <v>13.164683330209467</v>
      </c>
      <c r="N768" s="338">
        <v>13.164683330209467</v>
      </c>
      <c r="O768" s="338"/>
    </row>
    <row r="769" spans="1:15" hidden="1" outlineLevel="2" x14ac:dyDescent="0.35">
      <c r="A769" s="425" t="s">
        <v>7975</v>
      </c>
      <c r="B769" s="327" t="s">
        <v>7980</v>
      </c>
      <c r="C769" s="426" t="s">
        <v>8892</v>
      </c>
      <c r="D769" s="427" t="s">
        <v>8934</v>
      </c>
      <c r="E769" s="426" t="s">
        <v>8881</v>
      </c>
      <c r="F769" s="338">
        <v>220881</v>
      </c>
      <c r="G769" s="338" t="s">
        <v>3800</v>
      </c>
      <c r="H769" s="338"/>
      <c r="I769" s="329">
        <v>52.658733320837868</v>
      </c>
      <c r="J769" s="329"/>
      <c r="K769" s="338">
        <v>13.164683330209467</v>
      </c>
      <c r="L769" s="338">
        <v>13.164683330209467</v>
      </c>
      <c r="M769" s="338">
        <v>13.164683330209467</v>
      </c>
      <c r="N769" s="338">
        <v>13.164683330209467</v>
      </c>
      <c r="O769" s="338"/>
    </row>
    <row r="770" spans="1:15" hidden="1" outlineLevel="2" x14ac:dyDescent="0.35">
      <c r="A770" s="425" t="s">
        <v>7975</v>
      </c>
      <c r="B770" s="327">
        <v>43921</v>
      </c>
      <c r="C770" s="426">
        <v>182</v>
      </c>
      <c r="D770" s="427" t="s">
        <v>8935</v>
      </c>
      <c r="E770" s="426" t="s">
        <v>8881</v>
      </c>
      <c r="F770" s="338">
        <v>220881</v>
      </c>
      <c r="G770" s="338" t="s">
        <v>3800</v>
      </c>
      <c r="H770" s="338"/>
      <c r="I770" s="329">
        <v>51.778522236164818</v>
      </c>
      <c r="J770" s="329"/>
      <c r="K770" s="338">
        <v>12.944630559041205</v>
      </c>
      <c r="L770" s="338">
        <v>12.944630559041205</v>
      </c>
      <c r="M770" s="338">
        <v>12.944630559041205</v>
      </c>
      <c r="N770" s="338">
        <v>12.944630559041205</v>
      </c>
      <c r="O770" s="338"/>
    </row>
    <row r="771" spans="1:15" hidden="1" outlineLevel="2" x14ac:dyDescent="0.35">
      <c r="A771" s="425" t="s">
        <v>7975</v>
      </c>
      <c r="B771" s="327">
        <v>43951</v>
      </c>
      <c r="C771" s="426">
        <v>191</v>
      </c>
      <c r="D771" s="427" t="s">
        <v>8936</v>
      </c>
      <c r="E771" s="426" t="s">
        <v>8881</v>
      </c>
      <c r="F771" s="338">
        <v>220881</v>
      </c>
      <c r="G771" s="338" t="s">
        <v>3800</v>
      </c>
      <c r="H771" s="338"/>
      <c r="I771" s="329">
        <v>51.778522236164818</v>
      </c>
      <c r="J771" s="329"/>
      <c r="K771" s="338">
        <v>12.944630559041205</v>
      </c>
      <c r="L771" s="338">
        <v>12.944630559041205</v>
      </c>
      <c r="M771" s="338">
        <v>12.944630559041205</v>
      </c>
      <c r="N771" s="338">
        <v>12.944630559041205</v>
      </c>
      <c r="O771" s="338"/>
    </row>
    <row r="772" spans="1:15" hidden="1" outlineLevel="2" x14ac:dyDescent="0.35">
      <c r="A772" s="425" t="s">
        <v>7975</v>
      </c>
      <c r="B772" s="327">
        <v>43982</v>
      </c>
      <c r="C772" s="426">
        <v>197</v>
      </c>
      <c r="D772" s="427" t="s">
        <v>8937</v>
      </c>
      <c r="E772" s="426" t="s">
        <v>8879</v>
      </c>
      <c r="F772" s="338">
        <v>220881</v>
      </c>
      <c r="G772" s="338" t="s">
        <v>3800</v>
      </c>
      <c r="H772" s="338"/>
      <c r="I772" s="329">
        <v>51.778522236164818</v>
      </c>
      <c r="J772" s="329"/>
      <c r="K772" s="338">
        <v>12.944630559041205</v>
      </c>
      <c r="L772" s="338">
        <v>12.944630559041205</v>
      </c>
      <c r="M772" s="338">
        <v>12.944630559041205</v>
      </c>
      <c r="N772" s="338">
        <v>12.944630559041205</v>
      </c>
      <c r="O772" s="338"/>
    </row>
    <row r="773" spans="1:15" hidden="1" outlineLevel="2" x14ac:dyDescent="0.35">
      <c r="A773" s="425" t="s">
        <v>7975</v>
      </c>
      <c r="B773" s="327" t="s">
        <v>7996</v>
      </c>
      <c r="C773" s="426" t="s">
        <v>7997</v>
      </c>
      <c r="D773" s="427" t="s">
        <v>8938</v>
      </c>
      <c r="E773" s="426" t="s">
        <v>8881</v>
      </c>
      <c r="F773" s="338">
        <v>220881</v>
      </c>
      <c r="G773" s="338" t="s">
        <v>3800</v>
      </c>
      <c r="H773" s="338"/>
      <c r="I773" s="329">
        <v>52.658733320837868</v>
      </c>
      <c r="J773" s="329"/>
      <c r="K773" s="338">
        <v>13.164683330209467</v>
      </c>
      <c r="L773" s="338">
        <v>13.164683330209467</v>
      </c>
      <c r="M773" s="338">
        <v>13.164683330209467</v>
      </c>
      <c r="N773" s="338">
        <v>13.164683330209467</v>
      </c>
      <c r="O773" s="338"/>
    </row>
    <row r="774" spans="1:15" hidden="1" outlineLevel="2" x14ac:dyDescent="0.35">
      <c r="A774" s="425" t="s">
        <v>7975</v>
      </c>
      <c r="B774" s="327">
        <v>44012</v>
      </c>
      <c r="C774" s="426">
        <v>204</v>
      </c>
      <c r="D774" s="427" t="s">
        <v>8939</v>
      </c>
      <c r="E774" s="426" t="s">
        <v>8879</v>
      </c>
      <c r="F774" s="338">
        <v>220881</v>
      </c>
      <c r="G774" s="338" t="s">
        <v>3800</v>
      </c>
      <c r="H774" s="338"/>
      <c r="I774" s="329">
        <v>51.778522236164818</v>
      </c>
      <c r="J774" s="329"/>
      <c r="K774" s="338">
        <v>12.944630559041205</v>
      </c>
      <c r="L774" s="338">
        <v>12.944630559041205</v>
      </c>
      <c r="M774" s="338">
        <v>12.944630559041205</v>
      </c>
      <c r="N774" s="338">
        <v>12.944630559041205</v>
      </c>
      <c r="O774" s="338"/>
    </row>
    <row r="775" spans="1:15" hidden="1" outlineLevel="2" x14ac:dyDescent="0.35">
      <c r="A775" s="425" t="s">
        <v>7975</v>
      </c>
      <c r="B775" s="327" t="s">
        <v>7993</v>
      </c>
      <c r="C775" s="426" t="s">
        <v>7994</v>
      </c>
      <c r="D775" s="427" t="s">
        <v>8940</v>
      </c>
      <c r="E775" s="426" t="s">
        <v>8881</v>
      </c>
      <c r="F775" s="338">
        <v>220881</v>
      </c>
      <c r="G775" s="338" t="s">
        <v>3800</v>
      </c>
      <c r="H775" s="338"/>
      <c r="I775" s="329">
        <v>52.658733320837868</v>
      </c>
      <c r="J775" s="329"/>
      <c r="K775" s="338">
        <v>13.164683330209467</v>
      </c>
      <c r="L775" s="338">
        <v>13.164683330209467</v>
      </c>
      <c r="M775" s="338">
        <v>13.164683330209467</v>
      </c>
      <c r="N775" s="338">
        <v>13.164683330209467</v>
      </c>
      <c r="O775" s="338"/>
    </row>
    <row r="776" spans="1:15" hidden="1" outlineLevel="2" x14ac:dyDescent="0.35">
      <c r="A776" s="425" t="s">
        <v>7975</v>
      </c>
      <c r="B776" s="327">
        <v>44043</v>
      </c>
      <c r="C776" s="426">
        <v>210</v>
      </c>
      <c r="D776" s="427" t="s">
        <v>8941</v>
      </c>
      <c r="E776" s="426" t="s">
        <v>8879</v>
      </c>
      <c r="F776" s="338">
        <v>220881</v>
      </c>
      <c r="G776" s="338" t="s">
        <v>3800</v>
      </c>
      <c r="H776" s="338"/>
      <c r="I776" s="329">
        <v>51.778522236164818</v>
      </c>
      <c r="J776" s="329"/>
      <c r="K776" s="338">
        <v>12.944630559041205</v>
      </c>
      <c r="L776" s="338">
        <v>12.944630559041205</v>
      </c>
      <c r="M776" s="338">
        <v>12.944630559041205</v>
      </c>
      <c r="N776" s="338">
        <v>12.944630559041205</v>
      </c>
      <c r="O776" s="338"/>
    </row>
    <row r="777" spans="1:15" hidden="1" outlineLevel="2" x14ac:dyDescent="0.35">
      <c r="A777" s="425" t="s">
        <v>7975</v>
      </c>
      <c r="B777" s="327" t="s">
        <v>7990</v>
      </c>
      <c r="C777" s="426" t="s">
        <v>7991</v>
      </c>
      <c r="D777" s="427" t="s">
        <v>8942</v>
      </c>
      <c r="E777" s="426" t="s">
        <v>8881</v>
      </c>
      <c r="F777" s="338">
        <v>220881</v>
      </c>
      <c r="G777" s="338" t="s">
        <v>3800</v>
      </c>
      <c r="H777" s="338"/>
      <c r="I777" s="329">
        <v>52.658733320837868</v>
      </c>
      <c r="J777" s="329"/>
      <c r="K777" s="338">
        <v>13.164683330209467</v>
      </c>
      <c r="L777" s="338">
        <v>13.164683330209467</v>
      </c>
      <c r="M777" s="338">
        <v>13.164683330209467</v>
      </c>
      <c r="N777" s="338">
        <v>13.164683330209467</v>
      </c>
      <c r="O777" s="338"/>
    </row>
    <row r="778" spans="1:15" hidden="1" outlineLevel="2" x14ac:dyDescent="0.35">
      <c r="A778" s="425" t="s">
        <v>7975</v>
      </c>
      <c r="B778" s="327">
        <v>44074</v>
      </c>
      <c r="C778" s="426">
        <v>224</v>
      </c>
      <c r="D778" s="427" t="s">
        <v>8943</v>
      </c>
      <c r="E778" s="426" t="s">
        <v>8879</v>
      </c>
      <c r="F778" s="338">
        <v>220881</v>
      </c>
      <c r="G778" s="338" t="s">
        <v>3800</v>
      </c>
      <c r="H778" s="338"/>
      <c r="I778" s="329">
        <v>51.778522236164818</v>
      </c>
      <c r="J778" s="329"/>
      <c r="K778" s="338">
        <v>12.944630559041205</v>
      </c>
      <c r="L778" s="338">
        <v>12.944630559041205</v>
      </c>
      <c r="M778" s="338">
        <v>12.944630559041205</v>
      </c>
      <c r="N778" s="338">
        <v>12.944630559041205</v>
      </c>
      <c r="O778" s="338"/>
    </row>
    <row r="779" spans="1:15" hidden="1" outlineLevel="2" x14ac:dyDescent="0.35">
      <c r="A779" s="425" t="s">
        <v>7975</v>
      </c>
      <c r="B779" s="327" t="s">
        <v>7984</v>
      </c>
      <c r="C779" s="426" t="s">
        <v>7985</v>
      </c>
      <c r="D779" s="427" t="s">
        <v>8944</v>
      </c>
      <c r="E779" s="426" t="s">
        <v>8881</v>
      </c>
      <c r="F779" s="338">
        <v>220881</v>
      </c>
      <c r="G779" s="338" t="s">
        <v>3800</v>
      </c>
      <c r="H779" s="338"/>
      <c r="I779" s="329">
        <v>52.658733320837868</v>
      </c>
      <c r="J779" s="329"/>
      <c r="K779" s="338">
        <v>13.164683330209467</v>
      </c>
      <c r="L779" s="338">
        <v>13.164683330209467</v>
      </c>
      <c r="M779" s="338">
        <v>13.164683330209467</v>
      </c>
      <c r="N779" s="338">
        <v>13.164683330209467</v>
      </c>
      <c r="O779" s="338"/>
    </row>
    <row r="780" spans="1:15" hidden="1" outlineLevel="2" x14ac:dyDescent="0.35">
      <c r="A780" s="425" t="s">
        <v>7975</v>
      </c>
      <c r="B780" s="327">
        <v>44104</v>
      </c>
      <c r="C780" s="426">
        <v>234</v>
      </c>
      <c r="D780" s="427" t="s">
        <v>8945</v>
      </c>
      <c r="E780" s="426" t="s">
        <v>8879</v>
      </c>
      <c r="F780" s="338">
        <v>220881</v>
      </c>
      <c r="G780" s="338" t="s">
        <v>3800</v>
      </c>
      <c r="H780" s="338"/>
      <c r="I780" s="329">
        <v>51.778522236164818</v>
      </c>
      <c r="J780" s="329"/>
      <c r="K780" s="338">
        <v>12.944630559041205</v>
      </c>
      <c r="L780" s="338">
        <v>12.944630559041205</v>
      </c>
      <c r="M780" s="338">
        <v>12.944630559041205</v>
      </c>
      <c r="N780" s="338">
        <v>12.944630559041205</v>
      </c>
      <c r="O780" s="338"/>
    </row>
    <row r="781" spans="1:15" hidden="1" outlineLevel="2" x14ac:dyDescent="0.35">
      <c r="A781" s="425" t="s">
        <v>7975</v>
      </c>
      <c r="B781" s="327" t="s">
        <v>8005</v>
      </c>
      <c r="C781" s="426" t="s">
        <v>8006</v>
      </c>
      <c r="D781" s="427" t="s">
        <v>8946</v>
      </c>
      <c r="E781" s="426" t="s">
        <v>8881</v>
      </c>
      <c r="F781" s="338">
        <v>220881</v>
      </c>
      <c r="G781" s="338" t="s">
        <v>3800</v>
      </c>
      <c r="H781" s="338"/>
      <c r="I781" s="329">
        <v>52.658733320837868</v>
      </c>
      <c r="J781" s="329"/>
      <c r="K781" s="338">
        <v>13.164683330209467</v>
      </c>
      <c r="L781" s="338">
        <v>13.164683330209467</v>
      </c>
      <c r="M781" s="338">
        <v>13.164683330209467</v>
      </c>
      <c r="N781" s="338">
        <v>13.164683330209467</v>
      </c>
      <c r="O781" s="338"/>
    </row>
    <row r="782" spans="1:15" hidden="1" outlineLevel="2" x14ac:dyDescent="0.35">
      <c r="A782" s="425" t="s">
        <v>7975</v>
      </c>
      <c r="B782" s="327" t="s">
        <v>8947</v>
      </c>
      <c r="C782" s="426" t="s">
        <v>8595</v>
      </c>
      <c r="D782" s="427" t="s">
        <v>8948</v>
      </c>
      <c r="E782" s="426" t="s">
        <v>8949</v>
      </c>
      <c r="F782" s="338">
        <v>536974</v>
      </c>
      <c r="G782" s="338" t="s">
        <v>3800</v>
      </c>
      <c r="H782" s="338"/>
      <c r="I782" s="329">
        <v>128.01631043966478</v>
      </c>
      <c r="J782" s="329"/>
      <c r="K782" s="338">
        <v>32.004077609916195</v>
      </c>
      <c r="L782" s="338">
        <v>32.004077609916195</v>
      </c>
      <c r="M782" s="338">
        <v>32.004077609916195</v>
      </c>
      <c r="N782" s="338">
        <v>32.004077609916195</v>
      </c>
      <c r="O782" s="338"/>
    </row>
    <row r="783" spans="1:15" hidden="1" outlineLevel="2" x14ac:dyDescent="0.35">
      <c r="A783" s="425" t="s">
        <v>7975</v>
      </c>
      <c r="B783" s="327">
        <v>44135</v>
      </c>
      <c r="C783" s="426">
        <v>240</v>
      </c>
      <c r="D783" s="427" t="s">
        <v>8950</v>
      </c>
      <c r="E783" s="426" t="s">
        <v>8879</v>
      </c>
      <c r="F783" s="338">
        <v>256322</v>
      </c>
      <c r="G783" s="338" t="s">
        <v>3800</v>
      </c>
      <c r="H783" s="338"/>
      <c r="I783" s="329">
        <v>60.086536988777844</v>
      </c>
      <c r="J783" s="329"/>
      <c r="K783" s="338">
        <v>15.021634247194461</v>
      </c>
      <c r="L783" s="338">
        <v>15.021634247194461</v>
      </c>
      <c r="M783" s="338">
        <v>15.021634247194461</v>
      </c>
      <c r="N783" s="338">
        <v>15.021634247194461</v>
      </c>
      <c r="O783" s="338"/>
    </row>
    <row r="784" spans="1:15" hidden="1" outlineLevel="2" x14ac:dyDescent="0.35">
      <c r="A784" s="425" t="s">
        <v>7975</v>
      </c>
      <c r="B784" s="327" t="s">
        <v>8002</v>
      </c>
      <c r="C784" s="426" t="s">
        <v>8003</v>
      </c>
      <c r="D784" s="427" t="s">
        <v>8951</v>
      </c>
      <c r="E784" s="426" t="s">
        <v>8881</v>
      </c>
      <c r="F784" s="338">
        <v>256322</v>
      </c>
      <c r="G784" s="338" t="s">
        <v>3800</v>
      </c>
      <c r="H784" s="338"/>
      <c r="I784" s="329">
        <v>61.107980506534304</v>
      </c>
      <c r="J784" s="329"/>
      <c r="K784" s="338">
        <v>15.276995126633576</v>
      </c>
      <c r="L784" s="338">
        <v>15.276995126633576</v>
      </c>
      <c r="M784" s="338">
        <v>15.276995126633576</v>
      </c>
      <c r="N784" s="338">
        <v>15.276995126633576</v>
      </c>
      <c r="O784" s="338"/>
    </row>
    <row r="785" spans="1:15" hidden="1" outlineLevel="2" x14ac:dyDescent="0.35">
      <c r="A785" s="425" t="s">
        <v>7975</v>
      </c>
      <c r="B785" s="327" t="s">
        <v>7999</v>
      </c>
      <c r="C785" s="426" t="s">
        <v>8000</v>
      </c>
      <c r="D785" s="427" t="s">
        <v>8951</v>
      </c>
      <c r="E785" s="426" t="s">
        <v>8881</v>
      </c>
      <c r="F785" s="338">
        <v>256322</v>
      </c>
      <c r="G785" s="338" t="s">
        <v>3800</v>
      </c>
      <c r="H785" s="338"/>
      <c r="I785" s="329">
        <v>61.107980506534304</v>
      </c>
      <c r="J785" s="329"/>
      <c r="K785" s="338">
        <v>15.276995126633576</v>
      </c>
      <c r="L785" s="338">
        <v>15.276995126633576</v>
      </c>
      <c r="M785" s="338">
        <v>15.276995126633576</v>
      </c>
      <c r="N785" s="338">
        <v>15.276995126633576</v>
      </c>
      <c r="O785" s="338"/>
    </row>
    <row r="786" spans="1:15" hidden="1" outlineLevel="2" x14ac:dyDescent="0.35">
      <c r="A786" s="425" t="s">
        <v>7975</v>
      </c>
      <c r="B786" s="327">
        <v>44165</v>
      </c>
      <c r="C786" s="426">
        <v>248</v>
      </c>
      <c r="D786" s="427" t="s">
        <v>8952</v>
      </c>
      <c r="E786" s="426" t="s">
        <v>8879</v>
      </c>
      <c r="F786" s="338">
        <v>256322</v>
      </c>
      <c r="G786" s="338" t="s">
        <v>3800</v>
      </c>
      <c r="H786" s="338"/>
      <c r="I786" s="329">
        <v>60.086536988777844</v>
      </c>
      <c r="J786" s="329"/>
      <c r="K786" s="338">
        <v>15.021634247194461</v>
      </c>
      <c r="L786" s="338">
        <v>15.021634247194461</v>
      </c>
      <c r="M786" s="338">
        <v>15.021634247194461</v>
      </c>
      <c r="N786" s="338">
        <v>15.021634247194461</v>
      </c>
      <c r="O786" s="338"/>
    </row>
    <row r="787" spans="1:15" hidden="1" outlineLevel="2" x14ac:dyDescent="0.35">
      <c r="A787" s="425" t="s">
        <v>7975</v>
      </c>
      <c r="B787" s="327" t="s">
        <v>8077</v>
      </c>
      <c r="C787" s="426" t="s">
        <v>8883</v>
      </c>
      <c r="D787" s="427" t="s">
        <v>8953</v>
      </c>
      <c r="E787" s="426" t="s">
        <v>8881</v>
      </c>
      <c r="F787" s="338">
        <v>256322</v>
      </c>
      <c r="G787" s="338" t="s">
        <v>3800</v>
      </c>
      <c r="H787" s="338"/>
      <c r="I787" s="329">
        <v>61.107980506534304</v>
      </c>
      <c r="J787" s="329"/>
      <c r="K787" s="338">
        <v>15.276995126633576</v>
      </c>
      <c r="L787" s="338">
        <v>15.276995126633576</v>
      </c>
      <c r="M787" s="338">
        <v>15.276995126633576</v>
      </c>
      <c r="N787" s="338">
        <v>15.276995126633576</v>
      </c>
      <c r="O787" s="338"/>
    </row>
    <row r="788" spans="1:15" hidden="1" outlineLevel="2" x14ac:dyDescent="0.35">
      <c r="A788" s="425" t="s">
        <v>7975</v>
      </c>
      <c r="B788" s="327" t="s">
        <v>8079</v>
      </c>
      <c r="C788" s="426" t="s">
        <v>8327</v>
      </c>
      <c r="D788" s="427" t="s">
        <v>8954</v>
      </c>
      <c r="E788" s="426" t="s">
        <v>8881</v>
      </c>
      <c r="F788" s="338">
        <v>256322</v>
      </c>
      <c r="G788" s="338" t="s">
        <v>3800</v>
      </c>
      <c r="H788" s="338"/>
      <c r="I788" s="329">
        <v>61.107980506534304</v>
      </c>
      <c r="J788" s="329"/>
      <c r="K788" s="338">
        <v>15.276995126633576</v>
      </c>
      <c r="L788" s="338">
        <v>15.276995126633576</v>
      </c>
      <c r="M788" s="338">
        <v>15.276995126633576</v>
      </c>
      <c r="N788" s="338">
        <v>15.276995126633576</v>
      </c>
      <c r="O788" s="338"/>
    </row>
    <row r="789" spans="1:15" hidden="1" outlineLevel="2" x14ac:dyDescent="0.35">
      <c r="A789" s="425" t="s">
        <v>7975</v>
      </c>
      <c r="B789" s="327">
        <v>44196</v>
      </c>
      <c r="C789" s="426">
        <v>256</v>
      </c>
      <c r="D789" s="427" t="s">
        <v>8955</v>
      </c>
      <c r="E789" s="426" t="s">
        <v>8879</v>
      </c>
      <c r="F789" s="338">
        <v>256322</v>
      </c>
      <c r="G789" s="338" t="s">
        <v>3800</v>
      </c>
      <c r="H789" s="338"/>
      <c r="I789" s="329">
        <v>60.086536988777844</v>
      </c>
      <c r="J789" s="329"/>
      <c r="K789" s="338">
        <v>15.021634247194461</v>
      </c>
      <c r="L789" s="338">
        <v>15.021634247194461</v>
      </c>
      <c r="M789" s="338">
        <v>15.021634247194461</v>
      </c>
      <c r="N789" s="338">
        <v>15.021634247194461</v>
      </c>
      <c r="O789" s="338"/>
    </row>
    <row r="790" spans="1:15" hidden="1" outlineLevel="2" x14ac:dyDescent="0.35">
      <c r="A790" s="425" t="s">
        <v>7975</v>
      </c>
      <c r="B790" s="327" t="s">
        <v>7987</v>
      </c>
      <c r="C790" s="426" t="s">
        <v>7988</v>
      </c>
      <c r="D790" s="427" t="s">
        <v>8956</v>
      </c>
      <c r="E790" s="426" t="s">
        <v>8881</v>
      </c>
      <c r="F790" s="338">
        <v>256322</v>
      </c>
      <c r="G790" s="338" t="s">
        <v>3800</v>
      </c>
      <c r="H790" s="338"/>
      <c r="I790" s="329">
        <v>61.107980506534304</v>
      </c>
      <c r="J790" s="329"/>
      <c r="K790" s="338">
        <v>15.276995126633576</v>
      </c>
      <c r="L790" s="338">
        <v>15.276995126633576</v>
      </c>
      <c r="M790" s="338">
        <v>15.276995126633576</v>
      </c>
      <c r="N790" s="338">
        <v>15.276995126633576</v>
      </c>
      <c r="O790" s="338"/>
    </row>
    <row r="791" spans="1:15" hidden="1" outlineLevel="2" x14ac:dyDescent="0.35">
      <c r="A791" s="425" t="s">
        <v>7975</v>
      </c>
      <c r="B791" s="327">
        <v>43890</v>
      </c>
      <c r="C791" s="426">
        <v>175</v>
      </c>
      <c r="D791" s="427" t="s">
        <v>8957</v>
      </c>
      <c r="E791" s="426" t="s">
        <v>8881</v>
      </c>
      <c r="F791" s="338">
        <v>176774</v>
      </c>
      <c r="G791" s="338" t="s">
        <v>3800</v>
      </c>
      <c r="H791" s="338"/>
      <c r="I791" s="329">
        <v>41.43903952705665</v>
      </c>
      <c r="J791" s="329"/>
      <c r="K791" s="338">
        <v>10.359759881764163</v>
      </c>
      <c r="L791" s="338">
        <v>10.359759881764163</v>
      </c>
      <c r="M791" s="338">
        <v>10.359759881764163</v>
      </c>
      <c r="N791" s="338">
        <v>10.359759881764163</v>
      </c>
      <c r="O791" s="338"/>
    </row>
    <row r="792" spans="1:15" hidden="1" outlineLevel="2" x14ac:dyDescent="0.35">
      <c r="A792" s="425" t="s">
        <v>7975</v>
      </c>
      <c r="B792" s="327" t="s">
        <v>8075</v>
      </c>
      <c r="C792" s="426" t="s">
        <v>8889</v>
      </c>
      <c r="D792" s="427" t="s">
        <v>8958</v>
      </c>
      <c r="E792" s="426" t="s">
        <v>8881</v>
      </c>
      <c r="F792" s="338">
        <v>256322</v>
      </c>
      <c r="G792" s="338" t="s">
        <v>3800</v>
      </c>
      <c r="H792" s="338"/>
      <c r="I792" s="329">
        <v>61.107980506534304</v>
      </c>
      <c r="J792" s="329"/>
      <c r="K792" s="338">
        <v>15.276995126633576</v>
      </c>
      <c r="L792" s="338">
        <v>15.276995126633576</v>
      </c>
      <c r="M792" s="338">
        <v>15.276995126633576</v>
      </c>
      <c r="N792" s="338">
        <v>15.276995126633576</v>
      </c>
      <c r="O792" s="338"/>
    </row>
    <row r="793" spans="1:15" hidden="1" outlineLevel="2" x14ac:dyDescent="0.35">
      <c r="A793" s="425" t="s">
        <v>7975</v>
      </c>
      <c r="B793" s="327" t="s">
        <v>8089</v>
      </c>
      <c r="C793" s="426" t="s">
        <v>8891</v>
      </c>
      <c r="D793" s="427" t="s">
        <v>8958</v>
      </c>
      <c r="E793" s="426" t="s">
        <v>8881</v>
      </c>
      <c r="F793" s="338">
        <v>256322</v>
      </c>
      <c r="G793" s="338" t="s">
        <v>3800</v>
      </c>
      <c r="H793" s="338"/>
      <c r="I793" s="329">
        <v>61.107980506534304</v>
      </c>
      <c r="J793" s="329"/>
      <c r="K793" s="338">
        <v>15.276995126633576</v>
      </c>
      <c r="L793" s="338">
        <v>15.276995126633576</v>
      </c>
      <c r="M793" s="338">
        <v>15.276995126633576</v>
      </c>
      <c r="N793" s="338">
        <v>15.276995126633576</v>
      </c>
      <c r="O793" s="338"/>
    </row>
    <row r="794" spans="1:15" hidden="1" outlineLevel="2" x14ac:dyDescent="0.35">
      <c r="A794" s="425" t="s">
        <v>7975</v>
      </c>
      <c r="B794" s="327" t="s">
        <v>7980</v>
      </c>
      <c r="C794" s="426" t="s">
        <v>8892</v>
      </c>
      <c r="D794" s="427" t="s">
        <v>8958</v>
      </c>
      <c r="E794" s="426" t="s">
        <v>8881</v>
      </c>
      <c r="F794" s="338">
        <v>256322</v>
      </c>
      <c r="G794" s="338" t="s">
        <v>3800</v>
      </c>
      <c r="H794" s="338"/>
      <c r="I794" s="329">
        <v>61.107980506534304</v>
      </c>
      <c r="J794" s="329"/>
      <c r="K794" s="338">
        <v>15.276995126633576</v>
      </c>
      <c r="L794" s="338">
        <v>15.276995126633576</v>
      </c>
      <c r="M794" s="338">
        <v>15.276995126633576</v>
      </c>
      <c r="N794" s="338">
        <v>15.276995126633576</v>
      </c>
      <c r="O794" s="338"/>
    </row>
    <row r="795" spans="1:15" hidden="1" outlineLevel="2" x14ac:dyDescent="0.35">
      <c r="A795" s="425" t="s">
        <v>7975</v>
      </c>
      <c r="B795" s="327">
        <v>43921</v>
      </c>
      <c r="C795" s="426">
        <v>182</v>
      </c>
      <c r="D795" s="427" t="s">
        <v>8959</v>
      </c>
      <c r="E795" s="426" t="s">
        <v>8881</v>
      </c>
      <c r="F795" s="338">
        <v>256322</v>
      </c>
      <c r="G795" s="338" t="s">
        <v>3800</v>
      </c>
      <c r="H795" s="338"/>
      <c r="I795" s="329">
        <v>60.086536988777844</v>
      </c>
      <c r="J795" s="329"/>
      <c r="K795" s="338">
        <v>15.021634247194461</v>
      </c>
      <c r="L795" s="338">
        <v>15.021634247194461</v>
      </c>
      <c r="M795" s="338">
        <v>15.021634247194461</v>
      </c>
      <c r="N795" s="338">
        <v>15.021634247194461</v>
      </c>
      <c r="O795" s="338"/>
    </row>
    <row r="796" spans="1:15" hidden="1" outlineLevel="2" x14ac:dyDescent="0.35">
      <c r="A796" s="425" t="s">
        <v>7975</v>
      </c>
      <c r="B796" s="327">
        <v>43951</v>
      </c>
      <c r="C796" s="426">
        <v>191</v>
      </c>
      <c r="D796" s="427" t="s">
        <v>8960</v>
      </c>
      <c r="E796" s="426" t="s">
        <v>8881</v>
      </c>
      <c r="F796" s="338">
        <v>256322</v>
      </c>
      <c r="G796" s="338" t="s">
        <v>3800</v>
      </c>
      <c r="H796" s="338"/>
      <c r="I796" s="329">
        <v>60.086536988777844</v>
      </c>
      <c r="J796" s="329"/>
      <c r="K796" s="338">
        <v>15.021634247194461</v>
      </c>
      <c r="L796" s="338">
        <v>15.021634247194461</v>
      </c>
      <c r="M796" s="338">
        <v>15.021634247194461</v>
      </c>
      <c r="N796" s="338">
        <v>15.021634247194461</v>
      </c>
      <c r="O796" s="338"/>
    </row>
    <row r="797" spans="1:15" hidden="1" outlineLevel="2" x14ac:dyDescent="0.35">
      <c r="A797" s="425" t="s">
        <v>7975</v>
      </c>
      <c r="B797" s="327">
        <v>43982</v>
      </c>
      <c r="C797" s="426">
        <v>197</v>
      </c>
      <c r="D797" s="427" t="s">
        <v>8961</v>
      </c>
      <c r="E797" s="426" t="s">
        <v>8879</v>
      </c>
      <c r="F797" s="338">
        <v>256322</v>
      </c>
      <c r="G797" s="338" t="s">
        <v>3800</v>
      </c>
      <c r="H797" s="338"/>
      <c r="I797" s="329">
        <v>60.086536988777844</v>
      </c>
      <c r="J797" s="329"/>
      <c r="K797" s="338">
        <v>15.021634247194461</v>
      </c>
      <c r="L797" s="338">
        <v>15.021634247194461</v>
      </c>
      <c r="M797" s="338">
        <v>15.021634247194461</v>
      </c>
      <c r="N797" s="338">
        <v>15.021634247194461</v>
      </c>
      <c r="O797" s="338"/>
    </row>
    <row r="798" spans="1:15" hidden="1" outlineLevel="2" x14ac:dyDescent="0.35">
      <c r="A798" s="425" t="s">
        <v>7975</v>
      </c>
      <c r="B798" s="327" t="s">
        <v>7996</v>
      </c>
      <c r="C798" s="426" t="s">
        <v>7997</v>
      </c>
      <c r="D798" s="427" t="s">
        <v>8962</v>
      </c>
      <c r="E798" s="426" t="s">
        <v>8881</v>
      </c>
      <c r="F798" s="338">
        <v>256322</v>
      </c>
      <c r="G798" s="338" t="s">
        <v>3800</v>
      </c>
      <c r="H798" s="338"/>
      <c r="I798" s="329">
        <v>61.107980506534304</v>
      </c>
      <c r="J798" s="329"/>
      <c r="K798" s="338">
        <v>15.276995126633576</v>
      </c>
      <c r="L798" s="338">
        <v>15.276995126633576</v>
      </c>
      <c r="M798" s="338">
        <v>15.276995126633576</v>
      </c>
      <c r="N798" s="338">
        <v>15.276995126633576</v>
      </c>
      <c r="O798" s="338"/>
    </row>
    <row r="799" spans="1:15" hidden="1" outlineLevel="2" x14ac:dyDescent="0.35">
      <c r="A799" s="425" t="s">
        <v>7975</v>
      </c>
      <c r="B799" s="327">
        <v>44012</v>
      </c>
      <c r="C799" s="426">
        <v>204</v>
      </c>
      <c r="D799" s="427" t="s">
        <v>8963</v>
      </c>
      <c r="E799" s="426" t="s">
        <v>8879</v>
      </c>
      <c r="F799" s="338">
        <v>256322</v>
      </c>
      <c r="G799" s="338" t="s">
        <v>3800</v>
      </c>
      <c r="H799" s="338"/>
      <c r="I799" s="329">
        <v>60.086536988777844</v>
      </c>
      <c r="J799" s="329"/>
      <c r="K799" s="338">
        <v>15.021634247194461</v>
      </c>
      <c r="L799" s="338">
        <v>15.021634247194461</v>
      </c>
      <c r="M799" s="338">
        <v>15.021634247194461</v>
      </c>
      <c r="N799" s="338">
        <v>15.021634247194461</v>
      </c>
      <c r="O799" s="338"/>
    </row>
    <row r="800" spans="1:15" hidden="1" outlineLevel="2" x14ac:dyDescent="0.35">
      <c r="A800" s="425" t="s">
        <v>7975</v>
      </c>
      <c r="B800" s="327" t="s">
        <v>7993</v>
      </c>
      <c r="C800" s="426" t="s">
        <v>7994</v>
      </c>
      <c r="D800" s="427" t="s">
        <v>8964</v>
      </c>
      <c r="E800" s="426" t="s">
        <v>8881</v>
      </c>
      <c r="F800" s="338">
        <v>256322</v>
      </c>
      <c r="G800" s="338" t="s">
        <v>3800</v>
      </c>
      <c r="H800" s="338"/>
      <c r="I800" s="329">
        <v>61.107980506534304</v>
      </c>
      <c r="J800" s="329"/>
      <c r="K800" s="338">
        <v>15.276995126633576</v>
      </c>
      <c r="L800" s="338">
        <v>15.276995126633576</v>
      </c>
      <c r="M800" s="338">
        <v>15.276995126633576</v>
      </c>
      <c r="N800" s="338">
        <v>15.276995126633576</v>
      </c>
      <c r="O800" s="338"/>
    </row>
    <row r="801" spans="1:15" hidden="1" outlineLevel="2" x14ac:dyDescent="0.35">
      <c r="A801" s="425" t="s">
        <v>7975</v>
      </c>
      <c r="B801" s="327">
        <v>44043</v>
      </c>
      <c r="C801" s="426">
        <v>210</v>
      </c>
      <c r="D801" s="427" t="s">
        <v>8965</v>
      </c>
      <c r="E801" s="426" t="s">
        <v>8879</v>
      </c>
      <c r="F801" s="338">
        <v>256322</v>
      </c>
      <c r="G801" s="338" t="s">
        <v>3800</v>
      </c>
      <c r="H801" s="338"/>
      <c r="I801" s="329">
        <v>60.086536988777844</v>
      </c>
      <c r="J801" s="329"/>
      <c r="K801" s="338">
        <v>15.021634247194461</v>
      </c>
      <c r="L801" s="338">
        <v>15.021634247194461</v>
      </c>
      <c r="M801" s="338">
        <v>15.021634247194461</v>
      </c>
      <c r="N801" s="338">
        <v>15.021634247194461</v>
      </c>
      <c r="O801" s="338"/>
    </row>
    <row r="802" spans="1:15" hidden="1" outlineLevel="2" x14ac:dyDescent="0.35">
      <c r="A802" s="425" t="s">
        <v>7975</v>
      </c>
      <c r="B802" s="327" t="s">
        <v>7990</v>
      </c>
      <c r="C802" s="426" t="s">
        <v>7991</v>
      </c>
      <c r="D802" s="427" t="s">
        <v>8966</v>
      </c>
      <c r="E802" s="426" t="s">
        <v>8881</v>
      </c>
      <c r="F802" s="338">
        <v>256322</v>
      </c>
      <c r="G802" s="338" t="s">
        <v>3800</v>
      </c>
      <c r="H802" s="338"/>
      <c r="I802" s="329">
        <v>61.107980506534304</v>
      </c>
      <c r="J802" s="329"/>
      <c r="K802" s="338">
        <v>15.276995126633576</v>
      </c>
      <c r="L802" s="338">
        <v>15.276995126633576</v>
      </c>
      <c r="M802" s="338">
        <v>15.276995126633576</v>
      </c>
      <c r="N802" s="338">
        <v>15.276995126633576</v>
      </c>
      <c r="O802" s="338"/>
    </row>
    <row r="803" spans="1:15" hidden="1" outlineLevel="2" x14ac:dyDescent="0.35">
      <c r="A803" s="425" t="s">
        <v>7975</v>
      </c>
      <c r="B803" s="327">
        <v>44074</v>
      </c>
      <c r="C803" s="426">
        <v>224</v>
      </c>
      <c r="D803" s="427" t="s">
        <v>8967</v>
      </c>
      <c r="E803" s="426" t="s">
        <v>8879</v>
      </c>
      <c r="F803" s="338">
        <v>256322</v>
      </c>
      <c r="G803" s="338" t="s">
        <v>3800</v>
      </c>
      <c r="H803" s="338"/>
      <c r="I803" s="329">
        <v>60.086536988777844</v>
      </c>
      <c r="J803" s="329"/>
      <c r="K803" s="338">
        <v>15.021634247194461</v>
      </c>
      <c r="L803" s="338">
        <v>15.021634247194461</v>
      </c>
      <c r="M803" s="338">
        <v>15.021634247194461</v>
      </c>
      <c r="N803" s="338">
        <v>15.021634247194461</v>
      </c>
      <c r="O803" s="338"/>
    </row>
    <row r="804" spans="1:15" hidden="1" outlineLevel="2" x14ac:dyDescent="0.35">
      <c r="A804" s="425" t="s">
        <v>7975</v>
      </c>
      <c r="B804" s="327" t="s">
        <v>7984</v>
      </c>
      <c r="C804" s="426" t="s">
        <v>7985</v>
      </c>
      <c r="D804" s="427" t="s">
        <v>8968</v>
      </c>
      <c r="E804" s="426" t="s">
        <v>8881</v>
      </c>
      <c r="F804" s="338">
        <v>256322</v>
      </c>
      <c r="G804" s="338" t="s">
        <v>3800</v>
      </c>
      <c r="H804" s="338"/>
      <c r="I804" s="329">
        <v>61.107980506534304</v>
      </c>
      <c r="J804" s="329"/>
      <c r="K804" s="338">
        <v>15.276995126633576</v>
      </c>
      <c r="L804" s="338">
        <v>15.276995126633576</v>
      </c>
      <c r="M804" s="338">
        <v>15.276995126633576</v>
      </c>
      <c r="N804" s="338">
        <v>15.276995126633576</v>
      </c>
      <c r="O804" s="338"/>
    </row>
    <row r="805" spans="1:15" hidden="1" outlineLevel="2" x14ac:dyDescent="0.35">
      <c r="A805" s="425" t="s">
        <v>7975</v>
      </c>
      <c r="B805" s="327">
        <v>44104</v>
      </c>
      <c r="C805" s="426">
        <v>234</v>
      </c>
      <c r="D805" s="427" t="s">
        <v>8969</v>
      </c>
      <c r="E805" s="426" t="s">
        <v>8879</v>
      </c>
      <c r="F805" s="338">
        <v>256322</v>
      </c>
      <c r="G805" s="338" t="s">
        <v>3800</v>
      </c>
      <c r="H805" s="338"/>
      <c r="I805" s="329">
        <v>60.086536988777844</v>
      </c>
      <c r="J805" s="329"/>
      <c r="K805" s="338">
        <v>15.021634247194461</v>
      </c>
      <c r="L805" s="338">
        <v>15.021634247194461</v>
      </c>
      <c r="M805" s="338">
        <v>15.021634247194461</v>
      </c>
      <c r="N805" s="338">
        <v>15.021634247194461</v>
      </c>
      <c r="O805" s="338"/>
    </row>
    <row r="806" spans="1:15" hidden="1" outlineLevel="2" x14ac:dyDescent="0.35">
      <c r="A806" s="425" t="s">
        <v>7975</v>
      </c>
      <c r="B806" s="327" t="s">
        <v>8005</v>
      </c>
      <c r="C806" s="426" t="s">
        <v>8006</v>
      </c>
      <c r="D806" s="427" t="s">
        <v>8970</v>
      </c>
      <c r="E806" s="426" t="s">
        <v>8881</v>
      </c>
      <c r="F806" s="338">
        <v>256322</v>
      </c>
      <c r="G806" s="338" t="s">
        <v>3800</v>
      </c>
      <c r="H806" s="338"/>
      <c r="I806" s="329">
        <v>61.107980506534304</v>
      </c>
      <c r="J806" s="329"/>
      <c r="K806" s="338">
        <v>15.276995126633576</v>
      </c>
      <c r="L806" s="338">
        <v>15.276995126633576</v>
      </c>
      <c r="M806" s="338">
        <v>15.276995126633576</v>
      </c>
      <c r="N806" s="338">
        <v>15.276995126633576</v>
      </c>
      <c r="O806" s="338"/>
    </row>
    <row r="807" spans="1:15" hidden="1" outlineLevel="2" x14ac:dyDescent="0.35">
      <c r="A807" s="425" t="s">
        <v>7975</v>
      </c>
      <c r="B807" s="327">
        <v>43982</v>
      </c>
      <c r="C807" s="426">
        <v>197</v>
      </c>
      <c r="D807" s="427" t="s">
        <v>8971</v>
      </c>
      <c r="E807" s="426" t="s">
        <v>8879</v>
      </c>
      <c r="F807" s="338">
        <v>500000</v>
      </c>
      <c r="G807" s="338" t="s">
        <v>3800</v>
      </c>
      <c r="H807" s="338"/>
      <c r="I807" s="329">
        <v>117.20909049706589</v>
      </c>
      <c r="J807" s="329"/>
      <c r="K807" s="338">
        <v>29.302272624266472</v>
      </c>
      <c r="L807" s="338">
        <v>29.302272624266472</v>
      </c>
      <c r="M807" s="338">
        <v>29.302272624266472</v>
      </c>
      <c r="N807" s="338">
        <v>29.302272624266472</v>
      </c>
      <c r="O807" s="338"/>
    </row>
    <row r="808" spans="1:15" hidden="1" outlineLevel="2" x14ac:dyDescent="0.35">
      <c r="A808" s="425" t="s">
        <v>7975</v>
      </c>
      <c r="B808" s="327">
        <v>44012</v>
      </c>
      <c r="C808" s="426">
        <v>204</v>
      </c>
      <c r="D808" s="427" t="s">
        <v>8971</v>
      </c>
      <c r="E808" s="426" t="s">
        <v>8881</v>
      </c>
      <c r="F808" s="338">
        <v>500000</v>
      </c>
      <c r="G808" s="338" t="s">
        <v>3800</v>
      </c>
      <c r="H808" s="338"/>
      <c r="I808" s="329">
        <v>117.20909049706589</v>
      </c>
      <c r="J808" s="329"/>
      <c r="K808" s="338">
        <v>29.302272624266472</v>
      </c>
      <c r="L808" s="338">
        <v>29.302272624266472</v>
      </c>
      <c r="M808" s="338">
        <v>29.302272624266472</v>
      </c>
      <c r="N808" s="338">
        <v>29.302272624266472</v>
      </c>
      <c r="O808" s="338"/>
    </row>
    <row r="809" spans="1:15" hidden="1" outlineLevel="2" x14ac:dyDescent="0.35">
      <c r="A809" s="425" t="s">
        <v>7975</v>
      </c>
      <c r="B809" s="327">
        <v>44135</v>
      </c>
      <c r="C809" s="426">
        <v>240</v>
      </c>
      <c r="D809" s="427" t="s">
        <v>8972</v>
      </c>
      <c r="E809" s="426" t="s">
        <v>8879</v>
      </c>
      <c r="F809" s="338">
        <v>500000</v>
      </c>
      <c r="G809" s="338" t="s">
        <v>3800</v>
      </c>
      <c r="H809" s="338"/>
      <c r="I809" s="329">
        <v>117.20909049706589</v>
      </c>
      <c r="J809" s="329"/>
      <c r="K809" s="338">
        <v>29.302272624266472</v>
      </c>
      <c r="L809" s="338">
        <v>29.302272624266472</v>
      </c>
      <c r="M809" s="338">
        <v>29.302272624266472</v>
      </c>
      <c r="N809" s="338">
        <v>29.302272624266472</v>
      </c>
      <c r="O809" s="338"/>
    </row>
    <row r="810" spans="1:15" hidden="1" outlineLevel="2" x14ac:dyDescent="0.35">
      <c r="A810" s="425" t="s">
        <v>7975</v>
      </c>
      <c r="B810" s="327" t="s">
        <v>8002</v>
      </c>
      <c r="C810" s="426" t="s">
        <v>8003</v>
      </c>
      <c r="D810" s="427" t="s">
        <v>8973</v>
      </c>
      <c r="E810" s="426" t="s">
        <v>8881</v>
      </c>
      <c r="F810" s="338">
        <v>500000</v>
      </c>
      <c r="G810" s="338" t="s">
        <v>3800</v>
      </c>
      <c r="H810" s="338"/>
      <c r="I810" s="329">
        <v>119.20159117542448</v>
      </c>
      <c r="J810" s="329"/>
      <c r="K810" s="338">
        <v>29.800397793856121</v>
      </c>
      <c r="L810" s="338">
        <v>29.800397793856121</v>
      </c>
      <c r="M810" s="338">
        <v>29.800397793856121</v>
      </c>
      <c r="N810" s="338">
        <v>29.800397793856121</v>
      </c>
      <c r="O810" s="338"/>
    </row>
    <row r="811" spans="1:15" hidden="1" outlineLevel="2" x14ac:dyDescent="0.35">
      <c r="A811" s="425" t="s">
        <v>7975</v>
      </c>
      <c r="B811" s="327" t="s">
        <v>7999</v>
      </c>
      <c r="C811" s="426" t="s">
        <v>8000</v>
      </c>
      <c r="D811" s="427" t="s">
        <v>8973</v>
      </c>
      <c r="E811" s="426" t="s">
        <v>8881</v>
      </c>
      <c r="F811" s="338">
        <v>500000</v>
      </c>
      <c r="G811" s="338" t="s">
        <v>3800</v>
      </c>
      <c r="H811" s="338"/>
      <c r="I811" s="329">
        <v>119.20159117542448</v>
      </c>
      <c r="J811" s="329"/>
      <c r="K811" s="338">
        <v>29.800397793856121</v>
      </c>
      <c r="L811" s="338">
        <v>29.800397793856121</v>
      </c>
      <c r="M811" s="338">
        <v>29.800397793856121</v>
      </c>
      <c r="N811" s="338">
        <v>29.800397793856121</v>
      </c>
      <c r="O811" s="338"/>
    </row>
    <row r="812" spans="1:15" hidden="1" outlineLevel="2" x14ac:dyDescent="0.35">
      <c r="A812" s="425" t="s">
        <v>7975</v>
      </c>
      <c r="B812" s="327">
        <v>44165</v>
      </c>
      <c r="C812" s="426">
        <v>248</v>
      </c>
      <c r="D812" s="427" t="s">
        <v>8974</v>
      </c>
      <c r="E812" s="426" t="s">
        <v>8879</v>
      </c>
      <c r="F812" s="338">
        <v>500000</v>
      </c>
      <c r="G812" s="338" t="s">
        <v>3800</v>
      </c>
      <c r="H812" s="338"/>
      <c r="I812" s="329">
        <v>117.20909049706589</v>
      </c>
      <c r="J812" s="329"/>
      <c r="K812" s="338">
        <v>29.302272624266472</v>
      </c>
      <c r="L812" s="338">
        <v>29.302272624266472</v>
      </c>
      <c r="M812" s="338">
        <v>29.302272624266472</v>
      </c>
      <c r="N812" s="338">
        <v>29.302272624266472</v>
      </c>
      <c r="O812" s="338"/>
    </row>
    <row r="813" spans="1:15" hidden="1" outlineLevel="2" x14ac:dyDescent="0.35">
      <c r="A813" s="425" t="s">
        <v>7975</v>
      </c>
      <c r="B813" s="327" t="s">
        <v>8077</v>
      </c>
      <c r="C813" s="426" t="s">
        <v>8883</v>
      </c>
      <c r="D813" s="427" t="s">
        <v>8975</v>
      </c>
      <c r="E813" s="426" t="s">
        <v>8881</v>
      </c>
      <c r="F813" s="338">
        <v>500000</v>
      </c>
      <c r="G813" s="338" t="s">
        <v>3800</v>
      </c>
      <c r="H813" s="338"/>
      <c r="I813" s="329">
        <v>119.20159117542448</v>
      </c>
      <c r="J813" s="329"/>
      <c r="K813" s="338">
        <v>29.800397793856121</v>
      </c>
      <c r="L813" s="338">
        <v>29.800397793856121</v>
      </c>
      <c r="M813" s="338">
        <v>29.800397793856121</v>
      </c>
      <c r="N813" s="338">
        <v>29.800397793856121</v>
      </c>
      <c r="O813" s="338"/>
    </row>
    <row r="814" spans="1:15" hidden="1" outlineLevel="2" x14ac:dyDescent="0.35">
      <c r="A814" s="425" t="s">
        <v>7975</v>
      </c>
      <c r="B814" s="327" t="s">
        <v>8079</v>
      </c>
      <c r="C814" s="426" t="s">
        <v>8327</v>
      </c>
      <c r="D814" s="427" t="s">
        <v>8976</v>
      </c>
      <c r="E814" s="426" t="s">
        <v>8881</v>
      </c>
      <c r="F814" s="338">
        <v>500000</v>
      </c>
      <c r="G814" s="338" t="s">
        <v>3800</v>
      </c>
      <c r="H814" s="338"/>
      <c r="I814" s="329">
        <v>119.20159117542448</v>
      </c>
      <c r="J814" s="329"/>
      <c r="K814" s="338">
        <v>29.800397793856121</v>
      </c>
      <c r="L814" s="338">
        <v>29.800397793856121</v>
      </c>
      <c r="M814" s="338">
        <v>29.800397793856121</v>
      </c>
      <c r="N814" s="338">
        <v>29.800397793856121</v>
      </c>
      <c r="O814" s="338"/>
    </row>
    <row r="815" spans="1:15" hidden="1" outlineLevel="2" x14ac:dyDescent="0.35">
      <c r="A815" s="425" t="s">
        <v>7975</v>
      </c>
      <c r="B815" s="327">
        <v>44196</v>
      </c>
      <c r="C815" s="426">
        <v>256</v>
      </c>
      <c r="D815" s="427" t="s">
        <v>8977</v>
      </c>
      <c r="E815" s="426" t="s">
        <v>8879</v>
      </c>
      <c r="F815" s="338">
        <v>500000</v>
      </c>
      <c r="G815" s="338" t="s">
        <v>3800</v>
      </c>
      <c r="H815" s="338"/>
      <c r="I815" s="329">
        <v>117.20909049706589</v>
      </c>
      <c r="J815" s="329"/>
      <c r="K815" s="338">
        <v>29.302272624266472</v>
      </c>
      <c r="L815" s="338">
        <v>29.302272624266472</v>
      </c>
      <c r="M815" s="338">
        <v>29.302272624266472</v>
      </c>
      <c r="N815" s="338">
        <v>29.302272624266472</v>
      </c>
      <c r="O815" s="338"/>
    </row>
    <row r="816" spans="1:15" hidden="1" outlineLevel="2" x14ac:dyDescent="0.35">
      <c r="A816" s="425" t="s">
        <v>7975</v>
      </c>
      <c r="B816" s="327" t="s">
        <v>7987</v>
      </c>
      <c r="C816" s="426" t="s">
        <v>7988</v>
      </c>
      <c r="D816" s="427" t="s">
        <v>8978</v>
      </c>
      <c r="E816" s="426" t="s">
        <v>8881</v>
      </c>
      <c r="F816" s="338">
        <v>500000</v>
      </c>
      <c r="G816" s="338" t="s">
        <v>3800</v>
      </c>
      <c r="H816" s="338"/>
      <c r="I816" s="329">
        <v>119.20159117542448</v>
      </c>
      <c r="J816" s="329"/>
      <c r="K816" s="338">
        <v>29.800397793856121</v>
      </c>
      <c r="L816" s="338">
        <v>29.800397793856121</v>
      </c>
      <c r="M816" s="338">
        <v>29.800397793856121</v>
      </c>
      <c r="N816" s="338">
        <v>29.800397793856121</v>
      </c>
      <c r="O816" s="338"/>
    </row>
    <row r="817" spans="1:15" hidden="1" outlineLevel="2" x14ac:dyDescent="0.35">
      <c r="A817" s="425" t="s">
        <v>7975</v>
      </c>
      <c r="B817" s="327">
        <v>43890</v>
      </c>
      <c r="C817" s="426">
        <v>175</v>
      </c>
      <c r="D817" s="427" t="s">
        <v>8979</v>
      </c>
      <c r="E817" s="426" t="s">
        <v>8881</v>
      </c>
      <c r="F817" s="338">
        <v>344828</v>
      </c>
      <c r="G817" s="338" t="s">
        <v>3800</v>
      </c>
      <c r="H817" s="338"/>
      <c r="I817" s="329">
        <v>80.833952515844473</v>
      </c>
      <c r="J817" s="329"/>
      <c r="K817" s="338">
        <v>20.208488128961118</v>
      </c>
      <c r="L817" s="338">
        <v>20.208488128961118</v>
      </c>
      <c r="M817" s="338">
        <v>20.208488128961118</v>
      </c>
      <c r="N817" s="338">
        <v>20.208488128961118</v>
      </c>
      <c r="O817" s="338"/>
    </row>
    <row r="818" spans="1:15" hidden="1" outlineLevel="2" x14ac:dyDescent="0.35">
      <c r="A818" s="425" t="s">
        <v>7975</v>
      </c>
      <c r="B818" s="327" t="s">
        <v>8075</v>
      </c>
      <c r="C818" s="426" t="s">
        <v>8889</v>
      </c>
      <c r="D818" s="427" t="s">
        <v>8980</v>
      </c>
      <c r="E818" s="426" t="s">
        <v>8881</v>
      </c>
      <c r="F818" s="338">
        <v>500000</v>
      </c>
      <c r="G818" s="338" t="s">
        <v>3800</v>
      </c>
      <c r="H818" s="338"/>
      <c r="I818" s="329">
        <v>119.20159117542448</v>
      </c>
      <c r="J818" s="329"/>
      <c r="K818" s="338">
        <v>29.800397793856121</v>
      </c>
      <c r="L818" s="338">
        <v>29.800397793856121</v>
      </c>
      <c r="M818" s="338">
        <v>29.800397793856121</v>
      </c>
      <c r="N818" s="338">
        <v>29.800397793856121</v>
      </c>
      <c r="O818" s="338"/>
    </row>
    <row r="819" spans="1:15" hidden="1" outlineLevel="2" x14ac:dyDescent="0.35">
      <c r="A819" s="425" t="s">
        <v>7975</v>
      </c>
      <c r="B819" s="327" t="s">
        <v>8089</v>
      </c>
      <c r="C819" s="426" t="s">
        <v>8891</v>
      </c>
      <c r="D819" s="427" t="s">
        <v>8980</v>
      </c>
      <c r="E819" s="426" t="s">
        <v>8881</v>
      </c>
      <c r="F819" s="338">
        <v>500000</v>
      </c>
      <c r="G819" s="338" t="s">
        <v>3800</v>
      </c>
      <c r="H819" s="338"/>
      <c r="I819" s="329">
        <v>119.20159117542448</v>
      </c>
      <c r="J819" s="329"/>
      <c r="K819" s="338">
        <v>29.800397793856121</v>
      </c>
      <c r="L819" s="338">
        <v>29.800397793856121</v>
      </c>
      <c r="M819" s="338">
        <v>29.800397793856121</v>
      </c>
      <c r="N819" s="338">
        <v>29.800397793856121</v>
      </c>
      <c r="O819" s="338"/>
    </row>
    <row r="820" spans="1:15" hidden="1" outlineLevel="2" x14ac:dyDescent="0.35">
      <c r="A820" s="425" t="s">
        <v>7975</v>
      </c>
      <c r="B820" s="327" t="s">
        <v>7980</v>
      </c>
      <c r="C820" s="426" t="s">
        <v>8892</v>
      </c>
      <c r="D820" s="427" t="s">
        <v>8980</v>
      </c>
      <c r="E820" s="426" t="s">
        <v>8881</v>
      </c>
      <c r="F820" s="338">
        <v>500000</v>
      </c>
      <c r="G820" s="338" t="s">
        <v>3800</v>
      </c>
      <c r="H820" s="338"/>
      <c r="I820" s="329">
        <v>119.20159117542448</v>
      </c>
      <c r="J820" s="329"/>
      <c r="K820" s="338">
        <v>29.800397793856121</v>
      </c>
      <c r="L820" s="338">
        <v>29.800397793856121</v>
      </c>
      <c r="M820" s="338">
        <v>29.800397793856121</v>
      </c>
      <c r="N820" s="338">
        <v>29.800397793856121</v>
      </c>
      <c r="O820" s="338"/>
    </row>
    <row r="821" spans="1:15" hidden="1" outlineLevel="2" x14ac:dyDescent="0.35">
      <c r="A821" s="425" t="s">
        <v>7975</v>
      </c>
      <c r="B821" s="327">
        <v>43921</v>
      </c>
      <c r="C821" s="426">
        <v>182</v>
      </c>
      <c r="D821" s="427" t="s">
        <v>8981</v>
      </c>
      <c r="E821" s="426" t="s">
        <v>8881</v>
      </c>
      <c r="F821" s="338">
        <v>500000</v>
      </c>
      <c r="G821" s="338" t="s">
        <v>3800</v>
      </c>
      <c r="H821" s="338"/>
      <c r="I821" s="329">
        <v>117.20909049706589</v>
      </c>
      <c r="J821" s="329"/>
      <c r="K821" s="338">
        <v>29.302272624266472</v>
      </c>
      <c r="L821" s="338">
        <v>29.302272624266472</v>
      </c>
      <c r="M821" s="338">
        <v>29.302272624266472</v>
      </c>
      <c r="N821" s="338">
        <v>29.302272624266472</v>
      </c>
      <c r="O821" s="338"/>
    </row>
    <row r="822" spans="1:15" hidden="1" outlineLevel="2" x14ac:dyDescent="0.35">
      <c r="A822" s="425" t="s">
        <v>7975</v>
      </c>
      <c r="B822" s="327">
        <v>43951</v>
      </c>
      <c r="C822" s="426">
        <v>191</v>
      </c>
      <c r="D822" s="427" t="s">
        <v>8982</v>
      </c>
      <c r="E822" s="426" t="s">
        <v>8881</v>
      </c>
      <c r="F822" s="338">
        <v>500000</v>
      </c>
      <c r="G822" s="338" t="s">
        <v>3800</v>
      </c>
      <c r="H822" s="338"/>
      <c r="I822" s="329">
        <v>117.20909049706589</v>
      </c>
      <c r="J822" s="329"/>
      <c r="K822" s="338">
        <v>29.302272624266472</v>
      </c>
      <c r="L822" s="338">
        <v>29.302272624266472</v>
      </c>
      <c r="M822" s="338">
        <v>29.302272624266472</v>
      </c>
      <c r="N822" s="338">
        <v>29.302272624266472</v>
      </c>
      <c r="O822" s="338"/>
    </row>
    <row r="823" spans="1:15" hidden="1" outlineLevel="2" x14ac:dyDescent="0.35">
      <c r="A823" s="425" t="s">
        <v>7975</v>
      </c>
      <c r="B823" s="327" t="s">
        <v>7996</v>
      </c>
      <c r="C823" s="426" t="s">
        <v>7997</v>
      </c>
      <c r="D823" s="427" t="s">
        <v>8983</v>
      </c>
      <c r="E823" s="426" t="s">
        <v>8881</v>
      </c>
      <c r="F823" s="338">
        <v>500000</v>
      </c>
      <c r="G823" s="338" t="s">
        <v>3800</v>
      </c>
      <c r="H823" s="338"/>
      <c r="I823" s="329">
        <v>119.20159117542448</v>
      </c>
      <c r="J823" s="329"/>
      <c r="K823" s="338">
        <v>29.800397793856121</v>
      </c>
      <c r="L823" s="338">
        <v>29.800397793856121</v>
      </c>
      <c r="M823" s="338">
        <v>29.800397793856121</v>
      </c>
      <c r="N823" s="338">
        <v>29.800397793856121</v>
      </c>
      <c r="O823" s="338"/>
    </row>
    <row r="824" spans="1:15" hidden="1" outlineLevel="2" x14ac:dyDescent="0.35">
      <c r="A824" s="425" t="s">
        <v>7975</v>
      </c>
      <c r="B824" s="327" t="s">
        <v>7993</v>
      </c>
      <c r="C824" s="426" t="s">
        <v>7994</v>
      </c>
      <c r="D824" s="427" t="s">
        <v>8984</v>
      </c>
      <c r="E824" s="426" t="s">
        <v>8881</v>
      </c>
      <c r="F824" s="338">
        <v>500000</v>
      </c>
      <c r="G824" s="338" t="s">
        <v>3800</v>
      </c>
      <c r="H824" s="338"/>
      <c r="I824" s="329">
        <v>119.20159117542448</v>
      </c>
      <c r="J824" s="329"/>
      <c r="K824" s="338">
        <v>29.800397793856121</v>
      </c>
      <c r="L824" s="338">
        <v>29.800397793856121</v>
      </c>
      <c r="M824" s="338">
        <v>29.800397793856121</v>
      </c>
      <c r="N824" s="338">
        <v>29.800397793856121</v>
      </c>
      <c r="O824" s="338"/>
    </row>
    <row r="825" spans="1:15" hidden="1" outlineLevel="2" x14ac:dyDescent="0.35">
      <c r="A825" s="425" t="s">
        <v>7975</v>
      </c>
      <c r="B825" s="327">
        <v>44043</v>
      </c>
      <c r="C825" s="426">
        <v>210</v>
      </c>
      <c r="D825" s="427" t="s">
        <v>8985</v>
      </c>
      <c r="E825" s="426" t="s">
        <v>8879</v>
      </c>
      <c r="F825" s="338">
        <v>500000</v>
      </c>
      <c r="G825" s="338" t="s">
        <v>3800</v>
      </c>
      <c r="H825" s="338"/>
      <c r="I825" s="329">
        <v>117.20909049706589</v>
      </c>
      <c r="J825" s="329"/>
      <c r="K825" s="338">
        <v>29.302272624266472</v>
      </c>
      <c r="L825" s="338">
        <v>29.302272624266472</v>
      </c>
      <c r="M825" s="338">
        <v>29.302272624266472</v>
      </c>
      <c r="N825" s="338">
        <v>29.302272624266472</v>
      </c>
      <c r="O825" s="338"/>
    </row>
    <row r="826" spans="1:15" hidden="1" outlineLevel="2" x14ac:dyDescent="0.35">
      <c r="A826" s="425" t="s">
        <v>7975</v>
      </c>
      <c r="B826" s="327" t="s">
        <v>7990</v>
      </c>
      <c r="C826" s="426" t="s">
        <v>7991</v>
      </c>
      <c r="D826" s="427" t="s">
        <v>8986</v>
      </c>
      <c r="E826" s="426" t="s">
        <v>8881</v>
      </c>
      <c r="F826" s="338">
        <v>500000</v>
      </c>
      <c r="G826" s="338" t="s">
        <v>3800</v>
      </c>
      <c r="H826" s="338"/>
      <c r="I826" s="329">
        <v>119.20159117542448</v>
      </c>
      <c r="J826" s="329"/>
      <c r="K826" s="338">
        <v>29.800397793856121</v>
      </c>
      <c r="L826" s="338">
        <v>29.800397793856121</v>
      </c>
      <c r="M826" s="338">
        <v>29.800397793856121</v>
      </c>
      <c r="N826" s="338">
        <v>29.800397793856121</v>
      </c>
      <c r="O826" s="338"/>
    </row>
    <row r="827" spans="1:15" hidden="1" outlineLevel="2" x14ac:dyDescent="0.35">
      <c r="A827" s="425" t="s">
        <v>7975</v>
      </c>
      <c r="B827" s="327">
        <v>44074</v>
      </c>
      <c r="C827" s="426">
        <v>224</v>
      </c>
      <c r="D827" s="427" t="s">
        <v>8987</v>
      </c>
      <c r="E827" s="426" t="s">
        <v>8879</v>
      </c>
      <c r="F827" s="338">
        <v>500000</v>
      </c>
      <c r="G827" s="338" t="s">
        <v>3800</v>
      </c>
      <c r="H827" s="338"/>
      <c r="I827" s="329">
        <v>117.20909049706589</v>
      </c>
      <c r="J827" s="329"/>
      <c r="K827" s="338">
        <v>29.302272624266472</v>
      </c>
      <c r="L827" s="338">
        <v>29.302272624266472</v>
      </c>
      <c r="M827" s="338">
        <v>29.302272624266472</v>
      </c>
      <c r="N827" s="338">
        <v>29.302272624266472</v>
      </c>
      <c r="O827" s="338"/>
    </row>
    <row r="828" spans="1:15" hidden="1" outlineLevel="2" x14ac:dyDescent="0.35">
      <c r="A828" s="425" t="s">
        <v>7975</v>
      </c>
      <c r="B828" s="327" t="s">
        <v>7984</v>
      </c>
      <c r="C828" s="426" t="s">
        <v>7985</v>
      </c>
      <c r="D828" s="427" t="s">
        <v>8988</v>
      </c>
      <c r="E828" s="426" t="s">
        <v>8881</v>
      </c>
      <c r="F828" s="338">
        <v>500000</v>
      </c>
      <c r="G828" s="338" t="s">
        <v>3800</v>
      </c>
      <c r="H828" s="338"/>
      <c r="I828" s="329">
        <v>119.20159117542448</v>
      </c>
      <c r="J828" s="329"/>
      <c r="K828" s="338">
        <v>29.800397793856121</v>
      </c>
      <c r="L828" s="338">
        <v>29.800397793856121</v>
      </c>
      <c r="M828" s="338">
        <v>29.800397793856121</v>
      </c>
      <c r="N828" s="338">
        <v>29.800397793856121</v>
      </c>
      <c r="O828" s="338"/>
    </row>
    <row r="829" spans="1:15" hidden="1" outlineLevel="2" x14ac:dyDescent="0.35">
      <c r="A829" s="425" t="s">
        <v>7975</v>
      </c>
      <c r="B829" s="327">
        <v>44104</v>
      </c>
      <c r="C829" s="426">
        <v>234</v>
      </c>
      <c r="D829" s="427" t="s">
        <v>8989</v>
      </c>
      <c r="E829" s="426" t="s">
        <v>8879</v>
      </c>
      <c r="F829" s="338">
        <v>500000</v>
      </c>
      <c r="G829" s="338" t="s">
        <v>3800</v>
      </c>
      <c r="H829" s="338"/>
      <c r="I829" s="329">
        <v>117.20909049706589</v>
      </c>
      <c r="J829" s="329"/>
      <c r="K829" s="338">
        <v>29.302272624266472</v>
      </c>
      <c r="L829" s="338">
        <v>29.302272624266472</v>
      </c>
      <c r="M829" s="338">
        <v>29.302272624266472</v>
      </c>
      <c r="N829" s="338">
        <v>29.302272624266472</v>
      </c>
      <c r="O829" s="338"/>
    </row>
    <row r="830" spans="1:15" hidden="1" outlineLevel="2" x14ac:dyDescent="0.35">
      <c r="A830" s="425" t="s">
        <v>7975</v>
      </c>
      <c r="B830" s="327" t="s">
        <v>8005</v>
      </c>
      <c r="C830" s="426" t="s">
        <v>8006</v>
      </c>
      <c r="D830" s="427" t="s">
        <v>8990</v>
      </c>
      <c r="E830" s="426" t="s">
        <v>8881</v>
      </c>
      <c r="F830" s="338">
        <v>500000</v>
      </c>
      <c r="G830" s="338" t="s">
        <v>3800</v>
      </c>
      <c r="H830" s="338"/>
      <c r="I830" s="329">
        <v>119.20159117542448</v>
      </c>
      <c r="J830" s="329"/>
      <c r="K830" s="338">
        <v>29.800397793856121</v>
      </c>
      <c r="L830" s="338">
        <v>29.800397793856121</v>
      </c>
      <c r="M830" s="338">
        <v>29.800397793856121</v>
      </c>
      <c r="N830" s="338">
        <v>29.800397793856121</v>
      </c>
      <c r="O830" s="338"/>
    </row>
    <row r="831" spans="1:15" outlineLevel="1" collapsed="1" x14ac:dyDescent="0.35">
      <c r="A831" s="432" t="s">
        <v>8991</v>
      </c>
      <c r="B831" s="327"/>
      <c r="C831" s="426"/>
      <c r="D831" s="427"/>
      <c r="E831" s="426"/>
      <c r="F831" s="338"/>
      <c r="G831" s="338"/>
      <c r="H831" s="338"/>
      <c r="I831" s="329">
        <f t="shared" ref="I831:O831" si="23">SUBTOTAL(9,I707:I830)</f>
        <v>18112.132178978838</v>
      </c>
      <c r="J831" s="329"/>
      <c r="K831" s="338">
        <f t="shared" si="23"/>
        <v>4528.0330447447095</v>
      </c>
      <c r="L831" s="338">
        <f t="shared" si="23"/>
        <v>4528.0330447447095</v>
      </c>
      <c r="M831" s="338">
        <f t="shared" si="23"/>
        <v>4528.0330447447095</v>
      </c>
      <c r="N831" s="338">
        <f t="shared" si="23"/>
        <v>4528.0330447447095</v>
      </c>
      <c r="O831" s="338">
        <f t="shared" si="23"/>
        <v>0</v>
      </c>
    </row>
    <row r="832" spans="1:15" hidden="1" outlineLevel="2" x14ac:dyDescent="0.35">
      <c r="A832" s="425" t="s">
        <v>7833</v>
      </c>
      <c r="B832" s="327">
        <v>44136</v>
      </c>
      <c r="C832" s="426" t="s">
        <v>8992</v>
      </c>
      <c r="D832" s="427" t="s">
        <v>8993</v>
      </c>
      <c r="E832" s="426" t="s">
        <v>8994</v>
      </c>
      <c r="F832" s="338">
        <v>5186292</v>
      </c>
      <c r="G832" s="338" t="s">
        <v>3800</v>
      </c>
      <c r="H832" s="338"/>
      <c r="I832" s="329">
        <v>1215.7611367444176</v>
      </c>
      <c r="J832" s="329"/>
      <c r="K832" s="338">
        <v>303.94028418610441</v>
      </c>
      <c r="L832" s="338">
        <v>303.94028418610441</v>
      </c>
      <c r="M832" s="338">
        <v>303.94028418610441</v>
      </c>
      <c r="N832" s="338">
        <v>303.94028418610441</v>
      </c>
      <c r="O832" s="338"/>
    </row>
    <row r="833" spans="1:15" hidden="1" outlineLevel="2" x14ac:dyDescent="0.35">
      <c r="A833" s="425" t="s">
        <v>7833</v>
      </c>
      <c r="B833" s="327">
        <v>44260</v>
      </c>
      <c r="C833" s="426" t="s">
        <v>8096</v>
      </c>
      <c r="D833" s="427" t="s">
        <v>8995</v>
      </c>
      <c r="E833" s="426" t="s">
        <v>8996</v>
      </c>
      <c r="F833" s="338">
        <v>2051957</v>
      </c>
      <c r="G833" s="338" t="s">
        <v>3800</v>
      </c>
      <c r="H833" s="338"/>
      <c r="I833" s="329">
        <v>489.19307884710099</v>
      </c>
      <c r="J833" s="329"/>
      <c r="K833" s="338">
        <v>122.29826971177525</v>
      </c>
      <c r="L833" s="338">
        <v>122.29826971177525</v>
      </c>
      <c r="M833" s="338">
        <v>122.29826971177525</v>
      </c>
      <c r="N833" s="338">
        <v>122.29826971177525</v>
      </c>
      <c r="O833" s="338"/>
    </row>
    <row r="834" spans="1:15" hidden="1" outlineLevel="2" x14ac:dyDescent="0.35">
      <c r="A834" s="425" t="s">
        <v>7833</v>
      </c>
      <c r="B834" s="327">
        <v>44441</v>
      </c>
      <c r="C834" s="426" t="s">
        <v>8997</v>
      </c>
      <c r="D834" s="427" t="s">
        <v>8998</v>
      </c>
      <c r="E834" s="426" t="s">
        <v>8996</v>
      </c>
      <c r="F834" s="338">
        <v>5243335</v>
      </c>
      <c r="G834" s="338" t="s">
        <v>3800</v>
      </c>
      <c r="H834" s="338"/>
      <c r="I834" s="329">
        <v>1250.0277501315886</v>
      </c>
      <c r="J834" s="329"/>
      <c r="K834" s="338">
        <v>312.50693753289715</v>
      </c>
      <c r="L834" s="338">
        <v>312.50693753289715</v>
      </c>
      <c r="M834" s="338">
        <v>312.50693753289715</v>
      </c>
      <c r="N834" s="338">
        <v>312.50693753289715</v>
      </c>
      <c r="O834" s="338"/>
    </row>
    <row r="835" spans="1:15" hidden="1" outlineLevel="2" x14ac:dyDescent="0.35">
      <c r="A835" s="425" t="s">
        <v>7833</v>
      </c>
      <c r="B835" s="327">
        <v>44398</v>
      </c>
      <c r="C835" s="426" t="s">
        <v>8999</v>
      </c>
      <c r="D835" s="427" t="s">
        <v>9000</v>
      </c>
      <c r="E835" s="426" t="s">
        <v>8996</v>
      </c>
      <c r="F835" s="338">
        <v>1587984</v>
      </c>
      <c r="G835" s="338" t="s">
        <v>3800</v>
      </c>
      <c r="H835" s="338"/>
      <c r="I835" s="329">
        <v>378.58043912223053</v>
      </c>
      <c r="J835" s="329"/>
      <c r="K835" s="338">
        <v>94.645109780557632</v>
      </c>
      <c r="L835" s="338">
        <v>94.645109780557632</v>
      </c>
      <c r="M835" s="338">
        <v>94.645109780557632</v>
      </c>
      <c r="N835" s="338">
        <v>94.645109780557632</v>
      </c>
      <c r="O835" s="338"/>
    </row>
    <row r="836" spans="1:15" hidden="1" outlineLevel="2" x14ac:dyDescent="0.35">
      <c r="A836" s="425" t="s">
        <v>7833</v>
      </c>
      <c r="B836" s="327">
        <v>44536</v>
      </c>
      <c r="C836" s="426" t="s">
        <v>9001</v>
      </c>
      <c r="D836" s="427" t="s">
        <v>9002</v>
      </c>
      <c r="E836" s="426" t="s">
        <v>8996</v>
      </c>
      <c r="F836" s="338">
        <v>1898161</v>
      </c>
      <c r="G836" s="338" t="s">
        <v>3800</v>
      </c>
      <c r="H836" s="338"/>
      <c r="I836" s="329">
        <v>452.52762301426981</v>
      </c>
      <c r="J836" s="329"/>
      <c r="K836" s="338">
        <v>113.13190575356745</v>
      </c>
      <c r="L836" s="338">
        <v>113.13190575356745</v>
      </c>
      <c r="M836" s="338">
        <v>113.13190575356745</v>
      </c>
      <c r="N836" s="338">
        <v>113.13190575356745</v>
      </c>
      <c r="O836" s="338"/>
    </row>
    <row r="837" spans="1:15" outlineLevel="1" collapsed="1" x14ac:dyDescent="0.35">
      <c r="A837" s="432" t="s">
        <v>9003</v>
      </c>
      <c r="B837" s="327"/>
      <c r="C837" s="426"/>
      <c r="D837" s="427"/>
      <c r="E837" s="426"/>
      <c r="F837" s="338"/>
      <c r="G837" s="338"/>
      <c r="H837" s="338"/>
      <c r="I837" s="329">
        <f t="shared" ref="I837:O837" si="24">SUBTOTAL(9,I832:I836)</f>
        <v>3786.0900278596077</v>
      </c>
      <c r="J837" s="329"/>
      <c r="K837" s="338">
        <f t="shared" si="24"/>
        <v>946.52250696490194</v>
      </c>
      <c r="L837" s="338">
        <f t="shared" si="24"/>
        <v>946.52250696490194</v>
      </c>
      <c r="M837" s="338">
        <f t="shared" si="24"/>
        <v>946.52250696490194</v>
      </c>
      <c r="N837" s="338">
        <f t="shared" si="24"/>
        <v>946.52250696490194</v>
      </c>
      <c r="O837" s="338">
        <f t="shared" si="24"/>
        <v>0</v>
      </c>
    </row>
    <row r="838" spans="1:15" hidden="1" outlineLevel="2" x14ac:dyDescent="0.35">
      <c r="A838" s="425" t="s">
        <v>7883</v>
      </c>
      <c r="B838" s="327">
        <v>44354</v>
      </c>
      <c r="C838" s="426" t="s">
        <v>9004</v>
      </c>
      <c r="D838" s="427" t="s">
        <v>9005</v>
      </c>
      <c r="E838" s="426" t="s">
        <v>9006</v>
      </c>
      <c r="F838" s="338">
        <v>-928.77</v>
      </c>
      <c r="G838" s="338" t="s">
        <v>56</v>
      </c>
      <c r="H838" s="338"/>
      <c r="I838" s="329">
        <v>-928.77</v>
      </c>
      <c r="J838" s="329"/>
      <c r="K838" s="338">
        <f t="shared" ref="K838:N848" si="25">$I838/4</f>
        <v>-232.1925</v>
      </c>
      <c r="L838" s="338">
        <f t="shared" si="25"/>
        <v>-232.1925</v>
      </c>
      <c r="M838" s="338">
        <f t="shared" si="25"/>
        <v>-232.1925</v>
      </c>
      <c r="N838" s="338">
        <f t="shared" si="25"/>
        <v>-232.1925</v>
      </c>
      <c r="O838" s="338"/>
    </row>
    <row r="839" spans="1:15" hidden="1" outlineLevel="2" x14ac:dyDescent="0.35">
      <c r="A839" s="425" t="s">
        <v>7883</v>
      </c>
      <c r="B839" s="327">
        <v>44354</v>
      </c>
      <c r="C839" s="426" t="s">
        <v>9004</v>
      </c>
      <c r="D839" s="427" t="s">
        <v>9005</v>
      </c>
      <c r="E839" s="426" t="s">
        <v>9006</v>
      </c>
      <c r="F839" s="338">
        <v>9.68</v>
      </c>
      <c r="G839" s="338" t="s">
        <v>56</v>
      </c>
      <c r="H839" s="338"/>
      <c r="I839" s="329">
        <v>9.68</v>
      </c>
      <c r="J839" s="329"/>
      <c r="K839" s="338">
        <f t="shared" si="25"/>
        <v>2.42</v>
      </c>
      <c r="L839" s="338">
        <f t="shared" si="25"/>
        <v>2.42</v>
      </c>
      <c r="M839" s="338">
        <f t="shared" si="25"/>
        <v>2.42</v>
      </c>
      <c r="N839" s="338">
        <f t="shared" si="25"/>
        <v>2.42</v>
      </c>
      <c r="O839" s="338"/>
    </row>
    <row r="840" spans="1:15" hidden="1" outlineLevel="2" x14ac:dyDescent="0.35">
      <c r="A840" s="425" t="s">
        <v>7883</v>
      </c>
      <c r="B840" s="327">
        <v>44013</v>
      </c>
      <c r="C840" s="426" t="s">
        <v>9007</v>
      </c>
      <c r="D840" s="427" t="s">
        <v>9008</v>
      </c>
      <c r="E840" s="426" t="s">
        <v>9006</v>
      </c>
      <c r="F840" s="338">
        <v>50.2</v>
      </c>
      <c r="G840" s="338" t="s">
        <v>56</v>
      </c>
      <c r="H840" s="338"/>
      <c r="I840" s="329">
        <v>50.2</v>
      </c>
      <c r="J840" s="329"/>
      <c r="K840" s="338">
        <f t="shared" si="25"/>
        <v>12.55</v>
      </c>
      <c r="L840" s="338">
        <f t="shared" si="25"/>
        <v>12.55</v>
      </c>
      <c r="M840" s="338">
        <f t="shared" si="25"/>
        <v>12.55</v>
      </c>
      <c r="N840" s="338">
        <f t="shared" si="25"/>
        <v>12.55</v>
      </c>
      <c r="O840" s="338"/>
    </row>
    <row r="841" spans="1:15" hidden="1" outlineLevel="2" x14ac:dyDescent="0.35">
      <c r="A841" s="425" t="s">
        <v>7883</v>
      </c>
      <c r="B841" s="327">
        <v>43901</v>
      </c>
      <c r="C841" s="426" t="s">
        <v>9009</v>
      </c>
      <c r="D841" s="427" t="s">
        <v>9006</v>
      </c>
      <c r="E841" s="426" t="s">
        <v>9006</v>
      </c>
      <c r="F841" s="338">
        <v>25132.13</v>
      </c>
      <c r="G841" s="338" t="s">
        <v>56</v>
      </c>
      <c r="H841" s="338"/>
      <c r="I841" s="329">
        <v>25132.13</v>
      </c>
      <c r="J841" s="329"/>
      <c r="K841" s="338">
        <f t="shared" si="25"/>
        <v>6283.0325000000003</v>
      </c>
      <c r="L841" s="338">
        <f t="shared" si="25"/>
        <v>6283.0325000000003</v>
      </c>
      <c r="M841" s="338">
        <f t="shared" si="25"/>
        <v>6283.0325000000003</v>
      </c>
      <c r="N841" s="338">
        <f t="shared" si="25"/>
        <v>6283.0325000000003</v>
      </c>
      <c r="O841" s="338"/>
    </row>
    <row r="842" spans="1:15" hidden="1" outlineLevel="2" x14ac:dyDescent="0.35">
      <c r="A842" s="425" t="s">
        <v>7883</v>
      </c>
      <c r="B842" s="327">
        <v>43976</v>
      </c>
      <c r="C842" s="426" t="s">
        <v>9010</v>
      </c>
      <c r="D842" s="427" t="s">
        <v>9011</v>
      </c>
      <c r="E842" s="426" t="s">
        <v>9006</v>
      </c>
      <c r="F842" s="338">
        <v>31492.25</v>
      </c>
      <c r="G842" s="338" t="s">
        <v>56</v>
      </c>
      <c r="H842" s="338"/>
      <c r="I842" s="329">
        <v>31492.25</v>
      </c>
      <c r="J842" s="329"/>
      <c r="K842" s="338">
        <f t="shared" si="25"/>
        <v>7873.0625</v>
      </c>
      <c r="L842" s="338">
        <f t="shared" si="25"/>
        <v>7873.0625</v>
      </c>
      <c r="M842" s="338">
        <f t="shared" si="25"/>
        <v>7873.0625</v>
      </c>
      <c r="N842" s="338">
        <f t="shared" si="25"/>
        <v>7873.0625</v>
      </c>
      <c r="O842" s="338"/>
    </row>
    <row r="843" spans="1:15" hidden="1" outlineLevel="2" x14ac:dyDescent="0.35">
      <c r="A843" s="425" t="s">
        <v>7883</v>
      </c>
      <c r="B843" s="327">
        <v>43811</v>
      </c>
      <c r="C843" s="426" t="s">
        <v>9012</v>
      </c>
      <c r="D843" s="427" t="s">
        <v>9013</v>
      </c>
      <c r="E843" s="426" t="s">
        <v>798</v>
      </c>
      <c r="F843" s="338">
        <v>373.57</v>
      </c>
      <c r="G843" s="338" t="s">
        <v>56</v>
      </c>
      <c r="H843" s="338"/>
      <c r="I843" s="329">
        <v>373.57</v>
      </c>
      <c r="J843" s="329"/>
      <c r="K843" s="338">
        <f t="shared" si="25"/>
        <v>93.392499999999998</v>
      </c>
      <c r="L843" s="338">
        <f t="shared" si="25"/>
        <v>93.392499999999998</v>
      </c>
      <c r="M843" s="338">
        <f t="shared" si="25"/>
        <v>93.392499999999998</v>
      </c>
      <c r="N843" s="338">
        <f t="shared" si="25"/>
        <v>93.392499999999998</v>
      </c>
      <c r="O843" s="338"/>
    </row>
    <row r="844" spans="1:15" hidden="1" outlineLevel="2" x14ac:dyDescent="0.35">
      <c r="A844" s="425" t="s">
        <v>7883</v>
      </c>
      <c r="B844" s="327">
        <v>43846</v>
      </c>
      <c r="C844" s="426" t="s">
        <v>9014</v>
      </c>
      <c r="D844" s="427" t="s">
        <v>9015</v>
      </c>
      <c r="E844" s="426" t="s">
        <v>798</v>
      </c>
      <c r="F844" s="338">
        <v>382.28</v>
      </c>
      <c r="G844" s="338" t="s">
        <v>56</v>
      </c>
      <c r="H844" s="338"/>
      <c r="I844" s="329">
        <v>382.28</v>
      </c>
      <c r="J844" s="329"/>
      <c r="K844" s="338">
        <f t="shared" si="25"/>
        <v>95.57</v>
      </c>
      <c r="L844" s="338">
        <f t="shared" si="25"/>
        <v>95.57</v>
      </c>
      <c r="M844" s="338">
        <f t="shared" si="25"/>
        <v>95.57</v>
      </c>
      <c r="N844" s="338">
        <f t="shared" si="25"/>
        <v>95.57</v>
      </c>
      <c r="O844" s="338"/>
    </row>
    <row r="845" spans="1:15" hidden="1" outlineLevel="2" x14ac:dyDescent="0.35">
      <c r="A845" s="425" t="s">
        <v>7883</v>
      </c>
      <c r="B845" s="327">
        <v>43878</v>
      </c>
      <c r="C845" s="426" t="s">
        <v>9016</v>
      </c>
      <c r="D845" s="427" t="s">
        <v>9015</v>
      </c>
      <c r="E845" s="426" t="s">
        <v>798</v>
      </c>
      <c r="F845" s="338">
        <v>326.58</v>
      </c>
      <c r="G845" s="338" t="s">
        <v>56</v>
      </c>
      <c r="H845" s="338"/>
      <c r="I845" s="329">
        <v>326.58</v>
      </c>
      <c r="J845" s="329"/>
      <c r="K845" s="338">
        <f t="shared" si="25"/>
        <v>81.644999999999996</v>
      </c>
      <c r="L845" s="338">
        <f t="shared" si="25"/>
        <v>81.644999999999996</v>
      </c>
      <c r="M845" s="338">
        <f t="shared" si="25"/>
        <v>81.644999999999996</v>
      </c>
      <c r="N845" s="338">
        <f t="shared" si="25"/>
        <v>81.644999999999996</v>
      </c>
      <c r="O845" s="338"/>
    </row>
    <row r="846" spans="1:15" hidden="1" outlineLevel="2" x14ac:dyDescent="0.35">
      <c r="A846" s="425" t="s">
        <v>7883</v>
      </c>
      <c r="B846" s="327">
        <v>43865</v>
      </c>
      <c r="C846" s="426" t="s">
        <v>9017</v>
      </c>
      <c r="D846" s="427" t="s">
        <v>9018</v>
      </c>
      <c r="E846" s="426" t="s">
        <v>798</v>
      </c>
      <c r="F846" s="338">
        <v>-287.27999999999997</v>
      </c>
      <c r="G846" s="338" t="s">
        <v>56</v>
      </c>
      <c r="H846" s="338"/>
      <c r="I846" s="329">
        <v>-287.27999999999997</v>
      </c>
      <c r="J846" s="329"/>
      <c r="K846" s="338">
        <f t="shared" si="25"/>
        <v>-71.819999999999993</v>
      </c>
      <c r="L846" s="338">
        <f t="shared" si="25"/>
        <v>-71.819999999999993</v>
      </c>
      <c r="M846" s="338">
        <f t="shared" si="25"/>
        <v>-71.819999999999993</v>
      </c>
      <c r="N846" s="338">
        <f t="shared" si="25"/>
        <v>-71.819999999999993</v>
      </c>
      <c r="O846" s="338"/>
    </row>
    <row r="847" spans="1:15" hidden="1" outlineLevel="2" x14ac:dyDescent="0.35">
      <c r="A847" s="425" t="s">
        <v>7883</v>
      </c>
      <c r="B847" s="327">
        <v>43791</v>
      </c>
      <c r="C847" s="426" t="s">
        <v>9019</v>
      </c>
      <c r="D847" s="427" t="s">
        <v>9020</v>
      </c>
      <c r="E847" s="426" t="s">
        <v>798</v>
      </c>
      <c r="F847" s="338">
        <v>330.65</v>
      </c>
      <c r="G847" s="338" t="s">
        <v>56</v>
      </c>
      <c r="H847" s="338"/>
      <c r="I847" s="329">
        <v>330.65</v>
      </c>
      <c r="J847" s="329"/>
      <c r="K847" s="338">
        <f t="shared" si="25"/>
        <v>82.662499999999994</v>
      </c>
      <c r="L847" s="338">
        <f t="shared" si="25"/>
        <v>82.662499999999994</v>
      </c>
      <c r="M847" s="338">
        <f t="shared" si="25"/>
        <v>82.662499999999994</v>
      </c>
      <c r="N847" s="338">
        <f t="shared" si="25"/>
        <v>82.662499999999994</v>
      </c>
      <c r="O847" s="338"/>
    </row>
    <row r="848" spans="1:15" hidden="1" outlineLevel="2" x14ac:dyDescent="0.35">
      <c r="A848" s="425" t="s">
        <v>7883</v>
      </c>
      <c r="B848" s="327">
        <v>43880</v>
      </c>
      <c r="C848" s="426" t="s">
        <v>9021</v>
      </c>
      <c r="D848" s="427" t="s">
        <v>9022</v>
      </c>
      <c r="E848" s="426" t="s">
        <v>5058</v>
      </c>
      <c r="F848" s="338">
        <v>161.76</v>
      </c>
      <c r="G848" s="338" t="s">
        <v>56</v>
      </c>
      <c r="H848" s="338"/>
      <c r="I848" s="329">
        <v>161.76</v>
      </c>
      <c r="J848" s="329"/>
      <c r="K848" s="338">
        <f t="shared" si="25"/>
        <v>40.44</v>
      </c>
      <c r="L848" s="338">
        <f t="shared" si="25"/>
        <v>40.44</v>
      </c>
      <c r="M848" s="338">
        <f t="shared" si="25"/>
        <v>40.44</v>
      </c>
      <c r="N848" s="338">
        <f t="shared" si="25"/>
        <v>40.44</v>
      </c>
      <c r="O848" s="338"/>
    </row>
    <row r="849" spans="1:15" outlineLevel="1" collapsed="1" x14ac:dyDescent="0.35">
      <c r="A849" s="432" t="s">
        <v>9023</v>
      </c>
      <c r="B849" s="327"/>
      <c r="C849" s="426"/>
      <c r="D849" s="427"/>
      <c r="E849" s="426"/>
      <c r="F849" s="338"/>
      <c r="G849" s="338"/>
      <c r="H849" s="338"/>
      <c r="I849" s="329">
        <f t="shared" ref="I849:O849" si="26">SUBTOTAL(9,I838:I848)</f>
        <v>57043.05000000001</v>
      </c>
      <c r="J849" s="329"/>
      <c r="K849" s="338">
        <f t="shared" si="26"/>
        <v>14260.762500000003</v>
      </c>
      <c r="L849" s="338">
        <f t="shared" si="26"/>
        <v>14260.762500000003</v>
      </c>
      <c r="M849" s="338">
        <f t="shared" si="26"/>
        <v>14260.762500000003</v>
      </c>
      <c r="N849" s="338">
        <f t="shared" si="26"/>
        <v>14260.762500000003</v>
      </c>
      <c r="O849" s="338">
        <f t="shared" si="26"/>
        <v>0</v>
      </c>
    </row>
    <row r="850" spans="1:15" hidden="1" outlineLevel="2" x14ac:dyDescent="0.35">
      <c r="A850" s="425" t="s">
        <v>220</v>
      </c>
      <c r="B850" s="327">
        <v>44286</v>
      </c>
      <c r="C850" s="426" t="s">
        <v>1101</v>
      </c>
      <c r="D850" s="427" t="s">
        <v>9024</v>
      </c>
      <c r="E850" s="426" t="s">
        <v>1545</v>
      </c>
      <c r="F850" s="338">
        <v>348.29</v>
      </c>
      <c r="G850" s="338" t="s">
        <v>56</v>
      </c>
      <c r="H850" s="338"/>
      <c r="I850" s="329">
        <v>348.29</v>
      </c>
      <c r="J850" s="329"/>
      <c r="K850" s="338">
        <f t="shared" ref="K850:N860" si="27">$I850/4</f>
        <v>87.072500000000005</v>
      </c>
      <c r="L850" s="338">
        <f t="shared" si="27"/>
        <v>87.072500000000005</v>
      </c>
      <c r="M850" s="338">
        <f t="shared" si="27"/>
        <v>87.072500000000005</v>
      </c>
      <c r="N850" s="338">
        <f t="shared" si="27"/>
        <v>87.072500000000005</v>
      </c>
      <c r="O850" s="338"/>
    </row>
    <row r="851" spans="1:15" hidden="1" outlineLevel="2" x14ac:dyDescent="0.35">
      <c r="A851" s="425" t="s">
        <v>220</v>
      </c>
      <c r="B851" s="327">
        <v>43921</v>
      </c>
      <c r="C851" s="426" t="s">
        <v>1092</v>
      </c>
      <c r="D851" s="427" t="s">
        <v>1547</v>
      </c>
      <c r="E851" s="426" t="s">
        <v>1545</v>
      </c>
      <c r="F851" s="338">
        <v>439.95</v>
      </c>
      <c r="G851" s="338" t="s">
        <v>56</v>
      </c>
      <c r="H851" s="338"/>
      <c r="I851" s="329">
        <v>439.95</v>
      </c>
      <c r="J851" s="329"/>
      <c r="K851" s="338">
        <f t="shared" si="27"/>
        <v>109.9875</v>
      </c>
      <c r="L851" s="338">
        <f t="shared" si="27"/>
        <v>109.9875</v>
      </c>
      <c r="M851" s="338">
        <f t="shared" si="27"/>
        <v>109.9875</v>
      </c>
      <c r="N851" s="338">
        <f t="shared" si="27"/>
        <v>109.9875</v>
      </c>
      <c r="O851" s="338"/>
    </row>
    <row r="852" spans="1:15" hidden="1" outlineLevel="2" x14ac:dyDescent="0.35">
      <c r="A852" s="425" t="s">
        <v>220</v>
      </c>
      <c r="B852" s="327">
        <v>44012</v>
      </c>
      <c r="C852" s="426" t="s">
        <v>1094</v>
      </c>
      <c r="D852" s="427" t="s">
        <v>1548</v>
      </c>
      <c r="E852" s="426" t="s">
        <v>1545</v>
      </c>
      <c r="F852" s="338">
        <v>439.95</v>
      </c>
      <c r="G852" s="338" t="s">
        <v>56</v>
      </c>
      <c r="H852" s="338"/>
      <c r="I852" s="329">
        <v>439.95</v>
      </c>
      <c r="J852" s="329"/>
      <c r="K852" s="338">
        <f t="shared" si="27"/>
        <v>109.9875</v>
      </c>
      <c r="L852" s="338">
        <f t="shared" si="27"/>
        <v>109.9875</v>
      </c>
      <c r="M852" s="338">
        <f t="shared" si="27"/>
        <v>109.9875</v>
      </c>
      <c r="N852" s="338">
        <f t="shared" si="27"/>
        <v>109.9875</v>
      </c>
      <c r="O852" s="338"/>
    </row>
    <row r="853" spans="1:15" hidden="1" outlineLevel="2" x14ac:dyDescent="0.35">
      <c r="A853" s="425" t="s">
        <v>220</v>
      </c>
      <c r="B853" s="327">
        <v>43738</v>
      </c>
      <c r="C853" s="426" t="s">
        <v>1087</v>
      </c>
      <c r="D853" s="427" t="s">
        <v>1544</v>
      </c>
      <c r="E853" s="426" t="s">
        <v>1545</v>
      </c>
      <c r="F853" s="338">
        <v>366.63</v>
      </c>
      <c r="G853" s="338" t="s">
        <v>56</v>
      </c>
      <c r="H853" s="338"/>
      <c r="I853" s="329">
        <v>366.63</v>
      </c>
      <c r="J853" s="329"/>
      <c r="K853" s="338">
        <f t="shared" si="27"/>
        <v>91.657499999999999</v>
      </c>
      <c r="L853" s="338">
        <f t="shared" si="27"/>
        <v>91.657499999999999</v>
      </c>
      <c r="M853" s="338">
        <f t="shared" si="27"/>
        <v>91.657499999999999</v>
      </c>
      <c r="N853" s="338">
        <f t="shared" si="27"/>
        <v>91.657499999999999</v>
      </c>
      <c r="O853" s="338"/>
    </row>
    <row r="854" spans="1:15" hidden="1" outlineLevel="2" x14ac:dyDescent="0.35">
      <c r="A854" s="425" t="s">
        <v>220</v>
      </c>
      <c r="B854" s="327">
        <v>44104</v>
      </c>
      <c r="C854" s="426" t="s">
        <v>1096</v>
      </c>
      <c r="D854" s="427" t="s">
        <v>1606</v>
      </c>
      <c r="E854" s="426" t="s">
        <v>1602</v>
      </c>
      <c r="F854" s="338">
        <v>799.1</v>
      </c>
      <c r="G854" s="338" t="s">
        <v>56</v>
      </c>
      <c r="H854" s="338"/>
      <c r="I854" s="329">
        <v>799.1</v>
      </c>
      <c r="J854" s="329"/>
      <c r="K854" s="338">
        <f t="shared" si="27"/>
        <v>199.77500000000001</v>
      </c>
      <c r="L854" s="338">
        <f t="shared" si="27"/>
        <v>199.77500000000001</v>
      </c>
      <c r="M854" s="338">
        <f t="shared" si="27"/>
        <v>199.77500000000001</v>
      </c>
      <c r="N854" s="338">
        <f t="shared" si="27"/>
        <v>199.77500000000001</v>
      </c>
      <c r="O854" s="338"/>
    </row>
    <row r="855" spans="1:15" hidden="1" outlineLevel="2" x14ac:dyDescent="0.35">
      <c r="A855" s="425" t="s">
        <v>220</v>
      </c>
      <c r="B855" s="327">
        <v>43830</v>
      </c>
      <c r="C855" s="426" t="s">
        <v>1090</v>
      </c>
      <c r="D855" s="427" t="s">
        <v>1546</v>
      </c>
      <c r="E855" s="426" t="s">
        <v>1545</v>
      </c>
      <c r="F855" s="338">
        <v>366.63</v>
      </c>
      <c r="G855" s="338" t="s">
        <v>56</v>
      </c>
      <c r="H855" s="338"/>
      <c r="I855" s="329">
        <v>366.63</v>
      </c>
      <c r="J855" s="329"/>
      <c r="K855" s="338">
        <f t="shared" si="27"/>
        <v>91.657499999999999</v>
      </c>
      <c r="L855" s="338">
        <f t="shared" si="27"/>
        <v>91.657499999999999</v>
      </c>
      <c r="M855" s="338">
        <f t="shared" si="27"/>
        <v>91.657499999999999</v>
      </c>
      <c r="N855" s="338">
        <f t="shared" si="27"/>
        <v>91.657499999999999</v>
      </c>
      <c r="O855" s="338"/>
    </row>
    <row r="856" spans="1:15" hidden="1" outlineLevel="2" x14ac:dyDescent="0.35">
      <c r="A856" s="425" t="s">
        <v>220</v>
      </c>
      <c r="B856" s="327">
        <v>44469</v>
      </c>
      <c r="C856" s="426" t="s">
        <v>9025</v>
      </c>
      <c r="D856" s="427" t="s">
        <v>9026</v>
      </c>
      <c r="E856" s="426" t="s">
        <v>1120</v>
      </c>
      <c r="F856" s="338">
        <v>348.29</v>
      </c>
      <c r="G856" s="338" t="s">
        <v>56</v>
      </c>
      <c r="H856" s="338"/>
      <c r="I856" s="329">
        <v>348.29</v>
      </c>
      <c r="J856" s="329"/>
      <c r="K856" s="338">
        <f t="shared" si="27"/>
        <v>87.072500000000005</v>
      </c>
      <c r="L856" s="338">
        <f t="shared" si="27"/>
        <v>87.072500000000005</v>
      </c>
      <c r="M856" s="338">
        <f t="shared" si="27"/>
        <v>87.072500000000005</v>
      </c>
      <c r="N856" s="338">
        <f t="shared" si="27"/>
        <v>87.072500000000005</v>
      </c>
      <c r="O856" s="338"/>
    </row>
    <row r="857" spans="1:15" hidden="1" outlineLevel="2" x14ac:dyDescent="0.35">
      <c r="A857" s="425" t="s">
        <v>220</v>
      </c>
      <c r="B857" s="327">
        <v>44561</v>
      </c>
      <c r="C857" s="426" t="s">
        <v>9027</v>
      </c>
      <c r="D857" s="427" t="s">
        <v>9028</v>
      </c>
      <c r="E857" s="426" t="s">
        <v>1116</v>
      </c>
      <c r="F857" s="338">
        <v>174.14</v>
      </c>
      <c r="G857" s="338" t="s">
        <v>56</v>
      </c>
      <c r="H857" s="338"/>
      <c r="I857" s="329">
        <v>174.14</v>
      </c>
      <c r="J857" s="329"/>
      <c r="K857" s="338">
        <f t="shared" si="27"/>
        <v>43.534999999999997</v>
      </c>
      <c r="L857" s="338">
        <f t="shared" si="27"/>
        <v>43.534999999999997</v>
      </c>
      <c r="M857" s="338">
        <f t="shared" si="27"/>
        <v>43.534999999999997</v>
      </c>
      <c r="N857" s="338">
        <f t="shared" si="27"/>
        <v>43.534999999999997</v>
      </c>
      <c r="O857" s="338"/>
    </row>
    <row r="858" spans="1:15" hidden="1" outlineLevel="2" x14ac:dyDescent="0.35">
      <c r="A858" s="425" t="s">
        <v>220</v>
      </c>
      <c r="B858" s="327">
        <v>44561</v>
      </c>
      <c r="C858" s="426" t="s">
        <v>9029</v>
      </c>
      <c r="D858" s="427" t="s">
        <v>9030</v>
      </c>
      <c r="E858" s="426" t="s">
        <v>1116</v>
      </c>
      <c r="F858" s="338">
        <v>174.15</v>
      </c>
      <c r="G858" s="338" t="s">
        <v>56</v>
      </c>
      <c r="H858" s="338"/>
      <c r="I858" s="329">
        <v>174.15</v>
      </c>
      <c r="J858" s="329"/>
      <c r="K858" s="338">
        <f t="shared" si="27"/>
        <v>43.537500000000001</v>
      </c>
      <c r="L858" s="338">
        <f t="shared" si="27"/>
        <v>43.537500000000001</v>
      </c>
      <c r="M858" s="338">
        <f t="shared" si="27"/>
        <v>43.537500000000001</v>
      </c>
      <c r="N858" s="338">
        <f t="shared" si="27"/>
        <v>43.537500000000001</v>
      </c>
      <c r="O858" s="338"/>
    </row>
    <row r="859" spans="1:15" hidden="1" outlineLevel="2" x14ac:dyDescent="0.35">
      <c r="A859" s="425" t="s">
        <v>220</v>
      </c>
      <c r="B859" s="327">
        <v>44377</v>
      </c>
      <c r="C859" s="426" t="s">
        <v>1103</v>
      </c>
      <c r="D859" s="427" t="s">
        <v>9031</v>
      </c>
      <c r="E859" s="426" t="s">
        <v>1545</v>
      </c>
      <c r="F859" s="338">
        <v>348.29</v>
      </c>
      <c r="G859" s="338" t="s">
        <v>56</v>
      </c>
      <c r="H859" s="338"/>
      <c r="I859" s="329">
        <v>348.29</v>
      </c>
      <c r="J859" s="329"/>
      <c r="K859" s="338">
        <f t="shared" si="27"/>
        <v>87.072500000000005</v>
      </c>
      <c r="L859" s="338">
        <f t="shared" si="27"/>
        <v>87.072500000000005</v>
      </c>
      <c r="M859" s="338">
        <f t="shared" si="27"/>
        <v>87.072500000000005</v>
      </c>
      <c r="N859" s="338">
        <f t="shared" si="27"/>
        <v>87.072500000000005</v>
      </c>
      <c r="O859" s="338"/>
    </row>
    <row r="860" spans="1:15" hidden="1" outlineLevel="2" x14ac:dyDescent="0.35">
      <c r="A860" s="425" t="s">
        <v>220</v>
      </c>
      <c r="B860" s="327">
        <v>44196</v>
      </c>
      <c r="C860" s="426" t="s">
        <v>1099</v>
      </c>
      <c r="D860" s="427" t="s">
        <v>1550</v>
      </c>
      <c r="E860" s="426" t="s">
        <v>1545</v>
      </c>
      <c r="F860" s="338">
        <v>256.64</v>
      </c>
      <c r="G860" s="338" t="s">
        <v>56</v>
      </c>
      <c r="H860" s="338"/>
      <c r="I860" s="329">
        <v>256.64</v>
      </c>
      <c r="J860" s="329"/>
      <c r="K860" s="338">
        <f t="shared" si="27"/>
        <v>64.16</v>
      </c>
      <c r="L860" s="338">
        <f t="shared" si="27"/>
        <v>64.16</v>
      </c>
      <c r="M860" s="338">
        <f t="shared" si="27"/>
        <v>64.16</v>
      </c>
      <c r="N860" s="338">
        <f t="shared" si="27"/>
        <v>64.16</v>
      </c>
      <c r="O860" s="338"/>
    </row>
    <row r="861" spans="1:15" outlineLevel="1" collapsed="1" x14ac:dyDescent="0.35">
      <c r="A861" s="432" t="s">
        <v>1559</v>
      </c>
      <c r="B861" s="327"/>
      <c r="C861" s="426"/>
      <c r="D861" s="427"/>
      <c r="E861" s="426"/>
      <c r="F861" s="338"/>
      <c r="G861" s="338"/>
      <c r="H861" s="338"/>
      <c r="I861" s="329">
        <f t="shared" ref="I861:O861" si="28">SUBTOTAL(9,I850:I860)</f>
        <v>4062.06</v>
      </c>
      <c r="J861" s="329"/>
      <c r="K861" s="338">
        <f t="shared" si="28"/>
        <v>1015.515</v>
      </c>
      <c r="L861" s="338">
        <f t="shared" si="28"/>
        <v>1015.515</v>
      </c>
      <c r="M861" s="338">
        <f t="shared" si="28"/>
        <v>1015.515</v>
      </c>
      <c r="N861" s="338">
        <f t="shared" si="28"/>
        <v>1015.515</v>
      </c>
      <c r="O861" s="338">
        <f t="shared" si="28"/>
        <v>0</v>
      </c>
    </row>
    <row r="862" spans="1:15" hidden="1" outlineLevel="2" x14ac:dyDescent="0.35">
      <c r="A862" s="425" t="s">
        <v>7973</v>
      </c>
      <c r="B862" s="327" t="s">
        <v>8264</v>
      </c>
      <c r="C862" s="426" t="s">
        <v>9032</v>
      </c>
      <c r="D862" s="427" t="s">
        <v>9033</v>
      </c>
      <c r="E862" s="426" t="s">
        <v>9034</v>
      </c>
      <c r="F862" s="338">
        <v>800000</v>
      </c>
      <c r="G862" s="338" t="s">
        <v>3800</v>
      </c>
      <c r="H862" s="338"/>
      <c r="I862" s="329">
        <v>190.72254588067918</v>
      </c>
      <c r="J862" s="329"/>
      <c r="K862" s="338">
        <v>47.680636470169794</v>
      </c>
      <c r="L862" s="338">
        <v>47.680636470169794</v>
      </c>
      <c r="M862" s="338">
        <v>47.680636470169794</v>
      </c>
      <c r="N862" s="338">
        <v>47.680636470169794</v>
      </c>
      <c r="O862" s="338"/>
    </row>
    <row r="863" spans="1:15" hidden="1" outlineLevel="2" x14ac:dyDescent="0.35">
      <c r="A863" s="425" t="s">
        <v>7973</v>
      </c>
      <c r="B863" s="327">
        <v>44135</v>
      </c>
      <c r="C863" s="426">
        <v>239</v>
      </c>
      <c r="D863" s="427" t="s">
        <v>9035</v>
      </c>
      <c r="E863" s="426" t="s">
        <v>9036</v>
      </c>
      <c r="F863" s="338">
        <v>2147547</v>
      </c>
      <c r="G863" s="338" t="s">
        <v>3800</v>
      </c>
      <c r="H863" s="338"/>
      <c r="I863" s="329">
        <v>503.42406133940472</v>
      </c>
      <c r="J863" s="329"/>
      <c r="K863" s="338">
        <v>125.85601533485118</v>
      </c>
      <c r="L863" s="338">
        <v>125.85601533485118</v>
      </c>
      <c r="M863" s="338">
        <v>125.85601533485118</v>
      </c>
      <c r="N863" s="338">
        <v>125.85601533485118</v>
      </c>
      <c r="O863" s="338"/>
    </row>
    <row r="864" spans="1:15" hidden="1" outlineLevel="2" x14ac:dyDescent="0.35">
      <c r="A864" s="425" t="s">
        <v>7973</v>
      </c>
      <c r="B864" s="327" t="s">
        <v>8002</v>
      </c>
      <c r="C864" s="426" t="s">
        <v>8003</v>
      </c>
      <c r="D864" s="427" t="s">
        <v>9037</v>
      </c>
      <c r="E864" s="426" t="s">
        <v>9036</v>
      </c>
      <c r="F864" s="338">
        <v>2386725</v>
      </c>
      <c r="G864" s="338" t="s">
        <v>3800</v>
      </c>
      <c r="H864" s="338"/>
      <c r="I864" s="329">
        <v>569.00283539632994</v>
      </c>
      <c r="J864" s="329"/>
      <c r="K864" s="338">
        <v>142.25070884908249</v>
      </c>
      <c r="L864" s="338">
        <v>142.25070884908249</v>
      </c>
      <c r="M864" s="338">
        <v>142.25070884908249</v>
      </c>
      <c r="N864" s="338">
        <v>142.25070884908249</v>
      </c>
      <c r="O864" s="338"/>
    </row>
    <row r="865" spans="1:15" hidden="1" outlineLevel="2" x14ac:dyDescent="0.35">
      <c r="A865" s="425" t="s">
        <v>7973</v>
      </c>
      <c r="B865" s="327" t="s">
        <v>7999</v>
      </c>
      <c r="C865" s="426" t="s">
        <v>8000</v>
      </c>
      <c r="D865" s="427" t="s">
        <v>9037</v>
      </c>
      <c r="E865" s="426" t="s">
        <v>9036</v>
      </c>
      <c r="F865" s="338">
        <v>2386725</v>
      </c>
      <c r="G865" s="338" t="s">
        <v>3800</v>
      </c>
      <c r="H865" s="338"/>
      <c r="I865" s="329">
        <v>569.00283539632994</v>
      </c>
      <c r="J865" s="329"/>
      <c r="K865" s="338">
        <v>142.25070884908249</v>
      </c>
      <c r="L865" s="338">
        <v>142.25070884908249</v>
      </c>
      <c r="M865" s="338">
        <v>142.25070884908249</v>
      </c>
      <c r="N865" s="338">
        <v>142.25070884908249</v>
      </c>
      <c r="O865" s="338"/>
    </row>
    <row r="866" spans="1:15" hidden="1" outlineLevel="2" x14ac:dyDescent="0.35">
      <c r="A866" s="425" t="s">
        <v>7973</v>
      </c>
      <c r="B866" s="327">
        <v>44165</v>
      </c>
      <c r="C866" s="426">
        <v>247</v>
      </c>
      <c r="D866" s="427" t="s">
        <v>9038</v>
      </c>
      <c r="E866" s="426" t="s">
        <v>9036</v>
      </c>
      <c r="F866" s="338">
        <v>2147547</v>
      </c>
      <c r="G866" s="338" t="s">
        <v>3800</v>
      </c>
      <c r="H866" s="338"/>
      <c r="I866" s="329">
        <v>503.42406133940472</v>
      </c>
      <c r="J866" s="329"/>
      <c r="K866" s="338">
        <v>125.85601533485118</v>
      </c>
      <c r="L866" s="338">
        <v>125.85601533485118</v>
      </c>
      <c r="M866" s="338">
        <v>125.85601533485118</v>
      </c>
      <c r="N866" s="338">
        <v>125.85601533485118</v>
      </c>
      <c r="O866" s="338"/>
    </row>
    <row r="867" spans="1:15" hidden="1" outlineLevel="2" x14ac:dyDescent="0.35">
      <c r="A867" s="425" t="s">
        <v>7973</v>
      </c>
      <c r="B867" s="327">
        <v>43861</v>
      </c>
      <c r="C867" s="426">
        <v>167</v>
      </c>
      <c r="D867" s="427" t="s">
        <v>9039</v>
      </c>
      <c r="E867" s="426" t="s">
        <v>9036</v>
      </c>
      <c r="F867" s="338">
        <v>2147547</v>
      </c>
      <c r="G867" s="338" t="s">
        <v>3800</v>
      </c>
      <c r="H867" s="338"/>
      <c r="I867" s="329">
        <v>503.42406133940472</v>
      </c>
      <c r="J867" s="329"/>
      <c r="K867" s="338">
        <v>125.85601533485118</v>
      </c>
      <c r="L867" s="338">
        <v>125.85601533485118</v>
      </c>
      <c r="M867" s="338">
        <v>125.85601533485118</v>
      </c>
      <c r="N867" s="338">
        <v>125.85601533485118</v>
      </c>
      <c r="O867" s="338"/>
    </row>
    <row r="868" spans="1:15" hidden="1" outlineLevel="2" x14ac:dyDescent="0.35">
      <c r="A868" s="425" t="s">
        <v>7973</v>
      </c>
      <c r="B868" s="327" t="s">
        <v>8077</v>
      </c>
      <c r="C868" s="426" t="s">
        <v>9040</v>
      </c>
      <c r="D868" s="427" t="s">
        <v>9041</v>
      </c>
      <c r="E868" s="426" t="s">
        <v>9036</v>
      </c>
      <c r="F868" s="338">
        <v>2147547</v>
      </c>
      <c r="G868" s="338" t="s">
        <v>3800</v>
      </c>
      <c r="H868" s="338"/>
      <c r="I868" s="329">
        <v>511.98203904801863</v>
      </c>
      <c r="J868" s="329"/>
      <c r="K868" s="338">
        <v>127.99550976200466</v>
      </c>
      <c r="L868" s="338">
        <v>127.99550976200466</v>
      </c>
      <c r="M868" s="338">
        <v>127.99550976200466</v>
      </c>
      <c r="N868" s="338">
        <v>127.99550976200466</v>
      </c>
      <c r="O868" s="338"/>
    </row>
    <row r="869" spans="1:15" hidden="1" outlineLevel="2" x14ac:dyDescent="0.35">
      <c r="A869" s="425" t="s">
        <v>7973</v>
      </c>
      <c r="B869" s="327" t="s">
        <v>8077</v>
      </c>
      <c r="C869" s="426" t="s">
        <v>9040</v>
      </c>
      <c r="D869" s="427" t="s">
        <v>9042</v>
      </c>
      <c r="E869" s="426" t="s">
        <v>9036</v>
      </c>
      <c r="F869" s="338">
        <v>239178</v>
      </c>
      <c r="G869" s="338" t="s">
        <v>3800</v>
      </c>
      <c r="H869" s="338"/>
      <c r="I869" s="329">
        <v>57.02079634831135</v>
      </c>
      <c r="J869" s="329"/>
      <c r="K869" s="338">
        <v>14.255199087077838</v>
      </c>
      <c r="L869" s="338">
        <v>14.255199087077838</v>
      </c>
      <c r="M869" s="338">
        <v>14.255199087077838</v>
      </c>
      <c r="N869" s="338">
        <v>14.255199087077838</v>
      </c>
      <c r="O869" s="338"/>
    </row>
    <row r="870" spans="1:15" hidden="1" outlineLevel="2" x14ac:dyDescent="0.35">
      <c r="A870" s="425" t="s">
        <v>7973</v>
      </c>
      <c r="B870" s="327" t="s">
        <v>8079</v>
      </c>
      <c r="C870" s="426" t="s">
        <v>8327</v>
      </c>
      <c r="D870" s="427" t="s">
        <v>9043</v>
      </c>
      <c r="E870" s="426" t="s">
        <v>9036</v>
      </c>
      <c r="F870" s="338">
        <v>2386725</v>
      </c>
      <c r="G870" s="338" t="s">
        <v>3800</v>
      </c>
      <c r="H870" s="338"/>
      <c r="I870" s="329">
        <v>569.00283539632994</v>
      </c>
      <c r="J870" s="329"/>
      <c r="K870" s="338">
        <v>142.25070884908249</v>
      </c>
      <c r="L870" s="338">
        <v>142.25070884908249</v>
      </c>
      <c r="M870" s="338">
        <v>142.25070884908249</v>
      </c>
      <c r="N870" s="338">
        <v>142.25070884908249</v>
      </c>
      <c r="O870" s="338"/>
    </row>
    <row r="871" spans="1:15" hidden="1" outlineLevel="2" x14ac:dyDescent="0.35">
      <c r="A871" s="425" t="s">
        <v>7973</v>
      </c>
      <c r="B871" s="327">
        <v>43830</v>
      </c>
      <c r="C871" s="426">
        <v>161</v>
      </c>
      <c r="D871" s="427" t="s">
        <v>9044</v>
      </c>
      <c r="E871" s="426" t="s">
        <v>9036</v>
      </c>
      <c r="F871" s="338">
        <v>2147547</v>
      </c>
      <c r="G871" s="338" t="s">
        <v>3800</v>
      </c>
      <c r="H871" s="338"/>
      <c r="I871" s="329">
        <v>503.42406133940472</v>
      </c>
      <c r="J871" s="329"/>
      <c r="K871" s="338">
        <v>125.85601533485118</v>
      </c>
      <c r="L871" s="338">
        <v>125.85601533485118</v>
      </c>
      <c r="M871" s="338">
        <v>125.85601533485118</v>
      </c>
      <c r="N871" s="338">
        <v>125.85601533485118</v>
      </c>
      <c r="O871" s="338"/>
    </row>
    <row r="872" spans="1:15" hidden="1" outlineLevel="2" x14ac:dyDescent="0.35">
      <c r="A872" s="425" t="s">
        <v>7973</v>
      </c>
      <c r="B872" s="327">
        <v>44196</v>
      </c>
      <c r="C872" s="426">
        <v>255</v>
      </c>
      <c r="D872" s="427" t="s">
        <v>9045</v>
      </c>
      <c r="E872" s="426" t="s">
        <v>9036</v>
      </c>
      <c r="F872" s="338">
        <v>2147547</v>
      </c>
      <c r="G872" s="338" t="s">
        <v>3800</v>
      </c>
      <c r="H872" s="338"/>
      <c r="I872" s="329">
        <v>503.42406133940472</v>
      </c>
      <c r="J872" s="329"/>
      <c r="K872" s="338">
        <v>125.85601533485118</v>
      </c>
      <c r="L872" s="338">
        <v>125.85601533485118</v>
      </c>
      <c r="M872" s="338">
        <v>125.85601533485118</v>
      </c>
      <c r="N872" s="338">
        <v>125.85601533485118</v>
      </c>
      <c r="O872" s="338"/>
    </row>
    <row r="873" spans="1:15" hidden="1" outlineLevel="2" x14ac:dyDescent="0.35">
      <c r="A873" s="425" t="s">
        <v>7973</v>
      </c>
      <c r="B873" s="327" t="s">
        <v>7987</v>
      </c>
      <c r="C873" s="426" t="s">
        <v>7988</v>
      </c>
      <c r="D873" s="427" t="s">
        <v>9046</v>
      </c>
      <c r="E873" s="426" t="s">
        <v>9036</v>
      </c>
      <c r="F873" s="338">
        <v>2386725</v>
      </c>
      <c r="G873" s="338" t="s">
        <v>3800</v>
      </c>
      <c r="H873" s="338"/>
      <c r="I873" s="329">
        <v>569.00283539632994</v>
      </c>
      <c r="J873" s="329"/>
      <c r="K873" s="338">
        <v>142.25070884908249</v>
      </c>
      <c r="L873" s="338">
        <v>142.25070884908249</v>
      </c>
      <c r="M873" s="338">
        <v>142.25070884908249</v>
      </c>
      <c r="N873" s="338">
        <v>142.25070884908249</v>
      </c>
      <c r="O873" s="338"/>
    </row>
    <row r="874" spans="1:15" hidden="1" outlineLevel="2" x14ac:dyDescent="0.35">
      <c r="A874" s="425" t="s">
        <v>7973</v>
      </c>
      <c r="B874" s="327">
        <v>43890</v>
      </c>
      <c r="C874" s="426">
        <v>174</v>
      </c>
      <c r="D874" s="427" t="s">
        <v>9047</v>
      </c>
      <c r="E874" s="426" t="s">
        <v>9036</v>
      </c>
      <c r="F874" s="338">
        <v>2147547</v>
      </c>
      <c r="G874" s="338" t="s">
        <v>3800</v>
      </c>
      <c r="H874" s="338"/>
      <c r="I874" s="329">
        <v>503.42406133940472</v>
      </c>
      <c r="J874" s="329"/>
      <c r="K874" s="338">
        <v>125.85601533485118</v>
      </c>
      <c r="L874" s="338">
        <v>125.85601533485118</v>
      </c>
      <c r="M874" s="338">
        <v>125.85601533485118</v>
      </c>
      <c r="N874" s="338">
        <v>125.85601533485118</v>
      </c>
      <c r="O874" s="338"/>
    </row>
    <row r="875" spans="1:15" hidden="1" outlineLevel="2" x14ac:dyDescent="0.35">
      <c r="A875" s="425" t="s">
        <v>7973</v>
      </c>
      <c r="B875" s="327" t="s">
        <v>8075</v>
      </c>
      <c r="C875" s="426" t="s">
        <v>9048</v>
      </c>
      <c r="D875" s="427" t="s">
        <v>9049</v>
      </c>
      <c r="E875" s="426" t="s">
        <v>9036</v>
      </c>
      <c r="F875" s="338">
        <v>2386725</v>
      </c>
      <c r="G875" s="338" t="s">
        <v>3800</v>
      </c>
      <c r="H875" s="338"/>
      <c r="I875" s="329">
        <v>569.00283539632994</v>
      </c>
      <c r="J875" s="329"/>
      <c r="K875" s="338">
        <v>142.25070884908249</v>
      </c>
      <c r="L875" s="338">
        <v>142.25070884908249</v>
      </c>
      <c r="M875" s="338">
        <v>142.25070884908249</v>
      </c>
      <c r="N875" s="338">
        <v>142.25070884908249</v>
      </c>
      <c r="O875" s="338"/>
    </row>
    <row r="876" spans="1:15" hidden="1" outlineLevel="2" x14ac:dyDescent="0.35">
      <c r="A876" s="425" t="s">
        <v>7973</v>
      </c>
      <c r="B876" s="327">
        <v>43921</v>
      </c>
      <c r="C876" s="426">
        <v>181</v>
      </c>
      <c r="D876" s="427" t="s">
        <v>9050</v>
      </c>
      <c r="E876" s="426" t="s">
        <v>9036</v>
      </c>
      <c r="F876" s="338">
        <v>2147547</v>
      </c>
      <c r="G876" s="338" t="s">
        <v>3800</v>
      </c>
      <c r="H876" s="338"/>
      <c r="I876" s="329">
        <v>503.42406133940472</v>
      </c>
      <c r="J876" s="329"/>
      <c r="K876" s="338">
        <v>125.85601533485118</v>
      </c>
      <c r="L876" s="338">
        <v>125.85601533485118</v>
      </c>
      <c r="M876" s="338">
        <v>125.85601533485118</v>
      </c>
      <c r="N876" s="338">
        <v>125.85601533485118</v>
      </c>
      <c r="O876" s="338"/>
    </row>
    <row r="877" spans="1:15" hidden="1" outlineLevel="2" x14ac:dyDescent="0.35">
      <c r="A877" s="425" t="s">
        <v>7973</v>
      </c>
      <c r="B877" s="327" t="s">
        <v>8089</v>
      </c>
      <c r="C877" s="426" t="s">
        <v>9051</v>
      </c>
      <c r="D877" s="427" t="s">
        <v>9052</v>
      </c>
      <c r="E877" s="426" t="s">
        <v>9036</v>
      </c>
      <c r="F877" s="338">
        <v>2386725</v>
      </c>
      <c r="G877" s="338" t="s">
        <v>3800</v>
      </c>
      <c r="H877" s="338"/>
      <c r="I877" s="329">
        <v>569.00283539632994</v>
      </c>
      <c r="J877" s="329"/>
      <c r="K877" s="338">
        <v>142.25070884908249</v>
      </c>
      <c r="L877" s="338">
        <v>142.25070884908249</v>
      </c>
      <c r="M877" s="338">
        <v>142.25070884908249</v>
      </c>
      <c r="N877" s="338">
        <v>142.25070884908249</v>
      </c>
      <c r="O877" s="338"/>
    </row>
    <row r="878" spans="1:15" hidden="1" outlineLevel="2" x14ac:dyDescent="0.35">
      <c r="A878" s="425" t="s">
        <v>7973</v>
      </c>
      <c r="B878" s="327" t="s">
        <v>7980</v>
      </c>
      <c r="C878" s="426" t="s">
        <v>9053</v>
      </c>
      <c r="D878" s="427" t="s">
        <v>9052</v>
      </c>
      <c r="E878" s="426" t="s">
        <v>9036</v>
      </c>
      <c r="F878" s="338">
        <v>2386725</v>
      </c>
      <c r="G878" s="338" t="s">
        <v>3800</v>
      </c>
      <c r="H878" s="338"/>
      <c r="I878" s="329">
        <v>569.00283539632994</v>
      </c>
      <c r="J878" s="329"/>
      <c r="K878" s="338">
        <v>142.25070884908249</v>
      </c>
      <c r="L878" s="338">
        <v>142.25070884908249</v>
      </c>
      <c r="M878" s="338">
        <v>142.25070884908249</v>
      </c>
      <c r="N878" s="338">
        <v>142.25070884908249</v>
      </c>
      <c r="O878" s="338"/>
    </row>
    <row r="879" spans="1:15" hidden="1" outlineLevel="2" x14ac:dyDescent="0.35">
      <c r="A879" s="425" t="s">
        <v>7973</v>
      </c>
      <c r="B879" s="327">
        <v>43951</v>
      </c>
      <c r="C879" s="426">
        <v>190</v>
      </c>
      <c r="D879" s="427" t="s">
        <v>9054</v>
      </c>
      <c r="E879" s="426" t="s">
        <v>9036</v>
      </c>
      <c r="F879" s="338">
        <v>2147547</v>
      </c>
      <c r="G879" s="338" t="s">
        <v>3800</v>
      </c>
      <c r="H879" s="338"/>
      <c r="I879" s="329">
        <v>503.42406133940472</v>
      </c>
      <c r="J879" s="329"/>
      <c r="K879" s="338">
        <v>125.85601533485118</v>
      </c>
      <c r="L879" s="338">
        <v>125.85601533485118</v>
      </c>
      <c r="M879" s="338">
        <v>125.85601533485118</v>
      </c>
      <c r="N879" s="338">
        <v>125.85601533485118</v>
      </c>
      <c r="O879" s="338"/>
    </row>
    <row r="880" spans="1:15" hidden="1" outlineLevel="2" x14ac:dyDescent="0.35">
      <c r="A880" s="425" t="s">
        <v>7973</v>
      </c>
      <c r="B880" s="327">
        <v>43982</v>
      </c>
      <c r="C880" s="426">
        <v>196</v>
      </c>
      <c r="D880" s="427" t="s">
        <v>9055</v>
      </c>
      <c r="E880" s="426" t="s">
        <v>9036</v>
      </c>
      <c r="F880" s="338">
        <v>2147547</v>
      </c>
      <c r="G880" s="338" t="s">
        <v>3800</v>
      </c>
      <c r="H880" s="338"/>
      <c r="I880" s="329">
        <v>503.42406133940472</v>
      </c>
      <c r="J880" s="329"/>
      <c r="K880" s="338">
        <v>125.85601533485118</v>
      </c>
      <c r="L880" s="338">
        <v>125.85601533485118</v>
      </c>
      <c r="M880" s="338">
        <v>125.85601533485118</v>
      </c>
      <c r="N880" s="338">
        <v>125.85601533485118</v>
      </c>
      <c r="O880" s="338"/>
    </row>
    <row r="881" spans="1:15" hidden="1" outlineLevel="2" x14ac:dyDescent="0.35">
      <c r="A881" s="425" t="s">
        <v>7973</v>
      </c>
      <c r="B881" s="327" t="s">
        <v>7996</v>
      </c>
      <c r="C881" s="426" t="s">
        <v>7997</v>
      </c>
      <c r="D881" s="427" t="s">
        <v>9056</v>
      </c>
      <c r="E881" s="426" t="s">
        <v>9036</v>
      </c>
      <c r="F881" s="338">
        <v>2386725</v>
      </c>
      <c r="G881" s="338" t="s">
        <v>3800</v>
      </c>
      <c r="H881" s="338"/>
      <c r="I881" s="329">
        <v>569.00283539632994</v>
      </c>
      <c r="J881" s="329"/>
      <c r="K881" s="338">
        <v>142.25070884908249</v>
      </c>
      <c r="L881" s="338">
        <v>142.25070884908249</v>
      </c>
      <c r="M881" s="338">
        <v>142.25070884908249</v>
      </c>
      <c r="N881" s="338">
        <v>142.25070884908249</v>
      </c>
      <c r="O881" s="338"/>
    </row>
    <row r="882" spans="1:15" hidden="1" outlineLevel="2" x14ac:dyDescent="0.35">
      <c r="A882" s="425" t="s">
        <v>7973</v>
      </c>
      <c r="B882" s="327">
        <v>44012</v>
      </c>
      <c r="C882" s="426">
        <v>203</v>
      </c>
      <c r="D882" s="427" t="s">
        <v>9057</v>
      </c>
      <c r="E882" s="426" t="s">
        <v>9036</v>
      </c>
      <c r="F882" s="338">
        <v>2147547</v>
      </c>
      <c r="G882" s="338" t="s">
        <v>3800</v>
      </c>
      <c r="H882" s="338"/>
      <c r="I882" s="329">
        <v>503.42406133940472</v>
      </c>
      <c r="J882" s="329"/>
      <c r="K882" s="338">
        <v>125.85601533485118</v>
      </c>
      <c r="L882" s="338">
        <v>125.85601533485118</v>
      </c>
      <c r="M882" s="338">
        <v>125.85601533485118</v>
      </c>
      <c r="N882" s="338">
        <v>125.85601533485118</v>
      </c>
      <c r="O882" s="338"/>
    </row>
    <row r="883" spans="1:15" hidden="1" outlineLevel="2" x14ac:dyDescent="0.35">
      <c r="A883" s="425" t="s">
        <v>7973</v>
      </c>
      <c r="B883" s="327" t="s">
        <v>7993</v>
      </c>
      <c r="C883" s="426" t="s">
        <v>7994</v>
      </c>
      <c r="D883" s="427" t="s">
        <v>9058</v>
      </c>
      <c r="E883" s="426" t="s">
        <v>9036</v>
      </c>
      <c r="F883" s="338">
        <v>2386725</v>
      </c>
      <c r="G883" s="338" t="s">
        <v>3800</v>
      </c>
      <c r="H883" s="338"/>
      <c r="I883" s="329">
        <v>569.00283539632994</v>
      </c>
      <c r="J883" s="329"/>
      <c r="K883" s="338">
        <v>142.25070884908249</v>
      </c>
      <c r="L883" s="338">
        <v>142.25070884908249</v>
      </c>
      <c r="M883" s="338">
        <v>142.25070884908249</v>
      </c>
      <c r="N883" s="338">
        <v>142.25070884908249</v>
      </c>
      <c r="O883" s="338"/>
    </row>
    <row r="884" spans="1:15" hidden="1" outlineLevel="2" x14ac:dyDescent="0.35">
      <c r="A884" s="425" t="s">
        <v>7973</v>
      </c>
      <c r="B884" s="327">
        <v>44043</v>
      </c>
      <c r="C884" s="426">
        <v>209</v>
      </c>
      <c r="D884" s="427" t="s">
        <v>9059</v>
      </c>
      <c r="E884" s="426" t="s">
        <v>9036</v>
      </c>
      <c r="F884" s="338">
        <v>2147547</v>
      </c>
      <c r="G884" s="338" t="s">
        <v>3800</v>
      </c>
      <c r="H884" s="338"/>
      <c r="I884" s="329">
        <v>503.42406133940472</v>
      </c>
      <c r="J884" s="329"/>
      <c r="K884" s="338">
        <v>125.85601533485118</v>
      </c>
      <c r="L884" s="338">
        <v>125.85601533485118</v>
      </c>
      <c r="M884" s="338">
        <v>125.85601533485118</v>
      </c>
      <c r="N884" s="338">
        <v>125.85601533485118</v>
      </c>
      <c r="O884" s="338"/>
    </row>
    <row r="885" spans="1:15" hidden="1" outlineLevel="2" x14ac:dyDescent="0.35">
      <c r="A885" s="425" t="s">
        <v>7973</v>
      </c>
      <c r="B885" s="327" t="s">
        <v>7990</v>
      </c>
      <c r="C885" s="426" t="s">
        <v>7991</v>
      </c>
      <c r="D885" s="427" t="s">
        <v>9060</v>
      </c>
      <c r="E885" s="426" t="s">
        <v>9036</v>
      </c>
      <c r="F885" s="338">
        <v>2386725</v>
      </c>
      <c r="G885" s="338" t="s">
        <v>3800</v>
      </c>
      <c r="H885" s="338"/>
      <c r="I885" s="329">
        <v>569.00283539632994</v>
      </c>
      <c r="J885" s="329"/>
      <c r="K885" s="338">
        <v>142.25070884908249</v>
      </c>
      <c r="L885" s="338">
        <v>142.25070884908249</v>
      </c>
      <c r="M885" s="338">
        <v>142.25070884908249</v>
      </c>
      <c r="N885" s="338">
        <v>142.25070884908249</v>
      </c>
      <c r="O885" s="338"/>
    </row>
    <row r="886" spans="1:15" hidden="1" outlineLevel="2" x14ac:dyDescent="0.35">
      <c r="A886" s="425" t="s">
        <v>7973</v>
      </c>
      <c r="B886" s="327">
        <v>44074</v>
      </c>
      <c r="C886" s="426">
        <v>223</v>
      </c>
      <c r="D886" s="427" t="s">
        <v>9061</v>
      </c>
      <c r="E886" s="426" t="s">
        <v>9036</v>
      </c>
      <c r="F886" s="338">
        <v>2147547</v>
      </c>
      <c r="G886" s="338" t="s">
        <v>3800</v>
      </c>
      <c r="H886" s="338"/>
      <c r="I886" s="329">
        <v>503.42406133940472</v>
      </c>
      <c r="J886" s="329"/>
      <c r="K886" s="338">
        <v>125.85601533485118</v>
      </c>
      <c r="L886" s="338">
        <v>125.85601533485118</v>
      </c>
      <c r="M886" s="338">
        <v>125.85601533485118</v>
      </c>
      <c r="N886" s="338">
        <v>125.85601533485118</v>
      </c>
      <c r="O886" s="338"/>
    </row>
    <row r="887" spans="1:15" hidden="1" outlineLevel="2" x14ac:dyDescent="0.35">
      <c r="A887" s="425" t="s">
        <v>7973</v>
      </c>
      <c r="B887" s="327" t="s">
        <v>7984</v>
      </c>
      <c r="C887" s="426" t="s">
        <v>7985</v>
      </c>
      <c r="D887" s="427" t="s">
        <v>9062</v>
      </c>
      <c r="E887" s="426" t="s">
        <v>9036</v>
      </c>
      <c r="F887" s="338">
        <v>2386725</v>
      </c>
      <c r="G887" s="338" t="s">
        <v>3800</v>
      </c>
      <c r="H887" s="338"/>
      <c r="I887" s="329">
        <v>569.00283539632994</v>
      </c>
      <c r="J887" s="329"/>
      <c r="K887" s="338">
        <v>142.25070884908249</v>
      </c>
      <c r="L887" s="338">
        <v>142.25070884908249</v>
      </c>
      <c r="M887" s="338">
        <v>142.25070884908249</v>
      </c>
      <c r="N887" s="338">
        <v>142.25070884908249</v>
      </c>
      <c r="O887" s="338"/>
    </row>
    <row r="888" spans="1:15" hidden="1" outlineLevel="2" x14ac:dyDescent="0.35">
      <c r="A888" s="425" t="s">
        <v>7973</v>
      </c>
      <c r="B888" s="327">
        <v>44104</v>
      </c>
      <c r="C888" s="426">
        <v>233</v>
      </c>
      <c r="D888" s="427" t="s">
        <v>9063</v>
      </c>
      <c r="E888" s="426" t="s">
        <v>9036</v>
      </c>
      <c r="F888" s="338">
        <v>2147547</v>
      </c>
      <c r="G888" s="338" t="s">
        <v>3800</v>
      </c>
      <c r="H888" s="338"/>
      <c r="I888" s="329">
        <v>503.42406133940472</v>
      </c>
      <c r="J888" s="329"/>
      <c r="K888" s="338">
        <v>125.85601533485118</v>
      </c>
      <c r="L888" s="338">
        <v>125.85601533485118</v>
      </c>
      <c r="M888" s="338">
        <v>125.85601533485118</v>
      </c>
      <c r="N888" s="338">
        <v>125.85601533485118</v>
      </c>
      <c r="O888" s="338"/>
    </row>
    <row r="889" spans="1:15" hidden="1" outlineLevel="2" x14ac:dyDescent="0.35">
      <c r="A889" s="425" t="s">
        <v>7973</v>
      </c>
      <c r="B889" s="327" t="s">
        <v>8005</v>
      </c>
      <c r="C889" s="426" t="s">
        <v>8006</v>
      </c>
      <c r="D889" s="427" t="s">
        <v>9064</v>
      </c>
      <c r="E889" s="426" t="s">
        <v>9036</v>
      </c>
      <c r="F889" s="338">
        <v>2386725</v>
      </c>
      <c r="G889" s="338" t="s">
        <v>3800</v>
      </c>
      <c r="H889" s="338"/>
      <c r="I889" s="329">
        <v>569.00283539632994</v>
      </c>
      <c r="J889" s="329"/>
      <c r="K889" s="338">
        <v>142.25070884908249</v>
      </c>
      <c r="L889" s="338">
        <v>142.25070884908249</v>
      </c>
      <c r="M889" s="338">
        <v>142.25070884908249</v>
      </c>
      <c r="N889" s="338">
        <v>142.25070884908249</v>
      </c>
      <c r="O889" s="338"/>
    </row>
    <row r="890" spans="1:15" hidden="1" outlineLevel="2" x14ac:dyDescent="0.35">
      <c r="A890" s="425" t="s">
        <v>7973</v>
      </c>
      <c r="B890" s="327">
        <v>44135</v>
      </c>
      <c r="C890" s="426">
        <v>239</v>
      </c>
      <c r="D890" s="427" t="s">
        <v>9065</v>
      </c>
      <c r="E890" s="426" t="s">
        <v>9036</v>
      </c>
      <c r="F890" s="338">
        <v>64426</v>
      </c>
      <c r="G890" s="338" t="s">
        <v>3800</v>
      </c>
      <c r="H890" s="338"/>
      <c r="I890" s="329">
        <v>15.102625728727933</v>
      </c>
      <c r="J890" s="329"/>
      <c r="K890" s="338">
        <v>3.7756564321819832</v>
      </c>
      <c r="L890" s="338">
        <v>3.7756564321819832</v>
      </c>
      <c r="M890" s="338">
        <v>3.7756564321819832</v>
      </c>
      <c r="N890" s="338">
        <v>3.7756564321819832</v>
      </c>
      <c r="O890" s="338"/>
    </row>
    <row r="891" spans="1:15" hidden="1" outlineLevel="2" x14ac:dyDescent="0.35">
      <c r="A891" s="425" t="s">
        <v>7973</v>
      </c>
      <c r="B891" s="327" t="s">
        <v>8002</v>
      </c>
      <c r="C891" s="426" t="s">
        <v>8003</v>
      </c>
      <c r="D891" s="427" t="s">
        <v>9066</v>
      </c>
      <c r="E891" s="426" t="s">
        <v>9036</v>
      </c>
      <c r="F891" s="338">
        <v>71602</v>
      </c>
      <c r="G891" s="338" t="s">
        <v>3800</v>
      </c>
      <c r="H891" s="338"/>
      <c r="I891" s="329">
        <v>17.070144662685486</v>
      </c>
      <c r="J891" s="329"/>
      <c r="K891" s="338">
        <v>4.2675361656713715</v>
      </c>
      <c r="L891" s="338">
        <v>4.2675361656713715</v>
      </c>
      <c r="M891" s="338">
        <v>4.2675361656713715</v>
      </c>
      <c r="N891" s="338">
        <v>4.2675361656713715</v>
      </c>
      <c r="O891" s="338"/>
    </row>
    <row r="892" spans="1:15" hidden="1" outlineLevel="2" x14ac:dyDescent="0.35">
      <c r="A892" s="425" t="s">
        <v>7973</v>
      </c>
      <c r="B892" s="327" t="s">
        <v>7999</v>
      </c>
      <c r="C892" s="426" t="s">
        <v>8000</v>
      </c>
      <c r="D892" s="427" t="s">
        <v>9066</v>
      </c>
      <c r="E892" s="426" t="s">
        <v>9036</v>
      </c>
      <c r="F892" s="338">
        <v>71602</v>
      </c>
      <c r="G892" s="338" t="s">
        <v>3800</v>
      </c>
      <c r="H892" s="338"/>
      <c r="I892" s="329">
        <v>17.070144662685486</v>
      </c>
      <c r="J892" s="329"/>
      <c r="K892" s="338">
        <v>4.2675361656713715</v>
      </c>
      <c r="L892" s="338">
        <v>4.2675361656713715</v>
      </c>
      <c r="M892" s="338">
        <v>4.2675361656713715</v>
      </c>
      <c r="N892" s="338">
        <v>4.2675361656713715</v>
      </c>
      <c r="O892" s="338"/>
    </row>
    <row r="893" spans="1:15" hidden="1" outlineLevel="2" x14ac:dyDescent="0.35">
      <c r="A893" s="425" t="s">
        <v>7973</v>
      </c>
      <c r="B893" s="327">
        <v>44165</v>
      </c>
      <c r="C893" s="426">
        <v>247</v>
      </c>
      <c r="D893" s="427" t="s">
        <v>9067</v>
      </c>
      <c r="E893" s="426" t="s">
        <v>9036</v>
      </c>
      <c r="F893" s="338">
        <v>64426</v>
      </c>
      <c r="G893" s="338" t="s">
        <v>3800</v>
      </c>
      <c r="H893" s="338"/>
      <c r="I893" s="329">
        <v>15.102625728727933</v>
      </c>
      <c r="J893" s="329"/>
      <c r="K893" s="338">
        <v>3.7756564321819832</v>
      </c>
      <c r="L893" s="338">
        <v>3.7756564321819832</v>
      </c>
      <c r="M893" s="338">
        <v>3.7756564321819832</v>
      </c>
      <c r="N893" s="338">
        <v>3.7756564321819832</v>
      </c>
      <c r="O893" s="338"/>
    </row>
    <row r="894" spans="1:15" hidden="1" outlineLevel="2" x14ac:dyDescent="0.35">
      <c r="A894" s="425" t="s">
        <v>7973</v>
      </c>
      <c r="B894" s="327">
        <v>43861</v>
      </c>
      <c r="C894" s="426">
        <v>167</v>
      </c>
      <c r="D894" s="427" t="s">
        <v>9068</v>
      </c>
      <c r="E894" s="426" t="s">
        <v>9036</v>
      </c>
      <c r="F894" s="338">
        <v>64426</v>
      </c>
      <c r="G894" s="338" t="s">
        <v>3800</v>
      </c>
      <c r="H894" s="338"/>
      <c r="I894" s="329">
        <v>15.102625728727933</v>
      </c>
      <c r="J894" s="329"/>
      <c r="K894" s="338">
        <v>3.7756564321819832</v>
      </c>
      <c r="L894" s="338">
        <v>3.7756564321819832</v>
      </c>
      <c r="M894" s="338">
        <v>3.7756564321819832</v>
      </c>
      <c r="N894" s="338">
        <v>3.7756564321819832</v>
      </c>
      <c r="O894" s="338"/>
    </row>
    <row r="895" spans="1:15" hidden="1" outlineLevel="2" x14ac:dyDescent="0.35">
      <c r="A895" s="425" t="s">
        <v>7973</v>
      </c>
      <c r="B895" s="327" t="s">
        <v>8077</v>
      </c>
      <c r="C895" s="426" t="s">
        <v>9040</v>
      </c>
      <c r="D895" s="427" t="s">
        <v>9069</v>
      </c>
      <c r="E895" s="426" t="s">
        <v>9036</v>
      </c>
      <c r="F895" s="338">
        <v>64426</v>
      </c>
      <c r="G895" s="338" t="s">
        <v>3800</v>
      </c>
      <c r="H895" s="338"/>
      <c r="I895" s="329">
        <v>15.359363426135795</v>
      </c>
      <c r="J895" s="329"/>
      <c r="K895" s="338">
        <v>3.8398408565339488</v>
      </c>
      <c r="L895" s="338">
        <v>3.8398408565339488</v>
      </c>
      <c r="M895" s="338">
        <v>3.8398408565339488</v>
      </c>
      <c r="N895" s="338">
        <v>3.8398408565339488</v>
      </c>
      <c r="O895" s="338"/>
    </row>
    <row r="896" spans="1:15" hidden="1" outlineLevel="2" x14ac:dyDescent="0.35">
      <c r="A896" s="425" t="s">
        <v>7973</v>
      </c>
      <c r="B896" s="327" t="s">
        <v>8077</v>
      </c>
      <c r="C896" s="426" t="s">
        <v>9040</v>
      </c>
      <c r="D896" s="427" t="s">
        <v>9070</v>
      </c>
      <c r="E896" s="426" t="s">
        <v>9036</v>
      </c>
      <c r="F896" s="338">
        <v>7175</v>
      </c>
      <c r="G896" s="338" t="s">
        <v>3800</v>
      </c>
      <c r="H896" s="338"/>
      <c r="I896" s="329">
        <v>1.7105428333673411</v>
      </c>
      <c r="J896" s="329"/>
      <c r="K896" s="338">
        <v>0.42763570834183529</v>
      </c>
      <c r="L896" s="338">
        <v>0.42763570834183529</v>
      </c>
      <c r="M896" s="338">
        <v>0.42763570834183529</v>
      </c>
      <c r="N896" s="338">
        <v>0.42763570834183529</v>
      </c>
      <c r="O896" s="338"/>
    </row>
    <row r="897" spans="1:15" hidden="1" outlineLevel="2" x14ac:dyDescent="0.35">
      <c r="A897" s="425" t="s">
        <v>7973</v>
      </c>
      <c r="B897" s="327" t="s">
        <v>8079</v>
      </c>
      <c r="C897" s="426" t="s">
        <v>8327</v>
      </c>
      <c r="D897" s="427" t="s">
        <v>9071</v>
      </c>
      <c r="E897" s="426" t="s">
        <v>9036</v>
      </c>
      <c r="F897" s="338">
        <v>71602</v>
      </c>
      <c r="G897" s="338" t="s">
        <v>3800</v>
      </c>
      <c r="H897" s="338"/>
      <c r="I897" s="329">
        <v>17.070144662685486</v>
      </c>
      <c r="J897" s="329"/>
      <c r="K897" s="338">
        <v>4.2675361656713715</v>
      </c>
      <c r="L897" s="338">
        <v>4.2675361656713715</v>
      </c>
      <c r="M897" s="338">
        <v>4.2675361656713715</v>
      </c>
      <c r="N897" s="338">
        <v>4.2675361656713715</v>
      </c>
      <c r="O897" s="338"/>
    </row>
    <row r="898" spans="1:15" hidden="1" outlineLevel="2" x14ac:dyDescent="0.35">
      <c r="A898" s="425" t="s">
        <v>7973</v>
      </c>
      <c r="B898" s="327">
        <v>43830</v>
      </c>
      <c r="C898" s="426">
        <v>161</v>
      </c>
      <c r="D898" s="427" t="s">
        <v>9072</v>
      </c>
      <c r="E898" s="426" t="s">
        <v>9036</v>
      </c>
      <c r="F898" s="338">
        <v>64426</v>
      </c>
      <c r="G898" s="338" t="s">
        <v>3800</v>
      </c>
      <c r="H898" s="338"/>
      <c r="I898" s="329">
        <v>15.102625728727933</v>
      </c>
      <c r="J898" s="329"/>
      <c r="K898" s="338">
        <v>3.7756564321819832</v>
      </c>
      <c r="L898" s="338">
        <v>3.7756564321819832</v>
      </c>
      <c r="M898" s="338">
        <v>3.7756564321819832</v>
      </c>
      <c r="N898" s="338">
        <v>3.7756564321819832</v>
      </c>
      <c r="O898" s="338"/>
    </row>
    <row r="899" spans="1:15" hidden="1" outlineLevel="2" x14ac:dyDescent="0.35">
      <c r="A899" s="425" t="s">
        <v>7973</v>
      </c>
      <c r="B899" s="327">
        <v>44196</v>
      </c>
      <c r="C899" s="426">
        <v>255</v>
      </c>
      <c r="D899" s="427" t="s">
        <v>9073</v>
      </c>
      <c r="E899" s="426" t="s">
        <v>9036</v>
      </c>
      <c r="F899" s="338">
        <v>64426</v>
      </c>
      <c r="G899" s="338" t="s">
        <v>3800</v>
      </c>
      <c r="H899" s="338"/>
      <c r="I899" s="329">
        <v>15.102625728727933</v>
      </c>
      <c r="J899" s="329"/>
      <c r="K899" s="338">
        <v>3.7756564321819832</v>
      </c>
      <c r="L899" s="338">
        <v>3.7756564321819832</v>
      </c>
      <c r="M899" s="338">
        <v>3.7756564321819832</v>
      </c>
      <c r="N899" s="338">
        <v>3.7756564321819832</v>
      </c>
      <c r="O899" s="338"/>
    </row>
    <row r="900" spans="1:15" hidden="1" outlineLevel="2" x14ac:dyDescent="0.35">
      <c r="A900" s="425" t="s">
        <v>7973</v>
      </c>
      <c r="B900" s="327" t="s">
        <v>7987</v>
      </c>
      <c r="C900" s="426" t="s">
        <v>7988</v>
      </c>
      <c r="D900" s="427" t="s">
        <v>9074</v>
      </c>
      <c r="E900" s="426" t="s">
        <v>9036</v>
      </c>
      <c r="F900" s="338">
        <v>71602</v>
      </c>
      <c r="G900" s="338" t="s">
        <v>3800</v>
      </c>
      <c r="H900" s="338"/>
      <c r="I900" s="329">
        <v>17.070144662685486</v>
      </c>
      <c r="J900" s="329"/>
      <c r="K900" s="338">
        <v>4.2675361656713715</v>
      </c>
      <c r="L900" s="338">
        <v>4.2675361656713715</v>
      </c>
      <c r="M900" s="338">
        <v>4.2675361656713715</v>
      </c>
      <c r="N900" s="338">
        <v>4.2675361656713715</v>
      </c>
      <c r="O900" s="338"/>
    </row>
    <row r="901" spans="1:15" hidden="1" outlineLevel="2" x14ac:dyDescent="0.35">
      <c r="A901" s="425" t="s">
        <v>7973</v>
      </c>
      <c r="B901" s="327">
        <v>43890</v>
      </c>
      <c r="C901" s="426">
        <v>174</v>
      </c>
      <c r="D901" s="427" t="s">
        <v>9075</v>
      </c>
      <c r="E901" s="426" t="s">
        <v>9036</v>
      </c>
      <c r="F901" s="338">
        <v>64426</v>
      </c>
      <c r="G901" s="338" t="s">
        <v>3800</v>
      </c>
      <c r="H901" s="338"/>
      <c r="I901" s="329">
        <v>15.102625728727933</v>
      </c>
      <c r="J901" s="329"/>
      <c r="K901" s="338">
        <v>3.7756564321819832</v>
      </c>
      <c r="L901" s="338">
        <v>3.7756564321819832</v>
      </c>
      <c r="M901" s="338">
        <v>3.7756564321819832</v>
      </c>
      <c r="N901" s="338">
        <v>3.7756564321819832</v>
      </c>
      <c r="O901" s="338"/>
    </row>
    <row r="902" spans="1:15" hidden="1" outlineLevel="2" x14ac:dyDescent="0.35">
      <c r="A902" s="425" t="s">
        <v>7973</v>
      </c>
      <c r="B902" s="327" t="s">
        <v>8075</v>
      </c>
      <c r="C902" s="426" t="s">
        <v>9048</v>
      </c>
      <c r="D902" s="427" t="s">
        <v>9076</v>
      </c>
      <c r="E902" s="426" t="s">
        <v>9036</v>
      </c>
      <c r="F902" s="338">
        <v>71602</v>
      </c>
      <c r="G902" s="338" t="s">
        <v>3800</v>
      </c>
      <c r="H902" s="338"/>
      <c r="I902" s="329">
        <v>17.070144662685486</v>
      </c>
      <c r="J902" s="329"/>
      <c r="K902" s="338">
        <v>4.2675361656713715</v>
      </c>
      <c r="L902" s="338">
        <v>4.2675361656713715</v>
      </c>
      <c r="M902" s="338">
        <v>4.2675361656713715</v>
      </c>
      <c r="N902" s="338">
        <v>4.2675361656713715</v>
      </c>
      <c r="O902" s="338"/>
    </row>
    <row r="903" spans="1:15" hidden="1" outlineLevel="2" x14ac:dyDescent="0.35">
      <c r="A903" s="425" t="s">
        <v>7973</v>
      </c>
      <c r="B903" s="327">
        <v>43921</v>
      </c>
      <c r="C903" s="426">
        <v>181</v>
      </c>
      <c r="D903" s="427" t="s">
        <v>9077</v>
      </c>
      <c r="E903" s="426" t="s">
        <v>9036</v>
      </c>
      <c r="F903" s="338">
        <v>64426</v>
      </c>
      <c r="G903" s="338" t="s">
        <v>3800</v>
      </c>
      <c r="H903" s="338"/>
      <c r="I903" s="329">
        <v>15.102625728727933</v>
      </c>
      <c r="J903" s="329"/>
      <c r="K903" s="338">
        <v>3.7756564321819832</v>
      </c>
      <c r="L903" s="338">
        <v>3.7756564321819832</v>
      </c>
      <c r="M903" s="338">
        <v>3.7756564321819832</v>
      </c>
      <c r="N903" s="338">
        <v>3.7756564321819832</v>
      </c>
      <c r="O903" s="338"/>
    </row>
    <row r="904" spans="1:15" hidden="1" outlineLevel="2" x14ac:dyDescent="0.35">
      <c r="A904" s="425" t="s">
        <v>7973</v>
      </c>
      <c r="B904" s="327" t="s">
        <v>8089</v>
      </c>
      <c r="C904" s="426" t="s">
        <v>9051</v>
      </c>
      <c r="D904" s="427" t="s">
        <v>9078</v>
      </c>
      <c r="E904" s="426" t="s">
        <v>9036</v>
      </c>
      <c r="F904" s="338">
        <v>71602</v>
      </c>
      <c r="G904" s="338" t="s">
        <v>3800</v>
      </c>
      <c r="H904" s="338"/>
      <c r="I904" s="329">
        <v>17.070144662685486</v>
      </c>
      <c r="J904" s="329"/>
      <c r="K904" s="338">
        <v>4.2675361656713715</v>
      </c>
      <c r="L904" s="338">
        <v>4.2675361656713715</v>
      </c>
      <c r="M904" s="338">
        <v>4.2675361656713715</v>
      </c>
      <c r="N904" s="338">
        <v>4.2675361656713715</v>
      </c>
      <c r="O904" s="338"/>
    </row>
    <row r="905" spans="1:15" hidden="1" outlineLevel="2" x14ac:dyDescent="0.35">
      <c r="A905" s="425" t="s">
        <v>7973</v>
      </c>
      <c r="B905" s="327" t="s">
        <v>7980</v>
      </c>
      <c r="C905" s="426" t="s">
        <v>9053</v>
      </c>
      <c r="D905" s="427" t="s">
        <v>9078</v>
      </c>
      <c r="E905" s="426" t="s">
        <v>9036</v>
      </c>
      <c r="F905" s="338">
        <v>71602</v>
      </c>
      <c r="G905" s="338" t="s">
        <v>3800</v>
      </c>
      <c r="H905" s="338"/>
      <c r="I905" s="329">
        <v>17.070144662685486</v>
      </c>
      <c r="J905" s="329"/>
      <c r="K905" s="338">
        <v>4.2675361656713715</v>
      </c>
      <c r="L905" s="338">
        <v>4.2675361656713715</v>
      </c>
      <c r="M905" s="338">
        <v>4.2675361656713715</v>
      </c>
      <c r="N905" s="338">
        <v>4.2675361656713715</v>
      </c>
      <c r="O905" s="338"/>
    </row>
    <row r="906" spans="1:15" hidden="1" outlineLevel="2" x14ac:dyDescent="0.35">
      <c r="A906" s="425" t="s">
        <v>7973</v>
      </c>
      <c r="B906" s="327" t="s">
        <v>7996</v>
      </c>
      <c r="C906" s="426" t="s">
        <v>7997</v>
      </c>
      <c r="D906" s="427" t="s">
        <v>9078</v>
      </c>
      <c r="E906" s="426" t="s">
        <v>9036</v>
      </c>
      <c r="F906" s="338">
        <v>71602</v>
      </c>
      <c r="G906" s="338" t="s">
        <v>3800</v>
      </c>
      <c r="H906" s="338"/>
      <c r="I906" s="329">
        <v>17.070144662685486</v>
      </c>
      <c r="J906" s="329"/>
      <c r="K906" s="338">
        <v>4.2675361656713715</v>
      </c>
      <c r="L906" s="338">
        <v>4.2675361656713715</v>
      </c>
      <c r="M906" s="338">
        <v>4.2675361656713715</v>
      </c>
      <c r="N906" s="338">
        <v>4.2675361656713715</v>
      </c>
      <c r="O906" s="338"/>
    </row>
    <row r="907" spans="1:15" hidden="1" outlineLevel="2" x14ac:dyDescent="0.35">
      <c r="A907" s="425" t="s">
        <v>7973</v>
      </c>
      <c r="B907" s="327">
        <v>43951</v>
      </c>
      <c r="C907" s="426">
        <v>190</v>
      </c>
      <c r="D907" s="427" t="s">
        <v>9079</v>
      </c>
      <c r="E907" s="426" t="s">
        <v>9036</v>
      </c>
      <c r="F907" s="338">
        <v>64426</v>
      </c>
      <c r="G907" s="338" t="s">
        <v>3800</v>
      </c>
      <c r="H907" s="338"/>
      <c r="I907" s="329">
        <v>15.102625728727933</v>
      </c>
      <c r="J907" s="329"/>
      <c r="K907" s="338">
        <v>3.7756564321819832</v>
      </c>
      <c r="L907" s="338">
        <v>3.7756564321819832</v>
      </c>
      <c r="M907" s="338">
        <v>3.7756564321819832</v>
      </c>
      <c r="N907" s="338">
        <v>3.7756564321819832</v>
      </c>
      <c r="O907" s="338"/>
    </row>
    <row r="908" spans="1:15" hidden="1" outlineLevel="2" x14ac:dyDescent="0.35">
      <c r="A908" s="425" t="s">
        <v>7973</v>
      </c>
      <c r="B908" s="327">
        <v>43982</v>
      </c>
      <c r="C908" s="426">
        <v>196</v>
      </c>
      <c r="D908" s="427" t="s">
        <v>9080</v>
      </c>
      <c r="E908" s="426" t="s">
        <v>9036</v>
      </c>
      <c r="F908" s="338">
        <v>64426</v>
      </c>
      <c r="G908" s="338" t="s">
        <v>3800</v>
      </c>
      <c r="H908" s="338"/>
      <c r="I908" s="329">
        <v>15.102625728727933</v>
      </c>
      <c r="J908" s="329"/>
      <c r="K908" s="338">
        <v>3.7756564321819832</v>
      </c>
      <c r="L908" s="338">
        <v>3.7756564321819832</v>
      </c>
      <c r="M908" s="338">
        <v>3.7756564321819832</v>
      </c>
      <c r="N908" s="338">
        <v>3.7756564321819832</v>
      </c>
      <c r="O908" s="338"/>
    </row>
    <row r="909" spans="1:15" hidden="1" outlineLevel="2" x14ac:dyDescent="0.35">
      <c r="A909" s="425" t="s">
        <v>7973</v>
      </c>
      <c r="B909" s="327">
        <v>44012</v>
      </c>
      <c r="C909" s="426">
        <v>203</v>
      </c>
      <c r="D909" s="427" t="s">
        <v>9081</v>
      </c>
      <c r="E909" s="426" t="s">
        <v>9036</v>
      </c>
      <c r="F909" s="338">
        <v>64426</v>
      </c>
      <c r="G909" s="338" t="s">
        <v>3800</v>
      </c>
      <c r="H909" s="338"/>
      <c r="I909" s="329">
        <v>15.102625728727933</v>
      </c>
      <c r="J909" s="329"/>
      <c r="K909" s="338">
        <v>3.7756564321819832</v>
      </c>
      <c r="L909" s="338">
        <v>3.7756564321819832</v>
      </c>
      <c r="M909" s="338">
        <v>3.7756564321819832</v>
      </c>
      <c r="N909" s="338">
        <v>3.7756564321819832</v>
      </c>
      <c r="O909" s="338"/>
    </row>
    <row r="910" spans="1:15" hidden="1" outlineLevel="2" x14ac:dyDescent="0.35">
      <c r="A910" s="425" t="s">
        <v>7973</v>
      </c>
      <c r="B910" s="327" t="s">
        <v>7993</v>
      </c>
      <c r="C910" s="426" t="s">
        <v>7994</v>
      </c>
      <c r="D910" s="427" t="s">
        <v>9082</v>
      </c>
      <c r="E910" s="426" t="s">
        <v>9036</v>
      </c>
      <c r="F910" s="338">
        <v>71602</v>
      </c>
      <c r="G910" s="338" t="s">
        <v>3800</v>
      </c>
      <c r="H910" s="338"/>
      <c r="I910" s="329">
        <v>17.070144662685486</v>
      </c>
      <c r="J910" s="329"/>
      <c r="K910" s="338">
        <v>4.2675361656713715</v>
      </c>
      <c r="L910" s="338">
        <v>4.2675361656713715</v>
      </c>
      <c r="M910" s="338">
        <v>4.2675361656713715</v>
      </c>
      <c r="N910" s="338">
        <v>4.2675361656713715</v>
      </c>
      <c r="O910" s="338"/>
    </row>
    <row r="911" spans="1:15" hidden="1" outlineLevel="2" x14ac:dyDescent="0.35">
      <c r="A911" s="425" t="s">
        <v>7973</v>
      </c>
      <c r="B911" s="327">
        <v>44043</v>
      </c>
      <c r="C911" s="426">
        <v>209</v>
      </c>
      <c r="D911" s="427" t="s">
        <v>9083</v>
      </c>
      <c r="E911" s="426" t="s">
        <v>9036</v>
      </c>
      <c r="F911" s="338">
        <v>64426</v>
      </c>
      <c r="G911" s="338" t="s">
        <v>3800</v>
      </c>
      <c r="H911" s="338"/>
      <c r="I911" s="329">
        <v>15.102625728727933</v>
      </c>
      <c r="J911" s="329"/>
      <c r="K911" s="338">
        <v>3.7756564321819832</v>
      </c>
      <c r="L911" s="338">
        <v>3.7756564321819832</v>
      </c>
      <c r="M911" s="338">
        <v>3.7756564321819832</v>
      </c>
      <c r="N911" s="338">
        <v>3.7756564321819832</v>
      </c>
      <c r="O911" s="338"/>
    </row>
    <row r="912" spans="1:15" hidden="1" outlineLevel="2" x14ac:dyDescent="0.35">
      <c r="A912" s="425" t="s">
        <v>7973</v>
      </c>
      <c r="B912" s="327" t="s">
        <v>7990</v>
      </c>
      <c r="C912" s="426" t="s">
        <v>7991</v>
      </c>
      <c r="D912" s="427" t="s">
        <v>9084</v>
      </c>
      <c r="E912" s="426" t="s">
        <v>9036</v>
      </c>
      <c r="F912" s="338">
        <v>71602</v>
      </c>
      <c r="G912" s="338" t="s">
        <v>3800</v>
      </c>
      <c r="H912" s="338"/>
      <c r="I912" s="329">
        <v>17.070144662685486</v>
      </c>
      <c r="J912" s="329"/>
      <c r="K912" s="338">
        <v>4.2675361656713715</v>
      </c>
      <c r="L912" s="338">
        <v>4.2675361656713715</v>
      </c>
      <c r="M912" s="338">
        <v>4.2675361656713715</v>
      </c>
      <c r="N912" s="338">
        <v>4.2675361656713715</v>
      </c>
      <c r="O912" s="338"/>
    </row>
    <row r="913" spans="1:15" hidden="1" outlineLevel="2" x14ac:dyDescent="0.35">
      <c r="A913" s="425" t="s">
        <v>7973</v>
      </c>
      <c r="B913" s="327">
        <v>44074</v>
      </c>
      <c r="C913" s="426">
        <v>223</v>
      </c>
      <c r="D913" s="427" t="s">
        <v>9085</v>
      </c>
      <c r="E913" s="426" t="s">
        <v>9036</v>
      </c>
      <c r="F913" s="338">
        <v>64426</v>
      </c>
      <c r="G913" s="338" t="s">
        <v>3800</v>
      </c>
      <c r="H913" s="338"/>
      <c r="I913" s="329">
        <v>15.102625728727933</v>
      </c>
      <c r="J913" s="329"/>
      <c r="K913" s="338">
        <v>3.7756564321819832</v>
      </c>
      <c r="L913" s="338">
        <v>3.7756564321819832</v>
      </c>
      <c r="M913" s="338">
        <v>3.7756564321819832</v>
      </c>
      <c r="N913" s="338">
        <v>3.7756564321819832</v>
      </c>
      <c r="O913" s="338"/>
    </row>
    <row r="914" spans="1:15" hidden="1" outlineLevel="2" x14ac:dyDescent="0.35">
      <c r="A914" s="425" t="s">
        <v>7973</v>
      </c>
      <c r="B914" s="327" t="s">
        <v>7984</v>
      </c>
      <c r="C914" s="426" t="s">
        <v>7985</v>
      </c>
      <c r="D914" s="427" t="s">
        <v>9086</v>
      </c>
      <c r="E914" s="426" t="s">
        <v>9036</v>
      </c>
      <c r="F914" s="338">
        <v>71602</v>
      </c>
      <c r="G914" s="338" t="s">
        <v>3800</v>
      </c>
      <c r="H914" s="338"/>
      <c r="I914" s="329">
        <v>17.070144662685486</v>
      </c>
      <c r="J914" s="329"/>
      <c r="K914" s="338">
        <v>4.2675361656713715</v>
      </c>
      <c r="L914" s="338">
        <v>4.2675361656713715</v>
      </c>
      <c r="M914" s="338">
        <v>4.2675361656713715</v>
      </c>
      <c r="N914" s="338">
        <v>4.2675361656713715</v>
      </c>
      <c r="O914" s="338"/>
    </row>
    <row r="915" spans="1:15" hidden="1" outlineLevel="2" x14ac:dyDescent="0.35">
      <c r="A915" s="425" t="s">
        <v>7973</v>
      </c>
      <c r="B915" s="327">
        <v>44104</v>
      </c>
      <c r="C915" s="426">
        <v>233</v>
      </c>
      <c r="D915" s="427" t="s">
        <v>9087</v>
      </c>
      <c r="E915" s="426" t="s">
        <v>9036</v>
      </c>
      <c r="F915" s="338">
        <v>64426</v>
      </c>
      <c r="G915" s="338" t="s">
        <v>3800</v>
      </c>
      <c r="H915" s="338"/>
      <c r="I915" s="329">
        <v>15.102625728727933</v>
      </c>
      <c r="J915" s="329"/>
      <c r="K915" s="338">
        <v>3.7756564321819832</v>
      </c>
      <c r="L915" s="338">
        <v>3.7756564321819832</v>
      </c>
      <c r="M915" s="338">
        <v>3.7756564321819832</v>
      </c>
      <c r="N915" s="338">
        <v>3.7756564321819832</v>
      </c>
      <c r="O915" s="338"/>
    </row>
    <row r="916" spans="1:15" hidden="1" outlineLevel="2" x14ac:dyDescent="0.35">
      <c r="A916" s="425" t="s">
        <v>7973</v>
      </c>
      <c r="B916" s="327" t="s">
        <v>8005</v>
      </c>
      <c r="C916" s="426" t="s">
        <v>8006</v>
      </c>
      <c r="D916" s="427" t="s">
        <v>9088</v>
      </c>
      <c r="E916" s="426" t="s">
        <v>9036</v>
      </c>
      <c r="F916" s="338">
        <v>71602</v>
      </c>
      <c r="G916" s="338" t="s">
        <v>3800</v>
      </c>
      <c r="H916" s="338"/>
      <c r="I916" s="329">
        <v>17.070144662685486</v>
      </c>
      <c r="J916" s="329"/>
      <c r="K916" s="338">
        <v>4.2675361656713715</v>
      </c>
      <c r="L916" s="338">
        <v>4.2675361656713715</v>
      </c>
      <c r="M916" s="338">
        <v>4.2675361656713715</v>
      </c>
      <c r="N916" s="338">
        <v>4.2675361656713715</v>
      </c>
      <c r="O916" s="338"/>
    </row>
    <row r="917" spans="1:15" hidden="1" outlineLevel="2" x14ac:dyDescent="0.35">
      <c r="A917" s="425" t="s">
        <v>7973</v>
      </c>
      <c r="B917" s="327">
        <v>44047</v>
      </c>
      <c r="C917" s="426">
        <v>214</v>
      </c>
      <c r="D917" s="427" t="s">
        <v>9089</v>
      </c>
      <c r="E917" s="426" t="s">
        <v>8702</v>
      </c>
      <c r="F917" s="338">
        <v>800000</v>
      </c>
      <c r="G917" s="338" t="s">
        <v>3800</v>
      </c>
      <c r="H917" s="338"/>
      <c r="I917" s="329">
        <v>187.53454479530541</v>
      </c>
      <c r="J917" s="329"/>
      <c r="K917" s="338">
        <v>46.883636198826352</v>
      </c>
      <c r="L917" s="338">
        <v>46.883636198826352</v>
      </c>
      <c r="M917" s="338">
        <v>46.883636198826352</v>
      </c>
      <c r="N917" s="338">
        <v>46.883636198826352</v>
      </c>
      <c r="O917" s="338"/>
    </row>
    <row r="918" spans="1:15" hidden="1" outlineLevel="2" x14ac:dyDescent="0.35">
      <c r="A918" s="425" t="s">
        <v>7973</v>
      </c>
      <c r="B918" s="327">
        <v>44135</v>
      </c>
      <c r="C918" s="426">
        <v>239</v>
      </c>
      <c r="D918" s="427" t="s">
        <v>9090</v>
      </c>
      <c r="E918" s="426" t="s">
        <v>9036</v>
      </c>
      <c r="F918" s="338">
        <v>264755</v>
      </c>
      <c r="G918" s="338" t="s">
        <v>3800</v>
      </c>
      <c r="H918" s="338"/>
      <c r="I918" s="329">
        <v>62.063385509101359</v>
      </c>
      <c r="J918" s="329"/>
      <c r="K918" s="338">
        <v>15.51584637727534</v>
      </c>
      <c r="L918" s="338">
        <v>15.51584637727534</v>
      </c>
      <c r="M918" s="338">
        <v>15.51584637727534</v>
      </c>
      <c r="N918" s="338">
        <v>15.51584637727534</v>
      </c>
      <c r="O918" s="338"/>
    </row>
    <row r="919" spans="1:15" hidden="1" outlineLevel="2" x14ac:dyDescent="0.35">
      <c r="A919" s="425" t="s">
        <v>7973</v>
      </c>
      <c r="B919" s="327" t="s">
        <v>8002</v>
      </c>
      <c r="C919" s="426" t="s">
        <v>8003</v>
      </c>
      <c r="D919" s="427" t="s">
        <v>9091</v>
      </c>
      <c r="E919" s="426" t="s">
        <v>9036</v>
      </c>
      <c r="F919" s="338">
        <v>288673</v>
      </c>
      <c r="G919" s="338" t="s">
        <v>3800</v>
      </c>
      <c r="H919" s="338"/>
      <c r="I919" s="329">
        <v>68.820561858766624</v>
      </c>
      <c r="J919" s="329"/>
      <c r="K919" s="338">
        <v>17.205140464691656</v>
      </c>
      <c r="L919" s="338">
        <v>17.205140464691656</v>
      </c>
      <c r="M919" s="338">
        <v>17.205140464691656</v>
      </c>
      <c r="N919" s="338">
        <v>17.205140464691656</v>
      </c>
      <c r="O919" s="338"/>
    </row>
    <row r="920" spans="1:15" hidden="1" outlineLevel="2" x14ac:dyDescent="0.35">
      <c r="A920" s="425" t="s">
        <v>7973</v>
      </c>
      <c r="B920" s="327" t="s">
        <v>7999</v>
      </c>
      <c r="C920" s="426" t="s">
        <v>8000</v>
      </c>
      <c r="D920" s="427" t="s">
        <v>9091</v>
      </c>
      <c r="E920" s="426" t="s">
        <v>9036</v>
      </c>
      <c r="F920" s="338">
        <v>288673</v>
      </c>
      <c r="G920" s="338" t="s">
        <v>3800</v>
      </c>
      <c r="H920" s="338"/>
      <c r="I920" s="329">
        <v>68.820561858766624</v>
      </c>
      <c r="J920" s="329"/>
      <c r="K920" s="338">
        <v>17.205140464691656</v>
      </c>
      <c r="L920" s="338">
        <v>17.205140464691656</v>
      </c>
      <c r="M920" s="338">
        <v>17.205140464691656</v>
      </c>
      <c r="N920" s="338">
        <v>17.205140464691656</v>
      </c>
      <c r="O920" s="338"/>
    </row>
    <row r="921" spans="1:15" hidden="1" outlineLevel="2" x14ac:dyDescent="0.35">
      <c r="A921" s="425" t="s">
        <v>7973</v>
      </c>
      <c r="B921" s="327">
        <v>44165</v>
      </c>
      <c r="C921" s="426">
        <v>247</v>
      </c>
      <c r="D921" s="427" t="s">
        <v>9092</v>
      </c>
      <c r="E921" s="426" t="s">
        <v>9036</v>
      </c>
      <c r="F921" s="338">
        <v>264755</v>
      </c>
      <c r="G921" s="338" t="s">
        <v>3800</v>
      </c>
      <c r="H921" s="338"/>
      <c r="I921" s="329">
        <v>62.063385509101359</v>
      </c>
      <c r="J921" s="329"/>
      <c r="K921" s="338">
        <v>15.51584637727534</v>
      </c>
      <c r="L921" s="338">
        <v>15.51584637727534</v>
      </c>
      <c r="M921" s="338">
        <v>15.51584637727534</v>
      </c>
      <c r="N921" s="338">
        <v>15.51584637727534</v>
      </c>
      <c r="O921" s="338"/>
    </row>
    <row r="922" spans="1:15" hidden="1" outlineLevel="2" x14ac:dyDescent="0.35">
      <c r="A922" s="425" t="s">
        <v>7973</v>
      </c>
      <c r="B922" s="327">
        <v>43861</v>
      </c>
      <c r="C922" s="426">
        <v>167</v>
      </c>
      <c r="D922" s="427" t="s">
        <v>9093</v>
      </c>
      <c r="E922" s="426" t="s">
        <v>9036</v>
      </c>
      <c r="F922" s="338">
        <v>264755</v>
      </c>
      <c r="G922" s="338" t="s">
        <v>3800</v>
      </c>
      <c r="H922" s="338"/>
      <c r="I922" s="329">
        <v>62.063385509101359</v>
      </c>
      <c r="J922" s="329"/>
      <c r="K922" s="338">
        <v>15.51584637727534</v>
      </c>
      <c r="L922" s="338">
        <v>15.51584637727534</v>
      </c>
      <c r="M922" s="338">
        <v>15.51584637727534</v>
      </c>
      <c r="N922" s="338">
        <v>15.51584637727534</v>
      </c>
      <c r="O922" s="338"/>
    </row>
    <row r="923" spans="1:15" hidden="1" outlineLevel="2" x14ac:dyDescent="0.35">
      <c r="A923" s="425" t="s">
        <v>7973</v>
      </c>
      <c r="B923" s="327" t="s">
        <v>8077</v>
      </c>
      <c r="C923" s="426" t="s">
        <v>9040</v>
      </c>
      <c r="D923" s="427" t="s">
        <v>9094</v>
      </c>
      <c r="E923" s="426" t="s">
        <v>9036</v>
      </c>
      <c r="F923" s="338">
        <v>264755</v>
      </c>
      <c r="G923" s="338" t="s">
        <v>3800</v>
      </c>
      <c r="H923" s="338"/>
      <c r="I923" s="329">
        <v>63.118434543299017</v>
      </c>
      <c r="J923" s="329"/>
      <c r="K923" s="338">
        <v>15.779608635824754</v>
      </c>
      <c r="L923" s="338">
        <v>15.779608635824754</v>
      </c>
      <c r="M923" s="338">
        <v>15.779608635824754</v>
      </c>
      <c r="N923" s="338">
        <v>15.779608635824754</v>
      </c>
      <c r="O923" s="338"/>
    </row>
    <row r="924" spans="1:15" hidden="1" outlineLevel="2" x14ac:dyDescent="0.35">
      <c r="A924" s="425" t="s">
        <v>7973</v>
      </c>
      <c r="B924" s="327" t="s">
        <v>8077</v>
      </c>
      <c r="C924" s="426" t="s">
        <v>9040</v>
      </c>
      <c r="D924" s="427" t="s">
        <v>9095</v>
      </c>
      <c r="E924" s="426" t="s">
        <v>9036</v>
      </c>
      <c r="F924" s="338">
        <v>23918</v>
      </c>
      <c r="G924" s="338" t="s">
        <v>3800</v>
      </c>
      <c r="H924" s="338"/>
      <c r="I924" s="329">
        <v>5.7021273154676049</v>
      </c>
      <c r="J924" s="329"/>
      <c r="K924" s="338">
        <v>1.4255318288669012</v>
      </c>
      <c r="L924" s="338">
        <v>1.4255318288669012</v>
      </c>
      <c r="M924" s="338">
        <v>1.4255318288669012</v>
      </c>
      <c r="N924" s="338">
        <v>1.4255318288669012</v>
      </c>
      <c r="O924" s="338"/>
    </row>
    <row r="925" spans="1:15" hidden="1" outlineLevel="2" x14ac:dyDescent="0.35">
      <c r="A925" s="425" t="s">
        <v>7973</v>
      </c>
      <c r="B925" s="327" t="s">
        <v>8079</v>
      </c>
      <c r="C925" s="426" t="s">
        <v>8327</v>
      </c>
      <c r="D925" s="427" t="s">
        <v>9096</v>
      </c>
      <c r="E925" s="426" t="s">
        <v>9036</v>
      </c>
      <c r="F925" s="338">
        <v>288673</v>
      </c>
      <c r="G925" s="338" t="s">
        <v>3800</v>
      </c>
      <c r="H925" s="338"/>
      <c r="I925" s="329">
        <v>68.820561858766624</v>
      </c>
      <c r="J925" s="329"/>
      <c r="K925" s="338">
        <v>17.205140464691656</v>
      </c>
      <c r="L925" s="338">
        <v>17.205140464691656</v>
      </c>
      <c r="M925" s="338">
        <v>17.205140464691656</v>
      </c>
      <c r="N925" s="338">
        <v>17.205140464691656</v>
      </c>
      <c r="O925" s="338"/>
    </row>
    <row r="926" spans="1:15" hidden="1" outlineLevel="2" x14ac:dyDescent="0.35">
      <c r="A926" s="425" t="s">
        <v>7973</v>
      </c>
      <c r="B926" s="327">
        <v>43830</v>
      </c>
      <c r="C926" s="426">
        <v>161</v>
      </c>
      <c r="D926" s="427" t="s">
        <v>9097</v>
      </c>
      <c r="E926" s="426" t="s">
        <v>9036</v>
      </c>
      <c r="F926" s="338">
        <v>264755</v>
      </c>
      <c r="G926" s="338" t="s">
        <v>3800</v>
      </c>
      <c r="H926" s="338"/>
      <c r="I926" s="329">
        <v>62.063385509101359</v>
      </c>
      <c r="J926" s="329"/>
      <c r="K926" s="338">
        <v>15.51584637727534</v>
      </c>
      <c r="L926" s="338">
        <v>15.51584637727534</v>
      </c>
      <c r="M926" s="338">
        <v>15.51584637727534</v>
      </c>
      <c r="N926" s="338">
        <v>15.51584637727534</v>
      </c>
      <c r="O926" s="338"/>
    </row>
    <row r="927" spans="1:15" hidden="1" outlineLevel="2" x14ac:dyDescent="0.35">
      <c r="A927" s="425" t="s">
        <v>7973</v>
      </c>
      <c r="B927" s="327">
        <v>44196</v>
      </c>
      <c r="C927" s="426">
        <v>255</v>
      </c>
      <c r="D927" s="427" t="s">
        <v>9098</v>
      </c>
      <c r="E927" s="426" t="s">
        <v>9036</v>
      </c>
      <c r="F927" s="338">
        <v>264755</v>
      </c>
      <c r="G927" s="338" t="s">
        <v>3800</v>
      </c>
      <c r="H927" s="338"/>
      <c r="I927" s="329">
        <v>62.063385509101359</v>
      </c>
      <c r="J927" s="329"/>
      <c r="K927" s="338">
        <v>15.51584637727534</v>
      </c>
      <c r="L927" s="338">
        <v>15.51584637727534</v>
      </c>
      <c r="M927" s="338">
        <v>15.51584637727534</v>
      </c>
      <c r="N927" s="338">
        <v>15.51584637727534</v>
      </c>
      <c r="O927" s="338"/>
    </row>
    <row r="928" spans="1:15" hidden="1" outlineLevel="2" x14ac:dyDescent="0.35">
      <c r="A928" s="425" t="s">
        <v>7973</v>
      </c>
      <c r="B928" s="327" t="s">
        <v>7987</v>
      </c>
      <c r="C928" s="426" t="s">
        <v>7988</v>
      </c>
      <c r="D928" s="427" t="s">
        <v>9099</v>
      </c>
      <c r="E928" s="426" t="s">
        <v>9036</v>
      </c>
      <c r="F928" s="338">
        <v>288673</v>
      </c>
      <c r="G928" s="338" t="s">
        <v>3800</v>
      </c>
      <c r="H928" s="338"/>
      <c r="I928" s="329">
        <v>68.820561858766624</v>
      </c>
      <c r="J928" s="329"/>
      <c r="K928" s="338">
        <v>17.205140464691656</v>
      </c>
      <c r="L928" s="338">
        <v>17.205140464691656</v>
      </c>
      <c r="M928" s="338">
        <v>17.205140464691656</v>
      </c>
      <c r="N928" s="338">
        <v>17.205140464691656</v>
      </c>
      <c r="O928" s="338"/>
    </row>
    <row r="929" spans="1:15" hidden="1" outlineLevel="2" x14ac:dyDescent="0.35">
      <c r="A929" s="425" t="s">
        <v>7973</v>
      </c>
      <c r="B929" s="327">
        <v>43890</v>
      </c>
      <c r="C929" s="426">
        <v>174</v>
      </c>
      <c r="D929" s="427" t="s">
        <v>9100</v>
      </c>
      <c r="E929" s="426" t="s">
        <v>9036</v>
      </c>
      <c r="F929" s="338">
        <v>264755</v>
      </c>
      <c r="G929" s="338" t="s">
        <v>3800</v>
      </c>
      <c r="H929" s="338"/>
      <c r="I929" s="329">
        <v>62.063385509101359</v>
      </c>
      <c r="J929" s="329"/>
      <c r="K929" s="338">
        <v>15.51584637727534</v>
      </c>
      <c r="L929" s="338">
        <v>15.51584637727534</v>
      </c>
      <c r="M929" s="338">
        <v>15.51584637727534</v>
      </c>
      <c r="N929" s="338">
        <v>15.51584637727534</v>
      </c>
      <c r="O929" s="338"/>
    </row>
    <row r="930" spans="1:15" hidden="1" outlineLevel="2" x14ac:dyDescent="0.35">
      <c r="A930" s="425" t="s">
        <v>7973</v>
      </c>
      <c r="B930" s="327" t="s">
        <v>8075</v>
      </c>
      <c r="C930" s="426" t="s">
        <v>9048</v>
      </c>
      <c r="D930" s="427" t="s">
        <v>9101</v>
      </c>
      <c r="E930" s="426" t="s">
        <v>9036</v>
      </c>
      <c r="F930" s="338">
        <v>288673</v>
      </c>
      <c r="G930" s="338" t="s">
        <v>3800</v>
      </c>
      <c r="H930" s="338"/>
      <c r="I930" s="329">
        <v>68.820561858766624</v>
      </c>
      <c r="J930" s="329"/>
      <c r="K930" s="338">
        <v>17.205140464691656</v>
      </c>
      <c r="L930" s="338">
        <v>17.205140464691656</v>
      </c>
      <c r="M930" s="338">
        <v>17.205140464691656</v>
      </c>
      <c r="N930" s="338">
        <v>17.205140464691656</v>
      </c>
      <c r="O930" s="338"/>
    </row>
    <row r="931" spans="1:15" hidden="1" outlineLevel="2" x14ac:dyDescent="0.35">
      <c r="A931" s="425" t="s">
        <v>7973</v>
      </c>
      <c r="B931" s="327">
        <v>43921</v>
      </c>
      <c r="C931" s="426">
        <v>181</v>
      </c>
      <c r="D931" s="427" t="s">
        <v>9102</v>
      </c>
      <c r="E931" s="426" t="s">
        <v>9036</v>
      </c>
      <c r="F931" s="338">
        <v>264755</v>
      </c>
      <c r="G931" s="338" t="s">
        <v>3800</v>
      </c>
      <c r="H931" s="338"/>
      <c r="I931" s="329">
        <v>62.063385509101359</v>
      </c>
      <c r="J931" s="329"/>
      <c r="K931" s="338">
        <v>15.51584637727534</v>
      </c>
      <c r="L931" s="338">
        <v>15.51584637727534</v>
      </c>
      <c r="M931" s="338">
        <v>15.51584637727534</v>
      </c>
      <c r="N931" s="338">
        <v>15.51584637727534</v>
      </c>
      <c r="O931" s="338"/>
    </row>
    <row r="932" spans="1:15" hidden="1" outlineLevel="2" x14ac:dyDescent="0.35">
      <c r="A932" s="425" t="s">
        <v>7973</v>
      </c>
      <c r="B932" s="327" t="s">
        <v>8089</v>
      </c>
      <c r="C932" s="426" t="s">
        <v>9051</v>
      </c>
      <c r="D932" s="427" t="s">
        <v>9103</v>
      </c>
      <c r="E932" s="426" t="s">
        <v>9036</v>
      </c>
      <c r="F932" s="338">
        <v>288673</v>
      </c>
      <c r="G932" s="338" t="s">
        <v>3800</v>
      </c>
      <c r="H932" s="338"/>
      <c r="I932" s="329">
        <v>68.820561858766624</v>
      </c>
      <c r="J932" s="329"/>
      <c r="K932" s="338">
        <v>17.205140464691656</v>
      </c>
      <c r="L932" s="338">
        <v>17.205140464691656</v>
      </c>
      <c r="M932" s="338">
        <v>17.205140464691656</v>
      </c>
      <c r="N932" s="338">
        <v>17.205140464691656</v>
      </c>
      <c r="O932" s="338"/>
    </row>
    <row r="933" spans="1:15" hidden="1" outlineLevel="2" x14ac:dyDescent="0.35">
      <c r="A933" s="425" t="s">
        <v>7973</v>
      </c>
      <c r="B933" s="327" t="s">
        <v>7980</v>
      </c>
      <c r="C933" s="426" t="s">
        <v>9053</v>
      </c>
      <c r="D933" s="427" t="s">
        <v>9103</v>
      </c>
      <c r="E933" s="426" t="s">
        <v>9036</v>
      </c>
      <c r="F933" s="338">
        <v>288673</v>
      </c>
      <c r="G933" s="338" t="s">
        <v>3800</v>
      </c>
      <c r="H933" s="338"/>
      <c r="I933" s="329">
        <v>68.820561858766624</v>
      </c>
      <c r="J933" s="329"/>
      <c r="K933" s="338">
        <v>17.205140464691656</v>
      </c>
      <c r="L933" s="338">
        <v>17.205140464691656</v>
      </c>
      <c r="M933" s="338">
        <v>17.205140464691656</v>
      </c>
      <c r="N933" s="338">
        <v>17.205140464691656</v>
      </c>
      <c r="O933" s="338"/>
    </row>
    <row r="934" spans="1:15" hidden="1" outlineLevel="2" x14ac:dyDescent="0.35">
      <c r="A934" s="425" t="s">
        <v>7973</v>
      </c>
      <c r="B934" s="327" t="s">
        <v>7996</v>
      </c>
      <c r="C934" s="426" t="s">
        <v>7997</v>
      </c>
      <c r="D934" s="427" t="s">
        <v>9103</v>
      </c>
      <c r="E934" s="426" t="s">
        <v>9036</v>
      </c>
      <c r="F934" s="338">
        <v>288673</v>
      </c>
      <c r="G934" s="338" t="s">
        <v>3800</v>
      </c>
      <c r="H934" s="338"/>
      <c r="I934" s="329">
        <v>68.820561858766624</v>
      </c>
      <c r="J934" s="329"/>
      <c r="K934" s="338">
        <v>17.205140464691656</v>
      </c>
      <c r="L934" s="338">
        <v>17.205140464691656</v>
      </c>
      <c r="M934" s="338">
        <v>17.205140464691656</v>
      </c>
      <c r="N934" s="338">
        <v>17.205140464691656</v>
      </c>
      <c r="O934" s="338"/>
    </row>
    <row r="935" spans="1:15" hidden="1" outlineLevel="2" x14ac:dyDescent="0.35">
      <c r="A935" s="425" t="s">
        <v>7973</v>
      </c>
      <c r="B935" s="327">
        <v>43951</v>
      </c>
      <c r="C935" s="426">
        <v>190</v>
      </c>
      <c r="D935" s="427" t="s">
        <v>9104</v>
      </c>
      <c r="E935" s="426" t="s">
        <v>9036</v>
      </c>
      <c r="F935" s="338">
        <v>264755</v>
      </c>
      <c r="G935" s="338" t="s">
        <v>3800</v>
      </c>
      <c r="H935" s="338"/>
      <c r="I935" s="329">
        <v>62.063385509101359</v>
      </c>
      <c r="J935" s="329"/>
      <c r="K935" s="338">
        <v>15.51584637727534</v>
      </c>
      <c r="L935" s="338">
        <v>15.51584637727534</v>
      </c>
      <c r="M935" s="338">
        <v>15.51584637727534</v>
      </c>
      <c r="N935" s="338">
        <v>15.51584637727534</v>
      </c>
      <c r="O935" s="338"/>
    </row>
    <row r="936" spans="1:15" hidden="1" outlineLevel="2" x14ac:dyDescent="0.35">
      <c r="A936" s="425" t="s">
        <v>7973</v>
      </c>
      <c r="B936" s="327">
        <v>43982</v>
      </c>
      <c r="C936" s="426">
        <v>196</v>
      </c>
      <c r="D936" s="427" t="s">
        <v>9105</v>
      </c>
      <c r="E936" s="426" t="s">
        <v>9036</v>
      </c>
      <c r="F936" s="338">
        <v>264755</v>
      </c>
      <c r="G936" s="338" t="s">
        <v>3800</v>
      </c>
      <c r="H936" s="338"/>
      <c r="I936" s="329">
        <v>62.063385509101359</v>
      </c>
      <c r="J936" s="329"/>
      <c r="K936" s="338">
        <v>15.51584637727534</v>
      </c>
      <c r="L936" s="338">
        <v>15.51584637727534</v>
      </c>
      <c r="M936" s="338">
        <v>15.51584637727534</v>
      </c>
      <c r="N936" s="338">
        <v>15.51584637727534</v>
      </c>
      <c r="O936" s="338"/>
    </row>
    <row r="937" spans="1:15" hidden="1" outlineLevel="2" x14ac:dyDescent="0.35">
      <c r="A937" s="425" t="s">
        <v>7973</v>
      </c>
      <c r="B937" s="327">
        <v>44012</v>
      </c>
      <c r="C937" s="426">
        <v>203</v>
      </c>
      <c r="D937" s="427" t="s">
        <v>9106</v>
      </c>
      <c r="E937" s="426" t="s">
        <v>9036</v>
      </c>
      <c r="F937" s="338">
        <v>264755</v>
      </c>
      <c r="G937" s="338" t="s">
        <v>3800</v>
      </c>
      <c r="H937" s="338"/>
      <c r="I937" s="329">
        <v>62.063385509101359</v>
      </c>
      <c r="J937" s="329"/>
      <c r="K937" s="338">
        <v>15.51584637727534</v>
      </c>
      <c r="L937" s="338">
        <v>15.51584637727534</v>
      </c>
      <c r="M937" s="338">
        <v>15.51584637727534</v>
      </c>
      <c r="N937" s="338">
        <v>15.51584637727534</v>
      </c>
      <c r="O937" s="338"/>
    </row>
    <row r="938" spans="1:15" hidden="1" outlineLevel="2" x14ac:dyDescent="0.35">
      <c r="A938" s="425" t="s">
        <v>7973</v>
      </c>
      <c r="B938" s="327" t="s">
        <v>7993</v>
      </c>
      <c r="C938" s="426" t="s">
        <v>7994</v>
      </c>
      <c r="D938" s="427" t="s">
        <v>9107</v>
      </c>
      <c r="E938" s="426" t="s">
        <v>9036</v>
      </c>
      <c r="F938" s="338">
        <v>288673</v>
      </c>
      <c r="G938" s="338" t="s">
        <v>3800</v>
      </c>
      <c r="H938" s="338"/>
      <c r="I938" s="329">
        <v>68.820561858766624</v>
      </c>
      <c r="J938" s="329"/>
      <c r="K938" s="338">
        <v>17.205140464691656</v>
      </c>
      <c r="L938" s="338">
        <v>17.205140464691656</v>
      </c>
      <c r="M938" s="338">
        <v>17.205140464691656</v>
      </c>
      <c r="N938" s="338">
        <v>17.205140464691656</v>
      </c>
      <c r="O938" s="338"/>
    </row>
    <row r="939" spans="1:15" hidden="1" outlineLevel="2" x14ac:dyDescent="0.35">
      <c r="A939" s="425" t="s">
        <v>7973</v>
      </c>
      <c r="B939" s="327">
        <v>44043</v>
      </c>
      <c r="C939" s="426">
        <v>209</v>
      </c>
      <c r="D939" s="427" t="s">
        <v>9108</v>
      </c>
      <c r="E939" s="426" t="s">
        <v>9036</v>
      </c>
      <c r="F939" s="338">
        <v>264755</v>
      </c>
      <c r="G939" s="338" t="s">
        <v>3800</v>
      </c>
      <c r="H939" s="338"/>
      <c r="I939" s="329">
        <v>62.063385509101359</v>
      </c>
      <c r="J939" s="329"/>
      <c r="K939" s="338">
        <v>15.51584637727534</v>
      </c>
      <c r="L939" s="338">
        <v>15.51584637727534</v>
      </c>
      <c r="M939" s="338">
        <v>15.51584637727534</v>
      </c>
      <c r="N939" s="338">
        <v>15.51584637727534</v>
      </c>
      <c r="O939" s="338"/>
    </row>
    <row r="940" spans="1:15" hidden="1" outlineLevel="2" x14ac:dyDescent="0.35">
      <c r="A940" s="425" t="s">
        <v>7973</v>
      </c>
      <c r="B940" s="327" t="s">
        <v>7990</v>
      </c>
      <c r="C940" s="426" t="s">
        <v>7991</v>
      </c>
      <c r="D940" s="427" t="s">
        <v>9109</v>
      </c>
      <c r="E940" s="426" t="s">
        <v>9036</v>
      </c>
      <c r="F940" s="338">
        <v>288673</v>
      </c>
      <c r="G940" s="338" t="s">
        <v>3800</v>
      </c>
      <c r="H940" s="338"/>
      <c r="I940" s="329">
        <v>68.820561858766624</v>
      </c>
      <c r="J940" s="329"/>
      <c r="K940" s="338">
        <v>17.205140464691656</v>
      </c>
      <c r="L940" s="338">
        <v>17.205140464691656</v>
      </c>
      <c r="M940" s="338">
        <v>17.205140464691656</v>
      </c>
      <c r="N940" s="338">
        <v>17.205140464691656</v>
      </c>
      <c r="O940" s="338"/>
    </row>
    <row r="941" spans="1:15" hidden="1" outlineLevel="2" x14ac:dyDescent="0.35">
      <c r="A941" s="425" t="s">
        <v>7973</v>
      </c>
      <c r="B941" s="327">
        <v>44074</v>
      </c>
      <c r="C941" s="426">
        <v>223</v>
      </c>
      <c r="D941" s="427" t="s">
        <v>9110</v>
      </c>
      <c r="E941" s="426" t="s">
        <v>9036</v>
      </c>
      <c r="F941" s="338">
        <v>264755</v>
      </c>
      <c r="G941" s="338" t="s">
        <v>3800</v>
      </c>
      <c r="H941" s="338"/>
      <c r="I941" s="329">
        <v>62.063385509101359</v>
      </c>
      <c r="J941" s="329"/>
      <c r="K941" s="338">
        <v>15.51584637727534</v>
      </c>
      <c r="L941" s="338">
        <v>15.51584637727534</v>
      </c>
      <c r="M941" s="338">
        <v>15.51584637727534</v>
      </c>
      <c r="N941" s="338">
        <v>15.51584637727534</v>
      </c>
      <c r="O941" s="338"/>
    </row>
    <row r="942" spans="1:15" hidden="1" outlineLevel="2" x14ac:dyDescent="0.35">
      <c r="A942" s="425" t="s">
        <v>7973</v>
      </c>
      <c r="B942" s="327" t="s">
        <v>7984</v>
      </c>
      <c r="C942" s="426" t="s">
        <v>7985</v>
      </c>
      <c r="D942" s="427" t="s">
        <v>9111</v>
      </c>
      <c r="E942" s="426" t="s">
        <v>9036</v>
      </c>
      <c r="F942" s="338">
        <v>288673</v>
      </c>
      <c r="G942" s="338" t="s">
        <v>3800</v>
      </c>
      <c r="H942" s="338"/>
      <c r="I942" s="329">
        <v>68.820561858766624</v>
      </c>
      <c r="J942" s="329"/>
      <c r="K942" s="338">
        <v>17.205140464691656</v>
      </c>
      <c r="L942" s="338">
        <v>17.205140464691656</v>
      </c>
      <c r="M942" s="338">
        <v>17.205140464691656</v>
      </c>
      <c r="N942" s="338">
        <v>17.205140464691656</v>
      </c>
      <c r="O942" s="338"/>
    </row>
    <row r="943" spans="1:15" hidden="1" outlineLevel="2" x14ac:dyDescent="0.35">
      <c r="A943" s="425" t="s">
        <v>7973</v>
      </c>
      <c r="B943" s="327">
        <v>44104</v>
      </c>
      <c r="C943" s="426">
        <v>233</v>
      </c>
      <c r="D943" s="427" t="s">
        <v>9112</v>
      </c>
      <c r="E943" s="426" t="s">
        <v>9036</v>
      </c>
      <c r="F943" s="338">
        <v>264755</v>
      </c>
      <c r="G943" s="338" t="s">
        <v>3800</v>
      </c>
      <c r="H943" s="338"/>
      <c r="I943" s="329">
        <v>62.063385509101359</v>
      </c>
      <c r="J943" s="329"/>
      <c r="K943" s="338">
        <v>15.51584637727534</v>
      </c>
      <c r="L943" s="338">
        <v>15.51584637727534</v>
      </c>
      <c r="M943" s="338">
        <v>15.51584637727534</v>
      </c>
      <c r="N943" s="338">
        <v>15.51584637727534</v>
      </c>
      <c r="O943" s="338"/>
    </row>
    <row r="944" spans="1:15" hidden="1" outlineLevel="2" x14ac:dyDescent="0.35">
      <c r="A944" s="425" t="s">
        <v>7973</v>
      </c>
      <c r="B944" s="327" t="s">
        <v>8005</v>
      </c>
      <c r="C944" s="426" t="s">
        <v>8006</v>
      </c>
      <c r="D944" s="427" t="s">
        <v>9113</v>
      </c>
      <c r="E944" s="426" t="s">
        <v>9036</v>
      </c>
      <c r="F944" s="338">
        <v>288673</v>
      </c>
      <c r="G944" s="338" t="s">
        <v>3800</v>
      </c>
      <c r="H944" s="338"/>
      <c r="I944" s="329">
        <v>68.820561858766624</v>
      </c>
      <c r="J944" s="329"/>
      <c r="K944" s="338">
        <v>17.205140464691656</v>
      </c>
      <c r="L944" s="338">
        <v>17.205140464691656</v>
      </c>
      <c r="M944" s="338">
        <v>17.205140464691656</v>
      </c>
      <c r="N944" s="338">
        <v>17.205140464691656</v>
      </c>
      <c r="O944" s="338"/>
    </row>
    <row r="945" spans="1:15" hidden="1" outlineLevel="2" x14ac:dyDescent="0.35">
      <c r="A945" s="425" t="s">
        <v>7973</v>
      </c>
      <c r="B945" s="327" t="s">
        <v>7999</v>
      </c>
      <c r="C945" s="426" t="s">
        <v>8000</v>
      </c>
      <c r="D945" s="427" t="s">
        <v>8401</v>
      </c>
      <c r="E945" s="426" t="s">
        <v>9036</v>
      </c>
      <c r="F945" s="338">
        <v>200000</v>
      </c>
      <c r="G945" s="338" t="s">
        <v>3800</v>
      </c>
      <c r="H945" s="338"/>
      <c r="I945" s="329">
        <v>47.680636470169794</v>
      </c>
      <c r="J945" s="329"/>
      <c r="K945" s="338">
        <v>11.920159117542449</v>
      </c>
      <c r="L945" s="338">
        <v>11.920159117542449</v>
      </c>
      <c r="M945" s="338">
        <v>11.920159117542449</v>
      </c>
      <c r="N945" s="338">
        <v>11.920159117542449</v>
      </c>
      <c r="O945" s="338"/>
    </row>
    <row r="946" spans="1:15" hidden="1" outlineLevel="2" x14ac:dyDescent="0.35">
      <c r="A946" s="425" t="s">
        <v>7973</v>
      </c>
      <c r="B946" s="327">
        <v>44135</v>
      </c>
      <c r="C946" s="426">
        <v>239</v>
      </c>
      <c r="D946" s="427" t="s">
        <v>9114</v>
      </c>
      <c r="E946" s="426" t="s">
        <v>9036</v>
      </c>
      <c r="F946" s="338">
        <v>322132</v>
      </c>
      <c r="G946" s="338" t="s">
        <v>3800</v>
      </c>
      <c r="H946" s="338"/>
      <c r="I946" s="329">
        <v>75.51359748000165</v>
      </c>
      <c r="J946" s="329"/>
      <c r="K946" s="338">
        <v>18.878399370000412</v>
      </c>
      <c r="L946" s="338">
        <v>18.878399370000412</v>
      </c>
      <c r="M946" s="338">
        <v>18.878399370000412</v>
      </c>
      <c r="N946" s="338">
        <v>18.878399370000412</v>
      </c>
      <c r="O946" s="338"/>
    </row>
    <row r="947" spans="1:15" hidden="1" outlineLevel="2" x14ac:dyDescent="0.35">
      <c r="A947" s="425" t="s">
        <v>7973</v>
      </c>
      <c r="B947" s="327" t="s">
        <v>8002</v>
      </c>
      <c r="C947" s="426" t="s">
        <v>8003</v>
      </c>
      <c r="D947" s="427" t="s">
        <v>9115</v>
      </c>
      <c r="E947" s="426" t="s">
        <v>9036</v>
      </c>
      <c r="F947" s="338">
        <v>358009</v>
      </c>
      <c r="G947" s="338" t="s">
        <v>3800</v>
      </c>
      <c r="H947" s="338"/>
      <c r="I947" s="329">
        <v>85.350484910245086</v>
      </c>
      <c r="J947" s="329"/>
      <c r="K947" s="338">
        <v>21.337621227561272</v>
      </c>
      <c r="L947" s="338">
        <v>21.337621227561272</v>
      </c>
      <c r="M947" s="338">
        <v>21.337621227561272</v>
      </c>
      <c r="N947" s="338">
        <v>21.337621227561272</v>
      </c>
      <c r="O947" s="338"/>
    </row>
    <row r="948" spans="1:15" hidden="1" outlineLevel="2" x14ac:dyDescent="0.35">
      <c r="A948" s="425" t="s">
        <v>7973</v>
      </c>
      <c r="B948" s="327" t="s">
        <v>7999</v>
      </c>
      <c r="C948" s="426" t="s">
        <v>8000</v>
      </c>
      <c r="D948" s="427" t="s">
        <v>9115</v>
      </c>
      <c r="E948" s="426" t="s">
        <v>9036</v>
      </c>
      <c r="F948" s="338">
        <v>358009</v>
      </c>
      <c r="G948" s="338" t="s">
        <v>3800</v>
      </c>
      <c r="H948" s="338"/>
      <c r="I948" s="329">
        <v>85.350484910245086</v>
      </c>
      <c r="J948" s="329"/>
      <c r="K948" s="338">
        <v>21.337621227561272</v>
      </c>
      <c r="L948" s="338">
        <v>21.337621227561272</v>
      </c>
      <c r="M948" s="338">
        <v>21.337621227561272</v>
      </c>
      <c r="N948" s="338">
        <v>21.337621227561272</v>
      </c>
      <c r="O948" s="338"/>
    </row>
    <row r="949" spans="1:15" hidden="1" outlineLevel="2" x14ac:dyDescent="0.35">
      <c r="A949" s="425" t="s">
        <v>7973</v>
      </c>
      <c r="B949" s="327">
        <v>44165</v>
      </c>
      <c r="C949" s="426">
        <v>247</v>
      </c>
      <c r="D949" s="427" t="s">
        <v>9116</v>
      </c>
      <c r="E949" s="426" t="s">
        <v>9036</v>
      </c>
      <c r="F949" s="338">
        <v>322132</v>
      </c>
      <c r="G949" s="338" t="s">
        <v>3800</v>
      </c>
      <c r="H949" s="338"/>
      <c r="I949" s="329">
        <v>75.51359748000165</v>
      </c>
      <c r="J949" s="329"/>
      <c r="K949" s="338">
        <v>18.878399370000412</v>
      </c>
      <c r="L949" s="338">
        <v>18.878399370000412</v>
      </c>
      <c r="M949" s="338">
        <v>18.878399370000412</v>
      </c>
      <c r="N949" s="338">
        <v>18.878399370000412</v>
      </c>
      <c r="O949" s="338"/>
    </row>
    <row r="950" spans="1:15" hidden="1" outlineLevel="2" x14ac:dyDescent="0.35">
      <c r="A950" s="425" t="s">
        <v>7973</v>
      </c>
      <c r="B950" s="327">
        <v>43861</v>
      </c>
      <c r="C950" s="426">
        <v>167</v>
      </c>
      <c r="D950" s="427" t="s">
        <v>9117</v>
      </c>
      <c r="E950" s="426" t="s">
        <v>9036</v>
      </c>
      <c r="F950" s="338">
        <v>322132</v>
      </c>
      <c r="G950" s="338" t="s">
        <v>3800</v>
      </c>
      <c r="H950" s="338"/>
      <c r="I950" s="329">
        <v>75.51359748000165</v>
      </c>
      <c r="J950" s="329"/>
      <c r="K950" s="338">
        <v>18.878399370000412</v>
      </c>
      <c r="L950" s="338">
        <v>18.878399370000412</v>
      </c>
      <c r="M950" s="338">
        <v>18.878399370000412</v>
      </c>
      <c r="N950" s="338">
        <v>18.878399370000412</v>
      </c>
      <c r="O950" s="338"/>
    </row>
    <row r="951" spans="1:15" hidden="1" outlineLevel="2" x14ac:dyDescent="0.35">
      <c r="A951" s="425" t="s">
        <v>7973</v>
      </c>
      <c r="B951" s="327" t="s">
        <v>8077</v>
      </c>
      <c r="C951" s="426" t="s">
        <v>9040</v>
      </c>
      <c r="D951" s="427" t="s">
        <v>9118</v>
      </c>
      <c r="E951" s="426" t="s">
        <v>9036</v>
      </c>
      <c r="F951" s="338">
        <v>322132</v>
      </c>
      <c r="G951" s="338" t="s">
        <v>3800</v>
      </c>
      <c r="H951" s="338"/>
      <c r="I951" s="329">
        <v>76.797293937043676</v>
      </c>
      <c r="J951" s="329"/>
      <c r="K951" s="338">
        <v>19.199323484260919</v>
      </c>
      <c r="L951" s="338">
        <v>19.199323484260919</v>
      </c>
      <c r="M951" s="338">
        <v>19.199323484260919</v>
      </c>
      <c r="N951" s="338">
        <v>19.199323484260919</v>
      </c>
      <c r="O951" s="338"/>
    </row>
    <row r="952" spans="1:15" hidden="1" outlineLevel="2" x14ac:dyDescent="0.35">
      <c r="A952" s="425" t="s">
        <v>7973</v>
      </c>
      <c r="B952" s="327" t="s">
        <v>8077</v>
      </c>
      <c r="C952" s="426" t="s">
        <v>9040</v>
      </c>
      <c r="D952" s="427" t="s">
        <v>9119</v>
      </c>
      <c r="E952" s="426" t="s">
        <v>9036</v>
      </c>
      <c r="F952" s="338">
        <v>35877</v>
      </c>
      <c r="G952" s="338" t="s">
        <v>3800</v>
      </c>
      <c r="H952" s="338"/>
      <c r="I952" s="329">
        <v>8.5531909732014082</v>
      </c>
      <c r="J952" s="329"/>
      <c r="K952" s="338">
        <v>2.138297743300352</v>
      </c>
      <c r="L952" s="338">
        <v>2.138297743300352</v>
      </c>
      <c r="M952" s="338">
        <v>2.138297743300352</v>
      </c>
      <c r="N952" s="338">
        <v>2.138297743300352</v>
      </c>
      <c r="O952" s="338"/>
    </row>
    <row r="953" spans="1:15" hidden="1" outlineLevel="2" x14ac:dyDescent="0.35">
      <c r="A953" s="425" t="s">
        <v>7973</v>
      </c>
      <c r="B953" s="327" t="s">
        <v>8079</v>
      </c>
      <c r="C953" s="426" t="s">
        <v>8327</v>
      </c>
      <c r="D953" s="427" t="s">
        <v>9120</v>
      </c>
      <c r="E953" s="426" t="s">
        <v>9036</v>
      </c>
      <c r="F953" s="338">
        <v>358009</v>
      </c>
      <c r="G953" s="338" t="s">
        <v>3800</v>
      </c>
      <c r="H953" s="338"/>
      <c r="I953" s="329">
        <v>85.350484910245086</v>
      </c>
      <c r="J953" s="329"/>
      <c r="K953" s="338">
        <v>21.337621227561272</v>
      </c>
      <c r="L953" s="338">
        <v>21.337621227561272</v>
      </c>
      <c r="M953" s="338">
        <v>21.337621227561272</v>
      </c>
      <c r="N953" s="338">
        <v>21.337621227561272</v>
      </c>
      <c r="O953" s="338"/>
    </row>
    <row r="954" spans="1:15" hidden="1" outlineLevel="2" x14ac:dyDescent="0.35">
      <c r="A954" s="425" t="s">
        <v>7973</v>
      </c>
      <c r="B954" s="327">
        <v>43830</v>
      </c>
      <c r="C954" s="426">
        <v>161</v>
      </c>
      <c r="D954" s="427" t="s">
        <v>9121</v>
      </c>
      <c r="E954" s="426" t="s">
        <v>9036</v>
      </c>
      <c r="F954" s="338">
        <v>322132</v>
      </c>
      <c r="G954" s="338" t="s">
        <v>3800</v>
      </c>
      <c r="H954" s="338"/>
      <c r="I954" s="329">
        <v>75.51359748000165</v>
      </c>
      <c r="J954" s="329"/>
      <c r="K954" s="338">
        <v>18.878399370000412</v>
      </c>
      <c r="L954" s="338">
        <v>18.878399370000412</v>
      </c>
      <c r="M954" s="338">
        <v>18.878399370000412</v>
      </c>
      <c r="N954" s="338">
        <v>18.878399370000412</v>
      </c>
      <c r="O954" s="338"/>
    </row>
    <row r="955" spans="1:15" hidden="1" outlineLevel="2" x14ac:dyDescent="0.35">
      <c r="A955" s="425" t="s">
        <v>7973</v>
      </c>
      <c r="B955" s="327">
        <v>44196</v>
      </c>
      <c r="C955" s="426">
        <v>255</v>
      </c>
      <c r="D955" s="427" t="s">
        <v>9122</v>
      </c>
      <c r="E955" s="426" t="s">
        <v>9036</v>
      </c>
      <c r="F955" s="338">
        <v>322132</v>
      </c>
      <c r="G955" s="338" t="s">
        <v>3800</v>
      </c>
      <c r="H955" s="338"/>
      <c r="I955" s="329">
        <v>75.51359748000165</v>
      </c>
      <c r="J955" s="329"/>
      <c r="K955" s="338">
        <v>18.878399370000412</v>
      </c>
      <c r="L955" s="338">
        <v>18.878399370000412</v>
      </c>
      <c r="M955" s="338">
        <v>18.878399370000412</v>
      </c>
      <c r="N955" s="338">
        <v>18.878399370000412</v>
      </c>
      <c r="O955" s="338"/>
    </row>
    <row r="956" spans="1:15" hidden="1" outlineLevel="2" x14ac:dyDescent="0.35">
      <c r="A956" s="425" t="s">
        <v>7973</v>
      </c>
      <c r="B956" s="327" t="s">
        <v>7987</v>
      </c>
      <c r="C956" s="426" t="s">
        <v>7988</v>
      </c>
      <c r="D956" s="427" t="s">
        <v>9123</v>
      </c>
      <c r="E956" s="426" t="s">
        <v>9036</v>
      </c>
      <c r="F956" s="338">
        <v>358009</v>
      </c>
      <c r="G956" s="338" t="s">
        <v>3800</v>
      </c>
      <c r="H956" s="338"/>
      <c r="I956" s="329">
        <v>85.350484910245086</v>
      </c>
      <c r="J956" s="329"/>
      <c r="K956" s="338">
        <v>21.337621227561272</v>
      </c>
      <c r="L956" s="338">
        <v>21.337621227561272</v>
      </c>
      <c r="M956" s="338">
        <v>21.337621227561272</v>
      </c>
      <c r="N956" s="338">
        <v>21.337621227561272</v>
      </c>
      <c r="O956" s="338"/>
    </row>
    <row r="957" spans="1:15" hidden="1" outlineLevel="2" x14ac:dyDescent="0.35">
      <c r="A957" s="425" t="s">
        <v>7973</v>
      </c>
      <c r="B957" s="327">
        <v>43890</v>
      </c>
      <c r="C957" s="426">
        <v>174</v>
      </c>
      <c r="D957" s="427" t="s">
        <v>9124</v>
      </c>
      <c r="E957" s="426" t="s">
        <v>9036</v>
      </c>
      <c r="F957" s="338">
        <v>322132</v>
      </c>
      <c r="G957" s="338" t="s">
        <v>3800</v>
      </c>
      <c r="H957" s="338"/>
      <c r="I957" s="329">
        <v>75.51359748000165</v>
      </c>
      <c r="J957" s="329"/>
      <c r="K957" s="338">
        <v>18.878399370000412</v>
      </c>
      <c r="L957" s="338">
        <v>18.878399370000412</v>
      </c>
      <c r="M957" s="338">
        <v>18.878399370000412</v>
      </c>
      <c r="N957" s="338">
        <v>18.878399370000412</v>
      </c>
      <c r="O957" s="338"/>
    </row>
    <row r="958" spans="1:15" hidden="1" outlineLevel="2" x14ac:dyDescent="0.35">
      <c r="A958" s="425" t="s">
        <v>7973</v>
      </c>
      <c r="B958" s="327" t="s">
        <v>8075</v>
      </c>
      <c r="C958" s="426" t="s">
        <v>9048</v>
      </c>
      <c r="D958" s="427" t="s">
        <v>9125</v>
      </c>
      <c r="E958" s="426" t="s">
        <v>9036</v>
      </c>
      <c r="F958" s="338">
        <v>358009</v>
      </c>
      <c r="G958" s="338" t="s">
        <v>3800</v>
      </c>
      <c r="H958" s="338"/>
      <c r="I958" s="329">
        <v>85.350484910245086</v>
      </c>
      <c r="J958" s="329"/>
      <c r="K958" s="338">
        <v>21.337621227561272</v>
      </c>
      <c r="L958" s="338">
        <v>21.337621227561272</v>
      </c>
      <c r="M958" s="338">
        <v>21.337621227561272</v>
      </c>
      <c r="N958" s="338">
        <v>21.337621227561272</v>
      </c>
      <c r="O958" s="338"/>
    </row>
    <row r="959" spans="1:15" hidden="1" outlineLevel="2" x14ac:dyDescent="0.35">
      <c r="A959" s="425" t="s">
        <v>7973</v>
      </c>
      <c r="B959" s="327">
        <v>43921</v>
      </c>
      <c r="C959" s="426">
        <v>181</v>
      </c>
      <c r="D959" s="427" t="s">
        <v>9126</v>
      </c>
      <c r="E959" s="426" t="s">
        <v>9036</v>
      </c>
      <c r="F959" s="338">
        <v>322132</v>
      </c>
      <c r="G959" s="338" t="s">
        <v>3800</v>
      </c>
      <c r="H959" s="338"/>
      <c r="I959" s="329">
        <v>75.51359748000165</v>
      </c>
      <c r="J959" s="329"/>
      <c r="K959" s="338">
        <v>18.878399370000412</v>
      </c>
      <c r="L959" s="338">
        <v>18.878399370000412</v>
      </c>
      <c r="M959" s="338">
        <v>18.878399370000412</v>
      </c>
      <c r="N959" s="338">
        <v>18.878399370000412</v>
      </c>
      <c r="O959" s="338"/>
    </row>
    <row r="960" spans="1:15" hidden="1" outlineLevel="2" x14ac:dyDescent="0.35">
      <c r="A960" s="425" t="s">
        <v>7973</v>
      </c>
      <c r="B960" s="327" t="s">
        <v>8089</v>
      </c>
      <c r="C960" s="426" t="s">
        <v>9051</v>
      </c>
      <c r="D960" s="427" t="s">
        <v>9127</v>
      </c>
      <c r="E960" s="426" t="s">
        <v>9036</v>
      </c>
      <c r="F960" s="338">
        <v>358009</v>
      </c>
      <c r="G960" s="338" t="s">
        <v>3800</v>
      </c>
      <c r="H960" s="338"/>
      <c r="I960" s="329">
        <v>85.350484910245086</v>
      </c>
      <c r="J960" s="329"/>
      <c r="K960" s="338">
        <v>21.337621227561272</v>
      </c>
      <c r="L960" s="338">
        <v>21.337621227561272</v>
      </c>
      <c r="M960" s="338">
        <v>21.337621227561272</v>
      </c>
      <c r="N960" s="338">
        <v>21.337621227561272</v>
      </c>
      <c r="O960" s="338"/>
    </row>
    <row r="961" spans="1:15" hidden="1" outlineLevel="2" x14ac:dyDescent="0.35">
      <c r="A961" s="425" t="s">
        <v>7973</v>
      </c>
      <c r="B961" s="327" t="s">
        <v>7980</v>
      </c>
      <c r="C961" s="426" t="s">
        <v>9053</v>
      </c>
      <c r="D961" s="427" t="s">
        <v>9127</v>
      </c>
      <c r="E961" s="426" t="s">
        <v>9036</v>
      </c>
      <c r="F961" s="338">
        <v>358009</v>
      </c>
      <c r="G961" s="338" t="s">
        <v>3800</v>
      </c>
      <c r="H961" s="338"/>
      <c r="I961" s="329">
        <v>85.350484910245086</v>
      </c>
      <c r="J961" s="329"/>
      <c r="K961" s="338">
        <v>21.337621227561272</v>
      </c>
      <c r="L961" s="338">
        <v>21.337621227561272</v>
      </c>
      <c r="M961" s="338">
        <v>21.337621227561272</v>
      </c>
      <c r="N961" s="338">
        <v>21.337621227561272</v>
      </c>
      <c r="O961" s="338"/>
    </row>
    <row r="962" spans="1:15" hidden="1" outlineLevel="2" x14ac:dyDescent="0.35">
      <c r="A962" s="425" t="s">
        <v>7973</v>
      </c>
      <c r="B962" s="327">
        <v>43951</v>
      </c>
      <c r="C962" s="426">
        <v>190</v>
      </c>
      <c r="D962" s="427" t="s">
        <v>9128</v>
      </c>
      <c r="E962" s="426" t="s">
        <v>9036</v>
      </c>
      <c r="F962" s="338">
        <v>322132</v>
      </c>
      <c r="G962" s="338" t="s">
        <v>3800</v>
      </c>
      <c r="H962" s="338"/>
      <c r="I962" s="329">
        <v>75.51359748000165</v>
      </c>
      <c r="J962" s="329"/>
      <c r="K962" s="338">
        <v>18.878399370000412</v>
      </c>
      <c r="L962" s="338">
        <v>18.878399370000412</v>
      </c>
      <c r="M962" s="338">
        <v>18.878399370000412</v>
      </c>
      <c r="N962" s="338">
        <v>18.878399370000412</v>
      </c>
      <c r="O962" s="338"/>
    </row>
    <row r="963" spans="1:15" hidden="1" outlineLevel="2" x14ac:dyDescent="0.35">
      <c r="A963" s="425" t="s">
        <v>7973</v>
      </c>
      <c r="B963" s="327">
        <v>43982</v>
      </c>
      <c r="C963" s="426">
        <v>196</v>
      </c>
      <c r="D963" s="427" t="s">
        <v>9129</v>
      </c>
      <c r="E963" s="426" t="s">
        <v>9036</v>
      </c>
      <c r="F963" s="338">
        <v>322132</v>
      </c>
      <c r="G963" s="338" t="s">
        <v>3800</v>
      </c>
      <c r="H963" s="338"/>
      <c r="I963" s="329">
        <v>75.51359748000165</v>
      </c>
      <c r="J963" s="329"/>
      <c r="K963" s="338">
        <v>18.878399370000412</v>
      </c>
      <c r="L963" s="338">
        <v>18.878399370000412</v>
      </c>
      <c r="M963" s="338">
        <v>18.878399370000412</v>
      </c>
      <c r="N963" s="338">
        <v>18.878399370000412</v>
      </c>
      <c r="O963" s="338"/>
    </row>
    <row r="964" spans="1:15" hidden="1" outlineLevel="2" x14ac:dyDescent="0.35">
      <c r="A964" s="425" t="s">
        <v>7973</v>
      </c>
      <c r="B964" s="327" t="s">
        <v>7996</v>
      </c>
      <c r="C964" s="426" t="s">
        <v>7997</v>
      </c>
      <c r="D964" s="427" t="s">
        <v>9130</v>
      </c>
      <c r="E964" s="426" t="s">
        <v>9036</v>
      </c>
      <c r="F964" s="338">
        <v>358009</v>
      </c>
      <c r="G964" s="338" t="s">
        <v>3800</v>
      </c>
      <c r="H964" s="338"/>
      <c r="I964" s="329">
        <v>85.350484910245086</v>
      </c>
      <c r="J964" s="329"/>
      <c r="K964" s="338">
        <v>21.337621227561272</v>
      </c>
      <c r="L964" s="338">
        <v>21.337621227561272</v>
      </c>
      <c r="M964" s="338">
        <v>21.337621227561272</v>
      </c>
      <c r="N964" s="338">
        <v>21.337621227561272</v>
      </c>
      <c r="O964" s="338"/>
    </row>
    <row r="965" spans="1:15" hidden="1" outlineLevel="2" x14ac:dyDescent="0.35">
      <c r="A965" s="425" t="s">
        <v>7973</v>
      </c>
      <c r="B965" s="327">
        <v>44012</v>
      </c>
      <c r="C965" s="426">
        <v>203</v>
      </c>
      <c r="D965" s="427" t="s">
        <v>9131</v>
      </c>
      <c r="E965" s="426" t="s">
        <v>9036</v>
      </c>
      <c r="F965" s="338">
        <v>322132</v>
      </c>
      <c r="G965" s="338" t="s">
        <v>3800</v>
      </c>
      <c r="H965" s="338"/>
      <c r="I965" s="329">
        <v>75.51359748000165</v>
      </c>
      <c r="J965" s="329"/>
      <c r="K965" s="338">
        <v>18.878399370000412</v>
      </c>
      <c r="L965" s="338">
        <v>18.878399370000412</v>
      </c>
      <c r="M965" s="338">
        <v>18.878399370000412</v>
      </c>
      <c r="N965" s="338">
        <v>18.878399370000412</v>
      </c>
      <c r="O965" s="338"/>
    </row>
    <row r="966" spans="1:15" hidden="1" outlineLevel="2" x14ac:dyDescent="0.35">
      <c r="A966" s="425" t="s">
        <v>7973</v>
      </c>
      <c r="B966" s="327" t="s">
        <v>7993</v>
      </c>
      <c r="C966" s="426" t="s">
        <v>7994</v>
      </c>
      <c r="D966" s="427" t="s">
        <v>9132</v>
      </c>
      <c r="E966" s="426" t="s">
        <v>9036</v>
      </c>
      <c r="F966" s="338">
        <v>358009</v>
      </c>
      <c r="G966" s="338" t="s">
        <v>3800</v>
      </c>
      <c r="H966" s="338"/>
      <c r="I966" s="329">
        <v>85.350484910245086</v>
      </c>
      <c r="J966" s="329"/>
      <c r="K966" s="338">
        <v>21.337621227561272</v>
      </c>
      <c r="L966" s="338">
        <v>21.337621227561272</v>
      </c>
      <c r="M966" s="338">
        <v>21.337621227561272</v>
      </c>
      <c r="N966" s="338">
        <v>21.337621227561272</v>
      </c>
      <c r="O966" s="338"/>
    </row>
    <row r="967" spans="1:15" hidden="1" outlineLevel="2" x14ac:dyDescent="0.35">
      <c r="A967" s="425" t="s">
        <v>7973</v>
      </c>
      <c r="B967" s="327">
        <v>44043</v>
      </c>
      <c r="C967" s="426">
        <v>209</v>
      </c>
      <c r="D967" s="427" t="s">
        <v>9133</v>
      </c>
      <c r="E967" s="426" t="s">
        <v>9036</v>
      </c>
      <c r="F967" s="338">
        <v>322132</v>
      </c>
      <c r="G967" s="338" t="s">
        <v>3800</v>
      </c>
      <c r="H967" s="338"/>
      <c r="I967" s="329">
        <v>75.51359748000165</v>
      </c>
      <c r="J967" s="329"/>
      <c r="K967" s="338">
        <v>18.878399370000412</v>
      </c>
      <c r="L967" s="338">
        <v>18.878399370000412</v>
      </c>
      <c r="M967" s="338">
        <v>18.878399370000412</v>
      </c>
      <c r="N967" s="338">
        <v>18.878399370000412</v>
      </c>
      <c r="O967" s="338"/>
    </row>
    <row r="968" spans="1:15" hidden="1" outlineLevel="2" x14ac:dyDescent="0.35">
      <c r="A968" s="425" t="s">
        <v>7973</v>
      </c>
      <c r="B968" s="327" t="s">
        <v>7990</v>
      </c>
      <c r="C968" s="426" t="s">
        <v>7991</v>
      </c>
      <c r="D968" s="427" t="s">
        <v>9134</v>
      </c>
      <c r="E968" s="426" t="s">
        <v>9036</v>
      </c>
      <c r="F968" s="338">
        <v>358009</v>
      </c>
      <c r="G968" s="338" t="s">
        <v>3800</v>
      </c>
      <c r="H968" s="338"/>
      <c r="I968" s="329">
        <v>85.350484910245086</v>
      </c>
      <c r="J968" s="329"/>
      <c r="K968" s="338">
        <v>21.337621227561272</v>
      </c>
      <c r="L968" s="338">
        <v>21.337621227561272</v>
      </c>
      <c r="M968" s="338">
        <v>21.337621227561272</v>
      </c>
      <c r="N968" s="338">
        <v>21.337621227561272</v>
      </c>
      <c r="O968" s="338"/>
    </row>
    <row r="969" spans="1:15" hidden="1" outlineLevel="2" x14ac:dyDescent="0.35">
      <c r="A969" s="425" t="s">
        <v>7973</v>
      </c>
      <c r="B969" s="327">
        <v>44074</v>
      </c>
      <c r="C969" s="426">
        <v>223</v>
      </c>
      <c r="D969" s="427" t="s">
        <v>9135</v>
      </c>
      <c r="E969" s="426" t="s">
        <v>9036</v>
      </c>
      <c r="F969" s="338">
        <v>322132</v>
      </c>
      <c r="G969" s="338" t="s">
        <v>3800</v>
      </c>
      <c r="H969" s="338"/>
      <c r="I969" s="329">
        <v>75.51359748000165</v>
      </c>
      <c r="J969" s="329"/>
      <c r="K969" s="338">
        <v>18.878399370000412</v>
      </c>
      <c r="L969" s="338">
        <v>18.878399370000412</v>
      </c>
      <c r="M969" s="338">
        <v>18.878399370000412</v>
      </c>
      <c r="N969" s="338">
        <v>18.878399370000412</v>
      </c>
      <c r="O969" s="338"/>
    </row>
    <row r="970" spans="1:15" hidden="1" outlineLevel="2" x14ac:dyDescent="0.35">
      <c r="A970" s="425" t="s">
        <v>7973</v>
      </c>
      <c r="B970" s="327" t="s">
        <v>7984</v>
      </c>
      <c r="C970" s="426" t="s">
        <v>7985</v>
      </c>
      <c r="D970" s="427" t="s">
        <v>9136</v>
      </c>
      <c r="E970" s="426" t="s">
        <v>9036</v>
      </c>
      <c r="F970" s="338">
        <v>358009</v>
      </c>
      <c r="G970" s="338" t="s">
        <v>3800</v>
      </c>
      <c r="H970" s="338"/>
      <c r="I970" s="329">
        <v>85.350484910245086</v>
      </c>
      <c r="J970" s="329"/>
      <c r="K970" s="338">
        <v>21.337621227561272</v>
      </c>
      <c r="L970" s="338">
        <v>21.337621227561272</v>
      </c>
      <c r="M970" s="338">
        <v>21.337621227561272</v>
      </c>
      <c r="N970" s="338">
        <v>21.337621227561272</v>
      </c>
      <c r="O970" s="338"/>
    </row>
    <row r="971" spans="1:15" hidden="1" outlineLevel="2" x14ac:dyDescent="0.35">
      <c r="A971" s="425" t="s">
        <v>7973</v>
      </c>
      <c r="B971" s="327">
        <v>44104</v>
      </c>
      <c r="C971" s="426">
        <v>233</v>
      </c>
      <c r="D971" s="427" t="s">
        <v>9137</v>
      </c>
      <c r="E971" s="426" t="s">
        <v>9036</v>
      </c>
      <c r="F971" s="338">
        <v>322132</v>
      </c>
      <c r="G971" s="338" t="s">
        <v>3800</v>
      </c>
      <c r="H971" s="338"/>
      <c r="I971" s="329">
        <v>75.51359748000165</v>
      </c>
      <c r="J971" s="329"/>
      <c r="K971" s="338">
        <v>18.878399370000412</v>
      </c>
      <c r="L971" s="338">
        <v>18.878399370000412</v>
      </c>
      <c r="M971" s="338">
        <v>18.878399370000412</v>
      </c>
      <c r="N971" s="338">
        <v>18.878399370000412</v>
      </c>
      <c r="O971" s="338"/>
    </row>
    <row r="972" spans="1:15" hidden="1" outlineLevel="2" x14ac:dyDescent="0.35">
      <c r="A972" s="425" t="s">
        <v>7973</v>
      </c>
      <c r="B972" s="327" t="s">
        <v>8005</v>
      </c>
      <c r="C972" s="426" t="s">
        <v>8006</v>
      </c>
      <c r="D972" s="427" t="s">
        <v>9138</v>
      </c>
      <c r="E972" s="426" t="s">
        <v>9036</v>
      </c>
      <c r="F972" s="338">
        <v>358009</v>
      </c>
      <c r="G972" s="338" t="s">
        <v>3800</v>
      </c>
      <c r="H972" s="338"/>
      <c r="I972" s="329">
        <v>85.350484910245086</v>
      </c>
      <c r="J972" s="329"/>
      <c r="K972" s="338">
        <v>21.337621227561272</v>
      </c>
      <c r="L972" s="338">
        <v>21.337621227561272</v>
      </c>
      <c r="M972" s="338">
        <v>21.337621227561272</v>
      </c>
      <c r="N972" s="338">
        <v>21.337621227561272</v>
      </c>
      <c r="O972" s="338"/>
    </row>
    <row r="973" spans="1:15" hidden="1" outlineLevel="2" x14ac:dyDescent="0.35">
      <c r="A973" s="425" t="s">
        <v>7973</v>
      </c>
      <c r="B973" s="327">
        <v>44135</v>
      </c>
      <c r="C973" s="426">
        <v>239</v>
      </c>
      <c r="D973" s="427" t="s">
        <v>9139</v>
      </c>
      <c r="E973" s="426" t="s">
        <v>9036</v>
      </c>
      <c r="F973" s="338">
        <v>500000</v>
      </c>
      <c r="G973" s="338" t="s">
        <v>3800</v>
      </c>
      <c r="H973" s="338"/>
      <c r="I973" s="329">
        <v>117.20909049706589</v>
      </c>
      <c r="J973" s="329"/>
      <c r="K973" s="338">
        <v>29.302272624266472</v>
      </c>
      <c r="L973" s="338">
        <v>29.302272624266472</v>
      </c>
      <c r="M973" s="338">
        <v>29.302272624266472</v>
      </c>
      <c r="N973" s="338">
        <v>29.302272624266472</v>
      </c>
      <c r="O973" s="338"/>
    </row>
    <row r="974" spans="1:15" hidden="1" outlineLevel="2" x14ac:dyDescent="0.35">
      <c r="A974" s="425" t="s">
        <v>7973</v>
      </c>
      <c r="B974" s="327" t="s">
        <v>8002</v>
      </c>
      <c r="C974" s="426" t="s">
        <v>8003</v>
      </c>
      <c r="D974" s="427" t="s">
        <v>9140</v>
      </c>
      <c r="E974" s="426" t="s">
        <v>9036</v>
      </c>
      <c r="F974" s="338">
        <v>500000</v>
      </c>
      <c r="G974" s="338" t="s">
        <v>3800</v>
      </c>
      <c r="H974" s="338"/>
      <c r="I974" s="329">
        <v>119.20159117542448</v>
      </c>
      <c r="J974" s="329"/>
      <c r="K974" s="338">
        <v>29.800397793856121</v>
      </c>
      <c r="L974" s="338">
        <v>29.800397793856121</v>
      </c>
      <c r="M974" s="338">
        <v>29.800397793856121</v>
      </c>
      <c r="N974" s="338">
        <v>29.800397793856121</v>
      </c>
      <c r="O974" s="338"/>
    </row>
    <row r="975" spans="1:15" hidden="1" outlineLevel="2" x14ac:dyDescent="0.35">
      <c r="A975" s="425" t="s">
        <v>7973</v>
      </c>
      <c r="B975" s="327" t="s">
        <v>7999</v>
      </c>
      <c r="C975" s="426" t="s">
        <v>8000</v>
      </c>
      <c r="D975" s="427" t="s">
        <v>9140</v>
      </c>
      <c r="E975" s="426" t="s">
        <v>9036</v>
      </c>
      <c r="F975" s="338">
        <v>500000</v>
      </c>
      <c r="G975" s="338" t="s">
        <v>3800</v>
      </c>
      <c r="H975" s="338"/>
      <c r="I975" s="329">
        <v>119.20159117542448</v>
      </c>
      <c r="J975" s="329"/>
      <c r="K975" s="338">
        <v>29.800397793856121</v>
      </c>
      <c r="L975" s="338">
        <v>29.800397793856121</v>
      </c>
      <c r="M975" s="338">
        <v>29.800397793856121</v>
      </c>
      <c r="N975" s="338">
        <v>29.800397793856121</v>
      </c>
      <c r="O975" s="338"/>
    </row>
    <row r="976" spans="1:15" hidden="1" outlineLevel="2" x14ac:dyDescent="0.35">
      <c r="A976" s="425" t="s">
        <v>7973</v>
      </c>
      <c r="B976" s="327">
        <v>44165</v>
      </c>
      <c r="C976" s="426">
        <v>247</v>
      </c>
      <c r="D976" s="427" t="s">
        <v>9141</v>
      </c>
      <c r="E976" s="426" t="s">
        <v>9036</v>
      </c>
      <c r="F976" s="338">
        <v>500000</v>
      </c>
      <c r="G976" s="338" t="s">
        <v>3800</v>
      </c>
      <c r="H976" s="338"/>
      <c r="I976" s="329">
        <v>117.20909049706589</v>
      </c>
      <c r="J976" s="329"/>
      <c r="K976" s="338">
        <v>29.302272624266472</v>
      </c>
      <c r="L976" s="338">
        <v>29.302272624266472</v>
      </c>
      <c r="M976" s="338">
        <v>29.302272624266472</v>
      </c>
      <c r="N976" s="338">
        <v>29.302272624266472</v>
      </c>
      <c r="O976" s="338"/>
    </row>
    <row r="977" spans="1:15" hidden="1" outlineLevel="2" x14ac:dyDescent="0.35">
      <c r="A977" s="425" t="s">
        <v>7973</v>
      </c>
      <c r="B977" s="327">
        <v>43861</v>
      </c>
      <c r="C977" s="426">
        <v>167</v>
      </c>
      <c r="D977" s="427" t="s">
        <v>9142</v>
      </c>
      <c r="E977" s="426" t="s">
        <v>9036</v>
      </c>
      <c r="F977" s="338">
        <v>500000</v>
      </c>
      <c r="G977" s="338" t="s">
        <v>3800</v>
      </c>
      <c r="H977" s="338"/>
      <c r="I977" s="329">
        <v>117.20909049706589</v>
      </c>
      <c r="J977" s="329"/>
      <c r="K977" s="338">
        <v>29.302272624266472</v>
      </c>
      <c r="L977" s="338">
        <v>29.302272624266472</v>
      </c>
      <c r="M977" s="338">
        <v>29.302272624266472</v>
      </c>
      <c r="N977" s="338">
        <v>29.302272624266472</v>
      </c>
      <c r="O977" s="338"/>
    </row>
    <row r="978" spans="1:15" hidden="1" outlineLevel="2" x14ac:dyDescent="0.35">
      <c r="A978" s="425" t="s">
        <v>7973</v>
      </c>
      <c r="B978" s="327" t="s">
        <v>8077</v>
      </c>
      <c r="C978" s="426" t="s">
        <v>9040</v>
      </c>
      <c r="D978" s="427" t="s">
        <v>9143</v>
      </c>
      <c r="E978" s="426" t="s">
        <v>9036</v>
      </c>
      <c r="F978" s="338">
        <v>500000</v>
      </c>
      <c r="G978" s="338" t="s">
        <v>3800</v>
      </c>
      <c r="H978" s="338"/>
      <c r="I978" s="329">
        <v>119.20159117542448</v>
      </c>
      <c r="J978" s="329"/>
      <c r="K978" s="338">
        <v>29.800397793856121</v>
      </c>
      <c r="L978" s="338">
        <v>29.800397793856121</v>
      </c>
      <c r="M978" s="338">
        <v>29.800397793856121</v>
      </c>
      <c r="N978" s="338">
        <v>29.800397793856121</v>
      </c>
      <c r="O978" s="338"/>
    </row>
    <row r="979" spans="1:15" hidden="1" outlineLevel="2" x14ac:dyDescent="0.35">
      <c r="A979" s="425" t="s">
        <v>7973</v>
      </c>
      <c r="B979" s="327" t="s">
        <v>8079</v>
      </c>
      <c r="C979" s="426" t="s">
        <v>8327</v>
      </c>
      <c r="D979" s="427" t="s">
        <v>9144</v>
      </c>
      <c r="E979" s="426" t="s">
        <v>9036</v>
      </c>
      <c r="F979" s="338">
        <v>500000</v>
      </c>
      <c r="G979" s="338" t="s">
        <v>3800</v>
      </c>
      <c r="H979" s="338"/>
      <c r="I979" s="329">
        <v>119.20159117542448</v>
      </c>
      <c r="J979" s="329"/>
      <c r="K979" s="338">
        <v>29.800397793856121</v>
      </c>
      <c r="L979" s="338">
        <v>29.800397793856121</v>
      </c>
      <c r="M979" s="338">
        <v>29.800397793856121</v>
      </c>
      <c r="N979" s="338">
        <v>29.800397793856121</v>
      </c>
      <c r="O979" s="338"/>
    </row>
    <row r="980" spans="1:15" hidden="1" outlineLevel="2" x14ac:dyDescent="0.35">
      <c r="A980" s="425" t="s">
        <v>7973</v>
      </c>
      <c r="B980" s="327">
        <v>43830</v>
      </c>
      <c r="C980" s="426">
        <v>161</v>
      </c>
      <c r="D980" s="427" t="s">
        <v>9145</v>
      </c>
      <c r="E980" s="426" t="s">
        <v>9036</v>
      </c>
      <c r="F980" s="338">
        <v>500000</v>
      </c>
      <c r="G980" s="338" t="s">
        <v>3800</v>
      </c>
      <c r="H980" s="338"/>
      <c r="I980" s="329">
        <v>117.20909049706589</v>
      </c>
      <c r="J980" s="329"/>
      <c r="K980" s="338">
        <v>29.302272624266472</v>
      </c>
      <c r="L980" s="338">
        <v>29.302272624266472</v>
      </c>
      <c r="M980" s="338">
        <v>29.302272624266472</v>
      </c>
      <c r="N980" s="338">
        <v>29.302272624266472</v>
      </c>
      <c r="O980" s="338"/>
    </row>
    <row r="981" spans="1:15" hidden="1" outlineLevel="2" x14ac:dyDescent="0.35">
      <c r="A981" s="425" t="s">
        <v>7973</v>
      </c>
      <c r="B981" s="327">
        <v>44196</v>
      </c>
      <c r="C981" s="426">
        <v>255</v>
      </c>
      <c r="D981" s="427" t="s">
        <v>9146</v>
      </c>
      <c r="E981" s="426" t="s">
        <v>9036</v>
      </c>
      <c r="F981" s="338">
        <v>500000</v>
      </c>
      <c r="G981" s="338" t="s">
        <v>3800</v>
      </c>
      <c r="H981" s="338"/>
      <c r="I981" s="329">
        <v>117.20909049706589</v>
      </c>
      <c r="J981" s="329"/>
      <c r="K981" s="338">
        <v>29.302272624266472</v>
      </c>
      <c r="L981" s="338">
        <v>29.302272624266472</v>
      </c>
      <c r="M981" s="338">
        <v>29.302272624266472</v>
      </c>
      <c r="N981" s="338">
        <v>29.302272624266472</v>
      </c>
      <c r="O981" s="338"/>
    </row>
    <row r="982" spans="1:15" hidden="1" outlineLevel="2" x14ac:dyDescent="0.35">
      <c r="A982" s="425" t="s">
        <v>7973</v>
      </c>
      <c r="B982" s="327" t="s">
        <v>7987</v>
      </c>
      <c r="C982" s="426" t="s">
        <v>7988</v>
      </c>
      <c r="D982" s="427" t="s">
        <v>9147</v>
      </c>
      <c r="E982" s="426" t="s">
        <v>9036</v>
      </c>
      <c r="F982" s="338">
        <v>500000</v>
      </c>
      <c r="G982" s="338" t="s">
        <v>3800</v>
      </c>
      <c r="H982" s="338"/>
      <c r="I982" s="329">
        <v>119.20159117542448</v>
      </c>
      <c r="J982" s="329"/>
      <c r="K982" s="338">
        <v>29.800397793856121</v>
      </c>
      <c r="L982" s="338">
        <v>29.800397793856121</v>
      </c>
      <c r="M982" s="338">
        <v>29.800397793856121</v>
      </c>
      <c r="N982" s="338">
        <v>29.800397793856121</v>
      </c>
      <c r="O982" s="338"/>
    </row>
    <row r="983" spans="1:15" hidden="1" outlineLevel="2" x14ac:dyDescent="0.35">
      <c r="A983" s="425" t="s">
        <v>7973</v>
      </c>
      <c r="B983" s="327">
        <v>43890</v>
      </c>
      <c r="C983" s="426">
        <v>174</v>
      </c>
      <c r="D983" s="427" t="s">
        <v>9148</v>
      </c>
      <c r="E983" s="426" t="s">
        <v>9036</v>
      </c>
      <c r="F983" s="338">
        <v>500000</v>
      </c>
      <c r="G983" s="338" t="s">
        <v>3800</v>
      </c>
      <c r="H983" s="338"/>
      <c r="I983" s="329">
        <v>117.20909049706589</v>
      </c>
      <c r="J983" s="329"/>
      <c r="K983" s="338">
        <v>29.302272624266472</v>
      </c>
      <c r="L983" s="338">
        <v>29.302272624266472</v>
      </c>
      <c r="M983" s="338">
        <v>29.302272624266472</v>
      </c>
      <c r="N983" s="338">
        <v>29.302272624266472</v>
      </c>
      <c r="O983" s="338"/>
    </row>
    <row r="984" spans="1:15" hidden="1" outlineLevel="2" x14ac:dyDescent="0.35">
      <c r="A984" s="425" t="s">
        <v>7973</v>
      </c>
      <c r="B984" s="327" t="s">
        <v>8075</v>
      </c>
      <c r="C984" s="426" t="s">
        <v>9048</v>
      </c>
      <c r="D984" s="427" t="s">
        <v>9149</v>
      </c>
      <c r="E984" s="426" t="s">
        <v>9036</v>
      </c>
      <c r="F984" s="338">
        <v>500000</v>
      </c>
      <c r="G984" s="338" t="s">
        <v>3800</v>
      </c>
      <c r="H984" s="338"/>
      <c r="I984" s="329">
        <v>119.20159117542448</v>
      </c>
      <c r="J984" s="329"/>
      <c r="K984" s="338">
        <v>29.800397793856121</v>
      </c>
      <c r="L984" s="338">
        <v>29.800397793856121</v>
      </c>
      <c r="M984" s="338">
        <v>29.800397793856121</v>
      </c>
      <c r="N984" s="338">
        <v>29.800397793856121</v>
      </c>
      <c r="O984" s="338"/>
    </row>
    <row r="985" spans="1:15" hidden="1" outlineLevel="2" x14ac:dyDescent="0.35">
      <c r="A985" s="425" t="s">
        <v>7973</v>
      </c>
      <c r="B985" s="327" t="s">
        <v>8089</v>
      </c>
      <c r="C985" s="426" t="s">
        <v>9051</v>
      </c>
      <c r="D985" s="427" t="s">
        <v>9149</v>
      </c>
      <c r="E985" s="426" t="s">
        <v>9036</v>
      </c>
      <c r="F985" s="338">
        <v>500000</v>
      </c>
      <c r="G985" s="338" t="s">
        <v>3800</v>
      </c>
      <c r="H985" s="338"/>
      <c r="I985" s="329">
        <v>119.20159117542448</v>
      </c>
      <c r="J985" s="329"/>
      <c r="K985" s="338">
        <v>29.800397793856121</v>
      </c>
      <c r="L985" s="338">
        <v>29.800397793856121</v>
      </c>
      <c r="M985" s="338">
        <v>29.800397793856121</v>
      </c>
      <c r="N985" s="338">
        <v>29.800397793856121</v>
      </c>
      <c r="O985" s="338"/>
    </row>
    <row r="986" spans="1:15" hidden="1" outlineLevel="2" x14ac:dyDescent="0.35">
      <c r="A986" s="425" t="s">
        <v>7973</v>
      </c>
      <c r="B986" s="327" t="s">
        <v>7980</v>
      </c>
      <c r="C986" s="426" t="s">
        <v>9053</v>
      </c>
      <c r="D986" s="427" t="s">
        <v>9149</v>
      </c>
      <c r="E986" s="426" t="s">
        <v>9036</v>
      </c>
      <c r="F986" s="338">
        <v>500000</v>
      </c>
      <c r="G986" s="338" t="s">
        <v>3800</v>
      </c>
      <c r="H986" s="338"/>
      <c r="I986" s="329">
        <v>119.20159117542448</v>
      </c>
      <c r="J986" s="329"/>
      <c r="K986" s="338">
        <v>29.800397793856121</v>
      </c>
      <c r="L986" s="338">
        <v>29.800397793856121</v>
      </c>
      <c r="M986" s="338">
        <v>29.800397793856121</v>
      </c>
      <c r="N986" s="338">
        <v>29.800397793856121</v>
      </c>
      <c r="O986" s="338"/>
    </row>
    <row r="987" spans="1:15" hidden="1" outlineLevel="2" x14ac:dyDescent="0.35">
      <c r="A987" s="425" t="s">
        <v>7973</v>
      </c>
      <c r="B987" s="327">
        <v>43921</v>
      </c>
      <c r="C987" s="426">
        <v>181</v>
      </c>
      <c r="D987" s="427" t="s">
        <v>9150</v>
      </c>
      <c r="E987" s="426" t="s">
        <v>9036</v>
      </c>
      <c r="F987" s="338">
        <v>500000</v>
      </c>
      <c r="G987" s="338" t="s">
        <v>3800</v>
      </c>
      <c r="H987" s="338"/>
      <c r="I987" s="329">
        <v>117.20909049706589</v>
      </c>
      <c r="J987" s="329"/>
      <c r="K987" s="338">
        <v>29.302272624266472</v>
      </c>
      <c r="L987" s="338">
        <v>29.302272624266472</v>
      </c>
      <c r="M987" s="338">
        <v>29.302272624266472</v>
      </c>
      <c r="N987" s="338">
        <v>29.302272624266472</v>
      </c>
      <c r="O987" s="338"/>
    </row>
    <row r="988" spans="1:15" hidden="1" outlineLevel="2" x14ac:dyDescent="0.35">
      <c r="A988" s="425" t="s">
        <v>7973</v>
      </c>
      <c r="B988" s="327">
        <v>43951</v>
      </c>
      <c r="C988" s="426">
        <v>190</v>
      </c>
      <c r="D988" s="427" t="s">
        <v>9151</v>
      </c>
      <c r="E988" s="426" t="s">
        <v>9036</v>
      </c>
      <c r="F988" s="338">
        <v>500000</v>
      </c>
      <c r="G988" s="338" t="s">
        <v>3800</v>
      </c>
      <c r="H988" s="338"/>
      <c r="I988" s="329">
        <v>117.20909049706589</v>
      </c>
      <c r="J988" s="329"/>
      <c r="K988" s="338">
        <v>29.302272624266472</v>
      </c>
      <c r="L988" s="338">
        <v>29.302272624266472</v>
      </c>
      <c r="M988" s="338">
        <v>29.302272624266472</v>
      </c>
      <c r="N988" s="338">
        <v>29.302272624266472</v>
      </c>
      <c r="O988" s="338"/>
    </row>
    <row r="989" spans="1:15" hidden="1" outlineLevel="2" x14ac:dyDescent="0.35">
      <c r="A989" s="425" t="s">
        <v>7973</v>
      </c>
      <c r="B989" s="327">
        <v>43982</v>
      </c>
      <c r="C989" s="426">
        <v>196</v>
      </c>
      <c r="D989" s="427" t="s">
        <v>9152</v>
      </c>
      <c r="E989" s="426" t="s">
        <v>9036</v>
      </c>
      <c r="F989" s="338">
        <v>500000</v>
      </c>
      <c r="G989" s="338" t="s">
        <v>3800</v>
      </c>
      <c r="H989" s="338"/>
      <c r="I989" s="329">
        <v>117.20909049706589</v>
      </c>
      <c r="J989" s="329"/>
      <c r="K989" s="338">
        <v>29.302272624266472</v>
      </c>
      <c r="L989" s="338">
        <v>29.302272624266472</v>
      </c>
      <c r="M989" s="338">
        <v>29.302272624266472</v>
      </c>
      <c r="N989" s="338">
        <v>29.302272624266472</v>
      </c>
      <c r="O989" s="338"/>
    </row>
    <row r="990" spans="1:15" hidden="1" outlineLevel="2" x14ac:dyDescent="0.35">
      <c r="A990" s="425" t="s">
        <v>7973</v>
      </c>
      <c r="B990" s="327" t="s">
        <v>7996</v>
      </c>
      <c r="C990" s="426" t="s">
        <v>7997</v>
      </c>
      <c r="D990" s="427" t="s">
        <v>9153</v>
      </c>
      <c r="E990" s="426" t="s">
        <v>9036</v>
      </c>
      <c r="F990" s="338">
        <v>500000</v>
      </c>
      <c r="G990" s="338" t="s">
        <v>3800</v>
      </c>
      <c r="H990" s="338"/>
      <c r="I990" s="329">
        <v>119.20159117542448</v>
      </c>
      <c r="J990" s="329"/>
      <c r="K990" s="338">
        <v>29.800397793856121</v>
      </c>
      <c r="L990" s="338">
        <v>29.800397793856121</v>
      </c>
      <c r="M990" s="338">
        <v>29.800397793856121</v>
      </c>
      <c r="N990" s="338">
        <v>29.800397793856121</v>
      </c>
      <c r="O990" s="338"/>
    </row>
    <row r="991" spans="1:15" hidden="1" outlineLevel="2" x14ac:dyDescent="0.35">
      <c r="A991" s="425" t="s">
        <v>7973</v>
      </c>
      <c r="B991" s="327">
        <v>44012</v>
      </c>
      <c r="C991" s="426">
        <v>203</v>
      </c>
      <c r="D991" s="427" t="s">
        <v>9154</v>
      </c>
      <c r="E991" s="426" t="s">
        <v>9036</v>
      </c>
      <c r="F991" s="338">
        <v>500000</v>
      </c>
      <c r="G991" s="338" t="s">
        <v>3800</v>
      </c>
      <c r="H991" s="338"/>
      <c r="I991" s="329">
        <v>117.20909049706589</v>
      </c>
      <c r="J991" s="329"/>
      <c r="K991" s="338">
        <v>29.302272624266472</v>
      </c>
      <c r="L991" s="338">
        <v>29.302272624266472</v>
      </c>
      <c r="M991" s="338">
        <v>29.302272624266472</v>
      </c>
      <c r="N991" s="338">
        <v>29.302272624266472</v>
      </c>
      <c r="O991" s="338"/>
    </row>
    <row r="992" spans="1:15" hidden="1" outlineLevel="2" x14ac:dyDescent="0.35">
      <c r="A992" s="425" t="s">
        <v>7973</v>
      </c>
      <c r="B992" s="327" t="s">
        <v>7993</v>
      </c>
      <c r="C992" s="426" t="s">
        <v>7994</v>
      </c>
      <c r="D992" s="427" t="s">
        <v>9155</v>
      </c>
      <c r="E992" s="426" t="s">
        <v>9036</v>
      </c>
      <c r="F992" s="338">
        <v>500000</v>
      </c>
      <c r="G992" s="338" t="s">
        <v>3800</v>
      </c>
      <c r="H992" s="338"/>
      <c r="I992" s="329">
        <v>119.20159117542448</v>
      </c>
      <c r="J992" s="329"/>
      <c r="K992" s="338">
        <v>29.800397793856121</v>
      </c>
      <c r="L992" s="338">
        <v>29.800397793856121</v>
      </c>
      <c r="M992" s="338">
        <v>29.800397793856121</v>
      </c>
      <c r="N992" s="338">
        <v>29.800397793856121</v>
      </c>
      <c r="O992" s="338"/>
    </row>
    <row r="993" spans="1:15" hidden="1" outlineLevel="2" x14ac:dyDescent="0.35">
      <c r="A993" s="425" t="s">
        <v>7973</v>
      </c>
      <c r="B993" s="327">
        <v>44043</v>
      </c>
      <c r="C993" s="426">
        <v>209</v>
      </c>
      <c r="D993" s="427" t="s">
        <v>9156</v>
      </c>
      <c r="E993" s="426" t="s">
        <v>9036</v>
      </c>
      <c r="F993" s="338">
        <v>500000</v>
      </c>
      <c r="G993" s="338" t="s">
        <v>3800</v>
      </c>
      <c r="H993" s="338"/>
      <c r="I993" s="329">
        <v>117.20909049706589</v>
      </c>
      <c r="J993" s="329"/>
      <c r="K993" s="338">
        <v>29.302272624266472</v>
      </c>
      <c r="L993" s="338">
        <v>29.302272624266472</v>
      </c>
      <c r="M993" s="338">
        <v>29.302272624266472</v>
      </c>
      <c r="N993" s="338">
        <v>29.302272624266472</v>
      </c>
      <c r="O993" s="338"/>
    </row>
    <row r="994" spans="1:15" hidden="1" outlineLevel="2" x14ac:dyDescent="0.35">
      <c r="A994" s="425" t="s">
        <v>7973</v>
      </c>
      <c r="B994" s="327" t="s">
        <v>7990</v>
      </c>
      <c r="C994" s="426" t="s">
        <v>7991</v>
      </c>
      <c r="D994" s="427" t="s">
        <v>9157</v>
      </c>
      <c r="E994" s="426" t="s">
        <v>9036</v>
      </c>
      <c r="F994" s="338">
        <v>500000</v>
      </c>
      <c r="G994" s="338" t="s">
        <v>3800</v>
      </c>
      <c r="H994" s="338"/>
      <c r="I994" s="329">
        <v>119.20159117542448</v>
      </c>
      <c r="J994" s="329"/>
      <c r="K994" s="338">
        <v>29.800397793856121</v>
      </c>
      <c r="L994" s="338">
        <v>29.800397793856121</v>
      </c>
      <c r="M994" s="338">
        <v>29.800397793856121</v>
      </c>
      <c r="N994" s="338">
        <v>29.800397793856121</v>
      </c>
      <c r="O994" s="338"/>
    </row>
    <row r="995" spans="1:15" hidden="1" outlineLevel="2" x14ac:dyDescent="0.35">
      <c r="A995" s="425" t="s">
        <v>7973</v>
      </c>
      <c r="B995" s="327">
        <v>44074</v>
      </c>
      <c r="C995" s="426">
        <v>223</v>
      </c>
      <c r="D995" s="427" t="s">
        <v>9158</v>
      </c>
      <c r="E995" s="426" t="s">
        <v>9036</v>
      </c>
      <c r="F995" s="338">
        <v>500000</v>
      </c>
      <c r="G995" s="338" t="s">
        <v>3800</v>
      </c>
      <c r="H995" s="338"/>
      <c r="I995" s="329">
        <v>117.20909049706589</v>
      </c>
      <c r="J995" s="329"/>
      <c r="K995" s="338">
        <v>29.302272624266472</v>
      </c>
      <c r="L995" s="338">
        <v>29.302272624266472</v>
      </c>
      <c r="M995" s="338">
        <v>29.302272624266472</v>
      </c>
      <c r="N995" s="338">
        <v>29.302272624266472</v>
      </c>
      <c r="O995" s="338"/>
    </row>
    <row r="996" spans="1:15" hidden="1" outlineLevel="2" x14ac:dyDescent="0.35">
      <c r="A996" s="425" t="s">
        <v>7973</v>
      </c>
      <c r="B996" s="327" t="s">
        <v>7984</v>
      </c>
      <c r="C996" s="426" t="s">
        <v>7985</v>
      </c>
      <c r="D996" s="427" t="s">
        <v>9159</v>
      </c>
      <c r="E996" s="426" t="s">
        <v>9036</v>
      </c>
      <c r="F996" s="338">
        <v>500000</v>
      </c>
      <c r="G996" s="338" t="s">
        <v>3800</v>
      </c>
      <c r="H996" s="338"/>
      <c r="I996" s="329">
        <v>119.20159117542448</v>
      </c>
      <c r="J996" s="329"/>
      <c r="K996" s="338">
        <v>29.800397793856121</v>
      </c>
      <c r="L996" s="338">
        <v>29.800397793856121</v>
      </c>
      <c r="M996" s="338">
        <v>29.800397793856121</v>
      </c>
      <c r="N996" s="338">
        <v>29.800397793856121</v>
      </c>
      <c r="O996" s="338"/>
    </row>
    <row r="997" spans="1:15" hidden="1" outlineLevel="2" x14ac:dyDescent="0.35">
      <c r="A997" s="425" t="s">
        <v>7973</v>
      </c>
      <c r="B997" s="327">
        <v>44104</v>
      </c>
      <c r="C997" s="426">
        <v>233</v>
      </c>
      <c r="D997" s="427" t="s">
        <v>9160</v>
      </c>
      <c r="E997" s="426" t="s">
        <v>9036</v>
      </c>
      <c r="F997" s="338">
        <v>500000</v>
      </c>
      <c r="G997" s="338" t="s">
        <v>3800</v>
      </c>
      <c r="H997" s="338"/>
      <c r="I997" s="329">
        <v>117.20909049706589</v>
      </c>
      <c r="J997" s="329"/>
      <c r="K997" s="338">
        <v>29.302272624266472</v>
      </c>
      <c r="L997" s="338">
        <v>29.302272624266472</v>
      </c>
      <c r="M997" s="338">
        <v>29.302272624266472</v>
      </c>
      <c r="N997" s="338">
        <v>29.302272624266472</v>
      </c>
      <c r="O997" s="338"/>
    </row>
    <row r="998" spans="1:15" hidden="1" outlineLevel="2" x14ac:dyDescent="0.35">
      <c r="A998" s="425" t="s">
        <v>7973</v>
      </c>
      <c r="B998" s="327" t="s">
        <v>8005</v>
      </c>
      <c r="C998" s="426" t="s">
        <v>8006</v>
      </c>
      <c r="D998" s="427" t="s">
        <v>9161</v>
      </c>
      <c r="E998" s="426" t="s">
        <v>9036</v>
      </c>
      <c r="F998" s="338">
        <v>500000</v>
      </c>
      <c r="G998" s="338" t="s">
        <v>3800</v>
      </c>
      <c r="H998" s="338"/>
      <c r="I998" s="329">
        <v>119.20159117542448</v>
      </c>
      <c r="J998" s="329"/>
      <c r="K998" s="338">
        <v>29.800397793856121</v>
      </c>
      <c r="L998" s="338">
        <v>29.800397793856121</v>
      </c>
      <c r="M998" s="338">
        <v>29.800397793856121</v>
      </c>
      <c r="N998" s="338">
        <v>29.800397793856121</v>
      </c>
      <c r="O998" s="338"/>
    </row>
    <row r="999" spans="1:15" outlineLevel="1" collapsed="1" x14ac:dyDescent="0.35">
      <c r="A999" s="432" t="s">
        <v>9162</v>
      </c>
      <c r="B999" s="327"/>
      <c r="C999" s="426"/>
      <c r="D999" s="427"/>
      <c r="E999" s="426"/>
      <c r="F999" s="338"/>
      <c r="G999" s="338"/>
      <c r="H999" s="338"/>
      <c r="I999" s="329">
        <f t="shared" ref="I999:O999" si="29">SUBTOTAL(9,I862:I998)</f>
        <v>21651.796409993814</v>
      </c>
      <c r="J999" s="329"/>
      <c r="K999" s="338">
        <f t="shared" si="29"/>
        <v>5412.9491024984536</v>
      </c>
      <c r="L999" s="338">
        <f t="shared" si="29"/>
        <v>5412.9491024984536</v>
      </c>
      <c r="M999" s="338">
        <f t="shared" si="29"/>
        <v>5412.9491024984536</v>
      </c>
      <c r="N999" s="338">
        <f t="shared" si="29"/>
        <v>5412.9491024984536</v>
      </c>
      <c r="O999" s="338">
        <f t="shared" si="29"/>
        <v>0</v>
      </c>
    </row>
    <row r="1000" spans="1:15" hidden="1" outlineLevel="2" x14ac:dyDescent="0.35">
      <c r="A1000" s="425" t="s">
        <v>7929</v>
      </c>
      <c r="B1000" s="327">
        <v>44165</v>
      </c>
      <c r="C1000" s="426" t="s">
        <v>9163</v>
      </c>
      <c r="D1000" s="427" t="s">
        <v>9164</v>
      </c>
      <c r="E1000" s="426" t="s">
        <v>9165</v>
      </c>
      <c r="F1000" s="338">
        <v>1584000</v>
      </c>
      <c r="G1000" s="338" t="s">
        <v>3800</v>
      </c>
      <c r="H1000" s="338"/>
      <c r="I1000" s="329">
        <v>371.31839869470474</v>
      </c>
      <c r="J1000" s="329"/>
      <c r="K1000" s="338"/>
      <c r="L1000" s="338"/>
      <c r="M1000" s="338">
        <v>371.31839869470474</v>
      </c>
      <c r="N1000" s="338"/>
      <c r="O1000" s="338"/>
    </row>
    <row r="1001" spans="1:15" hidden="1" outlineLevel="2" x14ac:dyDescent="0.35">
      <c r="A1001" s="425" t="s">
        <v>7929</v>
      </c>
      <c r="B1001" s="327">
        <v>44165</v>
      </c>
      <c r="C1001" s="426" t="s">
        <v>9166</v>
      </c>
      <c r="D1001" s="427" t="s">
        <v>9164</v>
      </c>
      <c r="E1001" s="426" t="s">
        <v>8220</v>
      </c>
      <c r="F1001" s="338">
        <v>30000</v>
      </c>
      <c r="G1001" s="338" t="s">
        <v>3800</v>
      </c>
      <c r="H1001" s="338"/>
      <c r="I1001" s="329">
        <v>7.0325454298239531</v>
      </c>
      <c r="J1001" s="329"/>
      <c r="K1001" s="338"/>
      <c r="L1001" s="338"/>
      <c r="M1001" s="338">
        <v>7.0325454298239531</v>
      </c>
      <c r="N1001" s="338"/>
      <c r="O1001" s="338"/>
    </row>
    <row r="1002" spans="1:15" hidden="1" outlineLevel="2" x14ac:dyDescent="0.35">
      <c r="A1002" s="425" t="s">
        <v>7929</v>
      </c>
      <c r="B1002" s="327">
        <v>44165</v>
      </c>
      <c r="C1002" s="426" t="s">
        <v>9167</v>
      </c>
      <c r="D1002" s="427" t="s">
        <v>9164</v>
      </c>
      <c r="E1002" s="426" t="s">
        <v>8872</v>
      </c>
      <c r="F1002" s="338">
        <v>100000</v>
      </c>
      <c r="G1002" s="338" t="s">
        <v>3800</v>
      </c>
      <c r="H1002" s="338"/>
      <c r="I1002" s="329">
        <v>23.441818099413176</v>
      </c>
      <c r="J1002" s="329"/>
      <c r="K1002" s="338"/>
      <c r="L1002" s="338"/>
      <c r="M1002" s="338">
        <v>23.441818099413176</v>
      </c>
      <c r="N1002" s="338"/>
      <c r="O1002" s="338"/>
    </row>
    <row r="1003" spans="1:15" hidden="1" outlineLevel="2" x14ac:dyDescent="0.35">
      <c r="A1003" s="425" t="s">
        <v>7929</v>
      </c>
      <c r="B1003" s="327">
        <v>44165</v>
      </c>
      <c r="C1003" s="426" t="s">
        <v>9168</v>
      </c>
      <c r="D1003" s="427" t="s">
        <v>9164</v>
      </c>
      <c r="E1003" s="426" t="s">
        <v>8164</v>
      </c>
      <c r="F1003" s="338">
        <v>20000</v>
      </c>
      <c r="G1003" s="338" t="s">
        <v>3800</v>
      </c>
      <c r="H1003" s="338"/>
      <c r="I1003" s="329">
        <v>4.6883636198826357</v>
      </c>
      <c r="J1003" s="329"/>
      <c r="K1003" s="338"/>
      <c r="L1003" s="338"/>
      <c r="M1003" s="338">
        <v>4.6883636198826357</v>
      </c>
      <c r="N1003" s="338"/>
      <c r="O1003" s="338"/>
    </row>
    <row r="1004" spans="1:15" hidden="1" outlineLevel="2" x14ac:dyDescent="0.35">
      <c r="A1004" s="425" t="s">
        <v>7929</v>
      </c>
      <c r="B1004" s="327">
        <v>44166</v>
      </c>
      <c r="C1004" s="426" t="s">
        <v>8439</v>
      </c>
      <c r="D1004" s="427" t="s">
        <v>9169</v>
      </c>
      <c r="E1004" s="426" t="s">
        <v>8196</v>
      </c>
      <c r="F1004" s="338">
        <v>646700</v>
      </c>
      <c r="G1004" s="338" t="s">
        <v>3800</v>
      </c>
      <c r="H1004" s="338"/>
      <c r="I1004" s="329">
        <v>151.59823764890501</v>
      </c>
      <c r="J1004" s="329"/>
      <c r="K1004" s="338"/>
      <c r="L1004" s="338"/>
      <c r="M1004" s="338">
        <v>151.59823764890501</v>
      </c>
      <c r="N1004" s="338"/>
      <c r="O1004" s="338"/>
    </row>
    <row r="1005" spans="1:15" outlineLevel="1" collapsed="1" x14ac:dyDescent="0.35">
      <c r="A1005" s="432" t="s">
        <v>9170</v>
      </c>
      <c r="B1005" s="327"/>
      <c r="C1005" s="426"/>
      <c r="D1005" s="427"/>
      <c r="E1005" s="426"/>
      <c r="F1005" s="338"/>
      <c r="G1005" s="338"/>
      <c r="H1005" s="338"/>
      <c r="I1005" s="329">
        <f t="shared" ref="I1005:O1005" si="30">SUBTOTAL(9,I1000:I1004)</f>
        <v>558.0793634927295</v>
      </c>
      <c r="J1005" s="329"/>
      <c r="K1005" s="338">
        <f t="shared" si="30"/>
        <v>0</v>
      </c>
      <c r="L1005" s="338">
        <f t="shared" si="30"/>
        <v>0</v>
      </c>
      <c r="M1005" s="338">
        <f t="shared" si="30"/>
        <v>558.0793634927295</v>
      </c>
      <c r="N1005" s="338">
        <f t="shared" si="30"/>
        <v>0</v>
      </c>
      <c r="O1005" s="338">
        <f t="shared" si="30"/>
        <v>0</v>
      </c>
    </row>
    <row r="1006" spans="1:15" hidden="1" outlineLevel="2" x14ac:dyDescent="0.35">
      <c r="A1006" s="425" t="s">
        <v>217</v>
      </c>
      <c r="B1006" s="327">
        <v>43921</v>
      </c>
      <c r="C1006" s="426" t="s">
        <v>1092</v>
      </c>
      <c r="D1006" s="427" t="s">
        <v>1564</v>
      </c>
      <c r="E1006" s="426" t="s">
        <v>1098</v>
      </c>
      <c r="F1006" s="338">
        <v>1101.3699999999999</v>
      </c>
      <c r="G1006" s="338" t="s">
        <v>56</v>
      </c>
      <c r="H1006" s="338"/>
      <c r="I1006" s="329">
        <v>1101.3699999999999</v>
      </c>
      <c r="J1006" s="329"/>
      <c r="K1006" s="338">
        <f t="shared" ref="K1006:N1011" si="31">$I1006/4</f>
        <v>275.34249999999997</v>
      </c>
      <c r="L1006" s="338">
        <f t="shared" si="31"/>
        <v>275.34249999999997</v>
      </c>
      <c r="M1006" s="338">
        <f t="shared" si="31"/>
        <v>275.34249999999997</v>
      </c>
      <c r="N1006" s="338">
        <f t="shared" si="31"/>
        <v>275.34249999999997</v>
      </c>
      <c r="O1006" s="338"/>
    </row>
    <row r="1007" spans="1:15" hidden="1" outlineLevel="2" x14ac:dyDescent="0.35">
      <c r="A1007" s="425" t="s">
        <v>217</v>
      </c>
      <c r="B1007" s="327">
        <v>44012</v>
      </c>
      <c r="C1007" s="426" t="s">
        <v>1094</v>
      </c>
      <c r="D1007" s="427" t="s">
        <v>1565</v>
      </c>
      <c r="E1007" s="426" t="s">
        <v>1098</v>
      </c>
      <c r="F1007" s="338">
        <v>1101.3699999999999</v>
      </c>
      <c r="G1007" s="338" t="s">
        <v>56</v>
      </c>
      <c r="H1007" s="338"/>
      <c r="I1007" s="329">
        <v>1101.3699999999999</v>
      </c>
      <c r="J1007" s="329"/>
      <c r="K1007" s="338">
        <f t="shared" si="31"/>
        <v>275.34249999999997</v>
      </c>
      <c r="L1007" s="338">
        <f t="shared" si="31"/>
        <v>275.34249999999997</v>
      </c>
      <c r="M1007" s="338">
        <f t="shared" si="31"/>
        <v>275.34249999999997</v>
      </c>
      <c r="N1007" s="338">
        <f t="shared" si="31"/>
        <v>275.34249999999997</v>
      </c>
      <c r="O1007" s="338"/>
    </row>
    <row r="1008" spans="1:15" hidden="1" outlineLevel="2" x14ac:dyDescent="0.35">
      <c r="A1008" s="425" t="s">
        <v>217</v>
      </c>
      <c r="B1008" s="327">
        <v>44104</v>
      </c>
      <c r="C1008" s="426" t="s">
        <v>1096</v>
      </c>
      <c r="D1008" s="427" t="s">
        <v>1566</v>
      </c>
      <c r="E1008" s="426" t="s">
        <v>1098</v>
      </c>
      <c r="F1008" s="338">
        <v>-2202.75</v>
      </c>
      <c r="G1008" s="338" t="s">
        <v>56</v>
      </c>
      <c r="H1008" s="338"/>
      <c r="I1008" s="329">
        <v>-2202.75</v>
      </c>
      <c r="J1008" s="329"/>
      <c r="K1008" s="338">
        <f t="shared" si="31"/>
        <v>-550.6875</v>
      </c>
      <c r="L1008" s="338">
        <f t="shared" si="31"/>
        <v>-550.6875</v>
      </c>
      <c r="M1008" s="338">
        <f t="shared" si="31"/>
        <v>-550.6875</v>
      </c>
      <c r="N1008" s="338">
        <f t="shared" si="31"/>
        <v>-550.6875</v>
      </c>
      <c r="O1008" s="338"/>
    </row>
    <row r="1009" spans="1:15" hidden="1" outlineLevel="2" x14ac:dyDescent="0.35">
      <c r="A1009" s="425" t="s">
        <v>217</v>
      </c>
      <c r="B1009" s="327">
        <v>44469</v>
      </c>
      <c r="C1009" s="426" t="s">
        <v>9171</v>
      </c>
      <c r="D1009" s="427" t="s">
        <v>9172</v>
      </c>
      <c r="E1009" s="426" t="s">
        <v>1959</v>
      </c>
      <c r="F1009" s="338">
        <v>2612.44</v>
      </c>
      <c r="G1009" s="338" t="s">
        <v>56</v>
      </c>
      <c r="H1009" s="338"/>
      <c r="I1009" s="329">
        <v>2612.44</v>
      </c>
      <c r="J1009" s="329"/>
      <c r="K1009" s="338">
        <f t="shared" si="31"/>
        <v>653.11</v>
      </c>
      <c r="L1009" s="338">
        <f t="shared" si="31"/>
        <v>653.11</v>
      </c>
      <c r="M1009" s="338">
        <f t="shared" si="31"/>
        <v>653.11</v>
      </c>
      <c r="N1009" s="338">
        <f t="shared" si="31"/>
        <v>653.11</v>
      </c>
      <c r="O1009" s="338"/>
    </row>
    <row r="1010" spans="1:15" hidden="1" outlineLevel="2" x14ac:dyDescent="0.35">
      <c r="A1010" s="425" t="s">
        <v>217</v>
      </c>
      <c r="B1010" s="327">
        <v>44561</v>
      </c>
      <c r="C1010" s="426" t="s">
        <v>9173</v>
      </c>
      <c r="D1010" s="427" t="s">
        <v>9174</v>
      </c>
      <c r="E1010" s="426" t="s">
        <v>1089</v>
      </c>
      <c r="F1010" s="338">
        <v>1306.22</v>
      </c>
      <c r="G1010" s="338" t="s">
        <v>56</v>
      </c>
      <c r="H1010" s="338"/>
      <c r="I1010" s="329">
        <v>1306.22</v>
      </c>
      <c r="J1010" s="329"/>
      <c r="K1010" s="338">
        <f t="shared" si="31"/>
        <v>326.55500000000001</v>
      </c>
      <c r="L1010" s="338">
        <f t="shared" si="31"/>
        <v>326.55500000000001</v>
      </c>
      <c r="M1010" s="338">
        <f t="shared" si="31"/>
        <v>326.55500000000001</v>
      </c>
      <c r="N1010" s="338">
        <f t="shared" si="31"/>
        <v>326.55500000000001</v>
      </c>
      <c r="O1010" s="338"/>
    </row>
    <row r="1011" spans="1:15" hidden="1" outlineLevel="2" x14ac:dyDescent="0.35">
      <c r="A1011" s="425" t="s">
        <v>217</v>
      </c>
      <c r="B1011" s="327">
        <v>44561</v>
      </c>
      <c r="C1011" s="426" t="s">
        <v>9175</v>
      </c>
      <c r="D1011" s="427" t="s">
        <v>9176</v>
      </c>
      <c r="E1011" s="426" t="s">
        <v>1089</v>
      </c>
      <c r="F1011" s="338">
        <v>1306.22</v>
      </c>
      <c r="G1011" s="338" t="s">
        <v>56</v>
      </c>
      <c r="H1011" s="338"/>
      <c r="I1011" s="329">
        <v>1306.22</v>
      </c>
      <c r="J1011" s="329"/>
      <c r="K1011" s="338">
        <f t="shared" si="31"/>
        <v>326.55500000000001</v>
      </c>
      <c r="L1011" s="338">
        <f t="shared" si="31"/>
        <v>326.55500000000001</v>
      </c>
      <c r="M1011" s="338">
        <f t="shared" si="31"/>
        <v>326.55500000000001</v>
      </c>
      <c r="N1011" s="338">
        <f t="shared" si="31"/>
        <v>326.55500000000001</v>
      </c>
      <c r="O1011" s="338"/>
    </row>
    <row r="1012" spans="1:15" outlineLevel="1" collapsed="1" x14ac:dyDescent="0.35">
      <c r="A1012" s="432" t="s">
        <v>1581</v>
      </c>
      <c r="B1012" s="327"/>
      <c r="C1012" s="426"/>
      <c r="D1012" s="427"/>
      <c r="E1012" s="426"/>
      <c r="F1012" s="338"/>
      <c r="G1012" s="338"/>
      <c r="H1012" s="338"/>
      <c r="I1012" s="329">
        <f t="shared" ref="I1012:O1012" si="32">SUBTOTAL(9,I1006:I1011)</f>
        <v>5224.87</v>
      </c>
      <c r="J1012" s="329"/>
      <c r="K1012" s="338">
        <f t="shared" si="32"/>
        <v>1306.2175</v>
      </c>
      <c r="L1012" s="338">
        <f t="shared" si="32"/>
        <v>1306.2175</v>
      </c>
      <c r="M1012" s="338">
        <f t="shared" si="32"/>
        <v>1306.2175</v>
      </c>
      <c r="N1012" s="338">
        <f t="shared" si="32"/>
        <v>1306.2175</v>
      </c>
      <c r="O1012" s="338">
        <f t="shared" si="32"/>
        <v>0</v>
      </c>
    </row>
    <row r="1013" spans="1:15" hidden="1" outlineLevel="2" x14ac:dyDescent="0.35">
      <c r="A1013" s="425" t="s">
        <v>219</v>
      </c>
      <c r="B1013" s="327">
        <v>44286</v>
      </c>
      <c r="C1013" s="426" t="s">
        <v>1101</v>
      </c>
      <c r="D1013" s="427" t="s">
        <v>9177</v>
      </c>
      <c r="E1013" s="426" t="s">
        <v>1583</v>
      </c>
      <c r="F1013" s="338">
        <v>1265.21</v>
      </c>
      <c r="G1013" s="338" t="s">
        <v>56</v>
      </c>
      <c r="H1013" s="338"/>
      <c r="I1013" s="329">
        <v>1265.21</v>
      </c>
      <c r="J1013" s="329"/>
      <c r="K1013" s="338">
        <f t="shared" ref="K1013:N1022" si="33">$I1013/4</f>
        <v>316.30250000000001</v>
      </c>
      <c r="L1013" s="338">
        <f t="shared" si="33"/>
        <v>316.30250000000001</v>
      </c>
      <c r="M1013" s="338">
        <f t="shared" si="33"/>
        <v>316.30250000000001</v>
      </c>
      <c r="N1013" s="338">
        <f t="shared" si="33"/>
        <v>316.30250000000001</v>
      </c>
      <c r="O1013" s="338"/>
    </row>
    <row r="1014" spans="1:15" hidden="1" outlineLevel="2" x14ac:dyDescent="0.35">
      <c r="A1014" s="425" t="s">
        <v>219</v>
      </c>
      <c r="B1014" s="327">
        <v>43921</v>
      </c>
      <c r="C1014" s="426" t="s">
        <v>1092</v>
      </c>
      <c r="D1014" s="427" t="s">
        <v>1585</v>
      </c>
      <c r="E1014" s="426" t="s">
        <v>1583</v>
      </c>
      <c r="F1014" s="338">
        <v>479.76</v>
      </c>
      <c r="G1014" s="338" t="s">
        <v>56</v>
      </c>
      <c r="H1014" s="338"/>
      <c r="I1014" s="329">
        <v>479.76</v>
      </c>
      <c r="J1014" s="329"/>
      <c r="K1014" s="338">
        <f t="shared" si="33"/>
        <v>119.94</v>
      </c>
      <c r="L1014" s="338">
        <f t="shared" si="33"/>
        <v>119.94</v>
      </c>
      <c r="M1014" s="338">
        <f t="shared" si="33"/>
        <v>119.94</v>
      </c>
      <c r="N1014" s="338">
        <f t="shared" si="33"/>
        <v>119.94</v>
      </c>
      <c r="O1014" s="338"/>
    </row>
    <row r="1015" spans="1:15" hidden="1" outlineLevel="2" x14ac:dyDescent="0.35">
      <c r="A1015" s="425" t="s">
        <v>219</v>
      </c>
      <c r="B1015" s="327">
        <v>44012</v>
      </c>
      <c r="C1015" s="426" t="s">
        <v>1094</v>
      </c>
      <c r="D1015" s="427" t="s">
        <v>1586</v>
      </c>
      <c r="E1015" s="426" t="s">
        <v>1583</v>
      </c>
      <c r="F1015" s="338">
        <v>479.76</v>
      </c>
      <c r="G1015" s="338" t="s">
        <v>56</v>
      </c>
      <c r="H1015" s="338"/>
      <c r="I1015" s="329">
        <v>479.76</v>
      </c>
      <c r="J1015" s="329"/>
      <c r="K1015" s="338">
        <f t="shared" si="33"/>
        <v>119.94</v>
      </c>
      <c r="L1015" s="338">
        <f t="shared" si="33"/>
        <v>119.94</v>
      </c>
      <c r="M1015" s="338">
        <f t="shared" si="33"/>
        <v>119.94</v>
      </c>
      <c r="N1015" s="338">
        <f t="shared" si="33"/>
        <v>119.94</v>
      </c>
      <c r="O1015" s="338"/>
    </row>
    <row r="1016" spans="1:15" hidden="1" outlineLevel="2" x14ac:dyDescent="0.35">
      <c r="A1016" s="425" t="s">
        <v>219</v>
      </c>
      <c r="B1016" s="327">
        <v>43738</v>
      </c>
      <c r="C1016" s="426" t="s">
        <v>1087</v>
      </c>
      <c r="D1016" s="427" t="s">
        <v>1582</v>
      </c>
      <c r="E1016" s="426" t="s">
        <v>1583</v>
      </c>
      <c r="F1016" s="338">
        <v>1331.8</v>
      </c>
      <c r="G1016" s="338" t="s">
        <v>56</v>
      </c>
      <c r="H1016" s="338"/>
      <c r="I1016" s="329">
        <v>1331.8</v>
      </c>
      <c r="J1016" s="329"/>
      <c r="K1016" s="338">
        <f t="shared" si="33"/>
        <v>332.95</v>
      </c>
      <c r="L1016" s="338">
        <f t="shared" si="33"/>
        <v>332.95</v>
      </c>
      <c r="M1016" s="338">
        <f t="shared" si="33"/>
        <v>332.95</v>
      </c>
      <c r="N1016" s="338">
        <f t="shared" si="33"/>
        <v>332.95</v>
      </c>
      <c r="O1016" s="338"/>
    </row>
    <row r="1017" spans="1:15" hidden="1" outlineLevel="2" x14ac:dyDescent="0.35">
      <c r="A1017" s="425" t="s">
        <v>219</v>
      </c>
      <c r="B1017" s="327">
        <v>43830</v>
      </c>
      <c r="C1017" s="426" t="s">
        <v>1090</v>
      </c>
      <c r="D1017" s="427" t="s">
        <v>1584</v>
      </c>
      <c r="E1017" s="426" t="s">
        <v>1583</v>
      </c>
      <c r="F1017" s="338">
        <v>1331.8</v>
      </c>
      <c r="G1017" s="338" t="s">
        <v>56</v>
      </c>
      <c r="H1017" s="338"/>
      <c r="I1017" s="329">
        <v>1331.8</v>
      </c>
      <c r="J1017" s="329"/>
      <c r="K1017" s="338">
        <f t="shared" si="33"/>
        <v>332.95</v>
      </c>
      <c r="L1017" s="338">
        <f t="shared" si="33"/>
        <v>332.95</v>
      </c>
      <c r="M1017" s="338">
        <f t="shared" si="33"/>
        <v>332.95</v>
      </c>
      <c r="N1017" s="338">
        <f t="shared" si="33"/>
        <v>332.95</v>
      </c>
      <c r="O1017" s="338"/>
    </row>
    <row r="1018" spans="1:15" hidden="1" outlineLevel="2" x14ac:dyDescent="0.35">
      <c r="A1018" s="425" t="s">
        <v>219</v>
      </c>
      <c r="B1018" s="327">
        <v>44469</v>
      </c>
      <c r="C1018" s="426" t="s">
        <v>9178</v>
      </c>
      <c r="D1018" s="427" t="s">
        <v>9179</v>
      </c>
      <c r="E1018" s="426" t="s">
        <v>1599</v>
      </c>
      <c r="F1018" s="338">
        <v>1070.56</v>
      </c>
      <c r="G1018" s="338" t="s">
        <v>56</v>
      </c>
      <c r="H1018" s="338"/>
      <c r="I1018" s="329">
        <v>1070.56</v>
      </c>
      <c r="J1018" s="329"/>
      <c r="K1018" s="338">
        <f t="shared" si="33"/>
        <v>267.64</v>
      </c>
      <c r="L1018" s="338">
        <f t="shared" si="33"/>
        <v>267.64</v>
      </c>
      <c r="M1018" s="338">
        <f t="shared" si="33"/>
        <v>267.64</v>
      </c>
      <c r="N1018" s="338">
        <f t="shared" si="33"/>
        <v>267.64</v>
      </c>
      <c r="O1018" s="338"/>
    </row>
    <row r="1019" spans="1:15" hidden="1" outlineLevel="2" x14ac:dyDescent="0.35">
      <c r="A1019" s="425" t="s">
        <v>219</v>
      </c>
      <c r="B1019" s="327">
        <v>44561</v>
      </c>
      <c r="C1019" s="426" t="s">
        <v>9180</v>
      </c>
      <c r="D1019" s="427" t="s">
        <v>9181</v>
      </c>
      <c r="E1019" s="426" t="s">
        <v>1599</v>
      </c>
      <c r="F1019" s="338">
        <v>535.28</v>
      </c>
      <c r="G1019" s="338" t="s">
        <v>56</v>
      </c>
      <c r="H1019" s="338"/>
      <c r="I1019" s="329">
        <v>535.28</v>
      </c>
      <c r="J1019" s="329"/>
      <c r="K1019" s="338">
        <f t="shared" si="33"/>
        <v>133.82</v>
      </c>
      <c r="L1019" s="338">
        <f t="shared" si="33"/>
        <v>133.82</v>
      </c>
      <c r="M1019" s="338">
        <f t="shared" si="33"/>
        <v>133.82</v>
      </c>
      <c r="N1019" s="338">
        <f t="shared" si="33"/>
        <v>133.82</v>
      </c>
      <c r="O1019" s="338"/>
    </row>
    <row r="1020" spans="1:15" hidden="1" outlineLevel="2" x14ac:dyDescent="0.35">
      <c r="A1020" s="425" t="s">
        <v>219</v>
      </c>
      <c r="B1020" s="327">
        <v>44561</v>
      </c>
      <c r="C1020" s="426" t="s">
        <v>9182</v>
      </c>
      <c r="D1020" s="427" t="s">
        <v>9183</v>
      </c>
      <c r="E1020" s="426" t="s">
        <v>1583</v>
      </c>
      <c r="F1020" s="338">
        <v>535.28</v>
      </c>
      <c r="G1020" s="338" t="s">
        <v>56</v>
      </c>
      <c r="H1020" s="338"/>
      <c r="I1020" s="329">
        <v>535.28</v>
      </c>
      <c r="J1020" s="329"/>
      <c r="K1020" s="338">
        <f t="shared" si="33"/>
        <v>133.82</v>
      </c>
      <c r="L1020" s="338">
        <f t="shared" si="33"/>
        <v>133.82</v>
      </c>
      <c r="M1020" s="338">
        <f t="shared" si="33"/>
        <v>133.82</v>
      </c>
      <c r="N1020" s="338">
        <f t="shared" si="33"/>
        <v>133.82</v>
      </c>
      <c r="O1020" s="338"/>
    </row>
    <row r="1021" spans="1:15" hidden="1" outlineLevel="2" x14ac:dyDescent="0.35">
      <c r="A1021" s="425" t="s">
        <v>219</v>
      </c>
      <c r="B1021" s="327">
        <v>44377</v>
      </c>
      <c r="C1021" s="426" t="s">
        <v>1103</v>
      </c>
      <c r="D1021" s="427" t="s">
        <v>9184</v>
      </c>
      <c r="E1021" s="426" t="s">
        <v>1583</v>
      </c>
      <c r="F1021" s="338">
        <v>1265.21</v>
      </c>
      <c r="G1021" s="338" t="s">
        <v>56</v>
      </c>
      <c r="H1021" s="338"/>
      <c r="I1021" s="329">
        <v>1265.21</v>
      </c>
      <c r="J1021" s="329"/>
      <c r="K1021" s="338">
        <f t="shared" si="33"/>
        <v>316.30250000000001</v>
      </c>
      <c r="L1021" s="338">
        <f t="shared" si="33"/>
        <v>316.30250000000001</v>
      </c>
      <c r="M1021" s="338">
        <f t="shared" si="33"/>
        <v>316.30250000000001</v>
      </c>
      <c r="N1021" s="338">
        <f t="shared" si="33"/>
        <v>316.30250000000001</v>
      </c>
      <c r="O1021" s="338"/>
    </row>
    <row r="1022" spans="1:15" hidden="1" outlineLevel="2" x14ac:dyDescent="0.35">
      <c r="A1022" s="425" t="s">
        <v>219</v>
      </c>
      <c r="B1022" s="327">
        <v>44196</v>
      </c>
      <c r="C1022" s="426" t="s">
        <v>1099</v>
      </c>
      <c r="D1022" s="427" t="s">
        <v>1588</v>
      </c>
      <c r="E1022" s="426" t="s">
        <v>1583</v>
      </c>
      <c r="F1022" s="338">
        <v>2050.66</v>
      </c>
      <c r="G1022" s="338" t="s">
        <v>56</v>
      </c>
      <c r="H1022" s="338"/>
      <c r="I1022" s="329">
        <v>2050.66</v>
      </c>
      <c r="J1022" s="329"/>
      <c r="K1022" s="338">
        <f t="shared" si="33"/>
        <v>512.66499999999996</v>
      </c>
      <c r="L1022" s="338">
        <f t="shared" si="33"/>
        <v>512.66499999999996</v>
      </c>
      <c r="M1022" s="338">
        <f t="shared" si="33"/>
        <v>512.66499999999996</v>
      </c>
      <c r="N1022" s="338">
        <f t="shared" si="33"/>
        <v>512.66499999999996</v>
      </c>
      <c r="O1022" s="338"/>
    </row>
    <row r="1023" spans="1:15" outlineLevel="1" collapsed="1" x14ac:dyDescent="0.35">
      <c r="A1023" s="432" t="s">
        <v>1600</v>
      </c>
      <c r="B1023" s="327"/>
      <c r="C1023" s="426"/>
      <c r="D1023" s="427"/>
      <c r="E1023" s="426"/>
      <c r="F1023" s="338"/>
      <c r="G1023" s="338"/>
      <c r="H1023" s="338"/>
      <c r="I1023" s="329">
        <f t="shared" ref="I1023:O1023" si="34">SUBTOTAL(9,I1013:I1022)</f>
        <v>10345.32</v>
      </c>
      <c r="J1023" s="329"/>
      <c r="K1023" s="338">
        <f t="shared" si="34"/>
        <v>2586.33</v>
      </c>
      <c r="L1023" s="338">
        <f t="shared" si="34"/>
        <v>2586.33</v>
      </c>
      <c r="M1023" s="338">
        <f t="shared" si="34"/>
        <v>2586.33</v>
      </c>
      <c r="N1023" s="338">
        <f t="shared" si="34"/>
        <v>2586.33</v>
      </c>
      <c r="O1023" s="338">
        <f t="shared" si="34"/>
        <v>0</v>
      </c>
    </row>
    <row r="1024" spans="1:15" hidden="1" outlineLevel="2" x14ac:dyDescent="0.35">
      <c r="A1024" s="425" t="s">
        <v>218</v>
      </c>
      <c r="B1024" s="327">
        <v>44286</v>
      </c>
      <c r="C1024" s="426" t="s">
        <v>1101</v>
      </c>
      <c r="D1024" s="427" t="s">
        <v>9185</v>
      </c>
      <c r="E1024" s="426" t="s">
        <v>1602</v>
      </c>
      <c r="F1024" s="338">
        <v>1342.41</v>
      </c>
      <c r="G1024" s="338" t="s">
        <v>56</v>
      </c>
      <c r="H1024" s="338"/>
      <c r="I1024" s="329">
        <v>1342.41</v>
      </c>
      <c r="J1024" s="329"/>
      <c r="K1024" s="338">
        <f t="shared" ref="K1024:N1034" si="35">$I1024/4</f>
        <v>335.60250000000002</v>
      </c>
      <c r="L1024" s="338">
        <f t="shared" si="35"/>
        <v>335.60250000000002</v>
      </c>
      <c r="M1024" s="338">
        <f t="shared" si="35"/>
        <v>335.60250000000002</v>
      </c>
      <c r="N1024" s="338">
        <f t="shared" si="35"/>
        <v>335.60250000000002</v>
      </c>
      <c r="O1024" s="338"/>
    </row>
    <row r="1025" spans="1:15" hidden="1" outlineLevel="2" x14ac:dyDescent="0.35">
      <c r="A1025" s="425" t="s">
        <v>218</v>
      </c>
      <c r="B1025" s="327">
        <v>43921</v>
      </c>
      <c r="C1025" s="426" t="s">
        <v>1092</v>
      </c>
      <c r="D1025" s="427" t="s">
        <v>1604</v>
      </c>
      <c r="E1025" s="426" t="s">
        <v>1602</v>
      </c>
      <c r="F1025" s="338">
        <v>1885.72</v>
      </c>
      <c r="G1025" s="338" t="s">
        <v>56</v>
      </c>
      <c r="H1025" s="338"/>
      <c r="I1025" s="329">
        <v>1885.72</v>
      </c>
      <c r="J1025" s="329"/>
      <c r="K1025" s="338">
        <f t="shared" si="35"/>
        <v>471.43</v>
      </c>
      <c r="L1025" s="338">
        <f t="shared" si="35"/>
        <v>471.43</v>
      </c>
      <c r="M1025" s="338">
        <f t="shared" si="35"/>
        <v>471.43</v>
      </c>
      <c r="N1025" s="338">
        <f t="shared" si="35"/>
        <v>471.43</v>
      </c>
      <c r="O1025" s="338"/>
    </row>
    <row r="1026" spans="1:15" hidden="1" outlineLevel="2" x14ac:dyDescent="0.35">
      <c r="A1026" s="425" t="s">
        <v>218</v>
      </c>
      <c r="B1026" s="327">
        <v>44012</v>
      </c>
      <c r="C1026" s="426" t="s">
        <v>1094</v>
      </c>
      <c r="D1026" s="427" t="s">
        <v>1605</v>
      </c>
      <c r="E1026" s="426" t="s">
        <v>1602</v>
      </c>
      <c r="F1026" s="338">
        <v>1885.72</v>
      </c>
      <c r="G1026" s="338" t="s">
        <v>56</v>
      </c>
      <c r="H1026" s="338"/>
      <c r="I1026" s="329">
        <v>1885.72</v>
      </c>
      <c r="J1026" s="329"/>
      <c r="K1026" s="338">
        <f t="shared" si="35"/>
        <v>471.43</v>
      </c>
      <c r="L1026" s="338">
        <f t="shared" si="35"/>
        <v>471.43</v>
      </c>
      <c r="M1026" s="338">
        <f t="shared" si="35"/>
        <v>471.43</v>
      </c>
      <c r="N1026" s="338">
        <f t="shared" si="35"/>
        <v>471.43</v>
      </c>
      <c r="O1026" s="338"/>
    </row>
    <row r="1027" spans="1:15" hidden="1" outlineLevel="2" x14ac:dyDescent="0.35">
      <c r="A1027" s="425" t="s">
        <v>218</v>
      </c>
      <c r="B1027" s="327">
        <v>43738</v>
      </c>
      <c r="C1027" s="426" t="s">
        <v>1087</v>
      </c>
      <c r="D1027" s="427" t="s">
        <v>1601</v>
      </c>
      <c r="E1027" s="426" t="s">
        <v>1602</v>
      </c>
      <c r="F1027" s="338">
        <v>1082.45</v>
      </c>
      <c r="G1027" s="338" t="s">
        <v>56</v>
      </c>
      <c r="H1027" s="338"/>
      <c r="I1027" s="329">
        <v>1082.45</v>
      </c>
      <c r="J1027" s="329"/>
      <c r="K1027" s="338">
        <f t="shared" si="35"/>
        <v>270.61250000000001</v>
      </c>
      <c r="L1027" s="338">
        <f t="shared" si="35"/>
        <v>270.61250000000001</v>
      </c>
      <c r="M1027" s="338">
        <f t="shared" si="35"/>
        <v>270.61250000000001</v>
      </c>
      <c r="N1027" s="338">
        <f t="shared" si="35"/>
        <v>270.61250000000001</v>
      </c>
      <c r="O1027" s="338"/>
    </row>
    <row r="1028" spans="1:15" hidden="1" outlineLevel="2" x14ac:dyDescent="0.35">
      <c r="A1028" s="425" t="s">
        <v>218</v>
      </c>
      <c r="B1028" s="327">
        <v>44104</v>
      </c>
      <c r="C1028" s="426" t="s">
        <v>1096</v>
      </c>
      <c r="D1028" s="427" t="s">
        <v>1587</v>
      </c>
      <c r="E1028" s="426" t="s">
        <v>1583</v>
      </c>
      <c r="F1028" s="338">
        <v>2050.66</v>
      </c>
      <c r="G1028" s="338" t="s">
        <v>56</v>
      </c>
      <c r="H1028" s="338"/>
      <c r="I1028" s="329">
        <v>2050.66</v>
      </c>
      <c r="J1028" s="329"/>
      <c r="K1028" s="338">
        <f t="shared" si="35"/>
        <v>512.66499999999996</v>
      </c>
      <c r="L1028" s="338">
        <f t="shared" si="35"/>
        <v>512.66499999999996</v>
      </c>
      <c r="M1028" s="338">
        <f t="shared" si="35"/>
        <v>512.66499999999996</v>
      </c>
      <c r="N1028" s="338">
        <f t="shared" si="35"/>
        <v>512.66499999999996</v>
      </c>
      <c r="O1028" s="338"/>
    </row>
    <row r="1029" spans="1:15" hidden="1" outlineLevel="2" x14ac:dyDescent="0.35">
      <c r="A1029" s="425" t="s">
        <v>218</v>
      </c>
      <c r="B1029" s="327">
        <v>43830</v>
      </c>
      <c r="C1029" s="426" t="s">
        <v>1090</v>
      </c>
      <c r="D1029" s="427" t="s">
        <v>1603</v>
      </c>
      <c r="E1029" s="426" t="s">
        <v>1602</v>
      </c>
      <c r="F1029" s="338">
        <v>1082.45</v>
      </c>
      <c r="G1029" s="338" t="s">
        <v>56</v>
      </c>
      <c r="H1029" s="338"/>
      <c r="I1029" s="329">
        <v>1082.45</v>
      </c>
      <c r="J1029" s="329"/>
      <c r="K1029" s="338">
        <f t="shared" si="35"/>
        <v>270.61250000000001</v>
      </c>
      <c r="L1029" s="338">
        <f t="shared" si="35"/>
        <v>270.61250000000001</v>
      </c>
      <c r="M1029" s="338">
        <f t="shared" si="35"/>
        <v>270.61250000000001</v>
      </c>
      <c r="N1029" s="338">
        <f t="shared" si="35"/>
        <v>270.61250000000001</v>
      </c>
      <c r="O1029" s="338"/>
    </row>
    <row r="1030" spans="1:15" hidden="1" outlineLevel="2" x14ac:dyDescent="0.35">
      <c r="A1030" s="425" t="s">
        <v>218</v>
      </c>
      <c r="B1030" s="327">
        <v>44469</v>
      </c>
      <c r="C1030" s="426" t="s">
        <v>9186</v>
      </c>
      <c r="D1030" s="427" t="s">
        <v>9187</v>
      </c>
      <c r="E1030" s="426" t="s">
        <v>1116</v>
      </c>
      <c r="F1030" s="338">
        <v>1922.24</v>
      </c>
      <c r="G1030" s="338" t="s">
        <v>56</v>
      </c>
      <c r="H1030" s="338"/>
      <c r="I1030" s="329">
        <v>1922.24</v>
      </c>
      <c r="J1030" s="329"/>
      <c r="K1030" s="338">
        <f t="shared" si="35"/>
        <v>480.56</v>
      </c>
      <c r="L1030" s="338">
        <f t="shared" si="35"/>
        <v>480.56</v>
      </c>
      <c r="M1030" s="338">
        <f t="shared" si="35"/>
        <v>480.56</v>
      </c>
      <c r="N1030" s="338">
        <f t="shared" si="35"/>
        <v>480.56</v>
      </c>
      <c r="O1030" s="338"/>
    </row>
    <row r="1031" spans="1:15" hidden="1" outlineLevel="2" x14ac:dyDescent="0.35">
      <c r="A1031" s="425" t="s">
        <v>218</v>
      </c>
      <c r="B1031" s="327">
        <v>44561</v>
      </c>
      <c r="C1031" s="426" t="s">
        <v>9188</v>
      </c>
      <c r="D1031" s="427" t="s">
        <v>9189</v>
      </c>
      <c r="E1031" s="426" t="s">
        <v>1599</v>
      </c>
      <c r="F1031" s="338">
        <v>961.12</v>
      </c>
      <c r="G1031" s="338" t="s">
        <v>56</v>
      </c>
      <c r="H1031" s="338"/>
      <c r="I1031" s="329">
        <v>961.12</v>
      </c>
      <c r="J1031" s="329"/>
      <c r="K1031" s="338">
        <f t="shared" si="35"/>
        <v>240.28</v>
      </c>
      <c r="L1031" s="338">
        <f t="shared" si="35"/>
        <v>240.28</v>
      </c>
      <c r="M1031" s="338">
        <f t="shared" si="35"/>
        <v>240.28</v>
      </c>
      <c r="N1031" s="338">
        <f t="shared" si="35"/>
        <v>240.28</v>
      </c>
      <c r="O1031" s="338"/>
    </row>
    <row r="1032" spans="1:15" hidden="1" outlineLevel="2" x14ac:dyDescent="0.35">
      <c r="A1032" s="425" t="s">
        <v>218</v>
      </c>
      <c r="B1032" s="327">
        <v>44561</v>
      </c>
      <c r="C1032" s="426" t="s">
        <v>9190</v>
      </c>
      <c r="D1032" s="427" t="s">
        <v>9191</v>
      </c>
      <c r="E1032" s="426" t="s">
        <v>1599</v>
      </c>
      <c r="F1032" s="338">
        <v>961.12</v>
      </c>
      <c r="G1032" s="338" t="s">
        <v>56</v>
      </c>
      <c r="H1032" s="338"/>
      <c r="I1032" s="329">
        <v>961.12</v>
      </c>
      <c r="J1032" s="329"/>
      <c r="K1032" s="338">
        <f t="shared" si="35"/>
        <v>240.28</v>
      </c>
      <c r="L1032" s="338">
        <f t="shared" si="35"/>
        <v>240.28</v>
      </c>
      <c r="M1032" s="338">
        <f t="shared" si="35"/>
        <v>240.28</v>
      </c>
      <c r="N1032" s="338">
        <f t="shared" si="35"/>
        <v>240.28</v>
      </c>
      <c r="O1032" s="338"/>
    </row>
    <row r="1033" spans="1:15" hidden="1" outlineLevel="2" x14ac:dyDescent="0.35">
      <c r="A1033" s="425" t="s">
        <v>218</v>
      </c>
      <c r="B1033" s="327">
        <v>44377</v>
      </c>
      <c r="C1033" s="426" t="s">
        <v>1103</v>
      </c>
      <c r="D1033" s="427" t="s">
        <v>9192</v>
      </c>
      <c r="E1033" s="426" t="s">
        <v>1602</v>
      </c>
      <c r="F1033" s="338">
        <v>1342.41</v>
      </c>
      <c r="G1033" s="338" t="s">
        <v>56</v>
      </c>
      <c r="H1033" s="338"/>
      <c r="I1033" s="329">
        <v>1342.41</v>
      </c>
      <c r="J1033" s="329"/>
      <c r="K1033" s="338">
        <f t="shared" si="35"/>
        <v>335.60250000000002</v>
      </c>
      <c r="L1033" s="338">
        <f t="shared" si="35"/>
        <v>335.60250000000002</v>
      </c>
      <c r="M1033" s="338">
        <f t="shared" si="35"/>
        <v>335.60250000000002</v>
      </c>
      <c r="N1033" s="338">
        <f t="shared" si="35"/>
        <v>335.60250000000002</v>
      </c>
      <c r="O1033" s="338"/>
    </row>
    <row r="1034" spans="1:15" hidden="1" outlineLevel="2" x14ac:dyDescent="0.35">
      <c r="A1034" s="425" t="s">
        <v>218</v>
      </c>
      <c r="B1034" s="327">
        <v>44196</v>
      </c>
      <c r="C1034" s="426" t="s">
        <v>1099</v>
      </c>
      <c r="D1034" s="427" t="s">
        <v>1607</v>
      </c>
      <c r="E1034" s="426" t="s">
        <v>1602</v>
      </c>
      <c r="F1034" s="338">
        <v>799.1</v>
      </c>
      <c r="G1034" s="338" t="s">
        <v>56</v>
      </c>
      <c r="H1034" s="338"/>
      <c r="I1034" s="329">
        <v>799.1</v>
      </c>
      <c r="J1034" s="329"/>
      <c r="K1034" s="338">
        <f t="shared" si="35"/>
        <v>199.77500000000001</v>
      </c>
      <c r="L1034" s="338">
        <f t="shared" si="35"/>
        <v>199.77500000000001</v>
      </c>
      <c r="M1034" s="338">
        <f t="shared" si="35"/>
        <v>199.77500000000001</v>
      </c>
      <c r="N1034" s="338">
        <f t="shared" si="35"/>
        <v>199.77500000000001</v>
      </c>
      <c r="O1034" s="338"/>
    </row>
    <row r="1035" spans="1:15" outlineLevel="1" collapsed="1" x14ac:dyDescent="0.35">
      <c r="A1035" s="432" t="s">
        <v>1618</v>
      </c>
      <c r="B1035" s="327"/>
      <c r="C1035" s="426"/>
      <c r="D1035" s="427"/>
      <c r="E1035" s="426"/>
      <c r="F1035" s="338"/>
      <c r="G1035" s="338"/>
      <c r="H1035" s="338"/>
      <c r="I1035" s="329">
        <f t="shared" ref="I1035:O1035" si="36">SUBTOTAL(9,I1024:I1034)</f>
        <v>15315.400000000001</v>
      </c>
      <c r="J1035" s="329"/>
      <c r="K1035" s="338">
        <f t="shared" si="36"/>
        <v>3828.8500000000004</v>
      </c>
      <c r="L1035" s="338">
        <f t="shared" si="36"/>
        <v>3828.8500000000004</v>
      </c>
      <c r="M1035" s="338">
        <f t="shared" si="36"/>
        <v>3828.8500000000004</v>
      </c>
      <c r="N1035" s="338">
        <f t="shared" si="36"/>
        <v>3828.8500000000004</v>
      </c>
      <c r="O1035" s="338">
        <f t="shared" si="36"/>
        <v>0</v>
      </c>
    </row>
    <row r="1036" spans="1:15" hidden="1" outlineLevel="2" x14ac:dyDescent="0.35">
      <c r="A1036" s="425" t="s">
        <v>7873</v>
      </c>
      <c r="B1036" s="327">
        <v>44541</v>
      </c>
      <c r="C1036" s="426" t="s">
        <v>9193</v>
      </c>
      <c r="D1036" s="427" t="s">
        <v>9194</v>
      </c>
      <c r="E1036" s="426" t="s">
        <v>8517</v>
      </c>
      <c r="F1036" s="338">
        <v>1940200</v>
      </c>
      <c r="G1036" s="338" t="s">
        <v>3800</v>
      </c>
      <c r="H1036" s="338"/>
      <c r="I1036" s="329">
        <v>462.54985439711714</v>
      </c>
      <c r="J1036" s="329"/>
      <c r="K1036" s="338">
        <v>115.63746359927929</v>
      </c>
      <c r="L1036" s="338">
        <v>115.63746359927929</v>
      </c>
      <c r="M1036" s="338">
        <v>115.63746359927929</v>
      </c>
      <c r="N1036" s="338">
        <v>115.63746359927929</v>
      </c>
      <c r="O1036" s="338"/>
    </row>
    <row r="1037" spans="1:15" hidden="1" outlineLevel="2" x14ac:dyDescent="0.35">
      <c r="A1037" s="425" t="s">
        <v>7873</v>
      </c>
      <c r="B1037" s="327">
        <v>44550</v>
      </c>
      <c r="C1037" s="426" t="s">
        <v>9195</v>
      </c>
      <c r="D1037" s="427" t="s">
        <v>9196</v>
      </c>
      <c r="E1037" s="426" t="s">
        <v>8196</v>
      </c>
      <c r="F1037" s="338">
        <v>2250000</v>
      </c>
      <c r="G1037" s="338" t="s">
        <v>3800</v>
      </c>
      <c r="H1037" s="338"/>
      <c r="I1037" s="329">
        <v>536.40716028941017</v>
      </c>
      <c r="J1037" s="329"/>
      <c r="K1037" s="338">
        <v>134.10179007235254</v>
      </c>
      <c r="L1037" s="338">
        <v>134.10179007235254</v>
      </c>
      <c r="M1037" s="338">
        <v>134.10179007235254</v>
      </c>
      <c r="N1037" s="338">
        <v>134.10179007235254</v>
      </c>
      <c r="O1037" s="338"/>
    </row>
    <row r="1038" spans="1:15" hidden="1" outlineLevel="2" x14ac:dyDescent="0.35">
      <c r="A1038" s="425" t="s">
        <v>7873</v>
      </c>
      <c r="B1038" s="327">
        <v>44541</v>
      </c>
      <c r="C1038" s="426" t="s">
        <v>9197</v>
      </c>
      <c r="D1038" s="427" t="s">
        <v>9198</v>
      </c>
      <c r="E1038" s="426" t="s">
        <v>8517</v>
      </c>
      <c r="F1038" s="338">
        <v>1282400</v>
      </c>
      <c r="G1038" s="338" t="s">
        <v>3800</v>
      </c>
      <c r="H1038" s="338"/>
      <c r="I1038" s="329">
        <v>305.72824104672873</v>
      </c>
      <c r="J1038" s="329"/>
      <c r="K1038" s="338">
        <v>76.432060261682182</v>
      </c>
      <c r="L1038" s="338">
        <v>76.432060261682182</v>
      </c>
      <c r="M1038" s="338">
        <v>76.432060261682182</v>
      </c>
      <c r="N1038" s="338">
        <v>76.432060261682182</v>
      </c>
      <c r="O1038" s="338"/>
    </row>
    <row r="1039" spans="1:15" hidden="1" outlineLevel="2" x14ac:dyDescent="0.35">
      <c r="A1039" s="425" t="s">
        <v>7873</v>
      </c>
      <c r="B1039" s="327">
        <v>44541</v>
      </c>
      <c r="C1039" s="426" t="s">
        <v>9199</v>
      </c>
      <c r="D1039" s="427" t="s">
        <v>9198</v>
      </c>
      <c r="E1039" s="426" t="s">
        <v>8517</v>
      </c>
      <c r="F1039" s="338">
        <v>209000</v>
      </c>
      <c r="G1039" s="338" t="s">
        <v>3800</v>
      </c>
      <c r="H1039" s="338"/>
      <c r="I1039" s="329">
        <v>49.82626511132743</v>
      </c>
      <c r="J1039" s="329"/>
      <c r="K1039" s="338">
        <v>12.456566277831858</v>
      </c>
      <c r="L1039" s="338">
        <v>12.456566277831858</v>
      </c>
      <c r="M1039" s="338">
        <v>12.456566277831858</v>
      </c>
      <c r="N1039" s="338">
        <v>12.456566277831858</v>
      </c>
      <c r="O1039" s="338"/>
    </row>
    <row r="1040" spans="1:15" hidden="1" outlineLevel="2" x14ac:dyDescent="0.35">
      <c r="A1040" s="425" t="s">
        <v>7873</v>
      </c>
      <c r="B1040" s="327">
        <v>44193</v>
      </c>
      <c r="C1040" s="426" t="s">
        <v>9200</v>
      </c>
      <c r="D1040" s="427" t="s">
        <v>9201</v>
      </c>
      <c r="E1040" s="426" t="s">
        <v>9202</v>
      </c>
      <c r="F1040" s="338">
        <v>200000</v>
      </c>
      <c r="G1040" s="338" t="s">
        <v>3800</v>
      </c>
      <c r="H1040" s="338"/>
      <c r="I1040" s="329">
        <v>46.883636198826352</v>
      </c>
      <c r="J1040" s="329"/>
      <c r="K1040" s="338">
        <v>11.720909049706588</v>
      </c>
      <c r="L1040" s="338">
        <v>11.720909049706588</v>
      </c>
      <c r="M1040" s="338">
        <v>11.720909049706588</v>
      </c>
      <c r="N1040" s="338">
        <v>11.720909049706588</v>
      </c>
      <c r="O1040" s="338"/>
    </row>
    <row r="1041" spans="1:15" hidden="1" outlineLevel="2" x14ac:dyDescent="0.35">
      <c r="A1041" s="425" t="s">
        <v>7873</v>
      </c>
      <c r="B1041" s="327">
        <v>44193</v>
      </c>
      <c r="C1041" s="426" t="s">
        <v>9203</v>
      </c>
      <c r="D1041" s="427" t="s">
        <v>9201</v>
      </c>
      <c r="E1041" s="426" t="s">
        <v>9204</v>
      </c>
      <c r="F1041" s="338">
        <v>2050000</v>
      </c>
      <c r="G1041" s="338" t="s">
        <v>3800</v>
      </c>
      <c r="H1041" s="338"/>
      <c r="I1041" s="329">
        <v>480.55727103797011</v>
      </c>
      <c r="J1041" s="329"/>
      <c r="K1041" s="338">
        <v>120.13931775949253</v>
      </c>
      <c r="L1041" s="338">
        <v>120.13931775949253</v>
      </c>
      <c r="M1041" s="338">
        <v>120.13931775949253</v>
      </c>
      <c r="N1041" s="338">
        <v>120.13931775949253</v>
      </c>
      <c r="O1041" s="338"/>
    </row>
    <row r="1042" spans="1:15" hidden="1" outlineLevel="2" x14ac:dyDescent="0.35">
      <c r="A1042" s="425" t="s">
        <v>7873</v>
      </c>
      <c r="B1042" s="327">
        <v>44562</v>
      </c>
      <c r="C1042" s="426" t="s">
        <v>9205</v>
      </c>
      <c r="D1042" s="427" t="s">
        <v>9206</v>
      </c>
      <c r="E1042" s="426" t="s">
        <v>8517</v>
      </c>
      <c r="F1042" s="338">
        <v>1445550</v>
      </c>
      <c r="G1042" s="338" t="s">
        <v>3800</v>
      </c>
      <c r="H1042" s="338"/>
      <c r="I1042" s="329">
        <v>344.62372024726972</v>
      </c>
      <c r="J1042" s="329"/>
      <c r="K1042" s="338">
        <v>86.155930061817429</v>
      </c>
      <c r="L1042" s="338">
        <v>86.155930061817429</v>
      </c>
      <c r="M1042" s="338">
        <v>86.155930061817429</v>
      </c>
      <c r="N1042" s="338">
        <v>86.155930061817429</v>
      </c>
      <c r="O1042" s="338"/>
    </row>
    <row r="1043" spans="1:15" hidden="1" outlineLevel="2" x14ac:dyDescent="0.35">
      <c r="A1043" s="425" t="s">
        <v>7873</v>
      </c>
      <c r="B1043" s="327">
        <v>44529</v>
      </c>
      <c r="C1043" s="426" t="s">
        <v>9207</v>
      </c>
      <c r="D1043" s="427" t="s">
        <v>9208</v>
      </c>
      <c r="E1043" s="426" t="s">
        <v>9209</v>
      </c>
      <c r="F1043" s="338">
        <v>9296000</v>
      </c>
      <c r="G1043" s="338" t="s">
        <v>3800</v>
      </c>
      <c r="H1043" s="338"/>
      <c r="I1043" s="329">
        <v>2216.1959831334921</v>
      </c>
      <c r="J1043" s="329"/>
      <c r="K1043" s="338">
        <v>554.04899578337302</v>
      </c>
      <c r="L1043" s="338">
        <v>554.04899578337302</v>
      </c>
      <c r="M1043" s="338">
        <v>554.04899578337302</v>
      </c>
      <c r="N1043" s="338">
        <v>554.04899578337302</v>
      </c>
      <c r="O1043" s="338"/>
    </row>
    <row r="1044" spans="1:15" hidden="1" outlineLevel="2" x14ac:dyDescent="0.35">
      <c r="A1044" s="425" t="s">
        <v>7873</v>
      </c>
      <c r="B1044" s="327">
        <v>44541</v>
      </c>
      <c r="C1044" s="426" t="s">
        <v>9197</v>
      </c>
      <c r="D1044" s="427" t="s">
        <v>9210</v>
      </c>
      <c r="E1044" s="426" t="s">
        <v>8517</v>
      </c>
      <c r="F1044" s="338">
        <v>217600</v>
      </c>
      <c r="G1044" s="338" t="s">
        <v>3800</v>
      </c>
      <c r="H1044" s="338"/>
      <c r="I1044" s="329">
        <v>51.876532479544736</v>
      </c>
      <c r="J1044" s="329"/>
      <c r="K1044" s="338">
        <v>12.969133119886184</v>
      </c>
      <c r="L1044" s="338">
        <v>12.969133119886184</v>
      </c>
      <c r="M1044" s="338">
        <v>12.969133119886184</v>
      </c>
      <c r="N1044" s="338">
        <v>12.969133119886184</v>
      </c>
      <c r="O1044" s="338"/>
    </row>
    <row r="1045" spans="1:15" hidden="1" outlineLevel="2" x14ac:dyDescent="0.35">
      <c r="A1045" s="425" t="s">
        <v>7873</v>
      </c>
      <c r="B1045" s="327">
        <v>44541</v>
      </c>
      <c r="C1045" s="426" t="s">
        <v>9199</v>
      </c>
      <c r="D1045" s="427" t="s">
        <v>9210</v>
      </c>
      <c r="E1045" s="426" t="s">
        <v>8517</v>
      </c>
      <c r="F1045" s="338">
        <v>591000</v>
      </c>
      <c r="G1045" s="338" t="s">
        <v>3800</v>
      </c>
      <c r="H1045" s="338"/>
      <c r="I1045" s="329">
        <v>140.89628076935173</v>
      </c>
      <c r="J1045" s="329"/>
      <c r="K1045" s="338">
        <v>35.224070192337933</v>
      </c>
      <c r="L1045" s="338">
        <v>35.224070192337933</v>
      </c>
      <c r="M1045" s="338">
        <v>35.224070192337933</v>
      </c>
      <c r="N1045" s="338">
        <v>35.224070192337933</v>
      </c>
      <c r="O1045" s="338"/>
    </row>
    <row r="1046" spans="1:15" outlineLevel="1" collapsed="1" x14ac:dyDescent="0.35">
      <c r="A1046" s="432" t="s">
        <v>9211</v>
      </c>
      <c r="B1046" s="327"/>
      <c r="C1046" s="426"/>
      <c r="D1046" s="427"/>
      <c r="E1046" s="426"/>
      <c r="F1046" s="338"/>
      <c r="G1046" s="338"/>
      <c r="H1046" s="338"/>
      <c r="I1046" s="329">
        <f t="shared" ref="I1046:O1046" si="37">SUBTOTAL(9,I1036:I1045)</f>
        <v>4635.5449447110377</v>
      </c>
      <c r="J1046" s="329"/>
      <c r="K1046" s="338">
        <f t="shared" si="37"/>
        <v>1158.8862361777594</v>
      </c>
      <c r="L1046" s="338">
        <f t="shared" si="37"/>
        <v>1158.8862361777594</v>
      </c>
      <c r="M1046" s="338">
        <f t="shared" si="37"/>
        <v>1158.8862361777594</v>
      </c>
      <c r="N1046" s="338">
        <f t="shared" si="37"/>
        <v>1158.8862361777594</v>
      </c>
      <c r="O1046" s="338">
        <f t="shared" si="37"/>
        <v>0</v>
      </c>
    </row>
    <row r="1047" spans="1:15" hidden="1" outlineLevel="2" x14ac:dyDescent="0.35">
      <c r="A1047" s="425" t="s">
        <v>7841</v>
      </c>
      <c r="B1047" s="327">
        <v>44529</v>
      </c>
      <c r="C1047" s="426" t="s">
        <v>9212</v>
      </c>
      <c r="D1047" s="427" t="s">
        <v>9213</v>
      </c>
      <c r="E1047" s="426" t="s">
        <v>9214</v>
      </c>
      <c r="F1047" s="338">
        <v>10450000</v>
      </c>
      <c r="G1047" s="338" t="s">
        <v>3800</v>
      </c>
      <c r="H1047" s="338"/>
      <c r="I1047" s="329">
        <v>2491.3132555663715</v>
      </c>
      <c r="J1047" s="329"/>
      <c r="K1047" s="338">
        <v>622.82831389159287</v>
      </c>
      <c r="L1047" s="338">
        <v>622.82831389159287</v>
      </c>
      <c r="M1047" s="338">
        <v>622.82831389159287</v>
      </c>
      <c r="N1047" s="338">
        <v>622.82831389159287</v>
      </c>
      <c r="O1047" s="338"/>
    </row>
    <row r="1048" spans="1:15" outlineLevel="1" collapsed="1" x14ac:dyDescent="0.35">
      <c r="A1048" s="432" t="s">
        <v>9215</v>
      </c>
      <c r="B1048" s="327"/>
      <c r="C1048" s="426"/>
      <c r="D1048" s="427"/>
      <c r="E1048" s="426"/>
      <c r="F1048" s="338"/>
      <c r="G1048" s="338"/>
      <c r="H1048" s="338"/>
      <c r="I1048" s="329">
        <f t="shared" ref="I1048:O1048" si="38">SUBTOTAL(9,I1047:I1047)</f>
        <v>2491.3132555663715</v>
      </c>
      <c r="J1048" s="329"/>
      <c r="K1048" s="338">
        <f t="shared" si="38"/>
        <v>622.82831389159287</v>
      </c>
      <c r="L1048" s="338">
        <f t="shared" si="38"/>
        <v>622.82831389159287</v>
      </c>
      <c r="M1048" s="338">
        <f t="shared" si="38"/>
        <v>622.82831389159287</v>
      </c>
      <c r="N1048" s="338">
        <f t="shared" si="38"/>
        <v>622.82831389159287</v>
      </c>
      <c r="O1048" s="338">
        <f t="shared" si="38"/>
        <v>0</v>
      </c>
    </row>
    <row r="1049" spans="1:15" hidden="1" outlineLevel="2" x14ac:dyDescent="0.35">
      <c r="A1049" s="425" t="s">
        <v>7844</v>
      </c>
      <c r="B1049" s="327">
        <v>44165</v>
      </c>
      <c r="C1049" s="426" t="s">
        <v>9216</v>
      </c>
      <c r="D1049" s="427" t="s">
        <v>9217</v>
      </c>
      <c r="E1049" s="426" t="s">
        <v>9218</v>
      </c>
      <c r="F1049" s="338">
        <v>15104000</v>
      </c>
      <c r="G1049" s="338" t="s">
        <v>3800</v>
      </c>
      <c r="H1049" s="338"/>
      <c r="I1049" s="329">
        <v>3540.6522057353664</v>
      </c>
      <c r="J1049" s="329"/>
      <c r="K1049" s="338">
        <v>885.16305143384159</v>
      </c>
      <c r="L1049" s="338">
        <v>885.16305143384159</v>
      </c>
      <c r="M1049" s="338">
        <v>885.16305143384159</v>
      </c>
      <c r="N1049" s="338">
        <v>885.16305143384159</v>
      </c>
      <c r="O1049" s="338"/>
    </row>
    <row r="1050" spans="1:15" outlineLevel="1" collapsed="1" x14ac:dyDescent="0.35">
      <c r="A1050" s="432" t="s">
        <v>9219</v>
      </c>
      <c r="B1050" s="327"/>
      <c r="C1050" s="426"/>
      <c r="D1050" s="427"/>
      <c r="E1050" s="426"/>
      <c r="F1050" s="338"/>
      <c r="G1050" s="338"/>
      <c r="H1050" s="338"/>
      <c r="I1050" s="329">
        <f t="shared" ref="I1050:O1050" si="39">SUBTOTAL(9,I1049:I1049)</f>
        <v>3540.6522057353664</v>
      </c>
      <c r="J1050" s="329"/>
      <c r="K1050" s="338">
        <f t="shared" si="39"/>
        <v>885.16305143384159</v>
      </c>
      <c r="L1050" s="338">
        <f t="shared" si="39"/>
        <v>885.16305143384159</v>
      </c>
      <c r="M1050" s="338">
        <f t="shared" si="39"/>
        <v>885.16305143384159</v>
      </c>
      <c r="N1050" s="338">
        <f t="shared" si="39"/>
        <v>885.16305143384159</v>
      </c>
      <c r="O1050" s="338">
        <f t="shared" si="39"/>
        <v>0</v>
      </c>
    </row>
    <row r="1051" spans="1:15" hidden="1" outlineLevel="2" x14ac:dyDescent="0.35">
      <c r="A1051" s="425" t="s">
        <v>7970</v>
      </c>
      <c r="B1051" s="327" t="s">
        <v>9220</v>
      </c>
      <c r="C1051" s="426" t="s">
        <v>9221</v>
      </c>
      <c r="D1051" s="427" t="s">
        <v>9222</v>
      </c>
      <c r="E1051" s="426" t="s">
        <v>8490</v>
      </c>
      <c r="F1051" s="338">
        <v>4000000</v>
      </c>
      <c r="G1051" s="338" t="s">
        <v>3800</v>
      </c>
      <c r="H1051" s="338"/>
      <c r="I1051" s="329">
        <v>953.61272940339586</v>
      </c>
      <c r="J1051" s="329"/>
      <c r="K1051" s="338">
        <v>238.40318235084897</v>
      </c>
      <c r="L1051" s="338">
        <v>238.40318235084897</v>
      </c>
      <c r="M1051" s="338">
        <v>238.40318235084897</v>
      </c>
      <c r="N1051" s="338">
        <v>238.40318235084897</v>
      </c>
      <c r="O1051" s="338"/>
    </row>
    <row r="1052" spans="1:15" hidden="1" outlineLevel="2" x14ac:dyDescent="0.35">
      <c r="A1052" s="425" t="s">
        <v>7970</v>
      </c>
      <c r="B1052" s="327">
        <v>44135</v>
      </c>
      <c r="C1052" s="426">
        <v>237</v>
      </c>
      <c r="D1052" s="427" t="s">
        <v>9223</v>
      </c>
      <c r="E1052" s="426" t="s">
        <v>8490</v>
      </c>
      <c r="F1052" s="338">
        <v>6159233</v>
      </c>
      <c r="G1052" s="338" t="s">
        <v>3800</v>
      </c>
      <c r="H1052" s="338"/>
      <c r="I1052" s="329">
        <v>1443.8361961790292</v>
      </c>
      <c r="J1052" s="329"/>
      <c r="K1052" s="338">
        <v>360.95904904475731</v>
      </c>
      <c r="L1052" s="338">
        <v>360.95904904475731</v>
      </c>
      <c r="M1052" s="338">
        <v>360.95904904475731</v>
      </c>
      <c r="N1052" s="338">
        <v>360.95904904475731</v>
      </c>
      <c r="O1052" s="338"/>
    </row>
    <row r="1053" spans="1:15" hidden="1" outlineLevel="2" x14ac:dyDescent="0.35">
      <c r="A1053" s="425" t="s">
        <v>7970</v>
      </c>
      <c r="B1053" s="327" t="s">
        <v>8002</v>
      </c>
      <c r="C1053" s="426" t="s">
        <v>8003</v>
      </c>
      <c r="D1053" s="427" t="s">
        <v>9224</v>
      </c>
      <c r="E1053" s="426" t="s">
        <v>8490</v>
      </c>
      <c r="F1053" s="338">
        <v>6159233</v>
      </c>
      <c r="G1053" s="338" t="s">
        <v>3800</v>
      </c>
      <c r="H1053" s="338"/>
      <c r="I1053" s="329">
        <v>1468.3807480403664</v>
      </c>
      <c r="J1053" s="329"/>
      <c r="K1053" s="338">
        <v>367.09518701009159</v>
      </c>
      <c r="L1053" s="338">
        <v>367.09518701009159</v>
      </c>
      <c r="M1053" s="338">
        <v>367.09518701009159</v>
      </c>
      <c r="N1053" s="338">
        <v>367.09518701009159</v>
      </c>
      <c r="O1053" s="338"/>
    </row>
    <row r="1054" spans="1:15" hidden="1" outlineLevel="2" x14ac:dyDescent="0.35">
      <c r="A1054" s="425" t="s">
        <v>7970</v>
      </c>
      <c r="B1054" s="327" t="s">
        <v>7999</v>
      </c>
      <c r="C1054" s="426" t="s">
        <v>8000</v>
      </c>
      <c r="D1054" s="427" t="s">
        <v>9224</v>
      </c>
      <c r="E1054" s="426" t="s">
        <v>8490</v>
      </c>
      <c r="F1054" s="338">
        <v>6159233</v>
      </c>
      <c r="G1054" s="338" t="s">
        <v>3800</v>
      </c>
      <c r="H1054" s="338"/>
      <c r="I1054" s="329">
        <v>1468.3807480403664</v>
      </c>
      <c r="J1054" s="329"/>
      <c r="K1054" s="338">
        <v>367.09518701009159</v>
      </c>
      <c r="L1054" s="338">
        <v>367.09518701009159</v>
      </c>
      <c r="M1054" s="338">
        <v>367.09518701009159</v>
      </c>
      <c r="N1054" s="338">
        <v>367.09518701009159</v>
      </c>
      <c r="O1054" s="338"/>
    </row>
    <row r="1055" spans="1:15" hidden="1" outlineLevel="2" x14ac:dyDescent="0.35">
      <c r="A1055" s="425" t="s">
        <v>7970</v>
      </c>
      <c r="B1055" s="327">
        <v>44165</v>
      </c>
      <c r="C1055" s="426">
        <v>243</v>
      </c>
      <c r="D1055" s="427" t="s">
        <v>9225</v>
      </c>
      <c r="E1055" s="426" t="s">
        <v>8490</v>
      </c>
      <c r="F1055" s="338">
        <v>6159233</v>
      </c>
      <c r="G1055" s="338" t="s">
        <v>3800</v>
      </c>
      <c r="H1055" s="338"/>
      <c r="I1055" s="329">
        <v>1443.8361961790292</v>
      </c>
      <c r="J1055" s="329"/>
      <c r="K1055" s="338">
        <v>360.95904904475731</v>
      </c>
      <c r="L1055" s="338">
        <v>360.95904904475731</v>
      </c>
      <c r="M1055" s="338">
        <v>360.95904904475731</v>
      </c>
      <c r="N1055" s="338">
        <v>360.95904904475731</v>
      </c>
      <c r="O1055" s="338"/>
    </row>
    <row r="1056" spans="1:15" hidden="1" outlineLevel="2" x14ac:dyDescent="0.35">
      <c r="A1056" s="425" t="s">
        <v>7970</v>
      </c>
      <c r="B1056" s="327">
        <v>43861</v>
      </c>
      <c r="C1056" s="426">
        <v>163</v>
      </c>
      <c r="D1056" s="427" t="s">
        <v>9226</v>
      </c>
      <c r="E1056" s="426" t="s">
        <v>9227</v>
      </c>
      <c r="F1056" s="338">
        <v>5069048.76</v>
      </c>
      <c r="G1056" s="338" t="s">
        <v>3800</v>
      </c>
      <c r="H1056" s="338"/>
      <c r="I1056" s="329">
        <v>1188.2771896897591</v>
      </c>
      <c r="J1056" s="329"/>
      <c r="K1056" s="338">
        <v>297.06929742243977</v>
      </c>
      <c r="L1056" s="338">
        <v>297.06929742243977</v>
      </c>
      <c r="M1056" s="338">
        <v>297.06929742243977</v>
      </c>
      <c r="N1056" s="338">
        <v>297.06929742243977</v>
      </c>
      <c r="O1056" s="338"/>
    </row>
    <row r="1057" spans="1:15" hidden="1" outlineLevel="2" x14ac:dyDescent="0.35">
      <c r="A1057" s="425" t="s">
        <v>7970</v>
      </c>
      <c r="B1057" s="327" t="s">
        <v>8077</v>
      </c>
      <c r="C1057" s="426" t="s">
        <v>9228</v>
      </c>
      <c r="D1057" s="427" t="s">
        <v>9229</v>
      </c>
      <c r="E1057" s="426" t="s">
        <v>8490</v>
      </c>
      <c r="F1057" s="338">
        <v>6159233</v>
      </c>
      <c r="G1057" s="338" t="s">
        <v>3800</v>
      </c>
      <c r="H1057" s="338"/>
      <c r="I1057" s="329">
        <v>1468.3807480403664</v>
      </c>
      <c r="J1057" s="329"/>
      <c r="K1057" s="338">
        <v>367.09518701009159</v>
      </c>
      <c r="L1057" s="338">
        <v>367.09518701009159</v>
      </c>
      <c r="M1057" s="338">
        <v>367.09518701009159</v>
      </c>
      <c r="N1057" s="338">
        <v>367.09518701009159</v>
      </c>
      <c r="O1057" s="338"/>
    </row>
    <row r="1058" spans="1:15" hidden="1" outlineLevel="2" x14ac:dyDescent="0.35">
      <c r="A1058" s="425" t="s">
        <v>7970</v>
      </c>
      <c r="B1058" s="327" t="s">
        <v>8079</v>
      </c>
      <c r="C1058" s="426" t="s">
        <v>8327</v>
      </c>
      <c r="D1058" s="427" t="s">
        <v>9230</v>
      </c>
      <c r="E1058" s="426" t="s">
        <v>8490</v>
      </c>
      <c r="F1058" s="338">
        <v>6159233</v>
      </c>
      <c r="G1058" s="338" t="s">
        <v>3800</v>
      </c>
      <c r="H1058" s="338"/>
      <c r="I1058" s="329">
        <v>1468.3807480403664</v>
      </c>
      <c r="J1058" s="329"/>
      <c r="K1058" s="338">
        <v>367.09518701009159</v>
      </c>
      <c r="L1058" s="338">
        <v>367.09518701009159</v>
      </c>
      <c r="M1058" s="338">
        <v>367.09518701009159</v>
      </c>
      <c r="N1058" s="338">
        <v>367.09518701009159</v>
      </c>
      <c r="O1058" s="338"/>
    </row>
    <row r="1059" spans="1:15" hidden="1" outlineLevel="2" x14ac:dyDescent="0.35">
      <c r="A1059" s="425" t="s">
        <v>7970</v>
      </c>
      <c r="B1059" s="327">
        <v>44196</v>
      </c>
      <c r="C1059" s="426">
        <v>251</v>
      </c>
      <c r="D1059" s="427" t="s">
        <v>9231</v>
      </c>
      <c r="E1059" s="426" t="s">
        <v>8490</v>
      </c>
      <c r="F1059" s="338">
        <v>6159233</v>
      </c>
      <c r="G1059" s="338" t="s">
        <v>3800</v>
      </c>
      <c r="H1059" s="338"/>
      <c r="I1059" s="329">
        <v>1443.8361961790292</v>
      </c>
      <c r="J1059" s="329"/>
      <c r="K1059" s="338">
        <v>360.95904904475731</v>
      </c>
      <c r="L1059" s="338">
        <v>360.95904904475731</v>
      </c>
      <c r="M1059" s="338">
        <v>360.95904904475731</v>
      </c>
      <c r="N1059" s="338">
        <v>360.95904904475731</v>
      </c>
      <c r="O1059" s="338"/>
    </row>
    <row r="1060" spans="1:15" hidden="1" outlineLevel="2" x14ac:dyDescent="0.35">
      <c r="A1060" s="425" t="s">
        <v>7970</v>
      </c>
      <c r="B1060" s="327" t="s">
        <v>7987</v>
      </c>
      <c r="C1060" s="426" t="s">
        <v>7988</v>
      </c>
      <c r="D1060" s="427" t="s">
        <v>9232</v>
      </c>
      <c r="E1060" s="426" t="s">
        <v>8490</v>
      </c>
      <c r="F1060" s="338">
        <v>6159233</v>
      </c>
      <c r="G1060" s="338" t="s">
        <v>3800</v>
      </c>
      <c r="H1060" s="338"/>
      <c r="I1060" s="329">
        <v>1468.3807480403664</v>
      </c>
      <c r="J1060" s="329"/>
      <c r="K1060" s="338">
        <v>367.09518701009159</v>
      </c>
      <c r="L1060" s="338">
        <v>367.09518701009159</v>
      </c>
      <c r="M1060" s="338">
        <v>367.09518701009159</v>
      </c>
      <c r="N1060" s="338">
        <v>367.09518701009159</v>
      </c>
      <c r="O1060" s="338"/>
    </row>
    <row r="1061" spans="1:15" hidden="1" outlineLevel="2" x14ac:dyDescent="0.35">
      <c r="A1061" s="425" t="s">
        <v>7970</v>
      </c>
      <c r="B1061" s="327">
        <v>43890</v>
      </c>
      <c r="C1061" s="426">
        <v>170</v>
      </c>
      <c r="D1061" s="427" t="s">
        <v>9233</v>
      </c>
      <c r="E1061" s="426" t="s">
        <v>8490</v>
      </c>
      <c r="F1061" s="338">
        <v>5069048.76</v>
      </c>
      <c r="G1061" s="338" t="s">
        <v>3800</v>
      </c>
      <c r="H1061" s="338"/>
      <c r="I1061" s="329">
        <v>1188.2771896897591</v>
      </c>
      <c r="J1061" s="329"/>
      <c r="K1061" s="338">
        <v>297.06929742243977</v>
      </c>
      <c r="L1061" s="338">
        <v>297.06929742243977</v>
      </c>
      <c r="M1061" s="338">
        <v>297.06929742243977</v>
      </c>
      <c r="N1061" s="338">
        <v>297.06929742243977</v>
      </c>
      <c r="O1061" s="338"/>
    </row>
    <row r="1062" spans="1:15" hidden="1" outlineLevel="2" x14ac:dyDescent="0.35">
      <c r="A1062" s="425" t="s">
        <v>7970</v>
      </c>
      <c r="B1062" s="327" t="s">
        <v>8075</v>
      </c>
      <c r="C1062" s="426" t="s">
        <v>9234</v>
      </c>
      <c r="D1062" s="427" t="s">
        <v>9235</v>
      </c>
      <c r="E1062" s="426" t="s">
        <v>8490</v>
      </c>
      <c r="F1062" s="338">
        <v>6159233</v>
      </c>
      <c r="G1062" s="338" t="s">
        <v>3800</v>
      </c>
      <c r="H1062" s="338"/>
      <c r="I1062" s="329">
        <v>1468.3807480403664</v>
      </c>
      <c r="J1062" s="329"/>
      <c r="K1062" s="338">
        <v>367.09518701009159</v>
      </c>
      <c r="L1062" s="338">
        <v>367.09518701009159</v>
      </c>
      <c r="M1062" s="338">
        <v>367.09518701009159</v>
      </c>
      <c r="N1062" s="338">
        <v>367.09518701009159</v>
      </c>
      <c r="O1062" s="338"/>
    </row>
    <row r="1063" spans="1:15" hidden="1" outlineLevel="2" x14ac:dyDescent="0.35">
      <c r="A1063" s="425" t="s">
        <v>7970</v>
      </c>
      <c r="B1063" s="327">
        <v>43921</v>
      </c>
      <c r="C1063" s="426">
        <v>177</v>
      </c>
      <c r="D1063" s="427" t="s">
        <v>9236</v>
      </c>
      <c r="E1063" s="426" t="s">
        <v>8490</v>
      </c>
      <c r="F1063" s="338">
        <v>5069048.76</v>
      </c>
      <c r="G1063" s="338" t="s">
        <v>3800</v>
      </c>
      <c r="H1063" s="338"/>
      <c r="I1063" s="329">
        <v>1188.2771896897591</v>
      </c>
      <c r="J1063" s="329"/>
      <c r="K1063" s="338">
        <v>297.06929742243977</v>
      </c>
      <c r="L1063" s="338">
        <v>297.06929742243977</v>
      </c>
      <c r="M1063" s="338">
        <v>297.06929742243977</v>
      </c>
      <c r="N1063" s="338">
        <v>297.06929742243977</v>
      </c>
      <c r="O1063" s="338"/>
    </row>
    <row r="1064" spans="1:15" hidden="1" outlineLevel="2" x14ac:dyDescent="0.35">
      <c r="A1064" s="425" t="s">
        <v>7970</v>
      </c>
      <c r="B1064" s="327" t="s">
        <v>8089</v>
      </c>
      <c r="C1064" s="426" t="s">
        <v>9237</v>
      </c>
      <c r="D1064" s="427" t="s">
        <v>9238</v>
      </c>
      <c r="E1064" s="426" t="s">
        <v>8490</v>
      </c>
      <c r="F1064" s="338">
        <v>6159233</v>
      </c>
      <c r="G1064" s="338" t="s">
        <v>3800</v>
      </c>
      <c r="H1064" s="338"/>
      <c r="I1064" s="329">
        <v>1468.3807480403664</v>
      </c>
      <c r="J1064" s="329"/>
      <c r="K1064" s="338">
        <v>367.09518701009159</v>
      </c>
      <c r="L1064" s="338">
        <v>367.09518701009159</v>
      </c>
      <c r="M1064" s="338">
        <v>367.09518701009159</v>
      </c>
      <c r="N1064" s="338">
        <v>367.09518701009159</v>
      </c>
      <c r="O1064" s="338"/>
    </row>
    <row r="1065" spans="1:15" hidden="1" outlineLevel="2" x14ac:dyDescent="0.35">
      <c r="A1065" s="425" t="s">
        <v>7970</v>
      </c>
      <c r="B1065" s="327">
        <v>43951</v>
      </c>
      <c r="C1065" s="426">
        <v>177</v>
      </c>
      <c r="D1065" s="427" t="s">
        <v>9239</v>
      </c>
      <c r="E1065" s="426" t="s">
        <v>8490</v>
      </c>
      <c r="F1065" s="338">
        <v>5069048.76</v>
      </c>
      <c r="G1065" s="338" t="s">
        <v>3800</v>
      </c>
      <c r="H1065" s="338"/>
      <c r="I1065" s="329">
        <v>1188.2771896897591</v>
      </c>
      <c r="J1065" s="329"/>
      <c r="K1065" s="338">
        <v>297.06929742243977</v>
      </c>
      <c r="L1065" s="338">
        <v>297.06929742243977</v>
      </c>
      <c r="M1065" s="338">
        <v>297.06929742243977</v>
      </c>
      <c r="N1065" s="338">
        <v>297.06929742243977</v>
      </c>
      <c r="O1065" s="338"/>
    </row>
    <row r="1066" spans="1:15" hidden="1" outlineLevel="2" x14ac:dyDescent="0.35">
      <c r="A1066" s="425" t="s">
        <v>7970</v>
      </c>
      <c r="B1066" s="327" t="s">
        <v>7980</v>
      </c>
      <c r="C1066" s="426" t="s">
        <v>9240</v>
      </c>
      <c r="D1066" s="427" t="s">
        <v>9241</v>
      </c>
      <c r="E1066" s="426" t="s">
        <v>8490</v>
      </c>
      <c r="F1066" s="338">
        <v>6159233</v>
      </c>
      <c r="G1066" s="338" t="s">
        <v>3800</v>
      </c>
      <c r="H1066" s="338"/>
      <c r="I1066" s="329">
        <v>1468.3807480403664</v>
      </c>
      <c r="J1066" s="329"/>
      <c r="K1066" s="338">
        <v>367.09518701009159</v>
      </c>
      <c r="L1066" s="338">
        <v>367.09518701009159</v>
      </c>
      <c r="M1066" s="338">
        <v>367.09518701009159</v>
      </c>
      <c r="N1066" s="338">
        <v>367.09518701009159</v>
      </c>
      <c r="O1066" s="338"/>
    </row>
    <row r="1067" spans="1:15" hidden="1" outlineLevel="2" x14ac:dyDescent="0.35">
      <c r="A1067" s="425" t="s">
        <v>7970</v>
      </c>
      <c r="B1067" s="327">
        <v>43982</v>
      </c>
      <c r="C1067" s="426">
        <v>192</v>
      </c>
      <c r="D1067" s="427" t="s">
        <v>9242</v>
      </c>
      <c r="E1067" s="426" t="s">
        <v>8490</v>
      </c>
      <c r="F1067" s="338">
        <v>5069048.76</v>
      </c>
      <c r="G1067" s="338" t="s">
        <v>3800</v>
      </c>
      <c r="H1067" s="338"/>
      <c r="I1067" s="329">
        <v>1188.2771896897591</v>
      </c>
      <c r="J1067" s="329"/>
      <c r="K1067" s="338">
        <v>297.06929742243977</v>
      </c>
      <c r="L1067" s="338">
        <v>297.06929742243977</v>
      </c>
      <c r="M1067" s="338">
        <v>297.06929742243977</v>
      </c>
      <c r="N1067" s="338">
        <v>297.06929742243977</v>
      </c>
      <c r="O1067" s="338"/>
    </row>
    <row r="1068" spans="1:15" hidden="1" outlineLevel="2" x14ac:dyDescent="0.35">
      <c r="A1068" s="425" t="s">
        <v>7970</v>
      </c>
      <c r="B1068" s="327" t="s">
        <v>7996</v>
      </c>
      <c r="C1068" s="426" t="s">
        <v>7997</v>
      </c>
      <c r="D1068" s="427" t="s">
        <v>9243</v>
      </c>
      <c r="E1068" s="426" t="s">
        <v>8490</v>
      </c>
      <c r="F1068" s="338">
        <v>6159233</v>
      </c>
      <c r="G1068" s="338" t="s">
        <v>3800</v>
      </c>
      <c r="H1068" s="338"/>
      <c r="I1068" s="329">
        <v>1468.3807480403664</v>
      </c>
      <c r="J1068" s="329"/>
      <c r="K1068" s="338">
        <v>367.09518701009159</v>
      </c>
      <c r="L1068" s="338">
        <v>367.09518701009159</v>
      </c>
      <c r="M1068" s="338">
        <v>367.09518701009159</v>
      </c>
      <c r="N1068" s="338">
        <v>367.09518701009159</v>
      </c>
      <c r="O1068" s="338"/>
    </row>
    <row r="1069" spans="1:15" hidden="1" outlineLevel="2" x14ac:dyDescent="0.35">
      <c r="A1069" s="425" t="s">
        <v>7970</v>
      </c>
      <c r="B1069" s="327">
        <v>44012</v>
      </c>
      <c r="C1069" s="426">
        <v>192</v>
      </c>
      <c r="D1069" s="427" t="s">
        <v>9244</v>
      </c>
      <c r="E1069" s="426" t="s">
        <v>8490</v>
      </c>
      <c r="F1069" s="338">
        <v>5069048.76</v>
      </c>
      <c r="G1069" s="338" t="s">
        <v>3800</v>
      </c>
      <c r="H1069" s="338"/>
      <c r="I1069" s="329">
        <v>1188.2771896897591</v>
      </c>
      <c r="J1069" s="329"/>
      <c r="K1069" s="338">
        <v>297.06929742243977</v>
      </c>
      <c r="L1069" s="338">
        <v>297.06929742243977</v>
      </c>
      <c r="M1069" s="338">
        <v>297.06929742243977</v>
      </c>
      <c r="N1069" s="338">
        <v>297.06929742243977</v>
      </c>
      <c r="O1069" s="338"/>
    </row>
    <row r="1070" spans="1:15" hidden="1" outlineLevel="2" x14ac:dyDescent="0.35">
      <c r="A1070" s="425" t="s">
        <v>7970</v>
      </c>
      <c r="B1070" s="327" t="s">
        <v>7993</v>
      </c>
      <c r="C1070" s="426" t="s">
        <v>7994</v>
      </c>
      <c r="D1070" s="427" t="s">
        <v>9245</v>
      </c>
      <c r="E1070" s="426" t="s">
        <v>8490</v>
      </c>
      <c r="F1070" s="338">
        <v>6159233</v>
      </c>
      <c r="G1070" s="338" t="s">
        <v>3800</v>
      </c>
      <c r="H1070" s="338"/>
      <c r="I1070" s="329">
        <v>1468.3807480403664</v>
      </c>
      <c r="J1070" s="329"/>
      <c r="K1070" s="338">
        <v>367.09518701009159</v>
      </c>
      <c r="L1070" s="338">
        <v>367.09518701009159</v>
      </c>
      <c r="M1070" s="338">
        <v>367.09518701009159</v>
      </c>
      <c r="N1070" s="338">
        <v>367.09518701009159</v>
      </c>
      <c r="O1070" s="338"/>
    </row>
    <row r="1071" spans="1:15" hidden="1" outlineLevel="2" x14ac:dyDescent="0.35">
      <c r="A1071" s="425" t="s">
        <v>7970</v>
      </c>
      <c r="B1071" s="327">
        <v>44043</v>
      </c>
      <c r="C1071" s="426">
        <v>177</v>
      </c>
      <c r="D1071" s="427" t="s">
        <v>9246</v>
      </c>
      <c r="E1071" s="426" t="s">
        <v>8490</v>
      </c>
      <c r="F1071" s="338">
        <v>5069048.76</v>
      </c>
      <c r="G1071" s="338" t="s">
        <v>3800</v>
      </c>
      <c r="H1071" s="338"/>
      <c r="I1071" s="329">
        <v>1188.2771896897591</v>
      </c>
      <c r="J1071" s="329"/>
      <c r="K1071" s="338">
        <v>297.06929742243977</v>
      </c>
      <c r="L1071" s="338">
        <v>297.06929742243977</v>
      </c>
      <c r="M1071" s="338">
        <v>297.06929742243977</v>
      </c>
      <c r="N1071" s="338">
        <v>297.06929742243977</v>
      </c>
      <c r="O1071" s="338"/>
    </row>
    <row r="1072" spans="1:15" hidden="1" outlineLevel="2" x14ac:dyDescent="0.35">
      <c r="A1072" s="425" t="s">
        <v>7970</v>
      </c>
      <c r="B1072" s="327" t="s">
        <v>7990</v>
      </c>
      <c r="C1072" s="426" t="s">
        <v>7991</v>
      </c>
      <c r="D1072" s="427" t="s">
        <v>9247</v>
      </c>
      <c r="E1072" s="426" t="s">
        <v>8490</v>
      </c>
      <c r="F1072" s="338">
        <v>6159233</v>
      </c>
      <c r="G1072" s="338" t="s">
        <v>3800</v>
      </c>
      <c r="H1072" s="338"/>
      <c r="I1072" s="329">
        <v>1468.3807480403664</v>
      </c>
      <c r="J1072" s="329"/>
      <c r="K1072" s="338">
        <v>367.09518701009159</v>
      </c>
      <c r="L1072" s="338">
        <v>367.09518701009159</v>
      </c>
      <c r="M1072" s="338">
        <v>367.09518701009159</v>
      </c>
      <c r="N1072" s="338">
        <v>367.09518701009159</v>
      </c>
      <c r="O1072" s="338"/>
    </row>
    <row r="1073" spans="1:15" hidden="1" outlineLevel="2" x14ac:dyDescent="0.35">
      <c r="A1073" s="425" t="s">
        <v>7970</v>
      </c>
      <c r="B1073" s="327">
        <v>44074</v>
      </c>
      <c r="C1073" s="426">
        <v>219</v>
      </c>
      <c r="D1073" s="427" t="s">
        <v>9248</v>
      </c>
      <c r="E1073" s="426" t="s">
        <v>8490</v>
      </c>
      <c r="F1073" s="338">
        <v>6159233</v>
      </c>
      <c r="G1073" s="338" t="s">
        <v>3800</v>
      </c>
      <c r="H1073" s="338"/>
      <c r="I1073" s="329">
        <v>1443.8361961790292</v>
      </c>
      <c r="J1073" s="329"/>
      <c r="K1073" s="338">
        <v>360.95904904475731</v>
      </c>
      <c r="L1073" s="338">
        <v>360.95904904475731</v>
      </c>
      <c r="M1073" s="338">
        <v>360.95904904475731</v>
      </c>
      <c r="N1073" s="338">
        <v>360.95904904475731</v>
      </c>
      <c r="O1073" s="338"/>
    </row>
    <row r="1074" spans="1:15" hidden="1" outlineLevel="2" x14ac:dyDescent="0.35">
      <c r="A1074" s="425" t="s">
        <v>7970</v>
      </c>
      <c r="B1074" s="327" t="s">
        <v>7984</v>
      </c>
      <c r="C1074" s="426" t="s">
        <v>7985</v>
      </c>
      <c r="D1074" s="427" t="s">
        <v>9249</v>
      </c>
      <c r="E1074" s="426" t="s">
        <v>8490</v>
      </c>
      <c r="F1074" s="338">
        <v>6159233</v>
      </c>
      <c r="G1074" s="338" t="s">
        <v>3800</v>
      </c>
      <c r="H1074" s="338"/>
      <c r="I1074" s="329">
        <v>1468.3807480403664</v>
      </c>
      <c r="J1074" s="329"/>
      <c r="K1074" s="338">
        <v>367.09518701009159</v>
      </c>
      <c r="L1074" s="338">
        <v>367.09518701009159</v>
      </c>
      <c r="M1074" s="338">
        <v>367.09518701009159</v>
      </c>
      <c r="N1074" s="338">
        <v>367.09518701009159</v>
      </c>
      <c r="O1074" s="338"/>
    </row>
    <row r="1075" spans="1:15" hidden="1" outlineLevel="2" x14ac:dyDescent="0.35">
      <c r="A1075" s="425" t="s">
        <v>7970</v>
      </c>
      <c r="B1075" s="327">
        <v>44104</v>
      </c>
      <c r="C1075" s="426">
        <v>229</v>
      </c>
      <c r="D1075" s="427" t="s">
        <v>9250</v>
      </c>
      <c r="E1075" s="426" t="s">
        <v>8490</v>
      </c>
      <c r="F1075" s="338">
        <v>6159233</v>
      </c>
      <c r="G1075" s="338" t="s">
        <v>3800</v>
      </c>
      <c r="H1075" s="338"/>
      <c r="I1075" s="329">
        <v>1443.8361961790292</v>
      </c>
      <c r="J1075" s="329"/>
      <c r="K1075" s="338">
        <v>360.95904904475731</v>
      </c>
      <c r="L1075" s="338">
        <v>360.95904904475731</v>
      </c>
      <c r="M1075" s="338">
        <v>360.95904904475731</v>
      </c>
      <c r="N1075" s="338">
        <v>360.95904904475731</v>
      </c>
      <c r="O1075" s="338"/>
    </row>
    <row r="1076" spans="1:15" hidden="1" outlineLevel="2" x14ac:dyDescent="0.35">
      <c r="A1076" s="425" t="s">
        <v>7970</v>
      </c>
      <c r="B1076" s="327" t="s">
        <v>8005</v>
      </c>
      <c r="C1076" s="426" t="s">
        <v>8006</v>
      </c>
      <c r="D1076" s="427" t="s">
        <v>9251</v>
      </c>
      <c r="E1076" s="426" t="s">
        <v>8490</v>
      </c>
      <c r="F1076" s="338">
        <v>6159233</v>
      </c>
      <c r="G1076" s="338" t="s">
        <v>3800</v>
      </c>
      <c r="H1076" s="338"/>
      <c r="I1076" s="329">
        <v>1468.3807480403664</v>
      </c>
      <c r="J1076" s="329"/>
      <c r="K1076" s="338">
        <v>367.09518701009159</v>
      </c>
      <c r="L1076" s="338">
        <v>367.09518701009159</v>
      </c>
      <c r="M1076" s="338">
        <v>367.09518701009159</v>
      </c>
      <c r="N1076" s="338">
        <v>367.09518701009159</v>
      </c>
      <c r="O1076" s="338"/>
    </row>
    <row r="1077" spans="1:15" hidden="1" outlineLevel="2" x14ac:dyDescent="0.35">
      <c r="A1077" s="425" t="s">
        <v>7970</v>
      </c>
      <c r="B1077" s="327">
        <v>44135</v>
      </c>
      <c r="C1077" s="426">
        <v>237</v>
      </c>
      <c r="D1077" s="427" t="s">
        <v>9252</v>
      </c>
      <c r="E1077" s="426" t="s">
        <v>8490</v>
      </c>
      <c r="F1077" s="338">
        <v>184777</v>
      </c>
      <c r="G1077" s="338" t="s">
        <v>3800</v>
      </c>
      <c r="H1077" s="338"/>
      <c r="I1077" s="329">
        <v>43.315088229552686</v>
      </c>
      <c r="J1077" s="329"/>
      <c r="K1077" s="338">
        <v>10.828772057388171</v>
      </c>
      <c r="L1077" s="338">
        <v>10.828772057388171</v>
      </c>
      <c r="M1077" s="338">
        <v>10.828772057388171</v>
      </c>
      <c r="N1077" s="338">
        <v>10.828772057388171</v>
      </c>
      <c r="O1077" s="338"/>
    </row>
    <row r="1078" spans="1:15" hidden="1" outlineLevel="2" x14ac:dyDescent="0.35">
      <c r="A1078" s="425" t="s">
        <v>7970</v>
      </c>
      <c r="B1078" s="327" t="s">
        <v>8002</v>
      </c>
      <c r="C1078" s="426" t="s">
        <v>8003</v>
      </c>
      <c r="D1078" s="427" t="s">
        <v>9253</v>
      </c>
      <c r="E1078" s="426" t="s">
        <v>8490</v>
      </c>
      <c r="F1078" s="338">
        <v>184777</v>
      </c>
      <c r="G1078" s="338" t="s">
        <v>3800</v>
      </c>
      <c r="H1078" s="338"/>
      <c r="I1078" s="329">
        <v>44.051424825242819</v>
      </c>
      <c r="J1078" s="329"/>
      <c r="K1078" s="338">
        <v>11.012856206310705</v>
      </c>
      <c r="L1078" s="338">
        <v>11.012856206310705</v>
      </c>
      <c r="M1078" s="338">
        <v>11.012856206310705</v>
      </c>
      <c r="N1078" s="338">
        <v>11.012856206310705</v>
      </c>
      <c r="O1078" s="338"/>
    </row>
    <row r="1079" spans="1:15" hidden="1" outlineLevel="2" x14ac:dyDescent="0.35">
      <c r="A1079" s="425" t="s">
        <v>7970</v>
      </c>
      <c r="B1079" s="327" t="s">
        <v>7999</v>
      </c>
      <c r="C1079" s="426" t="s">
        <v>8000</v>
      </c>
      <c r="D1079" s="427" t="s">
        <v>9253</v>
      </c>
      <c r="E1079" s="426" t="s">
        <v>8490</v>
      </c>
      <c r="F1079" s="338">
        <v>184777</v>
      </c>
      <c r="G1079" s="338" t="s">
        <v>3800</v>
      </c>
      <c r="H1079" s="338"/>
      <c r="I1079" s="329">
        <v>44.051424825242819</v>
      </c>
      <c r="J1079" s="329"/>
      <c r="K1079" s="338">
        <v>11.012856206310705</v>
      </c>
      <c r="L1079" s="338">
        <v>11.012856206310705</v>
      </c>
      <c r="M1079" s="338">
        <v>11.012856206310705</v>
      </c>
      <c r="N1079" s="338">
        <v>11.012856206310705</v>
      </c>
      <c r="O1079" s="338"/>
    </row>
    <row r="1080" spans="1:15" hidden="1" outlineLevel="2" x14ac:dyDescent="0.35">
      <c r="A1080" s="425" t="s">
        <v>7970</v>
      </c>
      <c r="B1080" s="327">
        <v>44165</v>
      </c>
      <c r="C1080" s="426">
        <v>243</v>
      </c>
      <c r="D1080" s="427" t="s">
        <v>9254</v>
      </c>
      <c r="E1080" s="426" t="s">
        <v>8490</v>
      </c>
      <c r="F1080" s="338">
        <v>184777</v>
      </c>
      <c r="G1080" s="338" t="s">
        <v>3800</v>
      </c>
      <c r="H1080" s="338"/>
      <c r="I1080" s="329">
        <v>43.315088229552686</v>
      </c>
      <c r="J1080" s="329"/>
      <c r="K1080" s="338">
        <v>10.828772057388171</v>
      </c>
      <c r="L1080" s="338">
        <v>10.828772057388171</v>
      </c>
      <c r="M1080" s="338">
        <v>10.828772057388171</v>
      </c>
      <c r="N1080" s="338">
        <v>10.828772057388171</v>
      </c>
      <c r="O1080" s="338"/>
    </row>
    <row r="1081" spans="1:15" hidden="1" outlineLevel="2" x14ac:dyDescent="0.35">
      <c r="A1081" s="425" t="s">
        <v>7970</v>
      </c>
      <c r="B1081" s="327">
        <v>43861</v>
      </c>
      <c r="C1081" s="426">
        <v>163</v>
      </c>
      <c r="D1081" s="427" t="s">
        <v>9255</v>
      </c>
      <c r="E1081" s="426" t="s">
        <v>9227</v>
      </c>
      <c r="F1081" s="338">
        <v>152071.47</v>
      </c>
      <c r="G1081" s="338" t="s">
        <v>3800</v>
      </c>
      <c r="H1081" s="338"/>
      <c r="I1081" s="329">
        <v>35.648317378503677</v>
      </c>
      <c r="J1081" s="329"/>
      <c r="K1081" s="338">
        <v>8.9120793446259192</v>
      </c>
      <c r="L1081" s="338">
        <v>8.9120793446259192</v>
      </c>
      <c r="M1081" s="338">
        <v>8.9120793446259192</v>
      </c>
      <c r="N1081" s="338">
        <v>8.9120793446259192</v>
      </c>
      <c r="O1081" s="338"/>
    </row>
    <row r="1082" spans="1:15" hidden="1" outlineLevel="2" x14ac:dyDescent="0.35">
      <c r="A1082" s="425" t="s">
        <v>7970</v>
      </c>
      <c r="B1082" s="327" t="s">
        <v>8077</v>
      </c>
      <c r="C1082" s="426" t="s">
        <v>9228</v>
      </c>
      <c r="D1082" s="427" t="s">
        <v>9256</v>
      </c>
      <c r="E1082" s="426" t="s">
        <v>8490</v>
      </c>
      <c r="F1082" s="338">
        <v>184777</v>
      </c>
      <c r="G1082" s="338" t="s">
        <v>3800</v>
      </c>
      <c r="H1082" s="338"/>
      <c r="I1082" s="329">
        <v>44.051424825242819</v>
      </c>
      <c r="J1082" s="329"/>
      <c r="K1082" s="338">
        <v>11.012856206310705</v>
      </c>
      <c r="L1082" s="338">
        <v>11.012856206310705</v>
      </c>
      <c r="M1082" s="338">
        <v>11.012856206310705</v>
      </c>
      <c r="N1082" s="338">
        <v>11.012856206310705</v>
      </c>
      <c r="O1082" s="338"/>
    </row>
    <row r="1083" spans="1:15" hidden="1" outlineLevel="2" x14ac:dyDescent="0.35">
      <c r="A1083" s="425" t="s">
        <v>7970</v>
      </c>
      <c r="B1083" s="327" t="s">
        <v>8079</v>
      </c>
      <c r="C1083" s="426" t="s">
        <v>8327</v>
      </c>
      <c r="D1083" s="427" t="s">
        <v>9257</v>
      </c>
      <c r="E1083" s="426" t="s">
        <v>8490</v>
      </c>
      <c r="F1083" s="338">
        <v>184777</v>
      </c>
      <c r="G1083" s="338" t="s">
        <v>3800</v>
      </c>
      <c r="H1083" s="338"/>
      <c r="I1083" s="329">
        <v>44.051424825242819</v>
      </c>
      <c r="J1083" s="329"/>
      <c r="K1083" s="338">
        <v>11.012856206310705</v>
      </c>
      <c r="L1083" s="338">
        <v>11.012856206310705</v>
      </c>
      <c r="M1083" s="338">
        <v>11.012856206310705</v>
      </c>
      <c r="N1083" s="338">
        <v>11.012856206310705</v>
      </c>
      <c r="O1083" s="338"/>
    </row>
    <row r="1084" spans="1:15" hidden="1" outlineLevel="2" x14ac:dyDescent="0.35">
      <c r="A1084" s="425" t="s">
        <v>7970</v>
      </c>
      <c r="B1084" s="327">
        <v>44196</v>
      </c>
      <c r="C1084" s="426">
        <v>251</v>
      </c>
      <c r="D1084" s="427" t="s">
        <v>9258</v>
      </c>
      <c r="E1084" s="426" t="s">
        <v>8490</v>
      </c>
      <c r="F1084" s="338">
        <v>184777</v>
      </c>
      <c r="G1084" s="338" t="s">
        <v>3800</v>
      </c>
      <c r="H1084" s="338"/>
      <c r="I1084" s="329">
        <v>43.315088229552686</v>
      </c>
      <c r="J1084" s="329"/>
      <c r="K1084" s="338">
        <v>10.828772057388171</v>
      </c>
      <c r="L1084" s="338">
        <v>10.828772057388171</v>
      </c>
      <c r="M1084" s="338">
        <v>10.828772057388171</v>
      </c>
      <c r="N1084" s="338">
        <v>10.828772057388171</v>
      </c>
      <c r="O1084" s="338"/>
    </row>
    <row r="1085" spans="1:15" hidden="1" outlineLevel="2" x14ac:dyDescent="0.35">
      <c r="A1085" s="425" t="s">
        <v>7970</v>
      </c>
      <c r="B1085" s="327" t="s">
        <v>7987</v>
      </c>
      <c r="C1085" s="426" t="s">
        <v>7988</v>
      </c>
      <c r="D1085" s="427" t="s">
        <v>9259</v>
      </c>
      <c r="E1085" s="426" t="s">
        <v>8490</v>
      </c>
      <c r="F1085" s="338">
        <v>184777</v>
      </c>
      <c r="G1085" s="338" t="s">
        <v>3800</v>
      </c>
      <c r="H1085" s="338"/>
      <c r="I1085" s="329">
        <v>44.051424825242819</v>
      </c>
      <c r="J1085" s="329"/>
      <c r="K1085" s="338">
        <v>11.012856206310705</v>
      </c>
      <c r="L1085" s="338">
        <v>11.012856206310705</v>
      </c>
      <c r="M1085" s="338">
        <v>11.012856206310705</v>
      </c>
      <c r="N1085" s="338">
        <v>11.012856206310705</v>
      </c>
      <c r="O1085" s="338"/>
    </row>
    <row r="1086" spans="1:15" hidden="1" outlineLevel="2" x14ac:dyDescent="0.35">
      <c r="A1086" s="425" t="s">
        <v>7970</v>
      </c>
      <c r="B1086" s="327">
        <v>43890</v>
      </c>
      <c r="C1086" s="426">
        <v>170</v>
      </c>
      <c r="D1086" s="427" t="s">
        <v>9260</v>
      </c>
      <c r="E1086" s="426" t="s">
        <v>8490</v>
      </c>
      <c r="F1086" s="338">
        <v>152071.47</v>
      </c>
      <c r="G1086" s="338" t="s">
        <v>3800</v>
      </c>
      <c r="H1086" s="338"/>
      <c r="I1086" s="329">
        <v>35.648317378503677</v>
      </c>
      <c r="J1086" s="329"/>
      <c r="K1086" s="338">
        <v>8.9120793446259192</v>
      </c>
      <c r="L1086" s="338">
        <v>8.9120793446259192</v>
      </c>
      <c r="M1086" s="338">
        <v>8.9120793446259192</v>
      </c>
      <c r="N1086" s="338">
        <v>8.9120793446259192</v>
      </c>
      <c r="O1086" s="338"/>
    </row>
    <row r="1087" spans="1:15" hidden="1" outlineLevel="2" x14ac:dyDescent="0.35">
      <c r="A1087" s="425" t="s">
        <v>7970</v>
      </c>
      <c r="B1087" s="327" t="s">
        <v>8075</v>
      </c>
      <c r="C1087" s="426" t="s">
        <v>9234</v>
      </c>
      <c r="D1087" s="427" t="s">
        <v>9261</v>
      </c>
      <c r="E1087" s="426" t="s">
        <v>8490</v>
      </c>
      <c r="F1087" s="338">
        <v>184777</v>
      </c>
      <c r="G1087" s="338" t="s">
        <v>3800</v>
      </c>
      <c r="H1087" s="338"/>
      <c r="I1087" s="329">
        <v>44.051424825242819</v>
      </c>
      <c r="J1087" s="329"/>
      <c r="K1087" s="338">
        <v>11.012856206310705</v>
      </c>
      <c r="L1087" s="338">
        <v>11.012856206310705</v>
      </c>
      <c r="M1087" s="338">
        <v>11.012856206310705</v>
      </c>
      <c r="N1087" s="338">
        <v>11.012856206310705</v>
      </c>
      <c r="O1087" s="338"/>
    </row>
    <row r="1088" spans="1:15" hidden="1" outlineLevel="2" x14ac:dyDescent="0.35">
      <c r="A1088" s="425" t="s">
        <v>7970</v>
      </c>
      <c r="B1088" s="327">
        <v>43921</v>
      </c>
      <c r="C1088" s="426">
        <v>177</v>
      </c>
      <c r="D1088" s="427" t="s">
        <v>9262</v>
      </c>
      <c r="E1088" s="426" t="s">
        <v>8490</v>
      </c>
      <c r="F1088" s="338">
        <v>152071.47</v>
      </c>
      <c r="G1088" s="338" t="s">
        <v>3800</v>
      </c>
      <c r="H1088" s="338"/>
      <c r="I1088" s="329">
        <v>35.648317378503677</v>
      </c>
      <c r="J1088" s="329"/>
      <c r="K1088" s="338">
        <v>8.9120793446259192</v>
      </c>
      <c r="L1088" s="338">
        <v>8.9120793446259192</v>
      </c>
      <c r="M1088" s="338">
        <v>8.9120793446259192</v>
      </c>
      <c r="N1088" s="338">
        <v>8.9120793446259192</v>
      </c>
      <c r="O1088" s="338"/>
    </row>
    <row r="1089" spans="1:15" hidden="1" outlineLevel="2" x14ac:dyDescent="0.35">
      <c r="A1089" s="425" t="s">
        <v>7970</v>
      </c>
      <c r="B1089" s="327" t="s">
        <v>8089</v>
      </c>
      <c r="C1089" s="426" t="s">
        <v>9237</v>
      </c>
      <c r="D1089" s="427" t="s">
        <v>9263</v>
      </c>
      <c r="E1089" s="426" t="s">
        <v>8490</v>
      </c>
      <c r="F1089" s="338">
        <v>184777</v>
      </c>
      <c r="G1089" s="338" t="s">
        <v>3800</v>
      </c>
      <c r="H1089" s="338"/>
      <c r="I1089" s="329">
        <v>44.051424825242819</v>
      </c>
      <c r="J1089" s="329"/>
      <c r="K1089" s="338">
        <v>11.012856206310705</v>
      </c>
      <c r="L1089" s="338">
        <v>11.012856206310705</v>
      </c>
      <c r="M1089" s="338">
        <v>11.012856206310705</v>
      </c>
      <c r="N1089" s="338">
        <v>11.012856206310705</v>
      </c>
      <c r="O1089" s="338"/>
    </row>
    <row r="1090" spans="1:15" hidden="1" outlineLevel="2" x14ac:dyDescent="0.35">
      <c r="A1090" s="425" t="s">
        <v>7970</v>
      </c>
      <c r="B1090" s="327">
        <v>43951</v>
      </c>
      <c r="C1090" s="426">
        <v>177</v>
      </c>
      <c r="D1090" s="427" t="s">
        <v>9264</v>
      </c>
      <c r="E1090" s="426" t="s">
        <v>8490</v>
      </c>
      <c r="F1090" s="338">
        <v>152071.47</v>
      </c>
      <c r="G1090" s="338" t="s">
        <v>3800</v>
      </c>
      <c r="H1090" s="338"/>
      <c r="I1090" s="329">
        <v>35.648317378503677</v>
      </c>
      <c r="J1090" s="329"/>
      <c r="K1090" s="338">
        <v>8.9120793446259192</v>
      </c>
      <c r="L1090" s="338">
        <v>8.9120793446259192</v>
      </c>
      <c r="M1090" s="338">
        <v>8.9120793446259192</v>
      </c>
      <c r="N1090" s="338">
        <v>8.9120793446259192</v>
      </c>
      <c r="O1090" s="338"/>
    </row>
    <row r="1091" spans="1:15" hidden="1" outlineLevel="2" x14ac:dyDescent="0.35">
      <c r="A1091" s="425" t="s">
        <v>7970</v>
      </c>
      <c r="B1091" s="327" t="s">
        <v>7980</v>
      </c>
      <c r="C1091" s="426" t="s">
        <v>9240</v>
      </c>
      <c r="D1091" s="427" t="s">
        <v>9265</v>
      </c>
      <c r="E1091" s="426" t="s">
        <v>8490</v>
      </c>
      <c r="F1091" s="338">
        <v>184777</v>
      </c>
      <c r="G1091" s="338" t="s">
        <v>3800</v>
      </c>
      <c r="H1091" s="338"/>
      <c r="I1091" s="329">
        <v>44.051424825242819</v>
      </c>
      <c r="J1091" s="329"/>
      <c r="K1091" s="338">
        <v>11.012856206310705</v>
      </c>
      <c r="L1091" s="338">
        <v>11.012856206310705</v>
      </c>
      <c r="M1091" s="338">
        <v>11.012856206310705</v>
      </c>
      <c r="N1091" s="338">
        <v>11.012856206310705</v>
      </c>
      <c r="O1091" s="338"/>
    </row>
    <row r="1092" spans="1:15" hidden="1" outlineLevel="2" x14ac:dyDescent="0.35">
      <c r="A1092" s="425" t="s">
        <v>7970</v>
      </c>
      <c r="B1092" s="327">
        <v>43982</v>
      </c>
      <c r="C1092" s="426">
        <v>192</v>
      </c>
      <c r="D1092" s="427" t="s">
        <v>9266</v>
      </c>
      <c r="E1092" s="426" t="s">
        <v>8490</v>
      </c>
      <c r="F1092" s="338">
        <v>152071.47</v>
      </c>
      <c r="G1092" s="338" t="s">
        <v>3800</v>
      </c>
      <c r="H1092" s="338"/>
      <c r="I1092" s="329">
        <v>35.648317378503677</v>
      </c>
      <c r="J1092" s="329"/>
      <c r="K1092" s="338">
        <v>8.9120793446259192</v>
      </c>
      <c r="L1092" s="338">
        <v>8.9120793446259192</v>
      </c>
      <c r="M1092" s="338">
        <v>8.9120793446259192</v>
      </c>
      <c r="N1092" s="338">
        <v>8.9120793446259192</v>
      </c>
      <c r="O1092" s="338"/>
    </row>
    <row r="1093" spans="1:15" hidden="1" outlineLevel="2" x14ac:dyDescent="0.35">
      <c r="A1093" s="425" t="s">
        <v>7970</v>
      </c>
      <c r="B1093" s="327" t="s">
        <v>7996</v>
      </c>
      <c r="C1093" s="426" t="s">
        <v>7997</v>
      </c>
      <c r="D1093" s="427" t="s">
        <v>9267</v>
      </c>
      <c r="E1093" s="426" t="s">
        <v>8490</v>
      </c>
      <c r="F1093" s="338">
        <v>184777</v>
      </c>
      <c r="G1093" s="338" t="s">
        <v>3800</v>
      </c>
      <c r="H1093" s="338"/>
      <c r="I1093" s="329">
        <v>44.051424825242819</v>
      </c>
      <c r="J1093" s="329"/>
      <c r="K1093" s="338">
        <v>11.012856206310705</v>
      </c>
      <c r="L1093" s="338">
        <v>11.012856206310705</v>
      </c>
      <c r="M1093" s="338">
        <v>11.012856206310705</v>
      </c>
      <c r="N1093" s="338">
        <v>11.012856206310705</v>
      </c>
      <c r="O1093" s="338"/>
    </row>
    <row r="1094" spans="1:15" hidden="1" outlineLevel="2" x14ac:dyDescent="0.35">
      <c r="A1094" s="425" t="s">
        <v>7970</v>
      </c>
      <c r="B1094" s="327">
        <v>44012</v>
      </c>
      <c r="C1094" s="426">
        <v>192</v>
      </c>
      <c r="D1094" s="427" t="s">
        <v>9268</v>
      </c>
      <c r="E1094" s="426" t="s">
        <v>8490</v>
      </c>
      <c r="F1094" s="338">
        <v>152071.47</v>
      </c>
      <c r="G1094" s="338" t="s">
        <v>3800</v>
      </c>
      <c r="H1094" s="338"/>
      <c r="I1094" s="329">
        <v>35.648317378503677</v>
      </c>
      <c r="J1094" s="329"/>
      <c r="K1094" s="338">
        <v>8.9120793446259192</v>
      </c>
      <c r="L1094" s="338">
        <v>8.9120793446259192</v>
      </c>
      <c r="M1094" s="338">
        <v>8.9120793446259192</v>
      </c>
      <c r="N1094" s="338">
        <v>8.9120793446259192</v>
      </c>
      <c r="O1094" s="338"/>
    </row>
    <row r="1095" spans="1:15" hidden="1" outlineLevel="2" x14ac:dyDescent="0.35">
      <c r="A1095" s="425" t="s">
        <v>7970</v>
      </c>
      <c r="B1095" s="327" t="s">
        <v>7993</v>
      </c>
      <c r="C1095" s="426" t="s">
        <v>7994</v>
      </c>
      <c r="D1095" s="427" t="s">
        <v>9269</v>
      </c>
      <c r="E1095" s="426" t="s">
        <v>8490</v>
      </c>
      <c r="F1095" s="338">
        <v>184777</v>
      </c>
      <c r="G1095" s="338" t="s">
        <v>3800</v>
      </c>
      <c r="H1095" s="338"/>
      <c r="I1095" s="329">
        <v>44.051424825242819</v>
      </c>
      <c r="J1095" s="329"/>
      <c r="K1095" s="338">
        <v>11.012856206310705</v>
      </c>
      <c r="L1095" s="338">
        <v>11.012856206310705</v>
      </c>
      <c r="M1095" s="338">
        <v>11.012856206310705</v>
      </c>
      <c r="N1095" s="338">
        <v>11.012856206310705</v>
      </c>
      <c r="O1095" s="338"/>
    </row>
    <row r="1096" spans="1:15" hidden="1" outlineLevel="2" x14ac:dyDescent="0.35">
      <c r="A1096" s="425" t="s">
        <v>7970</v>
      </c>
      <c r="B1096" s="327">
        <v>44043</v>
      </c>
      <c r="C1096" s="426">
        <v>177</v>
      </c>
      <c r="D1096" s="427" t="s">
        <v>9270</v>
      </c>
      <c r="E1096" s="426" t="s">
        <v>8490</v>
      </c>
      <c r="F1096" s="338">
        <v>152071.47</v>
      </c>
      <c r="G1096" s="338" t="s">
        <v>3800</v>
      </c>
      <c r="H1096" s="338"/>
      <c r="I1096" s="329">
        <v>35.648317378503677</v>
      </c>
      <c r="J1096" s="329"/>
      <c r="K1096" s="338">
        <v>8.9120793446259192</v>
      </c>
      <c r="L1096" s="338">
        <v>8.9120793446259192</v>
      </c>
      <c r="M1096" s="338">
        <v>8.9120793446259192</v>
      </c>
      <c r="N1096" s="338">
        <v>8.9120793446259192</v>
      </c>
      <c r="O1096" s="338"/>
    </row>
    <row r="1097" spans="1:15" hidden="1" outlineLevel="2" x14ac:dyDescent="0.35">
      <c r="A1097" s="425" t="s">
        <v>7970</v>
      </c>
      <c r="B1097" s="327" t="s">
        <v>7990</v>
      </c>
      <c r="C1097" s="426" t="s">
        <v>7991</v>
      </c>
      <c r="D1097" s="427" t="s">
        <v>9271</v>
      </c>
      <c r="E1097" s="426" t="s">
        <v>8490</v>
      </c>
      <c r="F1097" s="338">
        <v>184777</v>
      </c>
      <c r="G1097" s="338" t="s">
        <v>3800</v>
      </c>
      <c r="H1097" s="338"/>
      <c r="I1097" s="329">
        <v>44.051424825242819</v>
      </c>
      <c r="J1097" s="329"/>
      <c r="K1097" s="338">
        <v>11.012856206310705</v>
      </c>
      <c r="L1097" s="338">
        <v>11.012856206310705</v>
      </c>
      <c r="M1097" s="338">
        <v>11.012856206310705</v>
      </c>
      <c r="N1097" s="338">
        <v>11.012856206310705</v>
      </c>
      <c r="O1097" s="338"/>
    </row>
    <row r="1098" spans="1:15" hidden="1" outlineLevel="2" x14ac:dyDescent="0.35">
      <c r="A1098" s="425" t="s">
        <v>7970</v>
      </c>
      <c r="B1098" s="327">
        <v>44074</v>
      </c>
      <c r="C1098" s="426">
        <v>219</v>
      </c>
      <c r="D1098" s="427" t="s">
        <v>9272</v>
      </c>
      <c r="E1098" s="426" t="s">
        <v>8490</v>
      </c>
      <c r="F1098" s="338">
        <v>184777</v>
      </c>
      <c r="G1098" s="338" t="s">
        <v>3800</v>
      </c>
      <c r="H1098" s="338"/>
      <c r="I1098" s="329">
        <v>43.315088229552686</v>
      </c>
      <c r="J1098" s="329"/>
      <c r="K1098" s="338">
        <v>10.828772057388171</v>
      </c>
      <c r="L1098" s="338">
        <v>10.828772057388171</v>
      </c>
      <c r="M1098" s="338">
        <v>10.828772057388171</v>
      </c>
      <c r="N1098" s="338">
        <v>10.828772057388171</v>
      </c>
      <c r="O1098" s="338"/>
    </row>
    <row r="1099" spans="1:15" hidden="1" outlineLevel="2" x14ac:dyDescent="0.35">
      <c r="A1099" s="425" t="s">
        <v>7970</v>
      </c>
      <c r="B1099" s="327" t="s">
        <v>7984</v>
      </c>
      <c r="C1099" s="426" t="s">
        <v>7985</v>
      </c>
      <c r="D1099" s="427" t="s">
        <v>9273</v>
      </c>
      <c r="E1099" s="426" t="s">
        <v>8490</v>
      </c>
      <c r="F1099" s="338">
        <v>184777</v>
      </c>
      <c r="G1099" s="338" t="s">
        <v>3800</v>
      </c>
      <c r="H1099" s="338"/>
      <c r="I1099" s="329">
        <v>44.051424825242819</v>
      </c>
      <c r="J1099" s="329"/>
      <c r="K1099" s="338">
        <v>11.012856206310705</v>
      </c>
      <c r="L1099" s="338">
        <v>11.012856206310705</v>
      </c>
      <c r="M1099" s="338">
        <v>11.012856206310705</v>
      </c>
      <c r="N1099" s="338">
        <v>11.012856206310705</v>
      </c>
      <c r="O1099" s="338"/>
    </row>
    <row r="1100" spans="1:15" hidden="1" outlineLevel="2" x14ac:dyDescent="0.35">
      <c r="A1100" s="425" t="s">
        <v>7970</v>
      </c>
      <c r="B1100" s="327">
        <v>44104</v>
      </c>
      <c r="C1100" s="426">
        <v>229</v>
      </c>
      <c r="D1100" s="427" t="s">
        <v>9274</v>
      </c>
      <c r="E1100" s="426" t="s">
        <v>8490</v>
      </c>
      <c r="F1100" s="338">
        <v>184777</v>
      </c>
      <c r="G1100" s="338" t="s">
        <v>3800</v>
      </c>
      <c r="H1100" s="338"/>
      <c r="I1100" s="329">
        <v>43.315088229552686</v>
      </c>
      <c r="J1100" s="329"/>
      <c r="K1100" s="338">
        <v>10.828772057388171</v>
      </c>
      <c r="L1100" s="338">
        <v>10.828772057388171</v>
      </c>
      <c r="M1100" s="338">
        <v>10.828772057388171</v>
      </c>
      <c r="N1100" s="338">
        <v>10.828772057388171</v>
      </c>
      <c r="O1100" s="338"/>
    </row>
    <row r="1101" spans="1:15" hidden="1" outlineLevel="2" x14ac:dyDescent="0.35">
      <c r="A1101" s="425" t="s">
        <v>7970</v>
      </c>
      <c r="B1101" s="327" t="s">
        <v>8005</v>
      </c>
      <c r="C1101" s="426" t="s">
        <v>8006</v>
      </c>
      <c r="D1101" s="427" t="s">
        <v>9275</v>
      </c>
      <c r="E1101" s="426" t="s">
        <v>8490</v>
      </c>
      <c r="F1101" s="338">
        <v>184777</v>
      </c>
      <c r="G1101" s="338" t="s">
        <v>3800</v>
      </c>
      <c r="H1101" s="338"/>
      <c r="I1101" s="329">
        <v>44.051424825242819</v>
      </c>
      <c r="J1101" s="329"/>
      <c r="K1101" s="338">
        <v>11.012856206310705</v>
      </c>
      <c r="L1101" s="338">
        <v>11.012856206310705</v>
      </c>
      <c r="M1101" s="338">
        <v>11.012856206310705</v>
      </c>
      <c r="N1101" s="338">
        <v>11.012856206310705</v>
      </c>
      <c r="O1101" s="338"/>
    </row>
    <row r="1102" spans="1:15" hidden="1" outlineLevel="2" x14ac:dyDescent="0.35">
      <c r="A1102" s="425" t="s">
        <v>7970</v>
      </c>
      <c r="B1102" s="327">
        <v>44047</v>
      </c>
      <c r="C1102" s="426">
        <v>212</v>
      </c>
      <c r="D1102" s="427" t="s">
        <v>9276</v>
      </c>
      <c r="E1102" s="426" t="s">
        <v>8702</v>
      </c>
      <c r="F1102" s="338">
        <v>3292000</v>
      </c>
      <c r="G1102" s="338" t="s">
        <v>3800</v>
      </c>
      <c r="H1102" s="338"/>
      <c r="I1102" s="329">
        <v>771.70465183268175</v>
      </c>
      <c r="J1102" s="329"/>
      <c r="K1102" s="338">
        <v>192.92616295817044</v>
      </c>
      <c r="L1102" s="338">
        <v>192.92616295817044</v>
      </c>
      <c r="M1102" s="338">
        <v>192.92616295817044</v>
      </c>
      <c r="N1102" s="338">
        <v>192.92616295817044</v>
      </c>
      <c r="O1102" s="338"/>
    </row>
    <row r="1103" spans="1:15" hidden="1" outlineLevel="2" x14ac:dyDescent="0.35">
      <c r="A1103" s="425" t="s">
        <v>7970</v>
      </c>
      <c r="B1103" s="327">
        <v>43892</v>
      </c>
      <c r="C1103" s="426">
        <v>185</v>
      </c>
      <c r="D1103" s="427" t="s">
        <v>9277</v>
      </c>
      <c r="E1103" s="426" t="s">
        <v>8294</v>
      </c>
      <c r="F1103" s="338">
        <v>1000000</v>
      </c>
      <c r="G1103" s="338" t="s">
        <v>3800</v>
      </c>
      <c r="H1103" s="338"/>
      <c r="I1103" s="329">
        <v>234.41818099413177</v>
      </c>
      <c r="J1103" s="329"/>
      <c r="K1103" s="338">
        <v>58.604545248532943</v>
      </c>
      <c r="L1103" s="338">
        <v>58.604545248532943</v>
      </c>
      <c r="M1103" s="338">
        <v>58.604545248532943</v>
      </c>
      <c r="N1103" s="338">
        <v>58.604545248532943</v>
      </c>
      <c r="O1103" s="338"/>
    </row>
    <row r="1104" spans="1:15" hidden="1" outlineLevel="2" x14ac:dyDescent="0.35">
      <c r="A1104" s="425" t="s">
        <v>7970</v>
      </c>
      <c r="B1104" s="327">
        <v>44135</v>
      </c>
      <c r="C1104" s="426">
        <v>237</v>
      </c>
      <c r="D1104" s="427" t="s">
        <v>9278</v>
      </c>
      <c r="E1104" s="426" t="s">
        <v>8490</v>
      </c>
      <c r="F1104" s="338">
        <v>665923</v>
      </c>
      <c r="G1104" s="338" t="s">
        <v>3800</v>
      </c>
      <c r="H1104" s="338"/>
      <c r="I1104" s="329">
        <v>156.1044583421552</v>
      </c>
      <c r="J1104" s="329"/>
      <c r="K1104" s="338">
        <v>39.026114585538799</v>
      </c>
      <c r="L1104" s="338">
        <v>39.026114585538799</v>
      </c>
      <c r="M1104" s="338">
        <v>39.026114585538799</v>
      </c>
      <c r="N1104" s="338">
        <v>39.026114585538799</v>
      </c>
      <c r="O1104" s="338"/>
    </row>
    <row r="1105" spans="1:15" hidden="1" outlineLevel="2" x14ac:dyDescent="0.35">
      <c r="A1105" s="425" t="s">
        <v>7970</v>
      </c>
      <c r="B1105" s="327" t="s">
        <v>8002</v>
      </c>
      <c r="C1105" s="426" t="s">
        <v>8003</v>
      </c>
      <c r="D1105" s="427" t="s">
        <v>9279</v>
      </c>
      <c r="E1105" s="426" t="s">
        <v>8490</v>
      </c>
      <c r="F1105" s="338">
        <v>615923</v>
      </c>
      <c r="G1105" s="338" t="s">
        <v>3800</v>
      </c>
      <c r="H1105" s="338"/>
      <c r="I1105" s="329">
        <v>146.83800328308195</v>
      </c>
      <c r="J1105" s="329"/>
      <c r="K1105" s="338">
        <v>36.709500820770486</v>
      </c>
      <c r="L1105" s="338">
        <v>36.709500820770486</v>
      </c>
      <c r="M1105" s="338">
        <v>36.709500820770486</v>
      </c>
      <c r="N1105" s="338">
        <v>36.709500820770486</v>
      </c>
      <c r="O1105" s="338"/>
    </row>
    <row r="1106" spans="1:15" hidden="1" outlineLevel="2" x14ac:dyDescent="0.35">
      <c r="A1106" s="425" t="s">
        <v>7970</v>
      </c>
      <c r="B1106" s="327" t="s">
        <v>7999</v>
      </c>
      <c r="C1106" s="426" t="s">
        <v>8000</v>
      </c>
      <c r="D1106" s="427" t="s">
        <v>9279</v>
      </c>
      <c r="E1106" s="426" t="s">
        <v>8490</v>
      </c>
      <c r="F1106" s="338">
        <v>615923</v>
      </c>
      <c r="G1106" s="338" t="s">
        <v>3800</v>
      </c>
      <c r="H1106" s="338"/>
      <c r="I1106" s="329">
        <v>146.83800328308195</v>
      </c>
      <c r="J1106" s="329"/>
      <c r="K1106" s="338">
        <v>36.709500820770486</v>
      </c>
      <c r="L1106" s="338">
        <v>36.709500820770486</v>
      </c>
      <c r="M1106" s="338">
        <v>36.709500820770486</v>
      </c>
      <c r="N1106" s="338">
        <v>36.709500820770486</v>
      </c>
      <c r="O1106" s="338"/>
    </row>
    <row r="1107" spans="1:15" hidden="1" outlineLevel="2" x14ac:dyDescent="0.35">
      <c r="A1107" s="425" t="s">
        <v>7970</v>
      </c>
      <c r="B1107" s="327">
        <v>44165</v>
      </c>
      <c r="C1107" s="426">
        <v>243</v>
      </c>
      <c r="D1107" s="427" t="s">
        <v>9280</v>
      </c>
      <c r="E1107" s="426" t="s">
        <v>8490</v>
      </c>
      <c r="F1107" s="338">
        <v>665923</v>
      </c>
      <c r="G1107" s="338" t="s">
        <v>3800</v>
      </c>
      <c r="H1107" s="338"/>
      <c r="I1107" s="329">
        <v>156.1044583421552</v>
      </c>
      <c r="J1107" s="329"/>
      <c r="K1107" s="338">
        <v>39.026114585538799</v>
      </c>
      <c r="L1107" s="338">
        <v>39.026114585538799</v>
      </c>
      <c r="M1107" s="338">
        <v>39.026114585538799</v>
      </c>
      <c r="N1107" s="338">
        <v>39.026114585538799</v>
      </c>
      <c r="O1107" s="338"/>
    </row>
    <row r="1108" spans="1:15" hidden="1" outlineLevel="2" x14ac:dyDescent="0.35">
      <c r="A1108" s="425" t="s">
        <v>7970</v>
      </c>
      <c r="B1108" s="327">
        <v>43861</v>
      </c>
      <c r="C1108" s="426">
        <v>163</v>
      </c>
      <c r="D1108" s="427" t="s">
        <v>9281</v>
      </c>
      <c r="E1108" s="426" t="s">
        <v>9227</v>
      </c>
      <c r="F1108" s="338">
        <v>548054.63</v>
      </c>
      <c r="G1108" s="338" t="s">
        <v>3800</v>
      </c>
      <c r="H1108" s="338"/>
      <c r="I1108" s="329">
        <v>128.47396945001191</v>
      </c>
      <c r="J1108" s="329"/>
      <c r="K1108" s="338">
        <v>32.118492362502977</v>
      </c>
      <c r="L1108" s="338">
        <v>32.118492362502977</v>
      </c>
      <c r="M1108" s="338">
        <v>32.118492362502977</v>
      </c>
      <c r="N1108" s="338">
        <v>32.118492362502977</v>
      </c>
      <c r="O1108" s="338"/>
    </row>
    <row r="1109" spans="1:15" hidden="1" outlineLevel="2" x14ac:dyDescent="0.35">
      <c r="A1109" s="425" t="s">
        <v>7970</v>
      </c>
      <c r="B1109" s="327" t="s">
        <v>8077</v>
      </c>
      <c r="C1109" s="426" t="s">
        <v>9228</v>
      </c>
      <c r="D1109" s="427" t="s">
        <v>9282</v>
      </c>
      <c r="E1109" s="426" t="s">
        <v>8490</v>
      </c>
      <c r="F1109" s="338">
        <v>615923</v>
      </c>
      <c r="G1109" s="338" t="s">
        <v>3800</v>
      </c>
      <c r="H1109" s="338"/>
      <c r="I1109" s="329">
        <v>146.83800328308195</v>
      </c>
      <c r="J1109" s="329"/>
      <c r="K1109" s="338">
        <v>36.709500820770486</v>
      </c>
      <c r="L1109" s="338">
        <v>36.709500820770486</v>
      </c>
      <c r="M1109" s="338">
        <v>36.709500820770486</v>
      </c>
      <c r="N1109" s="338">
        <v>36.709500820770486</v>
      </c>
      <c r="O1109" s="338"/>
    </row>
    <row r="1110" spans="1:15" hidden="1" outlineLevel="2" x14ac:dyDescent="0.35">
      <c r="A1110" s="425" t="s">
        <v>7970</v>
      </c>
      <c r="B1110" s="327" t="s">
        <v>8079</v>
      </c>
      <c r="C1110" s="426" t="s">
        <v>8327</v>
      </c>
      <c r="D1110" s="427" t="s">
        <v>9283</v>
      </c>
      <c r="E1110" s="426" t="s">
        <v>8490</v>
      </c>
      <c r="F1110" s="338">
        <v>615923</v>
      </c>
      <c r="G1110" s="338" t="s">
        <v>3800</v>
      </c>
      <c r="H1110" s="338"/>
      <c r="I1110" s="329">
        <v>146.83800328308195</v>
      </c>
      <c r="J1110" s="329"/>
      <c r="K1110" s="338">
        <v>36.709500820770486</v>
      </c>
      <c r="L1110" s="338">
        <v>36.709500820770486</v>
      </c>
      <c r="M1110" s="338">
        <v>36.709500820770486</v>
      </c>
      <c r="N1110" s="338">
        <v>36.709500820770486</v>
      </c>
      <c r="O1110" s="338"/>
    </row>
    <row r="1111" spans="1:15" hidden="1" outlineLevel="2" x14ac:dyDescent="0.35">
      <c r="A1111" s="425" t="s">
        <v>7970</v>
      </c>
      <c r="B1111" s="327">
        <v>44196</v>
      </c>
      <c r="C1111" s="426">
        <v>251</v>
      </c>
      <c r="D1111" s="427" t="s">
        <v>9284</v>
      </c>
      <c r="E1111" s="426" t="s">
        <v>8490</v>
      </c>
      <c r="F1111" s="338">
        <v>615923</v>
      </c>
      <c r="G1111" s="338" t="s">
        <v>3800</v>
      </c>
      <c r="H1111" s="338"/>
      <c r="I1111" s="329">
        <v>144.38354929244861</v>
      </c>
      <c r="J1111" s="329"/>
      <c r="K1111" s="338">
        <v>36.095887323112152</v>
      </c>
      <c r="L1111" s="338">
        <v>36.095887323112152</v>
      </c>
      <c r="M1111" s="338">
        <v>36.095887323112152</v>
      </c>
      <c r="N1111" s="338">
        <v>36.095887323112152</v>
      </c>
      <c r="O1111" s="338"/>
    </row>
    <row r="1112" spans="1:15" hidden="1" outlineLevel="2" x14ac:dyDescent="0.35">
      <c r="A1112" s="425" t="s">
        <v>7970</v>
      </c>
      <c r="B1112" s="327" t="s">
        <v>7987</v>
      </c>
      <c r="C1112" s="426" t="s">
        <v>7988</v>
      </c>
      <c r="D1112" s="427" t="s">
        <v>9285</v>
      </c>
      <c r="E1112" s="426" t="s">
        <v>8490</v>
      </c>
      <c r="F1112" s="338">
        <v>615923</v>
      </c>
      <c r="G1112" s="338" t="s">
        <v>3800</v>
      </c>
      <c r="H1112" s="338"/>
      <c r="I1112" s="329">
        <v>146.83800328308195</v>
      </c>
      <c r="J1112" s="329"/>
      <c r="K1112" s="338">
        <v>36.709500820770486</v>
      </c>
      <c r="L1112" s="338">
        <v>36.709500820770486</v>
      </c>
      <c r="M1112" s="338">
        <v>36.709500820770486</v>
      </c>
      <c r="N1112" s="338">
        <v>36.709500820770486</v>
      </c>
      <c r="O1112" s="338"/>
    </row>
    <row r="1113" spans="1:15" hidden="1" outlineLevel="2" x14ac:dyDescent="0.35">
      <c r="A1113" s="425" t="s">
        <v>7970</v>
      </c>
      <c r="B1113" s="327">
        <v>43890</v>
      </c>
      <c r="C1113" s="426">
        <v>170</v>
      </c>
      <c r="D1113" s="427" t="s">
        <v>9286</v>
      </c>
      <c r="E1113" s="426" t="s">
        <v>8490</v>
      </c>
      <c r="F1113" s="338">
        <v>548054.63</v>
      </c>
      <c r="G1113" s="338" t="s">
        <v>3800</v>
      </c>
      <c r="H1113" s="338"/>
      <c r="I1113" s="329">
        <v>128.47396945001191</v>
      </c>
      <c r="J1113" s="329"/>
      <c r="K1113" s="338">
        <v>32.118492362502977</v>
      </c>
      <c r="L1113" s="338">
        <v>32.118492362502977</v>
      </c>
      <c r="M1113" s="338">
        <v>32.118492362502977</v>
      </c>
      <c r="N1113" s="338">
        <v>32.118492362502977</v>
      </c>
      <c r="O1113" s="338"/>
    </row>
    <row r="1114" spans="1:15" hidden="1" outlineLevel="2" x14ac:dyDescent="0.35">
      <c r="A1114" s="425" t="s">
        <v>7970</v>
      </c>
      <c r="B1114" s="327" t="s">
        <v>8075</v>
      </c>
      <c r="C1114" s="426" t="s">
        <v>9234</v>
      </c>
      <c r="D1114" s="427" t="s">
        <v>9287</v>
      </c>
      <c r="E1114" s="426" t="s">
        <v>8490</v>
      </c>
      <c r="F1114" s="338">
        <v>615923</v>
      </c>
      <c r="G1114" s="338" t="s">
        <v>3800</v>
      </c>
      <c r="H1114" s="338"/>
      <c r="I1114" s="329">
        <v>146.83800328308195</v>
      </c>
      <c r="J1114" s="329"/>
      <c r="K1114" s="338">
        <v>36.709500820770486</v>
      </c>
      <c r="L1114" s="338">
        <v>36.709500820770486</v>
      </c>
      <c r="M1114" s="338">
        <v>36.709500820770486</v>
      </c>
      <c r="N1114" s="338">
        <v>36.709500820770486</v>
      </c>
      <c r="O1114" s="338"/>
    </row>
    <row r="1115" spans="1:15" hidden="1" outlineLevel="2" x14ac:dyDescent="0.35">
      <c r="A1115" s="425" t="s">
        <v>7970</v>
      </c>
      <c r="B1115" s="327">
        <v>43921</v>
      </c>
      <c r="C1115" s="426">
        <v>177</v>
      </c>
      <c r="D1115" s="427" t="s">
        <v>9288</v>
      </c>
      <c r="E1115" s="426" t="s">
        <v>8490</v>
      </c>
      <c r="F1115" s="338">
        <v>548054.63</v>
      </c>
      <c r="G1115" s="338" t="s">
        <v>3800</v>
      </c>
      <c r="H1115" s="338"/>
      <c r="I1115" s="329">
        <v>128.47396945001191</v>
      </c>
      <c r="J1115" s="329"/>
      <c r="K1115" s="338">
        <v>32.118492362502977</v>
      </c>
      <c r="L1115" s="338">
        <v>32.118492362502977</v>
      </c>
      <c r="M1115" s="338">
        <v>32.118492362502977</v>
      </c>
      <c r="N1115" s="338">
        <v>32.118492362502977</v>
      </c>
      <c r="O1115" s="338"/>
    </row>
    <row r="1116" spans="1:15" hidden="1" outlineLevel="2" x14ac:dyDescent="0.35">
      <c r="A1116" s="425" t="s">
        <v>7970</v>
      </c>
      <c r="B1116" s="327" t="s">
        <v>8089</v>
      </c>
      <c r="C1116" s="426" t="s">
        <v>9237</v>
      </c>
      <c r="D1116" s="427" t="s">
        <v>9289</v>
      </c>
      <c r="E1116" s="426" t="s">
        <v>8490</v>
      </c>
      <c r="F1116" s="338">
        <v>615923</v>
      </c>
      <c r="G1116" s="338" t="s">
        <v>3800</v>
      </c>
      <c r="H1116" s="338"/>
      <c r="I1116" s="329">
        <v>146.83800328308195</v>
      </c>
      <c r="J1116" s="329"/>
      <c r="K1116" s="338">
        <v>36.709500820770486</v>
      </c>
      <c r="L1116" s="338">
        <v>36.709500820770486</v>
      </c>
      <c r="M1116" s="338">
        <v>36.709500820770486</v>
      </c>
      <c r="N1116" s="338">
        <v>36.709500820770486</v>
      </c>
      <c r="O1116" s="338"/>
    </row>
    <row r="1117" spans="1:15" hidden="1" outlineLevel="2" x14ac:dyDescent="0.35">
      <c r="A1117" s="425" t="s">
        <v>7970</v>
      </c>
      <c r="B1117" s="327">
        <v>43951</v>
      </c>
      <c r="C1117" s="426">
        <v>177</v>
      </c>
      <c r="D1117" s="427" t="s">
        <v>9290</v>
      </c>
      <c r="E1117" s="426" t="s">
        <v>8490</v>
      </c>
      <c r="F1117" s="338">
        <v>548054.63</v>
      </c>
      <c r="G1117" s="338" t="s">
        <v>3800</v>
      </c>
      <c r="H1117" s="338"/>
      <c r="I1117" s="329">
        <v>128.47396945001191</v>
      </c>
      <c r="J1117" s="329"/>
      <c r="K1117" s="338">
        <v>32.118492362502977</v>
      </c>
      <c r="L1117" s="338">
        <v>32.118492362502977</v>
      </c>
      <c r="M1117" s="338">
        <v>32.118492362502977</v>
      </c>
      <c r="N1117" s="338">
        <v>32.118492362502977</v>
      </c>
      <c r="O1117" s="338"/>
    </row>
    <row r="1118" spans="1:15" hidden="1" outlineLevel="2" x14ac:dyDescent="0.35">
      <c r="A1118" s="425" t="s">
        <v>7970</v>
      </c>
      <c r="B1118" s="327" t="s">
        <v>7980</v>
      </c>
      <c r="C1118" s="426" t="s">
        <v>9240</v>
      </c>
      <c r="D1118" s="427" t="s">
        <v>9291</v>
      </c>
      <c r="E1118" s="426" t="s">
        <v>8490</v>
      </c>
      <c r="F1118" s="338">
        <v>615923</v>
      </c>
      <c r="G1118" s="338" t="s">
        <v>3800</v>
      </c>
      <c r="H1118" s="338"/>
      <c r="I1118" s="329">
        <v>146.83800328308195</v>
      </c>
      <c r="J1118" s="329"/>
      <c r="K1118" s="338">
        <v>36.709500820770486</v>
      </c>
      <c r="L1118" s="338">
        <v>36.709500820770486</v>
      </c>
      <c r="M1118" s="338">
        <v>36.709500820770486</v>
      </c>
      <c r="N1118" s="338">
        <v>36.709500820770486</v>
      </c>
      <c r="O1118" s="338"/>
    </row>
    <row r="1119" spans="1:15" hidden="1" outlineLevel="2" x14ac:dyDescent="0.35">
      <c r="A1119" s="425" t="s">
        <v>7970</v>
      </c>
      <c r="B1119" s="327">
        <v>43982</v>
      </c>
      <c r="C1119" s="426">
        <v>192</v>
      </c>
      <c r="D1119" s="427" t="s">
        <v>9292</v>
      </c>
      <c r="E1119" s="426" t="s">
        <v>8490</v>
      </c>
      <c r="F1119" s="338">
        <v>548054.63</v>
      </c>
      <c r="G1119" s="338" t="s">
        <v>3800</v>
      </c>
      <c r="H1119" s="338"/>
      <c r="I1119" s="329">
        <v>128.47396945001191</v>
      </c>
      <c r="J1119" s="329"/>
      <c r="K1119" s="338">
        <v>32.118492362502977</v>
      </c>
      <c r="L1119" s="338">
        <v>32.118492362502977</v>
      </c>
      <c r="M1119" s="338">
        <v>32.118492362502977</v>
      </c>
      <c r="N1119" s="338">
        <v>32.118492362502977</v>
      </c>
      <c r="O1119" s="338"/>
    </row>
    <row r="1120" spans="1:15" hidden="1" outlineLevel="2" x14ac:dyDescent="0.35">
      <c r="A1120" s="425" t="s">
        <v>7970</v>
      </c>
      <c r="B1120" s="327" t="s">
        <v>7996</v>
      </c>
      <c r="C1120" s="426" t="s">
        <v>7997</v>
      </c>
      <c r="D1120" s="427" t="s">
        <v>9293</v>
      </c>
      <c r="E1120" s="426" t="s">
        <v>8490</v>
      </c>
      <c r="F1120" s="338">
        <v>615923</v>
      </c>
      <c r="G1120" s="338" t="s">
        <v>3800</v>
      </c>
      <c r="H1120" s="338"/>
      <c r="I1120" s="329">
        <v>146.83800328308195</v>
      </c>
      <c r="J1120" s="329"/>
      <c r="K1120" s="338">
        <v>36.709500820770486</v>
      </c>
      <c r="L1120" s="338">
        <v>36.709500820770486</v>
      </c>
      <c r="M1120" s="338">
        <v>36.709500820770486</v>
      </c>
      <c r="N1120" s="338">
        <v>36.709500820770486</v>
      </c>
      <c r="O1120" s="338"/>
    </row>
    <row r="1121" spans="1:15" hidden="1" outlineLevel="2" x14ac:dyDescent="0.35">
      <c r="A1121" s="425" t="s">
        <v>7970</v>
      </c>
      <c r="B1121" s="327">
        <v>44012</v>
      </c>
      <c r="C1121" s="426">
        <v>192</v>
      </c>
      <c r="D1121" s="427" t="s">
        <v>9294</v>
      </c>
      <c r="E1121" s="426" t="s">
        <v>8490</v>
      </c>
      <c r="F1121" s="338">
        <v>548054.63</v>
      </c>
      <c r="G1121" s="338" t="s">
        <v>3800</v>
      </c>
      <c r="H1121" s="338"/>
      <c r="I1121" s="329">
        <v>128.47396945001191</v>
      </c>
      <c r="J1121" s="329"/>
      <c r="K1121" s="338">
        <v>32.118492362502977</v>
      </c>
      <c r="L1121" s="338">
        <v>32.118492362502977</v>
      </c>
      <c r="M1121" s="338">
        <v>32.118492362502977</v>
      </c>
      <c r="N1121" s="338">
        <v>32.118492362502977</v>
      </c>
      <c r="O1121" s="338"/>
    </row>
    <row r="1122" spans="1:15" hidden="1" outlineLevel="2" x14ac:dyDescent="0.35">
      <c r="A1122" s="425" t="s">
        <v>7970</v>
      </c>
      <c r="B1122" s="327" t="s">
        <v>7993</v>
      </c>
      <c r="C1122" s="426" t="s">
        <v>7994</v>
      </c>
      <c r="D1122" s="427" t="s">
        <v>9295</v>
      </c>
      <c r="E1122" s="426" t="s">
        <v>8490</v>
      </c>
      <c r="F1122" s="338">
        <v>615923</v>
      </c>
      <c r="G1122" s="338" t="s">
        <v>3800</v>
      </c>
      <c r="H1122" s="338"/>
      <c r="I1122" s="329">
        <v>146.83800328308195</v>
      </c>
      <c r="J1122" s="329"/>
      <c r="K1122" s="338">
        <v>36.709500820770486</v>
      </c>
      <c r="L1122" s="338">
        <v>36.709500820770486</v>
      </c>
      <c r="M1122" s="338">
        <v>36.709500820770486</v>
      </c>
      <c r="N1122" s="338">
        <v>36.709500820770486</v>
      </c>
      <c r="O1122" s="338"/>
    </row>
    <row r="1123" spans="1:15" hidden="1" outlineLevel="2" x14ac:dyDescent="0.35">
      <c r="A1123" s="425" t="s">
        <v>7970</v>
      </c>
      <c r="B1123" s="327">
        <v>44043</v>
      </c>
      <c r="C1123" s="426">
        <v>177</v>
      </c>
      <c r="D1123" s="427" t="s">
        <v>9296</v>
      </c>
      <c r="E1123" s="426" t="s">
        <v>8490</v>
      </c>
      <c r="F1123" s="338">
        <v>548054.63</v>
      </c>
      <c r="G1123" s="338" t="s">
        <v>3800</v>
      </c>
      <c r="H1123" s="338"/>
      <c r="I1123" s="329">
        <v>128.47396945001191</v>
      </c>
      <c r="J1123" s="329"/>
      <c r="K1123" s="338">
        <v>32.118492362502977</v>
      </c>
      <c r="L1123" s="338">
        <v>32.118492362502977</v>
      </c>
      <c r="M1123" s="338">
        <v>32.118492362502977</v>
      </c>
      <c r="N1123" s="338">
        <v>32.118492362502977</v>
      </c>
      <c r="O1123" s="338"/>
    </row>
    <row r="1124" spans="1:15" hidden="1" outlineLevel="2" x14ac:dyDescent="0.35">
      <c r="A1124" s="425" t="s">
        <v>7970</v>
      </c>
      <c r="B1124" s="327" t="s">
        <v>7990</v>
      </c>
      <c r="C1124" s="426" t="s">
        <v>7991</v>
      </c>
      <c r="D1124" s="427" t="s">
        <v>9297</v>
      </c>
      <c r="E1124" s="426" t="s">
        <v>8490</v>
      </c>
      <c r="F1124" s="338">
        <v>615923</v>
      </c>
      <c r="G1124" s="338" t="s">
        <v>3800</v>
      </c>
      <c r="H1124" s="338"/>
      <c r="I1124" s="329">
        <v>146.83800328308195</v>
      </c>
      <c r="J1124" s="329"/>
      <c r="K1124" s="338">
        <v>36.709500820770486</v>
      </c>
      <c r="L1124" s="338">
        <v>36.709500820770486</v>
      </c>
      <c r="M1124" s="338">
        <v>36.709500820770486</v>
      </c>
      <c r="N1124" s="338">
        <v>36.709500820770486</v>
      </c>
      <c r="O1124" s="338"/>
    </row>
    <row r="1125" spans="1:15" hidden="1" outlineLevel="2" x14ac:dyDescent="0.35">
      <c r="A1125" s="425" t="s">
        <v>7970</v>
      </c>
      <c r="B1125" s="327">
        <v>44074</v>
      </c>
      <c r="C1125" s="426">
        <v>219</v>
      </c>
      <c r="D1125" s="427" t="s">
        <v>9298</v>
      </c>
      <c r="E1125" s="426" t="s">
        <v>8490</v>
      </c>
      <c r="F1125" s="338">
        <v>665923</v>
      </c>
      <c r="G1125" s="338" t="s">
        <v>3800</v>
      </c>
      <c r="H1125" s="338"/>
      <c r="I1125" s="329">
        <v>156.1044583421552</v>
      </c>
      <c r="J1125" s="329"/>
      <c r="K1125" s="338">
        <v>39.026114585538799</v>
      </c>
      <c r="L1125" s="338">
        <v>39.026114585538799</v>
      </c>
      <c r="M1125" s="338">
        <v>39.026114585538799</v>
      </c>
      <c r="N1125" s="338">
        <v>39.026114585538799</v>
      </c>
      <c r="O1125" s="338"/>
    </row>
    <row r="1126" spans="1:15" hidden="1" outlineLevel="2" x14ac:dyDescent="0.35">
      <c r="A1126" s="425" t="s">
        <v>7970</v>
      </c>
      <c r="B1126" s="327" t="s">
        <v>7984</v>
      </c>
      <c r="C1126" s="426" t="s">
        <v>7985</v>
      </c>
      <c r="D1126" s="427" t="s">
        <v>9299</v>
      </c>
      <c r="E1126" s="426" t="s">
        <v>8490</v>
      </c>
      <c r="F1126" s="338">
        <v>615923</v>
      </c>
      <c r="G1126" s="338" t="s">
        <v>3800</v>
      </c>
      <c r="H1126" s="338"/>
      <c r="I1126" s="329">
        <v>146.83800328308195</v>
      </c>
      <c r="J1126" s="329"/>
      <c r="K1126" s="338">
        <v>36.709500820770486</v>
      </c>
      <c r="L1126" s="338">
        <v>36.709500820770486</v>
      </c>
      <c r="M1126" s="338">
        <v>36.709500820770486</v>
      </c>
      <c r="N1126" s="338">
        <v>36.709500820770486</v>
      </c>
      <c r="O1126" s="338"/>
    </row>
    <row r="1127" spans="1:15" hidden="1" outlineLevel="2" x14ac:dyDescent="0.35">
      <c r="A1127" s="425" t="s">
        <v>7970</v>
      </c>
      <c r="B1127" s="327">
        <v>44104</v>
      </c>
      <c r="C1127" s="426">
        <v>229</v>
      </c>
      <c r="D1127" s="427" t="s">
        <v>9300</v>
      </c>
      <c r="E1127" s="426" t="s">
        <v>8490</v>
      </c>
      <c r="F1127" s="338">
        <v>615923</v>
      </c>
      <c r="G1127" s="338" t="s">
        <v>3800</v>
      </c>
      <c r="H1127" s="338"/>
      <c r="I1127" s="329">
        <v>144.38354929244861</v>
      </c>
      <c r="J1127" s="329"/>
      <c r="K1127" s="338">
        <v>36.095887323112152</v>
      </c>
      <c r="L1127" s="338">
        <v>36.095887323112152</v>
      </c>
      <c r="M1127" s="338">
        <v>36.095887323112152</v>
      </c>
      <c r="N1127" s="338">
        <v>36.095887323112152</v>
      </c>
      <c r="O1127" s="338"/>
    </row>
    <row r="1128" spans="1:15" hidden="1" outlineLevel="2" x14ac:dyDescent="0.35">
      <c r="A1128" s="425" t="s">
        <v>7970</v>
      </c>
      <c r="B1128" s="327" t="s">
        <v>8005</v>
      </c>
      <c r="C1128" s="426" t="s">
        <v>8006</v>
      </c>
      <c r="D1128" s="427" t="s">
        <v>9301</v>
      </c>
      <c r="E1128" s="426" t="s">
        <v>8490</v>
      </c>
      <c r="F1128" s="338">
        <v>615923</v>
      </c>
      <c r="G1128" s="338" t="s">
        <v>3800</v>
      </c>
      <c r="H1128" s="338"/>
      <c r="I1128" s="329">
        <v>146.83800328308195</v>
      </c>
      <c r="J1128" s="329"/>
      <c r="K1128" s="338">
        <v>36.709500820770486</v>
      </c>
      <c r="L1128" s="338">
        <v>36.709500820770486</v>
      </c>
      <c r="M1128" s="338">
        <v>36.709500820770486</v>
      </c>
      <c r="N1128" s="338">
        <v>36.709500820770486</v>
      </c>
      <c r="O1128" s="338"/>
    </row>
    <row r="1129" spans="1:15" hidden="1" outlineLevel="2" x14ac:dyDescent="0.35">
      <c r="A1129" s="425" t="s">
        <v>7970</v>
      </c>
      <c r="B1129" s="327" t="s">
        <v>7999</v>
      </c>
      <c r="C1129" s="426" t="s">
        <v>8000</v>
      </c>
      <c r="D1129" s="427" t="s">
        <v>8401</v>
      </c>
      <c r="E1129" s="426" t="s">
        <v>8490</v>
      </c>
      <c r="F1129" s="338">
        <v>200000</v>
      </c>
      <c r="G1129" s="338" t="s">
        <v>3800</v>
      </c>
      <c r="H1129" s="338"/>
      <c r="I1129" s="329">
        <v>47.680636470169794</v>
      </c>
      <c r="J1129" s="329"/>
      <c r="K1129" s="338">
        <v>11.920159117542449</v>
      </c>
      <c r="L1129" s="338">
        <v>11.920159117542449</v>
      </c>
      <c r="M1129" s="338">
        <v>11.920159117542449</v>
      </c>
      <c r="N1129" s="338">
        <v>11.920159117542449</v>
      </c>
      <c r="O1129" s="338"/>
    </row>
    <row r="1130" spans="1:15" hidden="1" outlineLevel="2" x14ac:dyDescent="0.35">
      <c r="A1130" s="425" t="s">
        <v>7970</v>
      </c>
      <c r="B1130" s="327">
        <v>44135</v>
      </c>
      <c r="C1130" s="426">
        <v>237</v>
      </c>
      <c r="D1130" s="427" t="s">
        <v>9302</v>
      </c>
      <c r="E1130" s="426" t="s">
        <v>8490</v>
      </c>
      <c r="F1130" s="338">
        <v>923885</v>
      </c>
      <c r="G1130" s="338" t="s">
        <v>3800</v>
      </c>
      <c r="H1130" s="338"/>
      <c r="I1130" s="329">
        <v>216.57544114776343</v>
      </c>
      <c r="J1130" s="329"/>
      <c r="K1130" s="338">
        <v>54.143860286940857</v>
      </c>
      <c r="L1130" s="338">
        <v>54.143860286940857</v>
      </c>
      <c r="M1130" s="338">
        <v>54.143860286940857</v>
      </c>
      <c r="N1130" s="338">
        <v>54.143860286940857</v>
      </c>
      <c r="O1130" s="338"/>
    </row>
    <row r="1131" spans="1:15" hidden="1" outlineLevel="2" x14ac:dyDescent="0.35">
      <c r="A1131" s="425" t="s">
        <v>7970</v>
      </c>
      <c r="B1131" s="327" t="s">
        <v>8002</v>
      </c>
      <c r="C1131" s="426" t="s">
        <v>8003</v>
      </c>
      <c r="D1131" s="427" t="s">
        <v>9303</v>
      </c>
      <c r="E1131" s="426" t="s">
        <v>8490</v>
      </c>
      <c r="F1131" s="338">
        <v>923885</v>
      </c>
      <c r="G1131" s="338" t="s">
        <v>3800</v>
      </c>
      <c r="H1131" s="338"/>
      <c r="I1131" s="329">
        <v>220.25712412621408</v>
      </c>
      <c r="J1131" s="329"/>
      <c r="K1131" s="338">
        <v>55.06428103155352</v>
      </c>
      <c r="L1131" s="338">
        <v>55.06428103155352</v>
      </c>
      <c r="M1131" s="338">
        <v>55.06428103155352</v>
      </c>
      <c r="N1131" s="338">
        <v>55.06428103155352</v>
      </c>
      <c r="O1131" s="338"/>
    </row>
    <row r="1132" spans="1:15" hidden="1" outlineLevel="2" x14ac:dyDescent="0.35">
      <c r="A1132" s="425" t="s">
        <v>7970</v>
      </c>
      <c r="B1132" s="327" t="s">
        <v>7999</v>
      </c>
      <c r="C1132" s="426" t="s">
        <v>8000</v>
      </c>
      <c r="D1132" s="427" t="s">
        <v>9303</v>
      </c>
      <c r="E1132" s="426" t="s">
        <v>8490</v>
      </c>
      <c r="F1132" s="338">
        <v>923885</v>
      </c>
      <c r="G1132" s="338" t="s">
        <v>3800</v>
      </c>
      <c r="H1132" s="338"/>
      <c r="I1132" s="329">
        <v>220.25712412621408</v>
      </c>
      <c r="J1132" s="329"/>
      <c r="K1132" s="338">
        <v>55.06428103155352</v>
      </c>
      <c r="L1132" s="338">
        <v>55.06428103155352</v>
      </c>
      <c r="M1132" s="338">
        <v>55.06428103155352</v>
      </c>
      <c r="N1132" s="338">
        <v>55.06428103155352</v>
      </c>
      <c r="O1132" s="338"/>
    </row>
    <row r="1133" spans="1:15" hidden="1" outlineLevel="2" x14ac:dyDescent="0.35">
      <c r="A1133" s="425" t="s">
        <v>7970</v>
      </c>
      <c r="B1133" s="327">
        <v>44165</v>
      </c>
      <c r="C1133" s="426">
        <v>243</v>
      </c>
      <c r="D1133" s="427" t="s">
        <v>9304</v>
      </c>
      <c r="E1133" s="426" t="s">
        <v>8490</v>
      </c>
      <c r="F1133" s="338">
        <v>923885</v>
      </c>
      <c r="G1133" s="338" t="s">
        <v>3800</v>
      </c>
      <c r="H1133" s="338"/>
      <c r="I1133" s="329">
        <v>216.57544114776343</v>
      </c>
      <c r="J1133" s="329"/>
      <c r="K1133" s="338">
        <v>54.143860286940857</v>
      </c>
      <c r="L1133" s="338">
        <v>54.143860286940857</v>
      </c>
      <c r="M1133" s="338">
        <v>54.143860286940857</v>
      </c>
      <c r="N1133" s="338">
        <v>54.143860286940857</v>
      </c>
      <c r="O1133" s="338"/>
    </row>
    <row r="1134" spans="1:15" hidden="1" outlineLevel="2" x14ac:dyDescent="0.35">
      <c r="A1134" s="425" t="s">
        <v>7970</v>
      </c>
      <c r="B1134" s="327">
        <v>43861</v>
      </c>
      <c r="C1134" s="426">
        <v>163</v>
      </c>
      <c r="D1134" s="427" t="s">
        <v>9305</v>
      </c>
      <c r="E1134" s="426" t="s">
        <v>9227</v>
      </c>
      <c r="F1134" s="338">
        <v>760357.36</v>
      </c>
      <c r="G1134" s="338" t="s">
        <v>3800</v>
      </c>
      <c r="H1134" s="338"/>
      <c r="I1134" s="329">
        <v>178.24158923670021</v>
      </c>
      <c r="J1134" s="329"/>
      <c r="K1134" s="338">
        <v>44.560397309175052</v>
      </c>
      <c r="L1134" s="338">
        <v>44.560397309175052</v>
      </c>
      <c r="M1134" s="338">
        <v>44.560397309175052</v>
      </c>
      <c r="N1134" s="338">
        <v>44.560397309175052</v>
      </c>
      <c r="O1134" s="338"/>
    </row>
    <row r="1135" spans="1:15" hidden="1" outlineLevel="2" x14ac:dyDescent="0.35">
      <c r="A1135" s="425" t="s">
        <v>7970</v>
      </c>
      <c r="B1135" s="327" t="s">
        <v>8077</v>
      </c>
      <c r="C1135" s="426" t="s">
        <v>9228</v>
      </c>
      <c r="D1135" s="427" t="s">
        <v>9306</v>
      </c>
      <c r="E1135" s="426" t="s">
        <v>8490</v>
      </c>
      <c r="F1135" s="338">
        <v>923885</v>
      </c>
      <c r="G1135" s="338" t="s">
        <v>3800</v>
      </c>
      <c r="H1135" s="338"/>
      <c r="I1135" s="329">
        <v>220.25712412621408</v>
      </c>
      <c r="J1135" s="329"/>
      <c r="K1135" s="338">
        <v>55.06428103155352</v>
      </c>
      <c r="L1135" s="338">
        <v>55.06428103155352</v>
      </c>
      <c r="M1135" s="338">
        <v>55.06428103155352</v>
      </c>
      <c r="N1135" s="338">
        <v>55.06428103155352</v>
      </c>
      <c r="O1135" s="338"/>
    </row>
    <row r="1136" spans="1:15" hidden="1" outlineLevel="2" x14ac:dyDescent="0.35">
      <c r="A1136" s="425" t="s">
        <v>7970</v>
      </c>
      <c r="B1136" s="327" t="s">
        <v>8079</v>
      </c>
      <c r="C1136" s="426" t="s">
        <v>8327</v>
      </c>
      <c r="D1136" s="427" t="s">
        <v>9307</v>
      </c>
      <c r="E1136" s="426" t="s">
        <v>8490</v>
      </c>
      <c r="F1136" s="338">
        <v>923885</v>
      </c>
      <c r="G1136" s="338" t="s">
        <v>3800</v>
      </c>
      <c r="H1136" s="338"/>
      <c r="I1136" s="329">
        <v>220.25712412621408</v>
      </c>
      <c r="J1136" s="329"/>
      <c r="K1136" s="338">
        <v>55.06428103155352</v>
      </c>
      <c r="L1136" s="338">
        <v>55.06428103155352</v>
      </c>
      <c r="M1136" s="338">
        <v>55.06428103155352</v>
      </c>
      <c r="N1136" s="338">
        <v>55.06428103155352</v>
      </c>
      <c r="O1136" s="338"/>
    </row>
    <row r="1137" spans="1:15" hidden="1" outlineLevel="2" x14ac:dyDescent="0.35">
      <c r="A1137" s="425" t="s">
        <v>7970</v>
      </c>
      <c r="B1137" s="327">
        <v>44196</v>
      </c>
      <c r="C1137" s="426">
        <v>251</v>
      </c>
      <c r="D1137" s="427" t="s">
        <v>9308</v>
      </c>
      <c r="E1137" s="426" t="s">
        <v>8490</v>
      </c>
      <c r="F1137" s="338">
        <v>923885</v>
      </c>
      <c r="G1137" s="338" t="s">
        <v>3800</v>
      </c>
      <c r="H1137" s="338"/>
      <c r="I1137" s="329">
        <v>216.57544114776343</v>
      </c>
      <c r="J1137" s="329"/>
      <c r="K1137" s="338">
        <v>54.143860286940857</v>
      </c>
      <c r="L1137" s="338">
        <v>54.143860286940857</v>
      </c>
      <c r="M1137" s="338">
        <v>54.143860286940857</v>
      </c>
      <c r="N1137" s="338">
        <v>54.143860286940857</v>
      </c>
      <c r="O1137" s="338"/>
    </row>
    <row r="1138" spans="1:15" hidden="1" outlineLevel="2" x14ac:dyDescent="0.35">
      <c r="A1138" s="425" t="s">
        <v>7970</v>
      </c>
      <c r="B1138" s="327" t="s">
        <v>7987</v>
      </c>
      <c r="C1138" s="426" t="s">
        <v>7988</v>
      </c>
      <c r="D1138" s="427" t="s">
        <v>9309</v>
      </c>
      <c r="E1138" s="426" t="s">
        <v>8490</v>
      </c>
      <c r="F1138" s="338">
        <v>923885</v>
      </c>
      <c r="G1138" s="338" t="s">
        <v>3800</v>
      </c>
      <c r="H1138" s="338"/>
      <c r="I1138" s="329">
        <v>220.25712412621408</v>
      </c>
      <c r="J1138" s="329"/>
      <c r="K1138" s="338">
        <v>55.06428103155352</v>
      </c>
      <c r="L1138" s="338">
        <v>55.06428103155352</v>
      </c>
      <c r="M1138" s="338">
        <v>55.06428103155352</v>
      </c>
      <c r="N1138" s="338">
        <v>55.06428103155352</v>
      </c>
      <c r="O1138" s="338"/>
    </row>
    <row r="1139" spans="1:15" hidden="1" outlineLevel="2" x14ac:dyDescent="0.35">
      <c r="A1139" s="425" t="s">
        <v>7970</v>
      </c>
      <c r="B1139" s="327">
        <v>43890</v>
      </c>
      <c r="C1139" s="426">
        <v>170</v>
      </c>
      <c r="D1139" s="427" t="s">
        <v>9310</v>
      </c>
      <c r="E1139" s="426" t="s">
        <v>8490</v>
      </c>
      <c r="F1139" s="338">
        <v>760357.36</v>
      </c>
      <c r="G1139" s="338" t="s">
        <v>3800</v>
      </c>
      <c r="H1139" s="338"/>
      <c r="I1139" s="329">
        <v>178.24158923670021</v>
      </c>
      <c r="J1139" s="329"/>
      <c r="K1139" s="338">
        <v>44.560397309175052</v>
      </c>
      <c r="L1139" s="338">
        <v>44.560397309175052</v>
      </c>
      <c r="M1139" s="338">
        <v>44.560397309175052</v>
      </c>
      <c r="N1139" s="338">
        <v>44.560397309175052</v>
      </c>
      <c r="O1139" s="338"/>
    </row>
    <row r="1140" spans="1:15" hidden="1" outlineLevel="2" x14ac:dyDescent="0.35">
      <c r="A1140" s="425" t="s">
        <v>7970</v>
      </c>
      <c r="B1140" s="327" t="s">
        <v>8075</v>
      </c>
      <c r="C1140" s="426" t="s">
        <v>9234</v>
      </c>
      <c r="D1140" s="427" t="s">
        <v>9311</v>
      </c>
      <c r="E1140" s="426" t="s">
        <v>8490</v>
      </c>
      <c r="F1140" s="338">
        <v>923885</v>
      </c>
      <c r="G1140" s="338" t="s">
        <v>3800</v>
      </c>
      <c r="H1140" s="338"/>
      <c r="I1140" s="329">
        <v>220.25712412621408</v>
      </c>
      <c r="J1140" s="329"/>
      <c r="K1140" s="338">
        <v>55.06428103155352</v>
      </c>
      <c r="L1140" s="338">
        <v>55.06428103155352</v>
      </c>
      <c r="M1140" s="338">
        <v>55.06428103155352</v>
      </c>
      <c r="N1140" s="338">
        <v>55.06428103155352</v>
      </c>
      <c r="O1140" s="338"/>
    </row>
    <row r="1141" spans="1:15" hidden="1" outlineLevel="2" x14ac:dyDescent="0.35">
      <c r="A1141" s="425" t="s">
        <v>7970</v>
      </c>
      <c r="B1141" s="327">
        <v>43921</v>
      </c>
      <c r="C1141" s="426">
        <v>177</v>
      </c>
      <c r="D1141" s="427" t="s">
        <v>9312</v>
      </c>
      <c r="E1141" s="426" t="s">
        <v>8490</v>
      </c>
      <c r="F1141" s="338">
        <v>760357.36</v>
      </c>
      <c r="G1141" s="338" t="s">
        <v>3800</v>
      </c>
      <c r="H1141" s="338"/>
      <c r="I1141" s="329">
        <v>178.24158923670021</v>
      </c>
      <c r="J1141" s="329"/>
      <c r="K1141" s="338">
        <v>44.560397309175052</v>
      </c>
      <c r="L1141" s="338">
        <v>44.560397309175052</v>
      </c>
      <c r="M1141" s="338">
        <v>44.560397309175052</v>
      </c>
      <c r="N1141" s="338">
        <v>44.560397309175052</v>
      </c>
      <c r="O1141" s="338"/>
    </row>
    <row r="1142" spans="1:15" hidden="1" outlineLevel="2" x14ac:dyDescent="0.35">
      <c r="A1142" s="425" t="s">
        <v>7970</v>
      </c>
      <c r="B1142" s="327" t="s">
        <v>8089</v>
      </c>
      <c r="C1142" s="426" t="s">
        <v>9237</v>
      </c>
      <c r="D1142" s="427" t="s">
        <v>9313</v>
      </c>
      <c r="E1142" s="426" t="s">
        <v>8490</v>
      </c>
      <c r="F1142" s="338">
        <v>923885</v>
      </c>
      <c r="G1142" s="338" t="s">
        <v>3800</v>
      </c>
      <c r="H1142" s="338"/>
      <c r="I1142" s="329">
        <v>220.25712412621408</v>
      </c>
      <c r="J1142" s="329"/>
      <c r="K1142" s="338">
        <v>55.06428103155352</v>
      </c>
      <c r="L1142" s="338">
        <v>55.06428103155352</v>
      </c>
      <c r="M1142" s="338">
        <v>55.06428103155352</v>
      </c>
      <c r="N1142" s="338">
        <v>55.06428103155352</v>
      </c>
      <c r="O1142" s="338"/>
    </row>
    <row r="1143" spans="1:15" hidden="1" outlineLevel="2" x14ac:dyDescent="0.35">
      <c r="A1143" s="425" t="s">
        <v>7970</v>
      </c>
      <c r="B1143" s="327">
        <v>43951</v>
      </c>
      <c r="C1143" s="426">
        <v>177</v>
      </c>
      <c r="D1143" s="427" t="s">
        <v>9314</v>
      </c>
      <c r="E1143" s="426" t="s">
        <v>8490</v>
      </c>
      <c r="F1143" s="338">
        <v>760357.36</v>
      </c>
      <c r="G1143" s="338" t="s">
        <v>3800</v>
      </c>
      <c r="H1143" s="338"/>
      <c r="I1143" s="329">
        <v>178.24158923670021</v>
      </c>
      <c r="J1143" s="329"/>
      <c r="K1143" s="338">
        <v>44.560397309175052</v>
      </c>
      <c r="L1143" s="338">
        <v>44.560397309175052</v>
      </c>
      <c r="M1143" s="338">
        <v>44.560397309175052</v>
      </c>
      <c r="N1143" s="338">
        <v>44.560397309175052</v>
      </c>
      <c r="O1143" s="338"/>
    </row>
    <row r="1144" spans="1:15" hidden="1" outlineLevel="2" x14ac:dyDescent="0.35">
      <c r="A1144" s="425" t="s">
        <v>7970</v>
      </c>
      <c r="B1144" s="327" t="s">
        <v>7980</v>
      </c>
      <c r="C1144" s="426" t="s">
        <v>9240</v>
      </c>
      <c r="D1144" s="427" t="s">
        <v>9315</v>
      </c>
      <c r="E1144" s="426" t="s">
        <v>8490</v>
      </c>
      <c r="F1144" s="338">
        <v>923885</v>
      </c>
      <c r="G1144" s="338" t="s">
        <v>3800</v>
      </c>
      <c r="H1144" s="338"/>
      <c r="I1144" s="329">
        <v>220.25712412621408</v>
      </c>
      <c r="J1144" s="329"/>
      <c r="K1144" s="338">
        <v>55.06428103155352</v>
      </c>
      <c r="L1144" s="338">
        <v>55.06428103155352</v>
      </c>
      <c r="M1144" s="338">
        <v>55.06428103155352</v>
      </c>
      <c r="N1144" s="338">
        <v>55.06428103155352</v>
      </c>
      <c r="O1144" s="338"/>
    </row>
    <row r="1145" spans="1:15" hidden="1" outlineLevel="2" x14ac:dyDescent="0.35">
      <c r="A1145" s="425" t="s">
        <v>7970</v>
      </c>
      <c r="B1145" s="327">
        <v>43982</v>
      </c>
      <c r="C1145" s="426">
        <v>192</v>
      </c>
      <c r="D1145" s="427" t="s">
        <v>9316</v>
      </c>
      <c r="E1145" s="426" t="s">
        <v>8490</v>
      </c>
      <c r="F1145" s="338">
        <v>760357.36</v>
      </c>
      <c r="G1145" s="338" t="s">
        <v>3800</v>
      </c>
      <c r="H1145" s="338"/>
      <c r="I1145" s="329">
        <v>178.24158923670021</v>
      </c>
      <c r="J1145" s="329"/>
      <c r="K1145" s="338">
        <v>44.560397309175052</v>
      </c>
      <c r="L1145" s="338">
        <v>44.560397309175052</v>
      </c>
      <c r="M1145" s="338">
        <v>44.560397309175052</v>
      </c>
      <c r="N1145" s="338">
        <v>44.560397309175052</v>
      </c>
      <c r="O1145" s="338"/>
    </row>
    <row r="1146" spans="1:15" hidden="1" outlineLevel="2" x14ac:dyDescent="0.35">
      <c r="A1146" s="425" t="s">
        <v>7970</v>
      </c>
      <c r="B1146" s="327" t="s">
        <v>7996</v>
      </c>
      <c r="C1146" s="426" t="s">
        <v>7997</v>
      </c>
      <c r="D1146" s="427" t="s">
        <v>9317</v>
      </c>
      <c r="E1146" s="426" t="s">
        <v>8490</v>
      </c>
      <c r="F1146" s="338">
        <v>923885</v>
      </c>
      <c r="G1146" s="338" t="s">
        <v>3800</v>
      </c>
      <c r="H1146" s="338"/>
      <c r="I1146" s="329">
        <v>220.25712412621408</v>
      </c>
      <c r="J1146" s="329"/>
      <c r="K1146" s="338">
        <v>55.06428103155352</v>
      </c>
      <c r="L1146" s="338">
        <v>55.06428103155352</v>
      </c>
      <c r="M1146" s="338">
        <v>55.06428103155352</v>
      </c>
      <c r="N1146" s="338">
        <v>55.06428103155352</v>
      </c>
      <c r="O1146" s="338"/>
    </row>
    <row r="1147" spans="1:15" hidden="1" outlineLevel="2" x14ac:dyDescent="0.35">
      <c r="A1147" s="425" t="s">
        <v>7970</v>
      </c>
      <c r="B1147" s="327">
        <v>44012</v>
      </c>
      <c r="C1147" s="426">
        <v>192</v>
      </c>
      <c r="D1147" s="427" t="s">
        <v>9318</v>
      </c>
      <c r="E1147" s="426" t="s">
        <v>8490</v>
      </c>
      <c r="F1147" s="338">
        <v>760357.36</v>
      </c>
      <c r="G1147" s="338" t="s">
        <v>3800</v>
      </c>
      <c r="H1147" s="338"/>
      <c r="I1147" s="329">
        <v>178.24158923670021</v>
      </c>
      <c r="J1147" s="329"/>
      <c r="K1147" s="338">
        <v>44.560397309175052</v>
      </c>
      <c r="L1147" s="338">
        <v>44.560397309175052</v>
      </c>
      <c r="M1147" s="338">
        <v>44.560397309175052</v>
      </c>
      <c r="N1147" s="338">
        <v>44.560397309175052</v>
      </c>
      <c r="O1147" s="338"/>
    </row>
    <row r="1148" spans="1:15" hidden="1" outlineLevel="2" x14ac:dyDescent="0.35">
      <c r="A1148" s="425" t="s">
        <v>7970</v>
      </c>
      <c r="B1148" s="327" t="s">
        <v>7993</v>
      </c>
      <c r="C1148" s="426" t="s">
        <v>7994</v>
      </c>
      <c r="D1148" s="427" t="s">
        <v>9319</v>
      </c>
      <c r="E1148" s="426" t="s">
        <v>8490</v>
      </c>
      <c r="F1148" s="338">
        <v>923885</v>
      </c>
      <c r="G1148" s="338" t="s">
        <v>3800</v>
      </c>
      <c r="H1148" s="338"/>
      <c r="I1148" s="329">
        <v>220.25712412621408</v>
      </c>
      <c r="J1148" s="329"/>
      <c r="K1148" s="338">
        <v>55.06428103155352</v>
      </c>
      <c r="L1148" s="338">
        <v>55.06428103155352</v>
      </c>
      <c r="M1148" s="338">
        <v>55.06428103155352</v>
      </c>
      <c r="N1148" s="338">
        <v>55.06428103155352</v>
      </c>
      <c r="O1148" s="338"/>
    </row>
    <row r="1149" spans="1:15" hidden="1" outlineLevel="2" x14ac:dyDescent="0.35">
      <c r="A1149" s="425" t="s">
        <v>7970</v>
      </c>
      <c r="B1149" s="327" t="s">
        <v>7990</v>
      </c>
      <c r="C1149" s="426" t="s">
        <v>7991</v>
      </c>
      <c r="D1149" s="427" t="s">
        <v>9319</v>
      </c>
      <c r="E1149" s="426" t="s">
        <v>8490</v>
      </c>
      <c r="F1149" s="338">
        <v>923885</v>
      </c>
      <c r="G1149" s="338" t="s">
        <v>3800</v>
      </c>
      <c r="H1149" s="338"/>
      <c r="I1149" s="329">
        <v>220.25712412621408</v>
      </c>
      <c r="J1149" s="329"/>
      <c r="K1149" s="338">
        <v>55.06428103155352</v>
      </c>
      <c r="L1149" s="338">
        <v>55.06428103155352</v>
      </c>
      <c r="M1149" s="338">
        <v>55.06428103155352</v>
      </c>
      <c r="N1149" s="338">
        <v>55.06428103155352</v>
      </c>
      <c r="O1149" s="338"/>
    </row>
    <row r="1150" spans="1:15" hidden="1" outlineLevel="2" x14ac:dyDescent="0.35">
      <c r="A1150" s="425" t="s">
        <v>7970</v>
      </c>
      <c r="B1150" s="327">
        <v>44043</v>
      </c>
      <c r="C1150" s="426">
        <v>177</v>
      </c>
      <c r="D1150" s="427" t="s">
        <v>9320</v>
      </c>
      <c r="E1150" s="426" t="s">
        <v>8490</v>
      </c>
      <c r="F1150" s="338">
        <v>760357.36</v>
      </c>
      <c r="G1150" s="338" t="s">
        <v>3800</v>
      </c>
      <c r="H1150" s="338"/>
      <c r="I1150" s="329">
        <v>178.24158923670021</v>
      </c>
      <c r="J1150" s="329"/>
      <c r="K1150" s="338">
        <v>44.560397309175052</v>
      </c>
      <c r="L1150" s="338">
        <v>44.560397309175052</v>
      </c>
      <c r="M1150" s="338">
        <v>44.560397309175052</v>
      </c>
      <c r="N1150" s="338">
        <v>44.560397309175052</v>
      </c>
      <c r="O1150" s="338"/>
    </row>
    <row r="1151" spans="1:15" hidden="1" outlineLevel="2" x14ac:dyDescent="0.35">
      <c r="A1151" s="425" t="s">
        <v>7970</v>
      </c>
      <c r="B1151" s="327">
        <v>44074</v>
      </c>
      <c r="C1151" s="426">
        <v>219</v>
      </c>
      <c r="D1151" s="427" t="s">
        <v>9321</v>
      </c>
      <c r="E1151" s="426" t="s">
        <v>8490</v>
      </c>
      <c r="F1151" s="338">
        <v>923885</v>
      </c>
      <c r="G1151" s="338" t="s">
        <v>3800</v>
      </c>
      <c r="H1151" s="338"/>
      <c r="I1151" s="329">
        <v>216.57544114776343</v>
      </c>
      <c r="J1151" s="329"/>
      <c r="K1151" s="338">
        <v>54.143860286940857</v>
      </c>
      <c r="L1151" s="338">
        <v>54.143860286940857</v>
      </c>
      <c r="M1151" s="338">
        <v>54.143860286940857</v>
      </c>
      <c r="N1151" s="338">
        <v>54.143860286940857</v>
      </c>
      <c r="O1151" s="338"/>
    </row>
    <row r="1152" spans="1:15" hidden="1" outlineLevel="2" x14ac:dyDescent="0.35">
      <c r="A1152" s="425" t="s">
        <v>7970</v>
      </c>
      <c r="B1152" s="327" t="s">
        <v>7984</v>
      </c>
      <c r="C1152" s="426" t="s">
        <v>7985</v>
      </c>
      <c r="D1152" s="427" t="s">
        <v>9322</v>
      </c>
      <c r="E1152" s="426" t="s">
        <v>8490</v>
      </c>
      <c r="F1152" s="338">
        <v>923885</v>
      </c>
      <c r="G1152" s="338" t="s">
        <v>3800</v>
      </c>
      <c r="H1152" s="338"/>
      <c r="I1152" s="329">
        <v>220.25712412621408</v>
      </c>
      <c r="J1152" s="329"/>
      <c r="K1152" s="338">
        <v>55.06428103155352</v>
      </c>
      <c r="L1152" s="338">
        <v>55.06428103155352</v>
      </c>
      <c r="M1152" s="338">
        <v>55.06428103155352</v>
      </c>
      <c r="N1152" s="338">
        <v>55.06428103155352</v>
      </c>
      <c r="O1152" s="338"/>
    </row>
    <row r="1153" spans="1:15" hidden="1" outlineLevel="2" x14ac:dyDescent="0.35">
      <c r="A1153" s="425" t="s">
        <v>7970</v>
      </c>
      <c r="B1153" s="327">
        <v>44104</v>
      </c>
      <c r="C1153" s="426">
        <v>229</v>
      </c>
      <c r="D1153" s="427" t="s">
        <v>9323</v>
      </c>
      <c r="E1153" s="426" t="s">
        <v>8490</v>
      </c>
      <c r="F1153" s="338">
        <v>923885</v>
      </c>
      <c r="G1153" s="338" t="s">
        <v>3800</v>
      </c>
      <c r="H1153" s="338"/>
      <c r="I1153" s="329">
        <v>216.57544114776343</v>
      </c>
      <c r="J1153" s="329"/>
      <c r="K1153" s="338">
        <v>54.143860286940857</v>
      </c>
      <c r="L1153" s="338">
        <v>54.143860286940857</v>
      </c>
      <c r="M1153" s="338">
        <v>54.143860286940857</v>
      </c>
      <c r="N1153" s="338">
        <v>54.143860286940857</v>
      </c>
      <c r="O1153" s="338"/>
    </row>
    <row r="1154" spans="1:15" hidden="1" outlineLevel="2" x14ac:dyDescent="0.35">
      <c r="A1154" s="425" t="s">
        <v>7970</v>
      </c>
      <c r="B1154" s="327" t="s">
        <v>8005</v>
      </c>
      <c r="C1154" s="426" t="s">
        <v>8006</v>
      </c>
      <c r="D1154" s="427" t="s">
        <v>9324</v>
      </c>
      <c r="E1154" s="426" t="s">
        <v>8490</v>
      </c>
      <c r="F1154" s="338">
        <v>923885</v>
      </c>
      <c r="G1154" s="338" t="s">
        <v>3800</v>
      </c>
      <c r="H1154" s="338"/>
      <c r="I1154" s="329">
        <v>220.25712412621408</v>
      </c>
      <c r="J1154" s="329"/>
      <c r="K1154" s="338">
        <v>55.06428103155352</v>
      </c>
      <c r="L1154" s="338">
        <v>55.06428103155352</v>
      </c>
      <c r="M1154" s="338">
        <v>55.06428103155352</v>
      </c>
      <c r="N1154" s="338">
        <v>55.06428103155352</v>
      </c>
      <c r="O1154" s="338"/>
    </row>
    <row r="1155" spans="1:15" hidden="1" outlineLevel="2" x14ac:dyDescent="0.35">
      <c r="A1155" s="425" t="s">
        <v>7970</v>
      </c>
      <c r="B1155" s="327">
        <v>44135</v>
      </c>
      <c r="C1155" s="426">
        <v>237</v>
      </c>
      <c r="D1155" s="427" t="s">
        <v>9325</v>
      </c>
      <c r="E1155" s="426" t="s">
        <v>8490</v>
      </c>
      <c r="F1155" s="338">
        <v>500000</v>
      </c>
      <c r="G1155" s="338" t="s">
        <v>3800</v>
      </c>
      <c r="H1155" s="338"/>
      <c r="I1155" s="329">
        <v>117.20909049706589</v>
      </c>
      <c r="J1155" s="329"/>
      <c r="K1155" s="338">
        <v>29.302272624266472</v>
      </c>
      <c r="L1155" s="338">
        <v>29.302272624266472</v>
      </c>
      <c r="M1155" s="338">
        <v>29.302272624266472</v>
      </c>
      <c r="N1155" s="338">
        <v>29.302272624266472</v>
      </c>
      <c r="O1155" s="338"/>
    </row>
    <row r="1156" spans="1:15" hidden="1" outlineLevel="2" x14ac:dyDescent="0.35">
      <c r="A1156" s="425" t="s">
        <v>7970</v>
      </c>
      <c r="B1156" s="327">
        <v>44165</v>
      </c>
      <c r="C1156" s="426">
        <v>243</v>
      </c>
      <c r="D1156" s="427" t="s">
        <v>9326</v>
      </c>
      <c r="E1156" s="426" t="s">
        <v>8490</v>
      </c>
      <c r="F1156" s="338">
        <v>500000</v>
      </c>
      <c r="G1156" s="338" t="s">
        <v>3800</v>
      </c>
      <c r="H1156" s="338"/>
      <c r="I1156" s="329">
        <v>117.20909049706589</v>
      </c>
      <c r="J1156" s="329"/>
      <c r="K1156" s="338">
        <v>29.302272624266472</v>
      </c>
      <c r="L1156" s="338">
        <v>29.302272624266472</v>
      </c>
      <c r="M1156" s="338">
        <v>29.302272624266472</v>
      </c>
      <c r="N1156" s="338">
        <v>29.302272624266472</v>
      </c>
      <c r="O1156" s="338"/>
    </row>
    <row r="1157" spans="1:15" hidden="1" outlineLevel="2" x14ac:dyDescent="0.35">
      <c r="A1157" s="425" t="s">
        <v>7970</v>
      </c>
      <c r="B1157" s="327">
        <v>43861</v>
      </c>
      <c r="C1157" s="426">
        <v>163</v>
      </c>
      <c r="D1157" s="427" t="s">
        <v>9327</v>
      </c>
      <c r="E1157" s="426" t="s">
        <v>9227</v>
      </c>
      <c r="F1157" s="338">
        <v>411500</v>
      </c>
      <c r="G1157" s="338" t="s">
        <v>3800</v>
      </c>
      <c r="H1157" s="338"/>
      <c r="I1157" s="329">
        <v>96.463081479085218</v>
      </c>
      <c r="J1157" s="329"/>
      <c r="K1157" s="338">
        <v>24.115770369771305</v>
      </c>
      <c r="L1157" s="338">
        <v>24.115770369771305</v>
      </c>
      <c r="M1157" s="338">
        <v>24.115770369771305</v>
      </c>
      <c r="N1157" s="338">
        <v>24.115770369771305</v>
      </c>
      <c r="O1157" s="338"/>
    </row>
    <row r="1158" spans="1:15" hidden="1" outlineLevel="2" x14ac:dyDescent="0.35">
      <c r="A1158" s="425" t="s">
        <v>7970</v>
      </c>
      <c r="B1158" s="327">
        <v>43890</v>
      </c>
      <c r="C1158" s="426">
        <v>170</v>
      </c>
      <c r="D1158" s="427" t="s">
        <v>9328</v>
      </c>
      <c r="E1158" s="426" t="s">
        <v>8490</v>
      </c>
      <c r="F1158" s="338">
        <v>411500</v>
      </c>
      <c r="G1158" s="338" t="s">
        <v>3800</v>
      </c>
      <c r="H1158" s="338"/>
      <c r="I1158" s="329">
        <v>96.463081479085218</v>
      </c>
      <c r="J1158" s="329"/>
      <c r="K1158" s="338">
        <v>24.115770369771305</v>
      </c>
      <c r="L1158" s="338">
        <v>24.115770369771305</v>
      </c>
      <c r="M1158" s="338">
        <v>24.115770369771305</v>
      </c>
      <c r="N1158" s="338">
        <v>24.115770369771305</v>
      </c>
      <c r="O1158" s="338"/>
    </row>
    <row r="1159" spans="1:15" hidden="1" outlineLevel="2" x14ac:dyDescent="0.35">
      <c r="A1159" s="425" t="s">
        <v>7970</v>
      </c>
      <c r="B1159" s="327">
        <v>43921</v>
      </c>
      <c r="C1159" s="426">
        <v>177</v>
      </c>
      <c r="D1159" s="427" t="s">
        <v>9329</v>
      </c>
      <c r="E1159" s="426" t="s">
        <v>8490</v>
      </c>
      <c r="F1159" s="338">
        <v>411500</v>
      </c>
      <c r="G1159" s="338" t="s">
        <v>3800</v>
      </c>
      <c r="H1159" s="338"/>
      <c r="I1159" s="329">
        <v>96.463081479085218</v>
      </c>
      <c r="J1159" s="329"/>
      <c r="K1159" s="338">
        <v>24.115770369771305</v>
      </c>
      <c r="L1159" s="338">
        <v>24.115770369771305</v>
      </c>
      <c r="M1159" s="338">
        <v>24.115770369771305</v>
      </c>
      <c r="N1159" s="338">
        <v>24.115770369771305</v>
      </c>
      <c r="O1159" s="338"/>
    </row>
    <row r="1160" spans="1:15" hidden="1" outlineLevel="2" x14ac:dyDescent="0.35">
      <c r="A1160" s="425" t="s">
        <v>7970</v>
      </c>
      <c r="B1160" s="327">
        <v>43951</v>
      </c>
      <c r="C1160" s="426">
        <v>177</v>
      </c>
      <c r="D1160" s="427" t="s">
        <v>9330</v>
      </c>
      <c r="E1160" s="426" t="s">
        <v>8490</v>
      </c>
      <c r="F1160" s="338">
        <v>411500</v>
      </c>
      <c r="G1160" s="338" t="s">
        <v>3800</v>
      </c>
      <c r="H1160" s="338"/>
      <c r="I1160" s="329">
        <v>96.463081479085218</v>
      </c>
      <c r="J1160" s="329"/>
      <c r="K1160" s="338">
        <v>24.115770369771305</v>
      </c>
      <c r="L1160" s="338">
        <v>24.115770369771305</v>
      </c>
      <c r="M1160" s="338">
        <v>24.115770369771305</v>
      </c>
      <c r="N1160" s="338">
        <v>24.115770369771305</v>
      </c>
      <c r="O1160" s="338"/>
    </row>
    <row r="1161" spans="1:15" hidden="1" outlineLevel="2" x14ac:dyDescent="0.35">
      <c r="A1161" s="425" t="s">
        <v>7970</v>
      </c>
      <c r="B1161" s="327">
        <v>43982</v>
      </c>
      <c r="C1161" s="426">
        <v>192</v>
      </c>
      <c r="D1161" s="427" t="s">
        <v>9331</v>
      </c>
      <c r="E1161" s="426" t="s">
        <v>8490</v>
      </c>
      <c r="F1161" s="338">
        <v>411500</v>
      </c>
      <c r="G1161" s="338" t="s">
        <v>3800</v>
      </c>
      <c r="H1161" s="338"/>
      <c r="I1161" s="329">
        <v>96.463081479085218</v>
      </c>
      <c r="J1161" s="329"/>
      <c r="K1161" s="338">
        <v>24.115770369771305</v>
      </c>
      <c r="L1161" s="338">
        <v>24.115770369771305</v>
      </c>
      <c r="M1161" s="338">
        <v>24.115770369771305</v>
      </c>
      <c r="N1161" s="338">
        <v>24.115770369771305</v>
      </c>
      <c r="O1161" s="338"/>
    </row>
    <row r="1162" spans="1:15" hidden="1" outlineLevel="2" x14ac:dyDescent="0.35">
      <c r="A1162" s="425" t="s">
        <v>7970</v>
      </c>
      <c r="B1162" s="327">
        <v>44012</v>
      </c>
      <c r="C1162" s="426">
        <v>192</v>
      </c>
      <c r="D1162" s="427" t="s">
        <v>9332</v>
      </c>
      <c r="E1162" s="426" t="s">
        <v>8490</v>
      </c>
      <c r="F1162" s="338">
        <v>411500</v>
      </c>
      <c r="G1162" s="338" t="s">
        <v>3800</v>
      </c>
      <c r="H1162" s="338"/>
      <c r="I1162" s="329">
        <v>96.463081479085218</v>
      </c>
      <c r="J1162" s="329"/>
      <c r="K1162" s="338">
        <v>24.115770369771305</v>
      </c>
      <c r="L1162" s="338">
        <v>24.115770369771305</v>
      </c>
      <c r="M1162" s="338">
        <v>24.115770369771305</v>
      </c>
      <c r="N1162" s="338">
        <v>24.115770369771305</v>
      </c>
      <c r="O1162" s="338"/>
    </row>
    <row r="1163" spans="1:15" hidden="1" outlineLevel="2" x14ac:dyDescent="0.35">
      <c r="A1163" s="425" t="s">
        <v>7970</v>
      </c>
      <c r="B1163" s="327">
        <v>44043</v>
      </c>
      <c r="C1163" s="426">
        <v>177</v>
      </c>
      <c r="D1163" s="427" t="s">
        <v>9333</v>
      </c>
      <c r="E1163" s="426" t="s">
        <v>8490</v>
      </c>
      <c r="F1163" s="338">
        <v>411500</v>
      </c>
      <c r="G1163" s="338" t="s">
        <v>3800</v>
      </c>
      <c r="H1163" s="338"/>
      <c r="I1163" s="329">
        <v>96.463081479085218</v>
      </c>
      <c r="J1163" s="329"/>
      <c r="K1163" s="338">
        <v>24.115770369771305</v>
      </c>
      <c r="L1163" s="338">
        <v>24.115770369771305</v>
      </c>
      <c r="M1163" s="338">
        <v>24.115770369771305</v>
      </c>
      <c r="N1163" s="338">
        <v>24.115770369771305</v>
      </c>
      <c r="O1163" s="338"/>
    </row>
    <row r="1164" spans="1:15" hidden="1" outlineLevel="2" x14ac:dyDescent="0.35">
      <c r="A1164" s="425" t="s">
        <v>7970</v>
      </c>
      <c r="B1164" s="327">
        <v>44074</v>
      </c>
      <c r="C1164" s="426">
        <v>219</v>
      </c>
      <c r="D1164" s="427" t="s">
        <v>9334</v>
      </c>
      <c r="E1164" s="426" t="s">
        <v>8490</v>
      </c>
      <c r="F1164" s="338">
        <v>500000</v>
      </c>
      <c r="G1164" s="338" t="s">
        <v>3800</v>
      </c>
      <c r="H1164" s="338"/>
      <c r="I1164" s="329">
        <v>117.20909049706589</v>
      </c>
      <c r="J1164" s="329"/>
      <c r="K1164" s="338">
        <v>29.302272624266472</v>
      </c>
      <c r="L1164" s="338">
        <v>29.302272624266472</v>
      </c>
      <c r="M1164" s="338">
        <v>29.302272624266472</v>
      </c>
      <c r="N1164" s="338">
        <v>29.302272624266472</v>
      </c>
      <c r="O1164" s="338"/>
    </row>
    <row r="1165" spans="1:15" hidden="1" outlineLevel="2" x14ac:dyDescent="0.35">
      <c r="A1165" s="425" t="s">
        <v>7970</v>
      </c>
      <c r="B1165" s="327">
        <v>44104</v>
      </c>
      <c r="C1165" s="426">
        <v>229</v>
      </c>
      <c r="D1165" s="427" t="s">
        <v>9335</v>
      </c>
      <c r="E1165" s="426" t="s">
        <v>8490</v>
      </c>
      <c r="F1165" s="338">
        <v>500000</v>
      </c>
      <c r="G1165" s="338" t="s">
        <v>3800</v>
      </c>
      <c r="H1165" s="338"/>
      <c r="I1165" s="329">
        <v>117.20909049706589</v>
      </c>
      <c r="J1165" s="329"/>
      <c r="K1165" s="338">
        <v>29.302272624266472</v>
      </c>
      <c r="L1165" s="338">
        <v>29.302272624266472</v>
      </c>
      <c r="M1165" s="338">
        <v>29.302272624266472</v>
      </c>
      <c r="N1165" s="338">
        <v>29.302272624266472</v>
      </c>
      <c r="O1165" s="338"/>
    </row>
    <row r="1166" spans="1:15" outlineLevel="1" collapsed="1" x14ac:dyDescent="0.35">
      <c r="A1166" s="432" t="s">
        <v>9336</v>
      </c>
      <c r="B1166" s="327"/>
      <c r="C1166" s="426"/>
      <c r="D1166" s="427"/>
      <c r="E1166" s="426"/>
      <c r="F1166" s="338"/>
      <c r="G1166" s="338"/>
      <c r="H1166" s="338"/>
      <c r="I1166" s="329">
        <f t="shared" ref="I1166:O1166" si="40">SUBTOTAL(9,I1051:I1165)</f>
        <v>47575.55059629387</v>
      </c>
      <c r="J1166" s="329"/>
      <c r="K1166" s="338">
        <f t="shared" si="40"/>
        <v>11893.887649073467</v>
      </c>
      <c r="L1166" s="338">
        <f t="shared" si="40"/>
        <v>11893.887649073467</v>
      </c>
      <c r="M1166" s="338">
        <f t="shared" si="40"/>
        <v>11893.887649073467</v>
      </c>
      <c r="N1166" s="338">
        <f t="shared" si="40"/>
        <v>11893.887649073467</v>
      </c>
      <c r="O1166" s="338">
        <f t="shared" si="40"/>
        <v>0</v>
      </c>
    </row>
    <row r="1167" spans="1:15" hidden="1" outlineLevel="2" x14ac:dyDescent="0.35">
      <c r="A1167" s="425" t="s">
        <v>7830</v>
      </c>
      <c r="B1167" s="327">
        <v>43980</v>
      </c>
      <c r="C1167" s="328" t="s">
        <v>9337</v>
      </c>
      <c r="D1167" s="427" t="s">
        <v>9338</v>
      </c>
      <c r="E1167" s="426" t="s">
        <v>9339</v>
      </c>
      <c r="F1167" s="338">
        <v>7900001</v>
      </c>
      <c r="G1167" s="338" t="s">
        <v>3800</v>
      </c>
      <c r="H1167" s="338"/>
      <c r="I1167" s="329">
        <v>1851.9038642718219</v>
      </c>
      <c r="J1167" s="329"/>
      <c r="K1167" s="338">
        <v>462.97596606795548</v>
      </c>
      <c r="L1167" s="338">
        <v>462.97596606795548</v>
      </c>
      <c r="M1167" s="338">
        <v>462.97596606795548</v>
      </c>
      <c r="N1167" s="338">
        <v>462.97596606795548</v>
      </c>
      <c r="O1167" s="338"/>
    </row>
    <row r="1168" spans="1:15" outlineLevel="1" collapsed="1" x14ac:dyDescent="0.35">
      <c r="A1168" s="432" t="s">
        <v>9340</v>
      </c>
      <c r="B1168" s="327"/>
      <c r="C1168" s="328"/>
      <c r="D1168" s="427"/>
      <c r="E1168" s="426"/>
      <c r="F1168" s="338"/>
      <c r="G1168" s="338"/>
      <c r="H1168" s="338"/>
      <c r="I1168" s="329">
        <f t="shared" ref="I1168:O1168" si="41">SUBTOTAL(9,I1167:I1167)</f>
        <v>1851.9038642718219</v>
      </c>
      <c r="J1168" s="329"/>
      <c r="K1168" s="338">
        <f t="shared" si="41"/>
        <v>462.97596606795548</v>
      </c>
      <c r="L1168" s="338">
        <f t="shared" si="41"/>
        <v>462.97596606795548</v>
      </c>
      <c r="M1168" s="338">
        <f t="shared" si="41"/>
        <v>462.97596606795548</v>
      </c>
      <c r="N1168" s="338">
        <f t="shared" si="41"/>
        <v>462.97596606795548</v>
      </c>
      <c r="O1168" s="338">
        <f t="shared" si="41"/>
        <v>0</v>
      </c>
    </row>
    <row r="1169" spans="1:15" hidden="1" outlineLevel="2" x14ac:dyDescent="0.35">
      <c r="A1169" s="425" t="s">
        <v>7972</v>
      </c>
      <c r="B1169" s="327" t="s">
        <v>8264</v>
      </c>
      <c r="C1169" s="426" t="s">
        <v>9341</v>
      </c>
      <c r="D1169" s="427" t="s">
        <v>9342</v>
      </c>
      <c r="E1169" s="426" t="s">
        <v>9343</v>
      </c>
      <c r="F1169" s="338">
        <v>1600000</v>
      </c>
      <c r="G1169" s="338" t="s">
        <v>3800</v>
      </c>
      <c r="H1169" s="338"/>
      <c r="I1169" s="329">
        <v>381.44509176135836</v>
      </c>
      <c r="J1169" s="329"/>
      <c r="K1169" s="338">
        <v>95.361272940339589</v>
      </c>
      <c r="L1169" s="338">
        <v>95.361272940339589</v>
      </c>
      <c r="M1169" s="338">
        <v>95.361272940339589</v>
      </c>
      <c r="N1169" s="338">
        <v>95.361272940339589</v>
      </c>
      <c r="O1169" s="338"/>
    </row>
    <row r="1170" spans="1:15" hidden="1" outlineLevel="2" x14ac:dyDescent="0.35">
      <c r="A1170" s="425" t="s">
        <v>7972</v>
      </c>
      <c r="B1170" s="327">
        <v>43769</v>
      </c>
      <c r="C1170" s="426">
        <v>152</v>
      </c>
      <c r="D1170" s="427" t="s">
        <v>9344</v>
      </c>
      <c r="E1170" s="426" t="s">
        <v>9345</v>
      </c>
      <c r="F1170" s="338">
        <v>4076825</v>
      </c>
      <c r="G1170" s="338" t="s">
        <v>3800</v>
      </c>
      <c r="H1170" s="338"/>
      <c r="I1170" s="329">
        <v>955.68190073140124</v>
      </c>
      <c r="J1170" s="329"/>
      <c r="K1170" s="338">
        <v>238.92047518285031</v>
      </c>
      <c r="L1170" s="338">
        <v>238.92047518285031</v>
      </c>
      <c r="M1170" s="338">
        <v>238.92047518285031</v>
      </c>
      <c r="N1170" s="338">
        <v>238.92047518285031</v>
      </c>
      <c r="O1170" s="338"/>
    </row>
    <row r="1171" spans="1:15" hidden="1" outlineLevel="2" x14ac:dyDescent="0.35">
      <c r="A1171" s="425" t="s">
        <v>7972</v>
      </c>
      <c r="B1171" s="327" t="s">
        <v>8002</v>
      </c>
      <c r="C1171" s="426" t="s">
        <v>8003</v>
      </c>
      <c r="D1171" s="427" t="s">
        <v>9346</v>
      </c>
      <c r="E1171" s="426" t="s">
        <v>9343</v>
      </c>
      <c r="F1171" s="338">
        <v>6159233</v>
      </c>
      <c r="G1171" s="338" t="s">
        <v>3800</v>
      </c>
      <c r="H1171" s="338"/>
      <c r="I1171" s="329">
        <v>1468.3807480403664</v>
      </c>
      <c r="J1171" s="329"/>
      <c r="K1171" s="338">
        <v>367.09518701009159</v>
      </c>
      <c r="L1171" s="338">
        <v>367.09518701009159</v>
      </c>
      <c r="M1171" s="338">
        <v>367.09518701009159</v>
      </c>
      <c r="N1171" s="338">
        <v>367.09518701009159</v>
      </c>
      <c r="O1171" s="338"/>
    </row>
    <row r="1172" spans="1:15" hidden="1" outlineLevel="2" x14ac:dyDescent="0.35">
      <c r="A1172" s="425" t="s">
        <v>7972</v>
      </c>
      <c r="B1172" s="327" t="s">
        <v>7999</v>
      </c>
      <c r="C1172" s="426" t="s">
        <v>8000</v>
      </c>
      <c r="D1172" s="427" t="s">
        <v>9346</v>
      </c>
      <c r="E1172" s="426" t="s">
        <v>9343</v>
      </c>
      <c r="F1172" s="338">
        <v>6159233</v>
      </c>
      <c r="G1172" s="338" t="s">
        <v>3800</v>
      </c>
      <c r="H1172" s="338"/>
      <c r="I1172" s="329">
        <v>1468.3807480403664</v>
      </c>
      <c r="J1172" s="329"/>
      <c r="K1172" s="338">
        <v>367.09518701009159</v>
      </c>
      <c r="L1172" s="338">
        <v>367.09518701009159</v>
      </c>
      <c r="M1172" s="338">
        <v>367.09518701009159</v>
      </c>
      <c r="N1172" s="338">
        <v>367.09518701009159</v>
      </c>
      <c r="O1172" s="338"/>
    </row>
    <row r="1173" spans="1:15" hidden="1" outlineLevel="2" x14ac:dyDescent="0.35">
      <c r="A1173" s="425" t="s">
        <v>7972</v>
      </c>
      <c r="B1173" s="327">
        <v>43799</v>
      </c>
      <c r="C1173" s="426">
        <v>155</v>
      </c>
      <c r="D1173" s="427" t="s">
        <v>9347</v>
      </c>
      <c r="E1173" s="426" t="s">
        <v>9345</v>
      </c>
      <c r="F1173" s="338">
        <v>4076825</v>
      </c>
      <c r="G1173" s="338" t="s">
        <v>3800</v>
      </c>
      <c r="H1173" s="338"/>
      <c r="I1173" s="329">
        <v>955.68190073140124</v>
      </c>
      <c r="J1173" s="329"/>
      <c r="K1173" s="338">
        <v>238.92047518285031</v>
      </c>
      <c r="L1173" s="338">
        <v>238.92047518285031</v>
      </c>
      <c r="M1173" s="338">
        <v>238.92047518285031</v>
      </c>
      <c r="N1173" s="338">
        <v>238.92047518285031</v>
      </c>
      <c r="O1173" s="338"/>
    </row>
    <row r="1174" spans="1:15" hidden="1" outlineLevel="2" x14ac:dyDescent="0.35">
      <c r="A1174" s="425" t="s">
        <v>7972</v>
      </c>
      <c r="B1174" s="327">
        <v>43861</v>
      </c>
      <c r="C1174" s="426">
        <v>165</v>
      </c>
      <c r="D1174" s="427" t="s">
        <v>9348</v>
      </c>
      <c r="E1174" s="426" t="s">
        <v>9349</v>
      </c>
      <c r="F1174" s="338">
        <v>4076825</v>
      </c>
      <c r="G1174" s="338" t="s">
        <v>3800</v>
      </c>
      <c r="H1174" s="338"/>
      <c r="I1174" s="329">
        <v>955.68190073140124</v>
      </c>
      <c r="J1174" s="329"/>
      <c r="K1174" s="338">
        <v>238.92047518285031</v>
      </c>
      <c r="L1174" s="338">
        <v>238.92047518285031</v>
      </c>
      <c r="M1174" s="338">
        <v>238.92047518285031</v>
      </c>
      <c r="N1174" s="338">
        <v>238.92047518285031</v>
      </c>
      <c r="O1174" s="338"/>
    </row>
    <row r="1175" spans="1:15" hidden="1" outlineLevel="2" x14ac:dyDescent="0.35">
      <c r="A1175" s="425" t="s">
        <v>7972</v>
      </c>
      <c r="B1175" s="327" t="s">
        <v>8077</v>
      </c>
      <c r="C1175" s="426" t="s">
        <v>9350</v>
      </c>
      <c r="D1175" s="427" t="s">
        <v>9351</v>
      </c>
      <c r="E1175" s="426" t="s">
        <v>9343</v>
      </c>
      <c r="F1175" s="338">
        <v>6159233</v>
      </c>
      <c r="G1175" s="338" t="s">
        <v>3800</v>
      </c>
      <c r="H1175" s="338"/>
      <c r="I1175" s="329">
        <v>1468.3807480403664</v>
      </c>
      <c r="J1175" s="329"/>
      <c r="K1175" s="338">
        <v>367.09518701009159</v>
      </c>
      <c r="L1175" s="338">
        <v>367.09518701009159</v>
      </c>
      <c r="M1175" s="338">
        <v>367.09518701009159</v>
      </c>
      <c r="N1175" s="338">
        <v>367.09518701009159</v>
      </c>
      <c r="O1175" s="338"/>
    </row>
    <row r="1176" spans="1:15" hidden="1" outlineLevel="2" x14ac:dyDescent="0.35">
      <c r="A1176" s="425" t="s">
        <v>7972</v>
      </c>
      <c r="B1176" s="327" t="s">
        <v>8079</v>
      </c>
      <c r="C1176" s="426" t="s">
        <v>8327</v>
      </c>
      <c r="D1176" s="427" t="s">
        <v>9352</v>
      </c>
      <c r="E1176" s="426" t="s">
        <v>9343</v>
      </c>
      <c r="F1176" s="338">
        <v>6159233</v>
      </c>
      <c r="G1176" s="338" t="s">
        <v>3800</v>
      </c>
      <c r="H1176" s="338"/>
      <c r="I1176" s="329">
        <v>1468.3807480403664</v>
      </c>
      <c r="J1176" s="329"/>
      <c r="K1176" s="338">
        <v>367.09518701009159</v>
      </c>
      <c r="L1176" s="338">
        <v>367.09518701009159</v>
      </c>
      <c r="M1176" s="338">
        <v>367.09518701009159</v>
      </c>
      <c r="N1176" s="338">
        <v>367.09518701009159</v>
      </c>
      <c r="O1176" s="338"/>
    </row>
    <row r="1177" spans="1:15" hidden="1" outlineLevel="2" x14ac:dyDescent="0.35">
      <c r="A1177" s="425" t="s">
        <v>7972</v>
      </c>
      <c r="B1177" s="327">
        <v>43830</v>
      </c>
      <c r="C1177" s="426">
        <v>159</v>
      </c>
      <c r="D1177" s="427" t="s">
        <v>9353</v>
      </c>
      <c r="E1177" s="426" t="s">
        <v>9345</v>
      </c>
      <c r="F1177" s="338">
        <v>4076825</v>
      </c>
      <c r="G1177" s="338" t="s">
        <v>3800</v>
      </c>
      <c r="H1177" s="338"/>
      <c r="I1177" s="329">
        <v>955.68190073140124</v>
      </c>
      <c r="J1177" s="329"/>
      <c r="K1177" s="338">
        <v>238.92047518285031</v>
      </c>
      <c r="L1177" s="338">
        <v>238.92047518285031</v>
      </c>
      <c r="M1177" s="338">
        <v>238.92047518285031</v>
      </c>
      <c r="N1177" s="338">
        <v>238.92047518285031</v>
      </c>
      <c r="O1177" s="338"/>
    </row>
    <row r="1178" spans="1:15" hidden="1" outlineLevel="2" x14ac:dyDescent="0.35">
      <c r="A1178" s="425" t="s">
        <v>7972</v>
      </c>
      <c r="B1178" s="327" t="s">
        <v>7987</v>
      </c>
      <c r="C1178" s="426" t="s">
        <v>7988</v>
      </c>
      <c r="D1178" s="427" t="s">
        <v>9354</v>
      </c>
      <c r="E1178" s="426" t="s">
        <v>9343</v>
      </c>
      <c r="F1178" s="338">
        <v>6159233</v>
      </c>
      <c r="G1178" s="338" t="s">
        <v>3800</v>
      </c>
      <c r="H1178" s="338"/>
      <c r="I1178" s="329">
        <v>1468.3807480403664</v>
      </c>
      <c r="J1178" s="329"/>
      <c r="K1178" s="338">
        <v>367.09518701009159</v>
      </c>
      <c r="L1178" s="338">
        <v>367.09518701009159</v>
      </c>
      <c r="M1178" s="338">
        <v>367.09518701009159</v>
      </c>
      <c r="N1178" s="338">
        <v>367.09518701009159</v>
      </c>
      <c r="O1178" s="338"/>
    </row>
    <row r="1179" spans="1:15" hidden="1" outlineLevel="2" x14ac:dyDescent="0.35">
      <c r="A1179" s="425" t="s">
        <v>7972</v>
      </c>
      <c r="B1179" s="327">
        <v>43890</v>
      </c>
      <c r="C1179" s="426">
        <v>172</v>
      </c>
      <c r="D1179" s="427" t="s">
        <v>9355</v>
      </c>
      <c r="E1179" s="426" t="s">
        <v>9356</v>
      </c>
      <c r="F1179" s="338">
        <v>4076825</v>
      </c>
      <c r="G1179" s="338" t="s">
        <v>3800</v>
      </c>
      <c r="H1179" s="338"/>
      <c r="I1179" s="329">
        <v>955.68190073140124</v>
      </c>
      <c r="J1179" s="329"/>
      <c r="K1179" s="338">
        <v>238.92047518285031</v>
      </c>
      <c r="L1179" s="338">
        <v>238.92047518285031</v>
      </c>
      <c r="M1179" s="338">
        <v>238.92047518285031</v>
      </c>
      <c r="N1179" s="338">
        <v>238.92047518285031</v>
      </c>
      <c r="O1179" s="338"/>
    </row>
    <row r="1180" spans="1:15" hidden="1" outlineLevel="2" x14ac:dyDescent="0.35">
      <c r="A1180" s="425" t="s">
        <v>7972</v>
      </c>
      <c r="B1180" s="327" t="s">
        <v>8089</v>
      </c>
      <c r="C1180" s="426" t="s">
        <v>9357</v>
      </c>
      <c r="D1180" s="427" t="s">
        <v>9358</v>
      </c>
      <c r="E1180" s="426" t="s">
        <v>9343</v>
      </c>
      <c r="F1180" s="338">
        <v>6159233</v>
      </c>
      <c r="G1180" s="338" t="s">
        <v>3800</v>
      </c>
      <c r="H1180" s="338"/>
      <c r="I1180" s="329">
        <v>1468.3807480403664</v>
      </c>
      <c r="J1180" s="329"/>
      <c r="K1180" s="338">
        <v>367.09518701009159</v>
      </c>
      <c r="L1180" s="338">
        <v>367.09518701009159</v>
      </c>
      <c r="M1180" s="338">
        <v>367.09518701009159</v>
      </c>
      <c r="N1180" s="338">
        <v>367.09518701009159</v>
      </c>
      <c r="O1180" s="338"/>
    </row>
    <row r="1181" spans="1:15" hidden="1" outlineLevel="2" x14ac:dyDescent="0.35">
      <c r="A1181" s="425" t="s">
        <v>7972</v>
      </c>
      <c r="B1181" s="327" t="s">
        <v>7980</v>
      </c>
      <c r="C1181" s="426" t="s">
        <v>9359</v>
      </c>
      <c r="D1181" s="427" t="s">
        <v>9360</v>
      </c>
      <c r="E1181" s="426" t="s">
        <v>9343</v>
      </c>
      <c r="F1181" s="338">
        <v>6159233</v>
      </c>
      <c r="G1181" s="338" t="s">
        <v>3800</v>
      </c>
      <c r="H1181" s="338"/>
      <c r="I1181" s="329">
        <v>1468.3807480403664</v>
      </c>
      <c r="J1181" s="329"/>
      <c r="K1181" s="338">
        <v>367.09518701009159</v>
      </c>
      <c r="L1181" s="338">
        <v>367.09518701009159</v>
      </c>
      <c r="M1181" s="338">
        <v>367.09518701009159</v>
      </c>
      <c r="N1181" s="338">
        <v>367.09518701009159</v>
      </c>
      <c r="O1181" s="338"/>
    </row>
    <row r="1182" spans="1:15" hidden="1" outlineLevel="2" x14ac:dyDescent="0.35">
      <c r="A1182" s="425" t="s">
        <v>7972</v>
      </c>
      <c r="B1182" s="327" t="s">
        <v>7996</v>
      </c>
      <c r="C1182" s="426" t="s">
        <v>7997</v>
      </c>
      <c r="D1182" s="427" t="s">
        <v>9361</v>
      </c>
      <c r="E1182" s="426" t="s">
        <v>9343</v>
      </c>
      <c r="F1182" s="338">
        <v>6159233</v>
      </c>
      <c r="G1182" s="338" t="s">
        <v>3800</v>
      </c>
      <c r="H1182" s="338"/>
      <c r="I1182" s="329">
        <v>1468.3807480403664</v>
      </c>
      <c r="J1182" s="329"/>
      <c r="K1182" s="338">
        <v>367.09518701009159</v>
      </c>
      <c r="L1182" s="338">
        <v>367.09518701009159</v>
      </c>
      <c r="M1182" s="338">
        <v>367.09518701009159</v>
      </c>
      <c r="N1182" s="338">
        <v>367.09518701009159</v>
      </c>
      <c r="O1182" s="338"/>
    </row>
    <row r="1183" spans="1:15" hidden="1" outlineLevel="2" x14ac:dyDescent="0.35">
      <c r="A1183" s="425" t="s">
        <v>7972</v>
      </c>
      <c r="B1183" s="327" t="s">
        <v>7993</v>
      </c>
      <c r="C1183" s="426" t="s">
        <v>7994</v>
      </c>
      <c r="D1183" s="427" t="s">
        <v>9362</v>
      </c>
      <c r="E1183" s="426" t="s">
        <v>9343</v>
      </c>
      <c r="F1183" s="338">
        <v>6159233</v>
      </c>
      <c r="G1183" s="338" t="s">
        <v>3800</v>
      </c>
      <c r="H1183" s="338"/>
      <c r="I1183" s="329">
        <v>1468.3807480403664</v>
      </c>
      <c r="J1183" s="329"/>
      <c r="K1183" s="338">
        <v>367.09518701009159</v>
      </c>
      <c r="L1183" s="338">
        <v>367.09518701009159</v>
      </c>
      <c r="M1183" s="338">
        <v>367.09518701009159</v>
      </c>
      <c r="N1183" s="338">
        <v>367.09518701009159</v>
      </c>
      <c r="O1183" s="338"/>
    </row>
    <row r="1184" spans="1:15" hidden="1" outlineLevel="2" x14ac:dyDescent="0.35">
      <c r="A1184" s="425" t="s">
        <v>7972</v>
      </c>
      <c r="B1184" s="327" t="s">
        <v>7990</v>
      </c>
      <c r="C1184" s="426" t="s">
        <v>7991</v>
      </c>
      <c r="D1184" s="427" t="s">
        <v>9363</v>
      </c>
      <c r="E1184" s="426" t="s">
        <v>9343</v>
      </c>
      <c r="F1184" s="338">
        <v>6159233</v>
      </c>
      <c r="G1184" s="338" t="s">
        <v>3800</v>
      </c>
      <c r="H1184" s="338"/>
      <c r="I1184" s="329">
        <v>1468.3807480403664</v>
      </c>
      <c r="J1184" s="329"/>
      <c r="K1184" s="338">
        <v>367.09518701009159</v>
      </c>
      <c r="L1184" s="338">
        <v>367.09518701009159</v>
      </c>
      <c r="M1184" s="338">
        <v>367.09518701009159</v>
      </c>
      <c r="N1184" s="338">
        <v>367.09518701009159</v>
      </c>
      <c r="O1184" s="338"/>
    </row>
    <row r="1185" spans="1:15" hidden="1" outlineLevel="2" x14ac:dyDescent="0.35">
      <c r="A1185" s="425" t="s">
        <v>7972</v>
      </c>
      <c r="B1185" s="327" t="s">
        <v>7984</v>
      </c>
      <c r="C1185" s="426" t="s">
        <v>7985</v>
      </c>
      <c r="D1185" s="427" t="s">
        <v>9364</v>
      </c>
      <c r="E1185" s="426" t="s">
        <v>9343</v>
      </c>
      <c r="F1185" s="338">
        <v>6159233</v>
      </c>
      <c r="G1185" s="338" t="s">
        <v>3800</v>
      </c>
      <c r="H1185" s="338"/>
      <c r="I1185" s="329">
        <v>1468.3807480403664</v>
      </c>
      <c r="J1185" s="329"/>
      <c r="K1185" s="338">
        <v>367.09518701009159</v>
      </c>
      <c r="L1185" s="338">
        <v>367.09518701009159</v>
      </c>
      <c r="M1185" s="338">
        <v>367.09518701009159</v>
      </c>
      <c r="N1185" s="338">
        <v>367.09518701009159</v>
      </c>
      <c r="O1185" s="338"/>
    </row>
    <row r="1186" spans="1:15" hidden="1" outlineLevel="2" x14ac:dyDescent="0.35">
      <c r="A1186" s="425" t="s">
        <v>7972</v>
      </c>
      <c r="B1186" s="327" t="s">
        <v>8005</v>
      </c>
      <c r="C1186" s="426" t="s">
        <v>8006</v>
      </c>
      <c r="D1186" s="427" t="s">
        <v>9365</v>
      </c>
      <c r="E1186" s="426" t="s">
        <v>9343</v>
      </c>
      <c r="F1186" s="338">
        <v>6159233</v>
      </c>
      <c r="G1186" s="338" t="s">
        <v>3800</v>
      </c>
      <c r="H1186" s="338"/>
      <c r="I1186" s="329">
        <v>1468.3807480403664</v>
      </c>
      <c r="J1186" s="329"/>
      <c r="K1186" s="338">
        <v>367.09518701009159</v>
      </c>
      <c r="L1186" s="338">
        <v>367.09518701009159</v>
      </c>
      <c r="M1186" s="338">
        <v>367.09518701009159</v>
      </c>
      <c r="N1186" s="338">
        <v>367.09518701009159</v>
      </c>
      <c r="O1186" s="338"/>
    </row>
    <row r="1187" spans="1:15" hidden="1" outlineLevel="2" x14ac:dyDescent="0.35">
      <c r="A1187" s="425" t="s">
        <v>7972</v>
      </c>
      <c r="B1187" s="327" t="s">
        <v>8075</v>
      </c>
      <c r="C1187" s="426" t="s">
        <v>9366</v>
      </c>
      <c r="D1187" s="427" t="s">
        <v>9367</v>
      </c>
      <c r="E1187" s="426" t="s">
        <v>9343</v>
      </c>
      <c r="F1187" s="338">
        <v>6159233</v>
      </c>
      <c r="G1187" s="338" t="s">
        <v>3800</v>
      </c>
      <c r="H1187" s="338"/>
      <c r="I1187" s="329">
        <v>1468.3807480403664</v>
      </c>
      <c r="J1187" s="329"/>
      <c r="K1187" s="338">
        <v>367.09518701009159</v>
      </c>
      <c r="L1187" s="338">
        <v>367.09518701009159</v>
      </c>
      <c r="M1187" s="338">
        <v>367.09518701009159</v>
      </c>
      <c r="N1187" s="338">
        <v>367.09518701009159</v>
      </c>
      <c r="O1187" s="338"/>
    </row>
    <row r="1188" spans="1:15" hidden="1" outlineLevel="2" x14ac:dyDescent="0.35">
      <c r="A1188" s="425" t="s">
        <v>7972</v>
      </c>
      <c r="B1188" s="327">
        <v>43769</v>
      </c>
      <c r="C1188" s="426">
        <v>152</v>
      </c>
      <c r="D1188" s="427" t="s">
        <v>9368</v>
      </c>
      <c r="E1188" s="426" t="s">
        <v>9345</v>
      </c>
      <c r="F1188" s="338">
        <v>122305</v>
      </c>
      <c r="G1188" s="338" t="s">
        <v>3800</v>
      </c>
      <c r="H1188" s="338"/>
      <c r="I1188" s="329">
        <v>28.670515626487287</v>
      </c>
      <c r="J1188" s="329"/>
      <c r="K1188" s="338">
        <v>7.1676289066218217</v>
      </c>
      <c r="L1188" s="338">
        <v>7.1676289066218217</v>
      </c>
      <c r="M1188" s="338">
        <v>7.1676289066218217</v>
      </c>
      <c r="N1188" s="338">
        <v>7.1676289066218217</v>
      </c>
      <c r="O1188" s="338"/>
    </row>
    <row r="1189" spans="1:15" hidden="1" outlineLevel="2" x14ac:dyDescent="0.35">
      <c r="A1189" s="425" t="s">
        <v>7972</v>
      </c>
      <c r="B1189" s="327" t="s">
        <v>8002</v>
      </c>
      <c r="C1189" s="426" t="s">
        <v>8003</v>
      </c>
      <c r="D1189" s="427" t="s">
        <v>9369</v>
      </c>
      <c r="E1189" s="426" t="s">
        <v>9343</v>
      </c>
      <c r="F1189" s="338">
        <v>184776.99</v>
      </c>
      <c r="G1189" s="338" t="s">
        <v>3800</v>
      </c>
      <c r="H1189" s="338"/>
      <c r="I1189" s="329">
        <v>44.051422441210988</v>
      </c>
      <c r="J1189" s="329"/>
      <c r="K1189" s="338">
        <v>11.012855610302747</v>
      </c>
      <c r="L1189" s="338">
        <v>11.012855610302747</v>
      </c>
      <c r="M1189" s="338">
        <v>11.012855610302747</v>
      </c>
      <c r="N1189" s="338">
        <v>11.012855610302747</v>
      </c>
      <c r="O1189" s="338"/>
    </row>
    <row r="1190" spans="1:15" hidden="1" outlineLevel="2" x14ac:dyDescent="0.35">
      <c r="A1190" s="425" t="s">
        <v>7972</v>
      </c>
      <c r="B1190" s="327" t="s">
        <v>7999</v>
      </c>
      <c r="C1190" s="426" t="s">
        <v>8000</v>
      </c>
      <c r="D1190" s="427" t="s">
        <v>9369</v>
      </c>
      <c r="E1190" s="426" t="s">
        <v>9343</v>
      </c>
      <c r="F1190" s="338">
        <v>184776.99</v>
      </c>
      <c r="G1190" s="338" t="s">
        <v>3800</v>
      </c>
      <c r="H1190" s="338"/>
      <c r="I1190" s="329">
        <v>44.051422441210988</v>
      </c>
      <c r="J1190" s="329"/>
      <c r="K1190" s="338">
        <v>11.012855610302747</v>
      </c>
      <c r="L1190" s="338">
        <v>11.012855610302747</v>
      </c>
      <c r="M1190" s="338">
        <v>11.012855610302747</v>
      </c>
      <c r="N1190" s="338">
        <v>11.012855610302747</v>
      </c>
      <c r="O1190" s="338"/>
    </row>
    <row r="1191" spans="1:15" hidden="1" outlineLevel="2" x14ac:dyDescent="0.35">
      <c r="A1191" s="425" t="s">
        <v>7972</v>
      </c>
      <c r="B1191" s="327">
        <v>43799</v>
      </c>
      <c r="C1191" s="426">
        <v>155</v>
      </c>
      <c r="D1191" s="427" t="s">
        <v>9370</v>
      </c>
      <c r="E1191" s="426" t="s">
        <v>9345</v>
      </c>
      <c r="F1191" s="338">
        <v>122305</v>
      </c>
      <c r="G1191" s="338" t="s">
        <v>3800</v>
      </c>
      <c r="H1191" s="338"/>
      <c r="I1191" s="329">
        <v>28.670515626487287</v>
      </c>
      <c r="J1191" s="329"/>
      <c r="K1191" s="338">
        <v>7.1676289066218217</v>
      </c>
      <c r="L1191" s="338">
        <v>7.1676289066218217</v>
      </c>
      <c r="M1191" s="338">
        <v>7.1676289066218217</v>
      </c>
      <c r="N1191" s="338">
        <v>7.1676289066218217</v>
      </c>
      <c r="O1191" s="338"/>
    </row>
    <row r="1192" spans="1:15" hidden="1" outlineLevel="2" x14ac:dyDescent="0.35">
      <c r="A1192" s="425" t="s">
        <v>7972</v>
      </c>
      <c r="B1192" s="327">
        <v>43861</v>
      </c>
      <c r="C1192" s="426">
        <v>165</v>
      </c>
      <c r="D1192" s="427" t="s">
        <v>9371</v>
      </c>
      <c r="E1192" s="426" t="s">
        <v>9349</v>
      </c>
      <c r="F1192" s="338">
        <v>122305</v>
      </c>
      <c r="G1192" s="338" t="s">
        <v>3800</v>
      </c>
      <c r="H1192" s="338"/>
      <c r="I1192" s="329">
        <v>28.670515626487287</v>
      </c>
      <c r="J1192" s="329"/>
      <c r="K1192" s="338">
        <v>7.1676289066218217</v>
      </c>
      <c r="L1192" s="338">
        <v>7.1676289066218217</v>
      </c>
      <c r="M1192" s="338">
        <v>7.1676289066218217</v>
      </c>
      <c r="N1192" s="338">
        <v>7.1676289066218217</v>
      </c>
      <c r="O1192" s="338"/>
    </row>
    <row r="1193" spans="1:15" hidden="1" outlineLevel="2" x14ac:dyDescent="0.35">
      <c r="A1193" s="425" t="s">
        <v>7972</v>
      </c>
      <c r="B1193" s="327" t="s">
        <v>8077</v>
      </c>
      <c r="C1193" s="426" t="s">
        <v>9350</v>
      </c>
      <c r="D1193" s="427" t="s">
        <v>9372</v>
      </c>
      <c r="E1193" s="426" t="s">
        <v>9343</v>
      </c>
      <c r="F1193" s="338">
        <v>184776.99</v>
      </c>
      <c r="G1193" s="338" t="s">
        <v>3800</v>
      </c>
      <c r="H1193" s="338"/>
      <c r="I1193" s="329">
        <v>44.051422441210988</v>
      </c>
      <c r="J1193" s="329"/>
      <c r="K1193" s="338">
        <v>11.012855610302747</v>
      </c>
      <c r="L1193" s="338">
        <v>11.012855610302747</v>
      </c>
      <c r="M1193" s="338">
        <v>11.012855610302747</v>
      </c>
      <c r="N1193" s="338">
        <v>11.012855610302747</v>
      </c>
      <c r="O1193" s="338"/>
    </row>
    <row r="1194" spans="1:15" hidden="1" outlineLevel="2" x14ac:dyDescent="0.35">
      <c r="A1194" s="425" t="s">
        <v>7972</v>
      </c>
      <c r="B1194" s="327" t="s">
        <v>8079</v>
      </c>
      <c r="C1194" s="426" t="s">
        <v>8327</v>
      </c>
      <c r="D1194" s="427" t="s">
        <v>9373</v>
      </c>
      <c r="E1194" s="426" t="s">
        <v>9343</v>
      </c>
      <c r="F1194" s="338">
        <v>184776.99</v>
      </c>
      <c r="G1194" s="338" t="s">
        <v>3800</v>
      </c>
      <c r="H1194" s="338"/>
      <c r="I1194" s="329">
        <v>44.051422441210988</v>
      </c>
      <c r="J1194" s="329"/>
      <c r="K1194" s="338">
        <v>11.012855610302747</v>
      </c>
      <c r="L1194" s="338">
        <v>11.012855610302747</v>
      </c>
      <c r="M1194" s="338">
        <v>11.012855610302747</v>
      </c>
      <c r="N1194" s="338">
        <v>11.012855610302747</v>
      </c>
      <c r="O1194" s="338"/>
    </row>
    <row r="1195" spans="1:15" hidden="1" outlineLevel="2" x14ac:dyDescent="0.35">
      <c r="A1195" s="425" t="s">
        <v>7972</v>
      </c>
      <c r="B1195" s="327">
        <v>43830</v>
      </c>
      <c r="C1195" s="426">
        <v>159</v>
      </c>
      <c r="D1195" s="427" t="s">
        <v>9374</v>
      </c>
      <c r="E1195" s="426" t="s">
        <v>9345</v>
      </c>
      <c r="F1195" s="338">
        <v>122305</v>
      </c>
      <c r="G1195" s="338" t="s">
        <v>3800</v>
      </c>
      <c r="H1195" s="338"/>
      <c r="I1195" s="329">
        <v>28.670515626487287</v>
      </c>
      <c r="J1195" s="329"/>
      <c r="K1195" s="338">
        <v>7.1676289066218217</v>
      </c>
      <c r="L1195" s="338">
        <v>7.1676289066218217</v>
      </c>
      <c r="M1195" s="338">
        <v>7.1676289066218217</v>
      </c>
      <c r="N1195" s="338">
        <v>7.1676289066218217</v>
      </c>
      <c r="O1195" s="338"/>
    </row>
    <row r="1196" spans="1:15" hidden="1" outlineLevel="2" x14ac:dyDescent="0.35">
      <c r="A1196" s="425" t="s">
        <v>7972</v>
      </c>
      <c r="B1196" s="327" t="s">
        <v>7987</v>
      </c>
      <c r="C1196" s="426" t="s">
        <v>7988</v>
      </c>
      <c r="D1196" s="427" t="s">
        <v>9375</v>
      </c>
      <c r="E1196" s="426" t="s">
        <v>9343</v>
      </c>
      <c r="F1196" s="338">
        <v>184776.99</v>
      </c>
      <c r="G1196" s="338" t="s">
        <v>3800</v>
      </c>
      <c r="H1196" s="338"/>
      <c r="I1196" s="329">
        <v>44.051422441210988</v>
      </c>
      <c r="J1196" s="329"/>
      <c r="K1196" s="338">
        <v>11.012855610302747</v>
      </c>
      <c r="L1196" s="338">
        <v>11.012855610302747</v>
      </c>
      <c r="M1196" s="338">
        <v>11.012855610302747</v>
      </c>
      <c r="N1196" s="338">
        <v>11.012855610302747</v>
      </c>
      <c r="O1196" s="338"/>
    </row>
    <row r="1197" spans="1:15" hidden="1" outlineLevel="2" x14ac:dyDescent="0.35">
      <c r="A1197" s="425" t="s">
        <v>7972</v>
      </c>
      <c r="B1197" s="327">
        <v>43890</v>
      </c>
      <c r="C1197" s="426">
        <v>172</v>
      </c>
      <c r="D1197" s="427" t="s">
        <v>9376</v>
      </c>
      <c r="E1197" s="426" t="s">
        <v>9356</v>
      </c>
      <c r="F1197" s="338">
        <v>122305</v>
      </c>
      <c r="G1197" s="338" t="s">
        <v>3800</v>
      </c>
      <c r="H1197" s="338"/>
      <c r="I1197" s="329">
        <v>28.670515626487287</v>
      </c>
      <c r="J1197" s="329"/>
      <c r="K1197" s="338">
        <v>7.1676289066218217</v>
      </c>
      <c r="L1197" s="338">
        <v>7.1676289066218217</v>
      </c>
      <c r="M1197" s="338">
        <v>7.1676289066218217</v>
      </c>
      <c r="N1197" s="338">
        <v>7.1676289066218217</v>
      </c>
      <c r="O1197" s="338"/>
    </row>
    <row r="1198" spans="1:15" hidden="1" outlineLevel="2" x14ac:dyDescent="0.35">
      <c r="A1198" s="425" t="s">
        <v>7972</v>
      </c>
      <c r="B1198" s="327" t="s">
        <v>8075</v>
      </c>
      <c r="C1198" s="426" t="s">
        <v>9366</v>
      </c>
      <c r="D1198" s="427" t="s">
        <v>9377</v>
      </c>
      <c r="E1198" s="426" t="s">
        <v>9343</v>
      </c>
      <c r="F1198" s="338">
        <v>184776.99</v>
      </c>
      <c r="G1198" s="338" t="s">
        <v>3800</v>
      </c>
      <c r="H1198" s="338"/>
      <c r="I1198" s="329">
        <v>44.051422441210988</v>
      </c>
      <c r="J1198" s="329"/>
      <c r="K1198" s="338">
        <v>11.012855610302747</v>
      </c>
      <c r="L1198" s="338">
        <v>11.012855610302747</v>
      </c>
      <c r="M1198" s="338">
        <v>11.012855610302747</v>
      </c>
      <c r="N1198" s="338">
        <v>11.012855610302747</v>
      </c>
      <c r="O1198" s="338"/>
    </row>
    <row r="1199" spans="1:15" hidden="1" outlineLevel="2" x14ac:dyDescent="0.35">
      <c r="A1199" s="425" t="s">
        <v>7972</v>
      </c>
      <c r="B1199" s="327" t="s">
        <v>8089</v>
      </c>
      <c r="C1199" s="426" t="s">
        <v>9357</v>
      </c>
      <c r="D1199" s="427" t="s">
        <v>9378</v>
      </c>
      <c r="E1199" s="426" t="s">
        <v>9343</v>
      </c>
      <c r="F1199" s="338">
        <v>184776.99</v>
      </c>
      <c r="G1199" s="338" t="s">
        <v>3800</v>
      </c>
      <c r="H1199" s="338"/>
      <c r="I1199" s="329">
        <v>44.051422441210988</v>
      </c>
      <c r="J1199" s="329"/>
      <c r="K1199" s="338">
        <v>11.012855610302747</v>
      </c>
      <c r="L1199" s="338">
        <v>11.012855610302747</v>
      </c>
      <c r="M1199" s="338">
        <v>11.012855610302747</v>
      </c>
      <c r="N1199" s="338">
        <v>11.012855610302747</v>
      </c>
      <c r="O1199" s="338"/>
    </row>
    <row r="1200" spans="1:15" hidden="1" outlineLevel="2" x14ac:dyDescent="0.35">
      <c r="A1200" s="425" t="s">
        <v>7972</v>
      </c>
      <c r="B1200" s="327" t="s">
        <v>7980</v>
      </c>
      <c r="C1200" s="426" t="s">
        <v>9359</v>
      </c>
      <c r="D1200" s="427" t="s">
        <v>9379</v>
      </c>
      <c r="E1200" s="426" t="s">
        <v>9343</v>
      </c>
      <c r="F1200" s="338">
        <v>184776.99</v>
      </c>
      <c r="G1200" s="338" t="s">
        <v>3800</v>
      </c>
      <c r="H1200" s="338"/>
      <c r="I1200" s="329">
        <v>44.051422441210988</v>
      </c>
      <c r="J1200" s="329"/>
      <c r="K1200" s="338">
        <v>11.012855610302747</v>
      </c>
      <c r="L1200" s="338">
        <v>11.012855610302747</v>
      </c>
      <c r="M1200" s="338">
        <v>11.012855610302747</v>
      </c>
      <c r="N1200" s="338">
        <v>11.012855610302747</v>
      </c>
      <c r="O1200" s="338"/>
    </row>
    <row r="1201" spans="1:15" hidden="1" outlineLevel="2" x14ac:dyDescent="0.35">
      <c r="A1201" s="425" t="s">
        <v>7972</v>
      </c>
      <c r="B1201" s="327" t="s">
        <v>7996</v>
      </c>
      <c r="C1201" s="426" t="s">
        <v>7997</v>
      </c>
      <c r="D1201" s="427" t="s">
        <v>9380</v>
      </c>
      <c r="E1201" s="426" t="s">
        <v>9343</v>
      </c>
      <c r="F1201" s="338">
        <v>184776.99</v>
      </c>
      <c r="G1201" s="338" t="s">
        <v>3800</v>
      </c>
      <c r="H1201" s="338"/>
      <c r="I1201" s="329">
        <v>44.051422441210988</v>
      </c>
      <c r="J1201" s="329"/>
      <c r="K1201" s="338">
        <v>11.012855610302747</v>
      </c>
      <c r="L1201" s="338">
        <v>11.012855610302747</v>
      </c>
      <c r="M1201" s="338">
        <v>11.012855610302747</v>
      </c>
      <c r="N1201" s="338">
        <v>11.012855610302747</v>
      </c>
      <c r="O1201" s="338"/>
    </row>
    <row r="1202" spans="1:15" hidden="1" outlineLevel="2" x14ac:dyDescent="0.35">
      <c r="A1202" s="425" t="s">
        <v>7972</v>
      </c>
      <c r="B1202" s="327" t="s">
        <v>7993</v>
      </c>
      <c r="C1202" s="426" t="s">
        <v>7994</v>
      </c>
      <c r="D1202" s="427" t="s">
        <v>9381</v>
      </c>
      <c r="E1202" s="426" t="s">
        <v>9343</v>
      </c>
      <c r="F1202" s="338">
        <v>184776.99</v>
      </c>
      <c r="G1202" s="338" t="s">
        <v>3800</v>
      </c>
      <c r="H1202" s="338"/>
      <c r="I1202" s="329">
        <v>44.051422441210988</v>
      </c>
      <c r="J1202" s="329"/>
      <c r="K1202" s="338">
        <v>11.012855610302747</v>
      </c>
      <c r="L1202" s="338">
        <v>11.012855610302747</v>
      </c>
      <c r="M1202" s="338">
        <v>11.012855610302747</v>
      </c>
      <c r="N1202" s="338">
        <v>11.012855610302747</v>
      </c>
      <c r="O1202" s="338"/>
    </row>
    <row r="1203" spans="1:15" hidden="1" outlineLevel="2" x14ac:dyDescent="0.35">
      <c r="A1203" s="425" t="s">
        <v>7972</v>
      </c>
      <c r="B1203" s="327" t="s">
        <v>7990</v>
      </c>
      <c r="C1203" s="426" t="s">
        <v>7991</v>
      </c>
      <c r="D1203" s="427" t="s">
        <v>9382</v>
      </c>
      <c r="E1203" s="426" t="s">
        <v>9343</v>
      </c>
      <c r="F1203" s="338">
        <v>184776.99</v>
      </c>
      <c r="G1203" s="338" t="s">
        <v>3800</v>
      </c>
      <c r="H1203" s="338"/>
      <c r="I1203" s="329">
        <v>44.051422441210988</v>
      </c>
      <c r="J1203" s="329"/>
      <c r="K1203" s="338">
        <v>11.012855610302747</v>
      </c>
      <c r="L1203" s="338">
        <v>11.012855610302747</v>
      </c>
      <c r="M1203" s="338">
        <v>11.012855610302747</v>
      </c>
      <c r="N1203" s="338">
        <v>11.012855610302747</v>
      </c>
      <c r="O1203" s="338"/>
    </row>
    <row r="1204" spans="1:15" hidden="1" outlineLevel="2" x14ac:dyDescent="0.35">
      <c r="A1204" s="425" t="s">
        <v>7972</v>
      </c>
      <c r="B1204" s="327" t="s">
        <v>7984</v>
      </c>
      <c r="C1204" s="426" t="s">
        <v>7985</v>
      </c>
      <c r="D1204" s="427" t="s">
        <v>9383</v>
      </c>
      <c r="E1204" s="426" t="s">
        <v>9343</v>
      </c>
      <c r="F1204" s="338">
        <v>184776.99</v>
      </c>
      <c r="G1204" s="338" t="s">
        <v>3800</v>
      </c>
      <c r="H1204" s="338"/>
      <c r="I1204" s="329">
        <v>44.051422441210988</v>
      </c>
      <c r="J1204" s="329"/>
      <c r="K1204" s="338">
        <v>11.012855610302747</v>
      </c>
      <c r="L1204" s="338">
        <v>11.012855610302747</v>
      </c>
      <c r="M1204" s="338">
        <v>11.012855610302747</v>
      </c>
      <c r="N1204" s="338">
        <v>11.012855610302747</v>
      </c>
      <c r="O1204" s="338"/>
    </row>
    <row r="1205" spans="1:15" hidden="1" outlineLevel="2" x14ac:dyDescent="0.35">
      <c r="A1205" s="425" t="s">
        <v>7972</v>
      </c>
      <c r="B1205" s="327" t="s">
        <v>8005</v>
      </c>
      <c r="C1205" s="426" t="s">
        <v>8006</v>
      </c>
      <c r="D1205" s="427" t="s">
        <v>9384</v>
      </c>
      <c r="E1205" s="426" t="s">
        <v>9343</v>
      </c>
      <c r="F1205" s="338">
        <v>184776.99</v>
      </c>
      <c r="G1205" s="338" t="s">
        <v>3800</v>
      </c>
      <c r="H1205" s="338"/>
      <c r="I1205" s="329">
        <v>44.051422441210988</v>
      </c>
      <c r="J1205" s="329"/>
      <c r="K1205" s="338">
        <v>11.012855610302747</v>
      </c>
      <c r="L1205" s="338">
        <v>11.012855610302747</v>
      </c>
      <c r="M1205" s="338">
        <v>11.012855610302747</v>
      </c>
      <c r="N1205" s="338">
        <v>11.012855610302747</v>
      </c>
      <c r="O1205" s="338"/>
    </row>
    <row r="1206" spans="1:15" hidden="1" outlineLevel="2" x14ac:dyDescent="0.35">
      <c r="A1206" s="425" t="s">
        <v>7972</v>
      </c>
      <c r="B1206" s="327" t="s">
        <v>8947</v>
      </c>
      <c r="C1206" s="426" t="s">
        <v>9385</v>
      </c>
      <c r="D1206" s="427" t="s">
        <v>9386</v>
      </c>
      <c r="E1206" s="426" t="s">
        <v>8949</v>
      </c>
      <c r="F1206" s="338">
        <v>1012690</v>
      </c>
      <c r="G1206" s="338" t="s">
        <v>3800</v>
      </c>
      <c r="H1206" s="338"/>
      <c r="I1206" s="329">
        <v>241.42851873488124</v>
      </c>
      <c r="J1206" s="329"/>
      <c r="K1206" s="338">
        <v>60.357129683720309</v>
      </c>
      <c r="L1206" s="338">
        <v>60.357129683720309</v>
      </c>
      <c r="M1206" s="338">
        <v>60.357129683720309</v>
      </c>
      <c r="N1206" s="338">
        <v>60.357129683720309</v>
      </c>
      <c r="O1206" s="338"/>
    </row>
    <row r="1207" spans="1:15" hidden="1" outlineLevel="2" x14ac:dyDescent="0.35">
      <c r="A1207" s="425" t="s">
        <v>7972</v>
      </c>
      <c r="B1207" s="327">
        <v>43769</v>
      </c>
      <c r="C1207" s="426">
        <v>152</v>
      </c>
      <c r="D1207" s="427" t="s">
        <v>9387</v>
      </c>
      <c r="E1207" s="426" t="s">
        <v>9345</v>
      </c>
      <c r="F1207" s="338">
        <v>457683</v>
      </c>
      <c r="G1207" s="338" t="s">
        <v>3800</v>
      </c>
      <c r="H1207" s="338"/>
      <c r="I1207" s="329">
        <v>107.28921633193721</v>
      </c>
      <c r="J1207" s="329"/>
      <c r="K1207" s="338">
        <v>26.822304082984303</v>
      </c>
      <c r="L1207" s="338">
        <v>26.822304082984303</v>
      </c>
      <c r="M1207" s="338">
        <v>26.822304082984303</v>
      </c>
      <c r="N1207" s="338">
        <v>26.822304082984303</v>
      </c>
      <c r="O1207" s="338"/>
    </row>
    <row r="1208" spans="1:15" hidden="1" outlineLevel="2" x14ac:dyDescent="0.35">
      <c r="A1208" s="425" t="s">
        <v>7972</v>
      </c>
      <c r="B1208" s="327" t="s">
        <v>8002</v>
      </c>
      <c r="C1208" s="426" t="s">
        <v>8003</v>
      </c>
      <c r="D1208" s="427" t="s">
        <v>9388</v>
      </c>
      <c r="E1208" s="426" t="s">
        <v>9343</v>
      </c>
      <c r="F1208" s="338">
        <v>665923.30000000005</v>
      </c>
      <c r="G1208" s="338" t="s">
        <v>3800</v>
      </c>
      <c r="H1208" s="338"/>
      <c r="I1208" s="329">
        <v>158.75823392157909</v>
      </c>
      <c r="J1208" s="329"/>
      <c r="K1208" s="338">
        <v>39.689558480394773</v>
      </c>
      <c r="L1208" s="338">
        <v>39.689558480394773</v>
      </c>
      <c r="M1208" s="338">
        <v>39.689558480394773</v>
      </c>
      <c r="N1208" s="338">
        <v>39.689558480394773</v>
      </c>
      <c r="O1208" s="338"/>
    </row>
    <row r="1209" spans="1:15" hidden="1" outlineLevel="2" x14ac:dyDescent="0.35">
      <c r="A1209" s="425" t="s">
        <v>7972</v>
      </c>
      <c r="B1209" s="327" t="s">
        <v>7999</v>
      </c>
      <c r="C1209" s="426" t="s">
        <v>8000</v>
      </c>
      <c r="D1209" s="427" t="s">
        <v>9388</v>
      </c>
      <c r="E1209" s="426" t="s">
        <v>9343</v>
      </c>
      <c r="F1209" s="338">
        <v>665923.30000000005</v>
      </c>
      <c r="G1209" s="338" t="s">
        <v>3800</v>
      </c>
      <c r="H1209" s="338"/>
      <c r="I1209" s="329">
        <v>158.75823392157909</v>
      </c>
      <c r="J1209" s="329"/>
      <c r="K1209" s="338">
        <v>39.689558480394773</v>
      </c>
      <c r="L1209" s="338">
        <v>39.689558480394773</v>
      </c>
      <c r="M1209" s="338">
        <v>39.689558480394773</v>
      </c>
      <c r="N1209" s="338">
        <v>39.689558480394773</v>
      </c>
      <c r="O1209" s="338"/>
    </row>
    <row r="1210" spans="1:15" hidden="1" outlineLevel="2" x14ac:dyDescent="0.35">
      <c r="A1210" s="425" t="s">
        <v>7972</v>
      </c>
      <c r="B1210" s="327">
        <v>43799</v>
      </c>
      <c r="C1210" s="426">
        <v>155</v>
      </c>
      <c r="D1210" s="427" t="s">
        <v>9389</v>
      </c>
      <c r="E1210" s="426" t="s">
        <v>9345</v>
      </c>
      <c r="F1210" s="338">
        <v>457683</v>
      </c>
      <c r="G1210" s="338" t="s">
        <v>3800</v>
      </c>
      <c r="H1210" s="338"/>
      <c r="I1210" s="329">
        <v>107.28921633193721</v>
      </c>
      <c r="J1210" s="329"/>
      <c r="K1210" s="338">
        <v>26.822304082984303</v>
      </c>
      <c r="L1210" s="338">
        <v>26.822304082984303</v>
      </c>
      <c r="M1210" s="338">
        <v>26.822304082984303</v>
      </c>
      <c r="N1210" s="338">
        <v>26.822304082984303</v>
      </c>
      <c r="O1210" s="338"/>
    </row>
    <row r="1211" spans="1:15" hidden="1" outlineLevel="2" x14ac:dyDescent="0.35">
      <c r="A1211" s="425" t="s">
        <v>7972</v>
      </c>
      <c r="B1211" s="327">
        <v>43861</v>
      </c>
      <c r="C1211" s="426">
        <v>165</v>
      </c>
      <c r="D1211" s="427" t="s">
        <v>9390</v>
      </c>
      <c r="E1211" s="426" t="s">
        <v>9349</v>
      </c>
      <c r="F1211" s="338">
        <v>457683</v>
      </c>
      <c r="G1211" s="338" t="s">
        <v>3800</v>
      </c>
      <c r="H1211" s="338"/>
      <c r="I1211" s="329">
        <v>107.28921633193721</v>
      </c>
      <c r="J1211" s="329"/>
      <c r="K1211" s="338">
        <v>26.822304082984303</v>
      </c>
      <c r="L1211" s="338">
        <v>26.822304082984303</v>
      </c>
      <c r="M1211" s="338">
        <v>26.822304082984303</v>
      </c>
      <c r="N1211" s="338">
        <v>26.822304082984303</v>
      </c>
      <c r="O1211" s="338"/>
    </row>
    <row r="1212" spans="1:15" hidden="1" outlineLevel="2" x14ac:dyDescent="0.35">
      <c r="A1212" s="425" t="s">
        <v>7972</v>
      </c>
      <c r="B1212" s="327" t="s">
        <v>8077</v>
      </c>
      <c r="C1212" s="426" t="s">
        <v>9350</v>
      </c>
      <c r="D1212" s="427" t="s">
        <v>9391</v>
      </c>
      <c r="E1212" s="426" t="s">
        <v>9343</v>
      </c>
      <c r="F1212" s="338">
        <v>665923.30000000005</v>
      </c>
      <c r="G1212" s="338" t="s">
        <v>3800</v>
      </c>
      <c r="H1212" s="338"/>
      <c r="I1212" s="329">
        <v>158.75823392157909</v>
      </c>
      <c r="J1212" s="329"/>
      <c r="K1212" s="338">
        <v>39.689558480394773</v>
      </c>
      <c r="L1212" s="338">
        <v>39.689558480394773</v>
      </c>
      <c r="M1212" s="338">
        <v>39.689558480394773</v>
      </c>
      <c r="N1212" s="338">
        <v>39.689558480394773</v>
      </c>
      <c r="O1212" s="338"/>
    </row>
    <row r="1213" spans="1:15" hidden="1" outlineLevel="2" x14ac:dyDescent="0.35">
      <c r="A1213" s="425" t="s">
        <v>7972</v>
      </c>
      <c r="B1213" s="327" t="s">
        <v>8079</v>
      </c>
      <c r="C1213" s="426" t="s">
        <v>8327</v>
      </c>
      <c r="D1213" s="427" t="s">
        <v>9392</v>
      </c>
      <c r="E1213" s="426" t="s">
        <v>9343</v>
      </c>
      <c r="F1213" s="338">
        <v>665923.30000000005</v>
      </c>
      <c r="G1213" s="338" t="s">
        <v>3800</v>
      </c>
      <c r="H1213" s="338"/>
      <c r="I1213" s="329">
        <v>158.75823392157909</v>
      </c>
      <c r="J1213" s="329"/>
      <c r="K1213" s="338">
        <v>39.689558480394773</v>
      </c>
      <c r="L1213" s="338">
        <v>39.689558480394773</v>
      </c>
      <c r="M1213" s="338">
        <v>39.689558480394773</v>
      </c>
      <c r="N1213" s="338">
        <v>39.689558480394773</v>
      </c>
      <c r="O1213" s="338"/>
    </row>
    <row r="1214" spans="1:15" hidden="1" outlineLevel="2" x14ac:dyDescent="0.35">
      <c r="A1214" s="425" t="s">
        <v>7972</v>
      </c>
      <c r="B1214" s="327">
        <v>43830</v>
      </c>
      <c r="C1214" s="426">
        <v>159</v>
      </c>
      <c r="D1214" s="427" t="s">
        <v>9393</v>
      </c>
      <c r="E1214" s="426" t="s">
        <v>9345</v>
      </c>
      <c r="F1214" s="338">
        <v>457683</v>
      </c>
      <c r="G1214" s="338" t="s">
        <v>3800</v>
      </c>
      <c r="H1214" s="338"/>
      <c r="I1214" s="329">
        <v>107.28921633193721</v>
      </c>
      <c r="J1214" s="329"/>
      <c r="K1214" s="338">
        <v>26.822304082984303</v>
      </c>
      <c r="L1214" s="338">
        <v>26.822304082984303</v>
      </c>
      <c r="M1214" s="338">
        <v>26.822304082984303</v>
      </c>
      <c r="N1214" s="338">
        <v>26.822304082984303</v>
      </c>
      <c r="O1214" s="338"/>
    </row>
    <row r="1215" spans="1:15" hidden="1" outlineLevel="2" x14ac:dyDescent="0.35">
      <c r="A1215" s="425" t="s">
        <v>7972</v>
      </c>
      <c r="B1215" s="327" t="s">
        <v>7987</v>
      </c>
      <c r="C1215" s="426" t="s">
        <v>7988</v>
      </c>
      <c r="D1215" s="427" t="s">
        <v>9394</v>
      </c>
      <c r="E1215" s="426" t="s">
        <v>9343</v>
      </c>
      <c r="F1215" s="338">
        <v>665923.30000000005</v>
      </c>
      <c r="G1215" s="338" t="s">
        <v>3800</v>
      </c>
      <c r="H1215" s="338"/>
      <c r="I1215" s="329">
        <v>158.75823392157909</v>
      </c>
      <c r="J1215" s="329"/>
      <c r="K1215" s="338">
        <v>39.689558480394773</v>
      </c>
      <c r="L1215" s="338">
        <v>39.689558480394773</v>
      </c>
      <c r="M1215" s="338">
        <v>39.689558480394773</v>
      </c>
      <c r="N1215" s="338">
        <v>39.689558480394773</v>
      </c>
      <c r="O1215" s="338"/>
    </row>
    <row r="1216" spans="1:15" hidden="1" outlineLevel="2" x14ac:dyDescent="0.35">
      <c r="A1216" s="425" t="s">
        <v>7972</v>
      </c>
      <c r="B1216" s="327">
        <v>43890</v>
      </c>
      <c r="C1216" s="426">
        <v>172</v>
      </c>
      <c r="D1216" s="427" t="s">
        <v>9395</v>
      </c>
      <c r="E1216" s="426" t="s">
        <v>9356</v>
      </c>
      <c r="F1216" s="338">
        <v>457683</v>
      </c>
      <c r="G1216" s="338" t="s">
        <v>3800</v>
      </c>
      <c r="H1216" s="338"/>
      <c r="I1216" s="329">
        <v>107.28921633193721</v>
      </c>
      <c r="J1216" s="329"/>
      <c r="K1216" s="338">
        <v>26.822304082984303</v>
      </c>
      <c r="L1216" s="338">
        <v>26.822304082984303</v>
      </c>
      <c r="M1216" s="338">
        <v>26.822304082984303</v>
      </c>
      <c r="N1216" s="338">
        <v>26.822304082984303</v>
      </c>
      <c r="O1216" s="338"/>
    </row>
    <row r="1217" spans="1:15" hidden="1" outlineLevel="2" x14ac:dyDescent="0.35">
      <c r="A1217" s="425" t="s">
        <v>7972</v>
      </c>
      <c r="B1217" s="327" t="s">
        <v>8075</v>
      </c>
      <c r="C1217" s="426" t="s">
        <v>9366</v>
      </c>
      <c r="D1217" s="427" t="s">
        <v>9396</v>
      </c>
      <c r="E1217" s="426" t="s">
        <v>9343</v>
      </c>
      <c r="F1217" s="338">
        <v>665923.30000000005</v>
      </c>
      <c r="G1217" s="338" t="s">
        <v>3800</v>
      </c>
      <c r="H1217" s="338"/>
      <c r="I1217" s="329">
        <v>158.75823392157909</v>
      </c>
      <c r="J1217" s="329"/>
      <c r="K1217" s="338">
        <v>39.689558480394773</v>
      </c>
      <c r="L1217" s="338">
        <v>39.689558480394773</v>
      </c>
      <c r="M1217" s="338">
        <v>39.689558480394773</v>
      </c>
      <c r="N1217" s="338">
        <v>39.689558480394773</v>
      </c>
      <c r="O1217" s="338"/>
    </row>
    <row r="1218" spans="1:15" hidden="1" outlineLevel="2" x14ac:dyDescent="0.35">
      <c r="A1218" s="425" t="s">
        <v>7972</v>
      </c>
      <c r="B1218" s="327" t="s">
        <v>8089</v>
      </c>
      <c r="C1218" s="426" t="s">
        <v>9357</v>
      </c>
      <c r="D1218" s="427" t="s">
        <v>9397</v>
      </c>
      <c r="E1218" s="426" t="s">
        <v>9343</v>
      </c>
      <c r="F1218" s="338">
        <v>665923.30000000005</v>
      </c>
      <c r="G1218" s="338" t="s">
        <v>3800</v>
      </c>
      <c r="H1218" s="338"/>
      <c r="I1218" s="329">
        <v>158.75823392157909</v>
      </c>
      <c r="J1218" s="329"/>
      <c r="K1218" s="338">
        <v>39.689558480394773</v>
      </c>
      <c r="L1218" s="338">
        <v>39.689558480394773</v>
      </c>
      <c r="M1218" s="338">
        <v>39.689558480394773</v>
      </c>
      <c r="N1218" s="338">
        <v>39.689558480394773</v>
      </c>
      <c r="O1218" s="338"/>
    </row>
    <row r="1219" spans="1:15" hidden="1" outlineLevel="2" x14ac:dyDescent="0.35">
      <c r="A1219" s="425" t="s">
        <v>7972</v>
      </c>
      <c r="B1219" s="327" t="s">
        <v>7980</v>
      </c>
      <c r="C1219" s="426" t="s">
        <v>9359</v>
      </c>
      <c r="D1219" s="427" t="s">
        <v>9398</v>
      </c>
      <c r="E1219" s="426" t="s">
        <v>9343</v>
      </c>
      <c r="F1219" s="338">
        <v>665923.30000000005</v>
      </c>
      <c r="G1219" s="338" t="s">
        <v>3800</v>
      </c>
      <c r="H1219" s="338"/>
      <c r="I1219" s="329">
        <v>158.75823392157909</v>
      </c>
      <c r="J1219" s="329"/>
      <c r="K1219" s="338">
        <v>39.689558480394773</v>
      </c>
      <c r="L1219" s="338">
        <v>39.689558480394773</v>
      </c>
      <c r="M1219" s="338">
        <v>39.689558480394773</v>
      </c>
      <c r="N1219" s="338">
        <v>39.689558480394773</v>
      </c>
      <c r="O1219" s="338"/>
    </row>
    <row r="1220" spans="1:15" hidden="1" outlineLevel="2" x14ac:dyDescent="0.35">
      <c r="A1220" s="425" t="s">
        <v>7972</v>
      </c>
      <c r="B1220" s="327" t="s">
        <v>7996</v>
      </c>
      <c r="C1220" s="426" t="s">
        <v>7997</v>
      </c>
      <c r="D1220" s="427" t="s">
        <v>9399</v>
      </c>
      <c r="E1220" s="426" t="s">
        <v>9343</v>
      </c>
      <c r="F1220" s="338">
        <v>665923.30000000005</v>
      </c>
      <c r="G1220" s="338" t="s">
        <v>3800</v>
      </c>
      <c r="H1220" s="338"/>
      <c r="I1220" s="329">
        <v>158.75823392157909</v>
      </c>
      <c r="J1220" s="329"/>
      <c r="K1220" s="338">
        <v>39.689558480394773</v>
      </c>
      <c r="L1220" s="338">
        <v>39.689558480394773</v>
      </c>
      <c r="M1220" s="338">
        <v>39.689558480394773</v>
      </c>
      <c r="N1220" s="338">
        <v>39.689558480394773</v>
      </c>
      <c r="O1220" s="338"/>
    </row>
    <row r="1221" spans="1:15" hidden="1" outlineLevel="2" x14ac:dyDescent="0.35">
      <c r="A1221" s="425" t="s">
        <v>7972</v>
      </c>
      <c r="B1221" s="327" t="s">
        <v>7993</v>
      </c>
      <c r="C1221" s="426" t="s">
        <v>7994</v>
      </c>
      <c r="D1221" s="427" t="s">
        <v>9400</v>
      </c>
      <c r="E1221" s="426" t="s">
        <v>9343</v>
      </c>
      <c r="F1221" s="338">
        <v>665923.30000000005</v>
      </c>
      <c r="G1221" s="338" t="s">
        <v>3800</v>
      </c>
      <c r="H1221" s="338"/>
      <c r="I1221" s="329">
        <v>158.75823392157909</v>
      </c>
      <c r="J1221" s="329"/>
      <c r="K1221" s="338">
        <v>39.689558480394773</v>
      </c>
      <c r="L1221" s="338">
        <v>39.689558480394773</v>
      </c>
      <c r="M1221" s="338">
        <v>39.689558480394773</v>
      </c>
      <c r="N1221" s="338">
        <v>39.689558480394773</v>
      </c>
      <c r="O1221" s="338"/>
    </row>
    <row r="1222" spans="1:15" hidden="1" outlineLevel="2" x14ac:dyDescent="0.35">
      <c r="A1222" s="425" t="s">
        <v>7972</v>
      </c>
      <c r="B1222" s="327" t="s">
        <v>7990</v>
      </c>
      <c r="C1222" s="426" t="s">
        <v>7991</v>
      </c>
      <c r="D1222" s="427" t="s">
        <v>9401</v>
      </c>
      <c r="E1222" s="426" t="s">
        <v>9343</v>
      </c>
      <c r="F1222" s="338">
        <v>665923.30000000005</v>
      </c>
      <c r="G1222" s="338" t="s">
        <v>3800</v>
      </c>
      <c r="H1222" s="338"/>
      <c r="I1222" s="329">
        <v>158.75823392157909</v>
      </c>
      <c r="J1222" s="329"/>
      <c r="K1222" s="338">
        <v>39.689558480394773</v>
      </c>
      <c r="L1222" s="338">
        <v>39.689558480394773</v>
      </c>
      <c r="M1222" s="338">
        <v>39.689558480394773</v>
      </c>
      <c r="N1222" s="338">
        <v>39.689558480394773</v>
      </c>
      <c r="O1222" s="338"/>
    </row>
    <row r="1223" spans="1:15" hidden="1" outlineLevel="2" x14ac:dyDescent="0.35">
      <c r="A1223" s="425" t="s">
        <v>7972</v>
      </c>
      <c r="B1223" s="327" t="s">
        <v>7984</v>
      </c>
      <c r="C1223" s="426" t="s">
        <v>7985</v>
      </c>
      <c r="D1223" s="427" t="s">
        <v>9402</v>
      </c>
      <c r="E1223" s="426" t="s">
        <v>9343</v>
      </c>
      <c r="F1223" s="338">
        <v>665923.30000000005</v>
      </c>
      <c r="G1223" s="338" t="s">
        <v>3800</v>
      </c>
      <c r="H1223" s="338"/>
      <c r="I1223" s="329">
        <v>158.75823392157909</v>
      </c>
      <c r="J1223" s="329"/>
      <c r="K1223" s="338">
        <v>39.689558480394773</v>
      </c>
      <c r="L1223" s="338">
        <v>39.689558480394773</v>
      </c>
      <c r="M1223" s="338">
        <v>39.689558480394773</v>
      </c>
      <c r="N1223" s="338">
        <v>39.689558480394773</v>
      </c>
      <c r="O1223" s="338"/>
    </row>
    <row r="1224" spans="1:15" hidden="1" outlineLevel="2" x14ac:dyDescent="0.35">
      <c r="A1224" s="425" t="s">
        <v>7972</v>
      </c>
      <c r="B1224" s="327" t="s">
        <v>8005</v>
      </c>
      <c r="C1224" s="426" t="s">
        <v>8006</v>
      </c>
      <c r="D1224" s="427" t="s">
        <v>9403</v>
      </c>
      <c r="E1224" s="426" t="s">
        <v>9343</v>
      </c>
      <c r="F1224" s="338">
        <v>665923.30000000005</v>
      </c>
      <c r="G1224" s="338" t="s">
        <v>3800</v>
      </c>
      <c r="H1224" s="338"/>
      <c r="I1224" s="329">
        <v>158.75823392157909</v>
      </c>
      <c r="J1224" s="329"/>
      <c r="K1224" s="338">
        <v>39.689558480394773</v>
      </c>
      <c r="L1224" s="338">
        <v>39.689558480394773</v>
      </c>
      <c r="M1224" s="338">
        <v>39.689558480394773</v>
      </c>
      <c r="N1224" s="338">
        <v>39.689558480394773</v>
      </c>
      <c r="O1224" s="338"/>
    </row>
    <row r="1225" spans="1:15" hidden="1" outlineLevel="2" x14ac:dyDescent="0.35">
      <c r="A1225" s="425" t="s">
        <v>7972</v>
      </c>
      <c r="B1225" s="327" t="s">
        <v>7999</v>
      </c>
      <c r="C1225" s="426" t="s">
        <v>8000</v>
      </c>
      <c r="D1225" s="427" t="s">
        <v>8401</v>
      </c>
      <c r="E1225" s="426" t="s">
        <v>9343</v>
      </c>
      <c r="F1225" s="338">
        <v>200000</v>
      </c>
      <c r="G1225" s="338" t="s">
        <v>3800</v>
      </c>
      <c r="H1225" s="338"/>
      <c r="I1225" s="329">
        <v>47.680636470169794</v>
      </c>
      <c r="J1225" s="329"/>
      <c r="K1225" s="338">
        <v>11.920159117542449</v>
      </c>
      <c r="L1225" s="338">
        <v>11.920159117542449</v>
      </c>
      <c r="M1225" s="338">
        <v>11.920159117542449</v>
      </c>
      <c r="N1225" s="338">
        <v>11.920159117542449</v>
      </c>
      <c r="O1225" s="338"/>
    </row>
    <row r="1226" spans="1:15" hidden="1" outlineLevel="2" x14ac:dyDescent="0.35">
      <c r="A1226" s="425" t="s">
        <v>7972</v>
      </c>
      <c r="B1226" s="327">
        <v>44091</v>
      </c>
      <c r="C1226" s="426">
        <v>227</v>
      </c>
      <c r="D1226" s="427" t="s">
        <v>9404</v>
      </c>
      <c r="E1226" s="426" t="s">
        <v>8543</v>
      </c>
      <c r="F1226" s="338">
        <v>477778</v>
      </c>
      <c r="G1226" s="338" t="s">
        <v>3800</v>
      </c>
      <c r="H1226" s="338"/>
      <c r="I1226" s="329">
        <v>111.99984967901429</v>
      </c>
      <c r="J1226" s="329"/>
      <c r="K1226" s="338">
        <v>27.999962419753572</v>
      </c>
      <c r="L1226" s="338">
        <v>27.999962419753572</v>
      </c>
      <c r="M1226" s="338">
        <v>27.999962419753572</v>
      </c>
      <c r="N1226" s="338">
        <v>27.999962419753572</v>
      </c>
      <c r="O1226" s="338"/>
    </row>
    <row r="1227" spans="1:15" hidden="1" outlineLevel="2" x14ac:dyDescent="0.35">
      <c r="A1227" s="425" t="s">
        <v>7972</v>
      </c>
      <c r="B1227" s="327">
        <v>43769</v>
      </c>
      <c r="C1227" s="426">
        <v>152</v>
      </c>
      <c r="D1227" s="427" t="s">
        <v>9405</v>
      </c>
      <c r="E1227" s="426" t="s">
        <v>9345</v>
      </c>
      <c r="F1227" s="338">
        <v>611524</v>
      </c>
      <c r="G1227" s="338" t="s">
        <v>3800</v>
      </c>
      <c r="H1227" s="338"/>
      <c r="I1227" s="329">
        <v>143.35234371425543</v>
      </c>
      <c r="J1227" s="329"/>
      <c r="K1227" s="338">
        <v>35.838085928563856</v>
      </c>
      <c r="L1227" s="338">
        <v>35.838085928563856</v>
      </c>
      <c r="M1227" s="338">
        <v>35.838085928563856</v>
      </c>
      <c r="N1227" s="338">
        <v>35.838085928563856</v>
      </c>
      <c r="O1227" s="338"/>
    </row>
    <row r="1228" spans="1:15" hidden="1" outlineLevel="2" x14ac:dyDescent="0.35">
      <c r="A1228" s="425" t="s">
        <v>7972</v>
      </c>
      <c r="B1228" s="327" t="s">
        <v>8002</v>
      </c>
      <c r="C1228" s="426" t="s">
        <v>8003</v>
      </c>
      <c r="D1228" s="427" t="s">
        <v>9406</v>
      </c>
      <c r="E1228" s="426" t="s">
        <v>9343</v>
      </c>
      <c r="F1228" s="338">
        <v>923884.95</v>
      </c>
      <c r="G1228" s="338" t="s">
        <v>3800</v>
      </c>
      <c r="H1228" s="338"/>
      <c r="I1228" s="329">
        <v>220.25711220605496</v>
      </c>
      <c r="J1228" s="329"/>
      <c r="K1228" s="338">
        <v>55.064278051513739</v>
      </c>
      <c r="L1228" s="338">
        <v>55.064278051513739</v>
      </c>
      <c r="M1228" s="338">
        <v>55.064278051513739</v>
      </c>
      <c r="N1228" s="338">
        <v>55.064278051513739</v>
      </c>
      <c r="O1228" s="338"/>
    </row>
    <row r="1229" spans="1:15" hidden="1" outlineLevel="2" x14ac:dyDescent="0.35">
      <c r="A1229" s="425" t="s">
        <v>7972</v>
      </c>
      <c r="B1229" s="327" t="s">
        <v>7999</v>
      </c>
      <c r="C1229" s="426" t="s">
        <v>8000</v>
      </c>
      <c r="D1229" s="427" t="s">
        <v>9406</v>
      </c>
      <c r="E1229" s="426" t="s">
        <v>9343</v>
      </c>
      <c r="F1229" s="338">
        <v>923884.95</v>
      </c>
      <c r="G1229" s="338" t="s">
        <v>3800</v>
      </c>
      <c r="H1229" s="338"/>
      <c r="I1229" s="329">
        <v>220.25711220605496</v>
      </c>
      <c r="J1229" s="329"/>
      <c r="K1229" s="338">
        <v>55.064278051513739</v>
      </c>
      <c r="L1229" s="338">
        <v>55.064278051513739</v>
      </c>
      <c r="M1229" s="338">
        <v>55.064278051513739</v>
      </c>
      <c r="N1229" s="338">
        <v>55.064278051513739</v>
      </c>
      <c r="O1229" s="338"/>
    </row>
    <row r="1230" spans="1:15" hidden="1" outlineLevel="2" x14ac:dyDescent="0.35">
      <c r="A1230" s="425" t="s">
        <v>7972</v>
      </c>
      <c r="B1230" s="327">
        <v>43799</v>
      </c>
      <c r="C1230" s="426">
        <v>155</v>
      </c>
      <c r="D1230" s="427" t="s">
        <v>9407</v>
      </c>
      <c r="E1230" s="426" t="s">
        <v>9345</v>
      </c>
      <c r="F1230" s="338">
        <v>611524</v>
      </c>
      <c r="G1230" s="338" t="s">
        <v>3800</v>
      </c>
      <c r="H1230" s="338"/>
      <c r="I1230" s="329">
        <v>143.35234371425543</v>
      </c>
      <c r="J1230" s="329"/>
      <c r="K1230" s="338">
        <v>35.838085928563856</v>
      </c>
      <c r="L1230" s="338">
        <v>35.838085928563856</v>
      </c>
      <c r="M1230" s="338">
        <v>35.838085928563856</v>
      </c>
      <c r="N1230" s="338">
        <v>35.838085928563856</v>
      </c>
      <c r="O1230" s="338"/>
    </row>
    <row r="1231" spans="1:15" hidden="1" outlineLevel="2" x14ac:dyDescent="0.35">
      <c r="A1231" s="425" t="s">
        <v>7972</v>
      </c>
      <c r="B1231" s="327">
        <v>43861</v>
      </c>
      <c r="C1231" s="426">
        <v>165</v>
      </c>
      <c r="D1231" s="427" t="s">
        <v>9408</v>
      </c>
      <c r="E1231" s="426" t="s">
        <v>9349</v>
      </c>
      <c r="F1231" s="338">
        <v>611524</v>
      </c>
      <c r="G1231" s="338" t="s">
        <v>3800</v>
      </c>
      <c r="H1231" s="338"/>
      <c r="I1231" s="329">
        <v>143.35234371425543</v>
      </c>
      <c r="J1231" s="329"/>
      <c r="K1231" s="338">
        <v>35.838085928563856</v>
      </c>
      <c r="L1231" s="338">
        <v>35.838085928563856</v>
      </c>
      <c r="M1231" s="338">
        <v>35.838085928563856</v>
      </c>
      <c r="N1231" s="338">
        <v>35.838085928563856</v>
      </c>
      <c r="O1231" s="338"/>
    </row>
    <row r="1232" spans="1:15" hidden="1" outlineLevel="2" x14ac:dyDescent="0.35">
      <c r="A1232" s="425" t="s">
        <v>7972</v>
      </c>
      <c r="B1232" s="327" t="s">
        <v>8079</v>
      </c>
      <c r="C1232" s="426" t="s">
        <v>8327</v>
      </c>
      <c r="D1232" s="427" t="s">
        <v>9409</v>
      </c>
      <c r="E1232" s="426" t="s">
        <v>9343</v>
      </c>
      <c r="F1232" s="338">
        <v>923884.95</v>
      </c>
      <c r="G1232" s="338" t="s">
        <v>3800</v>
      </c>
      <c r="H1232" s="338"/>
      <c r="I1232" s="329">
        <v>220.25711220605496</v>
      </c>
      <c r="J1232" s="329"/>
      <c r="K1232" s="338">
        <v>55.064278051513739</v>
      </c>
      <c r="L1232" s="338">
        <v>55.064278051513739</v>
      </c>
      <c r="M1232" s="338">
        <v>55.064278051513739</v>
      </c>
      <c r="N1232" s="338">
        <v>55.064278051513739</v>
      </c>
      <c r="O1232" s="338"/>
    </row>
    <row r="1233" spans="1:15" hidden="1" outlineLevel="2" x14ac:dyDescent="0.35">
      <c r="A1233" s="425" t="s">
        <v>7972</v>
      </c>
      <c r="B1233" s="327" t="s">
        <v>8077</v>
      </c>
      <c r="C1233" s="426" t="s">
        <v>9350</v>
      </c>
      <c r="D1233" s="427" t="s">
        <v>9409</v>
      </c>
      <c r="E1233" s="426" t="s">
        <v>9343</v>
      </c>
      <c r="F1233" s="338">
        <v>923884.95</v>
      </c>
      <c r="G1233" s="338" t="s">
        <v>3800</v>
      </c>
      <c r="H1233" s="338"/>
      <c r="I1233" s="329">
        <v>220.25711220605496</v>
      </c>
      <c r="J1233" s="329"/>
      <c r="K1233" s="338">
        <v>55.064278051513739</v>
      </c>
      <c r="L1233" s="338">
        <v>55.064278051513739</v>
      </c>
      <c r="M1233" s="338">
        <v>55.064278051513739</v>
      </c>
      <c r="N1233" s="338">
        <v>55.064278051513739</v>
      </c>
      <c r="O1233" s="338"/>
    </row>
    <row r="1234" spans="1:15" hidden="1" outlineLevel="2" x14ac:dyDescent="0.35">
      <c r="A1234" s="425" t="s">
        <v>7972</v>
      </c>
      <c r="B1234" s="327">
        <v>43830</v>
      </c>
      <c r="C1234" s="426">
        <v>159</v>
      </c>
      <c r="D1234" s="427" t="s">
        <v>9410</v>
      </c>
      <c r="E1234" s="426" t="s">
        <v>9345</v>
      </c>
      <c r="F1234" s="338">
        <v>611524</v>
      </c>
      <c r="G1234" s="338" t="s">
        <v>3800</v>
      </c>
      <c r="H1234" s="338"/>
      <c r="I1234" s="329">
        <v>143.35234371425543</v>
      </c>
      <c r="J1234" s="329"/>
      <c r="K1234" s="338">
        <v>35.838085928563856</v>
      </c>
      <c r="L1234" s="338">
        <v>35.838085928563856</v>
      </c>
      <c r="M1234" s="338">
        <v>35.838085928563856</v>
      </c>
      <c r="N1234" s="338">
        <v>35.838085928563856</v>
      </c>
      <c r="O1234" s="338"/>
    </row>
    <row r="1235" spans="1:15" hidden="1" outlineLevel="2" x14ac:dyDescent="0.35">
      <c r="A1235" s="425" t="s">
        <v>7972</v>
      </c>
      <c r="B1235" s="327" t="s">
        <v>7987</v>
      </c>
      <c r="C1235" s="426" t="s">
        <v>7988</v>
      </c>
      <c r="D1235" s="427" t="s">
        <v>9411</v>
      </c>
      <c r="E1235" s="426" t="s">
        <v>9343</v>
      </c>
      <c r="F1235" s="338">
        <v>923884.95</v>
      </c>
      <c r="G1235" s="338" t="s">
        <v>3800</v>
      </c>
      <c r="H1235" s="338"/>
      <c r="I1235" s="329">
        <v>220.25711220605496</v>
      </c>
      <c r="J1235" s="329"/>
      <c r="K1235" s="338">
        <v>55.064278051513739</v>
      </c>
      <c r="L1235" s="338">
        <v>55.064278051513739</v>
      </c>
      <c r="M1235" s="338">
        <v>55.064278051513739</v>
      </c>
      <c r="N1235" s="338">
        <v>55.064278051513739</v>
      </c>
      <c r="O1235" s="338"/>
    </row>
    <row r="1236" spans="1:15" hidden="1" outlineLevel="2" x14ac:dyDescent="0.35">
      <c r="A1236" s="425" t="s">
        <v>7972</v>
      </c>
      <c r="B1236" s="327">
        <v>43890</v>
      </c>
      <c r="C1236" s="426">
        <v>172</v>
      </c>
      <c r="D1236" s="427" t="s">
        <v>9412</v>
      </c>
      <c r="E1236" s="426" t="s">
        <v>9356</v>
      </c>
      <c r="F1236" s="338">
        <v>611524</v>
      </c>
      <c r="G1236" s="338" t="s">
        <v>3800</v>
      </c>
      <c r="H1236" s="338"/>
      <c r="I1236" s="329">
        <v>143.35234371425543</v>
      </c>
      <c r="J1236" s="329"/>
      <c r="K1236" s="338">
        <v>35.838085928563856</v>
      </c>
      <c r="L1236" s="338">
        <v>35.838085928563856</v>
      </c>
      <c r="M1236" s="338">
        <v>35.838085928563856</v>
      </c>
      <c r="N1236" s="338">
        <v>35.838085928563856</v>
      </c>
      <c r="O1236" s="338"/>
    </row>
    <row r="1237" spans="1:15" hidden="1" outlineLevel="2" x14ac:dyDescent="0.35">
      <c r="A1237" s="425" t="s">
        <v>7972</v>
      </c>
      <c r="B1237" s="327" t="s">
        <v>8075</v>
      </c>
      <c r="C1237" s="426" t="s">
        <v>9366</v>
      </c>
      <c r="D1237" s="427" t="s">
        <v>9413</v>
      </c>
      <c r="E1237" s="426" t="s">
        <v>9343</v>
      </c>
      <c r="F1237" s="338">
        <v>923884.95</v>
      </c>
      <c r="G1237" s="338" t="s">
        <v>3800</v>
      </c>
      <c r="H1237" s="338"/>
      <c r="I1237" s="329">
        <v>220.25711220605496</v>
      </c>
      <c r="J1237" s="329"/>
      <c r="K1237" s="338">
        <v>55.064278051513739</v>
      </c>
      <c r="L1237" s="338">
        <v>55.064278051513739</v>
      </c>
      <c r="M1237" s="338">
        <v>55.064278051513739</v>
      </c>
      <c r="N1237" s="338">
        <v>55.064278051513739</v>
      </c>
      <c r="O1237" s="338"/>
    </row>
    <row r="1238" spans="1:15" hidden="1" outlineLevel="2" x14ac:dyDescent="0.35">
      <c r="A1238" s="425" t="s">
        <v>7972</v>
      </c>
      <c r="B1238" s="327" t="s">
        <v>8089</v>
      </c>
      <c r="C1238" s="426" t="s">
        <v>9357</v>
      </c>
      <c r="D1238" s="427" t="s">
        <v>9414</v>
      </c>
      <c r="E1238" s="426" t="s">
        <v>9343</v>
      </c>
      <c r="F1238" s="338">
        <v>923884.95</v>
      </c>
      <c r="G1238" s="338" t="s">
        <v>3800</v>
      </c>
      <c r="H1238" s="338"/>
      <c r="I1238" s="329">
        <v>220.25711220605496</v>
      </c>
      <c r="J1238" s="329"/>
      <c r="K1238" s="338">
        <v>55.064278051513739</v>
      </c>
      <c r="L1238" s="338">
        <v>55.064278051513739</v>
      </c>
      <c r="M1238" s="338">
        <v>55.064278051513739</v>
      </c>
      <c r="N1238" s="338">
        <v>55.064278051513739</v>
      </c>
      <c r="O1238" s="338"/>
    </row>
    <row r="1239" spans="1:15" hidden="1" outlineLevel="2" x14ac:dyDescent="0.35">
      <c r="A1239" s="425" t="s">
        <v>7972</v>
      </c>
      <c r="B1239" s="327" t="s">
        <v>7980</v>
      </c>
      <c r="C1239" s="426" t="s">
        <v>9359</v>
      </c>
      <c r="D1239" s="427" t="s">
        <v>9415</v>
      </c>
      <c r="E1239" s="426" t="s">
        <v>9343</v>
      </c>
      <c r="F1239" s="338">
        <v>923884.95</v>
      </c>
      <c r="G1239" s="338" t="s">
        <v>3800</v>
      </c>
      <c r="H1239" s="338"/>
      <c r="I1239" s="329">
        <v>220.25711220605496</v>
      </c>
      <c r="J1239" s="329"/>
      <c r="K1239" s="338">
        <v>55.064278051513739</v>
      </c>
      <c r="L1239" s="338">
        <v>55.064278051513739</v>
      </c>
      <c r="M1239" s="338">
        <v>55.064278051513739</v>
      </c>
      <c r="N1239" s="338">
        <v>55.064278051513739</v>
      </c>
      <c r="O1239" s="338"/>
    </row>
    <row r="1240" spans="1:15" hidden="1" outlineLevel="2" x14ac:dyDescent="0.35">
      <c r="A1240" s="425" t="s">
        <v>7972</v>
      </c>
      <c r="B1240" s="327" t="s">
        <v>7996</v>
      </c>
      <c r="C1240" s="426" t="s">
        <v>7997</v>
      </c>
      <c r="D1240" s="427" t="s">
        <v>9416</v>
      </c>
      <c r="E1240" s="426" t="s">
        <v>9343</v>
      </c>
      <c r="F1240" s="338">
        <v>923884.95</v>
      </c>
      <c r="G1240" s="338" t="s">
        <v>3800</v>
      </c>
      <c r="H1240" s="338"/>
      <c r="I1240" s="329">
        <v>220.25711220605496</v>
      </c>
      <c r="J1240" s="329"/>
      <c r="K1240" s="338">
        <v>55.064278051513739</v>
      </c>
      <c r="L1240" s="338">
        <v>55.064278051513739</v>
      </c>
      <c r="M1240" s="338">
        <v>55.064278051513739</v>
      </c>
      <c r="N1240" s="338">
        <v>55.064278051513739</v>
      </c>
      <c r="O1240" s="338"/>
    </row>
    <row r="1241" spans="1:15" hidden="1" outlineLevel="2" x14ac:dyDescent="0.35">
      <c r="A1241" s="425" t="s">
        <v>7972</v>
      </c>
      <c r="B1241" s="327" t="s">
        <v>7993</v>
      </c>
      <c r="C1241" s="426" t="s">
        <v>7994</v>
      </c>
      <c r="D1241" s="427" t="s">
        <v>9417</v>
      </c>
      <c r="E1241" s="426" t="s">
        <v>9343</v>
      </c>
      <c r="F1241" s="338">
        <v>923884.95</v>
      </c>
      <c r="G1241" s="338" t="s">
        <v>3800</v>
      </c>
      <c r="H1241" s="338"/>
      <c r="I1241" s="329">
        <v>220.25711220605496</v>
      </c>
      <c r="J1241" s="329"/>
      <c r="K1241" s="338">
        <v>55.064278051513739</v>
      </c>
      <c r="L1241" s="338">
        <v>55.064278051513739</v>
      </c>
      <c r="M1241" s="338">
        <v>55.064278051513739</v>
      </c>
      <c r="N1241" s="338">
        <v>55.064278051513739</v>
      </c>
      <c r="O1241" s="338"/>
    </row>
    <row r="1242" spans="1:15" hidden="1" outlineLevel="2" x14ac:dyDescent="0.35">
      <c r="A1242" s="425" t="s">
        <v>7972</v>
      </c>
      <c r="B1242" s="327" t="s">
        <v>7990</v>
      </c>
      <c r="C1242" s="426" t="s">
        <v>7991</v>
      </c>
      <c r="D1242" s="427" t="s">
        <v>9418</v>
      </c>
      <c r="E1242" s="426" t="s">
        <v>9343</v>
      </c>
      <c r="F1242" s="338">
        <v>923884.95</v>
      </c>
      <c r="G1242" s="338" t="s">
        <v>3800</v>
      </c>
      <c r="H1242" s="338"/>
      <c r="I1242" s="329">
        <v>220.25711220605496</v>
      </c>
      <c r="J1242" s="329"/>
      <c r="K1242" s="338">
        <v>55.064278051513739</v>
      </c>
      <c r="L1242" s="338">
        <v>55.064278051513739</v>
      </c>
      <c r="M1242" s="338">
        <v>55.064278051513739</v>
      </c>
      <c r="N1242" s="338">
        <v>55.064278051513739</v>
      </c>
      <c r="O1242" s="338"/>
    </row>
    <row r="1243" spans="1:15" hidden="1" outlineLevel="2" x14ac:dyDescent="0.35">
      <c r="A1243" s="425" t="s">
        <v>7972</v>
      </c>
      <c r="B1243" s="327" t="s">
        <v>7984</v>
      </c>
      <c r="C1243" s="426" t="s">
        <v>7985</v>
      </c>
      <c r="D1243" s="427" t="s">
        <v>9419</v>
      </c>
      <c r="E1243" s="426" t="s">
        <v>9343</v>
      </c>
      <c r="F1243" s="338">
        <v>923884.95</v>
      </c>
      <c r="G1243" s="338" t="s">
        <v>3800</v>
      </c>
      <c r="H1243" s="338"/>
      <c r="I1243" s="329">
        <v>220.25711220605496</v>
      </c>
      <c r="J1243" s="329"/>
      <c r="K1243" s="338">
        <v>55.064278051513739</v>
      </c>
      <c r="L1243" s="338">
        <v>55.064278051513739</v>
      </c>
      <c r="M1243" s="338">
        <v>55.064278051513739</v>
      </c>
      <c r="N1243" s="338">
        <v>55.064278051513739</v>
      </c>
      <c r="O1243" s="338"/>
    </row>
    <row r="1244" spans="1:15" hidden="1" outlineLevel="2" x14ac:dyDescent="0.35">
      <c r="A1244" s="425" t="s">
        <v>7972</v>
      </c>
      <c r="B1244" s="327" t="s">
        <v>8005</v>
      </c>
      <c r="C1244" s="426" t="s">
        <v>8006</v>
      </c>
      <c r="D1244" s="427" t="s">
        <v>9420</v>
      </c>
      <c r="E1244" s="426" t="s">
        <v>9343</v>
      </c>
      <c r="F1244" s="338">
        <v>923884.95</v>
      </c>
      <c r="G1244" s="338" t="s">
        <v>3800</v>
      </c>
      <c r="H1244" s="338"/>
      <c r="I1244" s="329">
        <v>220.25711220605496</v>
      </c>
      <c r="J1244" s="329"/>
      <c r="K1244" s="338">
        <v>55.064278051513739</v>
      </c>
      <c r="L1244" s="338">
        <v>55.064278051513739</v>
      </c>
      <c r="M1244" s="338">
        <v>55.064278051513739</v>
      </c>
      <c r="N1244" s="338">
        <v>55.064278051513739</v>
      </c>
      <c r="O1244" s="338"/>
    </row>
    <row r="1245" spans="1:15" hidden="1" outlineLevel="2" x14ac:dyDescent="0.35">
      <c r="A1245" s="425" t="s">
        <v>7972</v>
      </c>
      <c r="B1245" s="327">
        <v>43769</v>
      </c>
      <c r="C1245" s="426">
        <v>152</v>
      </c>
      <c r="D1245" s="427" t="s">
        <v>9421</v>
      </c>
      <c r="E1245" s="426" t="s">
        <v>9345</v>
      </c>
      <c r="F1245" s="338">
        <v>500000</v>
      </c>
      <c r="G1245" s="338" t="s">
        <v>3800</v>
      </c>
      <c r="H1245" s="338"/>
      <c r="I1245" s="329">
        <v>117.20909049706589</v>
      </c>
      <c r="J1245" s="329"/>
      <c r="K1245" s="338">
        <v>29.302272624266472</v>
      </c>
      <c r="L1245" s="338">
        <v>29.302272624266472</v>
      </c>
      <c r="M1245" s="338">
        <v>29.302272624266472</v>
      </c>
      <c r="N1245" s="338">
        <v>29.302272624266472</v>
      </c>
      <c r="O1245" s="338"/>
    </row>
    <row r="1246" spans="1:15" hidden="1" outlineLevel="2" x14ac:dyDescent="0.35">
      <c r="A1246" s="425" t="s">
        <v>7972</v>
      </c>
      <c r="B1246" s="327" t="s">
        <v>8002</v>
      </c>
      <c r="C1246" s="426" t="s">
        <v>8003</v>
      </c>
      <c r="D1246" s="427" t="s">
        <v>9422</v>
      </c>
      <c r="E1246" s="426" t="s">
        <v>9343</v>
      </c>
      <c r="F1246" s="338">
        <v>500000</v>
      </c>
      <c r="G1246" s="338" t="s">
        <v>3800</v>
      </c>
      <c r="H1246" s="338"/>
      <c r="I1246" s="329">
        <v>119.20159117542448</v>
      </c>
      <c r="J1246" s="329"/>
      <c r="K1246" s="338">
        <v>29.800397793856121</v>
      </c>
      <c r="L1246" s="338">
        <v>29.800397793856121</v>
      </c>
      <c r="M1246" s="338">
        <v>29.800397793856121</v>
      </c>
      <c r="N1246" s="338">
        <v>29.800397793856121</v>
      </c>
      <c r="O1246" s="338"/>
    </row>
    <row r="1247" spans="1:15" hidden="1" outlineLevel="2" x14ac:dyDescent="0.35">
      <c r="A1247" s="425" t="s">
        <v>7972</v>
      </c>
      <c r="B1247" s="327" t="s">
        <v>7999</v>
      </c>
      <c r="C1247" s="426" t="s">
        <v>8000</v>
      </c>
      <c r="D1247" s="427" t="s">
        <v>9422</v>
      </c>
      <c r="E1247" s="426" t="s">
        <v>9343</v>
      </c>
      <c r="F1247" s="338">
        <v>500000</v>
      </c>
      <c r="G1247" s="338" t="s">
        <v>3800</v>
      </c>
      <c r="H1247" s="338"/>
      <c r="I1247" s="329">
        <v>119.20159117542448</v>
      </c>
      <c r="J1247" s="329"/>
      <c r="K1247" s="338">
        <v>29.800397793856121</v>
      </c>
      <c r="L1247" s="338">
        <v>29.800397793856121</v>
      </c>
      <c r="M1247" s="338">
        <v>29.800397793856121</v>
      </c>
      <c r="N1247" s="338">
        <v>29.800397793856121</v>
      </c>
      <c r="O1247" s="338"/>
    </row>
    <row r="1248" spans="1:15" hidden="1" outlineLevel="2" x14ac:dyDescent="0.35">
      <c r="A1248" s="425" t="s">
        <v>7972</v>
      </c>
      <c r="B1248" s="327">
        <v>43799</v>
      </c>
      <c r="C1248" s="426">
        <v>156</v>
      </c>
      <c r="D1248" s="427" t="s">
        <v>9423</v>
      </c>
      <c r="E1248" s="426" t="s">
        <v>9345</v>
      </c>
      <c r="F1248" s="338">
        <v>500000</v>
      </c>
      <c r="G1248" s="338" t="s">
        <v>3800</v>
      </c>
      <c r="H1248" s="338"/>
      <c r="I1248" s="329">
        <v>117.20909049706589</v>
      </c>
      <c r="J1248" s="329"/>
      <c r="K1248" s="338">
        <v>29.302272624266472</v>
      </c>
      <c r="L1248" s="338">
        <v>29.302272624266472</v>
      </c>
      <c r="M1248" s="338">
        <v>29.302272624266472</v>
      </c>
      <c r="N1248" s="338">
        <v>29.302272624266472</v>
      </c>
      <c r="O1248" s="338"/>
    </row>
    <row r="1249" spans="1:15" hidden="1" outlineLevel="2" x14ac:dyDescent="0.35">
      <c r="A1249" s="425" t="s">
        <v>7972</v>
      </c>
      <c r="B1249" s="327">
        <v>43861</v>
      </c>
      <c r="C1249" s="426">
        <v>165</v>
      </c>
      <c r="D1249" s="427" t="s">
        <v>9424</v>
      </c>
      <c r="E1249" s="426" t="s">
        <v>9349</v>
      </c>
      <c r="F1249" s="338">
        <v>500000</v>
      </c>
      <c r="G1249" s="338" t="s">
        <v>3800</v>
      </c>
      <c r="H1249" s="338"/>
      <c r="I1249" s="329">
        <v>117.20909049706589</v>
      </c>
      <c r="J1249" s="329"/>
      <c r="K1249" s="338">
        <v>29.302272624266472</v>
      </c>
      <c r="L1249" s="338">
        <v>29.302272624266472</v>
      </c>
      <c r="M1249" s="338">
        <v>29.302272624266472</v>
      </c>
      <c r="N1249" s="338">
        <v>29.302272624266472</v>
      </c>
      <c r="O1249" s="338"/>
    </row>
    <row r="1250" spans="1:15" hidden="1" outlineLevel="2" x14ac:dyDescent="0.35">
      <c r="A1250" s="425" t="s">
        <v>7972</v>
      </c>
      <c r="B1250" s="327" t="s">
        <v>8079</v>
      </c>
      <c r="C1250" s="426" t="s">
        <v>8327</v>
      </c>
      <c r="D1250" s="427" t="s">
        <v>9425</v>
      </c>
      <c r="E1250" s="426" t="s">
        <v>9343</v>
      </c>
      <c r="F1250" s="338">
        <v>500000</v>
      </c>
      <c r="G1250" s="338" t="s">
        <v>3800</v>
      </c>
      <c r="H1250" s="338"/>
      <c r="I1250" s="329">
        <v>119.20159117542448</v>
      </c>
      <c r="J1250" s="329"/>
      <c r="K1250" s="338">
        <v>29.800397793856121</v>
      </c>
      <c r="L1250" s="338">
        <v>29.800397793856121</v>
      </c>
      <c r="M1250" s="338">
        <v>29.800397793856121</v>
      </c>
      <c r="N1250" s="338">
        <v>29.800397793856121</v>
      </c>
      <c r="O1250" s="338"/>
    </row>
    <row r="1251" spans="1:15" hidden="1" outlineLevel="2" x14ac:dyDescent="0.35">
      <c r="A1251" s="425" t="s">
        <v>7972</v>
      </c>
      <c r="B1251" s="327" t="s">
        <v>8077</v>
      </c>
      <c r="C1251" s="426" t="s">
        <v>9350</v>
      </c>
      <c r="D1251" s="427" t="s">
        <v>9425</v>
      </c>
      <c r="E1251" s="426" t="s">
        <v>9343</v>
      </c>
      <c r="F1251" s="338">
        <v>500000</v>
      </c>
      <c r="G1251" s="338" t="s">
        <v>3800</v>
      </c>
      <c r="H1251" s="338"/>
      <c r="I1251" s="329">
        <v>119.20159117542448</v>
      </c>
      <c r="J1251" s="329"/>
      <c r="K1251" s="338">
        <v>29.800397793856121</v>
      </c>
      <c r="L1251" s="338">
        <v>29.800397793856121</v>
      </c>
      <c r="M1251" s="338">
        <v>29.800397793856121</v>
      </c>
      <c r="N1251" s="338">
        <v>29.800397793856121</v>
      </c>
      <c r="O1251" s="338"/>
    </row>
    <row r="1252" spans="1:15" hidden="1" outlineLevel="2" x14ac:dyDescent="0.35">
      <c r="A1252" s="425" t="s">
        <v>7972</v>
      </c>
      <c r="B1252" s="327">
        <v>43830</v>
      </c>
      <c r="C1252" s="426">
        <v>160</v>
      </c>
      <c r="D1252" s="427" t="s">
        <v>9426</v>
      </c>
      <c r="E1252" s="426" t="s">
        <v>9345</v>
      </c>
      <c r="F1252" s="338">
        <v>500000</v>
      </c>
      <c r="G1252" s="338" t="s">
        <v>3800</v>
      </c>
      <c r="H1252" s="338"/>
      <c r="I1252" s="329">
        <v>117.20909049706589</v>
      </c>
      <c r="J1252" s="329"/>
      <c r="K1252" s="338">
        <v>29.302272624266472</v>
      </c>
      <c r="L1252" s="338">
        <v>29.302272624266472</v>
      </c>
      <c r="M1252" s="338">
        <v>29.302272624266472</v>
      </c>
      <c r="N1252" s="338">
        <v>29.302272624266472</v>
      </c>
      <c r="O1252" s="338"/>
    </row>
    <row r="1253" spans="1:15" hidden="1" outlineLevel="2" x14ac:dyDescent="0.35">
      <c r="A1253" s="425" t="s">
        <v>7972</v>
      </c>
      <c r="B1253" s="327" t="s">
        <v>7987</v>
      </c>
      <c r="C1253" s="426" t="s">
        <v>7988</v>
      </c>
      <c r="D1253" s="427" t="s">
        <v>9427</v>
      </c>
      <c r="E1253" s="426" t="s">
        <v>9343</v>
      </c>
      <c r="F1253" s="338">
        <v>500000</v>
      </c>
      <c r="G1253" s="338" t="s">
        <v>3800</v>
      </c>
      <c r="H1253" s="338"/>
      <c r="I1253" s="329">
        <v>119.20159117542448</v>
      </c>
      <c r="J1253" s="329"/>
      <c r="K1253" s="338">
        <v>29.800397793856121</v>
      </c>
      <c r="L1253" s="338">
        <v>29.800397793856121</v>
      </c>
      <c r="M1253" s="338">
        <v>29.800397793856121</v>
      </c>
      <c r="N1253" s="338">
        <v>29.800397793856121</v>
      </c>
      <c r="O1253" s="338"/>
    </row>
    <row r="1254" spans="1:15" hidden="1" outlineLevel="2" x14ac:dyDescent="0.35">
      <c r="A1254" s="425" t="s">
        <v>7972</v>
      </c>
      <c r="B1254" s="327" t="s">
        <v>7990</v>
      </c>
      <c r="C1254" s="426" t="s">
        <v>7991</v>
      </c>
      <c r="D1254" s="427" t="s">
        <v>9428</v>
      </c>
      <c r="E1254" s="426" t="s">
        <v>9343</v>
      </c>
      <c r="F1254" s="338">
        <v>500000</v>
      </c>
      <c r="G1254" s="338" t="s">
        <v>3800</v>
      </c>
      <c r="H1254" s="338"/>
      <c r="I1254" s="329">
        <v>119.20159117542448</v>
      </c>
      <c r="J1254" s="329"/>
      <c r="K1254" s="338">
        <v>29.800397793856121</v>
      </c>
      <c r="L1254" s="338">
        <v>29.800397793856121</v>
      </c>
      <c r="M1254" s="338">
        <v>29.800397793856121</v>
      </c>
      <c r="N1254" s="338">
        <v>29.800397793856121</v>
      </c>
      <c r="O1254" s="338"/>
    </row>
    <row r="1255" spans="1:15" hidden="1" outlineLevel="2" x14ac:dyDescent="0.35">
      <c r="A1255" s="425" t="s">
        <v>7972</v>
      </c>
      <c r="B1255" s="327">
        <v>43890</v>
      </c>
      <c r="C1255" s="426">
        <v>172</v>
      </c>
      <c r="D1255" s="427" t="s">
        <v>9429</v>
      </c>
      <c r="E1255" s="426" t="s">
        <v>9356</v>
      </c>
      <c r="F1255" s="338">
        <v>500000</v>
      </c>
      <c r="G1255" s="338" t="s">
        <v>3800</v>
      </c>
      <c r="H1255" s="338"/>
      <c r="I1255" s="329">
        <v>117.20909049706589</v>
      </c>
      <c r="J1255" s="329"/>
      <c r="K1255" s="338">
        <v>29.302272624266472</v>
      </c>
      <c r="L1255" s="338">
        <v>29.302272624266472</v>
      </c>
      <c r="M1255" s="338">
        <v>29.302272624266472</v>
      </c>
      <c r="N1255" s="338">
        <v>29.302272624266472</v>
      </c>
      <c r="O1255" s="338"/>
    </row>
    <row r="1256" spans="1:15" hidden="1" outlineLevel="2" x14ac:dyDescent="0.35">
      <c r="A1256" s="425" t="s">
        <v>7972</v>
      </c>
      <c r="B1256" s="327" t="s">
        <v>8075</v>
      </c>
      <c r="C1256" s="426" t="s">
        <v>9366</v>
      </c>
      <c r="D1256" s="427" t="s">
        <v>9430</v>
      </c>
      <c r="E1256" s="426" t="s">
        <v>9343</v>
      </c>
      <c r="F1256" s="338">
        <v>500000</v>
      </c>
      <c r="G1256" s="338" t="s">
        <v>3800</v>
      </c>
      <c r="H1256" s="338"/>
      <c r="I1256" s="329">
        <v>119.20159117542448</v>
      </c>
      <c r="J1256" s="329"/>
      <c r="K1256" s="338">
        <v>29.800397793856121</v>
      </c>
      <c r="L1256" s="338">
        <v>29.800397793856121</v>
      </c>
      <c r="M1256" s="338">
        <v>29.800397793856121</v>
      </c>
      <c r="N1256" s="338">
        <v>29.800397793856121</v>
      </c>
      <c r="O1256" s="338"/>
    </row>
    <row r="1257" spans="1:15" hidden="1" outlineLevel="2" x14ac:dyDescent="0.35">
      <c r="A1257" s="425" t="s">
        <v>7972</v>
      </c>
      <c r="B1257" s="327" t="s">
        <v>8089</v>
      </c>
      <c r="C1257" s="426" t="s">
        <v>9357</v>
      </c>
      <c r="D1257" s="427" t="s">
        <v>9431</v>
      </c>
      <c r="E1257" s="426" t="s">
        <v>9343</v>
      </c>
      <c r="F1257" s="338">
        <v>500000</v>
      </c>
      <c r="G1257" s="338" t="s">
        <v>3800</v>
      </c>
      <c r="H1257" s="338"/>
      <c r="I1257" s="329">
        <v>119.20159117542448</v>
      </c>
      <c r="J1257" s="329"/>
      <c r="K1257" s="338">
        <v>29.800397793856121</v>
      </c>
      <c r="L1257" s="338">
        <v>29.800397793856121</v>
      </c>
      <c r="M1257" s="338">
        <v>29.800397793856121</v>
      </c>
      <c r="N1257" s="338">
        <v>29.800397793856121</v>
      </c>
      <c r="O1257" s="338"/>
    </row>
    <row r="1258" spans="1:15" hidden="1" outlineLevel="2" x14ac:dyDescent="0.35">
      <c r="A1258" s="425" t="s">
        <v>7972</v>
      </c>
      <c r="B1258" s="327" t="s">
        <v>7980</v>
      </c>
      <c r="C1258" s="426" t="s">
        <v>9359</v>
      </c>
      <c r="D1258" s="427" t="s">
        <v>9432</v>
      </c>
      <c r="E1258" s="426" t="s">
        <v>9343</v>
      </c>
      <c r="F1258" s="338">
        <v>500000</v>
      </c>
      <c r="G1258" s="338" t="s">
        <v>3800</v>
      </c>
      <c r="H1258" s="338"/>
      <c r="I1258" s="329">
        <v>119.20159117542448</v>
      </c>
      <c r="J1258" s="329"/>
      <c r="K1258" s="338">
        <v>29.800397793856121</v>
      </c>
      <c r="L1258" s="338">
        <v>29.800397793856121</v>
      </c>
      <c r="M1258" s="338">
        <v>29.800397793856121</v>
      </c>
      <c r="N1258" s="338">
        <v>29.800397793856121</v>
      </c>
      <c r="O1258" s="338"/>
    </row>
    <row r="1259" spans="1:15" hidden="1" outlineLevel="2" x14ac:dyDescent="0.35">
      <c r="A1259" s="425" t="s">
        <v>7972</v>
      </c>
      <c r="B1259" s="327" t="s">
        <v>7996</v>
      </c>
      <c r="C1259" s="426" t="s">
        <v>7997</v>
      </c>
      <c r="D1259" s="427" t="s">
        <v>9433</v>
      </c>
      <c r="E1259" s="426" t="s">
        <v>9343</v>
      </c>
      <c r="F1259" s="338">
        <v>500000</v>
      </c>
      <c r="G1259" s="338" t="s">
        <v>3800</v>
      </c>
      <c r="H1259" s="338"/>
      <c r="I1259" s="329">
        <v>119.20159117542448</v>
      </c>
      <c r="J1259" s="329"/>
      <c r="K1259" s="338">
        <v>29.800397793856121</v>
      </c>
      <c r="L1259" s="338">
        <v>29.800397793856121</v>
      </c>
      <c r="M1259" s="338">
        <v>29.800397793856121</v>
      </c>
      <c r="N1259" s="338">
        <v>29.800397793856121</v>
      </c>
      <c r="O1259" s="338"/>
    </row>
    <row r="1260" spans="1:15" hidden="1" outlineLevel="2" x14ac:dyDescent="0.35">
      <c r="A1260" s="425" t="s">
        <v>7972</v>
      </c>
      <c r="B1260" s="327" t="s">
        <v>7993</v>
      </c>
      <c r="C1260" s="426" t="s">
        <v>7994</v>
      </c>
      <c r="D1260" s="427" t="s">
        <v>9434</v>
      </c>
      <c r="E1260" s="426" t="s">
        <v>9343</v>
      </c>
      <c r="F1260" s="338">
        <v>500000</v>
      </c>
      <c r="G1260" s="338" t="s">
        <v>3800</v>
      </c>
      <c r="H1260" s="338"/>
      <c r="I1260" s="329">
        <v>119.20159117542448</v>
      </c>
      <c r="J1260" s="329"/>
      <c r="K1260" s="338">
        <v>29.800397793856121</v>
      </c>
      <c r="L1260" s="338">
        <v>29.800397793856121</v>
      </c>
      <c r="M1260" s="338">
        <v>29.800397793856121</v>
      </c>
      <c r="N1260" s="338">
        <v>29.800397793856121</v>
      </c>
      <c r="O1260" s="338"/>
    </row>
    <row r="1261" spans="1:15" hidden="1" outlineLevel="2" x14ac:dyDescent="0.35">
      <c r="A1261" s="425" t="s">
        <v>7972</v>
      </c>
      <c r="B1261" s="327" t="s">
        <v>7984</v>
      </c>
      <c r="C1261" s="426" t="s">
        <v>7985</v>
      </c>
      <c r="D1261" s="427" t="s">
        <v>9435</v>
      </c>
      <c r="E1261" s="426" t="s">
        <v>9343</v>
      </c>
      <c r="F1261" s="338">
        <v>500000</v>
      </c>
      <c r="G1261" s="338" t="s">
        <v>3800</v>
      </c>
      <c r="H1261" s="338"/>
      <c r="I1261" s="329">
        <v>119.20159117542448</v>
      </c>
      <c r="J1261" s="329"/>
      <c r="K1261" s="338">
        <v>29.800397793856121</v>
      </c>
      <c r="L1261" s="338">
        <v>29.800397793856121</v>
      </c>
      <c r="M1261" s="338">
        <v>29.800397793856121</v>
      </c>
      <c r="N1261" s="338">
        <v>29.800397793856121</v>
      </c>
      <c r="O1261" s="338"/>
    </row>
    <row r="1262" spans="1:15" hidden="1" outlineLevel="2" x14ac:dyDescent="0.35">
      <c r="A1262" s="425" t="s">
        <v>7972</v>
      </c>
      <c r="B1262" s="327" t="s">
        <v>8005</v>
      </c>
      <c r="C1262" s="426" t="s">
        <v>8006</v>
      </c>
      <c r="D1262" s="427" t="s">
        <v>9436</v>
      </c>
      <c r="E1262" s="426" t="s">
        <v>9343</v>
      </c>
      <c r="F1262" s="338">
        <v>500000</v>
      </c>
      <c r="G1262" s="338" t="s">
        <v>3800</v>
      </c>
      <c r="H1262" s="338"/>
      <c r="I1262" s="329">
        <v>119.20159117542448</v>
      </c>
      <c r="J1262" s="329"/>
      <c r="K1262" s="338">
        <v>29.800397793856121</v>
      </c>
      <c r="L1262" s="338">
        <v>29.800397793856121</v>
      </c>
      <c r="M1262" s="338">
        <v>29.800397793856121</v>
      </c>
      <c r="N1262" s="338">
        <v>29.800397793856121</v>
      </c>
      <c r="O1262" s="338"/>
    </row>
    <row r="1263" spans="1:15" outlineLevel="1" collapsed="1" x14ac:dyDescent="0.35">
      <c r="A1263" s="432" t="s">
        <v>9437</v>
      </c>
      <c r="B1263" s="327"/>
      <c r="C1263" s="426"/>
      <c r="D1263" s="427"/>
      <c r="E1263" s="426"/>
      <c r="F1263" s="338"/>
      <c r="G1263" s="338"/>
      <c r="H1263" s="338"/>
      <c r="I1263" s="329">
        <f t="shared" ref="I1263:O1263" si="42">SUBTOTAL(9,I1169:I1262)</f>
        <v>33682.007832351446</v>
      </c>
      <c r="J1263" s="329"/>
      <c r="K1263" s="338">
        <f t="shared" si="42"/>
        <v>8420.5019580878616</v>
      </c>
      <c r="L1263" s="338">
        <f t="shared" si="42"/>
        <v>8420.5019580878616</v>
      </c>
      <c r="M1263" s="338">
        <f t="shared" si="42"/>
        <v>8420.5019580878616</v>
      </c>
      <c r="N1263" s="338">
        <f t="shared" si="42"/>
        <v>8420.5019580878616</v>
      </c>
      <c r="O1263" s="338">
        <f t="shared" si="42"/>
        <v>0</v>
      </c>
    </row>
    <row r="1264" spans="1:15" hidden="1" outlineLevel="2" x14ac:dyDescent="0.35">
      <c r="A1264" s="425" t="s">
        <v>7875</v>
      </c>
      <c r="B1264" s="327">
        <v>44427</v>
      </c>
      <c r="C1264" s="426" t="s">
        <v>9438</v>
      </c>
      <c r="D1264" s="427" t="s">
        <v>9439</v>
      </c>
      <c r="E1264" s="426" t="s">
        <v>9440</v>
      </c>
      <c r="F1264" s="338">
        <v>12052678.6</v>
      </c>
      <c r="G1264" s="338" t="s">
        <v>3800</v>
      </c>
      <c r="H1264" s="338"/>
      <c r="I1264" s="329">
        <v>2873.3969340919748</v>
      </c>
      <c r="J1264" s="329"/>
      <c r="K1264" s="338">
        <v>718.3492335229937</v>
      </c>
      <c r="L1264" s="338">
        <v>718.3492335229937</v>
      </c>
      <c r="M1264" s="338">
        <v>718.3492335229937</v>
      </c>
      <c r="N1264" s="338">
        <v>718.3492335229937</v>
      </c>
      <c r="O1264" s="338"/>
    </row>
    <row r="1265" spans="1:15" hidden="1" outlineLevel="2" x14ac:dyDescent="0.35">
      <c r="A1265" s="425" t="s">
        <v>7875</v>
      </c>
      <c r="B1265" s="327">
        <v>44470</v>
      </c>
      <c r="C1265" s="426" t="s">
        <v>9441</v>
      </c>
      <c r="D1265" s="427" t="s">
        <v>9442</v>
      </c>
      <c r="E1265" s="426" t="s">
        <v>9443</v>
      </c>
      <c r="F1265" s="338">
        <v>150000</v>
      </c>
      <c r="G1265" s="338" t="s">
        <v>3800</v>
      </c>
      <c r="H1265" s="338"/>
      <c r="I1265" s="329">
        <v>35.760477352627341</v>
      </c>
      <c r="J1265" s="329"/>
      <c r="K1265" s="338">
        <v>8.9401193381568351</v>
      </c>
      <c r="L1265" s="338">
        <v>8.9401193381568351</v>
      </c>
      <c r="M1265" s="338">
        <v>8.9401193381568351</v>
      </c>
      <c r="N1265" s="338">
        <v>8.9401193381568351</v>
      </c>
      <c r="O1265" s="338"/>
    </row>
    <row r="1266" spans="1:15" hidden="1" outlineLevel="2" x14ac:dyDescent="0.35">
      <c r="A1266" s="425" t="s">
        <v>7875</v>
      </c>
      <c r="B1266" s="327">
        <v>44470</v>
      </c>
      <c r="C1266" s="426" t="s">
        <v>9444</v>
      </c>
      <c r="D1266" s="427" t="s">
        <v>9442</v>
      </c>
      <c r="E1266" s="426" t="s">
        <v>8122</v>
      </c>
      <c r="F1266" s="338">
        <v>150000</v>
      </c>
      <c r="G1266" s="338" t="s">
        <v>3800</v>
      </c>
      <c r="H1266" s="338"/>
      <c r="I1266" s="329">
        <v>35.760477352627341</v>
      </c>
      <c r="J1266" s="329"/>
      <c r="K1266" s="338">
        <v>8.9401193381568351</v>
      </c>
      <c r="L1266" s="338">
        <v>8.9401193381568351</v>
      </c>
      <c r="M1266" s="338">
        <v>8.9401193381568351</v>
      </c>
      <c r="N1266" s="338">
        <v>8.9401193381568351</v>
      </c>
      <c r="O1266" s="338"/>
    </row>
    <row r="1267" spans="1:15" hidden="1" outlineLevel="2" x14ac:dyDescent="0.35">
      <c r="A1267" s="425" t="s">
        <v>7875</v>
      </c>
      <c r="B1267" s="327">
        <v>44455</v>
      </c>
      <c r="C1267" s="426" t="s">
        <v>9445</v>
      </c>
      <c r="D1267" s="427" t="s">
        <v>9446</v>
      </c>
      <c r="E1267" s="426" t="s">
        <v>9447</v>
      </c>
      <c r="F1267" s="338">
        <v>5696320</v>
      </c>
      <c r="G1267" s="338" t="s">
        <v>3800</v>
      </c>
      <c r="H1267" s="338"/>
      <c r="I1267" s="329">
        <v>1358.0208156887879</v>
      </c>
      <c r="J1267" s="329"/>
      <c r="K1267" s="338">
        <v>339.50520392219698</v>
      </c>
      <c r="L1267" s="338">
        <v>339.50520392219698</v>
      </c>
      <c r="M1267" s="338">
        <v>339.50520392219698</v>
      </c>
      <c r="N1267" s="338">
        <v>339.50520392219698</v>
      </c>
      <c r="O1267" s="338"/>
    </row>
    <row r="1268" spans="1:15" hidden="1" outlineLevel="2" x14ac:dyDescent="0.35">
      <c r="A1268" s="425" t="s">
        <v>7875</v>
      </c>
      <c r="B1268" s="327">
        <v>44455</v>
      </c>
      <c r="C1268" s="426" t="s">
        <v>9445</v>
      </c>
      <c r="D1268" s="427" t="s">
        <v>9448</v>
      </c>
      <c r="E1268" s="426" t="s">
        <v>9449</v>
      </c>
      <c r="F1268" s="338">
        <v>305160</v>
      </c>
      <c r="G1268" s="338" t="s">
        <v>3800</v>
      </c>
      <c r="H1268" s="338"/>
      <c r="I1268" s="329">
        <v>72.75111512618507</v>
      </c>
      <c r="J1268" s="329"/>
      <c r="K1268" s="338">
        <v>18.187778781546267</v>
      </c>
      <c r="L1268" s="338">
        <v>18.187778781546267</v>
      </c>
      <c r="M1268" s="338">
        <v>18.187778781546267</v>
      </c>
      <c r="N1268" s="338">
        <v>18.187778781546267</v>
      </c>
      <c r="O1268" s="338"/>
    </row>
    <row r="1269" spans="1:15" outlineLevel="1" collapsed="1" x14ac:dyDescent="0.35">
      <c r="A1269" s="432" t="s">
        <v>9450</v>
      </c>
      <c r="B1269" s="327"/>
      <c r="C1269" s="426"/>
      <c r="D1269" s="427"/>
      <c r="E1269" s="426"/>
      <c r="F1269" s="338"/>
      <c r="G1269" s="338"/>
      <c r="H1269" s="338"/>
      <c r="I1269" s="329">
        <f t="shared" ref="I1269:O1269" si="43">SUBTOTAL(9,I1264:I1268)</f>
        <v>4375.6898196122029</v>
      </c>
      <c r="J1269" s="329"/>
      <c r="K1269" s="338">
        <f t="shared" si="43"/>
        <v>1093.9224549030507</v>
      </c>
      <c r="L1269" s="338">
        <f t="shared" si="43"/>
        <v>1093.9224549030507</v>
      </c>
      <c r="M1269" s="338">
        <f t="shared" si="43"/>
        <v>1093.9224549030507</v>
      </c>
      <c r="N1269" s="338">
        <f t="shared" si="43"/>
        <v>1093.9224549030507</v>
      </c>
      <c r="O1269" s="338">
        <f t="shared" si="43"/>
        <v>0</v>
      </c>
    </row>
    <row r="1270" spans="1:15" hidden="1" outlineLevel="2" x14ac:dyDescent="0.35">
      <c r="A1270" s="425" t="s">
        <v>6461</v>
      </c>
      <c r="B1270" s="327">
        <v>44562</v>
      </c>
      <c r="C1270" s="426" t="s">
        <v>9451</v>
      </c>
      <c r="D1270" s="427" t="s">
        <v>9452</v>
      </c>
      <c r="E1270" s="426" t="s">
        <v>9453</v>
      </c>
      <c r="F1270" s="338">
        <v>3619000</v>
      </c>
      <c r="G1270" s="338" t="s">
        <v>3800</v>
      </c>
      <c r="H1270" s="338"/>
      <c r="I1270" s="329">
        <v>862.78111692772234</v>
      </c>
      <c r="J1270" s="329"/>
      <c r="K1270" s="338"/>
      <c r="L1270" s="338"/>
      <c r="M1270" s="338">
        <v>862.78111692772234</v>
      </c>
      <c r="N1270" s="338"/>
      <c r="O1270" s="338"/>
    </row>
    <row r="1271" spans="1:15" hidden="1" outlineLevel="2" x14ac:dyDescent="0.35">
      <c r="A1271" s="425" t="s">
        <v>6461</v>
      </c>
      <c r="B1271" s="327">
        <v>44562</v>
      </c>
      <c r="C1271" s="426" t="s">
        <v>9454</v>
      </c>
      <c r="D1271" s="427" t="s">
        <v>9455</v>
      </c>
      <c r="E1271" s="426" t="s">
        <v>9456</v>
      </c>
      <c r="F1271" s="338">
        <v>2199600</v>
      </c>
      <c r="G1271" s="338" t="s">
        <v>3800</v>
      </c>
      <c r="H1271" s="338"/>
      <c r="I1271" s="329">
        <v>524.39163989892734</v>
      </c>
      <c r="J1271" s="329"/>
      <c r="K1271" s="338"/>
      <c r="L1271" s="338"/>
      <c r="M1271" s="338">
        <v>524.39163989892734</v>
      </c>
      <c r="N1271" s="338"/>
      <c r="O1271" s="338"/>
    </row>
    <row r="1272" spans="1:15" hidden="1" outlineLevel="2" x14ac:dyDescent="0.35">
      <c r="A1272" s="425" t="s">
        <v>6461</v>
      </c>
      <c r="B1272" s="327">
        <v>44561</v>
      </c>
      <c r="C1272" s="426" t="s">
        <v>9457</v>
      </c>
      <c r="D1272" s="427" t="s">
        <v>9458</v>
      </c>
      <c r="E1272" s="426" t="s">
        <v>9459</v>
      </c>
      <c r="F1272" s="338">
        <v>3768000</v>
      </c>
      <c r="G1272" s="338" t="s">
        <v>3800</v>
      </c>
      <c r="H1272" s="338"/>
      <c r="I1272" s="329">
        <v>898.30319109799882</v>
      </c>
      <c r="J1272" s="329"/>
      <c r="K1272" s="338"/>
      <c r="L1272" s="338"/>
      <c r="M1272" s="338">
        <v>898.30319109799882</v>
      </c>
      <c r="N1272" s="338"/>
      <c r="O1272" s="338"/>
    </row>
    <row r="1273" spans="1:15" hidden="1" outlineLevel="2" x14ac:dyDescent="0.35">
      <c r="A1273" s="425" t="s">
        <v>6461</v>
      </c>
      <c r="B1273" s="327">
        <v>44539</v>
      </c>
      <c r="C1273" s="426" t="s">
        <v>9460</v>
      </c>
      <c r="D1273" s="427" t="s">
        <v>9461</v>
      </c>
      <c r="E1273" s="426" t="s">
        <v>9462</v>
      </c>
      <c r="F1273" s="338">
        <v>15800000</v>
      </c>
      <c r="G1273" s="338" t="s">
        <v>3800</v>
      </c>
      <c r="H1273" s="338"/>
      <c r="I1273" s="329">
        <v>3766.7702811434133</v>
      </c>
      <c r="J1273" s="329"/>
      <c r="K1273" s="338"/>
      <c r="L1273" s="338"/>
      <c r="M1273" s="338">
        <v>3766.7702811434133</v>
      </c>
      <c r="N1273" s="338"/>
      <c r="O1273" s="338"/>
    </row>
    <row r="1274" spans="1:15" hidden="1" outlineLevel="2" x14ac:dyDescent="0.35">
      <c r="A1274" s="425" t="s">
        <v>6461</v>
      </c>
      <c r="B1274" s="327">
        <v>44561</v>
      </c>
      <c r="C1274" s="426" t="s">
        <v>9463</v>
      </c>
      <c r="D1274" s="427" t="s">
        <v>9464</v>
      </c>
      <c r="E1274" s="426" t="s">
        <v>9465</v>
      </c>
      <c r="F1274" s="338">
        <v>750000</v>
      </c>
      <c r="G1274" s="338" t="s">
        <v>3800</v>
      </c>
      <c r="H1274" s="338"/>
      <c r="I1274" s="329">
        <v>178.80238676313672</v>
      </c>
      <c r="J1274" s="329"/>
      <c r="K1274" s="338"/>
      <c r="L1274" s="338"/>
      <c r="M1274" s="338">
        <v>178.80238676313672</v>
      </c>
      <c r="N1274" s="338"/>
      <c r="O1274" s="338"/>
    </row>
    <row r="1275" spans="1:15" hidden="1" outlineLevel="2" x14ac:dyDescent="0.35">
      <c r="A1275" s="425" t="s">
        <v>6461</v>
      </c>
      <c r="B1275" s="327">
        <v>44549</v>
      </c>
      <c r="C1275" s="426" t="s">
        <v>9466</v>
      </c>
      <c r="D1275" s="427" t="s">
        <v>9467</v>
      </c>
      <c r="E1275" s="426" t="s">
        <v>9468</v>
      </c>
      <c r="F1275" s="338">
        <v>14870100</v>
      </c>
      <c r="G1275" s="338" t="s">
        <v>3800</v>
      </c>
      <c r="H1275" s="338"/>
      <c r="I1275" s="329">
        <v>3545.0791618753592</v>
      </c>
      <c r="J1275" s="329"/>
      <c r="K1275" s="338"/>
      <c r="L1275" s="338"/>
      <c r="M1275" s="338">
        <v>3545.0791618753592</v>
      </c>
      <c r="N1275" s="338"/>
      <c r="O1275" s="338"/>
    </row>
    <row r="1276" spans="1:15" hidden="1" outlineLevel="2" x14ac:dyDescent="0.35">
      <c r="A1276" s="425" t="s">
        <v>6461</v>
      </c>
      <c r="B1276" s="327">
        <v>44562</v>
      </c>
      <c r="C1276" s="426" t="s">
        <v>8090</v>
      </c>
      <c r="D1276" s="427" t="s">
        <v>9469</v>
      </c>
      <c r="E1276" s="426" t="s">
        <v>9470</v>
      </c>
      <c r="F1276" s="338">
        <v>231000</v>
      </c>
      <c r="G1276" s="338" t="s">
        <v>3800</v>
      </c>
      <c r="H1276" s="338"/>
      <c r="I1276" s="329">
        <v>55.071135123046112</v>
      </c>
      <c r="J1276" s="329"/>
      <c r="K1276" s="338"/>
      <c r="L1276" s="338"/>
      <c r="M1276" s="338">
        <v>55.071135123046112</v>
      </c>
      <c r="N1276" s="338"/>
      <c r="O1276" s="338"/>
    </row>
    <row r="1277" spans="1:15" hidden="1" outlineLevel="2" x14ac:dyDescent="0.35">
      <c r="A1277" s="425" t="s">
        <v>6461</v>
      </c>
      <c r="B1277" s="327">
        <v>44562</v>
      </c>
      <c r="C1277" s="426" t="s">
        <v>8062</v>
      </c>
      <c r="D1277" s="427" t="s">
        <v>9471</v>
      </c>
      <c r="E1277" s="426" t="s">
        <v>9472</v>
      </c>
      <c r="F1277" s="338">
        <v>140400</v>
      </c>
      <c r="G1277" s="338" t="s">
        <v>3800</v>
      </c>
      <c r="H1277" s="338"/>
      <c r="I1277" s="329">
        <v>33.471806802059191</v>
      </c>
      <c r="J1277" s="329"/>
      <c r="K1277" s="338"/>
      <c r="L1277" s="338"/>
      <c r="M1277" s="338">
        <v>33.471806802059191</v>
      </c>
      <c r="N1277" s="338"/>
      <c r="O1277" s="338"/>
    </row>
    <row r="1278" spans="1:15" outlineLevel="1" collapsed="1" x14ac:dyDescent="0.35">
      <c r="A1278" s="432" t="s">
        <v>6464</v>
      </c>
      <c r="B1278" s="327"/>
      <c r="C1278" s="426"/>
      <c r="D1278" s="427"/>
      <c r="E1278" s="426"/>
      <c r="F1278" s="338"/>
      <c r="G1278" s="338"/>
      <c r="H1278" s="338"/>
      <c r="I1278" s="329">
        <f t="shared" ref="I1278:O1278" si="44">SUBTOTAL(9,I1270:I1277)</f>
        <v>9864.670719631662</v>
      </c>
      <c r="J1278" s="329"/>
      <c r="K1278" s="338">
        <f t="shared" si="44"/>
        <v>0</v>
      </c>
      <c r="L1278" s="338">
        <f t="shared" si="44"/>
        <v>0</v>
      </c>
      <c r="M1278" s="338">
        <f t="shared" si="44"/>
        <v>9864.670719631662</v>
      </c>
      <c r="N1278" s="338">
        <f t="shared" si="44"/>
        <v>0</v>
      </c>
      <c r="O1278" s="338">
        <f t="shared" si="44"/>
        <v>0</v>
      </c>
    </row>
    <row r="1279" spans="1:15" hidden="1" outlineLevel="2" x14ac:dyDescent="0.35">
      <c r="A1279" s="425" t="s">
        <v>7924</v>
      </c>
      <c r="B1279" s="327">
        <v>44510</v>
      </c>
      <c r="C1279" s="426" t="s">
        <v>9473</v>
      </c>
      <c r="D1279" s="427" t="s">
        <v>9474</v>
      </c>
      <c r="E1279" s="426" t="s">
        <v>9475</v>
      </c>
      <c r="F1279" s="338">
        <v>1467000</v>
      </c>
      <c r="G1279" s="338" t="s">
        <v>3800</v>
      </c>
      <c r="H1279" s="338"/>
      <c r="I1279" s="329">
        <v>349.73746850869543</v>
      </c>
      <c r="J1279" s="329"/>
      <c r="K1279" s="338"/>
      <c r="L1279" s="338">
        <v>349.73746850869543</v>
      </c>
      <c r="M1279" s="338"/>
      <c r="N1279" s="338"/>
      <c r="O1279" s="338"/>
    </row>
    <row r="1280" spans="1:15" hidden="1" outlineLevel="2" x14ac:dyDescent="0.35">
      <c r="A1280" s="425" t="s">
        <v>7924</v>
      </c>
      <c r="B1280" s="327">
        <v>44539</v>
      </c>
      <c r="C1280" s="426" t="s">
        <v>9476</v>
      </c>
      <c r="D1280" s="427" t="s">
        <v>9477</v>
      </c>
      <c r="E1280" s="426" t="s">
        <v>8456</v>
      </c>
      <c r="F1280" s="338">
        <v>1173000</v>
      </c>
      <c r="G1280" s="338" t="s">
        <v>3800</v>
      </c>
      <c r="H1280" s="338"/>
      <c r="I1280" s="329">
        <v>279.64693289754581</v>
      </c>
      <c r="J1280" s="329"/>
      <c r="K1280" s="338"/>
      <c r="L1280" s="338">
        <v>279.64693289754581</v>
      </c>
      <c r="M1280" s="338"/>
      <c r="N1280" s="338"/>
      <c r="O1280" s="338"/>
    </row>
    <row r="1281" spans="1:15" hidden="1" outlineLevel="2" x14ac:dyDescent="0.35">
      <c r="A1281" s="425" t="s">
        <v>7924</v>
      </c>
      <c r="B1281" s="327">
        <v>44539</v>
      </c>
      <c r="C1281" s="426" t="s">
        <v>9478</v>
      </c>
      <c r="D1281" s="427" t="s">
        <v>9479</v>
      </c>
      <c r="E1281" s="426" t="s">
        <v>8456</v>
      </c>
      <c r="F1281" s="338">
        <v>1068000</v>
      </c>
      <c r="G1281" s="338" t="s">
        <v>3800</v>
      </c>
      <c r="H1281" s="338"/>
      <c r="I1281" s="329">
        <v>254.61459875070668</v>
      </c>
      <c r="J1281" s="329"/>
      <c r="K1281" s="338"/>
      <c r="L1281" s="338">
        <v>254.61459875070668</v>
      </c>
      <c r="M1281" s="338"/>
      <c r="N1281" s="338"/>
      <c r="O1281" s="338"/>
    </row>
    <row r="1282" spans="1:15" hidden="1" outlineLevel="2" x14ac:dyDescent="0.35">
      <c r="A1282" s="425" t="s">
        <v>7924</v>
      </c>
      <c r="B1282" s="327">
        <v>44539</v>
      </c>
      <c r="C1282" s="426" t="s">
        <v>9480</v>
      </c>
      <c r="D1282" s="427" t="s">
        <v>9481</v>
      </c>
      <c r="E1282" s="426" t="s">
        <v>8456</v>
      </c>
      <c r="F1282" s="338">
        <v>1068000</v>
      </c>
      <c r="G1282" s="338" t="s">
        <v>3800</v>
      </c>
      <c r="H1282" s="338"/>
      <c r="I1282" s="329">
        <v>254.61459875070668</v>
      </c>
      <c r="J1282" s="329"/>
      <c r="K1282" s="338"/>
      <c r="L1282" s="338">
        <v>254.61459875070668</v>
      </c>
      <c r="M1282" s="338"/>
      <c r="N1282" s="338"/>
      <c r="O1282" s="338"/>
    </row>
    <row r="1283" spans="1:15" outlineLevel="1" collapsed="1" x14ac:dyDescent="0.35">
      <c r="A1283" s="432" t="s">
        <v>9482</v>
      </c>
      <c r="B1283" s="327"/>
      <c r="C1283" s="426"/>
      <c r="D1283" s="427"/>
      <c r="E1283" s="426"/>
      <c r="F1283" s="338"/>
      <c r="G1283" s="338"/>
      <c r="H1283" s="338"/>
      <c r="I1283" s="329">
        <f t="shared" ref="I1283:O1283" si="45">SUBTOTAL(9,I1279:I1282)</f>
        <v>1138.6135989076547</v>
      </c>
      <c r="J1283" s="329"/>
      <c r="K1283" s="338">
        <f t="shared" si="45"/>
        <v>0</v>
      </c>
      <c r="L1283" s="338">
        <f t="shared" si="45"/>
        <v>1138.6135989076547</v>
      </c>
      <c r="M1283" s="338">
        <f t="shared" si="45"/>
        <v>0</v>
      </c>
      <c r="N1283" s="338">
        <f t="shared" si="45"/>
        <v>0</v>
      </c>
      <c r="O1283" s="338">
        <f t="shared" si="45"/>
        <v>0</v>
      </c>
    </row>
    <row r="1284" spans="1:15" hidden="1" outlineLevel="2" x14ac:dyDescent="0.35">
      <c r="A1284" s="425" t="s">
        <v>7974</v>
      </c>
      <c r="B1284" s="327" t="s">
        <v>8264</v>
      </c>
      <c r="C1284" s="426" t="s">
        <v>9483</v>
      </c>
      <c r="D1284" s="427" t="s">
        <v>9484</v>
      </c>
      <c r="E1284" s="426" t="s">
        <v>9485</v>
      </c>
      <c r="F1284" s="338">
        <v>2400000</v>
      </c>
      <c r="G1284" s="338" t="s">
        <v>3800</v>
      </c>
      <c r="H1284" s="338"/>
      <c r="I1284" s="329">
        <v>572.16763764203745</v>
      </c>
      <c r="J1284" s="329"/>
      <c r="K1284" s="338">
        <v>143.04190941050936</v>
      </c>
      <c r="L1284" s="338">
        <v>143.04190941050936</v>
      </c>
      <c r="M1284" s="338">
        <v>143.04190941050936</v>
      </c>
      <c r="N1284" s="338">
        <v>143.04190941050936</v>
      </c>
      <c r="O1284" s="338"/>
    </row>
    <row r="1285" spans="1:15" hidden="1" outlineLevel="2" x14ac:dyDescent="0.35">
      <c r="A1285" s="425" t="s">
        <v>7974</v>
      </c>
      <c r="B1285" s="327">
        <v>44135</v>
      </c>
      <c r="C1285" s="426">
        <v>237</v>
      </c>
      <c r="D1285" s="427" t="s">
        <v>9486</v>
      </c>
      <c r="E1285" s="426" t="s">
        <v>8705</v>
      </c>
      <c r="F1285" s="338">
        <v>4076825</v>
      </c>
      <c r="G1285" s="338" t="s">
        <v>3800</v>
      </c>
      <c r="H1285" s="338"/>
      <c r="I1285" s="329">
        <v>955.68190073140124</v>
      </c>
      <c r="J1285" s="329"/>
      <c r="K1285" s="338">
        <v>238.92047518285031</v>
      </c>
      <c r="L1285" s="338">
        <v>238.92047518285031</v>
      </c>
      <c r="M1285" s="338">
        <v>238.92047518285031</v>
      </c>
      <c r="N1285" s="338">
        <v>238.92047518285031</v>
      </c>
      <c r="O1285" s="338"/>
    </row>
    <row r="1286" spans="1:15" hidden="1" outlineLevel="2" x14ac:dyDescent="0.35">
      <c r="A1286" s="425" t="s">
        <v>7974</v>
      </c>
      <c r="B1286" s="327" t="s">
        <v>8002</v>
      </c>
      <c r="C1286" s="426" t="s">
        <v>8003</v>
      </c>
      <c r="D1286" s="427" t="s">
        <v>9487</v>
      </c>
      <c r="E1286" s="426" t="s">
        <v>8705</v>
      </c>
      <c r="F1286" s="338">
        <v>4076825</v>
      </c>
      <c r="G1286" s="338" t="s">
        <v>3800</v>
      </c>
      <c r="H1286" s="338"/>
      <c r="I1286" s="329">
        <v>971.9280538874998</v>
      </c>
      <c r="J1286" s="329"/>
      <c r="K1286" s="338">
        <v>242.98201347187495</v>
      </c>
      <c r="L1286" s="338">
        <v>242.98201347187495</v>
      </c>
      <c r="M1286" s="338">
        <v>242.98201347187495</v>
      </c>
      <c r="N1286" s="338">
        <v>242.98201347187495</v>
      </c>
      <c r="O1286" s="338"/>
    </row>
    <row r="1287" spans="1:15" hidden="1" outlineLevel="2" x14ac:dyDescent="0.35">
      <c r="A1287" s="425" t="s">
        <v>7974</v>
      </c>
      <c r="B1287" s="327" t="s">
        <v>7999</v>
      </c>
      <c r="C1287" s="426" t="s">
        <v>8000</v>
      </c>
      <c r="D1287" s="427" t="s">
        <v>9487</v>
      </c>
      <c r="E1287" s="426" t="s">
        <v>8705</v>
      </c>
      <c r="F1287" s="338">
        <v>4076825</v>
      </c>
      <c r="G1287" s="338" t="s">
        <v>3800</v>
      </c>
      <c r="H1287" s="338"/>
      <c r="I1287" s="329">
        <v>971.9280538874998</v>
      </c>
      <c r="J1287" s="329"/>
      <c r="K1287" s="338">
        <v>242.98201347187495</v>
      </c>
      <c r="L1287" s="338">
        <v>242.98201347187495</v>
      </c>
      <c r="M1287" s="338">
        <v>242.98201347187495</v>
      </c>
      <c r="N1287" s="338">
        <v>242.98201347187495</v>
      </c>
      <c r="O1287" s="338"/>
    </row>
    <row r="1288" spans="1:15" hidden="1" outlineLevel="2" x14ac:dyDescent="0.35">
      <c r="A1288" s="425" t="s">
        <v>7974</v>
      </c>
      <c r="B1288" s="327">
        <v>44165</v>
      </c>
      <c r="C1288" s="426">
        <v>245</v>
      </c>
      <c r="D1288" s="427" t="s">
        <v>9488</v>
      </c>
      <c r="E1288" s="426" t="s">
        <v>8705</v>
      </c>
      <c r="F1288" s="338">
        <v>4076825</v>
      </c>
      <c r="G1288" s="338" t="s">
        <v>3800</v>
      </c>
      <c r="H1288" s="338"/>
      <c r="I1288" s="329">
        <v>955.68190073140124</v>
      </c>
      <c r="J1288" s="329"/>
      <c r="K1288" s="338">
        <v>238.92047518285031</v>
      </c>
      <c r="L1288" s="338">
        <v>238.92047518285031</v>
      </c>
      <c r="M1288" s="338">
        <v>238.92047518285031</v>
      </c>
      <c r="N1288" s="338">
        <v>238.92047518285031</v>
      </c>
      <c r="O1288" s="338"/>
    </row>
    <row r="1289" spans="1:15" hidden="1" outlineLevel="2" x14ac:dyDescent="0.35">
      <c r="A1289" s="425" t="s">
        <v>7974</v>
      </c>
      <c r="B1289" s="327" t="s">
        <v>8077</v>
      </c>
      <c r="C1289" s="426" t="s">
        <v>9489</v>
      </c>
      <c r="D1289" s="427" t="s">
        <v>9490</v>
      </c>
      <c r="E1289" s="426" t="s">
        <v>8705</v>
      </c>
      <c r="F1289" s="338">
        <v>4076825</v>
      </c>
      <c r="G1289" s="338" t="s">
        <v>3800</v>
      </c>
      <c r="H1289" s="338"/>
      <c r="I1289" s="329">
        <v>971.9280538874998</v>
      </c>
      <c r="J1289" s="329"/>
      <c r="K1289" s="338">
        <v>242.98201347187495</v>
      </c>
      <c r="L1289" s="338">
        <v>242.98201347187495</v>
      </c>
      <c r="M1289" s="338">
        <v>242.98201347187495</v>
      </c>
      <c r="N1289" s="338">
        <v>242.98201347187495</v>
      </c>
      <c r="O1289" s="338"/>
    </row>
    <row r="1290" spans="1:15" hidden="1" outlineLevel="2" x14ac:dyDescent="0.35">
      <c r="A1290" s="425" t="s">
        <v>7974</v>
      </c>
      <c r="B1290" s="327" t="s">
        <v>8079</v>
      </c>
      <c r="C1290" s="426" t="s">
        <v>8327</v>
      </c>
      <c r="D1290" s="427" t="s">
        <v>9491</v>
      </c>
      <c r="E1290" s="426" t="s">
        <v>8705</v>
      </c>
      <c r="F1290" s="338">
        <v>4076825</v>
      </c>
      <c r="G1290" s="338" t="s">
        <v>3800</v>
      </c>
      <c r="H1290" s="338"/>
      <c r="I1290" s="329">
        <v>971.9280538874998</v>
      </c>
      <c r="J1290" s="329"/>
      <c r="K1290" s="338">
        <v>242.98201347187495</v>
      </c>
      <c r="L1290" s="338">
        <v>242.98201347187495</v>
      </c>
      <c r="M1290" s="338">
        <v>242.98201347187495</v>
      </c>
      <c r="N1290" s="338">
        <v>242.98201347187495</v>
      </c>
      <c r="O1290" s="338"/>
    </row>
    <row r="1291" spans="1:15" hidden="1" outlineLevel="2" x14ac:dyDescent="0.35">
      <c r="A1291" s="425" t="s">
        <v>7974</v>
      </c>
      <c r="B1291" s="327">
        <v>44196</v>
      </c>
      <c r="C1291" s="426">
        <v>253</v>
      </c>
      <c r="D1291" s="427" t="s">
        <v>9492</v>
      </c>
      <c r="E1291" s="426" t="s">
        <v>8705</v>
      </c>
      <c r="F1291" s="338">
        <v>4076825</v>
      </c>
      <c r="G1291" s="338" t="s">
        <v>3800</v>
      </c>
      <c r="H1291" s="338"/>
      <c r="I1291" s="329">
        <v>955.68190073140124</v>
      </c>
      <c r="J1291" s="329"/>
      <c r="K1291" s="338">
        <v>238.92047518285031</v>
      </c>
      <c r="L1291" s="338">
        <v>238.92047518285031</v>
      </c>
      <c r="M1291" s="338">
        <v>238.92047518285031</v>
      </c>
      <c r="N1291" s="338">
        <v>238.92047518285031</v>
      </c>
      <c r="O1291" s="338"/>
    </row>
    <row r="1292" spans="1:15" hidden="1" outlineLevel="2" x14ac:dyDescent="0.35">
      <c r="A1292" s="425" t="s">
        <v>7974</v>
      </c>
      <c r="B1292" s="327" t="s">
        <v>7987</v>
      </c>
      <c r="C1292" s="426" t="s">
        <v>7988</v>
      </c>
      <c r="D1292" s="427" t="s">
        <v>9493</v>
      </c>
      <c r="E1292" s="426" t="s">
        <v>8705</v>
      </c>
      <c r="F1292" s="338">
        <v>4076825</v>
      </c>
      <c r="G1292" s="338" t="s">
        <v>3800</v>
      </c>
      <c r="H1292" s="338"/>
      <c r="I1292" s="329">
        <v>971.9280538874998</v>
      </c>
      <c r="J1292" s="329"/>
      <c r="K1292" s="338">
        <v>242.98201347187495</v>
      </c>
      <c r="L1292" s="338">
        <v>242.98201347187495</v>
      </c>
      <c r="M1292" s="338">
        <v>242.98201347187495</v>
      </c>
      <c r="N1292" s="338">
        <v>242.98201347187495</v>
      </c>
      <c r="O1292" s="338"/>
    </row>
    <row r="1293" spans="1:15" hidden="1" outlineLevel="2" x14ac:dyDescent="0.35">
      <c r="A1293" s="425" t="s">
        <v>7974</v>
      </c>
      <c r="B1293" s="327" t="s">
        <v>8075</v>
      </c>
      <c r="C1293" s="426" t="s">
        <v>9494</v>
      </c>
      <c r="D1293" s="427" t="s">
        <v>9495</v>
      </c>
      <c r="E1293" s="426" t="s">
        <v>8705</v>
      </c>
      <c r="F1293" s="338">
        <v>4076825</v>
      </c>
      <c r="G1293" s="338" t="s">
        <v>3800</v>
      </c>
      <c r="H1293" s="338"/>
      <c r="I1293" s="329">
        <v>971.9280538874998</v>
      </c>
      <c r="J1293" s="329"/>
      <c r="K1293" s="338">
        <v>242.98201347187495</v>
      </c>
      <c r="L1293" s="338">
        <v>242.98201347187495</v>
      </c>
      <c r="M1293" s="338">
        <v>242.98201347187495</v>
      </c>
      <c r="N1293" s="338">
        <v>242.98201347187495</v>
      </c>
      <c r="O1293" s="338"/>
    </row>
    <row r="1294" spans="1:15" hidden="1" outlineLevel="2" x14ac:dyDescent="0.35">
      <c r="A1294" s="425" t="s">
        <v>7974</v>
      </c>
      <c r="B1294" s="327">
        <v>43921</v>
      </c>
      <c r="C1294" s="426">
        <v>179</v>
      </c>
      <c r="D1294" s="427" t="s">
        <v>9496</v>
      </c>
      <c r="E1294" s="426" t="s">
        <v>8705</v>
      </c>
      <c r="F1294" s="338">
        <v>4076825</v>
      </c>
      <c r="G1294" s="338" t="s">
        <v>3800</v>
      </c>
      <c r="H1294" s="338"/>
      <c r="I1294" s="329">
        <v>955.68190073140124</v>
      </c>
      <c r="J1294" s="329"/>
      <c r="K1294" s="338">
        <v>238.92047518285031</v>
      </c>
      <c r="L1294" s="338">
        <v>238.92047518285031</v>
      </c>
      <c r="M1294" s="338">
        <v>238.92047518285031</v>
      </c>
      <c r="N1294" s="338">
        <v>238.92047518285031</v>
      </c>
      <c r="O1294" s="338"/>
    </row>
    <row r="1295" spans="1:15" hidden="1" outlineLevel="2" x14ac:dyDescent="0.35">
      <c r="A1295" s="425" t="s">
        <v>7974</v>
      </c>
      <c r="B1295" s="327" t="s">
        <v>8089</v>
      </c>
      <c r="C1295" s="426" t="s">
        <v>9497</v>
      </c>
      <c r="D1295" s="427" t="s">
        <v>9498</v>
      </c>
      <c r="E1295" s="426" t="s">
        <v>8705</v>
      </c>
      <c r="F1295" s="338">
        <v>4076825</v>
      </c>
      <c r="G1295" s="338" t="s">
        <v>3800</v>
      </c>
      <c r="H1295" s="338"/>
      <c r="I1295" s="329">
        <v>971.9280538874998</v>
      </c>
      <c r="J1295" s="329"/>
      <c r="K1295" s="338">
        <v>242.98201347187495</v>
      </c>
      <c r="L1295" s="338">
        <v>242.98201347187495</v>
      </c>
      <c r="M1295" s="338">
        <v>242.98201347187495</v>
      </c>
      <c r="N1295" s="338">
        <v>242.98201347187495</v>
      </c>
      <c r="O1295" s="338"/>
    </row>
    <row r="1296" spans="1:15" hidden="1" outlineLevel="2" x14ac:dyDescent="0.35">
      <c r="A1296" s="425" t="s">
        <v>7974</v>
      </c>
      <c r="B1296" s="327" t="s">
        <v>7980</v>
      </c>
      <c r="C1296" s="426" t="s">
        <v>9499</v>
      </c>
      <c r="D1296" s="427" t="s">
        <v>9498</v>
      </c>
      <c r="E1296" s="426" t="s">
        <v>8705</v>
      </c>
      <c r="F1296" s="338">
        <v>4076825</v>
      </c>
      <c r="G1296" s="338" t="s">
        <v>3800</v>
      </c>
      <c r="H1296" s="338"/>
      <c r="I1296" s="329">
        <v>971.9280538874998</v>
      </c>
      <c r="J1296" s="329"/>
      <c r="K1296" s="338">
        <v>242.98201347187495</v>
      </c>
      <c r="L1296" s="338">
        <v>242.98201347187495</v>
      </c>
      <c r="M1296" s="338">
        <v>242.98201347187495</v>
      </c>
      <c r="N1296" s="338">
        <v>242.98201347187495</v>
      </c>
      <c r="O1296" s="338"/>
    </row>
    <row r="1297" spans="1:15" hidden="1" outlineLevel="2" x14ac:dyDescent="0.35">
      <c r="A1297" s="425" t="s">
        <v>7974</v>
      </c>
      <c r="B1297" s="327">
        <v>43951</v>
      </c>
      <c r="C1297" s="426">
        <v>188</v>
      </c>
      <c r="D1297" s="427" t="s">
        <v>9500</v>
      </c>
      <c r="E1297" s="426" t="s">
        <v>8705</v>
      </c>
      <c r="F1297" s="338">
        <v>4076825</v>
      </c>
      <c r="G1297" s="338" t="s">
        <v>3800</v>
      </c>
      <c r="H1297" s="338"/>
      <c r="I1297" s="329">
        <v>955.68190073140124</v>
      </c>
      <c r="J1297" s="329"/>
      <c r="K1297" s="338">
        <v>238.92047518285031</v>
      </c>
      <c r="L1297" s="338">
        <v>238.92047518285031</v>
      </c>
      <c r="M1297" s="338">
        <v>238.92047518285031</v>
      </c>
      <c r="N1297" s="338">
        <v>238.92047518285031</v>
      </c>
      <c r="O1297" s="338"/>
    </row>
    <row r="1298" spans="1:15" hidden="1" outlineLevel="2" x14ac:dyDescent="0.35">
      <c r="A1298" s="425" t="s">
        <v>7974</v>
      </c>
      <c r="B1298" s="327">
        <v>43982</v>
      </c>
      <c r="C1298" s="426">
        <v>194</v>
      </c>
      <c r="D1298" s="427" t="s">
        <v>9501</v>
      </c>
      <c r="E1298" s="426" t="s">
        <v>8705</v>
      </c>
      <c r="F1298" s="338">
        <v>4076825</v>
      </c>
      <c r="G1298" s="338" t="s">
        <v>3800</v>
      </c>
      <c r="H1298" s="338"/>
      <c r="I1298" s="329">
        <v>955.68190073140124</v>
      </c>
      <c r="J1298" s="329"/>
      <c r="K1298" s="338">
        <v>238.92047518285031</v>
      </c>
      <c r="L1298" s="338">
        <v>238.92047518285031</v>
      </c>
      <c r="M1298" s="338">
        <v>238.92047518285031</v>
      </c>
      <c r="N1298" s="338">
        <v>238.92047518285031</v>
      </c>
      <c r="O1298" s="338"/>
    </row>
    <row r="1299" spans="1:15" hidden="1" outlineLevel="2" x14ac:dyDescent="0.35">
      <c r="A1299" s="425" t="s">
        <v>7974</v>
      </c>
      <c r="B1299" s="327" t="s">
        <v>7996</v>
      </c>
      <c r="C1299" s="426" t="s">
        <v>7997</v>
      </c>
      <c r="D1299" s="427" t="s">
        <v>9502</v>
      </c>
      <c r="E1299" s="426" t="s">
        <v>8705</v>
      </c>
      <c r="F1299" s="338">
        <v>4076825</v>
      </c>
      <c r="G1299" s="338" t="s">
        <v>3800</v>
      </c>
      <c r="H1299" s="338"/>
      <c r="I1299" s="329">
        <v>971.9280538874998</v>
      </c>
      <c r="J1299" s="329"/>
      <c r="K1299" s="338">
        <v>242.98201347187495</v>
      </c>
      <c r="L1299" s="338">
        <v>242.98201347187495</v>
      </c>
      <c r="M1299" s="338">
        <v>242.98201347187495</v>
      </c>
      <c r="N1299" s="338">
        <v>242.98201347187495</v>
      </c>
      <c r="O1299" s="338"/>
    </row>
    <row r="1300" spans="1:15" hidden="1" outlineLevel="2" x14ac:dyDescent="0.35">
      <c r="A1300" s="425" t="s">
        <v>7974</v>
      </c>
      <c r="B1300" s="327">
        <v>44012</v>
      </c>
      <c r="C1300" s="426">
        <v>201</v>
      </c>
      <c r="D1300" s="427" t="s">
        <v>9503</v>
      </c>
      <c r="E1300" s="426" t="s">
        <v>8705</v>
      </c>
      <c r="F1300" s="338">
        <v>4076825</v>
      </c>
      <c r="G1300" s="338" t="s">
        <v>3800</v>
      </c>
      <c r="H1300" s="338"/>
      <c r="I1300" s="329">
        <v>955.68190073140124</v>
      </c>
      <c r="J1300" s="329"/>
      <c r="K1300" s="338">
        <v>238.92047518285031</v>
      </c>
      <c r="L1300" s="338">
        <v>238.92047518285031</v>
      </c>
      <c r="M1300" s="338">
        <v>238.92047518285031</v>
      </c>
      <c r="N1300" s="338">
        <v>238.92047518285031</v>
      </c>
      <c r="O1300" s="338"/>
    </row>
    <row r="1301" spans="1:15" hidden="1" outlineLevel="2" x14ac:dyDescent="0.35">
      <c r="A1301" s="425" t="s">
        <v>7974</v>
      </c>
      <c r="B1301" s="327" t="s">
        <v>7993</v>
      </c>
      <c r="C1301" s="426" t="s">
        <v>7994</v>
      </c>
      <c r="D1301" s="427" t="s">
        <v>9504</v>
      </c>
      <c r="E1301" s="426" t="s">
        <v>8705</v>
      </c>
      <c r="F1301" s="338">
        <v>4076825</v>
      </c>
      <c r="G1301" s="338" t="s">
        <v>3800</v>
      </c>
      <c r="H1301" s="338"/>
      <c r="I1301" s="329">
        <v>971.9280538874998</v>
      </c>
      <c r="J1301" s="329"/>
      <c r="K1301" s="338">
        <v>242.98201347187495</v>
      </c>
      <c r="L1301" s="338">
        <v>242.98201347187495</v>
      </c>
      <c r="M1301" s="338">
        <v>242.98201347187495</v>
      </c>
      <c r="N1301" s="338">
        <v>242.98201347187495</v>
      </c>
      <c r="O1301" s="338"/>
    </row>
    <row r="1302" spans="1:15" hidden="1" outlineLevel="2" x14ac:dyDescent="0.35">
      <c r="A1302" s="425" t="s">
        <v>7974</v>
      </c>
      <c r="B1302" s="327">
        <v>44043</v>
      </c>
      <c r="C1302" s="426">
        <v>207</v>
      </c>
      <c r="D1302" s="427" t="s">
        <v>9505</v>
      </c>
      <c r="E1302" s="426" t="s">
        <v>8705</v>
      </c>
      <c r="F1302" s="338">
        <v>4076825</v>
      </c>
      <c r="G1302" s="338" t="s">
        <v>3800</v>
      </c>
      <c r="H1302" s="338"/>
      <c r="I1302" s="329">
        <v>955.68190073140124</v>
      </c>
      <c r="J1302" s="329"/>
      <c r="K1302" s="338">
        <v>238.92047518285031</v>
      </c>
      <c r="L1302" s="338">
        <v>238.92047518285031</v>
      </c>
      <c r="M1302" s="338">
        <v>238.92047518285031</v>
      </c>
      <c r="N1302" s="338">
        <v>238.92047518285031</v>
      </c>
      <c r="O1302" s="338"/>
    </row>
    <row r="1303" spans="1:15" hidden="1" outlineLevel="2" x14ac:dyDescent="0.35">
      <c r="A1303" s="425" t="s">
        <v>7974</v>
      </c>
      <c r="B1303" s="327" t="s">
        <v>7990</v>
      </c>
      <c r="C1303" s="426" t="s">
        <v>7991</v>
      </c>
      <c r="D1303" s="427" t="s">
        <v>9506</v>
      </c>
      <c r="E1303" s="426" t="s">
        <v>8705</v>
      </c>
      <c r="F1303" s="338">
        <v>4076825</v>
      </c>
      <c r="G1303" s="338" t="s">
        <v>3800</v>
      </c>
      <c r="H1303" s="338"/>
      <c r="I1303" s="329">
        <v>971.9280538874998</v>
      </c>
      <c r="J1303" s="329"/>
      <c r="K1303" s="338">
        <v>242.98201347187495</v>
      </c>
      <c r="L1303" s="338">
        <v>242.98201347187495</v>
      </c>
      <c r="M1303" s="338">
        <v>242.98201347187495</v>
      </c>
      <c r="N1303" s="338">
        <v>242.98201347187495</v>
      </c>
      <c r="O1303" s="338"/>
    </row>
    <row r="1304" spans="1:15" hidden="1" outlineLevel="2" x14ac:dyDescent="0.35">
      <c r="A1304" s="425" t="s">
        <v>7974</v>
      </c>
      <c r="B1304" s="327">
        <v>44074</v>
      </c>
      <c r="C1304" s="426">
        <v>221</v>
      </c>
      <c r="D1304" s="427" t="s">
        <v>9507</v>
      </c>
      <c r="E1304" s="426" t="s">
        <v>8705</v>
      </c>
      <c r="F1304" s="338">
        <v>4076825</v>
      </c>
      <c r="G1304" s="338" t="s">
        <v>3800</v>
      </c>
      <c r="H1304" s="338"/>
      <c r="I1304" s="329">
        <v>955.68190073140124</v>
      </c>
      <c r="J1304" s="329"/>
      <c r="K1304" s="338">
        <v>238.92047518285031</v>
      </c>
      <c r="L1304" s="338">
        <v>238.92047518285031</v>
      </c>
      <c r="M1304" s="338">
        <v>238.92047518285031</v>
      </c>
      <c r="N1304" s="338">
        <v>238.92047518285031</v>
      </c>
      <c r="O1304" s="338"/>
    </row>
    <row r="1305" spans="1:15" hidden="1" outlineLevel="2" x14ac:dyDescent="0.35">
      <c r="A1305" s="425" t="s">
        <v>7974</v>
      </c>
      <c r="B1305" s="327" t="s">
        <v>7984</v>
      </c>
      <c r="C1305" s="426" t="s">
        <v>7985</v>
      </c>
      <c r="D1305" s="427" t="s">
        <v>9508</v>
      </c>
      <c r="E1305" s="426" t="s">
        <v>8705</v>
      </c>
      <c r="F1305" s="338">
        <v>4076825</v>
      </c>
      <c r="G1305" s="338" t="s">
        <v>3800</v>
      </c>
      <c r="H1305" s="338"/>
      <c r="I1305" s="329">
        <v>971.9280538874998</v>
      </c>
      <c r="J1305" s="329"/>
      <c r="K1305" s="338">
        <v>242.98201347187495</v>
      </c>
      <c r="L1305" s="338">
        <v>242.98201347187495</v>
      </c>
      <c r="M1305" s="338">
        <v>242.98201347187495</v>
      </c>
      <c r="N1305" s="338">
        <v>242.98201347187495</v>
      </c>
      <c r="O1305" s="338"/>
    </row>
    <row r="1306" spans="1:15" hidden="1" outlineLevel="2" x14ac:dyDescent="0.35">
      <c r="A1306" s="425" t="s">
        <v>7974</v>
      </c>
      <c r="B1306" s="327">
        <v>44104</v>
      </c>
      <c r="C1306" s="426">
        <v>231</v>
      </c>
      <c r="D1306" s="427" t="s">
        <v>9509</v>
      </c>
      <c r="E1306" s="426" t="s">
        <v>8705</v>
      </c>
      <c r="F1306" s="338">
        <v>4076825</v>
      </c>
      <c r="G1306" s="338" t="s">
        <v>3800</v>
      </c>
      <c r="H1306" s="338"/>
      <c r="I1306" s="329">
        <v>955.68190073140124</v>
      </c>
      <c r="J1306" s="329"/>
      <c r="K1306" s="338">
        <v>238.92047518285031</v>
      </c>
      <c r="L1306" s="338">
        <v>238.92047518285031</v>
      </c>
      <c r="M1306" s="338">
        <v>238.92047518285031</v>
      </c>
      <c r="N1306" s="338">
        <v>238.92047518285031</v>
      </c>
      <c r="O1306" s="338"/>
    </row>
    <row r="1307" spans="1:15" hidden="1" outlineLevel="2" x14ac:dyDescent="0.35">
      <c r="A1307" s="425" t="s">
        <v>7974</v>
      </c>
      <c r="B1307" s="327" t="s">
        <v>8005</v>
      </c>
      <c r="C1307" s="426" t="s">
        <v>8006</v>
      </c>
      <c r="D1307" s="427" t="s">
        <v>9510</v>
      </c>
      <c r="E1307" s="426" t="s">
        <v>8705</v>
      </c>
      <c r="F1307" s="338">
        <v>4076825</v>
      </c>
      <c r="G1307" s="338" t="s">
        <v>3800</v>
      </c>
      <c r="H1307" s="338"/>
      <c r="I1307" s="329">
        <v>971.9280538874998</v>
      </c>
      <c r="J1307" s="329"/>
      <c r="K1307" s="338">
        <v>242.98201347187495</v>
      </c>
      <c r="L1307" s="338">
        <v>242.98201347187495</v>
      </c>
      <c r="M1307" s="338">
        <v>242.98201347187495</v>
      </c>
      <c r="N1307" s="338">
        <v>242.98201347187495</v>
      </c>
      <c r="O1307" s="338"/>
    </row>
    <row r="1308" spans="1:15" hidden="1" outlineLevel="2" x14ac:dyDescent="0.35">
      <c r="A1308" s="425" t="s">
        <v>7974</v>
      </c>
      <c r="B1308" s="327">
        <v>44135</v>
      </c>
      <c r="C1308" s="426">
        <v>237</v>
      </c>
      <c r="D1308" s="427" t="s">
        <v>9511</v>
      </c>
      <c r="E1308" s="426" t="s">
        <v>8705</v>
      </c>
      <c r="F1308" s="338">
        <v>122305</v>
      </c>
      <c r="G1308" s="338" t="s">
        <v>3800</v>
      </c>
      <c r="H1308" s="338"/>
      <c r="I1308" s="329">
        <v>28.670515626487287</v>
      </c>
      <c r="J1308" s="329"/>
      <c r="K1308" s="338">
        <v>7.1676289066218217</v>
      </c>
      <c r="L1308" s="338">
        <v>7.1676289066218217</v>
      </c>
      <c r="M1308" s="338">
        <v>7.1676289066218217</v>
      </c>
      <c r="N1308" s="338">
        <v>7.1676289066218217</v>
      </c>
      <c r="O1308" s="338"/>
    </row>
    <row r="1309" spans="1:15" hidden="1" outlineLevel="2" x14ac:dyDescent="0.35">
      <c r="A1309" s="425" t="s">
        <v>7974</v>
      </c>
      <c r="B1309" s="327" t="s">
        <v>8002</v>
      </c>
      <c r="C1309" s="426" t="s">
        <v>8003</v>
      </c>
      <c r="D1309" s="427" t="s">
        <v>9512</v>
      </c>
      <c r="E1309" s="426" t="s">
        <v>8705</v>
      </c>
      <c r="F1309" s="338">
        <v>122305</v>
      </c>
      <c r="G1309" s="338" t="s">
        <v>3800</v>
      </c>
      <c r="H1309" s="338"/>
      <c r="I1309" s="329">
        <v>29.15790121742058</v>
      </c>
      <c r="J1309" s="329"/>
      <c r="K1309" s="338">
        <v>7.289475304355145</v>
      </c>
      <c r="L1309" s="338">
        <v>7.289475304355145</v>
      </c>
      <c r="M1309" s="338">
        <v>7.289475304355145</v>
      </c>
      <c r="N1309" s="338">
        <v>7.289475304355145</v>
      </c>
      <c r="O1309" s="338"/>
    </row>
    <row r="1310" spans="1:15" hidden="1" outlineLevel="2" x14ac:dyDescent="0.35">
      <c r="A1310" s="425" t="s">
        <v>7974</v>
      </c>
      <c r="B1310" s="327" t="s">
        <v>7999</v>
      </c>
      <c r="C1310" s="426" t="s">
        <v>8000</v>
      </c>
      <c r="D1310" s="427" t="s">
        <v>9512</v>
      </c>
      <c r="E1310" s="426" t="s">
        <v>8705</v>
      </c>
      <c r="F1310" s="338">
        <v>122305</v>
      </c>
      <c r="G1310" s="338" t="s">
        <v>3800</v>
      </c>
      <c r="H1310" s="338"/>
      <c r="I1310" s="329">
        <v>29.15790121742058</v>
      </c>
      <c r="J1310" s="329"/>
      <c r="K1310" s="338">
        <v>7.289475304355145</v>
      </c>
      <c r="L1310" s="338">
        <v>7.289475304355145</v>
      </c>
      <c r="M1310" s="338">
        <v>7.289475304355145</v>
      </c>
      <c r="N1310" s="338">
        <v>7.289475304355145</v>
      </c>
      <c r="O1310" s="338"/>
    </row>
    <row r="1311" spans="1:15" hidden="1" outlineLevel="2" x14ac:dyDescent="0.35">
      <c r="A1311" s="425" t="s">
        <v>7974</v>
      </c>
      <c r="B1311" s="327">
        <v>44165</v>
      </c>
      <c r="C1311" s="426">
        <v>245</v>
      </c>
      <c r="D1311" s="427" t="s">
        <v>9513</v>
      </c>
      <c r="E1311" s="426" t="s">
        <v>8705</v>
      </c>
      <c r="F1311" s="338">
        <v>122305</v>
      </c>
      <c r="G1311" s="338" t="s">
        <v>3800</v>
      </c>
      <c r="H1311" s="338"/>
      <c r="I1311" s="329">
        <v>28.670515626487287</v>
      </c>
      <c r="J1311" s="329"/>
      <c r="K1311" s="338">
        <v>7.1676289066218217</v>
      </c>
      <c r="L1311" s="338">
        <v>7.1676289066218217</v>
      </c>
      <c r="M1311" s="338">
        <v>7.1676289066218217</v>
      </c>
      <c r="N1311" s="338">
        <v>7.1676289066218217</v>
      </c>
      <c r="O1311" s="338"/>
    </row>
    <row r="1312" spans="1:15" hidden="1" outlineLevel="2" x14ac:dyDescent="0.35">
      <c r="A1312" s="425" t="s">
        <v>7974</v>
      </c>
      <c r="B1312" s="327" t="s">
        <v>8077</v>
      </c>
      <c r="C1312" s="426" t="s">
        <v>9489</v>
      </c>
      <c r="D1312" s="427" t="s">
        <v>9514</v>
      </c>
      <c r="E1312" s="426" t="s">
        <v>8705</v>
      </c>
      <c r="F1312" s="338">
        <v>122305</v>
      </c>
      <c r="G1312" s="338" t="s">
        <v>3800</v>
      </c>
      <c r="H1312" s="338"/>
      <c r="I1312" s="329">
        <v>29.15790121742058</v>
      </c>
      <c r="J1312" s="329"/>
      <c r="K1312" s="338">
        <v>7.289475304355145</v>
      </c>
      <c r="L1312" s="338">
        <v>7.289475304355145</v>
      </c>
      <c r="M1312" s="338">
        <v>7.289475304355145</v>
      </c>
      <c r="N1312" s="338">
        <v>7.289475304355145</v>
      </c>
      <c r="O1312" s="338"/>
    </row>
    <row r="1313" spans="1:15" hidden="1" outlineLevel="2" x14ac:dyDescent="0.35">
      <c r="A1313" s="425" t="s">
        <v>7974</v>
      </c>
      <c r="B1313" s="327" t="s">
        <v>8079</v>
      </c>
      <c r="C1313" s="426" t="s">
        <v>8327</v>
      </c>
      <c r="D1313" s="427" t="s">
        <v>9515</v>
      </c>
      <c r="E1313" s="426" t="s">
        <v>8705</v>
      </c>
      <c r="F1313" s="338">
        <v>122305</v>
      </c>
      <c r="G1313" s="338" t="s">
        <v>3800</v>
      </c>
      <c r="H1313" s="338"/>
      <c r="I1313" s="329">
        <v>29.15790121742058</v>
      </c>
      <c r="J1313" s="329"/>
      <c r="K1313" s="338">
        <v>7.289475304355145</v>
      </c>
      <c r="L1313" s="338">
        <v>7.289475304355145</v>
      </c>
      <c r="M1313" s="338">
        <v>7.289475304355145</v>
      </c>
      <c r="N1313" s="338">
        <v>7.289475304355145</v>
      </c>
      <c r="O1313" s="338"/>
    </row>
    <row r="1314" spans="1:15" hidden="1" outlineLevel="2" x14ac:dyDescent="0.35">
      <c r="A1314" s="425" t="s">
        <v>7974</v>
      </c>
      <c r="B1314" s="327">
        <v>44196</v>
      </c>
      <c r="C1314" s="426">
        <v>253</v>
      </c>
      <c r="D1314" s="427" t="s">
        <v>9516</v>
      </c>
      <c r="E1314" s="426" t="s">
        <v>8705</v>
      </c>
      <c r="F1314" s="338">
        <v>122305</v>
      </c>
      <c r="G1314" s="338" t="s">
        <v>3800</v>
      </c>
      <c r="H1314" s="338"/>
      <c r="I1314" s="329">
        <v>28.670515626487287</v>
      </c>
      <c r="J1314" s="329"/>
      <c r="K1314" s="338">
        <v>7.1676289066218217</v>
      </c>
      <c r="L1314" s="338">
        <v>7.1676289066218217</v>
      </c>
      <c r="M1314" s="338">
        <v>7.1676289066218217</v>
      </c>
      <c r="N1314" s="338">
        <v>7.1676289066218217</v>
      </c>
      <c r="O1314" s="338"/>
    </row>
    <row r="1315" spans="1:15" hidden="1" outlineLevel="2" x14ac:dyDescent="0.35">
      <c r="A1315" s="425" t="s">
        <v>7974</v>
      </c>
      <c r="B1315" s="327" t="s">
        <v>7987</v>
      </c>
      <c r="C1315" s="426" t="s">
        <v>7988</v>
      </c>
      <c r="D1315" s="427" t="s">
        <v>9517</v>
      </c>
      <c r="E1315" s="426" t="s">
        <v>8705</v>
      </c>
      <c r="F1315" s="338">
        <v>122305</v>
      </c>
      <c r="G1315" s="338" t="s">
        <v>3800</v>
      </c>
      <c r="H1315" s="338"/>
      <c r="I1315" s="329">
        <v>29.15790121742058</v>
      </c>
      <c r="J1315" s="329"/>
      <c r="K1315" s="338">
        <v>7.289475304355145</v>
      </c>
      <c r="L1315" s="338">
        <v>7.289475304355145</v>
      </c>
      <c r="M1315" s="338">
        <v>7.289475304355145</v>
      </c>
      <c r="N1315" s="338">
        <v>7.289475304355145</v>
      </c>
      <c r="O1315" s="338"/>
    </row>
    <row r="1316" spans="1:15" hidden="1" outlineLevel="2" x14ac:dyDescent="0.35">
      <c r="A1316" s="425" t="s">
        <v>7974</v>
      </c>
      <c r="B1316" s="327" t="s">
        <v>8075</v>
      </c>
      <c r="C1316" s="426" t="s">
        <v>9494</v>
      </c>
      <c r="D1316" s="427" t="s">
        <v>9518</v>
      </c>
      <c r="E1316" s="426" t="s">
        <v>8705</v>
      </c>
      <c r="F1316" s="338">
        <v>122305</v>
      </c>
      <c r="G1316" s="338" t="s">
        <v>3800</v>
      </c>
      <c r="H1316" s="338"/>
      <c r="I1316" s="329">
        <v>29.15790121742058</v>
      </c>
      <c r="J1316" s="329"/>
      <c r="K1316" s="338">
        <v>7.289475304355145</v>
      </c>
      <c r="L1316" s="338">
        <v>7.289475304355145</v>
      </c>
      <c r="M1316" s="338">
        <v>7.289475304355145</v>
      </c>
      <c r="N1316" s="338">
        <v>7.289475304355145</v>
      </c>
      <c r="O1316" s="338"/>
    </row>
    <row r="1317" spans="1:15" hidden="1" outlineLevel="2" x14ac:dyDescent="0.35">
      <c r="A1317" s="425" t="s">
        <v>7974</v>
      </c>
      <c r="B1317" s="327">
        <v>43921</v>
      </c>
      <c r="C1317" s="426">
        <v>179</v>
      </c>
      <c r="D1317" s="427" t="s">
        <v>9519</v>
      </c>
      <c r="E1317" s="426" t="s">
        <v>8705</v>
      </c>
      <c r="F1317" s="338">
        <v>122305</v>
      </c>
      <c r="G1317" s="338" t="s">
        <v>3800</v>
      </c>
      <c r="H1317" s="338"/>
      <c r="I1317" s="329">
        <v>28.670515626487287</v>
      </c>
      <c r="J1317" s="329"/>
      <c r="K1317" s="338">
        <v>7.1676289066218217</v>
      </c>
      <c r="L1317" s="338">
        <v>7.1676289066218217</v>
      </c>
      <c r="M1317" s="338">
        <v>7.1676289066218217</v>
      </c>
      <c r="N1317" s="338">
        <v>7.1676289066218217</v>
      </c>
      <c r="O1317" s="338"/>
    </row>
    <row r="1318" spans="1:15" hidden="1" outlineLevel="2" x14ac:dyDescent="0.35">
      <c r="A1318" s="425" t="s">
        <v>7974</v>
      </c>
      <c r="B1318" s="327" t="s">
        <v>8089</v>
      </c>
      <c r="C1318" s="426" t="s">
        <v>9497</v>
      </c>
      <c r="D1318" s="427" t="s">
        <v>9520</v>
      </c>
      <c r="E1318" s="426" t="s">
        <v>8705</v>
      </c>
      <c r="F1318" s="338">
        <v>122305</v>
      </c>
      <c r="G1318" s="338" t="s">
        <v>3800</v>
      </c>
      <c r="H1318" s="338"/>
      <c r="I1318" s="329">
        <v>29.15790121742058</v>
      </c>
      <c r="J1318" s="329"/>
      <c r="K1318" s="338">
        <v>7.289475304355145</v>
      </c>
      <c r="L1318" s="338">
        <v>7.289475304355145</v>
      </c>
      <c r="M1318" s="338">
        <v>7.289475304355145</v>
      </c>
      <c r="N1318" s="338">
        <v>7.289475304355145</v>
      </c>
      <c r="O1318" s="338"/>
    </row>
    <row r="1319" spans="1:15" hidden="1" outlineLevel="2" x14ac:dyDescent="0.35">
      <c r="A1319" s="425" t="s">
        <v>7974</v>
      </c>
      <c r="B1319" s="327" t="s">
        <v>7980</v>
      </c>
      <c r="C1319" s="426" t="s">
        <v>9499</v>
      </c>
      <c r="D1319" s="427" t="s">
        <v>9520</v>
      </c>
      <c r="E1319" s="426" t="s">
        <v>8705</v>
      </c>
      <c r="F1319" s="338">
        <v>122305</v>
      </c>
      <c r="G1319" s="338" t="s">
        <v>3800</v>
      </c>
      <c r="H1319" s="338"/>
      <c r="I1319" s="329">
        <v>29.15790121742058</v>
      </c>
      <c r="J1319" s="329"/>
      <c r="K1319" s="338">
        <v>7.289475304355145</v>
      </c>
      <c r="L1319" s="338">
        <v>7.289475304355145</v>
      </c>
      <c r="M1319" s="338">
        <v>7.289475304355145</v>
      </c>
      <c r="N1319" s="338">
        <v>7.289475304355145</v>
      </c>
      <c r="O1319" s="338"/>
    </row>
    <row r="1320" spans="1:15" hidden="1" outlineLevel="2" x14ac:dyDescent="0.35">
      <c r="A1320" s="425" t="s">
        <v>7974</v>
      </c>
      <c r="B1320" s="327">
        <v>43951</v>
      </c>
      <c r="C1320" s="426">
        <v>188</v>
      </c>
      <c r="D1320" s="427" t="s">
        <v>9521</v>
      </c>
      <c r="E1320" s="426" t="s">
        <v>8705</v>
      </c>
      <c r="F1320" s="338">
        <v>122305</v>
      </c>
      <c r="G1320" s="338" t="s">
        <v>3800</v>
      </c>
      <c r="H1320" s="338"/>
      <c r="I1320" s="329">
        <v>28.670515626487287</v>
      </c>
      <c r="J1320" s="329"/>
      <c r="K1320" s="338">
        <v>7.1676289066218217</v>
      </c>
      <c r="L1320" s="338">
        <v>7.1676289066218217</v>
      </c>
      <c r="M1320" s="338">
        <v>7.1676289066218217</v>
      </c>
      <c r="N1320" s="338">
        <v>7.1676289066218217</v>
      </c>
      <c r="O1320" s="338"/>
    </row>
    <row r="1321" spans="1:15" hidden="1" outlineLevel="2" x14ac:dyDescent="0.35">
      <c r="A1321" s="425" t="s">
        <v>7974</v>
      </c>
      <c r="B1321" s="327">
        <v>43982</v>
      </c>
      <c r="C1321" s="426">
        <v>194</v>
      </c>
      <c r="D1321" s="427" t="s">
        <v>9522</v>
      </c>
      <c r="E1321" s="426" t="s">
        <v>8705</v>
      </c>
      <c r="F1321" s="338">
        <v>122305</v>
      </c>
      <c r="G1321" s="338" t="s">
        <v>3800</v>
      </c>
      <c r="H1321" s="338"/>
      <c r="I1321" s="329">
        <v>28.670515626487287</v>
      </c>
      <c r="J1321" s="329"/>
      <c r="K1321" s="338">
        <v>7.1676289066218217</v>
      </c>
      <c r="L1321" s="338">
        <v>7.1676289066218217</v>
      </c>
      <c r="M1321" s="338">
        <v>7.1676289066218217</v>
      </c>
      <c r="N1321" s="338">
        <v>7.1676289066218217</v>
      </c>
      <c r="O1321" s="338"/>
    </row>
    <row r="1322" spans="1:15" hidden="1" outlineLevel="2" x14ac:dyDescent="0.35">
      <c r="A1322" s="425" t="s">
        <v>7974</v>
      </c>
      <c r="B1322" s="327" t="s">
        <v>7996</v>
      </c>
      <c r="C1322" s="426" t="s">
        <v>7997</v>
      </c>
      <c r="D1322" s="427" t="s">
        <v>9523</v>
      </c>
      <c r="E1322" s="426" t="s">
        <v>8705</v>
      </c>
      <c r="F1322" s="338">
        <v>122305</v>
      </c>
      <c r="G1322" s="338" t="s">
        <v>3800</v>
      </c>
      <c r="H1322" s="338"/>
      <c r="I1322" s="329">
        <v>29.15790121742058</v>
      </c>
      <c r="J1322" s="329"/>
      <c r="K1322" s="338">
        <v>7.289475304355145</v>
      </c>
      <c r="L1322" s="338">
        <v>7.289475304355145</v>
      </c>
      <c r="M1322" s="338">
        <v>7.289475304355145</v>
      </c>
      <c r="N1322" s="338">
        <v>7.289475304355145</v>
      </c>
      <c r="O1322" s="338"/>
    </row>
    <row r="1323" spans="1:15" hidden="1" outlineLevel="2" x14ac:dyDescent="0.35">
      <c r="A1323" s="425" t="s">
        <v>7974</v>
      </c>
      <c r="B1323" s="327">
        <v>44012</v>
      </c>
      <c r="C1323" s="426">
        <v>201</v>
      </c>
      <c r="D1323" s="427" t="s">
        <v>9524</v>
      </c>
      <c r="E1323" s="426" t="s">
        <v>8705</v>
      </c>
      <c r="F1323" s="338">
        <v>122305</v>
      </c>
      <c r="G1323" s="338" t="s">
        <v>3800</v>
      </c>
      <c r="H1323" s="338"/>
      <c r="I1323" s="329">
        <v>28.670515626487287</v>
      </c>
      <c r="J1323" s="329"/>
      <c r="K1323" s="338">
        <v>7.1676289066218217</v>
      </c>
      <c r="L1323" s="338">
        <v>7.1676289066218217</v>
      </c>
      <c r="M1323" s="338">
        <v>7.1676289066218217</v>
      </c>
      <c r="N1323" s="338">
        <v>7.1676289066218217</v>
      </c>
      <c r="O1323" s="338"/>
    </row>
    <row r="1324" spans="1:15" hidden="1" outlineLevel="2" x14ac:dyDescent="0.35">
      <c r="A1324" s="425" t="s">
        <v>7974</v>
      </c>
      <c r="B1324" s="327" t="s">
        <v>7993</v>
      </c>
      <c r="C1324" s="426" t="s">
        <v>7994</v>
      </c>
      <c r="D1324" s="427" t="s">
        <v>9525</v>
      </c>
      <c r="E1324" s="426" t="s">
        <v>8705</v>
      </c>
      <c r="F1324" s="338">
        <v>122305</v>
      </c>
      <c r="G1324" s="338" t="s">
        <v>3800</v>
      </c>
      <c r="H1324" s="338"/>
      <c r="I1324" s="329">
        <v>29.15790121742058</v>
      </c>
      <c r="J1324" s="329"/>
      <c r="K1324" s="338">
        <v>7.289475304355145</v>
      </c>
      <c r="L1324" s="338">
        <v>7.289475304355145</v>
      </c>
      <c r="M1324" s="338">
        <v>7.289475304355145</v>
      </c>
      <c r="N1324" s="338">
        <v>7.289475304355145</v>
      </c>
      <c r="O1324" s="338"/>
    </row>
    <row r="1325" spans="1:15" hidden="1" outlineLevel="2" x14ac:dyDescent="0.35">
      <c r="A1325" s="425" t="s">
        <v>7974</v>
      </c>
      <c r="B1325" s="327">
        <v>44043</v>
      </c>
      <c r="C1325" s="426">
        <v>207</v>
      </c>
      <c r="D1325" s="427" t="s">
        <v>9526</v>
      </c>
      <c r="E1325" s="426" t="s">
        <v>8705</v>
      </c>
      <c r="F1325" s="338">
        <v>122305</v>
      </c>
      <c r="G1325" s="338" t="s">
        <v>3800</v>
      </c>
      <c r="H1325" s="338"/>
      <c r="I1325" s="329">
        <v>28.670515626487287</v>
      </c>
      <c r="J1325" s="329"/>
      <c r="K1325" s="338">
        <v>7.1676289066218217</v>
      </c>
      <c r="L1325" s="338">
        <v>7.1676289066218217</v>
      </c>
      <c r="M1325" s="338">
        <v>7.1676289066218217</v>
      </c>
      <c r="N1325" s="338">
        <v>7.1676289066218217</v>
      </c>
      <c r="O1325" s="338"/>
    </row>
    <row r="1326" spans="1:15" hidden="1" outlineLevel="2" x14ac:dyDescent="0.35">
      <c r="A1326" s="425" t="s">
        <v>7974</v>
      </c>
      <c r="B1326" s="327" t="s">
        <v>7990</v>
      </c>
      <c r="C1326" s="426" t="s">
        <v>7991</v>
      </c>
      <c r="D1326" s="427" t="s">
        <v>9527</v>
      </c>
      <c r="E1326" s="426" t="s">
        <v>8705</v>
      </c>
      <c r="F1326" s="338">
        <v>122305</v>
      </c>
      <c r="G1326" s="338" t="s">
        <v>3800</v>
      </c>
      <c r="H1326" s="338"/>
      <c r="I1326" s="329">
        <v>29.15790121742058</v>
      </c>
      <c r="J1326" s="329"/>
      <c r="K1326" s="338">
        <v>7.289475304355145</v>
      </c>
      <c r="L1326" s="338">
        <v>7.289475304355145</v>
      </c>
      <c r="M1326" s="338">
        <v>7.289475304355145</v>
      </c>
      <c r="N1326" s="338">
        <v>7.289475304355145</v>
      </c>
      <c r="O1326" s="338"/>
    </row>
    <row r="1327" spans="1:15" hidden="1" outlineLevel="2" x14ac:dyDescent="0.35">
      <c r="A1327" s="425" t="s">
        <v>7974</v>
      </c>
      <c r="B1327" s="327">
        <v>44074</v>
      </c>
      <c r="C1327" s="426">
        <v>221</v>
      </c>
      <c r="D1327" s="427" t="s">
        <v>9528</v>
      </c>
      <c r="E1327" s="426" t="s">
        <v>8705</v>
      </c>
      <c r="F1327" s="338">
        <v>122305</v>
      </c>
      <c r="G1327" s="338" t="s">
        <v>3800</v>
      </c>
      <c r="H1327" s="338"/>
      <c r="I1327" s="329">
        <v>28.670515626487287</v>
      </c>
      <c r="J1327" s="329"/>
      <c r="K1327" s="338">
        <v>7.1676289066218217</v>
      </c>
      <c r="L1327" s="338">
        <v>7.1676289066218217</v>
      </c>
      <c r="M1327" s="338">
        <v>7.1676289066218217</v>
      </c>
      <c r="N1327" s="338">
        <v>7.1676289066218217</v>
      </c>
      <c r="O1327" s="338"/>
    </row>
    <row r="1328" spans="1:15" hidden="1" outlineLevel="2" x14ac:dyDescent="0.35">
      <c r="A1328" s="425" t="s">
        <v>7974</v>
      </c>
      <c r="B1328" s="327" t="s">
        <v>7984</v>
      </c>
      <c r="C1328" s="426" t="s">
        <v>7985</v>
      </c>
      <c r="D1328" s="427" t="s">
        <v>9529</v>
      </c>
      <c r="E1328" s="426" t="s">
        <v>8705</v>
      </c>
      <c r="F1328" s="338">
        <v>122305</v>
      </c>
      <c r="G1328" s="338" t="s">
        <v>3800</v>
      </c>
      <c r="H1328" s="338"/>
      <c r="I1328" s="329">
        <v>29.15790121742058</v>
      </c>
      <c r="J1328" s="329"/>
      <c r="K1328" s="338">
        <v>7.289475304355145</v>
      </c>
      <c r="L1328" s="338">
        <v>7.289475304355145</v>
      </c>
      <c r="M1328" s="338">
        <v>7.289475304355145</v>
      </c>
      <c r="N1328" s="338">
        <v>7.289475304355145</v>
      </c>
      <c r="O1328" s="338"/>
    </row>
    <row r="1329" spans="1:15" hidden="1" outlineLevel="2" x14ac:dyDescent="0.35">
      <c r="A1329" s="425" t="s">
        <v>7974</v>
      </c>
      <c r="B1329" s="327">
        <v>44104</v>
      </c>
      <c r="C1329" s="426">
        <v>231</v>
      </c>
      <c r="D1329" s="427" t="s">
        <v>9530</v>
      </c>
      <c r="E1329" s="426" t="s">
        <v>8705</v>
      </c>
      <c r="F1329" s="338">
        <v>122305</v>
      </c>
      <c r="G1329" s="338" t="s">
        <v>3800</v>
      </c>
      <c r="H1329" s="338"/>
      <c r="I1329" s="329">
        <v>28.670515626487287</v>
      </c>
      <c r="J1329" s="329"/>
      <c r="K1329" s="338">
        <v>7.1676289066218217</v>
      </c>
      <c r="L1329" s="338">
        <v>7.1676289066218217</v>
      </c>
      <c r="M1329" s="338">
        <v>7.1676289066218217</v>
      </c>
      <c r="N1329" s="338">
        <v>7.1676289066218217</v>
      </c>
      <c r="O1329" s="338"/>
    </row>
    <row r="1330" spans="1:15" hidden="1" outlineLevel="2" x14ac:dyDescent="0.35">
      <c r="A1330" s="425" t="s">
        <v>7974</v>
      </c>
      <c r="B1330" s="327" t="s">
        <v>8005</v>
      </c>
      <c r="C1330" s="426" t="s">
        <v>8006</v>
      </c>
      <c r="D1330" s="427" t="s">
        <v>9531</v>
      </c>
      <c r="E1330" s="426" t="s">
        <v>8705</v>
      </c>
      <c r="F1330" s="338">
        <v>122305</v>
      </c>
      <c r="G1330" s="338" t="s">
        <v>3800</v>
      </c>
      <c r="H1330" s="338"/>
      <c r="I1330" s="329">
        <v>29.15790121742058</v>
      </c>
      <c r="J1330" s="329"/>
      <c r="K1330" s="338">
        <v>7.289475304355145</v>
      </c>
      <c r="L1330" s="338">
        <v>7.289475304355145</v>
      </c>
      <c r="M1330" s="338">
        <v>7.289475304355145</v>
      </c>
      <c r="N1330" s="338">
        <v>7.289475304355145</v>
      </c>
      <c r="O1330" s="338"/>
    </row>
    <row r="1331" spans="1:15" hidden="1" outlineLevel="2" x14ac:dyDescent="0.35">
      <c r="A1331" s="425" t="s">
        <v>7974</v>
      </c>
      <c r="B1331" s="327">
        <v>44047</v>
      </c>
      <c r="C1331" s="426">
        <v>215</v>
      </c>
      <c r="D1331" s="427" t="s">
        <v>9532</v>
      </c>
      <c r="E1331" s="426" t="s">
        <v>8702</v>
      </c>
      <c r="F1331" s="338">
        <v>2400000</v>
      </c>
      <c r="G1331" s="338" t="s">
        <v>3800</v>
      </c>
      <c r="H1331" s="338"/>
      <c r="I1331" s="329">
        <v>562.60363438591628</v>
      </c>
      <c r="J1331" s="329"/>
      <c r="K1331" s="338">
        <v>140.65090859647907</v>
      </c>
      <c r="L1331" s="338">
        <v>140.65090859647907</v>
      </c>
      <c r="M1331" s="338">
        <v>140.65090859647907</v>
      </c>
      <c r="N1331" s="338">
        <v>140.65090859647907</v>
      </c>
      <c r="O1331" s="338"/>
    </row>
    <row r="1332" spans="1:15" hidden="1" outlineLevel="2" x14ac:dyDescent="0.35">
      <c r="A1332" s="425" t="s">
        <v>7974</v>
      </c>
      <c r="B1332" s="327" t="s">
        <v>8002</v>
      </c>
      <c r="C1332" s="426" t="s">
        <v>8003</v>
      </c>
      <c r="D1332" s="427" t="s">
        <v>9533</v>
      </c>
      <c r="E1332" s="426" t="s">
        <v>8705</v>
      </c>
      <c r="F1332" s="338">
        <v>457683</v>
      </c>
      <c r="G1332" s="338" t="s">
        <v>3800</v>
      </c>
      <c r="H1332" s="338"/>
      <c r="I1332" s="329">
        <v>109.1130837078836</v>
      </c>
      <c r="J1332" s="329"/>
      <c r="K1332" s="338">
        <v>27.278270926970901</v>
      </c>
      <c r="L1332" s="338">
        <v>27.278270926970901</v>
      </c>
      <c r="M1332" s="338">
        <v>27.278270926970901</v>
      </c>
      <c r="N1332" s="338">
        <v>27.278270926970901</v>
      </c>
      <c r="O1332" s="338"/>
    </row>
    <row r="1333" spans="1:15" hidden="1" outlineLevel="2" x14ac:dyDescent="0.35">
      <c r="A1333" s="425" t="s">
        <v>7974</v>
      </c>
      <c r="B1333" s="327" t="s">
        <v>7999</v>
      </c>
      <c r="C1333" s="426" t="s">
        <v>8000</v>
      </c>
      <c r="D1333" s="427" t="s">
        <v>9533</v>
      </c>
      <c r="E1333" s="426" t="s">
        <v>8705</v>
      </c>
      <c r="F1333" s="338">
        <v>457683</v>
      </c>
      <c r="G1333" s="338" t="s">
        <v>3800</v>
      </c>
      <c r="H1333" s="338"/>
      <c r="I1333" s="329">
        <v>109.1130837078836</v>
      </c>
      <c r="J1333" s="329"/>
      <c r="K1333" s="338">
        <v>27.278270926970901</v>
      </c>
      <c r="L1333" s="338">
        <v>27.278270926970901</v>
      </c>
      <c r="M1333" s="338">
        <v>27.278270926970901</v>
      </c>
      <c r="N1333" s="338">
        <v>27.278270926970901</v>
      </c>
      <c r="O1333" s="338"/>
    </row>
    <row r="1334" spans="1:15" hidden="1" outlineLevel="2" x14ac:dyDescent="0.35">
      <c r="A1334" s="425" t="s">
        <v>7974</v>
      </c>
      <c r="B1334" s="327" t="s">
        <v>8077</v>
      </c>
      <c r="C1334" s="426" t="s">
        <v>9489</v>
      </c>
      <c r="D1334" s="427" t="s">
        <v>9534</v>
      </c>
      <c r="E1334" s="426" t="s">
        <v>8705</v>
      </c>
      <c r="F1334" s="338">
        <v>457683</v>
      </c>
      <c r="G1334" s="338" t="s">
        <v>3800</v>
      </c>
      <c r="H1334" s="338"/>
      <c r="I1334" s="329">
        <v>109.1130837078836</v>
      </c>
      <c r="J1334" s="329"/>
      <c r="K1334" s="338">
        <v>27.278270926970901</v>
      </c>
      <c r="L1334" s="338">
        <v>27.278270926970901</v>
      </c>
      <c r="M1334" s="338">
        <v>27.278270926970901</v>
      </c>
      <c r="N1334" s="338">
        <v>27.278270926970901</v>
      </c>
      <c r="O1334" s="338"/>
    </row>
    <row r="1335" spans="1:15" hidden="1" outlineLevel="2" x14ac:dyDescent="0.35">
      <c r="A1335" s="425" t="s">
        <v>7974</v>
      </c>
      <c r="B1335" s="327" t="s">
        <v>8079</v>
      </c>
      <c r="C1335" s="426" t="s">
        <v>8327</v>
      </c>
      <c r="D1335" s="427" t="s">
        <v>9535</v>
      </c>
      <c r="E1335" s="426" t="s">
        <v>8705</v>
      </c>
      <c r="F1335" s="338">
        <v>457683</v>
      </c>
      <c r="G1335" s="338" t="s">
        <v>3800</v>
      </c>
      <c r="H1335" s="338"/>
      <c r="I1335" s="329">
        <v>109.1130837078836</v>
      </c>
      <c r="J1335" s="329"/>
      <c r="K1335" s="338">
        <v>27.278270926970901</v>
      </c>
      <c r="L1335" s="338">
        <v>27.278270926970901</v>
      </c>
      <c r="M1335" s="338">
        <v>27.278270926970901</v>
      </c>
      <c r="N1335" s="338">
        <v>27.278270926970901</v>
      </c>
      <c r="O1335" s="338"/>
    </row>
    <row r="1336" spans="1:15" hidden="1" outlineLevel="2" x14ac:dyDescent="0.35">
      <c r="A1336" s="425" t="s">
        <v>7974</v>
      </c>
      <c r="B1336" s="327" t="s">
        <v>7987</v>
      </c>
      <c r="C1336" s="426" t="s">
        <v>7988</v>
      </c>
      <c r="D1336" s="427" t="s">
        <v>9536</v>
      </c>
      <c r="E1336" s="426" t="s">
        <v>8705</v>
      </c>
      <c r="F1336" s="338">
        <v>457683</v>
      </c>
      <c r="G1336" s="338" t="s">
        <v>3800</v>
      </c>
      <c r="H1336" s="338"/>
      <c r="I1336" s="329">
        <v>109.1130837078836</v>
      </c>
      <c r="J1336" s="329"/>
      <c r="K1336" s="338">
        <v>27.278270926970901</v>
      </c>
      <c r="L1336" s="338">
        <v>27.278270926970901</v>
      </c>
      <c r="M1336" s="338">
        <v>27.278270926970901</v>
      </c>
      <c r="N1336" s="338">
        <v>27.278270926970901</v>
      </c>
      <c r="O1336" s="338"/>
    </row>
    <row r="1337" spans="1:15" hidden="1" outlineLevel="2" x14ac:dyDescent="0.35">
      <c r="A1337" s="425" t="s">
        <v>7974</v>
      </c>
      <c r="B1337" s="327">
        <v>43921</v>
      </c>
      <c r="C1337" s="426">
        <v>179</v>
      </c>
      <c r="D1337" s="427" t="s">
        <v>9537</v>
      </c>
      <c r="E1337" s="426" t="s">
        <v>8705</v>
      </c>
      <c r="F1337" s="338">
        <v>457683</v>
      </c>
      <c r="G1337" s="338" t="s">
        <v>3800</v>
      </c>
      <c r="H1337" s="338"/>
      <c r="I1337" s="329">
        <v>107.28921633193721</v>
      </c>
      <c r="J1337" s="329"/>
      <c r="K1337" s="338">
        <v>26.822304082984303</v>
      </c>
      <c r="L1337" s="338">
        <v>26.822304082984303</v>
      </c>
      <c r="M1337" s="338">
        <v>26.822304082984303</v>
      </c>
      <c r="N1337" s="338">
        <v>26.822304082984303</v>
      </c>
      <c r="O1337" s="338"/>
    </row>
    <row r="1338" spans="1:15" hidden="1" outlineLevel="2" x14ac:dyDescent="0.35">
      <c r="A1338" s="425" t="s">
        <v>7974</v>
      </c>
      <c r="B1338" s="327">
        <v>43951</v>
      </c>
      <c r="C1338" s="426">
        <v>188</v>
      </c>
      <c r="D1338" s="427" t="s">
        <v>9538</v>
      </c>
      <c r="E1338" s="426" t="s">
        <v>8705</v>
      </c>
      <c r="F1338" s="338">
        <v>457683</v>
      </c>
      <c r="G1338" s="338" t="s">
        <v>3800</v>
      </c>
      <c r="H1338" s="338"/>
      <c r="I1338" s="329">
        <v>107.28921633193721</v>
      </c>
      <c r="J1338" s="329"/>
      <c r="K1338" s="338">
        <v>26.822304082984303</v>
      </c>
      <c r="L1338" s="338">
        <v>26.822304082984303</v>
      </c>
      <c r="M1338" s="338">
        <v>26.822304082984303</v>
      </c>
      <c r="N1338" s="338">
        <v>26.822304082984303</v>
      </c>
      <c r="O1338" s="338"/>
    </row>
    <row r="1339" spans="1:15" hidden="1" outlineLevel="2" x14ac:dyDescent="0.35">
      <c r="A1339" s="425" t="s">
        <v>7974</v>
      </c>
      <c r="B1339" s="327" t="s">
        <v>7996</v>
      </c>
      <c r="C1339" s="426" t="s">
        <v>7997</v>
      </c>
      <c r="D1339" s="427" t="s">
        <v>9539</v>
      </c>
      <c r="E1339" s="426" t="s">
        <v>8705</v>
      </c>
      <c r="F1339" s="338">
        <v>457683</v>
      </c>
      <c r="G1339" s="338" t="s">
        <v>3800</v>
      </c>
      <c r="H1339" s="338"/>
      <c r="I1339" s="329">
        <v>109.1130837078836</v>
      </c>
      <c r="J1339" s="329"/>
      <c r="K1339" s="338">
        <v>27.278270926970901</v>
      </c>
      <c r="L1339" s="338">
        <v>27.278270926970901</v>
      </c>
      <c r="M1339" s="338">
        <v>27.278270926970901</v>
      </c>
      <c r="N1339" s="338">
        <v>27.278270926970901</v>
      </c>
      <c r="O1339" s="338"/>
    </row>
    <row r="1340" spans="1:15" hidden="1" outlineLevel="2" x14ac:dyDescent="0.35">
      <c r="A1340" s="425" t="s">
        <v>7974</v>
      </c>
      <c r="B1340" s="327" t="s">
        <v>7993</v>
      </c>
      <c r="C1340" s="426" t="s">
        <v>7994</v>
      </c>
      <c r="D1340" s="427" t="s">
        <v>9539</v>
      </c>
      <c r="E1340" s="426" t="s">
        <v>8705</v>
      </c>
      <c r="F1340" s="338">
        <v>457683</v>
      </c>
      <c r="G1340" s="338" t="s">
        <v>3800</v>
      </c>
      <c r="H1340" s="338"/>
      <c r="I1340" s="329">
        <v>109.1130837078836</v>
      </c>
      <c r="J1340" s="329"/>
      <c r="K1340" s="338">
        <v>27.278270926970901</v>
      </c>
      <c r="L1340" s="338">
        <v>27.278270926970901</v>
      </c>
      <c r="M1340" s="338">
        <v>27.278270926970901</v>
      </c>
      <c r="N1340" s="338">
        <v>27.278270926970901</v>
      </c>
      <c r="O1340" s="338"/>
    </row>
    <row r="1341" spans="1:15" hidden="1" outlineLevel="2" x14ac:dyDescent="0.35">
      <c r="A1341" s="425" t="s">
        <v>7974</v>
      </c>
      <c r="B1341" s="327" t="s">
        <v>7990</v>
      </c>
      <c r="C1341" s="426" t="s">
        <v>7991</v>
      </c>
      <c r="D1341" s="427" t="s">
        <v>9540</v>
      </c>
      <c r="E1341" s="426" t="s">
        <v>8705</v>
      </c>
      <c r="F1341" s="338">
        <v>457683</v>
      </c>
      <c r="G1341" s="338" t="s">
        <v>3800</v>
      </c>
      <c r="H1341" s="338"/>
      <c r="I1341" s="329">
        <v>109.1130837078836</v>
      </c>
      <c r="J1341" s="329"/>
      <c r="K1341" s="338">
        <v>27.278270926970901</v>
      </c>
      <c r="L1341" s="338">
        <v>27.278270926970901</v>
      </c>
      <c r="M1341" s="338">
        <v>27.278270926970901</v>
      </c>
      <c r="N1341" s="338">
        <v>27.278270926970901</v>
      </c>
      <c r="O1341" s="338"/>
    </row>
    <row r="1342" spans="1:15" hidden="1" outlineLevel="2" x14ac:dyDescent="0.35">
      <c r="A1342" s="425" t="s">
        <v>7974</v>
      </c>
      <c r="B1342" s="327" t="s">
        <v>7984</v>
      </c>
      <c r="C1342" s="426" t="s">
        <v>7985</v>
      </c>
      <c r="D1342" s="427" t="s">
        <v>9541</v>
      </c>
      <c r="E1342" s="426" t="s">
        <v>8705</v>
      </c>
      <c r="F1342" s="338">
        <v>457683</v>
      </c>
      <c r="G1342" s="338" t="s">
        <v>3800</v>
      </c>
      <c r="H1342" s="338"/>
      <c r="I1342" s="329">
        <v>109.1130837078836</v>
      </c>
      <c r="J1342" s="329"/>
      <c r="K1342" s="338">
        <v>27.278270926970901</v>
      </c>
      <c r="L1342" s="338">
        <v>27.278270926970901</v>
      </c>
      <c r="M1342" s="338">
        <v>27.278270926970901</v>
      </c>
      <c r="N1342" s="338">
        <v>27.278270926970901</v>
      </c>
      <c r="O1342" s="338"/>
    </row>
    <row r="1343" spans="1:15" hidden="1" outlineLevel="2" x14ac:dyDescent="0.35">
      <c r="A1343" s="425" t="s">
        <v>7974</v>
      </c>
      <c r="B1343" s="327" t="s">
        <v>8005</v>
      </c>
      <c r="C1343" s="426" t="s">
        <v>8006</v>
      </c>
      <c r="D1343" s="427" t="s">
        <v>9542</v>
      </c>
      <c r="E1343" s="426" t="s">
        <v>8705</v>
      </c>
      <c r="F1343" s="338">
        <v>457683</v>
      </c>
      <c r="G1343" s="338" t="s">
        <v>3800</v>
      </c>
      <c r="H1343" s="338"/>
      <c r="I1343" s="329">
        <v>109.1130837078836</v>
      </c>
      <c r="J1343" s="329"/>
      <c r="K1343" s="338">
        <v>27.278270926970901</v>
      </c>
      <c r="L1343" s="338">
        <v>27.278270926970901</v>
      </c>
      <c r="M1343" s="338">
        <v>27.278270926970901</v>
      </c>
      <c r="N1343" s="338">
        <v>27.278270926970901</v>
      </c>
      <c r="O1343" s="338"/>
    </row>
    <row r="1344" spans="1:15" hidden="1" outlineLevel="2" x14ac:dyDescent="0.35">
      <c r="A1344" s="425" t="s">
        <v>7974</v>
      </c>
      <c r="B1344" s="327" t="s">
        <v>8075</v>
      </c>
      <c r="C1344" s="426" t="s">
        <v>9494</v>
      </c>
      <c r="D1344" s="427" t="s">
        <v>9543</v>
      </c>
      <c r="E1344" s="426" t="s">
        <v>8705</v>
      </c>
      <c r="F1344" s="338">
        <v>457683</v>
      </c>
      <c r="G1344" s="338" t="s">
        <v>3800</v>
      </c>
      <c r="H1344" s="338"/>
      <c r="I1344" s="329">
        <v>109.1130837078836</v>
      </c>
      <c r="J1344" s="329"/>
      <c r="K1344" s="338">
        <v>27.278270926970901</v>
      </c>
      <c r="L1344" s="338">
        <v>27.278270926970901</v>
      </c>
      <c r="M1344" s="338">
        <v>27.278270926970901</v>
      </c>
      <c r="N1344" s="338">
        <v>27.278270926970901</v>
      </c>
      <c r="O1344" s="338"/>
    </row>
    <row r="1345" spans="1:15" hidden="1" outlineLevel="2" x14ac:dyDescent="0.35">
      <c r="A1345" s="425" t="s">
        <v>7974</v>
      </c>
      <c r="B1345" s="327" t="s">
        <v>8089</v>
      </c>
      <c r="C1345" s="426" t="s">
        <v>9497</v>
      </c>
      <c r="D1345" s="427" t="s">
        <v>9544</v>
      </c>
      <c r="E1345" s="426" t="s">
        <v>8705</v>
      </c>
      <c r="F1345" s="338">
        <v>457683</v>
      </c>
      <c r="G1345" s="338" t="s">
        <v>3800</v>
      </c>
      <c r="H1345" s="338"/>
      <c r="I1345" s="329">
        <v>109.1130837078836</v>
      </c>
      <c r="J1345" s="329"/>
      <c r="K1345" s="338">
        <v>27.278270926970901</v>
      </c>
      <c r="L1345" s="338">
        <v>27.278270926970901</v>
      </c>
      <c r="M1345" s="338">
        <v>27.278270926970901</v>
      </c>
      <c r="N1345" s="338">
        <v>27.278270926970901</v>
      </c>
      <c r="O1345" s="338"/>
    </row>
    <row r="1346" spans="1:15" hidden="1" outlineLevel="2" x14ac:dyDescent="0.35">
      <c r="A1346" s="425" t="s">
        <v>7974</v>
      </c>
      <c r="B1346" s="327" t="s">
        <v>7980</v>
      </c>
      <c r="C1346" s="426" t="s">
        <v>9499</v>
      </c>
      <c r="D1346" s="427" t="s">
        <v>9544</v>
      </c>
      <c r="E1346" s="426" t="s">
        <v>8705</v>
      </c>
      <c r="F1346" s="338">
        <v>457683</v>
      </c>
      <c r="G1346" s="338" t="s">
        <v>3800</v>
      </c>
      <c r="H1346" s="338"/>
      <c r="I1346" s="329">
        <v>109.1130837078836</v>
      </c>
      <c r="J1346" s="329"/>
      <c r="K1346" s="338">
        <v>27.278270926970901</v>
      </c>
      <c r="L1346" s="338">
        <v>27.278270926970901</v>
      </c>
      <c r="M1346" s="338">
        <v>27.278270926970901</v>
      </c>
      <c r="N1346" s="338">
        <v>27.278270926970901</v>
      </c>
      <c r="O1346" s="338"/>
    </row>
    <row r="1347" spans="1:15" hidden="1" outlineLevel="2" x14ac:dyDescent="0.35">
      <c r="A1347" s="425" t="s">
        <v>7974</v>
      </c>
      <c r="B1347" s="327" t="s">
        <v>7999</v>
      </c>
      <c r="C1347" s="426" t="s">
        <v>8000</v>
      </c>
      <c r="D1347" s="427" t="s">
        <v>8401</v>
      </c>
      <c r="E1347" s="426" t="s">
        <v>8705</v>
      </c>
      <c r="F1347" s="338">
        <v>200000</v>
      </c>
      <c r="G1347" s="338" t="s">
        <v>3800</v>
      </c>
      <c r="H1347" s="338"/>
      <c r="I1347" s="329">
        <v>47.680636470169794</v>
      </c>
      <c r="J1347" s="329"/>
      <c r="K1347" s="338">
        <v>11.920159117542449</v>
      </c>
      <c r="L1347" s="338">
        <v>11.920159117542449</v>
      </c>
      <c r="M1347" s="338">
        <v>11.920159117542449</v>
      </c>
      <c r="N1347" s="338">
        <v>11.920159117542449</v>
      </c>
      <c r="O1347" s="338"/>
    </row>
    <row r="1348" spans="1:15" hidden="1" outlineLevel="2" x14ac:dyDescent="0.35">
      <c r="A1348" s="425" t="s">
        <v>7974</v>
      </c>
      <c r="B1348" s="327" t="s">
        <v>8002</v>
      </c>
      <c r="C1348" s="426" t="s">
        <v>8003</v>
      </c>
      <c r="D1348" s="427" t="s">
        <v>9545</v>
      </c>
      <c r="E1348" s="426" t="s">
        <v>8705</v>
      </c>
      <c r="F1348" s="338">
        <v>611524</v>
      </c>
      <c r="G1348" s="338" t="s">
        <v>3800</v>
      </c>
      <c r="H1348" s="338"/>
      <c r="I1348" s="329">
        <v>145.78926768392057</v>
      </c>
      <c r="J1348" s="329"/>
      <c r="K1348" s="338">
        <v>36.447316920980143</v>
      </c>
      <c r="L1348" s="338">
        <v>36.447316920980143</v>
      </c>
      <c r="M1348" s="338">
        <v>36.447316920980143</v>
      </c>
      <c r="N1348" s="338">
        <v>36.447316920980143</v>
      </c>
      <c r="O1348" s="338"/>
    </row>
    <row r="1349" spans="1:15" hidden="1" outlineLevel="2" x14ac:dyDescent="0.35">
      <c r="A1349" s="425" t="s">
        <v>7974</v>
      </c>
      <c r="B1349" s="327" t="s">
        <v>7999</v>
      </c>
      <c r="C1349" s="426" t="s">
        <v>8000</v>
      </c>
      <c r="D1349" s="427" t="s">
        <v>9545</v>
      </c>
      <c r="E1349" s="426" t="s">
        <v>8705</v>
      </c>
      <c r="F1349" s="338">
        <v>611524</v>
      </c>
      <c r="G1349" s="338" t="s">
        <v>3800</v>
      </c>
      <c r="H1349" s="338"/>
      <c r="I1349" s="329">
        <v>145.78926768392057</v>
      </c>
      <c r="J1349" s="329"/>
      <c r="K1349" s="338">
        <v>36.447316920980143</v>
      </c>
      <c r="L1349" s="338">
        <v>36.447316920980143</v>
      </c>
      <c r="M1349" s="338">
        <v>36.447316920980143</v>
      </c>
      <c r="N1349" s="338">
        <v>36.447316920980143</v>
      </c>
      <c r="O1349" s="338"/>
    </row>
    <row r="1350" spans="1:15" hidden="1" outlineLevel="2" x14ac:dyDescent="0.35">
      <c r="A1350" s="425" t="s">
        <v>7974</v>
      </c>
      <c r="B1350" s="327">
        <v>44165</v>
      </c>
      <c r="C1350" s="426">
        <v>245</v>
      </c>
      <c r="D1350" s="427" t="s">
        <v>9546</v>
      </c>
      <c r="E1350" s="426" t="s">
        <v>8705</v>
      </c>
      <c r="F1350" s="338">
        <v>611524</v>
      </c>
      <c r="G1350" s="338" t="s">
        <v>3800</v>
      </c>
      <c r="H1350" s="338"/>
      <c r="I1350" s="329">
        <v>143.35234371425543</v>
      </c>
      <c r="J1350" s="329"/>
      <c r="K1350" s="338">
        <v>35.838085928563856</v>
      </c>
      <c r="L1350" s="338">
        <v>35.838085928563856</v>
      </c>
      <c r="M1350" s="338">
        <v>35.838085928563856</v>
      </c>
      <c r="N1350" s="338">
        <v>35.838085928563856</v>
      </c>
      <c r="O1350" s="338"/>
    </row>
    <row r="1351" spans="1:15" hidden="1" outlineLevel="2" x14ac:dyDescent="0.35">
      <c r="A1351" s="425" t="s">
        <v>7974</v>
      </c>
      <c r="B1351" s="327" t="s">
        <v>8077</v>
      </c>
      <c r="C1351" s="426" t="s">
        <v>9489</v>
      </c>
      <c r="D1351" s="427" t="s">
        <v>9547</v>
      </c>
      <c r="E1351" s="426" t="s">
        <v>8705</v>
      </c>
      <c r="F1351" s="338">
        <v>611524</v>
      </c>
      <c r="G1351" s="338" t="s">
        <v>3800</v>
      </c>
      <c r="H1351" s="338"/>
      <c r="I1351" s="329">
        <v>145.78926768392057</v>
      </c>
      <c r="J1351" s="329"/>
      <c r="K1351" s="338">
        <v>36.447316920980143</v>
      </c>
      <c r="L1351" s="338">
        <v>36.447316920980143</v>
      </c>
      <c r="M1351" s="338">
        <v>36.447316920980143</v>
      </c>
      <c r="N1351" s="338">
        <v>36.447316920980143</v>
      </c>
      <c r="O1351" s="338"/>
    </row>
    <row r="1352" spans="1:15" hidden="1" outlineLevel="2" x14ac:dyDescent="0.35">
      <c r="A1352" s="425" t="s">
        <v>7974</v>
      </c>
      <c r="B1352" s="327" t="s">
        <v>8079</v>
      </c>
      <c r="C1352" s="426" t="s">
        <v>8327</v>
      </c>
      <c r="D1352" s="427" t="s">
        <v>9548</v>
      </c>
      <c r="E1352" s="426" t="s">
        <v>8705</v>
      </c>
      <c r="F1352" s="338">
        <v>611524</v>
      </c>
      <c r="G1352" s="338" t="s">
        <v>3800</v>
      </c>
      <c r="H1352" s="338"/>
      <c r="I1352" s="329">
        <v>145.78926768392057</v>
      </c>
      <c r="J1352" s="329"/>
      <c r="K1352" s="338">
        <v>36.447316920980143</v>
      </c>
      <c r="L1352" s="338">
        <v>36.447316920980143</v>
      </c>
      <c r="M1352" s="338">
        <v>36.447316920980143</v>
      </c>
      <c r="N1352" s="338">
        <v>36.447316920980143</v>
      </c>
      <c r="O1352" s="338"/>
    </row>
    <row r="1353" spans="1:15" hidden="1" outlineLevel="2" x14ac:dyDescent="0.35">
      <c r="A1353" s="425" t="s">
        <v>7974</v>
      </c>
      <c r="B1353" s="327">
        <v>44196</v>
      </c>
      <c r="C1353" s="426">
        <v>253</v>
      </c>
      <c r="D1353" s="427" t="s">
        <v>9549</v>
      </c>
      <c r="E1353" s="426" t="s">
        <v>8705</v>
      </c>
      <c r="F1353" s="338">
        <v>611524</v>
      </c>
      <c r="G1353" s="338" t="s">
        <v>3800</v>
      </c>
      <c r="H1353" s="338"/>
      <c r="I1353" s="329">
        <v>143.35234371425543</v>
      </c>
      <c r="J1353" s="329"/>
      <c r="K1353" s="338">
        <v>35.838085928563856</v>
      </c>
      <c r="L1353" s="338">
        <v>35.838085928563856</v>
      </c>
      <c r="M1353" s="338">
        <v>35.838085928563856</v>
      </c>
      <c r="N1353" s="338">
        <v>35.838085928563856</v>
      </c>
      <c r="O1353" s="338"/>
    </row>
    <row r="1354" spans="1:15" hidden="1" outlineLevel="2" x14ac:dyDescent="0.35">
      <c r="A1354" s="425" t="s">
        <v>7974</v>
      </c>
      <c r="B1354" s="327" t="s">
        <v>7987</v>
      </c>
      <c r="C1354" s="426" t="s">
        <v>7988</v>
      </c>
      <c r="D1354" s="427" t="s">
        <v>9550</v>
      </c>
      <c r="E1354" s="426" t="s">
        <v>8705</v>
      </c>
      <c r="F1354" s="338">
        <v>611524</v>
      </c>
      <c r="G1354" s="338" t="s">
        <v>3800</v>
      </c>
      <c r="H1354" s="338"/>
      <c r="I1354" s="329">
        <v>145.78926768392057</v>
      </c>
      <c r="J1354" s="329"/>
      <c r="K1354" s="338">
        <v>36.447316920980143</v>
      </c>
      <c r="L1354" s="338">
        <v>36.447316920980143</v>
      </c>
      <c r="M1354" s="338">
        <v>36.447316920980143</v>
      </c>
      <c r="N1354" s="338">
        <v>36.447316920980143</v>
      </c>
      <c r="O1354" s="338"/>
    </row>
    <row r="1355" spans="1:15" hidden="1" outlineLevel="2" x14ac:dyDescent="0.35">
      <c r="A1355" s="425" t="s">
        <v>7974</v>
      </c>
      <c r="B1355" s="327" t="s">
        <v>8075</v>
      </c>
      <c r="C1355" s="426" t="s">
        <v>9494</v>
      </c>
      <c r="D1355" s="427" t="s">
        <v>9551</v>
      </c>
      <c r="E1355" s="426" t="s">
        <v>8705</v>
      </c>
      <c r="F1355" s="338">
        <v>611524</v>
      </c>
      <c r="G1355" s="338" t="s">
        <v>3800</v>
      </c>
      <c r="H1355" s="338"/>
      <c r="I1355" s="329">
        <v>145.78926768392057</v>
      </c>
      <c r="J1355" s="329"/>
      <c r="K1355" s="338">
        <v>36.447316920980143</v>
      </c>
      <c r="L1355" s="338">
        <v>36.447316920980143</v>
      </c>
      <c r="M1355" s="338">
        <v>36.447316920980143</v>
      </c>
      <c r="N1355" s="338">
        <v>36.447316920980143</v>
      </c>
      <c r="O1355" s="338"/>
    </row>
    <row r="1356" spans="1:15" hidden="1" outlineLevel="2" x14ac:dyDescent="0.35">
      <c r="A1356" s="425" t="s">
        <v>7974</v>
      </c>
      <c r="B1356" s="327">
        <v>43921</v>
      </c>
      <c r="C1356" s="426">
        <v>179</v>
      </c>
      <c r="D1356" s="427" t="s">
        <v>9552</v>
      </c>
      <c r="E1356" s="426" t="s">
        <v>8705</v>
      </c>
      <c r="F1356" s="338">
        <v>611524</v>
      </c>
      <c r="G1356" s="338" t="s">
        <v>3800</v>
      </c>
      <c r="H1356" s="338"/>
      <c r="I1356" s="329">
        <v>143.35234371425543</v>
      </c>
      <c r="J1356" s="329"/>
      <c r="K1356" s="338">
        <v>35.838085928563856</v>
      </c>
      <c r="L1356" s="338">
        <v>35.838085928563856</v>
      </c>
      <c r="M1356" s="338">
        <v>35.838085928563856</v>
      </c>
      <c r="N1356" s="338">
        <v>35.838085928563856</v>
      </c>
      <c r="O1356" s="338"/>
    </row>
    <row r="1357" spans="1:15" hidden="1" outlineLevel="2" x14ac:dyDescent="0.35">
      <c r="A1357" s="425" t="s">
        <v>7974</v>
      </c>
      <c r="B1357" s="327" t="s">
        <v>8089</v>
      </c>
      <c r="C1357" s="426" t="s">
        <v>9497</v>
      </c>
      <c r="D1357" s="427" t="s">
        <v>9553</v>
      </c>
      <c r="E1357" s="426" t="s">
        <v>8705</v>
      </c>
      <c r="F1357" s="338">
        <v>611524</v>
      </c>
      <c r="G1357" s="338" t="s">
        <v>3800</v>
      </c>
      <c r="H1357" s="338"/>
      <c r="I1357" s="329">
        <v>145.78926768392057</v>
      </c>
      <c r="J1357" s="329"/>
      <c r="K1357" s="338">
        <v>36.447316920980143</v>
      </c>
      <c r="L1357" s="338">
        <v>36.447316920980143</v>
      </c>
      <c r="M1357" s="338">
        <v>36.447316920980143</v>
      </c>
      <c r="N1357" s="338">
        <v>36.447316920980143</v>
      </c>
      <c r="O1357" s="338"/>
    </row>
    <row r="1358" spans="1:15" hidden="1" outlineLevel="2" x14ac:dyDescent="0.35">
      <c r="A1358" s="425" t="s">
        <v>7974</v>
      </c>
      <c r="B1358" s="327" t="s">
        <v>7980</v>
      </c>
      <c r="C1358" s="426" t="s">
        <v>9499</v>
      </c>
      <c r="D1358" s="427" t="s">
        <v>9553</v>
      </c>
      <c r="E1358" s="426" t="s">
        <v>8705</v>
      </c>
      <c r="F1358" s="338">
        <v>611524</v>
      </c>
      <c r="G1358" s="338" t="s">
        <v>3800</v>
      </c>
      <c r="H1358" s="338"/>
      <c r="I1358" s="329">
        <v>145.78926768392057</v>
      </c>
      <c r="J1358" s="329"/>
      <c r="K1358" s="338">
        <v>36.447316920980143</v>
      </c>
      <c r="L1358" s="338">
        <v>36.447316920980143</v>
      </c>
      <c r="M1358" s="338">
        <v>36.447316920980143</v>
      </c>
      <c r="N1358" s="338">
        <v>36.447316920980143</v>
      </c>
      <c r="O1358" s="338"/>
    </row>
    <row r="1359" spans="1:15" hidden="1" outlineLevel="2" x14ac:dyDescent="0.35">
      <c r="A1359" s="425" t="s">
        <v>7974</v>
      </c>
      <c r="B1359" s="327">
        <v>43951</v>
      </c>
      <c r="C1359" s="426">
        <v>188</v>
      </c>
      <c r="D1359" s="427" t="s">
        <v>9554</v>
      </c>
      <c r="E1359" s="426" t="s">
        <v>8705</v>
      </c>
      <c r="F1359" s="338">
        <v>611524</v>
      </c>
      <c r="G1359" s="338" t="s">
        <v>3800</v>
      </c>
      <c r="H1359" s="338"/>
      <c r="I1359" s="329">
        <v>143.35234371425543</v>
      </c>
      <c r="J1359" s="329"/>
      <c r="K1359" s="338">
        <v>35.838085928563856</v>
      </c>
      <c r="L1359" s="338">
        <v>35.838085928563856</v>
      </c>
      <c r="M1359" s="338">
        <v>35.838085928563856</v>
      </c>
      <c r="N1359" s="338">
        <v>35.838085928563856</v>
      </c>
      <c r="O1359" s="338"/>
    </row>
    <row r="1360" spans="1:15" hidden="1" outlineLevel="2" x14ac:dyDescent="0.35">
      <c r="A1360" s="425" t="s">
        <v>7974</v>
      </c>
      <c r="B1360" s="327">
        <v>43982</v>
      </c>
      <c r="C1360" s="426">
        <v>194</v>
      </c>
      <c r="D1360" s="427" t="s">
        <v>9555</v>
      </c>
      <c r="E1360" s="426" t="s">
        <v>8705</v>
      </c>
      <c r="F1360" s="338">
        <v>611524</v>
      </c>
      <c r="G1360" s="338" t="s">
        <v>3800</v>
      </c>
      <c r="H1360" s="338"/>
      <c r="I1360" s="329">
        <v>143.35234371425543</v>
      </c>
      <c r="J1360" s="329"/>
      <c r="K1360" s="338">
        <v>35.838085928563856</v>
      </c>
      <c r="L1360" s="338">
        <v>35.838085928563856</v>
      </c>
      <c r="M1360" s="338">
        <v>35.838085928563856</v>
      </c>
      <c r="N1360" s="338">
        <v>35.838085928563856</v>
      </c>
      <c r="O1360" s="338"/>
    </row>
    <row r="1361" spans="1:15" hidden="1" outlineLevel="2" x14ac:dyDescent="0.35">
      <c r="A1361" s="425" t="s">
        <v>7974</v>
      </c>
      <c r="B1361" s="327" t="s">
        <v>7996</v>
      </c>
      <c r="C1361" s="426" t="s">
        <v>7997</v>
      </c>
      <c r="D1361" s="427" t="s">
        <v>9556</v>
      </c>
      <c r="E1361" s="426" t="s">
        <v>8705</v>
      </c>
      <c r="F1361" s="338">
        <v>611524</v>
      </c>
      <c r="G1361" s="338" t="s">
        <v>3800</v>
      </c>
      <c r="H1361" s="338"/>
      <c r="I1361" s="329">
        <v>145.78926768392057</v>
      </c>
      <c r="J1361" s="329"/>
      <c r="K1361" s="338">
        <v>36.447316920980143</v>
      </c>
      <c r="L1361" s="338">
        <v>36.447316920980143</v>
      </c>
      <c r="M1361" s="338">
        <v>36.447316920980143</v>
      </c>
      <c r="N1361" s="338">
        <v>36.447316920980143</v>
      </c>
      <c r="O1361" s="338"/>
    </row>
    <row r="1362" spans="1:15" hidden="1" outlineLevel="2" x14ac:dyDescent="0.35">
      <c r="A1362" s="425" t="s">
        <v>7974</v>
      </c>
      <c r="B1362" s="327">
        <v>44012</v>
      </c>
      <c r="C1362" s="426">
        <v>201</v>
      </c>
      <c r="D1362" s="427" t="s">
        <v>9557</v>
      </c>
      <c r="E1362" s="426" t="s">
        <v>8705</v>
      </c>
      <c r="F1362" s="338">
        <v>611524</v>
      </c>
      <c r="G1362" s="338" t="s">
        <v>3800</v>
      </c>
      <c r="H1362" s="338"/>
      <c r="I1362" s="329">
        <v>143.35234371425543</v>
      </c>
      <c r="J1362" s="329"/>
      <c r="K1362" s="338">
        <v>35.838085928563856</v>
      </c>
      <c r="L1362" s="338">
        <v>35.838085928563856</v>
      </c>
      <c r="M1362" s="338">
        <v>35.838085928563856</v>
      </c>
      <c r="N1362" s="338">
        <v>35.838085928563856</v>
      </c>
      <c r="O1362" s="338"/>
    </row>
    <row r="1363" spans="1:15" hidden="1" outlineLevel="2" x14ac:dyDescent="0.35">
      <c r="A1363" s="425" t="s">
        <v>7974</v>
      </c>
      <c r="B1363" s="327">
        <v>44135</v>
      </c>
      <c r="C1363" s="426">
        <v>237</v>
      </c>
      <c r="D1363" s="427" t="s">
        <v>9557</v>
      </c>
      <c r="E1363" s="426" t="s">
        <v>8705</v>
      </c>
      <c r="F1363" s="338">
        <v>611524</v>
      </c>
      <c r="G1363" s="338" t="s">
        <v>3800</v>
      </c>
      <c r="H1363" s="338"/>
      <c r="I1363" s="329">
        <v>143.35234371425543</v>
      </c>
      <c r="J1363" s="329"/>
      <c r="K1363" s="338">
        <v>35.838085928563856</v>
      </c>
      <c r="L1363" s="338">
        <v>35.838085928563856</v>
      </c>
      <c r="M1363" s="338">
        <v>35.838085928563856</v>
      </c>
      <c r="N1363" s="338">
        <v>35.838085928563856</v>
      </c>
      <c r="O1363" s="338"/>
    </row>
    <row r="1364" spans="1:15" hidden="1" outlineLevel="2" x14ac:dyDescent="0.35">
      <c r="A1364" s="425" t="s">
        <v>7974</v>
      </c>
      <c r="B1364" s="327" t="s">
        <v>7993</v>
      </c>
      <c r="C1364" s="426" t="s">
        <v>7994</v>
      </c>
      <c r="D1364" s="427" t="s">
        <v>9558</v>
      </c>
      <c r="E1364" s="426" t="s">
        <v>8705</v>
      </c>
      <c r="F1364" s="338">
        <v>611524</v>
      </c>
      <c r="G1364" s="338" t="s">
        <v>3800</v>
      </c>
      <c r="H1364" s="338"/>
      <c r="I1364" s="329">
        <v>145.78926768392057</v>
      </c>
      <c r="J1364" s="329"/>
      <c r="K1364" s="338">
        <v>36.447316920980143</v>
      </c>
      <c r="L1364" s="338">
        <v>36.447316920980143</v>
      </c>
      <c r="M1364" s="338">
        <v>36.447316920980143</v>
      </c>
      <c r="N1364" s="338">
        <v>36.447316920980143</v>
      </c>
      <c r="O1364" s="338"/>
    </row>
    <row r="1365" spans="1:15" hidden="1" outlineLevel="2" x14ac:dyDescent="0.35">
      <c r="A1365" s="425" t="s">
        <v>7974</v>
      </c>
      <c r="B1365" s="327">
        <v>44043</v>
      </c>
      <c r="C1365" s="426">
        <v>207</v>
      </c>
      <c r="D1365" s="427" t="s">
        <v>9559</v>
      </c>
      <c r="E1365" s="426" t="s">
        <v>8705</v>
      </c>
      <c r="F1365" s="338">
        <v>611524</v>
      </c>
      <c r="G1365" s="338" t="s">
        <v>3800</v>
      </c>
      <c r="H1365" s="338"/>
      <c r="I1365" s="329">
        <v>143.35234371425543</v>
      </c>
      <c r="J1365" s="329"/>
      <c r="K1365" s="338">
        <v>35.838085928563856</v>
      </c>
      <c r="L1365" s="338">
        <v>35.838085928563856</v>
      </c>
      <c r="M1365" s="338">
        <v>35.838085928563856</v>
      </c>
      <c r="N1365" s="338">
        <v>35.838085928563856</v>
      </c>
      <c r="O1365" s="338"/>
    </row>
    <row r="1366" spans="1:15" hidden="1" outlineLevel="2" x14ac:dyDescent="0.35">
      <c r="A1366" s="425" t="s">
        <v>7974</v>
      </c>
      <c r="B1366" s="327" t="s">
        <v>7990</v>
      </c>
      <c r="C1366" s="426" t="s">
        <v>7991</v>
      </c>
      <c r="D1366" s="427" t="s">
        <v>9560</v>
      </c>
      <c r="E1366" s="426" t="s">
        <v>8705</v>
      </c>
      <c r="F1366" s="338">
        <v>611524</v>
      </c>
      <c r="G1366" s="338" t="s">
        <v>3800</v>
      </c>
      <c r="H1366" s="338"/>
      <c r="I1366" s="329">
        <v>145.78926768392057</v>
      </c>
      <c r="J1366" s="329"/>
      <c r="K1366" s="338">
        <v>36.447316920980143</v>
      </c>
      <c r="L1366" s="338">
        <v>36.447316920980143</v>
      </c>
      <c r="M1366" s="338">
        <v>36.447316920980143</v>
      </c>
      <c r="N1366" s="338">
        <v>36.447316920980143</v>
      </c>
      <c r="O1366" s="338"/>
    </row>
    <row r="1367" spans="1:15" hidden="1" outlineLevel="2" x14ac:dyDescent="0.35">
      <c r="A1367" s="425" t="s">
        <v>7974</v>
      </c>
      <c r="B1367" s="327">
        <v>44074</v>
      </c>
      <c r="C1367" s="426">
        <v>221</v>
      </c>
      <c r="D1367" s="427" t="s">
        <v>9561</v>
      </c>
      <c r="E1367" s="426" t="s">
        <v>8705</v>
      </c>
      <c r="F1367" s="338">
        <v>611524</v>
      </c>
      <c r="G1367" s="338" t="s">
        <v>3800</v>
      </c>
      <c r="H1367" s="338"/>
      <c r="I1367" s="329">
        <v>143.35234371425543</v>
      </c>
      <c r="J1367" s="329"/>
      <c r="K1367" s="338">
        <v>35.838085928563856</v>
      </c>
      <c r="L1367" s="338">
        <v>35.838085928563856</v>
      </c>
      <c r="M1367" s="338">
        <v>35.838085928563856</v>
      </c>
      <c r="N1367" s="338">
        <v>35.838085928563856</v>
      </c>
      <c r="O1367" s="338"/>
    </row>
    <row r="1368" spans="1:15" hidden="1" outlineLevel="2" x14ac:dyDescent="0.35">
      <c r="A1368" s="425" t="s">
        <v>7974</v>
      </c>
      <c r="B1368" s="327" t="s">
        <v>7984</v>
      </c>
      <c r="C1368" s="426" t="s">
        <v>7985</v>
      </c>
      <c r="D1368" s="427" t="s">
        <v>9562</v>
      </c>
      <c r="E1368" s="426" t="s">
        <v>8705</v>
      </c>
      <c r="F1368" s="338">
        <v>611524</v>
      </c>
      <c r="G1368" s="338" t="s">
        <v>3800</v>
      </c>
      <c r="H1368" s="338"/>
      <c r="I1368" s="329">
        <v>145.78926768392057</v>
      </c>
      <c r="J1368" s="329"/>
      <c r="K1368" s="338">
        <v>36.447316920980143</v>
      </c>
      <c r="L1368" s="338">
        <v>36.447316920980143</v>
      </c>
      <c r="M1368" s="338">
        <v>36.447316920980143</v>
      </c>
      <c r="N1368" s="338">
        <v>36.447316920980143</v>
      </c>
      <c r="O1368" s="338"/>
    </row>
    <row r="1369" spans="1:15" hidden="1" outlineLevel="2" x14ac:dyDescent="0.35">
      <c r="A1369" s="425" t="s">
        <v>7974</v>
      </c>
      <c r="B1369" s="327">
        <v>44104</v>
      </c>
      <c r="C1369" s="426">
        <v>231</v>
      </c>
      <c r="D1369" s="427" t="s">
        <v>9563</v>
      </c>
      <c r="E1369" s="426" t="s">
        <v>8705</v>
      </c>
      <c r="F1369" s="338">
        <v>611524</v>
      </c>
      <c r="G1369" s="338" t="s">
        <v>3800</v>
      </c>
      <c r="H1369" s="338"/>
      <c r="I1369" s="329">
        <v>143.35234371425543</v>
      </c>
      <c r="J1369" s="329"/>
      <c r="K1369" s="338">
        <v>35.838085928563856</v>
      </c>
      <c r="L1369" s="338">
        <v>35.838085928563856</v>
      </c>
      <c r="M1369" s="338">
        <v>35.838085928563856</v>
      </c>
      <c r="N1369" s="338">
        <v>35.838085928563856</v>
      </c>
      <c r="O1369" s="338"/>
    </row>
    <row r="1370" spans="1:15" hidden="1" outlineLevel="2" x14ac:dyDescent="0.35">
      <c r="A1370" s="425" t="s">
        <v>7974</v>
      </c>
      <c r="B1370" s="327" t="s">
        <v>8005</v>
      </c>
      <c r="C1370" s="426" t="s">
        <v>8006</v>
      </c>
      <c r="D1370" s="427" t="s">
        <v>9564</v>
      </c>
      <c r="E1370" s="426" t="s">
        <v>8705</v>
      </c>
      <c r="F1370" s="338">
        <v>611524</v>
      </c>
      <c r="G1370" s="338" t="s">
        <v>3800</v>
      </c>
      <c r="H1370" s="338"/>
      <c r="I1370" s="329">
        <v>145.78926768392057</v>
      </c>
      <c r="J1370" s="329"/>
      <c r="K1370" s="338">
        <v>36.447316920980143</v>
      </c>
      <c r="L1370" s="338">
        <v>36.447316920980143</v>
      </c>
      <c r="M1370" s="338">
        <v>36.447316920980143</v>
      </c>
      <c r="N1370" s="338">
        <v>36.447316920980143</v>
      </c>
      <c r="O1370" s="338"/>
    </row>
    <row r="1371" spans="1:15" hidden="1" outlineLevel="2" x14ac:dyDescent="0.35">
      <c r="A1371" s="425" t="s">
        <v>7974</v>
      </c>
      <c r="B1371" s="327">
        <v>44135</v>
      </c>
      <c r="C1371" s="426">
        <v>237</v>
      </c>
      <c r="D1371" s="427" t="s">
        <v>9565</v>
      </c>
      <c r="E1371" s="426" t="s">
        <v>8705</v>
      </c>
      <c r="F1371" s="338">
        <v>500000</v>
      </c>
      <c r="G1371" s="338" t="s">
        <v>3800</v>
      </c>
      <c r="H1371" s="338"/>
      <c r="I1371" s="329">
        <v>117.20909049706589</v>
      </c>
      <c r="J1371" s="329"/>
      <c r="K1371" s="338">
        <v>29.302272624266472</v>
      </c>
      <c r="L1371" s="338">
        <v>29.302272624266472</v>
      </c>
      <c r="M1371" s="338">
        <v>29.302272624266472</v>
      </c>
      <c r="N1371" s="338">
        <v>29.302272624266472</v>
      </c>
      <c r="O1371" s="338"/>
    </row>
    <row r="1372" spans="1:15" hidden="1" outlineLevel="2" x14ac:dyDescent="0.35">
      <c r="A1372" s="425" t="s">
        <v>7974</v>
      </c>
      <c r="B1372" s="327" t="s">
        <v>8002</v>
      </c>
      <c r="C1372" s="426" t="s">
        <v>8003</v>
      </c>
      <c r="D1372" s="427" t="s">
        <v>9566</v>
      </c>
      <c r="E1372" s="426" t="s">
        <v>8705</v>
      </c>
      <c r="F1372" s="338">
        <v>500000</v>
      </c>
      <c r="G1372" s="338" t="s">
        <v>3800</v>
      </c>
      <c r="H1372" s="338"/>
      <c r="I1372" s="329">
        <v>119.20159117542448</v>
      </c>
      <c r="J1372" s="329"/>
      <c r="K1372" s="338">
        <v>29.800397793856121</v>
      </c>
      <c r="L1372" s="338">
        <v>29.800397793856121</v>
      </c>
      <c r="M1372" s="338">
        <v>29.800397793856121</v>
      </c>
      <c r="N1372" s="338">
        <v>29.800397793856121</v>
      </c>
      <c r="O1372" s="338"/>
    </row>
    <row r="1373" spans="1:15" hidden="1" outlineLevel="2" x14ac:dyDescent="0.35">
      <c r="A1373" s="425" t="s">
        <v>7974</v>
      </c>
      <c r="B1373" s="327" t="s">
        <v>7999</v>
      </c>
      <c r="C1373" s="426" t="s">
        <v>8000</v>
      </c>
      <c r="D1373" s="427" t="s">
        <v>9566</v>
      </c>
      <c r="E1373" s="426" t="s">
        <v>8705</v>
      </c>
      <c r="F1373" s="338">
        <v>500000</v>
      </c>
      <c r="G1373" s="338" t="s">
        <v>3800</v>
      </c>
      <c r="H1373" s="338"/>
      <c r="I1373" s="329">
        <v>119.20159117542448</v>
      </c>
      <c r="J1373" s="329"/>
      <c r="K1373" s="338">
        <v>29.800397793856121</v>
      </c>
      <c r="L1373" s="338">
        <v>29.800397793856121</v>
      </c>
      <c r="M1373" s="338">
        <v>29.800397793856121</v>
      </c>
      <c r="N1373" s="338">
        <v>29.800397793856121</v>
      </c>
      <c r="O1373" s="338"/>
    </row>
    <row r="1374" spans="1:15" hidden="1" outlineLevel="2" x14ac:dyDescent="0.35">
      <c r="A1374" s="425" t="s">
        <v>7974</v>
      </c>
      <c r="B1374" s="327">
        <v>44165</v>
      </c>
      <c r="C1374" s="426">
        <v>245</v>
      </c>
      <c r="D1374" s="427" t="s">
        <v>9567</v>
      </c>
      <c r="E1374" s="426" t="s">
        <v>8705</v>
      </c>
      <c r="F1374" s="338">
        <v>500000</v>
      </c>
      <c r="G1374" s="338" t="s">
        <v>3800</v>
      </c>
      <c r="H1374" s="338"/>
      <c r="I1374" s="329">
        <v>117.20909049706589</v>
      </c>
      <c r="J1374" s="329"/>
      <c r="K1374" s="338">
        <v>29.302272624266472</v>
      </c>
      <c r="L1374" s="338">
        <v>29.302272624266472</v>
      </c>
      <c r="M1374" s="338">
        <v>29.302272624266472</v>
      </c>
      <c r="N1374" s="338">
        <v>29.302272624266472</v>
      </c>
      <c r="O1374" s="338"/>
    </row>
    <row r="1375" spans="1:15" hidden="1" outlineLevel="2" x14ac:dyDescent="0.35">
      <c r="A1375" s="425" t="s">
        <v>7974</v>
      </c>
      <c r="B1375" s="327" t="s">
        <v>8077</v>
      </c>
      <c r="C1375" s="426" t="s">
        <v>9489</v>
      </c>
      <c r="D1375" s="427" t="s">
        <v>9568</v>
      </c>
      <c r="E1375" s="426" t="s">
        <v>8705</v>
      </c>
      <c r="F1375" s="338">
        <v>500000</v>
      </c>
      <c r="G1375" s="338" t="s">
        <v>3800</v>
      </c>
      <c r="H1375" s="338"/>
      <c r="I1375" s="329">
        <v>119.20159117542448</v>
      </c>
      <c r="J1375" s="329"/>
      <c r="K1375" s="338">
        <v>29.800397793856121</v>
      </c>
      <c r="L1375" s="338">
        <v>29.800397793856121</v>
      </c>
      <c r="M1375" s="338">
        <v>29.800397793856121</v>
      </c>
      <c r="N1375" s="338">
        <v>29.800397793856121</v>
      </c>
      <c r="O1375" s="338"/>
    </row>
    <row r="1376" spans="1:15" hidden="1" outlineLevel="2" x14ac:dyDescent="0.35">
      <c r="A1376" s="425" t="s">
        <v>7974</v>
      </c>
      <c r="B1376" s="327" t="s">
        <v>8079</v>
      </c>
      <c r="C1376" s="426" t="s">
        <v>8327</v>
      </c>
      <c r="D1376" s="427" t="s">
        <v>9569</v>
      </c>
      <c r="E1376" s="426" t="s">
        <v>8705</v>
      </c>
      <c r="F1376" s="338">
        <v>500000</v>
      </c>
      <c r="G1376" s="338" t="s">
        <v>3800</v>
      </c>
      <c r="H1376" s="338"/>
      <c r="I1376" s="329">
        <v>119.20159117542448</v>
      </c>
      <c r="J1376" s="329"/>
      <c r="K1376" s="338">
        <v>29.800397793856121</v>
      </c>
      <c r="L1376" s="338">
        <v>29.800397793856121</v>
      </c>
      <c r="M1376" s="338">
        <v>29.800397793856121</v>
      </c>
      <c r="N1376" s="338">
        <v>29.800397793856121</v>
      </c>
      <c r="O1376" s="338"/>
    </row>
    <row r="1377" spans="1:15" hidden="1" outlineLevel="2" x14ac:dyDescent="0.35">
      <c r="A1377" s="425" t="s">
        <v>7974</v>
      </c>
      <c r="B1377" s="327">
        <v>44196</v>
      </c>
      <c r="C1377" s="426">
        <v>253</v>
      </c>
      <c r="D1377" s="427" t="s">
        <v>9570</v>
      </c>
      <c r="E1377" s="426" t="s">
        <v>8705</v>
      </c>
      <c r="F1377" s="338">
        <v>500000</v>
      </c>
      <c r="G1377" s="338" t="s">
        <v>3800</v>
      </c>
      <c r="H1377" s="338"/>
      <c r="I1377" s="329">
        <v>117.20909049706589</v>
      </c>
      <c r="J1377" s="329"/>
      <c r="K1377" s="338">
        <v>29.302272624266472</v>
      </c>
      <c r="L1377" s="338">
        <v>29.302272624266472</v>
      </c>
      <c r="M1377" s="338">
        <v>29.302272624266472</v>
      </c>
      <c r="N1377" s="338">
        <v>29.302272624266472</v>
      </c>
      <c r="O1377" s="338"/>
    </row>
    <row r="1378" spans="1:15" hidden="1" outlineLevel="2" x14ac:dyDescent="0.35">
      <c r="A1378" s="425" t="s">
        <v>7974</v>
      </c>
      <c r="B1378" s="327" t="s">
        <v>7987</v>
      </c>
      <c r="C1378" s="426" t="s">
        <v>7988</v>
      </c>
      <c r="D1378" s="427" t="s">
        <v>9571</v>
      </c>
      <c r="E1378" s="426" t="s">
        <v>8705</v>
      </c>
      <c r="F1378" s="338">
        <v>500000</v>
      </c>
      <c r="G1378" s="338" t="s">
        <v>3800</v>
      </c>
      <c r="H1378" s="338"/>
      <c r="I1378" s="329">
        <v>119.20159117542448</v>
      </c>
      <c r="J1378" s="329"/>
      <c r="K1378" s="338">
        <v>29.800397793856121</v>
      </c>
      <c r="L1378" s="338">
        <v>29.800397793856121</v>
      </c>
      <c r="M1378" s="338">
        <v>29.800397793856121</v>
      </c>
      <c r="N1378" s="338">
        <v>29.800397793856121</v>
      </c>
      <c r="O1378" s="338"/>
    </row>
    <row r="1379" spans="1:15" hidden="1" outlineLevel="2" x14ac:dyDescent="0.35">
      <c r="A1379" s="425" t="s">
        <v>7974</v>
      </c>
      <c r="B1379" s="327" t="s">
        <v>8075</v>
      </c>
      <c r="C1379" s="426" t="s">
        <v>9494</v>
      </c>
      <c r="D1379" s="427" t="s">
        <v>9572</v>
      </c>
      <c r="E1379" s="426" t="s">
        <v>8705</v>
      </c>
      <c r="F1379" s="338">
        <v>500000</v>
      </c>
      <c r="G1379" s="338" t="s">
        <v>3800</v>
      </c>
      <c r="H1379" s="338"/>
      <c r="I1379" s="329">
        <v>119.20159117542448</v>
      </c>
      <c r="J1379" s="329"/>
      <c r="K1379" s="338">
        <v>29.800397793856121</v>
      </c>
      <c r="L1379" s="338">
        <v>29.800397793856121</v>
      </c>
      <c r="M1379" s="338">
        <v>29.800397793856121</v>
      </c>
      <c r="N1379" s="338">
        <v>29.800397793856121</v>
      </c>
      <c r="O1379" s="338"/>
    </row>
    <row r="1380" spans="1:15" hidden="1" outlineLevel="2" x14ac:dyDescent="0.35">
      <c r="A1380" s="425" t="s">
        <v>7974</v>
      </c>
      <c r="B1380" s="327">
        <v>43921</v>
      </c>
      <c r="C1380" s="426">
        <v>179</v>
      </c>
      <c r="D1380" s="427" t="s">
        <v>9573</v>
      </c>
      <c r="E1380" s="426" t="s">
        <v>8705</v>
      </c>
      <c r="F1380" s="338">
        <v>500000</v>
      </c>
      <c r="G1380" s="338" t="s">
        <v>3800</v>
      </c>
      <c r="H1380" s="338"/>
      <c r="I1380" s="329">
        <v>117.20909049706589</v>
      </c>
      <c r="J1380" s="329"/>
      <c r="K1380" s="338">
        <v>29.302272624266472</v>
      </c>
      <c r="L1380" s="338">
        <v>29.302272624266472</v>
      </c>
      <c r="M1380" s="338">
        <v>29.302272624266472</v>
      </c>
      <c r="N1380" s="338">
        <v>29.302272624266472</v>
      </c>
      <c r="O1380" s="338"/>
    </row>
    <row r="1381" spans="1:15" hidden="1" outlineLevel="2" x14ac:dyDescent="0.35">
      <c r="A1381" s="425" t="s">
        <v>7974</v>
      </c>
      <c r="B1381" s="327" t="s">
        <v>8089</v>
      </c>
      <c r="C1381" s="426" t="s">
        <v>9497</v>
      </c>
      <c r="D1381" s="427" t="s">
        <v>9574</v>
      </c>
      <c r="E1381" s="426" t="s">
        <v>8705</v>
      </c>
      <c r="F1381" s="338">
        <v>500000</v>
      </c>
      <c r="G1381" s="338" t="s">
        <v>3800</v>
      </c>
      <c r="H1381" s="338"/>
      <c r="I1381" s="329">
        <v>119.20159117542448</v>
      </c>
      <c r="J1381" s="329"/>
      <c r="K1381" s="338">
        <v>29.800397793856121</v>
      </c>
      <c r="L1381" s="338">
        <v>29.800397793856121</v>
      </c>
      <c r="M1381" s="338">
        <v>29.800397793856121</v>
      </c>
      <c r="N1381" s="338">
        <v>29.800397793856121</v>
      </c>
      <c r="O1381" s="338"/>
    </row>
    <row r="1382" spans="1:15" hidden="1" outlineLevel="2" x14ac:dyDescent="0.35">
      <c r="A1382" s="425" t="s">
        <v>7974</v>
      </c>
      <c r="B1382" s="327" t="s">
        <v>7980</v>
      </c>
      <c r="C1382" s="426" t="s">
        <v>9499</v>
      </c>
      <c r="D1382" s="427" t="s">
        <v>9574</v>
      </c>
      <c r="E1382" s="426" t="s">
        <v>8705</v>
      </c>
      <c r="F1382" s="338">
        <v>500000</v>
      </c>
      <c r="G1382" s="338" t="s">
        <v>3800</v>
      </c>
      <c r="H1382" s="338"/>
      <c r="I1382" s="329">
        <v>119.20159117542448</v>
      </c>
      <c r="J1382" s="329"/>
      <c r="K1382" s="338">
        <v>29.800397793856121</v>
      </c>
      <c r="L1382" s="338">
        <v>29.800397793856121</v>
      </c>
      <c r="M1382" s="338">
        <v>29.800397793856121</v>
      </c>
      <c r="N1382" s="338">
        <v>29.800397793856121</v>
      </c>
      <c r="O1382" s="338"/>
    </row>
    <row r="1383" spans="1:15" hidden="1" outlineLevel="2" x14ac:dyDescent="0.35">
      <c r="A1383" s="425" t="s">
        <v>7974</v>
      </c>
      <c r="B1383" s="327">
        <v>43951</v>
      </c>
      <c r="C1383" s="426">
        <v>188</v>
      </c>
      <c r="D1383" s="427" t="s">
        <v>9575</v>
      </c>
      <c r="E1383" s="426" t="s">
        <v>8705</v>
      </c>
      <c r="F1383" s="338">
        <v>500000</v>
      </c>
      <c r="G1383" s="338" t="s">
        <v>3800</v>
      </c>
      <c r="H1383" s="338"/>
      <c r="I1383" s="329">
        <v>117.20909049706589</v>
      </c>
      <c r="J1383" s="329"/>
      <c r="K1383" s="338">
        <v>29.302272624266472</v>
      </c>
      <c r="L1383" s="338">
        <v>29.302272624266472</v>
      </c>
      <c r="M1383" s="338">
        <v>29.302272624266472</v>
      </c>
      <c r="N1383" s="338">
        <v>29.302272624266472</v>
      </c>
      <c r="O1383" s="338"/>
    </row>
    <row r="1384" spans="1:15" hidden="1" outlineLevel="2" x14ac:dyDescent="0.35">
      <c r="A1384" s="425" t="s">
        <v>7974</v>
      </c>
      <c r="B1384" s="327">
        <v>43982</v>
      </c>
      <c r="C1384" s="426">
        <v>194</v>
      </c>
      <c r="D1384" s="427" t="s">
        <v>9576</v>
      </c>
      <c r="E1384" s="426" t="s">
        <v>8705</v>
      </c>
      <c r="F1384" s="338">
        <v>500000</v>
      </c>
      <c r="G1384" s="338" t="s">
        <v>3800</v>
      </c>
      <c r="H1384" s="338"/>
      <c r="I1384" s="329">
        <v>117.20909049706589</v>
      </c>
      <c r="J1384" s="329"/>
      <c r="K1384" s="338">
        <v>29.302272624266472</v>
      </c>
      <c r="L1384" s="338">
        <v>29.302272624266472</v>
      </c>
      <c r="M1384" s="338">
        <v>29.302272624266472</v>
      </c>
      <c r="N1384" s="338">
        <v>29.302272624266472</v>
      </c>
      <c r="O1384" s="338"/>
    </row>
    <row r="1385" spans="1:15" hidden="1" outlineLevel="2" x14ac:dyDescent="0.35">
      <c r="A1385" s="425" t="s">
        <v>7974</v>
      </c>
      <c r="B1385" s="327" t="s">
        <v>7996</v>
      </c>
      <c r="C1385" s="426" t="s">
        <v>7997</v>
      </c>
      <c r="D1385" s="427" t="s">
        <v>9577</v>
      </c>
      <c r="E1385" s="426" t="s">
        <v>8705</v>
      </c>
      <c r="F1385" s="338">
        <v>500000</v>
      </c>
      <c r="G1385" s="338" t="s">
        <v>3800</v>
      </c>
      <c r="H1385" s="338"/>
      <c r="I1385" s="329">
        <v>119.20159117542448</v>
      </c>
      <c r="J1385" s="329"/>
      <c r="K1385" s="338">
        <v>29.800397793856121</v>
      </c>
      <c r="L1385" s="338">
        <v>29.800397793856121</v>
      </c>
      <c r="M1385" s="338">
        <v>29.800397793856121</v>
      </c>
      <c r="N1385" s="338">
        <v>29.800397793856121</v>
      </c>
      <c r="O1385" s="338"/>
    </row>
    <row r="1386" spans="1:15" hidden="1" outlineLevel="2" x14ac:dyDescent="0.35">
      <c r="A1386" s="425" t="s">
        <v>7974</v>
      </c>
      <c r="B1386" s="327">
        <v>44012</v>
      </c>
      <c r="C1386" s="426">
        <v>201</v>
      </c>
      <c r="D1386" s="427" t="s">
        <v>9578</v>
      </c>
      <c r="E1386" s="426" t="s">
        <v>8705</v>
      </c>
      <c r="F1386" s="338">
        <v>500000</v>
      </c>
      <c r="G1386" s="338" t="s">
        <v>3800</v>
      </c>
      <c r="H1386" s="338"/>
      <c r="I1386" s="329">
        <v>117.20909049706589</v>
      </c>
      <c r="J1386" s="329"/>
      <c r="K1386" s="338">
        <v>29.302272624266472</v>
      </c>
      <c r="L1386" s="338">
        <v>29.302272624266472</v>
      </c>
      <c r="M1386" s="338">
        <v>29.302272624266472</v>
      </c>
      <c r="N1386" s="338">
        <v>29.302272624266472</v>
      </c>
      <c r="O1386" s="338"/>
    </row>
    <row r="1387" spans="1:15" hidden="1" outlineLevel="2" x14ac:dyDescent="0.35">
      <c r="A1387" s="425" t="s">
        <v>7974</v>
      </c>
      <c r="B1387" s="327" t="s">
        <v>7993</v>
      </c>
      <c r="C1387" s="426" t="s">
        <v>7994</v>
      </c>
      <c r="D1387" s="427" t="s">
        <v>9579</v>
      </c>
      <c r="E1387" s="426" t="s">
        <v>8705</v>
      </c>
      <c r="F1387" s="338">
        <v>500000</v>
      </c>
      <c r="G1387" s="338" t="s">
        <v>3800</v>
      </c>
      <c r="H1387" s="338"/>
      <c r="I1387" s="329">
        <v>119.20159117542448</v>
      </c>
      <c r="J1387" s="329"/>
      <c r="K1387" s="338">
        <v>29.800397793856121</v>
      </c>
      <c r="L1387" s="338">
        <v>29.800397793856121</v>
      </c>
      <c r="M1387" s="338">
        <v>29.800397793856121</v>
      </c>
      <c r="N1387" s="338">
        <v>29.800397793856121</v>
      </c>
      <c r="O1387" s="338"/>
    </row>
    <row r="1388" spans="1:15" hidden="1" outlineLevel="2" x14ac:dyDescent="0.35">
      <c r="A1388" s="425" t="s">
        <v>7974</v>
      </c>
      <c r="B1388" s="327">
        <v>44043</v>
      </c>
      <c r="C1388" s="426">
        <v>207</v>
      </c>
      <c r="D1388" s="427" t="s">
        <v>9580</v>
      </c>
      <c r="E1388" s="426" t="s">
        <v>8705</v>
      </c>
      <c r="F1388" s="338">
        <v>500000</v>
      </c>
      <c r="G1388" s="338" t="s">
        <v>3800</v>
      </c>
      <c r="H1388" s="338"/>
      <c r="I1388" s="329">
        <v>117.20909049706589</v>
      </c>
      <c r="J1388" s="329"/>
      <c r="K1388" s="338">
        <v>29.302272624266472</v>
      </c>
      <c r="L1388" s="338">
        <v>29.302272624266472</v>
      </c>
      <c r="M1388" s="338">
        <v>29.302272624266472</v>
      </c>
      <c r="N1388" s="338">
        <v>29.302272624266472</v>
      </c>
      <c r="O1388" s="338"/>
    </row>
    <row r="1389" spans="1:15" hidden="1" outlineLevel="2" x14ac:dyDescent="0.35">
      <c r="A1389" s="425" t="s">
        <v>7974</v>
      </c>
      <c r="B1389" s="327" t="s">
        <v>7990</v>
      </c>
      <c r="C1389" s="426" t="s">
        <v>7991</v>
      </c>
      <c r="D1389" s="427" t="s">
        <v>9581</v>
      </c>
      <c r="E1389" s="426" t="s">
        <v>8705</v>
      </c>
      <c r="F1389" s="338">
        <v>500000</v>
      </c>
      <c r="G1389" s="338" t="s">
        <v>3800</v>
      </c>
      <c r="H1389" s="338"/>
      <c r="I1389" s="329">
        <v>119.20159117542448</v>
      </c>
      <c r="J1389" s="329"/>
      <c r="K1389" s="338">
        <v>29.800397793856121</v>
      </c>
      <c r="L1389" s="338">
        <v>29.800397793856121</v>
      </c>
      <c r="M1389" s="338">
        <v>29.800397793856121</v>
      </c>
      <c r="N1389" s="338">
        <v>29.800397793856121</v>
      </c>
      <c r="O1389" s="338"/>
    </row>
    <row r="1390" spans="1:15" hidden="1" outlineLevel="2" x14ac:dyDescent="0.35">
      <c r="A1390" s="425" t="s">
        <v>7974</v>
      </c>
      <c r="B1390" s="327">
        <v>44074</v>
      </c>
      <c r="C1390" s="426">
        <v>221</v>
      </c>
      <c r="D1390" s="427" t="s">
        <v>9582</v>
      </c>
      <c r="E1390" s="426" t="s">
        <v>8705</v>
      </c>
      <c r="F1390" s="338">
        <v>500000</v>
      </c>
      <c r="G1390" s="338" t="s">
        <v>3800</v>
      </c>
      <c r="H1390" s="338"/>
      <c r="I1390" s="329">
        <v>117.20909049706589</v>
      </c>
      <c r="J1390" s="329"/>
      <c r="K1390" s="338">
        <v>29.302272624266472</v>
      </c>
      <c r="L1390" s="338">
        <v>29.302272624266472</v>
      </c>
      <c r="M1390" s="338">
        <v>29.302272624266472</v>
      </c>
      <c r="N1390" s="338">
        <v>29.302272624266472</v>
      </c>
      <c r="O1390" s="338"/>
    </row>
    <row r="1391" spans="1:15" hidden="1" outlineLevel="2" x14ac:dyDescent="0.35">
      <c r="A1391" s="425" t="s">
        <v>7974</v>
      </c>
      <c r="B1391" s="327" t="s">
        <v>7984</v>
      </c>
      <c r="C1391" s="426" t="s">
        <v>7985</v>
      </c>
      <c r="D1391" s="427" t="s">
        <v>9583</v>
      </c>
      <c r="E1391" s="426" t="s">
        <v>8705</v>
      </c>
      <c r="F1391" s="338">
        <v>500000</v>
      </c>
      <c r="G1391" s="338" t="s">
        <v>3800</v>
      </c>
      <c r="H1391" s="338"/>
      <c r="I1391" s="329">
        <v>119.20159117542448</v>
      </c>
      <c r="J1391" s="329"/>
      <c r="K1391" s="338">
        <v>29.800397793856121</v>
      </c>
      <c r="L1391" s="338">
        <v>29.800397793856121</v>
      </c>
      <c r="M1391" s="338">
        <v>29.800397793856121</v>
      </c>
      <c r="N1391" s="338">
        <v>29.800397793856121</v>
      </c>
      <c r="O1391" s="338"/>
    </row>
    <row r="1392" spans="1:15" hidden="1" outlineLevel="2" x14ac:dyDescent="0.35">
      <c r="A1392" s="425" t="s">
        <v>7974</v>
      </c>
      <c r="B1392" s="327">
        <v>44104</v>
      </c>
      <c r="C1392" s="426">
        <v>231</v>
      </c>
      <c r="D1392" s="427" t="s">
        <v>9584</v>
      </c>
      <c r="E1392" s="426" t="s">
        <v>8705</v>
      </c>
      <c r="F1392" s="338">
        <v>500000</v>
      </c>
      <c r="G1392" s="338" t="s">
        <v>3800</v>
      </c>
      <c r="H1392" s="338"/>
      <c r="I1392" s="329">
        <v>117.20909049706589</v>
      </c>
      <c r="J1392" s="329"/>
      <c r="K1392" s="338">
        <v>29.302272624266472</v>
      </c>
      <c r="L1392" s="338">
        <v>29.302272624266472</v>
      </c>
      <c r="M1392" s="338">
        <v>29.302272624266472</v>
      </c>
      <c r="N1392" s="338">
        <v>29.302272624266472</v>
      </c>
      <c r="O1392" s="338"/>
    </row>
    <row r="1393" spans="1:15" hidden="1" outlineLevel="2" x14ac:dyDescent="0.35">
      <c r="A1393" s="425" t="s">
        <v>7974</v>
      </c>
      <c r="B1393" s="327" t="s">
        <v>8005</v>
      </c>
      <c r="C1393" s="426" t="s">
        <v>8006</v>
      </c>
      <c r="D1393" s="427" t="s">
        <v>9585</v>
      </c>
      <c r="E1393" s="426" t="s">
        <v>8705</v>
      </c>
      <c r="F1393" s="338">
        <v>500000</v>
      </c>
      <c r="G1393" s="338" t="s">
        <v>3800</v>
      </c>
      <c r="H1393" s="338"/>
      <c r="I1393" s="329">
        <v>119.20159117542448</v>
      </c>
      <c r="J1393" s="329"/>
      <c r="K1393" s="338">
        <v>29.800397793856121</v>
      </c>
      <c r="L1393" s="338">
        <v>29.800397793856121</v>
      </c>
      <c r="M1393" s="338">
        <v>29.800397793856121</v>
      </c>
      <c r="N1393" s="338">
        <v>29.800397793856121</v>
      </c>
      <c r="O1393" s="338"/>
    </row>
    <row r="1394" spans="1:15" outlineLevel="1" collapsed="1" x14ac:dyDescent="0.35">
      <c r="A1394" s="432" t="s">
        <v>9586</v>
      </c>
      <c r="B1394" s="327"/>
      <c r="C1394" s="426"/>
      <c r="D1394" s="427"/>
      <c r="E1394" s="426"/>
      <c r="F1394" s="338"/>
      <c r="G1394" s="338"/>
      <c r="H1394" s="338"/>
      <c r="I1394" s="329">
        <f t="shared" ref="I1394:O1394" si="46">SUBTOTAL(9,I1284:I1393)</f>
        <v>31723.637516592011</v>
      </c>
      <c r="J1394" s="329"/>
      <c r="K1394" s="338">
        <f t="shared" si="46"/>
        <v>7930.9093791480027</v>
      </c>
      <c r="L1394" s="338">
        <f t="shared" si="46"/>
        <v>7930.9093791480027</v>
      </c>
      <c r="M1394" s="338">
        <f t="shared" si="46"/>
        <v>7930.9093791480027</v>
      </c>
      <c r="N1394" s="338">
        <f t="shared" si="46"/>
        <v>7930.9093791480027</v>
      </c>
      <c r="O1394" s="338">
        <f t="shared" si="46"/>
        <v>0</v>
      </c>
    </row>
    <row r="1395" spans="1:15" hidden="1" outlineLevel="2" x14ac:dyDescent="0.35">
      <c r="A1395" s="425" t="s">
        <v>7923</v>
      </c>
      <c r="B1395" s="327">
        <v>44491</v>
      </c>
      <c r="C1395" s="426" t="s">
        <v>9587</v>
      </c>
      <c r="D1395" s="427" t="s">
        <v>9588</v>
      </c>
      <c r="E1395" s="426" t="s">
        <v>8110</v>
      </c>
      <c r="F1395" s="338">
        <v>25000</v>
      </c>
      <c r="G1395" s="338" t="s">
        <v>3800</v>
      </c>
      <c r="H1395" s="338"/>
      <c r="I1395" s="329">
        <v>5.9600795587712243</v>
      </c>
      <c r="J1395" s="329"/>
      <c r="K1395" s="338"/>
      <c r="L1395" s="338">
        <v>5.9600795587712243</v>
      </c>
      <c r="M1395" s="338"/>
      <c r="N1395" s="338"/>
      <c r="O1395" s="338"/>
    </row>
    <row r="1396" spans="1:15" hidden="1" outlineLevel="2" x14ac:dyDescent="0.35">
      <c r="A1396" s="425" t="s">
        <v>7923</v>
      </c>
      <c r="B1396" s="327">
        <v>44491</v>
      </c>
      <c r="C1396" s="426" t="s">
        <v>9589</v>
      </c>
      <c r="D1396" s="427" t="s">
        <v>9590</v>
      </c>
      <c r="E1396" s="426" t="s">
        <v>8110</v>
      </c>
      <c r="F1396" s="338">
        <v>25000</v>
      </c>
      <c r="G1396" s="338" t="s">
        <v>3800</v>
      </c>
      <c r="H1396" s="338"/>
      <c r="I1396" s="329">
        <v>5.9600795587712243</v>
      </c>
      <c r="J1396" s="329"/>
      <c r="K1396" s="338"/>
      <c r="L1396" s="338">
        <v>5.9600795587712243</v>
      </c>
      <c r="M1396" s="338"/>
      <c r="N1396" s="338"/>
      <c r="O1396" s="338"/>
    </row>
    <row r="1397" spans="1:15" hidden="1" outlineLevel="2" x14ac:dyDescent="0.35">
      <c r="A1397" s="425" t="s">
        <v>7923</v>
      </c>
      <c r="B1397" s="327">
        <v>44522</v>
      </c>
      <c r="C1397" s="426" t="s">
        <v>9591</v>
      </c>
      <c r="D1397" s="427" t="s">
        <v>9592</v>
      </c>
      <c r="E1397" s="426" t="s">
        <v>8144</v>
      </c>
      <c r="F1397" s="338">
        <v>30000</v>
      </c>
      <c r="G1397" s="338" t="s">
        <v>3800</v>
      </c>
      <c r="H1397" s="338"/>
      <c r="I1397" s="329">
        <v>7.1520954705254685</v>
      </c>
      <c r="J1397" s="329"/>
      <c r="K1397" s="338"/>
      <c r="L1397" s="338">
        <v>7.1520954705254685</v>
      </c>
      <c r="M1397" s="338"/>
      <c r="N1397" s="338"/>
      <c r="O1397" s="338"/>
    </row>
    <row r="1398" spans="1:15" hidden="1" outlineLevel="2" x14ac:dyDescent="0.35">
      <c r="A1398" s="425" t="s">
        <v>7923</v>
      </c>
      <c r="B1398" s="327">
        <v>44522</v>
      </c>
      <c r="C1398" s="426" t="s">
        <v>9593</v>
      </c>
      <c r="D1398" s="427" t="s">
        <v>9594</v>
      </c>
      <c r="E1398" s="426" t="s">
        <v>8144</v>
      </c>
      <c r="F1398" s="338">
        <v>30000</v>
      </c>
      <c r="G1398" s="338" t="s">
        <v>3800</v>
      </c>
      <c r="H1398" s="338"/>
      <c r="I1398" s="329">
        <v>7.1520954705254685</v>
      </c>
      <c r="J1398" s="329"/>
      <c r="K1398" s="338"/>
      <c r="L1398" s="338">
        <v>7.1520954705254685</v>
      </c>
      <c r="M1398" s="338"/>
      <c r="N1398" s="338"/>
      <c r="O1398" s="338"/>
    </row>
    <row r="1399" spans="1:15" hidden="1" outlineLevel="2" x14ac:dyDescent="0.35">
      <c r="A1399" s="425" t="s">
        <v>7923</v>
      </c>
      <c r="B1399" s="327">
        <v>44505</v>
      </c>
      <c r="C1399" s="426" t="s">
        <v>9595</v>
      </c>
      <c r="D1399" s="427" t="s">
        <v>9596</v>
      </c>
      <c r="E1399" s="426" t="s">
        <v>8110</v>
      </c>
      <c r="F1399" s="338">
        <v>150000</v>
      </c>
      <c r="G1399" s="338" t="s">
        <v>3800</v>
      </c>
      <c r="H1399" s="338"/>
      <c r="I1399" s="329">
        <v>35.760477352627341</v>
      </c>
      <c r="J1399" s="329"/>
      <c r="K1399" s="338"/>
      <c r="L1399" s="338">
        <v>35.760477352627341</v>
      </c>
      <c r="M1399" s="338"/>
      <c r="N1399" s="338"/>
      <c r="O1399" s="338"/>
    </row>
    <row r="1400" spans="1:15" hidden="1" outlineLevel="2" x14ac:dyDescent="0.35">
      <c r="A1400" s="425" t="s">
        <v>7923</v>
      </c>
      <c r="B1400" s="327">
        <v>44498</v>
      </c>
      <c r="C1400" s="426" t="s">
        <v>9597</v>
      </c>
      <c r="D1400" s="427" t="s">
        <v>9598</v>
      </c>
      <c r="E1400" s="426" t="s">
        <v>8116</v>
      </c>
      <c r="F1400" s="338">
        <v>250000</v>
      </c>
      <c r="G1400" s="338" t="s">
        <v>3800</v>
      </c>
      <c r="H1400" s="338"/>
      <c r="I1400" s="329">
        <v>59.600795587712241</v>
      </c>
      <c r="J1400" s="329"/>
      <c r="K1400" s="338"/>
      <c r="L1400" s="338">
        <v>59.600795587712241</v>
      </c>
      <c r="M1400" s="338"/>
      <c r="N1400" s="338"/>
      <c r="O1400" s="338"/>
    </row>
    <row r="1401" spans="1:15" hidden="1" outlineLevel="2" x14ac:dyDescent="0.35">
      <c r="A1401" s="425" t="s">
        <v>7923</v>
      </c>
      <c r="B1401" s="327">
        <v>44503</v>
      </c>
      <c r="C1401" s="426" t="s">
        <v>9599</v>
      </c>
      <c r="D1401" s="427" t="s">
        <v>9598</v>
      </c>
      <c r="E1401" s="426" t="s">
        <v>9600</v>
      </c>
      <c r="F1401" s="338">
        <v>250000</v>
      </c>
      <c r="G1401" s="338" t="s">
        <v>3800</v>
      </c>
      <c r="H1401" s="338"/>
      <c r="I1401" s="329">
        <v>59.600795587712241</v>
      </c>
      <c r="J1401" s="329"/>
      <c r="K1401" s="338"/>
      <c r="L1401" s="338">
        <v>59.600795587712241</v>
      </c>
      <c r="M1401" s="338"/>
      <c r="N1401" s="338"/>
      <c r="O1401" s="338"/>
    </row>
    <row r="1402" spans="1:15" hidden="1" outlineLevel="2" x14ac:dyDescent="0.35">
      <c r="A1402" s="425" t="s">
        <v>7923</v>
      </c>
      <c r="B1402" s="327">
        <v>44549</v>
      </c>
      <c r="C1402" s="426" t="s">
        <v>9601</v>
      </c>
      <c r="D1402" s="427" t="s">
        <v>8182</v>
      </c>
      <c r="E1402" s="426" t="s">
        <v>9602</v>
      </c>
      <c r="F1402" s="338">
        <v>805000</v>
      </c>
      <c r="G1402" s="338" t="s">
        <v>3800</v>
      </c>
      <c r="H1402" s="338"/>
      <c r="I1402" s="329">
        <v>191.9145617924334</v>
      </c>
      <c r="J1402" s="329"/>
      <c r="K1402" s="338"/>
      <c r="L1402" s="338">
        <v>191.9145617924334</v>
      </c>
      <c r="M1402" s="338"/>
      <c r="N1402" s="338"/>
      <c r="O1402" s="338"/>
    </row>
    <row r="1403" spans="1:15" hidden="1" outlineLevel="2" x14ac:dyDescent="0.35">
      <c r="A1403" s="425" t="s">
        <v>7923</v>
      </c>
      <c r="B1403" s="327">
        <v>44549</v>
      </c>
      <c r="C1403" s="426" t="s">
        <v>9603</v>
      </c>
      <c r="D1403" s="427" t="s">
        <v>8182</v>
      </c>
      <c r="E1403" s="426" t="s">
        <v>9604</v>
      </c>
      <c r="F1403" s="338">
        <v>825000</v>
      </c>
      <c r="G1403" s="338" t="s">
        <v>3800</v>
      </c>
      <c r="H1403" s="338"/>
      <c r="I1403" s="329">
        <v>196.68262543945039</v>
      </c>
      <c r="J1403" s="329"/>
      <c r="K1403" s="338"/>
      <c r="L1403" s="338">
        <v>196.68262543945039</v>
      </c>
      <c r="M1403" s="338"/>
      <c r="N1403" s="338"/>
      <c r="O1403" s="338"/>
    </row>
    <row r="1404" spans="1:15" hidden="1" outlineLevel="2" x14ac:dyDescent="0.35">
      <c r="A1404" s="425" t="s">
        <v>7923</v>
      </c>
      <c r="B1404" s="327">
        <v>44549</v>
      </c>
      <c r="C1404" s="426" t="s">
        <v>9605</v>
      </c>
      <c r="D1404" s="427" t="s">
        <v>8182</v>
      </c>
      <c r="E1404" s="426" t="s">
        <v>9606</v>
      </c>
      <c r="F1404" s="338">
        <v>780000</v>
      </c>
      <c r="G1404" s="338" t="s">
        <v>3800</v>
      </c>
      <c r="H1404" s="338"/>
      <c r="I1404" s="329">
        <v>185.95448223366219</v>
      </c>
      <c r="J1404" s="329"/>
      <c r="K1404" s="338"/>
      <c r="L1404" s="338">
        <v>185.95448223366219</v>
      </c>
      <c r="M1404" s="338"/>
      <c r="N1404" s="338"/>
      <c r="O1404" s="338"/>
    </row>
    <row r="1405" spans="1:15" hidden="1" outlineLevel="2" x14ac:dyDescent="0.35">
      <c r="A1405" s="425" t="s">
        <v>7923</v>
      </c>
      <c r="B1405" s="327">
        <v>44549</v>
      </c>
      <c r="C1405" s="426" t="s">
        <v>9607</v>
      </c>
      <c r="D1405" s="427" t="s">
        <v>8182</v>
      </c>
      <c r="E1405" s="426" t="s">
        <v>9608</v>
      </c>
      <c r="F1405" s="338">
        <v>845000</v>
      </c>
      <c r="G1405" s="338" t="s">
        <v>3800</v>
      </c>
      <c r="H1405" s="338"/>
      <c r="I1405" s="329">
        <v>201.45068908646738</v>
      </c>
      <c r="J1405" s="329"/>
      <c r="K1405" s="338"/>
      <c r="L1405" s="338">
        <v>201.45068908646738</v>
      </c>
      <c r="M1405" s="338"/>
      <c r="N1405" s="338"/>
      <c r="O1405" s="338"/>
    </row>
    <row r="1406" spans="1:15" hidden="1" outlineLevel="2" x14ac:dyDescent="0.35">
      <c r="A1406" s="425" t="s">
        <v>7923</v>
      </c>
      <c r="B1406" s="327">
        <v>44549</v>
      </c>
      <c r="C1406" s="426" t="s">
        <v>9609</v>
      </c>
      <c r="D1406" s="427" t="s">
        <v>8182</v>
      </c>
      <c r="E1406" s="426" t="s">
        <v>9610</v>
      </c>
      <c r="F1406" s="338">
        <v>780000</v>
      </c>
      <c r="G1406" s="338" t="s">
        <v>3800</v>
      </c>
      <c r="H1406" s="338"/>
      <c r="I1406" s="329">
        <v>185.95448223366219</v>
      </c>
      <c r="J1406" s="329"/>
      <c r="K1406" s="338"/>
      <c r="L1406" s="338">
        <v>185.95448223366219</v>
      </c>
      <c r="M1406" s="338"/>
      <c r="N1406" s="338"/>
      <c r="O1406" s="338"/>
    </row>
    <row r="1407" spans="1:15" hidden="1" outlineLevel="2" x14ac:dyDescent="0.35">
      <c r="A1407" s="425" t="s">
        <v>7923</v>
      </c>
      <c r="B1407" s="327">
        <v>44549</v>
      </c>
      <c r="C1407" s="426" t="s">
        <v>9611</v>
      </c>
      <c r="D1407" s="427" t="s">
        <v>8182</v>
      </c>
      <c r="E1407" s="426" t="s">
        <v>9612</v>
      </c>
      <c r="F1407" s="338">
        <v>845000</v>
      </c>
      <c r="G1407" s="338" t="s">
        <v>3800</v>
      </c>
      <c r="H1407" s="338"/>
      <c r="I1407" s="329">
        <v>201.45068908646738</v>
      </c>
      <c r="J1407" s="329"/>
      <c r="K1407" s="338"/>
      <c r="L1407" s="338">
        <v>201.45068908646738</v>
      </c>
      <c r="M1407" s="338"/>
      <c r="N1407" s="338"/>
      <c r="O1407" s="338"/>
    </row>
    <row r="1408" spans="1:15" hidden="1" outlineLevel="2" x14ac:dyDescent="0.35">
      <c r="A1408" s="425" t="s">
        <v>7923</v>
      </c>
      <c r="B1408" s="327">
        <v>44549</v>
      </c>
      <c r="C1408" s="426" t="s">
        <v>9613</v>
      </c>
      <c r="D1408" s="427" t="s">
        <v>8182</v>
      </c>
      <c r="E1408" s="426" t="s">
        <v>9614</v>
      </c>
      <c r="F1408" s="338">
        <v>780000</v>
      </c>
      <c r="G1408" s="338" t="s">
        <v>3800</v>
      </c>
      <c r="H1408" s="338"/>
      <c r="I1408" s="329">
        <v>185.95448223366219</v>
      </c>
      <c r="J1408" s="329"/>
      <c r="K1408" s="338"/>
      <c r="L1408" s="338">
        <v>185.95448223366219</v>
      </c>
      <c r="M1408" s="338"/>
      <c r="N1408" s="338"/>
      <c r="O1408" s="338"/>
    </row>
    <row r="1409" spans="1:15" hidden="1" outlineLevel="2" x14ac:dyDescent="0.35">
      <c r="A1409" s="425" t="s">
        <v>7923</v>
      </c>
      <c r="B1409" s="327">
        <v>44549</v>
      </c>
      <c r="C1409" s="426" t="s">
        <v>9615</v>
      </c>
      <c r="D1409" s="427" t="s">
        <v>8182</v>
      </c>
      <c r="E1409" s="426" t="s">
        <v>9616</v>
      </c>
      <c r="F1409" s="338">
        <v>625000</v>
      </c>
      <c r="G1409" s="338" t="s">
        <v>3800</v>
      </c>
      <c r="H1409" s="338"/>
      <c r="I1409" s="329">
        <v>149.0019889692806</v>
      </c>
      <c r="J1409" s="329"/>
      <c r="K1409" s="338"/>
      <c r="L1409" s="338">
        <v>149.0019889692806</v>
      </c>
      <c r="M1409" s="338"/>
      <c r="N1409" s="338"/>
      <c r="O1409" s="338"/>
    </row>
    <row r="1410" spans="1:15" hidden="1" outlineLevel="2" x14ac:dyDescent="0.35">
      <c r="A1410" s="425" t="s">
        <v>7923</v>
      </c>
      <c r="B1410" s="327">
        <v>44549</v>
      </c>
      <c r="C1410" s="426" t="s">
        <v>9617</v>
      </c>
      <c r="D1410" s="427" t="s">
        <v>8182</v>
      </c>
      <c r="E1410" s="426" t="s">
        <v>9618</v>
      </c>
      <c r="F1410" s="338">
        <v>625000</v>
      </c>
      <c r="G1410" s="338" t="s">
        <v>3800</v>
      </c>
      <c r="H1410" s="338"/>
      <c r="I1410" s="329">
        <v>149.0019889692806</v>
      </c>
      <c r="J1410" s="329"/>
      <c r="K1410" s="338"/>
      <c r="L1410" s="338">
        <v>149.0019889692806</v>
      </c>
      <c r="M1410" s="338"/>
      <c r="N1410" s="338"/>
      <c r="O1410" s="338"/>
    </row>
    <row r="1411" spans="1:15" hidden="1" outlineLevel="2" x14ac:dyDescent="0.35">
      <c r="A1411" s="425" t="s">
        <v>7923</v>
      </c>
      <c r="B1411" s="327">
        <v>44549</v>
      </c>
      <c r="C1411" s="426" t="s">
        <v>9619</v>
      </c>
      <c r="D1411" s="427" t="s">
        <v>8182</v>
      </c>
      <c r="E1411" s="426" t="s">
        <v>9620</v>
      </c>
      <c r="F1411" s="338">
        <v>625000</v>
      </c>
      <c r="G1411" s="338" t="s">
        <v>3800</v>
      </c>
      <c r="H1411" s="338"/>
      <c r="I1411" s="329">
        <v>149.0019889692806</v>
      </c>
      <c r="J1411" s="329"/>
      <c r="K1411" s="338"/>
      <c r="L1411" s="338">
        <v>149.0019889692806</v>
      </c>
      <c r="M1411" s="338"/>
      <c r="N1411" s="338"/>
      <c r="O1411" s="338"/>
    </row>
    <row r="1412" spans="1:15" hidden="1" outlineLevel="2" x14ac:dyDescent="0.35">
      <c r="A1412" s="425" t="s">
        <v>7923</v>
      </c>
      <c r="B1412" s="327">
        <v>44549</v>
      </c>
      <c r="C1412" s="426" t="s">
        <v>9621</v>
      </c>
      <c r="D1412" s="427" t="s">
        <v>8182</v>
      </c>
      <c r="E1412" s="426" t="s">
        <v>9622</v>
      </c>
      <c r="F1412" s="338">
        <v>675000</v>
      </c>
      <c r="G1412" s="338" t="s">
        <v>3800</v>
      </c>
      <c r="H1412" s="338"/>
      <c r="I1412" s="329">
        <v>160.92214808682306</v>
      </c>
      <c r="J1412" s="329"/>
      <c r="K1412" s="338"/>
      <c r="L1412" s="338">
        <v>160.92214808682306</v>
      </c>
      <c r="M1412" s="338"/>
      <c r="N1412" s="338"/>
      <c r="O1412" s="338"/>
    </row>
    <row r="1413" spans="1:15" hidden="1" outlineLevel="2" x14ac:dyDescent="0.35">
      <c r="A1413" s="425" t="s">
        <v>7923</v>
      </c>
      <c r="B1413" s="327">
        <v>44550</v>
      </c>
      <c r="C1413" s="426" t="s">
        <v>9623</v>
      </c>
      <c r="D1413" s="427" t="s">
        <v>8182</v>
      </c>
      <c r="E1413" s="426" t="s">
        <v>9624</v>
      </c>
      <c r="F1413" s="338">
        <v>630000</v>
      </c>
      <c r="G1413" s="338" t="s">
        <v>3800</v>
      </c>
      <c r="H1413" s="338"/>
      <c r="I1413" s="329">
        <v>150.19400488103483</v>
      </c>
      <c r="J1413" s="329"/>
      <c r="K1413" s="338"/>
      <c r="L1413" s="338">
        <v>150.19400488103483</v>
      </c>
      <c r="M1413" s="338"/>
      <c r="N1413" s="338"/>
      <c r="O1413" s="338"/>
    </row>
    <row r="1414" spans="1:15" hidden="1" outlineLevel="2" x14ac:dyDescent="0.35">
      <c r="A1414" s="425" t="s">
        <v>7923</v>
      </c>
      <c r="B1414" s="327">
        <v>44557</v>
      </c>
      <c r="C1414" s="426" t="s">
        <v>9625</v>
      </c>
      <c r="D1414" s="427" t="s">
        <v>8182</v>
      </c>
      <c r="E1414" s="426" t="s">
        <v>9626</v>
      </c>
      <c r="F1414" s="338">
        <v>720000</v>
      </c>
      <c r="G1414" s="338" t="s">
        <v>3800</v>
      </c>
      <c r="H1414" s="338"/>
      <c r="I1414" s="329">
        <v>171.65029129261126</v>
      </c>
      <c r="J1414" s="329"/>
      <c r="K1414" s="338"/>
      <c r="L1414" s="338">
        <v>171.65029129261126</v>
      </c>
      <c r="M1414" s="338"/>
      <c r="N1414" s="338"/>
      <c r="O1414" s="338"/>
    </row>
    <row r="1415" spans="1:15" hidden="1" outlineLevel="2" x14ac:dyDescent="0.35">
      <c r="A1415" s="425" t="s">
        <v>7923</v>
      </c>
      <c r="B1415" s="327">
        <v>44549</v>
      </c>
      <c r="C1415" s="426" t="s">
        <v>9627</v>
      </c>
      <c r="D1415" s="427" t="s">
        <v>8182</v>
      </c>
      <c r="E1415" s="426" t="s">
        <v>9628</v>
      </c>
      <c r="F1415" s="338">
        <v>780000</v>
      </c>
      <c r="G1415" s="338" t="s">
        <v>3800</v>
      </c>
      <c r="H1415" s="338"/>
      <c r="I1415" s="329">
        <v>185.95448223366219</v>
      </c>
      <c r="J1415" s="329"/>
      <c r="K1415" s="338"/>
      <c r="L1415" s="338">
        <v>185.95448223366219</v>
      </c>
      <c r="M1415" s="338"/>
      <c r="N1415" s="338"/>
      <c r="O1415" s="338"/>
    </row>
    <row r="1416" spans="1:15" hidden="1" outlineLevel="2" x14ac:dyDescent="0.35">
      <c r="A1416" s="425" t="s">
        <v>7923</v>
      </c>
      <c r="B1416" s="327">
        <v>44560</v>
      </c>
      <c r="C1416" s="426" t="s">
        <v>9629</v>
      </c>
      <c r="D1416" s="427" t="s">
        <v>9630</v>
      </c>
      <c r="E1416" s="426" t="s">
        <v>9631</v>
      </c>
      <c r="F1416" s="338">
        <v>780000</v>
      </c>
      <c r="G1416" s="338" t="s">
        <v>3800</v>
      </c>
      <c r="H1416" s="338"/>
      <c r="I1416" s="329">
        <v>185.95448223366219</v>
      </c>
      <c r="J1416" s="329"/>
      <c r="K1416" s="338"/>
      <c r="L1416" s="338">
        <v>185.95448223366219</v>
      </c>
      <c r="M1416" s="338"/>
      <c r="N1416" s="338"/>
      <c r="O1416" s="338"/>
    </row>
    <row r="1417" spans="1:15" hidden="1" outlineLevel="2" x14ac:dyDescent="0.35">
      <c r="A1417" s="425" t="s">
        <v>7923</v>
      </c>
      <c r="B1417" s="327">
        <v>44501</v>
      </c>
      <c r="C1417" s="426" t="s">
        <v>9632</v>
      </c>
      <c r="D1417" s="427" t="s">
        <v>9633</v>
      </c>
      <c r="E1417" s="426" t="s">
        <v>9475</v>
      </c>
      <c r="F1417" s="338">
        <v>5286000</v>
      </c>
      <c r="G1417" s="338" t="s">
        <v>3800</v>
      </c>
      <c r="H1417" s="338"/>
      <c r="I1417" s="329">
        <v>1260.1992219065876</v>
      </c>
      <c r="J1417" s="329"/>
      <c r="K1417" s="338"/>
      <c r="L1417" s="338">
        <v>1260.1992219065876</v>
      </c>
      <c r="M1417" s="338"/>
      <c r="N1417" s="338"/>
      <c r="O1417" s="338"/>
    </row>
    <row r="1418" spans="1:15" hidden="1" outlineLevel="2" x14ac:dyDescent="0.35">
      <c r="A1418" s="425" t="s">
        <v>7923</v>
      </c>
      <c r="B1418" s="327">
        <v>44522</v>
      </c>
      <c r="C1418" s="426" t="s">
        <v>9634</v>
      </c>
      <c r="D1418" s="427" t="s">
        <v>9635</v>
      </c>
      <c r="E1418" s="426" t="s">
        <v>8144</v>
      </c>
      <c r="F1418" s="338">
        <v>30000</v>
      </c>
      <c r="G1418" s="338" t="s">
        <v>3800</v>
      </c>
      <c r="H1418" s="338"/>
      <c r="I1418" s="329">
        <v>7.1520954705254685</v>
      </c>
      <c r="J1418" s="329"/>
      <c r="K1418" s="338"/>
      <c r="L1418" s="338">
        <v>7.1520954705254685</v>
      </c>
      <c r="M1418" s="338"/>
      <c r="N1418" s="338"/>
      <c r="O1418" s="338"/>
    </row>
    <row r="1419" spans="1:15" hidden="1" outlineLevel="2" x14ac:dyDescent="0.35">
      <c r="A1419" s="425" t="s">
        <v>7923</v>
      </c>
      <c r="B1419" s="327">
        <v>44501</v>
      </c>
      <c r="C1419" s="426" t="s">
        <v>9636</v>
      </c>
      <c r="D1419" s="427" t="s">
        <v>9637</v>
      </c>
      <c r="E1419" s="426" t="s">
        <v>9475</v>
      </c>
      <c r="F1419" s="338">
        <v>1435000</v>
      </c>
      <c r="G1419" s="338" t="s">
        <v>3800</v>
      </c>
      <c r="H1419" s="338"/>
      <c r="I1419" s="329">
        <v>342.10856667346826</v>
      </c>
      <c r="J1419" s="329"/>
      <c r="K1419" s="338"/>
      <c r="L1419" s="338">
        <v>342.10856667346826</v>
      </c>
      <c r="M1419" s="338"/>
      <c r="N1419" s="338"/>
      <c r="O1419" s="338"/>
    </row>
    <row r="1420" spans="1:15" hidden="1" outlineLevel="2" x14ac:dyDescent="0.35">
      <c r="A1420" s="425" t="s">
        <v>7923</v>
      </c>
      <c r="B1420" s="327">
        <v>44520</v>
      </c>
      <c r="C1420" s="426" t="s">
        <v>9638</v>
      </c>
      <c r="D1420" s="427" t="s">
        <v>9639</v>
      </c>
      <c r="E1420" s="426" t="s">
        <v>9640</v>
      </c>
      <c r="F1420" s="338">
        <v>720000</v>
      </c>
      <c r="G1420" s="338" t="s">
        <v>3800</v>
      </c>
      <c r="H1420" s="338"/>
      <c r="I1420" s="329">
        <v>171.65029129261126</v>
      </c>
      <c r="J1420" s="329"/>
      <c r="K1420" s="338"/>
      <c r="L1420" s="338">
        <v>171.65029129261126</v>
      </c>
      <c r="M1420" s="338"/>
      <c r="N1420" s="338"/>
      <c r="O1420" s="338"/>
    </row>
    <row r="1421" spans="1:15" hidden="1" outlineLevel="2" x14ac:dyDescent="0.35">
      <c r="A1421" s="425" t="s">
        <v>7923</v>
      </c>
      <c r="B1421" s="327">
        <v>44520</v>
      </c>
      <c r="C1421" s="426" t="s">
        <v>9641</v>
      </c>
      <c r="D1421" s="427" t="s">
        <v>9639</v>
      </c>
      <c r="E1421" s="426" t="s">
        <v>8191</v>
      </c>
      <c r="F1421" s="338">
        <v>900000</v>
      </c>
      <c r="G1421" s="338" t="s">
        <v>3800</v>
      </c>
      <c r="H1421" s="338"/>
      <c r="I1421" s="329">
        <v>214.56286411576406</v>
      </c>
      <c r="J1421" s="329"/>
      <c r="K1421" s="338"/>
      <c r="L1421" s="338">
        <v>214.56286411576406</v>
      </c>
      <c r="M1421" s="338"/>
      <c r="N1421" s="338"/>
      <c r="O1421" s="338"/>
    </row>
    <row r="1422" spans="1:15" hidden="1" outlineLevel="2" x14ac:dyDescent="0.35">
      <c r="A1422" s="425" t="s">
        <v>7923</v>
      </c>
      <c r="B1422" s="327">
        <v>44520</v>
      </c>
      <c r="C1422" s="426" t="s">
        <v>9642</v>
      </c>
      <c r="D1422" s="427" t="s">
        <v>9639</v>
      </c>
      <c r="E1422" s="426" t="s">
        <v>8183</v>
      </c>
      <c r="F1422" s="338">
        <v>900000</v>
      </c>
      <c r="G1422" s="338" t="s">
        <v>3800</v>
      </c>
      <c r="H1422" s="338"/>
      <c r="I1422" s="329">
        <v>214.56286411576406</v>
      </c>
      <c r="J1422" s="329"/>
      <c r="K1422" s="338"/>
      <c r="L1422" s="338">
        <v>214.56286411576406</v>
      </c>
      <c r="M1422" s="338"/>
      <c r="N1422" s="338"/>
      <c r="O1422" s="338"/>
    </row>
    <row r="1423" spans="1:15" hidden="1" outlineLevel="2" x14ac:dyDescent="0.35">
      <c r="A1423" s="425" t="s">
        <v>7923</v>
      </c>
      <c r="B1423" s="327">
        <v>44501</v>
      </c>
      <c r="C1423" s="426" t="s">
        <v>9643</v>
      </c>
      <c r="D1423" s="427" t="s">
        <v>9644</v>
      </c>
      <c r="E1423" s="426" t="s">
        <v>9475</v>
      </c>
      <c r="F1423" s="338">
        <v>1637000</v>
      </c>
      <c r="G1423" s="338" t="s">
        <v>3800</v>
      </c>
      <c r="H1423" s="338"/>
      <c r="I1423" s="329">
        <v>390.26600950833972</v>
      </c>
      <c r="J1423" s="329"/>
      <c r="K1423" s="338"/>
      <c r="L1423" s="338">
        <v>390.26600950833972</v>
      </c>
      <c r="M1423" s="338"/>
      <c r="N1423" s="338"/>
      <c r="O1423" s="338"/>
    </row>
    <row r="1424" spans="1:15" hidden="1" outlineLevel="2" x14ac:dyDescent="0.35">
      <c r="A1424" s="425" t="s">
        <v>7923</v>
      </c>
      <c r="B1424" s="327">
        <v>44562</v>
      </c>
      <c r="C1424" s="426" t="s">
        <v>9216</v>
      </c>
      <c r="D1424" s="427" t="s">
        <v>9645</v>
      </c>
      <c r="E1424" s="426" t="s">
        <v>9646</v>
      </c>
      <c r="F1424" s="338">
        <v>3767200</v>
      </c>
      <c r="G1424" s="338" t="s">
        <v>3800</v>
      </c>
      <c r="H1424" s="338"/>
      <c r="I1424" s="329">
        <v>898.11246855211823</v>
      </c>
      <c r="J1424" s="329"/>
      <c r="K1424" s="338"/>
      <c r="L1424" s="338">
        <v>898.11246855211823</v>
      </c>
      <c r="M1424" s="338"/>
      <c r="N1424" s="338"/>
      <c r="O1424" s="338"/>
    </row>
    <row r="1425" spans="1:15" hidden="1" outlineLevel="2" x14ac:dyDescent="0.35">
      <c r="A1425" s="425" t="s">
        <v>7923</v>
      </c>
      <c r="B1425" s="327">
        <v>44539</v>
      </c>
      <c r="C1425" s="426" t="s">
        <v>9647</v>
      </c>
      <c r="D1425" s="427" t="s">
        <v>9648</v>
      </c>
      <c r="E1425" s="426" t="s">
        <v>8456</v>
      </c>
      <c r="F1425" s="338">
        <v>2922920</v>
      </c>
      <c r="G1425" s="338" t="s">
        <v>3800</v>
      </c>
      <c r="H1425" s="338"/>
      <c r="I1425" s="329">
        <v>696.83342975694347</v>
      </c>
      <c r="J1425" s="329"/>
      <c r="K1425" s="338"/>
      <c r="L1425" s="338">
        <v>696.83342975694347</v>
      </c>
      <c r="M1425" s="338"/>
      <c r="N1425" s="338"/>
      <c r="O1425" s="338"/>
    </row>
    <row r="1426" spans="1:15" hidden="1" outlineLevel="2" x14ac:dyDescent="0.35">
      <c r="A1426" s="425" t="s">
        <v>7923</v>
      </c>
      <c r="B1426" s="327">
        <v>44504</v>
      </c>
      <c r="C1426" s="426" t="s">
        <v>9649</v>
      </c>
      <c r="D1426" s="427" t="s">
        <v>9650</v>
      </c>
      <c r="E1426" s="426" t="s">
        <v>8147</v>
      </c>
      <c r="F1426" s="338">
        <v>5484900</v>
      </c>
      <c r="G1426" s="338" t="s">
        <v>3800</v>
      </c>
      <c r="H1426" s="338"/>
      <c r="I1426" s="329">
        <v>1307.6176148761715</v>
      </c>
      <c r="J1426" s="329"/>
      <c r="K1426" s="338"/>
      <c r="L1426" s="338">
        <v>1307.6176148761715</v>
      </c>
      <c r="M1426" s="338"/>
      <c r="N1426" s="338"/>
      <c r="O1426" s="338"/>
    </row>
    <row r="1427" spans="1:15" hidden="1" outlineLevel="2" x14ac:dyDescent="0.35">
      <c r="A1427" s="425" t="s">
        <v>7923</v>
      </c>
      <c r="B1427" s="327">
        <v>44560</v>
      </c>
      <c r="C1427" s="426" t="s">
        <v>9651</v>
      </c>
      <c r="D1427" s="427" t="s">
        <v>9652</v>
      </c>
      <c r="E1427" s="426" t="s">
        <v>9653</v>
      </c>
      <c r="F1427" s="338">
        <v>434000</v>
      </c>
      <c r="G1427" s="338" t="s">
        <v>3800</v>
      </c>
      <c r="H1427" s="338"/>
      <c r="I1427" s="329">
        <v>103.46698114026844</v>
      </c>
      <c r="J1427" s="329"/>
      <c r="K1427" s="338"/>
      <c r="L1427" s="338">
        <v>103.46698114026844</v>
      </c>
      <c r="M1427" s="338"/>
      <c r="N1427" s="338"/>
      <c r="O1427" s="338"/>
    </row>
    <row r="1428" spans="1:15" hidden="1" outlineLevel="2" x14ac:dyDescent="0.35">
      <c r="A1428" s="425" t="s">
        <v>7923</v>
      </c>
      <c r="B1428" s="327">
        <v>44560</v>
      </c>
      <c r="C1428" s="426" t="s">
        <v>9654</v>
      </c>
      <c r="D1428" s="427" t="s">
        <v>9652</v>
      </c>
      <c r="E1428" s="426" t="s">
        <v>9653</v>
      </c>
      <c r="F1428" s="338">
        <v>185000</v>
      </c>
      <c r="G1428" s="338" t="s">
        <v>3800</v>
      </c>
      <c r="H1428" s="338"/>
      <c r="I1428" s="329">
        <v>44.104588734907054</v>
      </c>
      <c r="J1428" s="329"/>
      <c r="K1428" s="338"/>
      <c r="L1428" s="338">
        <v>44.104588734907054</v>
      </c>
      <c r="M1428" s="338"/>
      <c r="N1428" s="338"/>
      <c r="O1428" s="338"/>
    </row>
    <row r="1429" spans="1:15" hidden="1" outlineLevel="2" x14ac:dyDescent="0.35">
      <c r="A1429" s="425" t="s">
        <v>7923</v>
      </c>
      <c r="B1429" s="327">
        <v>44560</v>
      </c>
      <c r="C1429" s="426" t="s">
        <v>9655</v>
      </c>
      <c r="D1429" s="427" t="s">
        <v>9656</v>
      </c>
      <c r="E1429" s="426" t="s">
        <v>9653</v>
      </c>
      <c r="F1429" s="338">
        <v>1272000</v>
      </c>
      <c r="G1429" s="338" t="s">
        <v>3800</v>
      </c>
      <c r="H1429" s="338"/>
      <c r="I1429" s="329">
        <v>303.24884795027987</v>
      </c>
      <c r="J1429" s="329"/>
      <c r="K1429" s="338"/>
      <c r="L1429" s="338">
        <v>303.24884795027987</v>
      </c>
      <c r="M1429" s="338"/>
      <c r="N1429" s="338"/>
      <c r="O1429" s="338"/>
    </row>
    <row r="1430" spans="1:15" hidden="1" outlineLevel="2" x14ac:dyDescent="0.35">
      <c r="A1430" s="425" t="s">
        <v>7923</v>
      </c>
      <c r="B1430" s="327">
        <v>44516</v>
      </c>
      <c r="C1430" s="426" t="s">
        <v>9657</v>
      </c>
      <c r="D1430" s="427" t="s">
        <v>9658</v>
      </c>
      <c r="E1430" s="426" t="s">
        <v>9659</v>
      </c>
      <c r="F1430" s="338">
        <v>952260</v>
      </c>
      <c r="G1430" s="338" t="s">
        <v>3800</v>
      </c>
      <c r="H1430" s="338"/>
      <c r="I1430" s="329">
        <v>227.02181442541942</v>
      </c>
      <c r="J1430" s="329"/>
      <c r="K1430" s="338"/>
      <c r="L1430" s="338">
        <v>227.02181442541942</v>
      </c>
      <c r="M1430" s="338"/>
      <c r="N1430" s="338"/>
      <c r="O1430" s="338"/>
    </row>
    <row r="1431" spans="1:15" hidden="1" outlineLevel="2" x14ac:dyDescent="0.35">
      <c r="A1431" s="425" t="s">
        <v>7923</v>
      </c>
      <c r="B1431" s="327">
        <v>44547</v>
      </c>
      <c r="C1431" s="426" t="s">
        <v>9660</v>
      </c>
      <c r="D1431" s="427" t="s">
        <v>9661</v>
      </c>
      <c r="E1431" s="426" t="s">
        <v>9662</v>
      </c>
      <c r="F1431" s="338">
        <v>10371020</v>
      </c>
      <c r="G1431" s="338" t="s">
        <v>3800</v>
      </c>
      <c r="H1431" s="338"/>
      <c r="I1431" s="329">
        <v>2472.4841722243013</v>
      </c>
      <c r="J1431" s="329"/>
      <c r="K1431" s="338"/>
      <c r="L1431" s="338">
        <v>2472.4841722243013</v>
      </c>
      <c r="M1431" s="338"/>
      <c r="N1431" s="338"/>
      <c r="O1431" s="338"/>
    </row>
    <row r="1432" spans="1:15" hidden="1" outlineLevel="2" x14ac:dyDescent="0.35">
      <c r="A1432" s="425" t="s">
        <v>7923</v>
      </c>
      <c r="B1432" s="327">
        <v>44562</v>
      </c>
      <c r="C1432" s="426" t="s">
        <v>8052</v>
      </c>
      <c r="D1432" s="427" t="s">
        <v>9663</v>
      </c>
      <c r="E1432" s="426" t="s">
        <v>9664</v>
      </c>
      <c r="F1432" s="338">
        <v>4559940</v>
      </c>
      <c r="G1432" s="338" t="s">
        <v>3800</v>
      </c>
      <c r="H1432" s="338"/>
      <c r="I1432" s="329">
        <v>1087.1042073289302</v>
      </c>
      <c r="J1432" s="329"/>
      <c r="K1432" s="338"/>
      <c r="L1432" s="338">
        <v>1087.1042073289302</v>
      </c>
      <c r="M1432" s="338"/>
      <c r="N1432" s="338"/>
      <c r="O1432" s="338"/>
    </row>
    <row r="1433" spans="1:15" hidden="1" outlineLevel="2" x14ac:dyDescent="0.35">
      <c r="A1433" s="425" t="s">
        <v>7923</v>
      </c>
      <c r="B1433" s="327">
        <v>44529</v>
      </c>
      <c r="C1433" s="426" t="s">
        <v>9665</v>
      </c>
      <c r="D1433" s="427" t="s">
        <v>9666</v>
      </c>
      <c r="E1433" s="426" t="s">
        <v>9667</v>
      </c>
      <c r="F1433" s="338">
        <v>745000</v>
      </c>
      <c r="G1433" s="338" t="s">
        <v>3800</v>
      </c>
      <c r="H1433" s="338"/>
      <c r="I1433" s="329">
        <v>177.61037085138247</v>
      </c>
      <c r="J1433" s="329"/>
      <c r="K1433" s="338"/>
      <c r="L1433" s="338">
        <v>177.61037085138247</v>
      </c>
      <c r="M1433" s="338"/>
      <c r="N1433" s="338"/>
      <c r="O1433" s="338"/>
    </row>
    <row r="1434" spans="1:15" hidden="1" outlineLevel="2" x14ac:dyDescent="0.35">
      <c r="A1434" s="425" t="s">
        <v>7923</v>
      </c>
      <c r="B1434" s="327">
        <v>44503</v>
      </c>
      <c r="C1434" s="426" t="s">
        <v>9668</v>
      </c>
      <c r="D1434" s="427" t="s">
        <v>9669</v>
      </c>
      <c r="E1434" s="426" t="s">
        <v>9670</v>
      </c>
      <c r="F1434" s="338">
        <v>6999240</v>
      </c>
      <c r="G1434" s="338" t="s">
        <v>3800</v>
      </c>
      <c r="H1434" s="338"/>
      <c r="I1434" s="329">
        <v>1668.641090037356</v>
      </c>
      <c r="J1434" s="329"/>
      <c r="K1434" s="338"/>
      <c r="L1434" s="338">
        <v>1668.641090037356</v>
      </c>
      <c r="M1434" s="338"/>
      <c r="N1434" s="338"/>
      <c r="O1434" s="338"/>
    </row>
    <row r="1435" spans="1:15" hidden="1" outlineLevel="2" x14ac:dyDescent="0.35">
      <c r="A1435" s="425" t="s">
        <v>7923</v>
      </c>
      <c r="B1435" s="327">
        <v>44516</v>
      </c>
      <c r="C1435" s="426" t="s">
        <v>9671</v>
      </c>
      <c r="D1435" s="427" t="s">
        <v>9672</v>
      </c>
      <c r="E1435" s="426" t="s">
        <v>9673</v>
      </c>
      <c r="F1435" s="338">
        <v>745000</v>
      </c>
      <c r="G1435" s="338" t="s">
        <v>3800</v>
      </c>
      <c r="H1435" s="338"/>
      <c r="I1435" s="329">
        <v>177.61037085138247</v>
      </c>
      <c r="J1435" s="329"/>
      <c r="K1435" s="338"/>
      <c r="L1435" s="338">
        <v>177.61037085138247</v>
      </c>
      <c r="M1435" s="338"/>
      <c r="N1435" s="338"/>
      <c r="O1435" s="338"/>
    </row>
    <row r="1436" spans="1:15" hidden="1" outlineLevel="2" x14ac:dyDescent="0.35">
      <c r="A1436" s="425" t="s">
        <v>7923</v>
      </c>
      <c r="B1436" s="327">
        <v>44516</v>
      </c>
      <c r="C1436" s="426" t="s">
        <v>9674</v>
      </c>
      <c r="D1436" s="427" t="s">
        <v>9672</v>
      </c>
      <c r="E1436" s="426" t="s">
        <v>9673</v>
      </c>
      <c r="F1436" s="338">
        <v>5480670</v>
      </c>
      <c r="G1436" s="338" t="s">
        <v>3800</v>
      </c>
      <c r="H1436" s="338"/>
      <c r="I1436" s="329">
        <v>1306.6091694148274</v>
      </c>
      <c r="J1436" s="329"/>
      <c r="K1436" s="338"/>
      <c r="L1436" s="338">
        <v>1306.6091694148274</v>
      </c>
      <c r="M1436" s="338"/>
      <c r="N1436" s="338"/>
      <c r="O1436" s="338"/>
    </row>
    <row r="1437" spans="1:15" hidden="1" outlineLevel="2" x14ac:dyDescent="0.35">
      <c r="A1437" s="425" t="s">
        <v>7923</v>
      </c>
      <c r="B1437" s="327">
        <v>44503</v>
      </c>
      <c r="C1437" s="426" t="s">
        <v>9675</v>
      </c>
      <c r="D1437" s="427" t="s">
        <v>9676</v>
      </c>
      <c r="E1437" s="426" t="s">
        <v>9677</v>
      </c>
      <c r="F1437" s="338">
        <v>4159500</v>
      </c>
      <c r="G1437" s="338" t="s">
        <v>3800</v>
      </c>
      <c r="H1437" s="338"/>
      <c r="I1437" s="329">
        <v>991.63803698835625</v>
      </c>
      <c r="J1437" s="329"/>
      <c r="K1437" s="338"/>
      <c r="L1437" s="338">
        <v>991.63803698835625</v>
      </c>
      <c r="M1437" s="338"/>
      <c r="N1437" s="338"/>
      <c r="O1437" s="338"/>
    </row>
    <row r="1438" spans="1:15" hidden="1" outlineLevel="2" x14ac:dyDescent="0.35">
      <c r="A1438" s="425" t="s">
        <v>7923</v>
      </c>
      <c r="B1438" s="327">
        <v>44529</v>
      </c>
      <c r="C1438" s="426" t="s">
        <v>9678</v>
      </c>
      <c r="D1438" s="427" t="s">
        <v>9679</v>
      </c>
      <c r="E1438" s="426" t="s">
        <v>9680</v>
      </c>
      <c r="F1438" s="338">
        <v>153000</v>
      </c>
      <c r="G1438" s="338" t="s">
        <v>3800</v>
      </c>
      <c r="H1438" s="338"/>
      <c r="I1438" s="329">
        <v>36.475686899679893</v>
      </c>
      <c r="J1438" s="329"/>
      <c r="K1438" s="338"/>
      <c r="L1438" s="338">
        <v>36.475686899679893</v>
      </c>
      <c r="M1438" s="338"/>
      <c r="N1438" s="338"/>
      <c r="O1438" s="338"/>
    </row>
    <row r="1439" spans="1:15" hidden="1" outlineLevel="2" x14ac:dyDescent="0.35">
      <c r="A1439" s="425" t="s">
        <v>7923</v>
      </c>
      <c r="B1439" s="327">
        <v>44515</v>
      </c>
      <c r="C1439" s="426" t="s">
        <v>9681</v>
      </c>
      <c r="D1439" s="427" t="s">
        <v>9682</v>
      </c>
      <c r="E1439" s="426" t="s">
        <v>9683</v>
      </c>
      <c r="F1439" s="338">
        <v>958000</v>
      </c>
      <c r="G1439" s="338" t="s">
        <v>3800</v>
      </c>
      <c r="H1439" s="338"/>
      <c r="I1439" s="329">
        <v>228.39024869211329</v>
      </c>
      <c r="J1439" s="329"/>
      <c r="K1439" s="338"/>
      <c r="L1439" s="338">
        <v>228.39024869211329</v>
      </c>
      <c r="M1439" s="338"/>
      <c r="N1439" s="338"/>
      <c r="O1439" s="338"/>
    </row>
    <row r="1440" spans="1:15" hidden="1" outlineLevel="2" x14ac:dyDescent="0.35">
      <c r="A1440" s="425" t="s">
        <v>7923</v>
      </c>
      <c r="B1440" s="327">
        <v>44515</v>
      </c>
      <c r="C1440" s="426" t="s">
        <v>9684</v>
      </c>
      <c r="D1440" s="427" t="s">
        <v>9682</v>
      </c>
      <c r="E1440" s="426" t="s">
        <v>9683</v>
      </c>
      <c r="F1440" s="338">
        <v>153000</v>
      </c>
      <c r="G1440" s="338" t="s">
        <v>3800</v>
      </c>
      <c r="H1440" s="338"/>
      <c r="I1440" s="329">
        <v>36.475686899679893</v>
      </c>
      <c r="J1440" s="329"/>
      <c r="K1440" s="338"/>
      <c r="L1440" s="338">
        <v>36.475686899679893</v>
      </c>
      <c r="M1440" s="338"/>
      <c r="N1440" s="338"/>
      <c r="O1440" s="338"/>
    </row>
    <row r="1441" spans="1:15" hidden="1" outlineLevel="2" x14ac:dyDescent="0.35">
      <c r="A1441" s="425" t="s">
        <v>7923</v>
      </c>
      <c r="B1441" s="327">
        <v>44520</v>
      </c>
      <c r="C1441" s="426" t="s">
        <v>9685</v>
      </c>
      <c r="D1441" s="427" t="s">
        <v>9686</v>
      </c>
      <c r="E1441" s="426" t="s">
        <v>9640</v>
      </c>
      <c r="F1441" s="338">
        <v>240000</v>
      </c>
      <c r="G1441" s="338" t="s">
        <v>3800</v>
      </c>
      <c r="H1441" s="338"/>
      <c r="I1441" s="329">
        <v>57.216763764203748</v>
      </c>
      <c r="J1441" s="329"/>
      <c r="K1441" s="338"/>
      <c r="L1441" s="338">
        <v>57.216763764203748</v>
      </c>
      <c r="M1441" s="338"/>
      <c r="N1441" s="338"/>
      <c r="O1441" s="338"/>
    </row>
    <row r="1442" spans="1:15" hidden="1" outlineLevel="2" x14ac:dyDescent="0.35">
      <c r="A1442" s="425" t="s">
        <v>7923</v>
      </c>
      <c r="B1442" s="327">
        <v>44491</v>
      </c>
      <c r="C1442" s="426" t="s">
        <v>9589</v>
      </c>
      <c r="D1442" s="427" t="s">
        <v>9687</v>
      </c>
      <c r="E1442" s="426" t="s">
        <v>8110</v>
      </c>
      <c r="F1442" s="338">
        <v>240000</v>
      </c>
      <c r="G1442" s="338" t="s">
        <v>3800</v>
      </c>
      <c r="H1442" s="338"/>
      <c r="I1442" s="329">
        <v>57.216763764203748</v>
      </c>
      <c r="J1442" s="329"/>
      <c r="K1442" s="338"/>
      <c r="L1442" s="338">
        <v>57.216763764203748</v>
      </c>
      <c r="M1442" s="338"/>
      <c r="N1442" s="338"/>
      <c r="O1442" s="338"/>
    </row>
    <row r="1443" spans="1:15" hidden="1" outlineLevel="2" x14ac:dyDescent="0.35">
      <c r="A1443" s="425" t="s">
        <v>7923</v>
      </c>
      <c r="B1443" s="327">
        <v>44561</v>
      </c>
      <c r="C1443" s="426" t="s">
        <v>9688</v>
      </c>
      <c r="D1443" s="427" t="s">
        <v>9689</v>
      </c>
      <c r="E1443" s="426" t="s">
        <v>9690</v>
      </c>
      <c r="F1443" s="338">
        <v>300000</v>
      </c>
      <c r="G1443" s="338" t="s">
        <v>3800</v>
      </c>
      <c r="H1443" s="338"/>
      <c r="I1443" s="329">
        <v>71.520954705254681</v>
      </c>
      <c r="J1443" s="329"/>
      <c r="K1443" s="338"/>
      <c r="L1443" s="338">
        <v>71.520954705254681</v>
      </c>
      <c r="M1443" s="338"/>
      <c r="N1443" s="338"/>
      <c r="O1443" s="338"/>
    </row>
    <row r="1444" spans="1:15" hidden="1" outlineLevel="2" x14ac:dyDescent="0.35">
      <c r="A1444" s="425" t="s">
        <v>7923</v>
      </c>
      <c r="B1444" s="327">
        <v>44561</v>
      </c>
      <c r="C1444" s="426" t="s">
        <v>9691</v>
      </c>
      <c r="D1444" s="427" t="s">
        <v>9692</v>
      </c>
      <c r="E1444" s="426" t="s">
        <v>8200</v>
      </c>
      <c r="F1444" s="338">
        <v>900000</v>
      </c>
      <c r="G1444" s="338" t="s">
        <v>3800</v>
      </c>
      <c r="H1444" s="338"/>
      <c r="I1444" s="329">
        <v>214.56286411576406</v>
      </c>
      <c r="J1444" s="329"/>
      <c r="K1444" s="338"/>
      <c r="L1444" s="338">
        <v>214.56286411576406</v>
      </c>
      <c r="M1444" s="338"/>
      <c r="N1444" s="338"/>
      <c r="O1444" s="338"/>
    </row>
    <row r="1445" spans="1:15" hidden="1" outlineLevel="2" x14ac:dyDescent="0.35">
      <c r="A1445" s="425" t="s">
        <v>7923</v>
      </c>
      <c r="B1445" s="327">
        <v>44561</v>
      </c>
      <c r="C1445" s="426" t="s">
        <v>9693</v>
      </c>
      <c r="D1445" s="427" t="s">
        <v>9694</v>
      </c>
      <c r="E1445" s="426" t="s">
        <v>9690</v>
      </c>
      <c r="F1445" s="338">
        <v>900000</v>
      </c>
      <c r="G1445" s="338" t="s">
        <v>3800</v>
      </c>
      <c r="H1445" s="338"/>
      <c r="I1445" s="329">
        <v>214.56286411576406</v>
      </c>
      <c r="J1445" s="329"/>
      <c r="K1445" s="338"/>
      <c r="L1445" s="338">
        <v>214.56286411576406</v>
      </c>
      <c r="M1445" s="338"/>
      <c r="N1445" s="338"/>
      <c r="O1445" s="338"/>
    </row>
    <row r="1446" spans="1:15" hidden="1" outlineLevel="2" x14ac:dyDescent="0.35">
      <c r="A1446" s="425" t="s">
        <v>7923</v>
      </c>
      <c r="B1446" s="327">
        <v>44561</v>
      </c>
      <c r="C1446" s="426" t="s">
        <v>9695</v>
      </c>
      <c r="D1446" s="427" t="s">
        <v>9696</v>
      </c>
      <c r="E1446" s="426" t="s">
        <v>8200</v>
      </c>
      <c r="F1446" s="338">
        <v>600000</v>
      </c>
      <c r="G1446" s="338" t="s">
        <v>3800</v>
      </c>
      <c r="H1446" s="338"/>
      <c r="I1446" s="329">
        <v>143.04190941050936</v>
      </c>
      <c r="J1446" s="329"/>
      <c r="K1446" s="338"/>
      <c r="L1446" s="338">
        <v>143.04190941050936</v>
      </c>
      <c r="M1446" s="338"/>
      <c r="N1446" s="338"/>
      <c r="O1446" s="338"/>
    </row>
    <row r="1447" spans="1:15" hidden="1" outlineLevel="2" x14ac:dyDescent="0.35">
      <c r="A1447" s="425" t="s">
        <v>7923</v>
      </c>
      <c r="B1447" s="327">
        <v>44561</v>
      </c>
      <c r="C1447" s="426" t="s">
        <v>9697</v>
      </c>
      <c r="D1447" s="427" t="s">
        <v>9696</v>
      </c>
      <c r="E1447" s="426" t="s">
        <v>9690</v>
      </c>
      <c r="F1447" s="338">
        <v>600000</v>
      </c>
      <c r="G1447" s="338" t="s">
        <v>3800</v>
      </c>
      <c r="H1447" s="338"/>
      <c r="I1447" s="329">
        <v>143.04190941050936</v>
      </c>
      <c r="J1447" s="329"/>
      <c r="K1447" s="338"/>
      <c r="L1447" s="338">
        <v>143.04190941050936</v>
      </c>
      <c r="M1447" s="338"/>
      <c r="N1447" s="338"/>
      <c r="O1447" s="338"/>
    </row>
    <row r="1448" spans="1:15" hidden="1" outlineLevel="2" x14ac:dyDescent="0.35">
      <c r="A1448" s="425" t="s">
        <v>7923</v>
      </c>
      <c r="B1448" s="327">
        <v>44491</v>
      </c>
      <c r="C1448" s="426" t="s">
        <v>9698</v>
      </c>
      <c r="D1448" s="427" t="s">
        <v>9699</v>
      </c>
      <c r="E1448" s="426" t="s">
        <v>8110</v>
      </c>
      <c r="F1448" s="338">
        <v>480000</v>
      </c>
      <c r="G1448" s="338" t="s">
        <v>3800</v>
      </c>
      <c r="H1448" s="338"/>
      <c r="I1448" s="329">
        <v>114.4335275284075</v>
      </c>
      <c r="J1448" s="329"/>
      <c r="K1448" s="338"/>
      <c r="L1448" s="338">
        <v>114.4335275284075</v>
      </c>
      <c r="M1448" s="338"/>
      <c r="N1448" s="338"/>
      <c r="O1448" s="338"/>
    </row>
    <row r="1449" spans="1:15" hidden="1" outlineLevel="2" x14ac:dyDescent="0.35">
      <c r="A1449" s="425" t="s">
        <v>7923</v>
      </c>
      <c r="B1449" s="327">
        <v>44520</v>
      </c>
      <c r="C1449" s="426" t="s">
        <v>9700</v>
      </c>
      <c r="D1449" s="427" t="s">
        <v>9701</v>
      </c>
      <c r="E1449" s="426" t="s">
        <v>8183</v>
      </c>
      <c r="F1449" s="338">
        <v>600000</v>
      </c>
      <c r="G1449" s="338" t="s">
        <v>3800</v>
      </c>
      <c r="H1449" s="338"/>
      <c r="I1449" s="329">
        <v>143.04190941050936</v>
      </c>
      <c r="J1449" s="329"/>
      <c r="K1449" s="338"/>
      <c r="L1449" s="338">
        <v>143.04190941050936</v>
      </c>
      <c r="M1449" s="338"/>
      <c r="N1449" s="338"/>
      <c r="O1449" s="338"/>
    </row>
    <row r="1450" spans="1:15" hidden="1" outlineLevel="2" x14ac:dyDescent="0.35">
      <c r="A1450" s="425" t="s">
        <v>7923</v>
      </c>
      <c r="B1450" s="327">
        <v>44520</v>
      </c>
      <c r="C1450" s="426" t="s">
        <v>9702</v>
      </c>
      <c r="D1450" s="427" t="s">
        <v>9701</v>
      </c>
      <c r="E1450" s="426" t="s">
        <v>8191</v>
      </c>
      <c r="F1450" s="338">
        <v>900000</v>
      </c>
      <c r="G1450" s="338" t="s">
        <v>3800</v>
      </c>
      <c r="H1450" s="338"/>
      <c r="I1450" s="329">
        <v>214.56286411576406</v>
      </c>
      <c r="J1450" s="329"/>
      <c r="K1450" s="338"/>
      <c r="L1450" s="338">
        <v>214.56286411576406</v>
      </c>
      <c r="M1450" s="338"/>
      <c r="N1450" s="338"/>
      <c r="O1450" s="338"/>
    </row>
    <row r="1451" spans="1:15" hidden="1" outlineLevel="2" x14ac:dyDescent="0.35">
      <c r="A1451" s="425" t="s">
        <v>7923</v>
      </c>
      <c r="B1451" s="327">
        <v>44520</v>
      </c>
      <c r="C1451" s="426" t="s">
        <v>9703</v>
      </c>
      <c r="D1451" s="427" t="s">
        <v>9701</v>
      </c>
      <c r="E1451" s="426" t="s">
        <v>8196</v>
      </c>
      <c r="F1451" s="338">
        <v>600000</v>
      </c>
      <c r="G1451" s="338" t="s">
        <v>3800</v>
      </c>
      <c r="H1451" s="338"/>
      <c r="I1451" s="329">
        <v>143.04190941050936</v>
      </c>
      <c r="J1451" s="329"/>
      <c r="K1451" s="338"/>
      <c r="L1451" s="338">
        <v>143.04190941050936</v>
      </c>
      <c r="M1451" s="338"/>
      <c r="N1451" s="338"/>
      <c r="O1451" s="338"/>
    </row>
    <row r="1452" spans="1:15" hidden="1" outlineLevel="2" x14ac:dyDescent="0.35">
      <c r="A1452" s="425" t="s">
        <v>7923</v>
      </c>
      <c r="B1452" s="327">
        <v>44522</v>
      </c>
      <c r="C1452" s="426" t="s">
        <v>9591</v>
      </c>
      <c r="D1452" s="427" t="s">
        <v>9704</v>
      </c>
      <c r="E1452" s="426" t="s">
        <v>8144</v>
      </c>
      <c r="F1452" s="338">
        <v>150000</v>
      </c>
      <c r="G1452" s="338" t="s">
        <v>3800</v>
      </c>
      <c r="H1452" s="338"/>
      <c r="I1452" s="329">
        <v>35.760477352627341</v>
      </c>
      <c r="J1452" s="329"/>
      <c r="K1452" s="338"/>
      <c r="L1452" s="338">
        <v>35.760477352627341</v>
      </c>
      <c r="M1452" s="338"/>
      <c r="N1452" s="338"/>
      <c r="O1452" s="338"/>
    </row>
    <row r="1453" spans="1:15" hidden="1" outlineLevel="2" x14ac:dyDescent="0.35">
      <c r="A1453" s="425" t="s">
        <v>7923</v>
      </c>
      <c r="B1453" s="327">
        <v>44522</v>
      </c>
      <c r="C1453" s="426" t="s">
        <v>9705</v>
      </c>
      <c r="D1453" s="427" t="s">
        <v>9706</v>
      </c>
      <c r="E1453" s="426" t="s">
        <v>8144</v>
      </c>
      <c r="F1453" s="338">
        <v>900000</v>
      </c>
      <c r="G1453" s="338" t="s">
        <v>3800</v>
      </c>
      <c r="H1453" s="338"/>
      <c r="I1453" s="329">
        <v>214.56286411576406</v>
      </c>
      <c r="J1453" s="329"/>
      <c r="K1453" s="338"/>
      <c r="L1453" s="338">
        <v>214.56286411576406</v>
      </c>
      <c r="M1453" s="338"/>
      <c r="N1453" s="338"/>
      <c r="O1453" s="338"/>
    </row>
    <row r="1454" spans="1:15" hidden="1" outlineLevel="2" x14ac:dyDescent="0.35">
      <c r="A1454" s="425" t="s">
        <v>7923</v>
      </c>
      <c r="B1454" s="327">
        <v>44522</v>
      </c>
      <c r="C1454" s="426" t="s">
        <v>9593</v>
      </c>
      <c r="D1454" s="427" t="s">
        <v>9707</v>
      </c>
      <c r="E1454" s="426" t="s">
        <v>8144</v>
      </c>
      <c r="F1454" s="338">
        <v>300000</v>
      </c>
      <c r="G1454" s="338" t="s">
        <v>3800</v>
      </c>
      <c r="H1454" s="338"/>
      <c r="I1454" s="329">
        <v>71.520954705254681</v>
      </c>
      <c r="J1454" s="329"/>
      <c r="K1454" s="338"/>
      <c r="L1454" s="338">
        <v>71.520954705254681</v>
      </c>
      <c r="M1454" s="338"/>
      <c r="N1454" s="338"/>
      <c r="O1454" s="338"/>
    </row>
    <row r="1455" spans="1:15" hidden="1" outlineLevel="2" x14ac:dyDescent="0.35">
      <c r="A1455" s="425" t="s">
        <v>7923</v>
      </c>
      <c r="B1455" s="327">
        <v>44505</v>
      </c>
      <c r="C1455" s="426" t="s">
        <v>9708</v>
      </c>
      <c r="D1455" s="427" t="s">
        <v>9709</v>
      </c>
      <c r="E1455" s="426" t="s">
        <v>8110</v>
      </c>
      <c r="F1455" s="338">
        <v>720000</v>
      </c>
      <c r="G1455" s="338" t="s">
        <v>3800</v>
      </c>
      <c r="H1455" s="338"/>
      <c r="I1455" s="329">
        <v>171.65029129261126</v>
      </c>
      <c r="J1455" s="329"/>
      <c r="K1455" s="338"/>
      <c r="L1455" s="338">
        <v>171.65029129261126</v>
      </c>
      <c r="M1455" s="338"/>
      <c r="N1455" s="338"/>
      <c r="O1455" s="338"/>
    </row>
    <row r="1456" spans="1:15" hidden="1" outlineLevel="2" x14ac:dyDescent="0.35">
      <c r="A1456" s="425" t="s">
        <v>7923</v>
      </c>
      <c r="B1456" s="327">
        <v>44505</v>
      </c>
      <c r="C1456" s="426" t="s">
        <v>9710</v>
      </c>
      <c r="D1456" s="427" t="s">
        <v>9709</v>
      </c>
      <c r="E1456" s="426" t="s">
        <v>8196</v>
      </c>
      <c r="F1456" s="338">
        <v>180000</v>
      </c>
      <c r="G1456" s="338" t="s">
        <v>3800</v>
      </c>
      <c r="H1456" s="338"/>
      <c r="I1456" s="329">
        <v>42.912572823152814</v>
      </c>
      <c r="J1456" s="329"/>
      <c r="K1456" s="338"/>
      <c r="L1456" s="338">
        <v>42.912572823152814</v>
      </c>
      <c r="M1456" s="338"/>
      <c r="N1456" s="338"/>
      <c r="O1456" s="338"/>
    </row>
    <row r="1457" spans="1:15" hidden="1" outlineLevel="2" x14ac:dyDescent="0.35">
      <c r="A1457" s="425" t="s">
        <v>7923</v>
      </c>
      <c r="B1457" s="327">
        <v>44505</v>
      </c>
      <c r="C1457" s="426" t="s">
        <v>9711</v>
      </c>
      <c r="D1457" s="427" t="s">
        <v>9709</v>
      </c>
      <c r="E1457" s="426" t="s">
        <v>8042</v>
      </c>
      <c r="F1457" s="338">
        <v>720000</v>
      </c>
      <c r="G1457" s="338" t="s">
        <v>3800</v>
      </c>
      <c r="H1457" s="338"/>
      <c r="I1457" s="329">
        <v>171.65029129261126</v>
      </c>
      <c r="J1457" s="329"/>
      <c r="K1457" s="338"/>
      <c r="L1457" s="338">
        <v>171.65029129261126</v>
      </c>
      <c r="M1457" s="338"/>
      <c r="N1457" s="338"/>
      <c r="O1457" s="338"/>
    </row>
    <row r="1458" spans="1:15" hidden="1" outlineLevel="2" x14ac:dyDescent="0.35">
      <c r="A1458" s="425" t="s">
        <v>7923</v>
      </c>
      <c r="B1458" s="327">
        <v>44505</v>
      </c>
      <c r="C1458" s="426" t="s">
        <v>9712</v>
      </c>
      <c r="D1458" s="427" t="s">
        <v>9713</v>
      </c>
      <c r="E1458" s="426" t="s">
        <v>9714</v>
      </c>
      <c r="F1458" s="338">
        <v>480000</v>
      </c>
      <c r="G1458" s="338" t="s">
        <v>3800</v>
      </c>
      <c r="H1458" s="338"/>
      <c r="I1458" s="329">
        <v>114.4335275284075</v>
      </c>
      <c r="J1458" s="329"/>
      <c r="K1458" s="338"/>
      <c r="L1458" s="338">
        <v>114.4335275284075</v>
      </c>
      <c r="M1458" s="338"/>
      <c r="N1458" s="338"/>
      <c r="O1458" s="338"/>
    </row>
    <row r="1459" spans="1:15" hidden="1" outlineLevel="2" x14ac:dyDescent="0.35">
      <c r="A1459" s="425" t="s">
        <v>7923</v>
      </c>
      <c r="B1459" s="327">
        <v>44504</v>
      </c>
      <c r="C1459" s="426" t="s">
        <v>9715</v>
      </c>
      <c r="D1459" s="427" t="s">
        <v>9716</v>
      </c>
      <c r="E1459" s="426" t="s">
        <v>9717</v>
      </c>
      <c r="F1459" s="338">
        <v>350100</v>
      </c>
      <c r="G1459" s="338" t="s">
        <v>3800</v>
      </c>
      <c r="H1459" s="338"/>
      <c r="I1459" s="329">
        <v>83.464954141032223</v>
      </c>
      <c r="J1459" s="329"/>
      <c r="K1459" s="338"/>
      <c r="L1459" s="338">
        <v>83.464954141032223</v>
      </c>
      <c r="M1459" s="338"/>
      <c r="N1459" s="338"/>
      <c r="O1459" s="338"/>
    </row>
    <row r="1460" spans="1:15" hidden="1" outlineLevel="2" x14ac:dyDescent="0.35">
      <c r="A1460" s="425" t="s">
        <v>7923</v>
      </c>
      <c r="B1460" s="327">
        <v>44503</v>
      </c>
      <c r="C1460" s="426" t="s">
        <v>9718</v>
      </c>
      <c r="D1460" s="427" t="s">
        <v>9719</v>
      </c>
      <c r="E1460" s="426" t="s">
        <v>9720</v>
      </c>
      <c r="F1460" s="338">
        <v>265000</v>
      </c>
      <c r="G1460" s="338" t="s">
        <v>3800</v>
      </c>
      <c r="H1460" s="338"/>
      <c r="I1460" s="329">
        <v>63.176843322974975</v>
      </c>
      <c r="J1460" s="329"/>
      <c r="K1460" s="338"/>
      <c r="L1460" s="338">
        <v>63.176843322974975</v>
      </c>
      <c r="M1460" s="338"/>
      <c r="N1460" s="338"/>
      <c r="O1460" s="338"/>
    </row>
    <row r="1461" spans="1:15" hidden="1" outlineLevel="2" x14ac:dyDescent="0.35">
      <c r="A1461" s="425" t="s">
        <v>7923</v>
      </c>
      <c r="B1461" s="327">
        <v>44503</v>
      </c>
      <c r="C1461" s="426" t="s">
        <v>9721</v>
      </c>
      <c r="D1461" s="427" t="s">
        <v>9722</v>
      </c>
      <c r="E1461" s="426" t="s">
        <v>9723</v>
      </c>
      <c r="F1461" s="338">
        <v>446760</v>
      </c>
      <c r="G1461" s="338" t="s">
        <v>3800</v>
      </c>
      <c r="H1461" s="338"/>
      <c r="I1461" s="329">
        <v>106.50900574706527</v>
      </c>
      <c r="J1461" s="329"/>
      <c r="K1461" s="338"/>
      <c r="L1461" s="338">
        <v>106.50900574706527</v>
      </c>
      <c r="M1461" s="338"/>
      <c r="N1461" s="338"/>
      <c r="O1461" s="338"/>
    </row>
    <row r="1462" spans="1:15" hidden="1" outlineLevel="2" x14ac:dyDescent="0.35">
      <c r="A1462" s="425" t="s">
        <v>7923</v>
      </c>
      <c r="B1462" s="327">
        <v>44516</v>
      </c>
      <c r="C1462" s="426" t="s">
        <v>9724</v>
      </c>
      <c r="D1462" s="427" t="s">
        <v>9725</v>
      </c>
      <c r="E1462" s="426" t="s">
        <v>9726</v>
      </c>
      <c r="F1462" s="338">
        <v>349830</v>
      </c>
      <c r="G1462" s="338" t="s">
        <v>3800</v>
      </c>
      <c r="H1462" s="338"/>
      <c r="I1462" s="329">
        <v>83.40058528179749</v>
      </c>
      <c r="J1462" s="329"/>
      <c r="K1462" s="338"/>
      <c r="L1462" s="338">
        <v>83.40058528179749</v>
      </c>
      <c r="M1462" s="338"/>
      <c r="N1462" s="338"/>
      <c r="O1462" s="338"/>
    </row>
    <row r="1463" spans="1:15" hidden="1" outlineLevel="2" x14ac:dyDescent="0.35">
      <c r="A1463" s="425" t="s">
        <v>7923</v>
      </c>
      <c r="B1463" s="327">
        <v>44539</v>
      </c>
      <c r="C1463" s="426" t="s">
        <v>9727</v>
      </c>
      <c r="D1463" s="427" t="s">
        <v>9728</v>
      </c>
      <c r="E1463" s="426" t="s">
        <v>8456</v>
      </c>
      <c r="F1463" s="338">
        <v>4140000</v>
      </c>
      <c r="G1463" s="338" t="s">
        <v>3800</v>
      </c>
      <c r="H1463" s="338"/>
      <c r="I1463" s="329">
        <v>986.98917493251463</v>
      </c>
      <c r="J1463" s="329"/>
      <c r="K1463" s="338"/>
      <c r="L1463" s="338">
        <v>986.98917493251463</v>
      </c>
      <c r="M1463" s="338"/>
      <c r="N1463" s="338"/>
      <c r="O1463" s="338"/>
    </row>
    <row r="1464" spans="1:15" hidden="1" outlineLevel="2" x14ac:dyDescent="0.35">
      <c r="A1464" s="425" t="s">
        <v>7923</v>
      </c>
      <c r="B1464" s="327">
        <v>44533</v>
      </c>
      <c r="C1464" s="426" t="s">
        <v>9729</v>
      </c>
      <c r="D1464" s="427" t="s">
        <v>9730</v>
      </c>
      <c r="E1464" s="426" t="s">
        <v>8456</v>
      </c>
      <c r="F1464" s="338">
        <v>4140000</v>
      </c>
      <c r="G1464" s="338" t="s">
        <v>3800</v>
      </c>
      <c r="H1464" s="338"/>
      <c r="I1464" s="329">
        <v>986.98917493251463</v>
      </c>
      <c r="J1464" s="329"/>
      <c r="K1464" s="338"/>
      <c r="L1464" s="338">
        <v>986.98917493251463</v>
      </c>
      <c r="M1464" s="338"/>
      <c r="N1464" s="338"/>
      <c r="O1464" s="338"/>
    </row>
    <row r="1465" spans="1:15" hidden="1" outlineLevel="2" x14ac:dyDescent="0.35">
      <c r="A1465" s="425" t="s">
        <v>7923</v>
      </c>
      <c r="B1465" s="327">
        <v>44524</v>
      </c>
      <c r="C1465" s="426" t="s">
        <v>9731</v>
      </c>
      <c r="D1465" s="427" t="s">
        <v>9732</v>
      </c>
      <c r="E1465" s="426" t="s">
        <v>8456</v>
      </c>
      <c r="F1465" s="338">
        <v>3772150</v>
      </c>
      <c r="G1465" s="338" t="s">
        <v>3800</v>
      </c>
      <c r="H1465" s="338"/>
      <c r="I1465" s="329">
        <v>899.29256430475493</v>
      </c>
      <c r="J1465" s="329"/>
      <c r="K1465" s="338"/>
      <c r="L1465" s="338">
        <v>899.29256430475493</v>
      </c>
      <c r="M1465" s="338"/>
      <c r="N1465" s="338"/>
      <c r="O1465" s="338"/>
    </row>
    <row r="1466" spans="1:15" hidden="1" outlineLevel="2" x14ac:dyDescent="0.35">
      <c r="A1466" s="425" t="s">
        <v>7923</v>
      </c>
      <c r="B1466" s="327">
        <v>44516</v>
      </c>
      <c r="C1466" s="426" t="s">
        <v>9733</v>
      </c>
      <c r="D1466" s="427" t="s">
        <v>9734</v>
      </c>
      <c r="E1466" s="426" t="s">
        <v>8456</v>
      </c>
      <c r="F1466" s="338">
        <v>6540000</v>
      </c>
      <c r="G1466" s="338" t="s">
        <v>3800</v>
      </c>
      <c r="H1466" s="338"/>
      <c r="I1466" s="329">
        <v>1559.1568125745521</v>
      </c>
      <c r="J1466" s="329"/>
      <c r="K1466" s="338"/>
      <c r="L1466" s="338">
        <v>1559.1568125745521</v>
      </c>
      <c r="M1466" s="338"/>
      <c r="N1466" s="338"/>
      <c r="O1466" s="338"/>
    </row>
    <row r="1467" spans="1:15" hidden="1" outlineLevel="2" x14ac:dyDescent="0.35">
      <c r="A1467" s="425" t="s">
        <v>7923</v>
      </c>
      <c r="B1467" s="327">
        <v>44562</v>
      </c>
      <c r="C1467" s="426" t="s">
        <v>8055</v>
      </c>
      <c r="D1467" s="427" t="s">
        <v>9735</v>
      </c>
      <c r="E1467" s="426" t="s">
        <v>9736</v>
      </c>
      <c r="F1467" s="338">
        <v>291060</v>
      </c>
      <c r="G1467" s="338" t="s">
        <v>3800</v>
      </c>
      <c r="H1467" s="338"/>
      <c r="I1467" s="329">
        <v>69.389630255038099</v>
      </c>
      <c r="J1467" s="329"/>
      <c r="K1467" s="338"/>
      <c r="L1467" s="338">
        <v>69.389630255038099</v>
      </c>
      <c r="M1467" s="338"/>
      <c r="N1467" s="338"/>
      <c r="O1467" s="338"/>
    </row>
    <row r="1468" spans="1:15" outlineLevel="1" collapsed="1" x14ac:dyDescent="0.35">
      <c r="A1468" s="432" t="s">
        <v>9737</v>
      </c>
      <c r="B1468" s="327"/>
      <c r="C1468" s="426"/>
      <c r="D1468" s="427"/>
      <c r="E1468" s="426"/>
      <c r="F1468" s="338"/>
      <c r="G1468" s="338"/>
      <c r="H1468" s="338"/>
      <c r="I1468" s="329">
        <f t="shared" ref="I1468:O1468" si="47">SUBTOTAL(9,I1395:I1467)</f>
        <v>24373.280469389334</v>
      </c>
      <c r="J1468" s="329"/>
      <c r="K1468" s="338">
        <f t="shared" si="47"/>
        <v>0</v>
      </c>
      <c r="L1468" s="338">
        <f t="shared" si="47"/>
        <v>24373.280469389334</v>
      </c>
      <c r="M1468" s="338">
        <f t="shared" si="47"/>
        <v>0</v>
      </c>
      <c r="N1468" s="338">
        <f t="shared" si="47"/>
        <v>0</v>
      </c>
      <c r="O1468" s="338">
        <f t="shared" si="47"/>
        <v>0</v>
      </c>
    </row>
    <row r="1469" spans="1:15" hidden="1" outlineLevel="2" x14ac:dyDescent="0.35">
      <c r="A1469" s="425" t="s">
        <v>7925</v>
      </c>
      <c r="B1469" s="327">
        <v>44550</v>
      </c>
      <c r="C1469" s="426" t="s">
        <v>9738</v>
      </c>
      <c r="D1469" s="427" t="s">
        <v>9739</v>
      </c>
      <c r="E1469" s="426" t="s">
        <v>8456</v>
      </c>
      <c r="F1469" s="338">
        <v>60000</v>
      </c>
      <c r="G1469" s="338" t="s">
        <v>3800</v>
      </c>
      <c r="H1469" s="338"/>
      <c r="I1469" s="329">
        <v>14.304190941050937</v>
      </c>
      <c r="J1469" s="329"/>
      <c r="K1469" s="338"/>
      <c r="L1469" s="338">
        <v>14.304190941050937</v>
      </c>
      <c r="M1469" s="338"/>
      <c r="N1469" s="338"/>
      <c r="O1469" s="338"/>
    </row>
    <row r="1470" spans="1:15" hidden="1" outlineLevel="2" x14ac:dyDescent="0.35">
      <c r="A1470" s="425" t="s">
        <v>7925</v>
      </c>
      <c r="B1470" s="327">
        <v>44550</v>
      </c>
      <c r="C1470" s="426" t="s">
        <v>9740</v>
      </c>
      <c r="D1470" s="427" t="s">
        <v>9739</v>
      </c>
      <c r="E1470" s="426" t="s">
        <v>8456</v>
      </c>
      <c r="F1470" s="338">
        <v>390000</v>
      </c>
      <c r="G1470" s="338" t="s">
        <v>3800</v>
      </c>
      <c r="H1470" s="338"/>
      <c r="I1470" s="329">
        <v>92.977241116831095</v>
      </c>
      <c r="J1470" s="329"/>
      <c r="K1470" s="338"/>
      <c r="L1470" s="338">
        <v>92.977241116831095</v>
      </c>
      <c r="M1470" s="338"/>
      <c r="N1470" s="338"/>
      <c r="O1470" s="338"/>
    </row>
    <row r="1471" spans="1:15" hidden="1" outlineLevel="2" x14ac:dyDescent="0.35">
      <c r="A1471" s="425" t="s">
        <v>7925</v>
      </c>
      <c r="B1471" s="327">
        <v>44550</v>
      </c>
      <c r="C1471" s="426" t="s">
        <v>9741</v>
      </c>
      <c r="D1471" s="427" t="s">
        <v>9742</v>
      </c>
      <c r="E1471" s="426" t="s">
        <v>8456</v>
      </c>
      <c r="F1471" s="338">
        <v>120000</v>
      </c>
      <c r="G1471" s="338" t="s">
        <v>3800</v>
      </c>
      <c r="H1471" s="338"/>
      <c r="I1471" s="329">
        <v>28.608381882101874</v>
      </c>
      <c r="J1471" s="329"/>
      <c r="K1471" s="338"/>
      <c r="L1471" s="338">
        <v>28.608381882101874</v>
      </c>
      <c r="M1471" s="338"/>
      <c r="N1471" s="338"/>
      <c r="O1471" s="338"/>
    </row>
    <row r="1472" spans="1:15" hidden="1" outlineLevel="2" x14ac:dyDescent="0.35">
      <c r="A1472" s="425" t="s">
        <v>7925</v>
      </c>
      <c r="B1472" s="327">
        <v>44550</v>
      </c>
      <c r="C1472" s="426" t="s">
        <v>9743</v>
      </c>
      <c r="D1472" s="427" t="s">
        <v>9744</v>
      </c>
      <c r="E1472" s="426" t="s">
        <v>8456</v>
      </c>
      <c r="F1472" s="338">
        <v>65000</v>
      </c>
      <c r="G1472" s="338" t="s">
        <v>3800</v>
      </c>
      <c r="H1472" s="338"/>
      <c r="I1472" s="329">
        <v>15.496206852805182</v>
      </c>
      <c r="J1472" s="329"/>
      <c r="K1472" s="338"/>
      <c r="L1472" s="338">
        <v>15.496206852805182</v>
      </c>
      <c r="M1472" s="338"/>
      <c r="N1472" s="338"/>
      <c r="O1472" s="338"/>
    </row>
    <row r="1473" spans="1:15" hidden="1" outlineLevel="2" x14ac:dyDescent="0.35">
      <c r="A1473" s="425" t="s">
        <v>7925</v>
      </c>
      <c r="B1473" s="327">
        <v>44550</v>
      </c>
      <c r="C1473" s="426" t="s">
        <v>9745</v>
      </c>
      <c r="D1473" s="427" t="s">
        <v>9746</v>
      </c>
      <c r="E1473" s="426" t="s">
        <v>8456</v>
      </c>
      <c r="F1473" s="338">
        <v>120000</v>
      </c>
      <c r="G1473" s="338" t="s">
        <v>3800</v>
      </c>
      <c r="H1473" s="338"/>
      <c r="I1473" s="329">
        <v>28.608381882101874</v>
      </c>
      <c r="J1473" s="329"/>
      <c r="K1473" s="338"/>
      <c r="L1473" s="338">
        <v>28.608381882101874</v>
      </c>
      <c r="M1473" s="338"/>
      <c r="N1473" s="338"/>
      <c r="O1473" s="338"/>
    </row>
    <row r="1474" spans="1:15" hidden="1" outlineLevel="2" x14ac:dyDescent="0.35">
      <c r="A1474" s="425" t="s">
        <v>7925</v>
      </c>
      <c r="B1474" s="327">
        <v>44533</v>
      </c>
      <c r="C1474" s="426" t="s">
        <v>9747</v>
      </c>
      <c r="D1474" s="427" t="s">
        <v>9748</v>
      </c>
      <c r="E1474" s="426" t="s">
        <v>8456</v>
      </c>
      <c r="F1474" s="338">
        <v>420000</v>
      </c>
      <c r="G1474" s="338" t="s">
        <v>3800</v>
      </c>
      <c r="H1474" s="338"/>
      <c r="I1474" s="329">
        <v>100.12933658735656</v>
      </c>
      <c r="J1474" s="329"/>
      <c r="K1474" s="338"/>
      <c r="L1474" s="338">
        <v>100.12933658735656</v>
      </c>
      <c r="M1474" s="338"/>
      <c r="N1474" s="338"/>
      <c r="O1474" s="338"/>
    </row>
    <row r="1475" spans="1:15" hidden="1" outlineLevel="2" x14ac:dyDescent="0.35">
      <c r="A1475" s="425" t="s">
        <v>7925</v>
      </c>
      <c r="B1475" s="327">
        <v>44533</v>
      </c>
      <c r="C1475" s="426" t="s">
        <v>9749</v>
      </c>
      <c r="D1475" s="427" t="s">
        <v>9750</v>
      </c>
      <c r="E1475" s="426" t="s">
        <v>9751</v>
      </c>
      <c r="F1475" s="338">
        <v>455000</v>
      </c>
      <c r="G1475" s="338" t="s">
        <v>3800</v>
      </c>
      <c r="H1475" s="338"/>
      <c r="I1475" s="329">
        <v>108.47344796963627</v>
      </c>
      <c r="J1475" s="329"/>
      <c r="K1475" s="338"/>
      <c r="L1475" s="338">
        <v>108.47344796963627</v>
      </c>
      <c r="M1475" s="338"/>
      <c r="N1475" s="338"/>
      <c r="O1475" s="338"/>
    </row>
    <row r="1476" spans="1:15" hidden="1" outlineLevel="2" x14ac:dyDescent="0.35">
      <c r="A1476" s="425" t="s">
        <v>7925</v>
      </c>
      <c r="B1476" s="327">
        <v>44533</v>
      </c>
      <c r="C1476" s="426" t="s">
        <v>9752</v>
      </c>
      <c r="D1476" s="427" t="s">
        <v>9753</v>
      </c>
      <c r="E1476" s="426" t="s">
        <v>8456</v>
      </c>
      <c r="F1476" s="338">
        <v>420000</v>
      </c>
      <c r="G1476" s="338" t="s">
        <v>3800</v>
      </c>
      <c r="H1476" s="338"/>
      <c r="I1476" s="329">
        <v>100.12933658735656</v>
      </c>
      <c r="J1476" s="329"/>
      <c r="K1476" s="338"/>
      <c r="L1476" s="338">
        <v>100.12933658735656</v>
      </c>
      <c r="M1476" s="338"/>
      <c r="N1476" s="338"/>
      <c r="O1476" s="338"/>
    </row>
    <row r="1477" spans="1:15" hidden="1" outlineLevel="2" x14ac:dyDescent="0.35">
      <c r="A1477" s="425" t="s">
        <v>7925</v>
      </c>
      <c r="B1477" s="327">
        <v>44533</v>
      </c>
      <c r="C1477" s="426" t="s">
        <v>9754</v>
      </c>
      <c r="D1477" s="427" t="s">
        <v>9755</v>
      </c>
      <c r="E1477" s="426" t="s">
        <v>9756</v>
      </c>
      <c r="F1477" s="338">
        <v>840000</v>
      </c>
      <c r="G1477" s="338" t="s">
        <v>3800</v>
      </c>
      <c r="H1477" s="338"/>
      <c r="I1477" s="329">
        <v>200.25867317471312</v>
      </c>
      <c r="J1477" s="329"/>
      <c r="K1477" s="338"/>
      <c r="L1477" s="338">
        <v>200.25867317471312</v>
      </c>
      <c r="M1477" s="338"/>
      <c r="N1477" s="338"/>
      <c r="O1477" s="338"/>
    </row>
    <row r="1478" spans="1:15" hidden="1" outlineLevel="2" x14ac:dyDescent="0.35">
      <c r="A1478" s="425" t="s">
        <v>7925</v>
      </c>
      <c r="B1478" s="327">
        <v>44533</v>
      </c>
      <c r="C1478" s="426" t="s">
        <v>9757</v>
      </c>
      <c r="D1478" s="427" t="s">
        <v>9755</v>
      </c>
      <c r="E1478" s="426" t="s">
        <v>9758</v>
      </c>
      <c r="F1478" s="338">
        <v>840000</v>
      </c>
      <c r="G1478" s="338" t="s">
        <v>3800</v>
      </c>
      <c r="H1478" s="338"/>
      <c r="I1478" s="329">
        <v>200.25867317471312</v>
      </c>
      <c r="J1478" s="329"/>
      <c r="K1478" s="338"/>
      <c r="L1478" s="338">
        <v>200.25867317471312</v>
      </c>
      <c r="M1478" s="338"/>
      <c r="N1478" s="338"/>
      <c r="O1478" s="338"/>
    </row>
    <row r="1479" spans="1:15" hidden="1" outlineLevel="2" x14ac:dyDescent="0.35">
      <c r="A1479" s="425" t="s">
        <v>7925</v>
      </c>
      <c r="B1479" s="327">
        <v>44533</v>
      </c>
      <c r="C1479" s="426" t="s">
        <v>9759</v>
      </c>
      <c r="D1479" s="427" t="s">
        <v>9755</v>
      </c>
      <c r="E1479" s="426" t="s">
        <v>8271</v>
      </c>
      <c r="F1479" s="338">
        <v>420000</v>
      </c>
      <c r="G1479" s="338" t="s">
        <v>3800</v>
      </c>
      <c r="H1479" s="338"/>
      <c r="I1479" s="329">
        <v>100.12933658735656</v>
      </c>
      <c r="J1479" s="329"/>
      <c r="K1479" s="338"/>
      <c r="L1479" s="338">
        <v>100.12933658735656</v>
      </c>
      <c r="M1479" s="338"/>
      <c r="N1479" s="338"/>
      <c r="O1479" s="338"/>
    </row>
    <row r="1480" spans="1:15" hidden="1" outlineLevel="2" x14ac:dyDescent="0.35">
      <c r="A1480" s="425" t="s">
        <v>7925</v>
      </c>
      <c r="B1480" s="327">
        <v>44533</v>
      </c>
      <c r="C1480" s="426" t="s">
        <v>9760</v>
      </c>
      <c r="D1480" s="427" t="s">
        <v>9755</v>
      </c>
      <c r="E1480" s="426" t="s">
        <v>9761</v>
      </c>
      <c r="F1480" s="338">
        <v>455000</v>
      </c>
      <c r="G1480" s="338" t="s">
        <v>3800</v>
      </c>
      <c r="H1480" s="338"/>
      <c r="I1480" s="329">
        <v>108.47344796963627</v>
      </c>
      <c r="J1480" s="329"/>
      <c r="K1480" s="338"/>
      <c r="L1480" s="338">
        <v>108.47344796963627</v>
      </c>
      <c r="M1480" s="338"/>
      <c r="N1480" s="338"/>
      <c r="O1480" s="338"/>
    </row>
    <row r="1481" spans="1:15" hidden="1" outlineLevel="2" x14ac:dyDescent="0.35">
      <c r="A1481" s="425" t="s">
        <v>7925</v>
      </c>
      <c r="B1481" s="327">
        <v>44539</v>
      </c>
      <c r="C1481" s="426" t="s">
        <v>9762</v>
      </c>
      <c r="D1481" s="427" t="s">
        <v>9755</v>
      </c>
      <c r="E1481" s="426" t="s">
        <v>9763</v>
      </c>
      <c r="F1481" s="338">
        <v>420000</v>
      </c>
      <c r="G1481" s="338" t="s">
        <v>3800</v>
      </c>
      <c r="H1481" s="338"/>
      <c r="I1481" s="329">
        <v>100.12933658735656</v>
      </c>
      <c r="J1481" s="329"/>
      <c r="K1481" s="338"/>
      <c r="L1481" s="338">
        <v>100.12933658735656</v>
      </c>
      <c r="M1481" s="338"/>
      <c r="N1481" s="338"/>
      <c r="O1481" s="338"/>
    </row>
    <row r="1482" spans="1:15" hidden="1" outlineLevel="2" x14ac:dyDescent="0.35">
      <c r="A1482" s="425" t="s">
        <v>7925</v>
      </c>
      <c r="B1482" s="327">
        <v>44547</v>
      </c>
      <c r="C1482" s="426" t="s">
        <v>9764</v>
      </c>
      <c r="D1482" s="427" t="s">
        <v>9765</v>
      </c>
      <c r="E1482" s="426" t="s">
        <v>9766</v>
      </c>
      <c r="F1482" s="338">
        <v>840000</v>
      </c>
      <c r="G1482" s="338" t="s">
        <v>3800</v>
      </c>
      <c r="H1482" s="338"/>
      <c r="I1482" s="329">
        <f>200.258673174713-40.7</f>
        <v>159.55867317471302</v>
      </c>
      <c r="J1482" s="329"/>
      <c r="K1482" s="338"/>
      <c r="L1482" s="338">
        <f>I1482</f>
        <v>159.55867317471302</v>
      </c>
      <c r="M1482" s="338"/>
      <c r="N1482" s="338"/>
      <c r="O1482" s="338"/>
    </row>
    <row r="1483" spans="1:15" hidden="1" outlineLevel="2" x14ac:dyDescent="0.35">
      <c r="A1483" s="425" t="s">
        <v>7925</v>
      </c>
      <c r="B1483" s="327">
        <v>44550</v>
      </c>
      <c r="C1483" s="426" t="s">
        <v>9767</v>
      </c>
      <c r="D1483" s="427" t="s">
        <v>9768</v>
      </c>
      <c r="E1483" s="426" t="s">
        <v>8456</v>
      </c>
      <c r="F1483" s="338">
        <v>553500</v>
      </c>
      <c r="G1483" s="338" t="s">
        <v>3800</v>
      </c>
      <c r="H1483" s="338"/>
      <c r="I1483" s="329">
        <v>131.95616143119489</v>
      </c>
      <c r="J1483" s="329"/>
      <c r="K1483" s="338"/>
      <c r="L1483" s="338">
        <v>131.95616143119489</v>
      </c>
      <c r="M1483" s="338"/>
      <c r="N1483" s="338"/>
      <c r="O1483" s="338"/>
    </row>
    <row r="1484" spans="1:15" hidden="1" outlineLevel="2" x14ac:dyDescent="0.35">
      <c r="A1484" s="425" t="s">
        <v>7925</v>
      </c>
      <c r="B1484" s="327">
        <v>44455</v>
      </c>
      <c r="C1484" s="426" t="s">
        <v>9769</v>
      </c>
      <c r="D1484" s="427" t="s">
        <v>9770</v>
      </c>
      <c r="E1484" s="426" t="s">
        <v>9771</v>
      </c>
      <c r="F1484" s="338">
        <v>42338400</v>
      </c>
      <c r="G1484" s="338" t="s">
        <v>3800</v>
      </c>
      <c r="H1484" s="338"/>
      <c r="I1484" s="329">
        <v>10093.609295643184</v>
      </c>
      <c r="J1484" s="329"/>
      <c r="K1484" s="338"/>
      <c r="L1484" s="338">
        <v>10093.609295643184</v>
      </c>
      <c r="M1484" s="338"/>
      <c r="N1484" s="338"/>
      <c r="O1484" s="338"/>
    </row>
    <row r="1485" spans="1:15" hidden="1" outlineLevel="2" x14ac:dyDescent="0.35">
      <c r="A1485" s="425" t="s">
        <v>7925</v>
      </c>
      <c r="B1485" s="327">
        <v>43973</v>
      </c>
      <c r="C1485" s="426" t="s">
        <v>9772</v>
      </c>
      <c r="D1485" s="427" t="s">
        <v>9773</v>
      </c>
      <c r="E1485" s="426" t="s">
        <v>9774</v>
      </c>
      <c r="F1485" s="338">
        <v>12173000</v>
      </c>
      <c r="G1485" s="338" t="s">
        <v>3800</v>
      </c>
      <c r="H1485" s="338"/>
      <c r="I1485" s="329">
        <v>2853.5725172415659</v>
      </c>
      <c r="J1485" s="329"/>
      <c r="K1485" s="338"/>
      <c r="L1485" s="338">
        <v>2853.5725172415659</v>
      </c>
      <c r="M1485" s="338"/>
      <c r="N1485" s="338"/>
      <c r="O1485" s="338"/>
    </row>
    <row r="1486" spans="1:15" hidden="1" outlineLevel="2" x14ac:dyDescent="0.35">
      <c r="A1486" s="425" t="s">
        <v>7925</v>
      </c>
      <c r="B1486" s="327">
        <v>43976</v>
      </c>
      <c r="C1486" s="426" t="s">
        <v>8087</v>
      </c>
      <c r="D1486" s="427" t="s">
        <v>9775</v>
      </c>
      <c r="E1486" s="426" t="s">
        <v>9776</v>
      </c>
      <c r="F1486" s="338">
        <v>4981000</v>
      </c>
      <c r="G1486" s="338" t="s">
        <v>3800</v>
      </c>
      <c r="H1486" s="338"/>
      <c r="I1486" s="329">
        <v>1167.6369595317703</v>
      </c>
      <c r="J1486" s="329"/>
      <c r="K1486" s="338"/>
      <c r="L1486" s="338">
        <v>1167.6369595317703</v>
      </c>
      <c r="M1486" s="338"/>
      <c r="N1486" s="338"/>
      <c r="O1486" s="338"/>
    </row>
    <row r="1487" spans="1:15" hidden="1" outlineLevel="2" x14ac:dyDescent="0.35">
      <c r="A1487" s="425" t="s">
        <v>7925</v>
      </c>
      <c r="B1487" s="327">
        <v>43978</v>
      </c>
      <c r="C1487" s="426" t="s">
        <v>9777</v>
      </c>
      <c r="D1487" s="427" t="s">
        <v>9778</v>
      </c>
      <c r="E1487" s="426" t="s">
        <v>8508</v>
      </c>
      <c r="F1487" s="338">
        <v>23349600</v>
      </c>
      <c r="G1487" s="338" t="s">
        <v>3800</v>
      </c>
      <c r="H1487" s="338"/>
      <c r="I1487" s="329">
        <v>5473.5707589405793</v>
      </c>
      <c r="J1487" s="329"/>
      <c r="K1487" s="338"/>
      <c r="L1487" s="338">
        <v>5473.5707589405793</v>
      </c>
      <c r="M1487" s="338"/>
      <c r="N1487" s="338"/>
      <c r="O1487" s="338"/>
    </row>
    <row r="1488" spans="1:15" hidden="1" outlineLevel="2" x14ac:dyDescent="0.35">
      <c r="A1488" s="425" t="s">
        <v>7925</v>
      </c>
      <c r="B1488" s="327">
        <v>43973</v>
      </c>
      <c r="C1488" s="426" t="s">
        <v>9782</v>
      </c>
      <c r="D1488" s="427" t="s">
        <v>9783</v>
      </c>
      <c r="E1488" s="426" t="s">
        <v>9784</v>
      </c>
      <c r="F1488" s="338">
        <v>22545600</v>
      </c>
      <c r="G1488" s="338" t="s">
        <v>3800</v>
      </c>
      <c r="H1488" s="338"/>
      <c r="I1488" s="329">
        <v>5285.0985414212973</v>
      </c>
      <c r="J1488" s="329"/>
      <c r="K1488" s="338"/>
      <c r="L1488" s="338">
        <v>5285.0985414212973</v>
      </c>
      <c r="M1488" s="338"/>
      <c r="N1488" s="338"/>
      <c r="O1488" s="338"/>
    </row>
    <row r="1489" spans="1:15" hidden="1" outlineLevel="2" x14ac:dyDescent="0.35">
      <c r="A1489" s="425" t="s">
        <v>7925</v>
      </c>
      <c r="B1489" s="327">
        <v>43973</v>
      </c>
      <c r="C1489" s="426" t="s">
        <v>8094</v>
      </c>
      <c r="D1489" s="427" t="s">
        <v>9785</v>
      </c>
      <c r="E1489" s="426" t="s">
        <v>8057</v>
      </c>
      <c r="F1489" s="338">
        <v>777000</v>
      </c>
      <c r="G1489" s="338" t="s">
        <v>3800</v>
      </c>
      <c r="H1489" s="338"/>
      <c r="I1489" s="329">
        <v>182.14292663244038</v>
      </c>
      <c r="J1489" s="329"/>
      <c r="K1489" s="338"/>
      <c r="L1489" s="338">
        <v>182.14292663244038</v>
      </c>
      <c r="M1489" s="338"/>
      <c r="N1489" s="338"/>
      <c r="O1489" s="338"/>
    </row>
    <row r="1490" spans="1:15" hidden="1" outlineLevel="2" x14ac:dyDescent="0.35">
      <c r="A1490" s="425" t="s">
        <v>7925</v>
      </c>
      <c r="B1490" s="327">
        <v>43978</v>
      </c>
      <c r="C1490" s="426" t="s">
        <v>9786</v>
      </c>
      <c r="D1490" s="427" t="s">
        <v>9787</v>
      </c>
      <c r="E1490" s="426" t="s">
        <v>8057</v>
      </c>
      <c r="F1490" s="338">
        <v>1490400</v>
      </c>
      <c r="G1490" s="338" t="s">
        <v>3800</v>
      </c>
      <c r="H1490" s="338"/>
      <c r="I1490" s="329">
        <v>349.376856953654</v>
      </c>
      <c r="J1490" s="329"/>
      <c r="K1490" s="338"/>
      <c r="L1490" s="338">
        <v>349.376856953654</v>
      </c>
      <c r="M1490" s="338"/>
      <c r="N1490" s="338"/>
      <c r="O1490" s="338"/>
    </row>
    <row r="1491" spans="1:15" hidden="1" outlineLevel="2" x14ac:dyDescent="0.35">
      <c r="A1491" s="425" t="s">
        <v>7925</v>
      </c>
      <c r="B1491" s="327">
        <v>43977</v>
      </c>
      <c r="C1491" s="426" t="s">
        <v>9788</v>
      </c>
      <c r="D1491" s="427" t="s">
        <v>9789</v>
      </c>
      <c r="E1491" s="426" t="s">
        <v>8057</v>
      </c>
      <c r="F1491" s="338">
        <v>249600</v>
      </c>
      <c r="G1491" s="338" t="s">
        <v>3800</v>
      </c>
      <c r="H1491" s="338"/>
      <c r="I1491" s="329">
        <v>58.510777976135287</v>
      </c>
      <c r="J1491" s="329"/>
      <c r="K1491" s="338"/>
      <c r="L1491" s="338">
        <v>58.510777976135287</v>
      </c>
      <c r="M1491" s="338"/>
      <c r="N1491" s="338"/>
      <c r="O1491" s="338"/>
    </row>
    <row r="1492" spans="1:15" outlineLevel="1" collapsed="1" x14ac:dyDescent="0.35">
      <c r="A1492" s="432" t="s">
        <v>9790</v>
      </c>
      <c r="B1492" s="327"/>
      <c r="C1492" s="426"/>
      <c r="D1492" s="427"/>
      <c r="E1492" s="426"/>
      <c r="F1492" s="338"/>
      <c r="G1492" s="338"/>
      <c r="H1492" s="338"/>
      <c r="I1492" s="329">
        <f>SUBTOTAL(9,I1469:I1491)</f>
        <v>26953.009460259553</v>
      </c>
      <c r="J1492" s="329"/>
      <c r="K1492" s="338">
        <f>SUBTOTAL(9,K1469:K1491)</f>
        <v>0</v>
      </c>
      <c r="L1492" s="338">
        <f>SUBTOTAL(9,L1469:L1491)</f>
        <v>26953.009460259553</v>
      </c>
      <c r="M1492" s="338">
        <f>SUBTOTAL(9,M1469:M1491)</f>
        <v>0</v>
      </c>
      <c r="N1492" s="338">
        <f>SUBTOTAL(9,N1469:N1491)</f>
        <v>0</v>
      </c>
      <c r="O1492" s="338">
        <f>SUBTOTAL(9,O1469:O1491)</f>
        <v>0</v>
      </c>
    </row>
    <row r="1493" spans="1:15" hidden="1" outlineLevel="2" x14ac:dyDescent="0.35">
      <c r="A1493" s="425" t="s">
        <v>221</v>
      </c>
      <c r="B1493" s="327">
        <v>43921</v>
      </c>
      <c r="C1493" s="426" t="s">
        <v>1092</v>
      </c>
      <c r="D1493" s="427" t="s">
        <v>6489</v>
      </c>
      <c r="E1493" s="426" t="s">
        <v>1956</v>
      </c>
      <c r="F1493" s="338">
        <v>579.84</v>
      </c>
      <c r="G1493" s="338" t="s">
        <v>56</v>
      </c>
      <c r="H1493" s="338"/>
      <c r="I1493" s="329">
        <v>579.84</v>
      </c>
      <c r="J1493" s="329"/>
      <c r="K1493" s="338">
        <f t="shared" ref="K1493:N1498" si="48">$I1493/4</f>
        <v>144.96</v>
      </c>
      <c r="L1493" s="338">
        <f t="shared" si="48"/>
        <v>144.96</v>
      </c>
      <c r="M1493" s="338">
        <f t="shared" si="48"/>
        <v>144.96</v>
      </c>
      <c r="N1493" s="338">
        <f t="shared" si="48"/>
        <v>144.96</v>
      </c>
      <c r="O1493" s="338"/>
    </row>
    <row r="1494" spans="1:15" hidden="1" outlineLevel="2" x14ac:dyDescent="0.35">
      <c r="A1494" s="425" t="s">
        <v>221</v>
      </c>
      <c r="B1494" s="327">
        <v>44012</v>
      </c>
      <c r="C1494" s="426" t="s">
        <v>1094</v>
      </c>
      <c r="D1494" s="427" t="s">
        <v>1957</v>
      </c>
      <c r="E1494" s="426" t="s">
        <v>1956</v>
      </c>
      <c r="F1494" s="338">
        <v>579.84</v>
      </c>
      <c r="G1494" s="338" t="s">
        <v>56</v>
      </c>
      <c r="H1494" s="338"/>
      <c r="I1494" s="329">
        <v>579.84</v>
      </c>
      <c r="J1494" s="329"/>
      <c r="K1494" s="338">
        <f t="shared" si="48"/>
        <v>144.96</v>
      </c>
      <c r="L1494" s="338">
        <f t="shared" si="48"/>
        <v>144.96</v>
      </c>
      <c r="M1494" s="338">
        <f t="shared" si="48"/>
        <v>144.96</v>
      </c>
      <c r="N1494" s="338">
        <f t="shared" si="48"/>
        <v>144.96</v>
      </c>
      <c r="O1494" s="338"/>
    </row>
    <row r="1495" spans="1:15" hidden="1" outlineLevel="2" x14ac:dyDescent="0.35">
      <c r="A1495" s="425" t="s">
        <v>221</v>
      </c>
      <c r="B1495" s="327">
        <v>43738</v>
      </c>
      <c r="C1495" s="426" t="s">
        <v>1087</v>
      </c>
      <c r="D1495" s="427" t="s">
        <v>1952</v>
      </c>
      <c r="E1495" s="426" t="s">
        <v>1953</v>
      </c>
      <c r="F1495" s="338">
        <v>483.2</v>
      </c>
      <c r="G1495" s="338" t="s">
        <v>56</v>
      </c>
      <c r="H1495" s="338"/>
      <c r="I1495" s="329">
        <v>483.2</v>
      </c>
      <c r="J1495" s="329"/>
      <c r="K1495" s="338">
        <f t="shared" si="48"/>
        <v>120.8</v>
      </c>
      <c r="L1495" s="338">
        <f t="shared" si="48"/>
        <v>120.8</v>
      </c>
      <c r="M1495" s="338">
        <f t="shared" si="48"/>
        <v>120.8</v>
      </c>
      <c r="N1495" s="338">
        <f t="shared" si="48"/>
        <v>120.8</v>
      </c>
      <c r="O1495" s="338"/>
    </row>
    <row r="1496" spans="1:15" hidden="1" outlineLevel="2" x14ac:dyDescent="0.35">
      <c r="A1496" s="425" t="s">
        <v>221</v>
      </c>
      <c r="B1496" s="327">
        <v>44104</v>
      </c>
      <c r="C1496" s="426" t="s">
        <v>1096</v>
      </c>
      <c r="D1496" s="427" t="s">
        <v>1958</v>
      </c>
      <c r="E1496" s="426" t="s">
        <v>1956</v>
      </c>
      <c r="F1496" s="338">
        <v>-1159.68</v>
      </c>
      <c r="G1496" s="338" t="s">
        <v>56</v>
      </c>
      <c r="H1496" s="338"/>
      <c r="I1496" s="329">
        <v>-1159.68</v>
      </c>
      <c r="J1496" s="329"/>
      <c r="K1496" s="338">
        <f t="shared" si="48"/>
        <v>-289.92</v>
      </c>
      <c r="L1496" s="338">
        <f t="shared" si="48"/>
        <v>-289.92</v>
      </c>
      <c r="M1496" s="338">
        <f t="shared" si="48"/>
        <v>-289.92</v>
      </c>
      <c r="N1496" s="338">
        <f t="shared" si="48"/>
        <v>-289.92</v>
      </c>
      <c r="O1496" s="338"/>
    </row>
    <row r="1497" spans="1:15" hidden="1" outlineLevel="2" x14ac:dyDescent="0.35">
      <c r="A1497" s="425" t="s">
        <v>221</v>
      </c>
      <c r="B1497" s="327">
        <v>44104</v>
      </c>
      <c r="C1497" s="426" t="s">
        <v>1096</v>
      </c>
      <c r="D1497" s="427" t="s">
        <v>1966</v>
      </c>
      <c r="E1497" s="426" t="s">
        <v>1962</v>
      </c>
      <c r="F1497" s="338">
        <v>517.9</v>
      </c>
      <c r="G1497" s="338" t="s">
        <v>56</v>
      </c>
      <c r="H1497" s="338"/>
      <c r="I1497" s="329">
        <v>517.9</v>
      </c>
      <c r="J1497" s="329"/>
      <c r="K1497" s="338">
        <f t="shared" si="48"/>
        <v>129.47499999999999</v>
      </c>
      <c r="L1497" s="338">
        <f t="shared" si="48"/>
        <v>129.47499999999999</v>
      </c>
      <c r="M1497" s="338">
        <f t="shared" si="48"/>
        <v>129.47499999999999</v>
      </c>
      <c r="N1497" s="338">
        <f t="shared" si="48"/>
        <v>129.47499999999999</v>
      </c>
      <c r="O1497" s="338"/>
    </row>
    <row r="1498" spans="1:15" hidden="1" outlineLevel="2" x14ac:dyDescent="0.35">
      <c r="A1498" s="425" t="s">
        <v>221</v>
      </c>
      <c r="B1498" s="327">
        <v>43830</v>
      </c>
      <c r="C1498" s="426" t="s">
        <v>1090</v>
      </c>
      <c r="D1498" s="427" t="s">
        <v>1954</v>
      </c>
      <c r="E1498" s="426" t="s">
        <v>1953</v>
      </c>
      <c r="F1498" s="338">
        <v>483.2</v>
      </c>
      <c r="G1498" s="338" t="s">
        <v>56</v>
      </c>
      <c r="H1498" s="338"/>
      <c r="I1498" s="329">
        <v>483.2</v>
      </c>
      <c r="J1498" s="329"/>
      <c r="K1498" s="338">
        <f t="shared" si="48"/>
        <v>120.8</v>
      </c>
      <c r="L1498" s="338">
        <f t="shared" si="48"/>
        <v>120.8</v>
      </c>
      <c r="M1498" s="338">
        <f t="shared" si="48"/>
        <v>120.8</v>
      </c>
      <c r="N1498" s="338">
        <f t="shared" si="48"/>
        <v>120.8</v>
      </c>
      <c r="O1498" s="338"/>
    </row>
    <row r="1499" spans="1:15" outlineLevel="1" collapsed="1" x14ac:dyDescent="0.35">
      <c r="A1499" s="432" t="s">
        <v>1960</v>
      </c>
      <c r="B1499" s="327"/>
      <c r="C1499" s="426"/>
      <c r="D1499" s="427"/>
      <c r="E1499" s="426"/>
      <c r="F1499" s="338"/>
      <c r="G1499" s="338"/>
      <c r="H1499" s="338"/>
      <c r="I1499" s="329">
        <f t="shared" ref="I1499:O1499" si="49">SUBTOTAL(9,I1493:I1498)</f>
        <v>1484.3</v>
      </c>
      <c r="J1499" s="329"/>
      <c r="K1499" s="338">
        <f t="shared" si="49"/>
        <v>371.07499999999999</v>
      </c>
      <c r="L1499" s="338">
        <f t="shared" si="49"/>
        <v>371.07499999999999</v>
      </c>
      <c r="M1499" s="338">
        <f t="shared" si="49"/>
        <v>371.07499999999999</v>
      </c>
      <c r="N1499" s="338">
        <f t="shared" si="49"/>
        <v>371.07499999999999</v>
      </c>
      <c r="O1499" s="338">
        <f t="shared" si="49"/>
        <v>0</v>
      </c>
    </row>
    <row r="1500" spans="1:15" hidden="1" outlineLevel="2" x14ac:dyDescent="0.35">
      <c r="A1500" s="425" t="s">
        <v>7864</v>
      </c>
      <c r="B1500" s="327">
        <v>44476</v>
      </c>
      <c r="C1500" s="426" t="s">
        <v>9791</v>
      </c>
      <c r="D1500" s="427" t="s">
        <v>9792</v>
      </c>
      <c r="E1500" s="426" t="s">
        <v>8021</v>
      </c>
      <c r="F1500" s="338">
        <v>2489156</v>
      </c>
      <c r="G1500" s="338" t="s">
        <v>3800</v>
      </c>
      <c r="H1500" s="338"/>
      <c r="I1500" s="329">
        <v>593.42271176770976</v>
      </c>
      <c r="J1500" s="329"/>
      <c r="K1500" s="338">
        <v>148.35567794192744</v>
      </c>
      <c r="L1500" s="338">
        <v>148.35567794192744</v>
      </c>
      <c r="M1500" s="338">
        <v>148.35567794192744</v>
      </c>
      <c r="N1500" s="338">
        <v>148.35567794192744</v>
      </c>
      <c r="O1500" s="338"/>
    </row>
    <row r="1501" spans="1:15" hidden="1" outlineLevel="2" x14ac:dyDescent="0.35">
      <c r="A1501" s="425" t="s">
        <v>7864</v>
      </c>
      <c r="B1501" s="327">
        <v>44406</v>
      </c>
      <c r="C1501" s="426" t="s">
        <v>9793</v>
      </c>
      <c r="D1501" s="427" t="s">
        <v>9794</v>
      </c>
      <c r="E1501" s="426" t="s">
        <v>8021</v>
      </c>
      <c r="F1501" s="338">
        <v>6155999</v>
      </c>
      <c r="G1501" s="338" t="s">
        <v>3800</v>
      </c>
      <c r="H1501" s="338"/>
      <c r="I1501" s="329">
        <v>1467.6097521486438</v>
      </c>
      <c r="J1501" s="329"/>
      <c r="K1501" s="338">
        <v>366.90243803716095</v>
      </c>
      <c r="L1501" s="338">
        <v>366.90243803716095</v>
      </c>
      <c r="M1501" s="338">
        <v>366.90243803716095</v>
      </c>
      <c r="N1501" s="338">
        <v>366.90243803716095</v>
      </c>
      <c r="O1501" s="338"/>
    </row>
    <row r="1502" spans="1:15" hidden="1" outlineLevel="2" x14ac:dyDescent="0.35">
      <c r="A1502" s="425" t="s">
        <v>7864</v>
      </c>
      <c r="B1502" s="327">
        <v>44553</v>
      </c>
      <c r="C1502" s="426" t="s">
        <v>9795</v>
      </c>
      <c r="D1502" s="427" t="s">
        <v>9796</v>
      </c>
      <c r="E1502" s="426" t="s">
        <v>8021</v>
      </c>
      <c r="F1502" s="338">
        <v>1266875</v>
      </c>
      <c r="G1502" s="338" t="s">
        <v>3800</v>
      </c>
      <c r="H1502" s="338"/>
      <c r="I1502" s="329">
        <v>302.02703164073176</v>
      </c>
      <c r="J1502" s="329"/>
      <c r="K1502" s="338">
        <v>75.506757910182941</v>
      </c>
      <c r="L1502" s="338">
        <v>75.506757910182941</v>
      </c>
      <c r="M1502" s="338">
        <v>75.506757910182941</v>
      </c>
      <c r="N1502" s="338">
        <v>75.506757910182941</v>
      </c>
      <c r="O1502" s="338"/>
    </row>
    <row r="1503" spans="1:15" hidden="1" outlineLevel="2" x14ac:dyDescent="0.35">
      <c r="A1503" s="425" t="s">
        <v>7864</v>
      </c>
      <c r="B1503" s="327">
        <v>44453</v>
      </c>
      <c r="C1503" s="426" t="s">
        <v>9797</v>
      </c>
      <c r="D1503" s="427" t="s">
        <v>9798</v>
      </c>
      <c r="E1503" s="426" t="s">
        <v>8021</v>
      </c>
      <c r="F1503" s="338">
        <v>3926299</v>
      </c>
      <c r="G1503" s="338" t="s">
        <v>3800</v>
      </c>
      <c r="H1503" s="338"/>
      <c r="I1503" s="329">
        <v>936.04217646095594</v>
      </c>
      <c r="J1503" s="329"/>
      <c r="K1503" s="338">
        <v>234.01054411523899</v>
      </c>
      <c r="L1503" s="338">
        <v>234.01054411523899</v>
      </c>
      <c r="M1503" s="338">
        <v>234.01054411523899</v>
      </c>
      <c r="N1503" s="338">
        <v>234.01054411523899</v>
      </c>
      <c r="O1503" s="338"/>
    </row>
    <row r="1504" spans="1:15" hidden="1" outlineLevel="2" x14ac:dyDescent="0.35">
      <c r="A1504" s="425" t="s">
        <v>7864</v>
      </c>
      <c r="B1504" s="327">
        <v>44397</v>
      </c>
      <c r="C1504" s="426" t="s">
        <v>9799</v>
      </c>
      <c r="D1504" s="427" t="s">
        <v>9800</v>
      </c>
      <c r="E1504" s="426" t="s">
        <v>8021</v>
      </c>
      <c r="F1504" s="338">
        <v>2754693</v>
      </c>
      <c r="G1504" s="338" t="s">
        <v>3800</v>
      </c>
      <c r="H1504" s="338"/>
      <c r="I1504" s="329">
        <v>656.72757759960712</v>
      </c>
      <c r="J1504" s="329"/>
      <c r="K1504" s="338">
        <v>164.18189439990178</v>
      </c>
      <c r="L1504" s="338">
        <v>164.18189439990178</v>
      </c>
      <c r="M1504" s="338">
        <v>164.18189439990178</v>
      </c>
      <c r="N1504" s="338">
        <v>164.18189439990178</v>
      </c>
      <c r="O1504" s="338"/>
    </row>
    <row r="1505" spans="1:15" hidden="1" outlineLevel="2" x14ac:dyDescent="0.35">
      <c r="A1505" s="425" t="s">
        <v>7864</v>
      </c>
      <c r="B1505" s="327">
        <v>44531</v>
      </c>
      <c r="C1505" s="426" t="s">
        <v>9801</v>
      </c>
      <c r="D1505" s="427" t="s">
        <v>9802</v>
      </c>
      <c r="E1505" s="426" t="s">
        <v>8021</v>
      </c>
      <c r="F1505" s="338">
        <v>2679694</v>
      </c>
      <c r="G1505" s="338" t="s">
        <v>3800</v>
      </c>
      <c r="H1505" s="338"/>
      <c r="I1505" s="329">
        <v>638.84757732647586</v>
      </c>
      <c r="J1505" s="329"/>
      <c r="K1505" s="338">
        <v>159.71189433161896</v>
      </c>
      <c r="L1505" s="338">
        <v>159.71189433161896</v>
      </c>
      <c r="M1505" s="338">
        <v>159.71189433161896</v>
      </c>
      <c r="N1505" s="338">
        <v>159.71189433161896</v>
      </c>
      <c r="O1505" s="338"/>
    </row>
    <row r="1506" spans="1:15" hidden="1" outlineLevel="2" x14ac:dyDescent="0.35">
      <c r="A1506" s="425" t="s">
        <v>7864</v>
      </c>
      <c r="B1506" s="327">
        <v>44453</v>
      </c>
      <c r="C1506" s="426" t="s">
        <v>9803</v>
      </c>
      <c r="D1506" s="427" t="s">
        <v>9804</v>
      </c>
      <c r="E1506" s="426" t="s">
        <v>8021</v>
      </c>
      <c r="F1506" s="338">
        <v>2541858</v>
      </c>
      <c r="G1506" s="338" t="s">
        <v>3800</v>
      </c>
      <c r="H1506" s="338"/>
      <c r="I1506" s="329">
        <v>605.98703628396424</v>
      </c>
      <c r="J1506" s="329"/>
      <c r="K1506" s="338">
        <v>151.49675907099106</v>
      </c>
      <c r="L1506" s="338">
        <v>151.49675907099106</v>
      </c>
      <c r="M1506" s="338">
        <v>151.49675907099106</v>
      </c>
      <c r="N1506" s="338">
        <v>151.49675907099106</v>
      </c>
      <c r="O1506" s="338"/>
    </row>
    <row r="1507" spans="1:15" hidden="1" outlineLevel="2" x14ac:dyDescent="0.35">
      <c r="A1507" s="425" t="s">
        <v>7864</v>
      </c>
      <c r="B1507" s="327">
        <v>44537</v>
      </c>
      <c r="C1507" s="426" t="s">
        <v>9805</v>
      </c>
      <c r="D1507" s="427" t="s">
        <v>9806</v>
      </c>
      <c r="E1507" s="426" t="s">
        <v>8021</v>
      </c>
      <c r="F1507" s="338">
        <v>1493899</v>
      </c>
      <c r="G1507" s="338" t="s">
        <v>3800</v>
      </c>
      <c r="H1507" s="338"/>
      <c r="I1507" s="329">
        <v>356.15027571075092</v>
      </c>
      <c r="J1507" s="329"/>
      <c r="K1507" s="338">
        <v>89.03756892768773</v>
      </c>
      <c r="L1507" s="338">
        <v>89.03756892768773</v>
      </c>
      <c r="M1507" s="338">
        <v>89.03756892768773</v>
      </c>
      <c r="N1507" s="338">
        <v>89.03756892768773</v>
      </c>
      <c r="O1507" s="338"/>
    </row>
    <row r="1508" spans="1:15" hidden="1" outlineLevel="2" x14ac:dyDescent="0.35">
      <c r="A1508" s="425" t="s">
        <v>7864</v>
      </c>
      <c r="B1508" s="327">
        <v>44562</v>
      </c>
      <c r="C1508" s="426" t="s">
        <v>9807</v>
      </c>
      <c r="D1508" s="427" t="s">
        <v>9808</v>
      </c>
      <c r="E1508" s="426" t="s">
        <v>7837</v>
      </c>
      <c r="F1508" s="338">
        <v>3585763</v>
      </c>
      <c r="G1508" s="338" t="s">
        <v>3800</v>
      </c>
      <c r="H1508" s="338"/>
      <c r="I1508" s="329">
        <v>854.85731035592721</v>
      </c>
      <c r="J1508" s="329"/>
      <c r="K1508" s="338">
        <v>213.7143275889818</v>
      </c>
      <c r="L1508" s="338">
        <v>213.7143275889818</v>
      </c>
      <c r="M1508" s="338">
        <v>213.7143275889818</v>
      </c>
      <c r="N1508" s="338">
        <v>213.7143275889818</v>
      </c>
      <c r="O1508" s="338"/>
    </row>
    <row r="1509" spans="1:15" hidden="1" outlineLevel="2" x14ac:dyDescent="0.35">
      <c r="A1509" s="425" t="s">
        <v>7864</v>
      </c>
      <c r="B1509" s="327">
        <v>44562</v>
      </c>
      <c r="C1509" s="426" t="s">
        <v>8503</v>
      </c>
      <c r="D1509" s="427" t="s">
        <v>9809</v>
      </c>
      <c r="E1509" s="426" t="s">
        <v>7837</v>
      </c>
      <c r="F1509" s="338">
        <v>5821544</v>
      </c>
      <c r="G1509" s="338" t="s">
        <v>3800</v>
      </c>
      <c r="H1509" s="338"/>
      <c r="I1509" s="329">
        <v>1387.8746157954906</v>
      </c>
      <c r="J1509" s="329"/>
      <c r="K1509" s="338">
        <v>346.96865394887266</v>
      </c>
      <c r="L1509" s="338">
        <v>346.96865394887266</v>
      </c>
      <c r="M1509" s="338">
        <v>346.96865394887266</v>
      </c>
      <c r="N1509" s="338">
        <v>346.96865394887266</v>
      </c>
      <c r="O1509" s="338"/>
    </row>
    <row r="1510" spans="1:15" hidden="1" outlineLevel="2" x14ac:dyDescent="0.35">
      <c r="A1510" s="425" t="s">
        <v>7864</v>
      </c>
      <c r="B1510" s="327">
        <v>44476</v>
      </c>
      <c r="C1510" s="426" t="s">
        <v>9810</v>
      </c>
      <c r="D1510" s="427" t="s">
        <v>9811</v>
      </c>
      <c r="E1510" s="426" t="s">
        <v>8021</v>
      </c>
      <c r="F1510" s="338">
        <v>4660073</v>
      </c>
      <c r="G1510" s="338" t="s">
        <v>3800</v>
      </c>
      <c r="H1510" s="338"/>
      <c r="I1510" s="329">
        <v>1110.9762331872678</v>
      </c>
      <c r="J1510" s="329"/>
      <c r="K1510" s="338">
        <v>277.74405829681695</v>
      </c>
      <c r="L1510" s="338">
        <v>277.74405829681695</v>
      </c>
      <c r="M1510" s="338">
        <v>277.74405829681695</v>
      </c>
      <c r="N1510" s="338">
        <v>277.74405829681695</v>
      </c>
      <c r="O1510" s="338"/>
    </row>
    <row r="1511" spans="1:15" hidden="1" outlineLevel="2" x14ac:dyDescent="0.35">
      <c r="A1511" s="425" t="s">
        <v>7864</v>
      </c>
      <c r="B1511" s="327">
        <v>44531</v>
      </c>
      <c r="C1511" s="426" t="s">
        <v>9812</v>
      </c>
      <c r="D1511" s="427" t="s">
        <v>9813</v>
      </c>
      <c r="E1511" s="426" t="s">
        <v>9814</v>
      </c>
      <c r="F1511" s="338">
        <v>601800</v>
      </c>
      <c r="G1511" s="338" t="s">
        <v>3800</v>
      </c>
      <c r="H1511" s="338"/>
      <c r="I1511" s="329">
        <v>143.47103513874089</v>
      </c>
      <c r="J1511" s="329"/>
      <c r="K1511" s="338">
        <v>35.867758784685222</v>
      </c>
      <c r="L1511" s="338">
        <v>35.867758784685222</v>
      </c>
      <c r="M1511" s="338">
        <v>35.867758784685222</v>
      </c>
      <c r="N1511" s="338">
        <v>35.867758784685222</v>
      </c>
      <c r="O1511" s="338"/>
    </row>
    <row r="1512" spans="1:15" hidden="1" outlineLevel="2" x14ac:dyDescent="0.35">
      <c r="A1512" s="425" t="s">
        <v>7864</v>
      </c>
      <c r="B1512" s="327">
        <v>44554</v>
      </c>
      <c r="C1512" s="426" t="s">
        <v>9815</v>
      </c>
      <c r="D1512" s="427" t="s">
        <v>9813</v>
      </c>
      <c r="E1512" s="426" t="s">
        <v>9814</v>
      </c>
      <c r="F1512" s="338">
        <v>371700</v>
      </c>
      <c r="G1512" s="338" t="s">
        <v>3800</v>
      </c>
      <c r="H1512" s="338"/>
      <c r="I1512" s="329">
        <v>88.61446287981056</v>
      </c>
      <c r="J1512" s="329"/>
      <c r="K1512" s="338">
        <v>22.15361571995264</v>
      </c>
      <c r="L1512" s="338">
        <v>22.15361571995264</v>
      </c>
      <c r="M1512" s="338">
        <v>22.15361571995264</v>
      </c>
      <c r="N1512" s="338">
        <v>22.15361571995264</v>
      </c>
      <c r="O1512" s="338"/>
    </row>
    <row r="1513" spans="1:15" hidden="1" outlineLevel="2" x14ac:dyDescent="0.35">
      <c r="A1513" s="425" t="s">
        <v>7864</v>
      </c>
      <c r="B1513" s="327">
        <v>44402</v>
      </c>
      <c r="C1513" s="426" t="s">
        <v>9816</v>
      </c>
      <c r="D1513" s="427" t="s">
        <v>9817</v>
      </c>
      <c r="E1513" s="426" t="s">
        <v>8021</v>
      </c>
      <c r="F1513" s="338">
        <v>5967488</v>
      </c>
      <c r="G1513" s="338" t="s">
        <v>3800</v>
      </c>
      <c r="H1513" s="338"/>
      <c r="I1513" s="329">
        <v>1422.6681298405028</v>
      </c>
      <c r="J1513" s="329"/>
      <c r="K1513" s="338">
        <v>355.66703246012571</v>
      </c>
      <c r="L1513" s="338">
        <v>355.66703246012571</v>
      </c>
      <c r="M1513" s="338">
        <v>355.66703246012571</v>
      </c>
      <c r="N1513" s="338">
        <v>355.66703246012571</v>
      </c>
      <c r="O1513" s="338"/>
    </row>
    <row r="1514" spans="1:15" hidden="1" outlineLevel="2" x14ac:dyDescent="0.35">
      <c r="A1514" s="425" t="s">
        <v>7864</v>
      </c>
      <c r="B1514" s="327">
        <v>44410</v>
      </c>
      <c r="C1514" s="426" t="s">
        <v>9818</v>
      </c>
      <c r="D1514" s="427" t="s">
        <v>9819</v>
      </c>
      <c r="E1514" s="426" t="s">
        <v>8021</v>
      </c>
      <c r="F1514" s="338">
        <v>2148620</v>
      </c>
      <c r="G1514" s="338" t="s">
        <v>3800</v>
      </c>
      <c r="H1514" s="338"/>
      <c r="I1514" s="329">
        <v>512.23784566268114</v>
      </c>
      <c r="J1514" s="329"/>
      <c r="K1514" s="338">
        <v>128.05946141567028</v>
      </c>
      <c r="L1514" s="338">
        <v>128.05946141567028</v>
      </c>
      <c r="M1514" s="338">
        <v>128.05946141567028</v>
      </c>
      <c r="N1514" s="338">
        <v>128.05946141567028</v>
      </c>
      <c r="O1514" s="338"/>
    </row>
    <row r="1515" spans="1:15" hidden="1" outlineLevel="2" x14ac:dyDescent="0.35">
      <c r="A1515" s="425" t="s">
        <v>7864</v>
      </c>
      <c r="B1515" s="327">
        <v>44554</v>
      </c>
      <c r="C1515" s="426" t="s">
        <v>9820</v>
      </c>
      <c r="D1515" s="427" t="s">
        <v>9821</v>
      </c>
      <c r="E1515" s="426" t="s">
        <v>8021</v>
      </c>
      <c r="F1515" s="338">
        <v>2910772</v>
      </c>
      <c r="G1515" s="338" t="s">
        <v>3800</v>
      </c>
      <c r="H1515" s="338"/>
      <c r="I1515" s="329">
        <v>693.93730789774531</v>
      </c>
      <c r="J1515" s="329"/>
      <c r="K1515" s="338">
        <v>173.48432697443633</v>
      </c>
      <c r="L1515" s="338">
        <v>173.48432697443633</v>
      </c>
      <c r="M1515" s="338">
        <v>173.48432697443633</v>
      </c>
      <c r="N1515" s="338">
        <v>173.48432697443633</v>
      </c>
      <c r="O1515" s="338"/>
    </row>
    <row r="1516" spans="1:15" hidden="1" outlineLevel="2" x14ac:dyDescent="0.35">
      <c r="A1516" s="425" t="s">
        <v>7864</v>
      </c>
      <c r="B1516" s="327">
        <v>44554</v>
      </c>
      <c r="C1516" s="426" t="s">
        <v>9822</v>
      </c>
      <c r="D1516" s="427" t="s">
        <v>9823</v>
      </c>
      <c r="E1516" s="426" t="s">
        <v>8021</v>
      </c>
      <c r="F1516" s="338">
        <v>1341874</v>
      </c>
      <c r="G1516" s="338" t="s">
        <v>3800</v>
      </c>
      <c r="H1516" s="338"/>
      <c r="I1516" s="329">
        <v>319.90703191386308</v>
      </c>
      <c r="J1516" s="329"/>
      <c r="K1516" s="338">
        <v>79.97675797846577</v>
      </c>
      <c r="L1516" s="338">
        <v>79.97675797846577</v>
      </c>
      <c r="M1516" s="338">
        <v>79.97675797846577</v>
      </c>
      <c r="N1516" s="338">
        <v>79.97675797846577</v>
      </c>
      <c r="O1516" s="338"/>
    </row>
    <row r="1517" spans="1:15" hidden="1" outlineLevel="2" x14ac:dyDescent="0.35">
      <c r="A1517" s="425" t="s">
        <v>7864</v>
      </c>
      <c r="B1517" s="327">
        <v>44537</v>
      </c>
      <c r="C1517" s="426" t="s">
        <v>9824</v>
      </c>
      <c r="D1517" s="427" t="s">
        <v>9825</v>
      </c>
      <c r="E1517" s="426" t="s">
        <v>8021</v>
      </c>
      <c r="F1517" s="338">
        <v>1455386</v>
      </c>
      <c r="G1517" s="338" t="s">
        <v>3800</v>
      </c>
      <c r="H1517" s="338"/>
      <c r="I1517" s="329">
        <v>346.96865394887266</v>
      </c>
      <c r="J1517" s="329"/>
      <c r="K1517" s="338">
        <v>86.742163487218164</v>
      </c>
      <c r="L1517" s="338">
        <v>86.742163487218164</v>
      </c>
      <c r="M1517" s="338">
        <v>86.742163487218164</v>
      </c>
      <c r="N1517" s="338">
        <v>86.742163487218164</v>
      </c>
      <c r="O1517" s="338"/>
    </row>
    <row r="1518" spans="1:15" outlineLevel="1" collapsed="1" x14ac:dyDescent="0.35">
      <c r="A1518" s="432" t="s">
        <v>9826</v>
      </c>
      <c r="B1518" s="327"/>
      <c r="C1518" s="426"/>
      <c r="D1518" s="427"/>
      <c r="E1518" s="426"/>
      <c r="F1518" s="338"/>
      <c r="G1518" s="338"/>
      <c r="H1518" s="338"/>
      <c r="I1518" s="329">
        <f t="shared" ref="I1518:O1518" si="50">SUBTOTAL(9,I1500:I1517)</f>
        <v>12438.326765559741</v>
      </c>
      <c r="J1518" s="329"/>
      <c r="K1518" s="338">
        <f t="shared" si="50"/>
        <v>3109.5816913899353</v>
      </c>
      <c r="L1518" s="338">
        <f t="shared" si="50"/>
        <v>3109.5816913899353</v>
      </c>
      <c r="M1518" s="338">
        <f t="shared" si="50"/>
        <v>3109.5816913899353</v>
      </c>
      <c r="N1518" s="338">
        <f t="shared" si="50"/>
        <v>3109.5816913899353</v>
      </c>
      <c r="O1518" s="338">
        <f t="shared" si="50"/>
        <v>0</v>
      </c>
    </row>
    <row r="1519" spans="1:15" hidden="1" outlineLevel="2" x14ac:dyDescent="0.35">
      <c r="A1519" s="425" t="s">
        <v>7868</v>
      </c>
      <c r="B1519" s="327" t="s">
        <v>7996</v>
      </c>
      <c r="C1519" s="426" t="s">
        <v>9827</v>
      </c>
      <c r="D1519" s="427" t="s">
        <v>9828</v>
      </c>
      <c r="E1519" s="426" t="s">
        <v>8110</v>
      </c>
      <c r="F1519" s="338">
        <v>240000</v>
      </c>
      <c r="G1519" s="338" t="s">
        <v>3800</v>
      </c>
      <c r="H1519" s="338"/>
      <c r="I1519" s="329">
        <v>57.216763764203748</v>
      </c>
      <c r="J1519" s="329"/>
      <c r="K1519" s="338">
        <v>14.304190941050937</v>
      </c>
      <c r="L1519" s="338">
        <v>14.304190941050937</v>
      </c>
      <c r="M1519" s="338">
        <v>14.304190941050937</v>
      </c>
      <c r="N1519" s="338">
        <v>14.304190941050937</v>
      </c>
      <c r="O1519" s="338"/>
    </row>
    <row r="1520" spans="1:15" hidden="1" outlineLevel="2" x14ac:dyDescent="0.35">
      <c r="A1520" s="425" t="s">
        <v>7868</v>
      </c>
      <c r="B1520" s="327" t="s">
        <v>7996</v>
      </c>
      <c r="C1520" s="426" t="s">
        <v>9772</v>
      </c>
      <c r="D1520" s="427" t="s">
        <v>9829</v>
      </c>
      <c r="E1520" s="426" t="s">
        <v>8110</v>
      </c>
      <c r="F1520" s="338">
        <v>720000</v>
      </c>
      <c r="G1520" s="338" t="s">
        <v>3800</v>
      </c>
      <c r="H1520" s="338"/>
      <c r="I1520" s="329">
        <v>171.65029129261126</v>
      </c>
      <c r="J1520" s="329"/>
      <c r="K1520" s="338">
        <v>42.912572823152814</v>
      </c>
      <c r="L1520" s="338">
        <v>42.912572823152814</v>
      </c>
      <c r="M1520" s="338">
        <v>42.912572823152814</v>
      </c>
      <c r="N1520" s="338">
        <v>42.912572823152814</v>
      </c>
      <c r="O1520" s="338"/>
    </row>
    <row r="1521" spans="1:15" hidden="1" outlineLevel="2" x14ac:dyDescent="0.35">
      <c r="A1521" s="425" t="s">
        <v>7868</v>
      </c>
      <c r="B1521" s="327" t="s">
        <v>8089</v>
      </c>
      <c r="C1521" s="426" t="s">
        <v>9451</v>
      </c>
      <c r="D1521" s="427" t="s">
        <v>9830</v>
      </c>
      <c r="E1521" s="426" t="s">
        <v>8110</v>
      </c>
      <c r="F1521" s="338">
        <v>1440000</v>
      </c>
      <c r="G1521" s="338" t="s">
        <v>3800</v>
      </c>
      <c r="H1521" s="338"/>
      <c r="I1521" s="329">
        <v>343.30058258522251</v>
      </c>
      <c r="J1521" s="329"/>
      <c r="K1521" s="338">
        <v>85.825145646305629</v>
      </c>
      <c r="L1521" s="338">
        <v>85.825145646305629</v>
      </c>
      <c r="M1521" s="338">
        <v>85.825145646305629</v>
      </c>
      <c r="N1521" s="338">
        <v>85.825145646305629</v>
      </c>
      <c r="O1521" s="338"/>
    </row>
    <row r="1522" spans="1:15" hidden="1" outlineLevel="2" x14ac:dyDescent="0.35">
      <c r="A1522" s="425" t="s">
        <v>7868</v>
      </c>
      <c r="B1522" s="327">
        <v>44382</v>
      </c>
      <c r="C1522" s="426" t="s">
        <v>9831</v>
      </c>
      <c r="D1522" s="427" t="s">
        <v>9832</v>
      </c>
      <c r="E1522" s="426" t="s">
        <v>8021</v>
      </c>
      <c r="F1522" s="338">
        <v>5734383</v>
      </c>
      <c r="G1522" s="338" t="s">
        <v>3800</v>
      </c>
      <c r="H1522" s="338"/>
      <c r="I1522" s="329">
        <v>1367.0951560186083</v>
      </c>
      <c r="J1522" s="329"/>
      <c r="K1522" s="338"/>
      <c r="L1522" s="338"/>
      <c r="M1522" s="338"/>
      <c r="N1522" s="338">
        <v>1367.0951560186083</v>
      </c>
      <c r="O1522" s="338"/>
    </row>
    <row r="1523" spans="1:15" hidden="1" outlineLevel="2" x14ac:dyDescent="0.35">
      <c r="A1523" s="425" t="s">
        <v>7868</v>
      </c>
      <c r="B1523" s="327">
        <v>44095</v>
      </c>
      <c r="C1523" s="426" t="s">
        <v>9833</v>
      </c>
      <c r="D1523" s="427" t="s">
        <v>9834</v>
      </c>
      <c r="E1523" s="426" t="s">
        <v>8110</v>
      </c>
      <c r="F1523" s="338">
        <v>505000</v>
      </c>
      <c r="G1523" s="338" t="s">
        <v>3800</v>
      </c>
      <c r="H1523" s="338"/>
      <c r="I1523" s="329">
        <v>118.38118140203655</v>
      </c>
      <c r="J1523" s="329"/>
      <c r="K1523" s="338">
        <v>29.595295350509137</v>
      </c>
      <c r="L1523" s="338">
        <v>29.595295350509137</v>
      </c>
      <c r="M1523" s="338">
        <v>29.595295350509137</v>
      </c>
      <c r="N1523" s="338">
        <v>29.595295350509137</v>
      </c>
      <c r="O1523" s="338"/>
    </row>
    <row r="1524" spans="1:15" hidden="1" outlineLevel="2" x14ac:dyDescent="0.35">
      <c r="A1524" s="425" t="s">
        <v>7868</v>
      </c>
      <c r="B1524" s="327">
        <v>44406</v>
      </c>
      <c r="C1524" s="426" t="s">
        <v>9835</v>
      </c>
      <c r="D1524" s="427" t="s">
        <v>9836</v>
      </c>
      <c r="E1524" s="426" t="s">
        <v>8021</v>
      </c>
      <c r="F1524" s="338">
        <v>3320226</v>
      </c>
      <c r="G1524" s="338" t="s">
        <v>3800</v>
      </c>
      <c r="H1524" s="338"/>
      <c r="I1524" s="329">
        <v>791.55244452402985</v>
      </c>
      <c r="J1524" s="329"/>
      <c r="K1524" s="338"/>
      <c r="L1524" s="338"/>
      <c r="M1524" s="338"/>
      <c r="N1524" s="338">
        <v>791.55244452402985</v>
      </c>
      <c r="O1524" s="338"/>
    </row>
    <row r="1525" spans="1:15" outlineLevel="1" collapsed="1" x14ac:dyDescent="0.35">
      <c r="A1525" s="437" t="s">
        <v>9837</v>
      </c>
      <c r="B1525" s="327"/>
      <c r="C1525" s="426"/>
      <c r="D1525" s="427"/>
      <c r="E1525" s="426"/>
      <c r="F1525" s="338"/>
      <c r="G1525" s="338"/>
      <c r="H1525" s="338"/>
      <c r="I1525" s="329">
        <f t="shared" ref="I1525:O1525" si="51">SUBTOTAL(9,I1519:I1524)</f>
        <v>2849.1964195867122</v>
      </c>
      <c r="J1525" s="329"/>
      <c r="K1525" s="338">
        <f t="shared" si="51"/>
        <v>172.63720476101852</v>
      </c>
      <c r="L1525" s="338">
        <f t="shared" si="51"/>
        <v>172.63720476101852</v>
      </c>
      <c r="M1525" s="338">
        <f t="shared" si="51"/>
        <v>172.63720476101852</v>
      </c>
      <c r="N1525" s="338">
        <f t="shared" si="51"/>
        <v>2331.2848053036569</v>
      </c>
      <c r="O1525" s="338">
        <f t="shared" si="51"/>
        <v>0</v>
      </c>
    </row>
    <row r="1526" spans="1:15" hidden="1" outlineLevel="2" x14ac:dyDescent="0.35">
      <c r="A1526" s="425" t="s">
        <v>7866</v>
      </c>
      <c r="B1526" s="327">
        <v>44505</v>
      </c>
      <c r="C1526" s="426" t="s">
        <v>9838</v>
      </c>
      <c r="D1526" s="427" t="s">
        <v>9839</v>
      </c>
      <c r="E1526" s="426" t="s">
        <v>8183</v>
      </c>
      <c r="F1526" s="338">
        <v>300000</v>
      </c>
      <c r="G1526" s="338" t="s">
        <v>3800</v>
      </c>
      <c r="H1526" s="338"/>
      <c r="I1526" s="329">
        <v>71.520954705254681</v>
      </c>
      <c r="J1526" s="329"/>
      <c r="K1526" s="338">
        <v>17.88023867631367</v>
      </c>
      <c r="L1526" s="338">
        <v>17.88023867631367</v>
      </c>
      <c r="M1526" s="338">
        <v>17.88023867631367</v>
      </c>
      <c r="N1526" s="338">
        <v>17.88023867631367</v>
      </c>
      <c r="O1526" s="338"/>
    </row>
    <row r="1527" spans="1:15" hidden="1" outlineLevel="2" x14ac:dyDescent="0.35">
      <c r="A1527" s="425" t="s">
        <v>7866</v>
      </c>
      <c r="B1527" s="327">
        <v>44152</v>
      </c>
      <c r="C1527" s="426" t="s">
        <v>9840</v>
      </c>
      <c r="D1527" s="427" t="s">
        <v>9841</v>
      </c>
      <c r="E1527" s="426" t="s">
        <v>9842</v>
      </c>
      <c r="F1527" s="338">
        <v>450000</v>
      </c>
      <c r="G1527" s="338" t="s">
        <v>3800</v>
      </c>
      <c r="H1527" s="338"/>
      <c r="I1527" s="329">
        <v>105.4881814473593</v>
      </c>
      <c r="J1527" s="329"/>
      <c r="K1527" s="338">
        <v>26.372045361839824</v>
      </c>
      <c r="L1527" s="338">
        <v>26.372045361839824</v>
      </c>
      <c r="M1527" s="338">
        <v>26.372045361839824</v>
      </c>
      <c r="N1527" s="338">
        <v>26.372045361839824</v>
      </c>
      <c r="O1527" s="338"/>
    </row>
    <row r="1528" spans="1:15" hidden="1" outlineLevel="2" x14ac:dyDescent="0.35">
      <c r="A1528" s="425" t="s">
        <v>7866</v>
      </c>
      <c r="B1528" s="327">
        <v>44084</v>
      </c>
      <c r="C1528" s="426" t="s">
        <v>9843</v>
      </c>
      <c r="D1528" s="427" t="s">
        <v>9844</v>
      </c>
      <c r="E1528" s="426" t="s">
        <v>9845</v>
      </c>
      <c r="F1528" s="338">
        <v>480000</v>
      </c>
      <c r="G1528" s="338" t="s">
        <v>3800</v>
      </c>
      <c r="H1528" s="338"/>
      <c r="I1528" s="329">
        <v>112.52072687718325</v>
      </c>
      <c r="J1528" s="329"/>
      <c r="K1528" s="338">
        <v>28.130181719295813</v>
      </c>
      <c r="L1528" s="338">
        <v>28.130181719295813</v>
      </c>
      <c r="M1528" s="338">
        <v>28.130181719295813</v>
      </c>
      <c r="N1528" s="338">
        <v>28.130181719295813</v>
      </c>
      <c r="O1528" s="338"/>
    </row>
    <row r="1529" spans="1:15" hidden="1" outlineLevel="2" x14ac:dyDescent="0.35">
      <c r="A1529" s="425" t="s">
        <v>7866</v>
      </c>
      <c r="B1529" s="327">
        <v>44152</v>
      </c>
      <c r="C1529" s="426" t="s">
        <v>9846</v>
      </c>
      <c r="D1529" s="427" t="s">
        <v>9847</v>
      </c>
      <c r="E1529" s="426" t="s">
        <v>9848</v>
      </c>
      <c r="F1529" s="338">
        <v>550000</v>
      </c>
      <c r="G1529" s="338" t="s">
        <v>3800</v>
      </c>
      <c r="H1529" s="338"/>
      <c r="I1529" s="329">
        <v>128.92999954677248</v>
      </c>
      <c r="J1529" s="329"/>
      <c r="K1529" s="338">
        <v>32.23249988669312</v>
      </c>
      <c r="L1529" s="338">
        <v>32.23249988669312</v>
      </c>
      <c r="M1529" s="338">
        <v>32.23249988669312</v>
      </c>
      <c r="N1529" s="338">
        <v>32.23249988669312</v>
      </c>
      <c r="O1529" s="338"/>
    </row>
    <row r="1530" spans="1:15" hidden="1" outlineLevel="2" x14ac:dyDescent="0.35">
      <c r="A1530" s="425" t="s">
        <v>7866</v>
      </c>
      <c r="B1530" s="327">
        <v>44152</v>
      </c>
      <c r="C1530" s="426" t="s">
        <v>9849</v>
      </c>
      <c r="D1530" s="427" t="s">
        <v>9850</v>
      </c>
      <c r="E1530" s="426" t="s">
        <v>8158</v>
      </c>
      <c r="F1530" s="338">
        <v>520000</v>
      </c>
      <c r="G1530" s="338" t="s">
        <v>3800</v>
      </c>
      <c r="H1530" s="338"/>
      <c r="I1530" s="329">
        <v>121.89745411694852</v>
      </c>
      <c r="J1530" s="329"/>
      <c r="K1530" s="338">
        <v>30.474363529237131</v>
      </c>
      <c r="L1530" s="338">
        <v>30.474363529237131</v>
      </c>
      <c r="M1530" s="338">
        <v>30.474363529237131</v>
      </c>
      <c r="N1530" s="338">
        <v>30.474363529237131</v>
      </c>
      <c r="O1530" s="338"/>
    </row>
    <row r="1531" spans="1:15" hidden="1" outlineLevel="2" x14ac:dyDescent="0.35">
      <c r="A1531" s="425" t="s">
        <v>7866</v>
      </c>
      <c r="B1531" s="327">
        <v>44186</v>
      </c>
      <c r="C1531" s="426" t="s">
        <v>9851</v>
      </c>
      <c r="D1531" s="427" t="s">
        <v>9852</v>
      </c>
      <c r="E1531" s="426" t="s">
        <v>8144</v>
      </c>
      <c r="F1531" s="338">
        <v>240000</v>
      </c>
      <c r="G1531" s="338" t="s">
        <v>3800</v>
      </c>
      <c r="H1531" s="338"/>
      <c r="I1531" s="329">
        <v>56.260363438591625</v>
      </c>
      <c r="J1531" s="329"/>
      <c r="K1531" s="338">
        <v>14.065090859647906</v>
      </c>
      <c r="L1531" s="338">
        <v>14.065090859647906</v>
      </c>
      <c r="M1531" s="338">
        <v>14.065090859647906</v>
      </c>
      <c r="N1531" s="338">
        <v>14.065090859647906</v>
      </c>
      <c r="O1531" s="338"/>
    </row>
    <row r="1532" spans="1:15" hidden="1" outlineLevel="2" x14ac:dyDescent="0.35">
      <c r="A1532" s="425" t="s">
        <v>7866</v>
      </c>
      <c r="B1532" s="327">
        <v>44531</v>
      </c>
      <c r="C1532" s="426" t="s">
        <v>9853</v>
      </c>
      <c r="D1532" s="427" t="s">
        <v>9854</v>
      </c>
      <c r="E1532" s="426" t="s">
        <v>9855</v>
      </c>
      <c r="F1532" s="338">
        <v>360000</v>
      </c>
      <c r="G1532" s="338" t="s">
        <v>3800</v>
      </c>
      <c r="H1532" s="338"/>
      <c r="I1532" s="329">
        <v>85.825145646305629</v>
      </c>
      <c r="J1532" s="329"/>
      <c r="K1532" s="338">
        <v>21.456286411576407</v>
      </c>
      <c r="L1532" s="338">
        <v>21.456286411576407</v>
      </c>
      <c r="M1532" s="338">
        <v>21.456286411576407</v>
      </c>
      <c r="N1532" s="338">
        <v>21.456286411576407</v>
      </c>
      <c r="O1532" s="338"/>
    </row>
    <row r="1533" spans="1:15" hidden="1" outlineLevel="2" x14ac:dyDescent="0.35">
      <c r="A1533" s="425" t="s">
        <v>7866</v>
      </c>
      <c r="B1533" s="327">
        <v>44505</v>
      </c>
      <c r="C1533" s="426" t="s">
        <v>9856</v>
      </c>
      <c r="D1533" s="427" t="s">
        <v>9857</v>
      </c>
      <c r="E1533" s="426" t="s">
        <v>8183</v>
      </c>
      <c r="F1533" s="338">
        <v>55000</v>
      </c>
      <c r="G1533" s="338" t="s">
        <v>3800</v>
      </c>
      <c r="H1533" s="338"/>
      <c r="I1533" s="329">
        <v>13.112175029296692</v>
      </c>
      <c r="J1533" s="329"/>
      <c r="K1533" s="338">
        <v>3.278043757324173</v>
      </c>
      <c r="L1533" s="338">
        <v>3.278043757324173</v>
      </c>
      <c r="M1533" s="338">
        <v>3.278043757324173</v>
      </c>
      <c r="N1533" s="338">
        <v>3.278043757324173</v>
      </c>
      <c r="O1533" s="338"/>
    </row>
    <row r="1534" spans="1:15" hidden="1" outlineLevel="2" x14ac:dyDescent="0.35">
      <c r="A1534" s="425" t="s">
        <v>7866</v>
      </c>
      <c r="B1534" s="327">
        <v>44505</v>
      </c>
      <c r="C1534" s="426" t="s">
        <v>9858</v>
      </c>
      <c r="D1534" s="427" t="s">
        <v>9859</v>
      </c>
      <c r="E1534" s="426" t="s">
        <v>8030</v>
      </c>
      <c r="F1534" s="338">
        <v>50000</v>
      </c>
      <c r="G1534" s="338" t="s">
        <v>3800</v>
      </c>
      <c r="H1534" s="338"/>
      <c r="I1534" s="329">
        <v>11.920159117542449</v>
      </c>
      <c r="J1534" s="329"/>
      <c r="K1534" s="338">
        <v>2.9800397793856122</v>
      </c>
      <c r="L1534" s="338">
        <v>2.9800397793856122</v>
      </c>
      <c r="M1534" s="338">
        <v>2.9800397793856122</v>
      </c>
      <c r="N1534" s="338">
        <v>2.9800397793856122</v>
      </c>
      <c r="O1534" s="338"/>
    </row>
    <row r="1535" spans="1:15" hidden="1" outlineLevel="2" x14ac:dyDescent="0.35">
      <c r="A1535" s="425" t="s">
        <v>7866</v>
      </c>
      <c r="B1535" s="327">
        <v>43796</v>
      </c>
      <c r="C1535" s="426" t="s">
        <v>9860</v>
      </c>
      <c r="D1535" s="427" t="s">
        <v>9861</v>
      </c>
      <c r="E1535" s="426" t="s">
        <v>9862</v>
      </c>
      <c r="F1535" s="338">
        <v>45</v>
      </c>
      <c r="G1535" s="338" t="s">
        <v>805</v>
      </c>
      <c r="H1535" s="338"/>
      <c r="I1535" s="329">
        <f>+F1535/1.12</f>
        <v>40.178571428571423</v>
      </c>
      <c r="J1535" s="329"/>
      <c r="K1535" s="338">
        <f t="shared" ref="K1535:N1542" si="52">$I1535/4</f>
        <v>10.044642857142856</v>
      </c>
      <c r="L1535" s="338">
        <f t="shared" si="52"/>
        <v>10.044642857142856</v>
      </c>
      <c r="M1535" s="338">
        <f t="shared" si="52"/>
        <v>10.044642857142856</v>
      </c>
      <c r="N1535" s="338">
        <f t="shared" si="52"/>
        <v>10.044642857142856</v>
      </c>
      <c r="O1535" s="338"/>
    </row>
    <row r="1536" spans="1:15" hidden="1" outlineLevel="2" x14ac:dyDescent="0.35">
      <c r="A1536" s="425" t="s">
        <v>7866</v>
      </c>
      <c r="B1536" s="327">
        <v>43796</v>
      </c>
      <c r="C1536" s="426" t="s">
        <v>9863</v>
      </c>
      <c r="D1536" s="427" t="s">
        <v>9861</v>
      </c>
      <c r="E1536" s="426" t="s">
        <v>9862</v>
      </c>
      <c r="F1536" s="338">
        <v>15</v>
      </c>
      <c r="G1536" s="338" t="s">
        <v>805</v>
      </c>
      <c r="H1536" s="338"/>
      <c r="I1536" s="329">
        <f>+F1536/1.12</f>
        <v>13.392857142857142</v>
      </c>
      <c r="J1536" s="329"/>
      <c r="K1536" s="338">
        <f t="shared" si="52"/>
        <v>3.3482142857142856</v>
      </c>
      <c r="L1536" s="338">
        <f t="shared" si="52"/>
        <v>3.3482142857142856</v>
      </c>
      <c r="M1536" s="338">
        <f t="shared" si="52"/>
        <v>3.3482142857142856</v>
      </c>
      <c r="N1536" s="338">
        <f t="shared" si="52"/>
        <v>3.3482142857142856</v>
      </c>
      <c r="O1536" s="338"/>
    </row>
    <row r="1537" spans="1:15" hidden="1" outlineLevel="2" x14ac:dyDescent="0.35">
      <c r="A1537" s="425" t="s">
        <v>7866</v>
      </c>
      <c r="B1537" s="327">
        <v>43793</v>
      </c>
      <c r="C1537" s="426" t="s">
        <v>9864</v>
      </c>
      <c r="D1537" s="427" t="s">
        <v>9865</v>
      </c>
      <c r="E1537" s="426" t="s">
        <v>9866</v>
      </c>
      <c r="F1537" s="338">
        <v>300</v>
      </c>
      <c r="G1537" s="338" t="s">
        <v>805</v>
      </c>
      <c r="H1537" s="338"/>
      <c r="I1537" s="329">
        <f>+F1537/1.12</f>
        <v>267.85714285714283</v>
      </c>
      <c r="J1537" s="329"/>
      <c r="K1537" s="338">
        <f t="shared" si="52"/>
        <v>66.964285714285708</v>
      </c>
      <c r="L1537" s="338">
        <f t="shared" si="52"/>
        <v>66.964285714285708</v>
      </c>
      <c r="M1537" s="338">
        <f t="shared" si="52"/>
        <v>66.964285714285708</v>
      </c>
      <c r="N1537" s="338">
        <f t="shared" si="52"/>
        <v>66.964285714285708</v>
      </c>
      <c r="O1537" s="338"/>
    </row>
    <row r="1538" spans="1:15" hidden="1" outlineLevel="2" x14ac:dyDescent="0.35">
      <c r="A1538" s="425" t="s">
        <v>7866</v>
      </c>
      <c r="B1538" s="327">
        <v>43843</v>
      </c>
      <c r="C1538" s="426" t="s">
        <v>9867</v>
      </c>
      <c r="D1538" s="427" t="s">
        <v>9868</v>
      </c>
      <c r="E1538" s="426" t="s">
        <v>8144</v>
      </c>
      <c r="F1538" s="338">
        <v>290000</v>
      </c>
      <c r="G1538" s="338" t="s">
        <v>9869</v>
      </c>
      <c r="H1538" s="338"/>
      <c r="I1538" s="329">
        <f>+F1538/'[10]Income + exchange rates'!$G$29</f>
        <v>67.981272488298217</v>
      </c>
      <c r="J1538" s="329"/>
      <c r="K1538" s="338">
        <f t="shared" si="52"/>
        <v>16.995318122074554</v>
      </c>
      <c r="L1538" s="338">
        <f t="shared" si="52"/>
        <v>16.995318122074554</v>
      </c>
      <c r="M1538" s="338">
        <f t="shared" si="52"/>
        <v>16.995318122074554</v>
      </c>
      <c r="N1538" s="338">
        <f t="shared" si="52"/>
        <v>16.995318122074554</v>
      </c>
      <c r="O1538" s="338"/>
    </row>
    <row r="1539" spans="1:15" hidden="1" outlineLevel="2" x14ac:dyDescent="0.35">
      <c r="A1539" s="425" t="s">
        <v>7866</v>
      </c>
      <c r="B1539" s="327">
        <v>43843</v>
      </c>
      <c r="C1539" s="426" t="s">
        <v>9870</v>
      </c>
      <c r="D1539" s="427" t="s">
        <v>9868</v>
      </c>
      <c r="E1539" s="426" t="s">
        <v>9866</v>
      </c>
      <c r="F1539" s="338">
        <v>310000</v>
      </c>
      <c r="G1539" s="338" t="s">
        <v>9869</v>
      </c>
      <c r="H1539" s="338"/>
      <c r="I1539" s="329">
        <f>+F1539/'[10]Income + exchange rates'!$G$29</f>
        <v>72.669636108180853</v>
      </c>
      <c r="J1539" s="329"/>
      <c r="K1539" s="338">
        <f t="shared" si="52"/>
        <v>18.167409027045213</v>
      </c>
      <c r="L1539" s="338">
        <f t="shared" si="52"/>
        <v>18.167409027045213</v>
      </c>
      <c r="M1539" s="338">
        <f t="shared" si="52"/>
        <v>18.167409027045213</v>
      </c>
      <c r="N1539" s="338">
        <f t="shared" si="52"/>
        <v>18.167409027045213</v>
      </c>
      <c r="O1539" s="338"/>
    </row>
    <row r="1540" spans="1:15" hidden="1" outlineLevel="2" x14ac:dyDescent="0.35">
      <c r="A1540" s="425" t="s">
        <v>7866</v>
      </c>
      <c r="B1540" s="327">
        <v>43843</v>
      </c>
      <c r="C1540" s="426" t="s">
        <v>9871</v>
      </c>
      <c r="D1540" s="427" t="s">
        <v>9868</v>
      </c>
      <c r="E1540" s="426" t="s">
        <v>9872</v>
      </c>
      <c r="F1540" s="338">
        <v>230000</v>
      </c>
      <c r="G1540" s="338" t="s">
        <v>9869</v>
      </c>
      <c r="H1540" s="338"/>
      <c r="I1540" s="329">
        <f>+F1540/'[10]Income + exchange rates'!$G$29</f>
        <v>53.916181628650307</v>
      </c>
      <c r="J1540" s="329"/>
      <c r="K1540" s="338">
        <f t="shared" si="52"/>
        <v>13.479045407162577</v>
      </c>
      <c r="L1540" s="338">
        <f t="shared" si="52"/>
        <v>13.479045407162577</v>
      </c>
      <c r="M1540" s="338">
        <f t="shared" si="52"/>
        <v>13.479045407162577</v>
      </c>
      <c r="N1540" s="338">
        <f t="shared" si="52"/>
        <v>13.479045407162577</v>
      </c>
      <c r="O1540" s="338"/>
    </row>
    <row r="1541" spans="1:15" hidden="1" outlineLevel="2" x14ac:dyDescent="0.35">
      <c r="A1541" s="425" t="s">
        <v>7866</v>
      </c>
      <c r="B1541" s="327">
        <v>43843</v>
      </c>
      <c r="C1541" s="426" t="s">
        <v>9873</v>
      </c>
      <c r="D1541" s="427" t="s">
        <v>9868</v>
      </c>
      <c r="E1541" s="426" t="s">
        <v>8038</v>
      </c>
      <c r="F1541" s="338">
        <v>230000</v>
      </c>
      <c r="G1541" s="338" t="s">
        <v>9869</v>
      </c>
      <c r="H1541" s="338"/>
      <c r="I1541" s="329">
        <f>+F1541/'[10]Income + exchange rates'!$G$29</f>
        <v>53.916181628650307</v>
      </c>
      <c r="J1541" s="329"/>
      <c r="K1541" s="338">
        <f t="shared" si="52"/>
        <v>13.479045407162577</v>
      </c>
      <c r="L1541" s="338">
        <f t="shared" si="52"/>
        <v>13.479045407162577</v>
      </c>
      <c r="M1541" s="338">
        <f t="shared" si="52"/>
        <v>13.479045407162577</v>
      </c>
      <c r="N1541" s="338">
        <f t="shared" si="52"/>
        <v>13.479045407162577</v>
      </c>
      <c r="O1541" s="338"/>
    </row>
    <row r="1542" spans="1:15" hidden="1" outlineLevel="2" x14ac:dyDescent="0.35">
      <c r="A1542" s="425" t="s">
        <v>7866</v>
      </c>
      <c r="B1542" s="327">
        <v>43804</v>
      </c>
      <c r="C1542" s="426" t="s">
        <v>9874</v>
      </c>
      <c r="D1542" s="427" t="s">
        <v>9875</v>
      </c>
      <c r="E1542" s="426" t="s">
        <v>9876</v>
      </c>
      <c r="F1542" s="338">
        <v>840000</v>
      </c>
      <c r="G1542" s="338" t="s">
        <v>9869</v>
      </c>
      <c r="H1542" s="338"/>
      <c r="I1542" s="329">
        <f>+F1542/'[10]Income + exchange rates'!$G$29</f>
        <v>196.91127203507068</v>
      </c>
      <c r="J1542" s="329"/>
      <c r="K1542" s="338">
        <f t="shared" si="52"/>
        <v>49.22781800876767</v>
      </c>
      <c r="L1542" s="338">
        <f t="shared" si="52"/>
        <v>49.22781800876767</v>
      </c>
      <c r="M1542" s="338">
        <f t="shared" si="52"/>
        <v>49.22781800876767</v>
      </c>
      <c r="N1542" s="338">
        <f t="shared" si="52"/>
        <v>49.22781800876767</v>
      </c>
      <c r="O1542" s="338"/>
    </row>
    <row r="1543" spans="1:15" hidden="1" outlineLevel="2" x14ac:dyDescent="0.35">
      <c r="A1543" s="425" t="s">
        <v>7866</v>
      </c>
      <c r="B1543" s="327">
        <v>44084</v>
      </c>
      <c r="C1543" s="426" t="s">
        <v>9877</v>
      </c>
      <c r="D1543" s="427" t="s">
        <v>9878</v>
      </c>
      <c r="E1543" s="426" t="s">
        <v>8196</v>
      </c>
      <c r="F1543" s="338">
        <v>280000</v>
      </c>
      <c r="G1543" s="338" t="s">
        <v>3800</v>
      </c>
      <c r="H1543" s="338"/>
      <c r="I1543" s="329">
        <v>65.637090678356898</v>
      </c>
      <c r="J1543" s="329"/>
      <c r="K1543" s="338">
        <v>16.409272669589225</v>
      </c>
      <c r="L1543" s="338">
        <v>16.409272669589225</v>
      </c>
      <c r="M1543" s="338">
        <v>16.409272669589225</v>
      </c>
      <c r="N1543" s="338">
        <v>16.409272669589225</v>
      </c>
      <c r="O1543" s="338"/>
    </row>
    <row r="1544" spans="1:15" hidden="1" outlineLevel="2" x14ac:dyDescent="0.35">
      <c r="A1544" s="425" t="s">
        <v>7866</v>
      </c>
      <c r="B1544" s="327">
        <v>44309</v>
      </c>
      <c r="C1544" s="426" t="s">
        <v>8120</v>
      </c>
      <c r="D1544" s="427" t="s">
        <v>9879</v>
      </c>
      <c r="E1544" s="426" t="s">
        <v>8191</v>
      </c>
      <c r="F1544" s="338">
        <v>380000</v>
      </c>
      <c r="G1544" s="338" t="s">
        <v>3800</v>
      </c>
      <c r="H1544" s="338"/>
      <c r="I1544" s="329">
        <v>90.593209293322602</v>
      </c>
      <c r="J1544" s="329"/>
      <c r="K1544" s="338">
        <v>22.64830232333065</v>
      </c>
      <c r="L1544" s="338">
        <v>22.64830232333065</v>
      </c>
      <c r="M1544" s="338">
        <v>22.64830232333065</v>
      </c>
      <c r="N1544" s="338">
        <v>22.64830232333065</v>
      </c>
      <c r="O1544" s="338"/>
    </row>
    <row r="1545" spans="1:15" hidden="1" outlineLevel="2" x14ac:dyDescent="0.35">
      <c r="A1545" s="425" t="s">
        <v>7866</v>
      </c>
      <c r="B1545" s="327">
        <v>44310</v>
      </c>
      <c r="C1545" s="426" t="s">
        <v>8059</v>
      </c>
      <c r="D1545" s="427" t="s">
        <v>9879</v>
      </c>
      <c r="E1545" s="426" t="s">
        <v>8158</v>
      </c>
      <c r="F1545" s="338">
        <v>380000</v>
      </c>
      <c r="G1545" s="338" t="s">
        <v>3800</v>
      </c>
      <c r="H1545" s="338"/>
      <c r="I1545" s="329">
        <v>90.593209293322602</v>
      </c>
      <c r="J1545" s="329"/>
      <c r="K1545" s="338">
        <v>22.64830232333065</v>
      </c>
      <c r="L1545" s="338">
        <v>22.64830232333065</v>
      </c>
      <c r="M1545" s="338">
        <v>22.64830232333065</v>
      </c>
      <c r="N1545" s="338">
        <v>22.64830232333065</v>
      </c>
      <c r="O1545" s="338"/>
    </row>
    <row r="1546" spans="1:15" hidden="1" outlineLevel="2" x14ac:dyDescent="0.35">
      <c r="A1546" s="425" t="s">
        <v>7866</v>
      </c>
      <c r="B1546" s="327">
        <v>44311</v>
      </c>
      <c r="C1546" s="426" t="s">
        <v>8092</v>
      </c>
      <c r="D1546" s="427" t="s">
        <v>9879</v>
      </c>
      <c r="E1546" s="426" t="s">
        <v>8144</v>
      </c>
      <c r="F1546" s="338">
        <v>380000</v>
      </c>
      <c r="G1546" s="338" t="s">
        <v>3800</v>
      </c>
      <c r="H1546" s="338"/>
      <c r="I1546" s="329">
        <v>90.593209293322602</v>
      </c>
      <c r="J1546" s="329"/>
      <c r="K1546" s="338">
        <v>22.64830232333065</v>
      </c>
      <c r="L1546" s="338">
        <v>22.64830232333065</v>
      </c>
      <c r="M1546" s="338">
        <v>22.64830232333065</v>
      </c>
      <c r="N1546" s="338">
        <v>22.64830232333065</v>
      </c>
      <c r="O1546" s="338"/>
    </row>
    <row r="1547" spans="1:15" hidden="1" outlineLevel="2" x14ac:dyDescent="0.35">
      <c r="A1547" s="425" t="s">
        <v>7866</v>
      </c>
      <c r="B1547" s="327">
        <v>44312</v>
      </c>
      <c r="C1547" s="426" t="s">
        <v>8085</v>
      </c>
      <c r="D1547" s="427" t="s">
        <v>9879</v>
      </c>
      <c r="E1547" s="426" t="s">
        <v>8196</v>
      </c>
      <c r="F1547" s="338">
        <v>400000</v>
      </c>
      <c r="G1547" s="338" t="s">
        <v>3800</v>
      </c>
      <c r="H1547" s="338"/>
      <c r="I1547" s="329">
        <v>95.361272940339589</v>
      </c>
      <c r="J1547" s="329"/>
      <c r="K1547" s="338">
        <v>23.840318235084897</v>
      </c>
      <c r="L1547" s="338">
        <v>23.840318235084897</v>
      </c>
      <c r="M1547" s="338">
        <v>23.840318235084897</v>
      </c>
      <c r="N1547" s="338">
        <v>23.840318235084897</v>
      </c>
      <c r="O1547" s="338"/>
    </row>
    <row r="1548" spans="1:15" hidden="1" outlineLevel="2" x14ac:dyDescent="0.35">
      <c r="A1548" s="425" t="s">
        <v>7866</v>
      </c>
      <c r="B1548" s="327">
        <v>43804</v>
      </c>
      <c r="C1548" s="426" t="s">
        <v>9880</v>
      </c>
      <c r="D1548" s="427" t="s">
        <v>9881</v>
      </c>
      <c r="E1548" s="426" t="s">
        <v>8051</v>
      </c>
      <c r="F1548" s="338">
        <v>1610000</v>
      </c>
      <c r="G1548" s="338" t="s">
        <v>3800</v>
      </c>
      <c r="H1548" s="338"/>
      <c r="I1548" s="329">
        <f>+F1548/'[10]Income + exchange rates'!$G$15</f>
        <v>377.41327140055216</v>
      </c>
      <c r="J1548" s="329"/>
      <c r="K1548" s="338">
        <f>+I1548/4</f>
        <v>94.353317850138041</v>
      </c>
      <c r="L1548" s="338">
        <f t="shared" ref="L1548:N1550" si="53">+K1548</f>
        <v>94.353317850138041</v>
      </c>
      <c r="M1548" s="338">
        <f t="shared" si="53"/>
        <v>94.353317850138041</v>
      </c>
      <c r="N1548" s="338">
        <f t="shared" si="53"/>
        <v>94.353317850138041</v>
      </c>
      <c r="O1548" s="338"/>
    </row>
    <row r="1549" spans="1:15" hidden="1" outlineLevel="2" x14ac:dyDescent="0.35">
      <c r="A1549" s="425" t="s">
        <v>7866</v>
      </c>
      <c r="B1549" s="327">
        <v>43804</v>
      </c>
      <c r="C1549" s="426" t="s">
        <v>9882</v>
      </c>
      <c r="D1549" s="427" t="s">
        <v>9881</v>
      </c>
      <c r="E1549" s="426" t="s">
        <v>8196</v>
      </c>
      <c r="F1549" s="338">
        <v>1270000</v>
      </c>
      <c r="G1549" s="338" t="s">
        <v>3800</v>
      </c>
      <c r="H1549" s="338"/>
      <c r="I1549" s="329">
        <f>+F1549/'[10]Income + exchange rates'!$G$15</f>
        <v>297.71108986254734</v>
      </c>
      <c r="J1549" s="329"/>
      <c r="K1549" s="338">
        <f>+I1549/4</f>
        <v>74.427772465636835</v>
      </c>
      <c r="L1549" s="338">
        <f t="shared" si="53"/>
        <v>74.427772465636835</v>
      </c>
      <c r="M1549" s="338">
        <f t="shared" si="53"/>
        <v>74.427772465636835</v>
      </c>
      <c r="N1549" s="338">
        <f t="shared" si="53"/>
        <v>74.427772465636835</v>
      </c>
      <c r="O1549" s="338"/>
    </row>
    <row r="1550" spans="1:15" hidden="1" outlineLevel="2" x14ac:dyDescent="0.35">
      <c r="A1550" s="425" t="s">
        <v>7866</v>
      </c>
      <c r="B1550" s="327">
        <v>43804</v>
      </c>
      <c r="C1550" s="426" t="s">
        <v>9883</v>
      </c>
      <c r="D1550" s="427" t="s">
        <v>9881</v>
      </c>
      <c r="E1550" s="426" t="s">
        <v>9884</v>
      </c>
      <c r="F1550" s="338">
        <v>1850000</v>
      </c>
      <c r="G1550" s="338" t="s">
        <v>3800</v>
      </c>
      <c r="H1550" s="338"/>
      <c r="I1550" s="329">
        <f>+F1550/'[10]Income + exchange rates'!$G$15</f>
        <v>433.67363483914374</v>
      </c>
      <c r="J1550" s="329"/>
      <c r="K1550" s="338">
        <f>+I1550/4</f>
        <v>108.41840870978594</v>
      </c>
      <c r="L1550" s="338">
        <f t="shared" si="53"/>
        <v>108.41840870978594</v>
      </c>
      <c r="M1550" s="338">
        <f t="shared" si="53"/>
        <v>108.41840870978594</v>
      </c>
      <c r="N1550" s="338">
        <f t="shared" si="53"/>
        <v>108.41840870978594</v>
      </c>
      <c r="O1550" s="338"/>
    </row>
    <row r="1551" spans="1:15" hidden="1" outlineLevel="2" x14ac:dyDescent="0.35">
      <c r="A1551" s="425" t="s">
        <v>7866</v>
      </c>
      <c r="B1551" s="327">
        <v>44560</v>
      </c>
      <c r="C1551" s="426" t="s">
        <v>9885</v>
      </c>
      <c r="D1551" s="427" t="s">
        <v>8182</v>
      </c>
      <c r="E1551" s="426" t="s">
        <v>9886</v>
      </c>
      <c r="F1551" s="338">
        <v>780000</v>
      </c>
      <c r="G1551" s="338" t="s">
        <v>3800</v>
      </c>
      <c r="H1551" s="338"/>
      <c r="I1551" s="329">
        <v>185.95448223366219</v>
      </c>
      <c r="J1551" s="329"/>
      <c r="K1551" s="338">
        <v>46.488620558415548</v>
      </c>
      <c r="L1551" s="338">
        <v>46.488620558415548</v>
      </c>
      <c r="M1551" s="338">
        <v>46.488620558415548</v>
      </c>
      <c r="N1551" s="338">
        <v>46.488620558415548</v>
      </c>
      <c r="O1551" s="338"/>
    </row>
    <row r="1552" spans="1:15" hidden="1" outlineLevel="2" x14ac:dyDescent="0.35">
      <c r="A1552" s="425" t="s">
        <v>7866</v>
      </c>
      <c r="B1552" s="327">
        <v>43707</v>
      </c>
      <c r="C1552" s="426" t="s">
        <v>9887</v>
      </c>
      <c r="D1552" s="427" t="s">
        <v>9888</v>
      </c>
      <c r="E1552" s="426" t="s">
        <v>9889</v>
      </c>
      <c r="F1552" s="338">
        <v>100</v>
      </c>
      <c r="G1552" s="338" t="s">
        <v>805</v>
      </c>
      <c r="H1552" s="338"/>
      <c r="I1552" s="329">
        <f>+F1552/1.12</f>
        <v>89.285714285714278</v>
      </c>
      <c r="J1552" s="329"/>
      <c r="K1552" s="338">
        <f t="shared" ref="K1552:N1554" si="54">$I1552/4</f>
        <v>22.321428571428569</v>
      </c>
      <c r="L1552" s="338">
        <f t="shared" si="54"/>
        <v>22.321428571428569</v>
      </c>
      <c r="M1552" s="338">
        <f t="shared" si="54"/>
        <v>22.321428571428569</v>
      </c>
      <c r="N1552" s="338">
        <f t="shared" si="54"/>
        <v>22.321428571428569</v>
      </c>
      <c r="O1552" s="338"/>
    </row>
    <row r="1553" spans="1:15" hidden="1" outlineLevel="2" x14ac:dyDescent="0.35">
      <c r="A1553" s="425" t="s">
        <v>7866</v>
      </c>
      <c r="B1553" s="327">
        <v>43707</v>
      </c>
      <c r="C1553" s="426" t="s">
        <v>9890</v>
      </c>
      <c r="D1553" s="427" t="s">
        <v>9888</v>
      </c>
      <c r="E1553" s="426" t="s">
        <v>8490</v>
      </c>
      <c r="F1553" s="338">
        <v>100</v>
      </c>
      <c r="G1553" s="338" t="s">
        <v>805</v>
      </c>
      <c r="H1553" s="338"/>
      <c r="I1553" s="329">
        <f>+F1553/1.12</f>
        <v>89.285714285714278</v>
      </c>
      <c r="J1553" s="329"/>
      <c r="K1553" s="338">
        <f t="shared" si="54"/>
        <v>22.321428571428569</v>
      </c>
      <c r="L1553" s="338">
        <f t="shared" si="54"/>
        <v>22.321428571428569</v>
      </c>
      <c r="M1553" s="338">
        <f t="shared" si="54"/>
        <v>22.321428571428569</v>
      </c>
      <c r="N1553" s="338">
        <f t="shared" si="54"/>
        <v>22.321428571428569</v>
      </c>
      <c r="O1553" s="338"/>
    </row>
    <row r="1554" spans="1:15" hidden="1" outlineLevel="2" x14ac:dyDescent="0.35">
      <c r="A1554" s="425" t="s">
        <v>7866</v>
      </c>
      <c r="B1554" s="327">
        <v>43707</v>
      </c>
      <c r="C1554" s="426" t="s">
        <v>9891</v>
      </c>
      <c r="D1554" s="427" t="s">
        <v>9888</v>
      </c>
      <c r="E1554" s="426" t="s">
        <v>9892</v>
      </c>
      <c r="F1554" s="338">
        <v>100</v>
      </c>
      <c r="G1554" s="338" t="s">
        <v>805</v>
      </c>
      <c r="H1554" s="338"/>
      <c r="I1554" s="329">
        <f>+F1554/1.12</f>
        <v>89.285714285714278</v>
      </c>
      <c r="J1554" s="329"/>
      <c r="K1554" s="338">
        <f t="shared" si="54"/>
        <v>22.321428571428569</v>
      </c>
      <c r="L1554" s="338">
        <f t="shared" si="54"/>
        <v>22.321428571428569</v>
      </c>
      <c r="M1554" s="338">
        <f t="shared" si="54"/>
        <v>22.321428571428569</v>
      </c>
      <c r="N1554" s="338">
        <f t="shared" si="54"/>
        <v>22.321428571428569</v>
      </c>
      <c r="O1554" s="338"/>
    </row>
    <row r="1555" spans="1:15" hidden="1" outlineLevel="2" x14ac:dyDescent="0.35">
      <c r="A1555" s="425" t="s">
        <v>7866</v>
      </c>
      <c r="B1555" s="327">
        <v>44505</v>
      </c>
      <c r="C1555" s="426" t="s">
        <v>9856</v>
      </c>
      <c r="D1555" s="427" t="s">
        <v>9893</v>
      </c>
      <c r="E1555" s="426" t="s">
        <v>8183</v>
      </c>
      <c r="F1555" s="338">
        <v>3240000</v>
      </c>
      <c r="G1555" s="338" t="s">
        <v>3800</v>
      </c>
      <c r="H1555" s="338"/>
      <c r="I1555" s="329">
        <v>772.42631081675063</v>
      </c>
      <c r="J1555" s="329"/>
      <c r="K1555" s="338">
        <v>193.10657770418766</v>
      </c>
      <c r="L1555" s="338">
        <v>193.10657770418766</v>
      </c>
      <c r="M1555" s="338">
        <v>193.10657770418766</v>
      </c>
      <c r="N1555" s="338">
        <v>193.10657770418766</v>
      </c>
      <c r="O1555" s="338"/>
    </row>
    <row r="1556" spans="1:15" hidden="1" outlineLevel="2" x14ac:dyDescent="0.35">
      <c r="A1556" s="425" t="s">
        <v>7866</v>
      </c>
      <c r="B1556" s="327">
        <v>44505</v>
      </c>
      <c r="C1556" s="426" t="s">
        <v>9858</v>
      </c>
      <c r="D1556" s="427" t="s">
        <v>9894</v>
      </c>
      <c r="E1556" s="426" t="s">
        <v>8030</v>
      </c>
      <c r="F1556" s="338">
        <v>1200000</v>
      </c>
      <c r="G1556" s="338" t="s">
        <v>3800</v>
      </c>
      <c r="H1556" s="338"/>
      <c r="I1556" s="329">
        <v>286.08381882101872</v>
      </c>
      <c r="J1556" s="329"/>
      <c r="K1556" s="338">
        <v>71.520954705254681</v>
      </c>
      <c r="L1556" s="338">
        <v>71.520954705254681</v>
      </c>
      <c r="M1556" s="338">
        <v>71.520954705254681</v>
      </c>
      <c r="N1556" s="338">
        <v>71.520954705254681</v>
      </c>
      <c r="O1556" s="338"/>
    </row>
    <row r="1557" spans="1:15" hidden="1" outlineLevel="2" x14ac:dyDescent="0.35">
      <c r="A1557" s="425" t="s">
        <v>7866</v>
      </c>
      <c r="B1557" s="327" t="s">
        <v>7996</v>
      </c>
      <c r="C1557" s="426" t="s">
        <v>9895</v>
      </c>
      <c r="D1557" s="427" t="s">
        <v>9896</v>
      </c>
      <c r="E1557" s="426" t="s">
        <v>8144</v>
      </c>
      <c r="F1557" s="338">
        <v>300000</v>
      </c>
      <c r="G1557" s="338" t="s">
        <v>3800</v>
      </c>
      <c r="H1557" s="338"/>
      <c r="I1557" s="329">
        <v>71.520954705254681</v>
      </c>
      <c r="J1557" s="329"/>
      <c r="K1557" s="338">
        <v>17.88023867631367</v>
      </c>
      <c r="L1557" s="338">
        <v>17.88023867631367</v>
      </c>
      <c r="M1557" s="338">
        <v>17.88023867631367</v>
      </c>
      <c r="N1557" s="338">
        <v>17.88023867631367</v>
      </c>
      <c r="O1557" s="338"/>
    </row>
    <row r="1558" spans="1:15" hidden="1" outlineLevel="2" x14ac:dyDescent="0.35">
      <c r="A1558" s="425" t="s">
        <v>7866</v>
      </c>
      <c r="B1558" s="327" t="s">
        <v>7996</v>
      </c>
      <c r="C1558" s="426" t="s">
        <v>9897</v>
      </c>
      <c r="D1558" s="427" t="s">
        <v>9896</v>
      </c>
      <c r="E1558" s="426" t="s">
        <v>8191</v>
      </c>
      <c r="F1558" s="338">
        <v>390000</v>
      </c>
      <c r="G1558" s="338" t="s">
        <v>3800</v>
      </c>
      <c r="H1558" s="338"/>
      <c r="I1558" s="329">
        <v>92.977241116831095</v>
      </c>
      <c r="J1558" s="329"/>
      <c r="K1558" s="338">
        <v>23.244310279207774</v>
      </c>
      <c r="L1558" s="338">
        <v>23.244310279207774</v>
      </c>
      <c r="M1558" s="338">
        <v>23.244310279207774</v>
      </c>
      <c r="N1558" s="338">
        <v>23.244310279207774</v>
      </c>
      <c r="O1558" s="338"/>
    </row>
    <row r="1559" spans="1:15" hidden="1" outlineLevel="2" x14ac:dyDescent="0.35">
      <c r="A1559" s="425" t="s">
        <v>7866</v>
      </c>
      <c r="B1559" s="327" t="s">
        <v>7996</v>
      </c>
      <c r="C1559" s="426" t="s">
        <v>9898</v>
      </c>
      <c r="D1559" s="427" t="s">
        <v>9896</v>
      </c>
      <c r="E1559" s="426" t="s">
        <v>8158</v>
      </c>
      <c r="F1559" s="338">
        <v>350000</v>
      </c>
      <c r="G1559" s="338" t="s">
        <v>3800</v>
      </c>
      <c r="H1559" s="338"/>
      <c r="I1559" s="329">
        <v>83.441113822797135</v>
      </c>
      <c r="J1559" s="329"/>
      <c r="K1559" s="338">
        <v>20.860278455699284</v>
      </c>
      <c r="L1559" s="338">
        <v>20.860278455699284</v>
      </c>
      <c r="M1559" s="338">
        <v>20.860278455699284</v>
      </c>
      <c r="N1559" s="338">
        <v>20.860278455699284</v>
      </c>
      <c r="O1559" s="338"/>
    </row>
    <row r="1560" spans="1:15" hidden="1" outlineLevel="2" x14ac:dyDescent="0.35">
      <c r="A1560" s="425" t="s">
        <v>7866</v>
      </c>
      <c r="B1560" s="327" t="s">
        <v>7996</v>
      </c>
      <c r="C1560" s="426" t="s">
        <v>8071</v>
      </c>
      <c r="D1560" s="427" t="s">
        <v>9896</v>
      </c>
      <c r="E1560" s="426" t="s">
        <v>8196</v>
      </c>
      <c r="F1560" s="338">
        <v>400000</v>
      </c>
      <c r="G1560" s="338" t="s">
        <v>3800</v>
      </c>
      <c r="H1560" s="338"/>
      <c r="I1560" s="329">
        <v>95.361272940339589</v>
      </c>
      <c r="J1560" s="329"/>
      <c r="K1560" s="338">
        <v>23.840318235084897</v>
      </c>
      <c r="L1560" s="338">
        <v>23.840318235084897</v>
      </c>
      <c r="M1560" s="338">
        <v>23.840318235084897</v>
      </c>
      <c r="N1560" s="338">
        <v>23.840318235084897</v>
      </c>
      <c r="O1560" s="338"/>
    </row>
    <row r="1561" spans="1:15" hidden="1" outlineLevel="2" x14ac:dyDescent="0.35">
      <c r="A1561" s="425" t="s">
        <v>7866</v>
      </c>
      <c r="B1561" s="327">
        <v>44084</v>
      </c>
      <c r="C1561" s="426" t="s">
        <v>9899</v>
      </c>
      <c r="D1561" s="427" t="s">
        <v>9900</v>
      </c>
      <c r="E1561" s="426" t="s">
        <v>9901</v>
      </c>
      <c r="F1561" s="338">
        <v>385000</v>
      </c>
      <c r="G1561" s="338" t="s">
        <v>3800</v>
      </c>
      <c r="H1561" s="338"/>
      <c r="I1561" s="329">
        <v>90.250999682740726</v>
      </c>
      <c r="J1561" s="329"/>
      <c r="K1561" s="338">
        <v>22.562749920685182</v>
      </c>
      <c r="L1561" s="338">
        <v>22.562749920685182</v>
      </c>
      <c r="M1561" s="338">
        <v>22.562749920685182</v>
      </c>
      <c r="N1561" s="338">
        <v>22.562749920685182</v>
      </c>
      <c r="O1561" s="338"/>
    </row>
    <row r="1562" spans="1:15" hidden="1" outlineLevel="2" x14ac:dyDescent="0.35">
      <c r="A1562" s="425" t="s">
        <v>7866</v>
      </c>
      <c r="B1562" s="327">
        <v>44475</v>
      </c>
      <c r="C1562" s="426" t="s">
        <v>9902</v>
      </c>
      <c r="D1562" s="427" t="s">
        <v>9903</v>
      </c>
      <c r="E1562" s="426" t="s">
        <v>8038</v>
      </c>
      <c r="F1562" s="338">
        <v>360000</v>
      </c>
      <c r="G1562" s="338" t="s">
        <v>3800</v>
      </c>
      <c r="H1562" s="338"/>
      <c r="I1562" s="329">
        <v>85.825145646305629</v>
      </c>
      <c r="J1562" s="329"/>
      <c r="K1562" s="338">
        <v>85.825145646305629</v>
      </c>
      <c r="L1562" s="338"/>
      <c r="M1562" s="338"/>
      <c r="N1562" s="338"/>
      <c r="O1562" s="338"/>
    </row>
    <row r="1563" spans="1:15" hidden="1" outlineLevel="2" x14ac:dyDescent="0.35">
      <c r="A1563" s="425" t="s">
        <v>7866</v>
      </c>
      <c r="B1563" s="327" t="s">
        <v>8089</v>
      </c>
      <c r="C1563" s="426" t="s">
        <v>9904</v>
      </c>
      <c r="D1563" s="427" t="s">
        <v>9905</v>
      </c>
      <c r="E1563" s="426" t="s">
        <v>8191</v>
      </c>
      <c r="F1563" s="338">
        <v>1500000</v>
      </c>
      <c r="G1563" s="338" t="s">
        <v>3800</v>
      </c>
      <c r="H1563" s="338"/>
      <c r="I1563" s="329">
        <v>357.60477352627345</v>
      </c>
      <c r="J1563" s="329"/>
      <c r="K1563" s="338">
        <v>89.401193381568362</v>
      </c>
      <c r="L1563" s="338">
        <v>89.401193381568362</v>
      </c>
      <c r="M1563" s="338">
        <v>89.401193381568362</v>
      </c>
      <c r="N1563" s="338">
        <v>89.401193381568362</v>
      </c>
      <c r="O1563" s="338"/>
    </row>
    <row r="1564" spans="1:15" hidden="1" outlineLevel="2" x14ac:dyDescent="0.35">
      <c r="A1564" s="425" t="s">
        <v>7866</v>
      </c>
      <c r="B1564" s="327">
        <v>43850</v>
      </c>
      <c r="C1564" s="426" t="s">
        <v>9906</v>
      </c>
      <c r="D1564" s="427" t="s">
        <v>9907</v>
      </c>
      <c r="E1564" s="426" t="s">
        <v>9908</v>
      </c>
      <c r="F1564" s="338">
        <v>40000</v>
      </c>
      <c r="G1564" s="338" t="s">
        <v>9869</v>
      </c>
      <c r="H1564" s="338"/>
      <c r="I1564" s="329">
        <f>+F1564/'[10]Income + exchange rates'!$G$29</f>
        <v>9.3767272397652714</v>
      </c>
      <c r="J1564" s="329"/>
      <c r="K1564" s="338">
        <f t="shared" ref="K1564:N1566" si="55">$I1564/4</f>
        <v>2.3441818099413179</v>
      </c>
      <c r="L1564" s="338">
        <f t="shared" si="55"/>
        <v>2.3441818099413179</v>
      </c>
      <c r="M1564" s="338">
        <f t="shared" si="55"/>
        <v>2.3441818099413179</v>
      </c>
      <c r="N1564" s="338">
        <f t="shared" si="55"/>
        <v>2.3441818099413179</v>
      </c>
      <c r="O1564" s="338"/>
    </row>
    <row r="1565" spans="1:15" hidden="1" outlineLevel="2" x14ac:dyDescent="0.35">
      <c r="A1565" s="425" t="s">
        <v>7866</v>
      </c>
      <c r="B1565" s="327">
        <v>43850</v>
      </c>
      <c r="C1565" s="426" t="s">
        <v>9909</v>
      </c>
      <c r="D1565" s="427" t="s">
        <v>9907</v>
      </c>
      <c r="E1565" s="426" t="s">
        <v>9910</v>
      </c>
      <c r="F1565" s="338">
        <v>40000</v>
      </c>
      <c r="G1565" s="338" t="s">
        <v>9869</v>
      </c>
      <c r="H1565" s="338"/>
      <c r="I1565" s="329">
        <f>+F1565/'[10]Income + exchange rates'!$G$29</f>
        <v>9.3767272397652714</v>
      </c>
      <c r="J1565" s="329"/>
      <c r="K1565" s="338">
        <f t="shared" si="55"/>
        <v>2.3441818099413179</v>
      </c>
      <c r="L1565" s="338">
        <f t="shared" si="55"/>
        <v>2.3441818099413179</v>
      </c>
      <c r="M1565" s="338">
        <f t="shared" si="55"/>
        <v>2.3441818099413179</v>
      </c>
      <c r="N1565" s="338">
        <f t="shared" si="55"/>
        <v>2.3441818099413179</v>
      </c>
      <c r="O1565" s="338"/>
    </row>
    <row r="1566" spans="1:15" hidden="1" outlineLevel="2" x14ac:dyDescent="0.35">
      <c r="A1566" s="425" t="s">
        <v>7866</v>
      </c>
      <c r="B1566" s="327">
        <v>43850</v>
      </c>
      <c r="C1566" s="426" t="s">
        <v>9911</v>
      </c>
      <c r="D1566" s="427" t="s">
        <v>9907</v>
      </c>
      <c r="E1566" s="426" t="s">
        <v>9912</v>
      </c>
      <c r="F1566" s="338">
        <v>40000</v>
      </c>
      <c r="G1566" s="338" t="s">
        <v>9869</v>
      </c>
      <c r="H1566" s="338"/>
      <c r="I1566" s="329">
        <f>+F1566/'[10]Income + exchange rates'!$G$29</f>
        <v>9.3767272397652714</v>
      </c>
      <c r="J1566" s="329"/>
      <c r="K1566" s="338">
        <f t="shared" si="55"/>
        <v>2.3441818099413179</v>
      </c>
      <c r="L1566" s="338">
        <f t="shared" si="55"/>
        <v>2.3441818099413179</v>
      </c>
      <c r="M1566" s="338">
        <f t="shared" si="55"/>
        <v>2.3441818099413179</v>
      </c>
      <c r="N1566" s="338">
        <f t="shared" si="55"/>
        <v>2.3441818099413179</v>
      </c>
      <c r="O1566" s="338"/>
    </row>
    <row r="1567" spans="1:15" hidden="1" outlineLevel="2" x14ac:dyDescent="0.35">
      <c r="A1567" s="425" t="s">
        <v>7866</v>
      </c>
      <c r="B1567" s="327">
        <v>44531</v>
      </c>
      <c r="C1567" s="426" t="s">
        <v>9913</v>
      </c>
      <c r="D1567" s="427" t="s">
        <v>9914</v>
      </c>
      <c r="E1567" s="426" t="s">
        <v>9475</v>
      </c>
      <c r="F1567" s="338">
        <v>1019250</v>
      </c>
      <c r="G1567" s="338" t="s">
        <v>3800</v>
      </c>
      <c r="H1567" s="338"/>
      <c r="I1567" s="329">
        <v>242.9924436111028</v>
      </c>
      <c r="J1567" s="329"/>
      <c r="K1567" s="338">
        <v>60.7481109027757</v>
      </c>
      <c r="L1567" s="338">
        <v>60.7481109027757</v>
      </c>
      <c r="M1567" s="338">
        <v>60.7481109027757</v>
      </c>
      <c r="N1567" s="338">
        <v>60.7481109027757</v>
      </c>
      <c r="O1567" s="338"/>
    </row>
    <row r="1568" spans="1:15" hidden="1" outlineLevel="2" x14ac:dyDescent="0.35">
      <c r="A1568" s="425" t="s">
        <v>7866</v>
      </c>
      <c r="B1568" s="327">
        <v>44488</v>
      </c>
      <c r="C1568" s="426" t="s">
        <v>9915</v>
      </c>
      <c r="D1568" s="427" t="s">
        <v>9916</v>
      </c>
      <c r="E1568" s="426" t="s">
        <v>9475</v>
      </c>
      <c r="F1568" s="338">
        <v>816000</v>
      </c>
      <c r="G1568" s="338" t="s">
        <v>3800</v>
      </c>
      <c r="H1568" s="338"/>
      <c r="I1568" s="329">
        <v>194.53699679829273</v>
      </c>
      <c r="J1568" s="329"/>
      <c r="K1568" s="338">
        <v>48.634249199573183</v>
      </c>
      <c r="L1568" s="338">
        <v>48.634249199573183</v>
      </c>
      <c r="M1568" s="338">
        <v>48.634249199573183</v>
      </c>
      <c r="N1568" s="338">
        <v>48.634249199573183</v>
      </c>
      <c r="O1568" s="338"/>
    </row>
    <row r="1569" spans="1:15" hidden="1" outlineLevel="2" x14ac:dyDescent="0.35">
      <c r="A1569" s="425" t="s">
        <v>7866</v>
      </c>
      <c r="B1569" s="327">
        <v>44455</v>
      </c>
      <c r="C1569" s="426" t="s">
        <v>9917</v>
      </c>
      <c r="D1569" s="427" t="s">
        <v>9918</v>
      </c>
      <c r="E1569" s="426" t="s">
        <v>8144</v>
      </c>
      <c r="F1569" s="338">
        <v>450000</v>
      </c>
      <c r="G1569" s="338" t="s">
        <v>3800</v>
      </c>
      <c r="H1569" s="338"/>
      <c r="I1569" s="329">
        <v>107.28143205788203</v>
      </c>
      <c r="J1569" s="329"/>
      <c r="K1569" s="338">
        <v>26.820358014470507</v>
      </c>
      <c r="L1569" s="338">
        <v>26.820358014470507</v>
      </c>
      <c r="M1569" s="338">
        <v>26.820358014470507</v>
      </c>
      <c r="N1569" s="338">
        <v>26.820358014470507</v>
      </c>
      <c r="O1569" s="338"/>
    </row>
    <row r="1570" spans="1:15" outlineLevel="1" collapsed="1" x14ac:dyDescent="0.35">
      <c r="A1570" s="432" t="s">
        <v>9919</v>
      </c>
      <c r="B1570" s="327"/>
      <c r="C1570" s="426"/>
      <c r="D1570" s="427"/>
      <c r="E1570" s="426"/>
      <c r="F1570" s="338"/>
      <c r="G1570" s="338"/>
      <c r="H1570" s="338"/>
      <c r="I1570" s="329">
        <f t="shared" ref="I1570:O1570" si="56">SUBTOTAL(9,I1526:I1569)</f>
        <v>5978.1185731992755</v>
      </c>
      <c r="J1570" s="329"/>
      <c r="K1570" s="338">
        <f t="shared" si="56"/>
        <v>1558.898502534548</v>
      </c>
      <c r="L1570" s="338">
        <f t="shared" si="56"/>
        <v>1473.0733568882424</v>
      </c>
      <c r="M1570" s="338">
        <f t="shared" si="56"/>
        <v>1473.0733568882424</v>
      </c>
      <c r="N1570" s="338">
        <f t="shared" si="56"/>
        <v>1473.0733568882424</v>
      </c>
      <c r="O1570" s="338">
        <f t="shared" si="56"/>
        <v>0</v>
      </c>
    </row>
    <row r="1571" spans="1:15" hidden="1" outlineLevel="2" x14ac:dyDescent="0.35">
      <c r="A1571" s="425" t="s">
        <v>223</v>
      </c>
      <c r="B1571" s="327">
        <v>43921</v>
      </c>
      <c r="C1571" s="426" t="s">
        <v>1092</v>
      </c>
      <c r="D1571" s="427" t="s">
        <v>1964</v>
      </c>
      <c r="E1571" s="426" t="s">
        <v>1962</v>
      </c>
      <c r="F1571" s="338">
        <v>1243.8599999999999</v>
      </c>
      <c r="G1571" s="338" t="s">
        <v>56</v>
      </c>
      <c r="H1571" s="338"/>
      <c r="I1571" s="329">
        <v>1243.8599999999999</v>
      </c>
      <c r="J1571" s="329"/>
      <c r="K1571" s="338">
        <f t="shared" ref="K1571:N1581" si="57">$I1571/4</f>
        <v>310.96499999999997</v>
      </c>
      <c r="L1571" s="338">
        <f t="shared" si="57"/>
        <v>310.96499999999997</v>
      </c>
      <c r="M1571" s="338">
        <f t="shared" si="57"/>
        <v>310.96499999999997</v>
      </c>
      <c r="N1571" s="338">
        <f t="shared" si="57"/>
        <v>310.96499999999997</v>
      </c>
      <c r="O1571" s="338"/>
    </row>
    <row r="1572" spans="1:15" hidden="1" outlineLevel="2" x14ac:dyDescent="0.35">
      <c r="A1572" s="425" t="s">
        <v>223</v>
      </c>
      <c r="B1572" s="327">
        <v>44012</v>
      </c>
      <c r="C1572" s="426" t="s">
        <v>1094</v>
      </c>
      <c r="D1572" s="427" t="s">
        <v>1965</v>
      </c>
      <c r="E1572" s="426" t="s">
        <v>1962</v>
      </c>
      <c r="F1572" s="338">
        <v>1243.8599999999999</v>
      </c>
      <c r="G1572" s="338" t="s">
        <v>56</v>
      </c>
      <c r="H1572" s="338"/>
      <c r="I1572" s="329">
        <v>1243.8599999999999</v>
      </c>
      <c r="J1572" s="329"/>
      <c r="K1572" s="338">
        <f t="shared" si="57"/>
        <v>310.96499999999997</v>
      </c>
      <c r="L1572" s="338">
        <f t="shared" si="57"/>
        <v>310.96499999999997</v>
      </c>
      <c r="M1572" s="338">
        <f t="shared" si="57"/>
        <v>310.96499999999997</v>
      </c>
      <c r="N1572" s="338">
        <f t="shared" si="57"/>
        <v>310.96499999999997</v>
      </c>
      <c r="O1572" s="338"/>
    </row>
    <row r="1573" spans="1:15" hidden="1" outlineLevel="2" x14ac:dyDescent="0.35">
      <c r="A1573" s="425" t="s">
        <v>223</v>
      </c>
      <c r="B1573" s="327">
        <v>43738</v>
      </c>
      <c r="C1573" s="426" t="s">
        <v>1087</v>
      </c>
      <c r="D1573" s="427" t="s">
        <v>1961</v>
      </c>
      <c r="E1573" s="426" t="s">
        <v>1962</v>
      </c>
      <c r="F1573" s="338">
        <v>3213.68</v>
      </c>
      <c r="G1573" s="338" t="s">
        <v>56</v>
      </c>
      <c r="H1573" s="338"/>
      <c r="I1573" s="329">
        <v>3213.68</v>
      </c>
      <c r="J1573" s="329"/>
      <c r="K1573" s="338">
        <f t="shared" si="57"/>
        <v>803.42</v>
      </c>
      <c r="L1573" s="338">
        <f t="shared" si="57"/>
        <v>803.42</v>
      </c>
      <c r="M1573" s="338">
        <f t="shared" si="57"/>
        <v>803.42</v>
      </c>
      <c r="N1573" s="338">
        <f t="shared" si="57"/>
        <v>803.42</v>
      </c>
      <c r="O1573" s="338"/>
    </row>
    <row r="1574" spans="1:15" hidden="1" outlineLevel="2" x14ac:dyDescent="0.35">
      <c r="A1574" s="425" t="s">
        <v>223</v>
      </c>
      <c r="B1574" s="327">
        <v>44104</v>
      </c>
      <c r="C1574" s="426" t="s">
        <v>1096</v>
      </c>
      <c r="D1574" s="427" t="s">
        <v>1549</v>
      </c>
      <c r="E1574" s="426" t="s">
        <v>1545</v>
      </c>
      <c r="F1574" s="338">
        <v>256.64</v>
      </c>
      <c r="G1574" s="338" t="s">
        <v>56</v>
      </c>
      <c r="H1574" s="338"/>
      <c r="I1574" s="329">
        <v>256.64</v>
      </c>
      <c r="J1574" s="329"/>
      <c r="K1574" s="338">
        <f t="shared" si="57"/>
        <v>64.16</v>
      </c>
      <c r="L1574" s="338">
        <f t="shared" si="57"/>
        <v>64.16</v>
      </c>
      <c r="M1574" s="338">
        <f t="shared" si="57"/>
        <v>64.16</v>
      </c>
      <c r="N1574" s="338">
        <f t="shared" si="57"/>
        <v>64.16</v>
      </c>
      <c r="O1574" s="338"/>
    </row>
    <row r="1575" spans="1:15" hidden="1" outlineLevel="2" x14ac:dyDescent="0.35">
      <c r="A1575" s="425" t="s">
        <v>223</v>
      </c>
      <c r="B1575" s="327">
        <v>43830</v>
      </c>
      <c r="C1575" s="426" t="s">
        <v>1090</v>
      </c>
      <c r="D1575" s="427" t="s">
        <v>1963</v>
      </c>
      <c r="E1575" s="426" t="s">
        <v>1962</v>
      </c>
      <c r="F1575" s="338">
        <v>3213.68</v>
      </c>
      <c r="G1575" s="338" t="s">
        <v>56</v>
      </c>
      <c r="H1575" s="338"/>
      <c r="I1575" s="329">
        <v>3213.68</v>
      </c>
      <c r="J1575" s="329"/>
      <c r="K1575" s="338">
        <f t="shared" si="57"/>
        <v>803.42</v>
      </c>
      <c r="L1575" s="338">
        <f t="shared" si="57"/>
        <v>803.42</v>
      </c>
      <c r="M1575" s="338">
        <f t="shared" si="57"/>
        <v>803.42</v>
      </c>
      <c r="N1575" s="338">
        <f t="shared" si="57"/>
        <v>803.42</v>
      </c>
      <c r="O1575" s="338"/>
    </row>
    <row r="1576" spans="1:15" hidden="1" outlineLevel="2" x14ac:dyDescent="0.35">
      <c r="A1576" s="425" t="s">
        <v>223</v>
      </c>
      <c r="B1576" s="327">
        <v>44469</v>
      </c>
      <c r="C1576" s="426" t="s">
        <v>9920</v>
      </c>
      <c r="D1576" s="427" t="s">
        <v>9921</v>
      </c>
      <c r="E1576" s="426" t="s">
        <v>1583</v>
      </c>
      <c r="F1576" s="338">
        <v>7705.72</v>
      </c>
      <c r="G1576" s="338" t="s">
        <v>56</v>
      </c>
      <c r="H1576" s="338"/>
      <c r="I1576" s="329">
        <v>7705.72</v>
      </c>
      <c r="J1576" s="329"/>
      <c r="K1576" s="338">
        <f t="shared" si="57"/>
        <v>1926.43</v>
      </c>
      <c r="L1576" s="338">
        <f t="shared" si="57"/>
        <v>1926.43</v>
      </c>
      <c r="M1576" s="338">
        <f t="shared" si="57"/>
        <v>1926.43</v>
      </c>
      <c r="N1576" s="338">
        <f t="shared" si="57"/>
        <v>1926.43</v>
      </c>
      <c r="O1576" s="338"/>
    </row>
    <row r="1577" spans="1:15" hidden="1" outlineLevel="2" x14ac:dyDescent="0.35">
      <c r="A1577" s="425" t="s">
        <v>223</v>
      </c>
      <c r="B1577" s="327">
        <v>44561</v>
      </c>
      <c r="C1577" s="426" t="s">
        <v>9922</v>
      </c>
      <c r="D1577" s="427" t="s">
        <v>9923</v>
      </c>
      <c r="E1577" s="426" t="s">
        <v>1602</v>
      </c>
      <c r="F1577" s="338">
        <v>3852.86</v>
      </c>
      <c r="G1577" s="338" t="s">
        <v>56</v>
      </c>
      <c r="H1577" s="338"/>
      <c r="I1577" s="329">
        <v>3852.86</v>
      </c>
      <c r="J1577" s="329"/>
      <c r="K1577" s="338">
        <f t="shared" si="57"/>
        <v>963.21500000000003</v>
      </c>
      <c r="L1577" s="338">
        <f t="shared" si="57"/>
        <v>963.21500000000003</v>
      </c>
      <c r="M1577" s="338">
        <f t="shared" si="57"/>
        <v>963.21500000000003</v>
      </c>
      <c r="N1577" s="338">
        <f t="shared" si="57"/>
        <v>963.21500000000003</v>
      </c>
      <c r="O1577" s="338"/>
    </row>
    <row r="1578" spans="1:15" hidden="1" outlineLevel="2" x14ac:dyDescent="0.35">
      <c r="A1578" s="425" t="s">
        <v>223</v>
      </c>
      <c r="B1578" s="327">
        <v>44561</v>
      </c>
      <c r="C1578" s="426" t="s">
        <v>9924</v>
      </c>
      <c r="D1578" s="427" t="s">
        <v>9925</v>
      </c>
      <c r="E1578" s="426" t="s">
        <v>1545</v>
      </c>
      <c r="F1578" s="338">
        <v>1105.31</v>
      </c>
      <c r="G1578" s="338" t="s">
        <v>56</v>
      </c>
      <c r="H1578" s="338"/>
      <c r="I1578" s="329">
        <v>1105.31</v>
      </c>
      <c r="J1578" s="329"/>
      <c r="K1578" s="338">
        <f t="shared" si="57"/>
        <v>276.32749999999999</v>
      </c>
      <c r="L1578" s="338">
        <f t="shared" si="57"/>
        <v>276.32749999999999</v>
      </c>
      <c r="M1578" s="338">
        <f t="shared" si="57"/>
        <v>276.32749999999999</v>
      </c>
      <c r="N1578" s="338">
        <f t="shared" si="57"/>
        <v>276.32749999999999</v>
      </c>
      <c r="O1578" s="338"/>
    </row>
    <row r="1579" spans="1:15" hidden="1" outlineLevel="2" x14ac:dyDescent="0.35">
      <c r="A1579" s="425" t="s">
        <v>223</v>
      </c>
      <c r="B1579" s="327">
        <v>44561</v>
      </c>
      <c r="C1579" s="426" t="s">
        <v>9926</v>
      </c>
      <c r="D1579" s="427" t="s">
        <v>9927</v>
      </c>
      <c r="E1579" s="426" t="s">
        <v>1602</v>
      </c>
      <c r="F1579" s="338">
        <v>1926.43</v>
      </c>
      <c r="G1579" s="338" t="s">
        <v>56</v>
      </c>
      <c r="H1579" s="338"/>
      <c r="I1579" s="329">
        <v>1926.43</v>
      </c>
      <c r="J1579" s="329"/>
      <c r="K1579" s="338">
        <f t="shared" si="57"/>
        <v>481.60750000000002</v>
      </c>
      <c r="L1579" s="338">
        <f t="shared" si="57"/>
        <v>481.60750000000002</v>
      </c>
      <c r="M1579" s="338">
        <f t="shared" si="57"/>
        <v>481.60750000000002</v>
      </c>
      <c r="N1579" s="338">
        <f t="shared" si="57"/>
        <v>481.60750000000002</v>
      </c>
      <c r="O1579" s="338"/>
    </row>
    <row r="1580" spans="1:15" hidden="1" outlineLevel="2" x14ac:dyDescent="0.35">
      <c r="A1580" s="425" t="s">
        <v>223</v>
      </c>
      <c r="B1580" s="327">
        <v>44561</v>
      </c>
      <c r="C1580" s="426" t="s">
        <v>9928</v>
      </c>
      <c r="D1580" s="427" t="s">
        <v>9929</v>
      </c>
      <c r="E1580" s="426" t="s">
        <v>1583</v>
      </c>
      <c r="F1580" s="338">
        <v>1926.43</v>
      </c>
      <c r="G1580" s="338" t="s">
        <v>56</v>
      </c>
      <c r="H1580" s="338"/>
      <c r="I1580" s="329">
        <v>1926.43</v>
      </c>
      <c r="J1580" s="329"/>
      <c r="K1580" s="338">
        <f t="shared" si="57"/>
        <v>481.60750000000002</v>
      </c>
      <c r="L1580" s="338">
        <f t="shared" si="57"/>
        <v>481.60750000000002</v>
      </c>
      <c r="M1580" s="338">
        <f t="shared" si="57"/>
        <v>481.60750000000002</v>
      </c>
      <c r="N1580" s="338">
        <f t="shared" si="57"/>
        <v>481.60750000000002</v>
      </c>
      <c r="O1580" s="338"/>
    </row>
    <row r="1581" spans="1:15" hidden="1" outlineLevel="2" x14ac:dyDescent="0.35">
      <c r="A1581" s="425" t="s">
        <v>223</v>
      </c>
      <c r="B1581" s="327">
        <v>44196</v>
      </c>
      <c r="C1581" s="426" t="s">
        <v>1099</v>
      </c>
      <c r="D1581" s="427" t="s">
        <v>1967</v>
      </c>
      <c r="E1581" s="426" t="s">
        <v>1962</v>
      </c>
      <c r="F1581" s="338">
        <v>517.9</v>
      </c>
      <c r="G1581" s="338" t="s">
        <v>56</v>
      </c>
      <c r="H1581" s="338"/>
      <c r="I1581" s="329">
        <v>517.9</v>
      </c>
      <c r="J1581" s="329"/>
      <c r="K1581" s="338">
        <f t="shared" si="57"/>
        <v>129.47499999999999</v>
      </c>
      <c r="L1581" s="338">
        <f t="shared" si="57"/>
        <v>129.47499999999999</v>
      </c>
      <c r="M1581" s="338">
        <f t="shared" si="57"/>
        <v>129.47499999999999</v>
      </c>
      <c r="N1581" s="338">
        <f t="shared" si="57"/>
        <v>129.47499999999999</v>
      </c>
      <c r="O1581" s="338"/>
    </row>
    <row r="1582" spans="1:15" outlineLevel="1" collapsed="1" x14ac:dyDescent="0.35">
      <c r="A1582" s="432" t="s">
        <v>1972</v>
      </c>
      <c r="B1582" s="327"/>
      <c r="C1582" s="426"/>
      <c r="D1582" s="427"/>
      <c r="E1582" s="426"/>
      <c r="F1582" s="338"/>
      <c r="G1582" s="338"/>
      <c r="H1582" s="338"/>
      <c r="I1582" s="329">
        <f t="shared" ref="I1582:O1582" si="58">SUBTOTAL(9,I1571:I1581)</f>
        <v>26206.370000000003</v>
      </c>
      <c r="J1582" s="329"/>
      <c r="K1582" s="338">
        <f t="shared" si="58"/>
        <v>6551.5925000000007</v>
      </c>
      <c r="L1582" s="338">
        <f t="shared" si="58"/>
        <v>6551.5925000000007</v>
      </c>
      <c r="M1582" s="338">
        <f t="shared" si="58"/>
        <v>6551.5925000000007</v>
      </c>
      <c r="N1582" s="338">
        <f t="shared" si="58"/>
        <v>6551.5925000000007</v>
      </c>
      <c r="O1582" s="338">
        <f t="shared" si="58"/>
        <v>0</v>
      </c>
    </row>
    <row r="1583" spans="1:15" hidden="1" outlineLevel="2" x14ac:dyDescent="0.35">
      <c r="A1583" s="425" t="s">
        <v>107</v>
      </c>
      <c r="B1583" s="327">
        <v>43880</v>
      </c>
      <c r="C1583" s="426" t="s">
        <v>9930</v>
      </c>
      <c r="D1583" s="427" t="s">
        <v>9931</v>
      </c>
      <c r="E1583" s="426" t="s">
        <v>5058</v>
      </c>
      <c r="F1583" s="338">
        <v>-161.76</v>
      </c>
      <c r="G1583" s="338" t="s">
        <v>56</v>
      </c>
      <c r="H1583" s="338"/>
      <c r="I1583" s="329">
        <v>-161.76</v>
      </c>
      <c r="J1583" s="329"/>
      <c r="K1583" s="338">
        <f t="shared" ref="K1583:N1595" si="59">$I1583/4</f>
        <v>-40.44</v>
      </c>
      <c r="L1583" s="338">
        <f t="shared" si="59"/>
        <v>-40.44</v>
      </c>
      <c r="M1583" s="338">
        <f t="shared" si="59"/>
        <v>-40.44</v>
      </c>
      <c r="N1583" s="338">
        <f t="shared" si="59"/>
        <v>-40.44</v>
      </c>
      <c r="O1583" s="338"/>
    </row>
    <row r="1584" spans="1:15" hidden="1" outlineLevel="2" x14ac:dyDescent="0.35">
      <c r="A1584" s="425" t="s">
        <v>107</v>
      </c>
      <c r="B1584" s="327">
        <v>44196</v>
      </c>
      <c r="C1584" s="426" t="s">
        <v>9932</v>
      </c>
      <c r="D1584" s="427" t="s">
        <v>9933</v>
      </c>
      <c r="E1584" s="426" t="s">
        <v>9934</v>
      </c>
      <c r="F1584" s="338">
        <v>1394.57</v>
      </c>
      <c r="G1584" s="338" t="s">
        <v>56</v>
      </c>
      <c r="H1584" s="338"/>
      <c r="I1584" s="329">
        <v>1394.57</v>
      </c>
      <c r="J1584" s="329"/>
      <c r="K1584" s="338">
        <f t="shared" si="59"/>
        <v>348.64249999999998</v>
      </c>
      <c r="L1584" s="338">
        <f t="shared" si="59"/>
        <v>348.64249999999998</v>
      </c>
      <c r="M1584" s="338">
        <f t="shared" si="59"/>
        <v>348.64249999999998</v>
      </c>
      <c r="N1584" s="338">
        <f t="shared" si="59"/>
        <v>348.64249999999998</v>
      </c>
      <c r="O1584" s="338"/>
    </row>
    <row r="1585" spans="1:15" hidden="1" outlineLevel="2" x14ac:dyDescent="0.35">
      <c r="A1585" s="425" t="s">
        <v>107</v>
      </c>
      <c r="B1585" s="327">
        <v>44196</v>
      </c>
      <c r="C1585" s="426" t="s">
        <v>9935</v>
      </c>
      <c r="D1585" s="427" t="s">
        <v>9936</v>
      </c>
      <c r="E1585" s="426" t="s">
        <v>9937</v>
      </c>
      <c r="F1585" s="338">
        <v>45.94</v>
      </c>
      <c r="G1585" s="338" t="s">
        <v>56</v>
      </c>
      <c r="H1585" s="338"/>
      <c r="I1585" s="329">
        <v>45.94</v>
      </c>
      <c r="J1585" s="329"/>
      <c r="K1585" s="338">
        <f t="shared" si="59"/>
        <v>11.484999999999999</v>
      </c>
      <c r="L1585" s="338">
        <f t="shared" si="59"/>
        <v>11.484999999999999</v>
      </c>
      <c r="M1585" s="338">
        <f t="shared" si="59"/>
        <v>11.484999999999999</v>
      </c>
      <c r="N1585" s="338">
        <f t="shared" si="59"/>
        <v>11.484999999999999</v>
      </c>
      <c r="O1585" s="338"/>
    </row>
    <row r="1586" spans="1:15" hidden="1" outlineLevel="2" x14ac:dyDescent="0.35">
      <c r="A1586" s="425" t="s">
        <v>107</v>
      </c>
      <c r="B1586" s="327">
        <v>44522</v>
      </c>
      <c r="C1586" s="426" t="s">
        <v>9938</v>
      </c>
      <c r="D1586" s="427" t="s">
        <v>9939</v>
      </c>
      <c r="E1586" s="426" t="s">
        <v>9940</v>
      </c>
      <c r="F1586" s="338">
        <v>4500</v>
      </c>
      <c r="G1586" s="338" t="s">
        <v>9941</v>
      </c>
      <c r="H1586" s="338"/>
      <c r="I1586" s="329">
        <f>+F1586/75.54</f>
        <v>59.571088165210483</v>
      </c>
      <c r="J1586" s="329"/>
      <c r="K1586" s="338">
        <f t="shared" si="59"/>
        <v>14.892772041302621</v>
      </c>
      <c r="L1586" s="338">
        <f t="shared" si="59"/>
        <v>14.892772041302621</v>
      </c>
      <c r="M1586" s="338">
        <f t="shared" si="59"/>
        <v>14.892772041302621</v>
      </c>
      <c r="N1586" s="338">
        <f t="shared" si="59"/>
        <v>14.892772041302621</v>
      </c>
      <c r="O1586" s="338"/>
    </row>
    <row r="1587" spans="1:15" hidden="1" outlineLevel="2" x14ac:dyDescent="0.35">
      <c r="A1587" s="425" t="s">
        <v>107</v>
      </c>
      <c r="B1587" s="327">
        <v>44494</v>
      </c>
      <c r="C1587" s="426" t="s">
        <v>9942</v>
      </c>
      <c r="D1587" s="427" t="s">
        <v>9943</v>
      </c>
      <c r="E1587" s="426" t="s">
        <v>798</v>
      </c>
      <c r="F1587" s="338">
        <v>923.79</v>
      </c>
      <c r="G1587" s="338" t="s">
        <v>56</v>
      </c>
      <c r="H1587" s="338"/>
      <c r="I1587" s="329">
        <v>923.79</v>
      </c>
      <c r="J1587" s="329"/>
      <c r="K1587" s="338">
        <f t="shared" si="59"/>
        <v>230.94749999999999</v>
      </c>
      <c r="L1587" s="338">
        <f t="shared" si="59"/>
        <v>230.94749999999999</v>
      </c>
      <c r="M1587" s="338">
        <f t="shared" si="59"/>
        <v>230.94749999999999</v>
      </c>
      <c r="N1587" s="338">
        <f t="shared" si="59"/>
        <v>230.94749999999999</v>
      </c>
      <c r="O1587" s="338"/>
    </row>
    <row r="1588" spans="1:15" hidden="1" outlineLevel="2" x14ac:dyDescent="0.35">
      <c r="A1588" s="425" t="s">
        <v>107</v>
      </c>
      <c r="B1588" s="327">
        <v>44518</v>
      </c>
      <c r="C1588" s="426" t="s">
        <v>9944</v>
      </c>
      <c r="D1588" s="427" t="s">
        <v>9943</v>
      </c>
      <c r="E1588" s="426" t="s">
        <v>798</v>
      </c>
      <c r="F1588" s="338">
        <v>860.89</v>
      </c>
      <c r="G1588" s="338" t="s">
        <v>56</v>
      </c>
      <c r="H1588" s="338"/>
      <c r="I1588" s="329">
        <v>860.89</v>
      </c>
      <c r="J1588" s="329"/>
      <c r="K1588" s="338">
        <f t="shared" si="59"/>
        <v>215.2225</v>
      </c>
      <c r="L1588" s="338">
        <f t="shared" si="59"/>
        <v>215.2225</v>
      </c>
      <c r="M1588" s="338">
        <f t="shared" si="59"/>
        <v>215.2225</v>
      </c>
      <c r="N1588" s="338">
        <f t="shared" si="59"/>
        <v>215.2225</v>
      </c>
      <c r="O1588" s="338"/>
    </row>
    <row r="1589" spans="1:15" hidden="1" outlineLevel="2" x14ac:dyDescent="0.35">
      <c r="A1589" s="425" t="s">
        <v>107</v>
      </c>
      <c r="B1589" s="327">
        <v>44530</v>
      </c>
      <c r="C1589" s="426" t="s">
        <v>9945</v>
      </c>
      <c r="D1589" s="427" t="s">
        <v>9946</v>
      </c>
      <c r="E1589" s="426" t="s">
        <v>798</v>
      </c>
      <c r="F1589" s="338">
        <v>-785.79</v>
      </c>
      <c r="G1589" s="338" t="s">
        <v>56</v>
      </c>
      <c r="H1589" s="338"/>
      <c r="I1589" s="329">
        <v>-785.79</v>
      </c>
      <c r="J1589" s="329"/>
      <c r="K1589" s="338">
        <f t="shared" si="59"/>
        <v>-196.44749999999999</v>
      </c>
      <c r="L1589" s="338">
        <f t="shared" si="59"/>
        <v>-196.44749999999999</v>
      </c>
      <c r="M1589" s="338">
        <f t="shared" si="59"/>
        <v>-196.44749999999999</v>
      </c>
      <c r="N1589" s="338">
        <f t="shared" si="59"/>
        <v>-196.44749999999999</v>
      </c>
      <c r="O1589" s="338"/>
    </row>
    <row r="1590" spans="1:15" hidden="1" outlineLevel="2" x14ac:dyDescent="0.35">
      <c r="A1590" s="425" t="s">
        <v>107</v>
      </c>
      <c r="B1590" s="327">
        <v>44524</v>
      </c>
      <c r="C1590" s="426" t="s">
        <v>9947</v>
      </c>
      <c r="D1590" s="427" t="s">
        <v>9948</v>
      </c>
      <c r="E1590" s="426" t="s">
        <v>9949</v>
      </c>
      <c r="F1590" s="338">
        <v>27.42</v>
      </c>
      <c r="G1590" s="338" t="s">
        <v>56</v>
      </c>
      <c r="H1590" s="338"/>
      <c r="I1590" s="329">
        <v>27.42</v>
      </c>
      <c r="J1590" s="329"/>
      <c r="K1590" s="338">
        <f t="shared" si="59"/>
        <v>6.8550000000000004</v>
      </c>
      <c r="L1590" s="338">
        <f t="shared" si="59"/>
        <v>6.8550000000000004</v>
      </c>
      <c r="M1590" s="338">
        <f t="shared" si="59"/>
        <v>6.8550000000000004</v>
      </c>
      <c r="N1590" s="338">
        <f t="shared" si="59"/>
        <v>6.8550000000000004</v>
      </c>
      <c r="O1590" s="338"/>
    </row>
    <row r="1591" spans="1:15" hidden="1" outlineLevel="2" x14ac:dyDescent="0.35">
      <c r="A1591" s="425" t="s">
        <v>107</v>
      </c>
      <c r="B1591" s="327">
        <v>44523</v>
      </c>
      <c r="C1591" s="426" t="s">
        <v>9950</v>
      </c>
      <c r="D1591" s="427" t="s">
        <v>9951</v>
      </c>
      <c r="E1591" s="426" t="s">
        <v>9949</v>
      </c>
      <c r="F1591" s="338">
        <v>44.49</v>
      </c>
      <c r="G1591" s="338" t="s">
        <v>56</v>
      </c>
      <c r="H1591" s="338"/>
      <c r="I1591" s="329">
        <v>44.49</v>
      </c>
      <c r="J1591" s="329"/>
      <c r="K1591" s="338">
        <f t="shared" si="59"/>
        <v>11.1225</v>
      </c>
      <c r="L1591" s="338">
        <f t="shared" si="59"/>
        <v>11.1225</v>
      </c>
      <c r="M1591" s="338">
        <f t="shared" si="59"/>
        <v>11.1225</v>
      </c>
      <c r="N1591" s="338">
        <f t="shared" si="59"/>
        <v>11.1225</v>
      </c>
      <c r="O1591" s="338"/>
    </row>
    <row r="1592" spans="1:15" hidden="1" outlineLevel="2" x14ac:dyDescent="0.35">
      <c r="A1592" s="425" t="s">
        <v>107</v>
      </c>
      <c r="B1592" s="327">
        <v>44527</v>
      </c>
      <c r="C1592" s="426" t="s">
        <v>9952</v>
      </c>
      <c r="D1592" s="427" t="s">
        <v>9953</v>
      </c>
      <c r="E1592" s="426" t="s">
        <v>9954</v>
      </c>
      <c r="F1592" s="338">
        <v>77.92</v>
      </c>
      <c r="G1592" s="338" t="s">
        <v>56</v>
      </c>
      <c r="H1592" s="338"/>
      <c r="I1592" s="329">
        <v>77.92</v>
      </c>
      <c r="J1592" s="329"/>
      <c r="K1592" s="338">
        <f t="shared" si="59"/>
        <v>19.48</v>
      </c>
      <c r="L1592" s="338">
        <f t="shared" si="59"/>
        <v>19.48</v>
      </c>
      <c r="M1592" s="338">
        <f t="shared" si="59"/>
        <v>19.48</v>
      </c>
      <c r="N1592" s="338">
        <f t="shared" si="59"/>
        <v>19.48</v>
      </c>
      <c r="O1592" s="338"/>
    </row>
    <row r="1593" spans="1:15" hidden="1" outlineLevel="2" x14ac:dyDescent="0.35">
      <c r="A1593" s="425" t="s">
        <v>107</v>
      </c>
      <c r="B1593" s="327">
        <v>44524</v>
      </c>
      <c r="C1593" s="426" t="s">
        <v>9955</v>
      </c>
      <c r="D1593" s="427" t="s">
        <v>9956</v>
      </c>
      <c r="E1593" s="426" t="s">
        <v>9957</v>
      </c>
      <c r="F1593" s="338">
        <v>135.77000000000001</v>
      </c>
      <c r="G1593" s="338" t="s">
        <v>56</v>
      </c>
      <c r="H1593" s="338"/>
      <c r="I1593" s="329">
        <v>135.77000000000001</v>
      </c>
      <c r="J1593" s="329"/>
      <c r="K1593" s="338">
        <f t="shared" si="59"/>
        <v>33.942500000000003</v>
      </c>
      <c r="L1593" s="338">
        <f t="shared" si="59"/>
        <v>33.942500000000003</v>
      </c>
      <c r="M1593" s="338">
        <f t="shared" si="59"/>
        <v>33.942500000000003</v>
      </c>
      <c r="N1593" s="338">
        <f t="shared" si="59"/>
        <v>33.942500000000003</v>
      </c>
      <c r="O1593" s="338"/>
    </row>
    <row r="1594" spans="1:15" hidden="1" outlineLevel="2" x14ac:dyDescent="0.35">
      <c r="A1594" s="425" t="s">
        <v>107</v>
      </c>
      <c r="B1594" s="327">
        <v>44526</v>
      </c>
      <c r="C1594" s="426" t="s">
        <v>9958</v>
      </c>
      <c r="D1594" s="427" t="s">
        <v>9959</v>
      </c>
      <c r="E1594" s="426" t="s">
        <v>9957</v>
      </c>
      <c r="F1594" s="338">
        <v>45.41</v>
      </c>
      <c r="G1594" s="338" t="s">
        <v>56</v>
      </c>
      <c r="H1594" s="338"/>
      <c r="I1594" s="329">
        <v>45.41</v>
      </c>
      <c r="J1594" s="329"/>
      <c r="K1594" s="338">
        <f t="shared" si="59"/>
        <v>11.352499999999999</v>
      </c>
      <c r="L1594" s="338">
        <f t="shared" si="59"/>
        <v>11.352499999999999</v>
      </c>
      <c r="M1594" s="338">
        <f t="shared" si="59"/>
        <v>11.352499999999999</v>
      </c>
      <c r="N1594" s="338">
        <f t="shared" si="59"/>
        <v>11.352499999999999</v>
      </c>
      <c r="O1594" s="338"/>
    </row>
    <row r="1595" spans="1:15" hidden="1" outlineLevel="2" x14ac:dyDescent="0.35">
      <c r="A1595" s="425" t="s">
        <v>107</v>
      </c>
      <c r="B1595" s="327">
        <v>44526</v>
      </c>
      <c r="C1595" s="426" t="s">
        <v>9960</v>
      </c>
      <c r="D1595" s="427" t="s">
        <v>9961</v>
      </c>
      <c r="E1595" s="426" t="s">
        <v>9962</v>
      </c>
      <c r="F1595" s="338">
        <v>38.39</v>
      </c>
      <c r="G1595" s="338" t="s">
        <v>56</v>
      </c>
      <c r="H1595" s="338"/>
      <c r="I1595" s="329">
        <v>38.39</v>
      </c>
      <c r="J1595" s="329"/>
      <c r="K1595" s="338">
        <f t="shared" si="59"/>
        <v>9.5975000000000001</v>
      </c>
      <c r="L1595" s="338">
        <f t="shared" si="59"/>
        <v>9.5975000000000001</v>
      </c>
      <c r="M1595" s="338">
        <f t="shared" si="59"/>
        <v>9.5975000000000001</v>
      </c>
      <c r="N1595" s="338">
        <f t="shared" si="59"/>
        <v>9.5975000000000001</v>
      </c>
      <c r="O1595" s="338"/>
    </row>
    <row r="1596" spans="1:15" outlineLevel="1" collapsed="1" x14ac:dyDescent="0.35">
      <c r="A1596" s="432" t="s">
        <v>2196</v>
      </c>
      <c r="B1596" s="327"/>
      <c r="C1596" s="426"/>
      <c r="D1596" s="427"/>
      <c r="E1596" s="426"/>
      <c r="F1596" s="338"/>
      <c r="G1596" s="338"/>
      <c r="H1596" s="338"/>
      <c r="I1596" s="329">
        <f t="shared" ref="I1596:O1596" si="60">SUBTOTAL(9,I1583:I1595)</f>
        <v>2706.6110881652098</v>
      </c>
      <c r="J1596" s="329"/>
      <c r="K1596" s="338">
        <f t="shared" si="60"/>
        <v>676.65277204130246</v>
      </c>
      <c r="L1596" s="338">
        <f t="shared" si="60"/>
        <v>676.65277204130246</v>
      </c>
      <c r="M1596" s="338">
        <f t="shared" si="60"/>
        <v>676.65277204130246</v>
      </c>
      <c r="N1596" s="338">
        <f t="shared" si="60"/>
        <v>676.65277204130246</v>
      </c>
      <c r="O1596" s="338">
        <f t="shared" si="60"/>
        <v>0</v>
      </c>
    </row>
    <row r="1597" spans="1:15" hidden="1" outlineLevel="2" x14ac:dyDescent="0.35">
      <c r="A1597" s="425" t="s">
        <v>7878</v>
      </c>
      <c r="B1597" s="327">
        <v>44531</v>
      </c>
      <c r="C1597" s="426" t="s">
        <v>9963</v>
      </c>
      <c r="D1597" s="427" t="s">
        <v>9964</v>
      </c>
      <c r="E1597" s="426" t="s">
        <v>9475</v>
      </c>
      <c r="F1597" s="338">
        <v>186180</v>
      </c>
      <c r="G1597" s="338" t="s">
        <v>3800</v>
      </c>
      <c r="H1597" s="338"/>
      <c r="I1597" s="329">
        <v>44.38590449008106</v>
      </c>
      <c r="J1597" s="329"/>
      <c r="K1597" s="338">
        <v>11.096476122520265</v>
      </c>
      <c r="L1597" s="338">
        <v>11.096476122520265</v>
      </c>
      <c r="M1597" s="338">
        <v>11.096476122520265</v>
      </c>
      <c r="N1597" s="338">
        <v>11.096476122520265</v>
      </c>
      <c r="O1597" s="338"/>
    </row>
    <row r="1598" spans="1:15" hidden="1" outlineLevel="2" x14ac:dyDescent="0.35">
      <c r="A1598" s="425" t="s">
        <v>7878</v>
      </c>
      <c r="B1598" s="327">
        <v>44120</v>
      </c>
      <c r="C1598" s="426" t="s">
        <v>8506</v>
      </c>
      <c r="D1598" s="427" t="s">
        <v>9965</v>
      </c>
      <c r="E1598" s="426" t="s">
        <v>8196</v>
      </c>
      <c r="F1598" s="338">
        <v>428750</v>
      </c>
      <c r="G1598" s="338" t="s">
        <v>3800</v>
      </c>
      <c r="H1598" s="338"/>
      <c r="I1598" s="329">
        <v>100.50679510123399</v>
      </c>
      <c r="J1598" s="329"/>
      <c r="K1598" s="338">
        <v>25.126698775308498</v>
      </c>
      <c r="L1598" s="338">
        <v>25.126698775308498</v>
      </c>
      <c r="M1598" s="338">
        <v>25.126698775308498</v>
      </c>
      <c r="N1598" s="338">
        <v>25.126698775308498</v>
      </c>
      <c r="O1598" s="338"/>
    </row>
    <row r="1599" spans="1:15" hidden="1" outlineLevel="2" x14ac:dyDescent="0.35">
      <c r="A1599" s="425" t="s">
        <v>7878</v>
      </c>
      <c r="B1599" s="327">
        <v>44561</v>
      </c>
      <c r="C1599" s="426" t="s">
        <v>9966</v>
      </c>
      <c r="D1599" s="427" t="s">
        <v>9967</v>
      </c>
      <c r="E1599" s="426" t="s">
        <v>8196</v>
      </c>
      <c r="F1599" s="338">
        <v>60000</v>
      </c>
      <c r="G1599" s="338" t="s">
        <v>3800</v>
      </c>
      <c r="H1599" s="338"/>
      <c r="I1599" s="329">
        <v>14.304190941050937</v>
      </c>
      <c r="J1599" s="329"/>
      <c r="K1599" s="338">
        <v>3.5760477352627342</v>
      </c>
      <c r="L1599" s="338">
        <v>3.5760477352627342</v>
      </c>
      <c r="M1599" s="338">
        <v>3.5760477352627342</v>
      </c>
      <c r="N1599" s="338">
        <v>3.5760477352627342</v>
      </c>
      <c r="O1599" s="338"/>
    </row>
    <row r="1600" spans="1:15" hidden="1" outlineLevel="2" x14ac:dyDescent="0.35">
      <c r="A1600" s="425" t="s">
        <v>7878</v>
      </c>
      <c r="B1600" s="327">
        <v>44529</v>
      </c>
      <c r="C1600" s="426" t="s">
        <v>9968</v>
      </c>
      <c r="D1600" s="427" t="s">
        <v>9969</v>
      </c>
      <c r="E1600" s="426" t="s">
        <v>9343</v>
      </c>
      <c r="F1600" s="338">
        <v>30000</v>
      </c>
      <c r="G1600" s="338" t="s">
        <v>3800</v>
      </c>
      <c r="H1600" s="338"/>
      <c r="I1600" s="329">
        <v>7.1520954705254685</v>
      </c>
      <c r="J1600" s="329"/>
      <c r="K1600" s="338">
        <v>1.7880238676313671</v>
      </c>
      <c r="L1600" s="338">
        <v>1.7880238676313671</v>
      </c>
      <c r="M1600" s="338">
        <v>1.7880238676313671</v>
      </c>
      <c r="N1600" s="338">
        <v>1.7880238676313671</v>
      </c>
      <c r="O1600" s="338"/>
    </row>
    <row r="1601" spans="1:15" hidden="1" outlineLevel="2" x14ac:dyDescent="0.35">
      <c r="A1601" s="425" t="s">
        <v>7878</v>
      </c>
      <c r="B1601" s="327">
        <v>44529</v>
      </c>
      <c r="C1601" s="426" t="s">
        <v>9970</v>
      </c>
      <c r="D1601" s="427" t="s">
        <v>9969</v>
      </c>
      <c r="E1601" s="426" t="s">
        <v>9971</v>
      </c>
      <c r="F1601" s="338">
        <v>25000</v>
      </c>
      <c r="G1601" s="338" t="s">
        <v>3800</v>
      </c>
      <c r="H1601" s="338"/>
      <c r="I1601" s="329">
        <v>5.9600795587712243</v>
      </c>
      <c r="J1601" s="329"/>
      <c r="K1601" s="338">
        <v>1.4900198896928061</v>
      </c>
      <c r="L1601" s="338">
        <v>1.4900198896928061</v>
      </c>
      <c r="M1601" s="338">
        <v>1.4900198896928061</v>
      </c>
      <c r="N1601" s="338">
        <v>1.4900198896928061</v>
      </c>
      <c r="O1601" s="338"/>
    </row>
    <row r="1602" spans="1:15" hidden="1" outlineLevel="2" x14ac:dyDescent="0.35">
      <c r="A1602" s="425" t="s">
        <v>7878</v>
      </c>
      <c r="B1602" s="327">
        <v>44541</v>
      </c>
      <c r="C1602" s="426" t="s">
        <v>9972</v>
      </c>
      <c r="D1602" s="427" t="s">
        <v>9973</v>
      </c>
      <c r="E1602" s="426" t="s">
        <v>8144</v>
      </c>
      <c r="F1602" s="338">
        <v>60000</v>
      </c>
      <c r="G1602" s="338" t="s">
        <v>3800</v>
      </c>
      <c r="H1602" s="338"/>
      <c r="I1602" s="329">
        <v>14.304190941050937</v>
      </c>
      <c r="J1602" s="329"/>
      <c r="K1602" s="338">
        <v>3.5760477352627342</v>
      </c>
      <c r="L1602" s="338">
        <v>3.5760477352627342</v>
      </c>
      <c r="M1602" s="338">
        <v>3.5760477352627342</v>
      </c>
      <c r="N1602" s="338">
        <v>3.5760477352627342</v>
      </c>
      <c r="O1602" s="338"/>
    </row>
    <row r="1603" spans="1:15" hidden="1" outlineLevel="2" x14ac:dyDescent="0.35">
      <c r="A1603" s="425" t="s">
        <v>7878</v>
      </c>
      <c r="B1603" s="327">
        <v>44522</v>
      </c>
      <c r="C1603" s="426" t="s">
        <v>9974</v>
      </c>
      <c r="D1603" s="427" t="s">
        <v>9975</v>
      </c>
      <c r="E1603" s="426" t="s">
        <v>8183</v>
      </c>
      <c r="F1603" s="338">
        <v>30000</v>
      </c>
      <c r="G1603" s="338" t="s">
        <v>3800</v>
      </c>
      <c r="H1603" s="338"/>
      <c r="I1603" s="329">
        <v>7.1520954705254685</v>
      </c>
      <c r="J1603" s="329"/>
      <c r="K1603" s="338">
        <v>1.7880238676313671</v>
      </c>
      <c r="L1603" s="338">
        <v>1.7880238676313671</v>
      </c>
      <c r="M1603" s="338">
        <v>1.7880238676313671</v>
      </c>
      <c r="N1603" s="338">
        <v>1.7880238676313671</v>
      </c>
      <c r="O1603" s="338"/>
    </row>
    <row r="1604" spans="1:15" hidden="1" outlineLevel="2" x14ac:dyDescent="0.35">
      <c r="A1604" s="425" t="s">
        <v>7878</v>
      </c>
      <c r="B1604" s="327" t="s">
        <v>7996</v>
      </c>
      <c r="C1604" s="426" t="s">
        <v>8130</v>
      </c>
      <c r="D1604" s="427" t="s">
        <v>9976</v>
      </c>
      <c r="E1604" s="426" t="s">
        <v>8021</v>
      </c>
      <c r="F1604" s="338">
        <v>3790490</v>
      </c>
      <c r="G1604" s="338" t="s">
        <v>3800</v>
      </c>
      <c r="H1604" s="338"/>
      <c r="I1604" s="329">
        <v>903.66487866906948</v>
      </c>
      <c r="J1604" s="329"/>
      <c r="K1604" s="338">
        <v>225.91621966726737</v>
      </c>
      <c r="L1604" s="338">
        <v>225.91621966726737</v>
      </c>
      <c r="M1604" s="338">
        <v>225.91621966726737</v>
      </c>
      <c r="N1604" s="338">
        <v>225.91621966726737</v>
      </c>
      <c r="O1604" s="338"/>
    </row>
    <row r="1605" spans="1:15" hidden="1" outlineLevel="2" x14ac:dyDescent="0.35">
      <c r="A1605" s="425" t="s">
        <v>7878</v>
      </c>
      <c r="B1605" s="327">
        <v>44147</v>
      </c>
      <c r="C1605" s="426" t="s">
        <v>9977</v>
      </c>
      <c r="D1605" s="427" t="s">
        <v>9978</v>
      </c>
      <c r="E1605" s="426" t="s">
        <v>8240</v>
      </c>
      <c r="F1605" s="338">
        <v>400000</v>
      </c>
      <c r="G1605" s="338" t="s">
        <v>3800</v>
      </c>
      <c r="H1605" s="338"/>
      <c r="I1605" s="329">
        <v>93.767272397652704</v>
      </c>
      <c r="J1605" s="329"/>
      <c r="K1605" s="338">
        <v>23.441818099413176</v>
      </c>
      <c r="L1605" s="338">
        <v>23.441818099413176</v>
      </c>
      <c r="M1605" s="338">
        <v>23.441818099413176</v>
      </c>
      <c r="N1605" s="338">
        <v>23.441818099413176</v>
      </c>
      <c r="O1605" s="338"/>
    </row>
    <row r="1606" spans="1:15" hidden="1" outlineLevel="2" x14ac:dyDescent="0.35">
      <c r="A1606" s="425" t="s">
        <v>7878</v>
      </c>
      <c r="B1606" s="327">
        <v>44147</v>
      </c>
      <c r="C1606" s="426" t="s">
        <v>9979</v>
      </c>
      <c r="D1606" s="427" t="s">
        <v>9978</v>
      </c>
      <c r="E1606" s="426" t="s">
        <v>6620</v>
      </c>
      <c r="F1606" s="338">
        <v>1620000</v>
      </c>
      <c r="G1606" s="338" t="s">
        <v>3800</v>
      </c>
      <c r="H1606" s="338"/>
      <c r="I1606" s="329">
        <v>379.75745321049345</v>
      </c>
      <c r="J1606" s="329"/>
      <c r="K1606" s="338">
        <v>94.939363302623363</v>
      </c>
      <c r="L1606" s="338">
        <v>94.939363302623363</v>
      </c>
      <c r="M1606" s="338">
        <v>94.939363302623363</v>
      </c>
      <c r="N1606" s="338">
        <v>94.939363302623363</v>
      </c>
      <c r="O1606" s="338"/>
    </row>
    <row r="1607" spans="1:15" hidden="1" outlineLevel="2" x14ac:dyDescent="0.35">
      <c r="A1607" s="425" t="s">
        <v>7878</v>
      </c>
      <c r="B1607" s="327">
        <v>44147</v>
      </c>
      <c r="C1607" s="426" t="s">
        <v>9980</v>
      </c>
      <c r="D1607" s="427" t="s">
        <v>9978</v>
      </c>
      <c r="E1607" s="426" t="s">
        <v>9981</v>
      </c>
      <c r="F1607" s="338">
        <v>175000</v>
      </c>
      <c r="G1607" s="338" t="s">
        <v>3800</v>
      </c>
      <c r="H1607" s="338"/>
      <c r="I1607" s="329">
        <v>41.023181673973056</v>
      </c>
      <c r="J1607" s="329"/>
      <c r="K1607" s="338">
        <v>10.255795418493264</v>
      </c>
      <c r="L1607" s="338">
        <v>10.255795418493264</v>
      </c>
      <c r="M1607" s="338">
        <v>10.255795418493264</v>
      </c>
      <c r="N1607" s="338">
        <v>10.255795418493264</v>
      </c>
      <c r="O1607" s="338"/>
    </row>
    <row r="1608" spans="1:15" hidden="1" outlineLevel="2" x14ac:dyDescent="0.35">
      <c r="A1608" s="425" t="s">
        <v>7878</v>
      </c>
      <c r="B1608" s="327">
        <v>44194</v>
      </c>
      <c r="C1608" s="426" t="s">
        <v>9898</v>
      </c>
      <c r="D1608" s="427" t="s">
        <v>9982</v>
      </c>
      <c r="E1608" s="426" t="s">
        <v>9983</v>
      </c>
      <c r="F1608" s="338">
        <v>90000</v>
      </c>
      <c r="G1608" s="338" t="s">
        <v>3800</v>
      </c>
      <c r="H1608" s="338"/>
      <c r="I1608" s="329">
        <v>21.097636289471858</v>
      </c>
      <c r="J1608" s="329"/>
      <c r="K1608" s="338">
        <v>5.2744090723679644</v>
      </c>
      <c r="L1608" s="338">
        <v>5.2744090723679644</v>
      </c>
      <c r="M1608" s="338">
        <v>5.2744090723679644</v>
      </c>
      <c r="N1608" s="338">
        <v>5.2744090723679644</v>
      </c>
      <c r="O1608" s="338"/>
    </row>
    <row r="1609" spans="1:15" hidden="1" outlineLevel="2" x14ac:dyDescent="0.35">
      <c r="A1609" s="425" t="s">
        <v>7878</v>
      </c>
      <c r="B1609" s="327">
        <v>44141</v>
      </c>
      <c r="C1609" s="426" t="s">
        <v>8009</v>
      </c>
      <c r="D1609" s="427" t="s">
        <v>9984</v>
      </c>
      <c r="E1609" s="426" t="s">
        <v>9985</v>
      </c>
      <c r="F1609" s="338">
        <v>3658735</v>
      </c>
      <c r="G1609" s="338" t="s">
        <v>3800</v>
      </c>
      <c r="H1609" s="338"/>
      <c r="I1609" s="329">
        <v>857.67400343956467</v>
      </c>
      <c r="J1609" s="329"/>
      <c r="K1609" s="338">
        <v>214.41850085989117</v>
      </c>
      <c r="L1609" s="338">
        <v>214.41850085989117</v>
      </c>
      <c r="M1609" s="338">
        <v>214.41850085989117</v>
      </c>
      <c r="N1609" s="338">
        <v>214.41850085989117</v>
      </c>
      <c r="O1609" s="338"/>
    </row>
    <row r="1610" spans="1:15" hidden="1" outlineLevel="2" x14ac:dyDescent="0.35">
      <c r="A1610" s="425" t="s">
        <v>7878</v>
      </c>
      <c r="B1610" s="327" t="s">
        <v>7996</v>
      </c>
      <c r="C1610" s="426" t="s">
        <v>9840</v>
      </c>
      <c r="D1610" s="427" t="s">
        <v>9986</v>
      </c>
      <c r="E1610" s="426" t="s">
        <v>8021</v>
      </c>
      <c r="F1610" s="338">
        <v>6133702</v>
      </c>
      <c r="G1610" s="338" t="s">
        <v>3800</v>
      </c>
      <c r="H1610" s="338"/>
      <c r="I1610" s="329">
        <v>1462.294076391767</v>
      </c>
      <c r="J1610" s="329"/>
      <c r="K1610" s="338">
        <v>365.57351909794176</v>
      </c>
      <c r="L1610" s="338">
        <v>365.57351909794176</v>
      </c>
      <c r="M1610" s="338">
        <v>365.57351909794176</v>
      </c>
      <c r="N1610" s="338">
        <v>365.57351909794176</v>
      </c>
      <c r="O1610" s="338"/>
    </row>
    <row r="1611" spans="1:15" hidden="1" outlineLevel="2" x14ac:dyDescent="0.35">
      <c r="A1611" s="425" t="s">
        <v>7878</v>
      </c>
      <c r="B1611" s="327">
        <v>44550</v>
      </c>
      <c r="C1611" s="426" t="s">
        <v>9987</v>
      </c>
      <c r="D1611" s="427" t="s">
        <v>9988</v>
      </c>
      <c r="E1611" s="426" t="s">
        <v>8191</v>
      </c>
      <c r="F1611" s="338">
        <v>780000</v>
      </c>
      <c r="G1611" s="338" t="s">
        <v>3800</v>
      </c>
      <c r="H1611" s="338"/>
      <c r="I1611" s="329">
        <v>185.95448223366219</v>
      </c>
      <c r="J1611" s="329"/>
      <c r="K1611" s="338">
        <v>46.488620558415548</v>
      </c>
      <c r="L1611" s="338">
        <v>46.488620558415548</v>
      </c>
      <c r="M1611" s="338">
        <v>46.488620558415548</v>
      </c>
      <c r="N1611" s="338">
        <v>46.488620558415548</v>
      </c>
      <c r="O1611" s="338"/>
    </row>
    <row r="1612" spans="1:15" hidden="1" outlineLevel="2" x14ac:dyDescent="0.35">
      <c r="A1612" s="425" t="s">
        <v>7878</v>
      </c>
      <c r="B1612" s="327">
        <v>44529</v>
      </c>
      <c r="C1612" s="426" t="s">
        <v>9968</v>
      </c>
      <c r="D1612" s="427" t="s">
        <v>9989</v>
      </c>
      <c r="E1612" s="426" t="s">
        <v>9343</v>
      </c>
      <c r="F1612" s="338">
        <v>600000</v>
      </c>
      <c r="G1612" s="338" t="s">
        <v>3800</v>
      </c>
      <c r="H1612" s="338"/>
      <c r="I1612" s="329">
        <v>143.04190941050936</v>
      </c>
      <c r="J1612" s="329"/>
      <c r="K1612" s="338">
        <v>35.760477352627341</v>
      </c>
      <c r="L1612" s="338">
        <v>35.760477352627341</v>
      </c>
      <c r="M1612" s="338">
        <v>35.760477352627341</v>
      </c>
      <c r="N1612" s="338">
        <v>35.760477352627341</v>
      </c>
      <c r="O1612" s="338"/>
    </row>
    <row r="1613" spans="1:15" hidden="1" outlineLevel="2" x14ac:dyDescent="0.35">
      <c r="A1613" s="425" t="s">
        <v>7878</v>
      </c>
      <c r="B1613" s="327">
        <v>44529</v>
      </c>
      <c r="C1613" s="426" t="s">
        <v>9970</v>
      </c>
      <c r="D1613" s="427" t="s">
        <v>9989</v>
      </c>
      <c r="E1613" s="426" t="s">
        <v>9971</v>
      </c>
      <c r="F1613" s="338">
        <v>480000</v>
      </c>
      <c r="G1613" s="338" t="s">
        <v>3800</v>
      </c>
      <c r="H1613" s="338"/>
      <c r="I1613" s="329">
        <v>114.4335275284075</v>
      </c>
      <c r="J1613" s="329"/>
      <c r="K1613" s="338">
        <v>28.608381882101874</v>
      </c>
      <c r="L1613" s="338">
        <v>28.608381882101874</v>
      </c>
      <c r="M1613" s="338">
        <v>28.608381882101874</v>
      </c>
      <c r="N1613" s="338">
        <v>28.608381882101874</v>
      </c>
      <c r="O1613" s="338"/>
    </row>
    <row r="1614" spans="1:15" hidden="1" outlineLevel="2" x14ac:dyDescent="0.35">
      <c r="A1614" s="425" t="s">
        <v>7878</v>
      </c>
      <c r="B1614" s="327">
        <v>44522</v>
      </c>
      <c r="C1614" s="426" t="s">
        <v>9990</v>
      </c>
      <c r="D1614" s="427" t="s">
        <v>9991</v>
      </c>
      <c r="E1614" s="426" t="s">
        <v>8183</v>
      </c>
      <c r="F1614" s="338">
        <v>600000</v>
      </c>
      <c r="G1614" s="338" t="s">
        <v>3800</v>
      </c>
      <c r="H1614" s="338"/>
      <c r="I1614" s="329">
        <v>143.04190941050936</v>
      </c>
      <c r="J1614" s="329"/>
      <c r="K1614" s="338">
        <v>35.760477352627341</v>
      </c>
      <c r="L1614" s="338">
        <v>35.760477352627341</v>
      </c>
      <c r="M1614" s="338">
        <v>35.760477352627341</v>
      </c>
      <c r="N1614" s="338">
        <v>35.760477352627341</v>
      </c>
      <c r="O1614" s="338"/>
    </row>
    <row r="1615" spans="1:15" hidden="1" outlineLevel="2" x14ac:dyDescent="0.35">
      <c r="A1615" s="425" t="s">
        <v>7878</v>
      </c>
      <c r="B1615" s="327" t="s">
        <v>7996</v>
      </c>
      <c r="C1615" s="426" t="s">
        <v>9992</v>
      </c>
      <c r="D1615" s="427" t="s">
        <v>9993</v>
      </c>
      <c r="E1615" s="426" t="s">
        <v>8021</v>
      </c>
      <c r="F1615" s="338">
        <v>3101310</v>
      </c>
      <c r="G1615" s="338" t="s">
        <v>3800</v>
      </c>
      <c r="H1615" s="338"/>
      <c r="I1615" s="329">
        <v>739.36217345651141</v>
      </c>
      <c r="J1615" s="329"/>
      <c r="K1615" s="338">
        <v>184.84054336412785</v>
      </c>
      <c r="L1615" s="338">
        <v>184.84054336412785</v>
      </c>
      <c r="M1615" s="338">
        <v>184.84054336412785</v>
      </c>
      <c r="N1615" s="338">
        <v>184.84054336412785</v>
      </c>
      <c r="O1615" s="338"/>
    </row>
    <row r="1616" spans="1:15" hidden="1" outlineLevel="2" x14ac:dyDescent="0.35">
      <c r="A1616" s="425" t="s">
        <v>7878</v>
      </c>
      <c r="B1616" s="327" t="s">
        <v>7996</v>
      </c>
      <c r="C1616" s="426" t="s">
        <v>9846</v>
      </c>
      <c r="D1616" s="427" t="s">
        <v>9994</v>
      </c>
      <c r="E1616" s="426" t="s">
        <v>8021</v>
      </c>
      <c r="F1616" s="338">
        <v>839178</v>
      </c>
      <c r="G1616" s="338" t="s">
        <v>3800</v>
      </c>
      <c r="H1616" s="338"/>
      <c r="I1616" s="329">
        <v>200.06270575882073</v>
      </c>
      <c r="J1616" s="329"/>
      <c r="K1616" s="338">
        <v>50.015676439705182</v>
      </c>
      <c r="L1616" s="338">
        <v>50.015676439705182</v>
      </c>
      <c r="M1616" s="338">
        <v>50.015676439705182</v>
      </c>
      <c r="N1616" s="338">
        <v>50.015676439705182</v>
      </c>
      <c r="O1616" s="338"/>
    </row>
    <row r="1617" spans="1:15" hidden="1" outlineLevel="2" x14ac:dyDescent="0.35">
      <c r="A1617" s="425" t="s">
        <v>7878</v>
      </c>
      <c r="B1617" s="327">
        <v>44560</v>
      </c>
      <c r="C1617" s="426" t="s">
        <v>9995</v>
      </c>
      <c r="D1617" s="427" t="s">
        <v>9996</v>
      </c>
      <c r="E1617" s="426" t="s">
        <v>9997</v>
      </c>
      <c r="F1617" s="338">
        <v>780000</v>
      </c>
      <c r="G1617" s="338" t="s">
        <v>3800</v>
      </c>
      <c r="H1617" s="338"/>
      <c r="I1617" s="329">
        <v>185.95448223366219</v>
      </c>
      <c r="J1617" s="329"/>
      <c r="K1617" s="338">
        <v>46.488620558415548</v>
      </c>
      <c r="L1617" s="338">
        <v>46.488620558415548</v>
      </c>
      <c r="M1617" s="338">
        <v>46.488620558415548</v>
      </c>
      <c r="N1617" s="338">
        <v>46.488620558415548</v>
      </c>
      <c r="O1617" s="338"/>
    </row>
    <row r="1618" spans="1:15" hidden="1" outlineLevel="2" x14ac:dyDescent="0.35">
      <c r="A1618" s="425" t="s">
        <v>7878</v>
      </c>
      <c r="B1618" s="327" t="s">
        <v>7996</v>
      </c>
      <c r="C1618" s="426" t="s">
        <v>9851</v>
      </c>
      <c r="D1618" s="427" t="s">
        <v>9998</v>
      </c>
      <c r="E1618" s="426" t="s">
        <v>8021</v>
      </c>
      <c r="F1618" s="338">
        <v>3466170</v>
      </c>
      <c r="G1618" s="338" t="s">
        <v>3800</v>
      </c>
      <c r="H1618" s="338"/>
      <c r="I1618" s="329">
        <v>826.34595856904207</v>
      </c>
      <c r="J1618" s="329"/>
      <c r="K1618" s="338">
        <v>206.58648964226052</v>
      </c>
      <c r="L1618" s="338">
        <v>206.58648964226052</v>
      </c>
      <c r="M1618" s="338">
        <v>206.58648964226052</v>
      </c>
      <c r="N1618" s="338">
        <v>206.58648964226052</v>
      </c>
      <c r="O1618" s="338"/>
    </row>
    <row r="1619" spans="1:15" outlineLevel="1" collapsed="1" x14ac:dyDescent="0.35">
      <c r="A1619" s="432" t="s">
        <v>9999</v>
      </c>
      <c r="B1619" s="327"/>
      <c r="C1619" s="426"/>
      <c r="D1619" s="427"/>
      <c r="E1619" s="426"/>
      <c r="F1619" s="338"/>
      <c r="G1619" s="338"/>
      <c r="H1619" s="338"/>
      <c r="I1619" s="329">
        <f t="shared" ref="I1619:O1619" si="61">SUBTOTAL(9,I1597:I1618)</f>
        <v>6491.2410026463549</v>
      </c>
      <c r="J1619" s="329"/>
      <c r="K1619" s="338">
        <f t="shared" si="61"/>
        <v>1622.8102506615887</v>
      </c>
      <c r="L1619" s="338">
        <f t="shared" si="61"/>
        <v>1622.8102506615887</v>
      </c>
      <c r="M1619" s="338">
        <f t="shared" si="61"/>
        <v>1622.8102506615887</v>
      </c>
      <c r="N1619" s="338">
        <f t="shared" si="61"/>
        <v>1622.8102506615887</v>
      </c>
      <c r="O1619" s="338">
        <f t="shared" si="61"/>
        <v>0</v>
      </c>
    </row>
    <row r="1620" spans="1:15" hidden="1" outlineLevel="2" x14ac:dyDescent="0.35">
      <c r="A1620" s="425" t="s">
        <v>7845</v>
      </c>
      <c r="B1620" s="327">
        <v>44320</v>
      </c>
      <c r="C1620" s="328" t="s">
        <v>10000</v>
      </c>
      <c r="D1620" s="427" t="s">
        <v>10001</v>
      </c>
      <c r="E1620" s="426" t="s">
        <v>10002</v>
      </c>
      <c r="F1620" s="338">
        <v>34000000</v>
      </c>
      <c r="G1620" s="338" t="s">
        <v>3800</v>
      </c>
      <c r="H1620" s="338"/>
      <c r="I1620" s="329">
        <v>8105.7081999288648</v>
      </c>
      <c r="J1620" s="329"/>
      <c r="K1620" s="338">
        <v>2026.4270499822162</v>
      </c>
      <c r="L1620" s="338">
        <v>2026.4270499822162</v>
      </c>
      <c r="M1620" s="338">
        <v>2026.4270499822162</v>
      </c>
      <c r="N1620" s="338">
        <v>2026.4270499822162</v>
      </c>
      <c r="O1620" s="338"/>
    </row>
    <row r="1621" spans="1:15" outlineLevel="1" collapsed="1" x14ac:dyDescent="0.35">
      <c r="A1621" s="432" t="s">
        <v>10003</v>
      </c>
      <c r="B1621" s="327"/>
      <c r="C1621" s="328"/>
      <c r="D1621" s="427"/>
      <c r="E1621" s="426"/>
      <c r="F1621" s="338"/>
      <c r="G1621" s="338"/>
      <c r="H1621" s="338"/>
      <c r="I1621" s="329">
        <f t="shared" ref="I1621:O1621" si="62">SUBTOTAL(9,I1620:I1620)</f>
        <v>8105.7081999288648</v>
      </c>
      <c r="J1621" s="329"/>
      <c r="K1621" s="338">
        <f t="shared" si="62"/>
        <v>2026.4270499822162</v>
      </c>
      <c r="L1621" s="338">
        <f t="shared" si="62"/>
        <v>2026.4270499822162</v>
      </c>
      <c r="M1621" s="338">
        <f t="shared" si="62"/>
        <v>2026.4270499822162</v>
      </c>
      <c r="N1621" s="338">
        <f t="shared" si="62"/>
        <v>2026.4270499822162</v>
      </c>
      <c r="O1621" s="338">
        <f t="shared" si="62"/>
        <v>0</v>
      </c>
    </row>
    <row r="1622" spans="1:15" hidden="1" outlineLevel="2" x14ac:dyDescent="0.35">
      <c r="A1622" s="425" t="s">
        <v>7840</v>
      </c>
      <c r="B1622" s="327">
        <v>44439</v>
      </c>
      <c r="C1622" s="426" t="s">
        <v>10004</v>
      </c>
      <c r="D1622" s="427" t="s">
        <v>10005</v>
      </c>
      <c r="E1622" s="426" t="s">
        <v>10006</v>
      </c>
      <c r="F1622" s="338">
        <v>3854000</v>
      </c>
      <c r="G1622" s="338" t="s">
        <v>3800</v>
      </c>
      <c r="H1622" s="338"/>
      <c r="I1622" s="329">
        <v>918.80586478017187</v>
      </c>
      <c r="J1622" s="329"/>
      <c r="K1622" s="338">
        <v>229.70146619504297</v>
      </c>
      <c r="L1622" s="338">
        <v>229.70146619504297</v>
      </c>
      <c r="M1622" s="338">
        <v>229.70146619504297</v>
      </c>
      <c r="N1622" s="338">
        <v>229.70146619504297</v>
      </c>
      <c r="O1622" s="338"/>
    </row>
    <row r="1623" spans="1:15" hidden="1" outlineLevel="2" x14ac:dyDescent="0.35">
      <c r="A1623" s="425" t="s">
        <v>7840</v>
      </c>
      <c r="B1623" s="327">
        <v>44069</v>
      </c>
      <c r="C1623" s="426" t="s">
        <v>10007</v>
      </c>
      <c r="D1623" s="427" t="s">
        <v>10008</v>
      </c>
      <c r="E1623" s="426" t="s">
        <v>10009</v>
      </c>
      <c r="F1623" s="338">
        <v>4100000</v>
      </c>
      <c r="G1623" s="338" t="s">
        <v>3800</v>
      </c>
      <c r="H1623" s="338"/>
      <c r="I1623" s="329">
        <v>961.11454207594022</v>
      </c>
      <c r="J1623" s="329"/>
      <c r="K1623" s="338">
        <v>240.27863551898506</v>
      </c>
      <c r="L1623" s="338">
        <v>240.27863551898506</v>
      </c>
      <c r="M1623" s="338">
        <v>240.27863551898506</v>
      </c>
      <c r="N1623" s="338">
        <v>240.27863551898506</v>
      </c>
      <c r="O1623" s="338"/>
    </row>
    <row r="1624" spans="1:15" hidden="1" outlineLevel="2" x14ac:dyDescent="0.35">
      <c r="A1624" s="425" t="s">
        <v>7840</v>
      </c>
      <c r="B1624" s="327">
        <v>44072</v>
      </c>
      <c r="C1624" s="426" t="s">
        <v>10010</v>
      </c>
      <c r="D1624" s="427" t="s">
        <v>10011</v>
      </c>
      <c r="E1624" s="426" t="s">
        <v>10009</v>
      </c>
      <c r="F1624" s="338">
        <v>4100000</v>
      </c>
      <c r="G1624" s="338" t="s">
        <v>3800</v>
      </c>
      <c r="H1624" s="338"/>
      <c r="I1624" s="329">
        <v>961.11454207594022</v>
      </c>
      <c r="J1624" s="329"/>
      <c r="K1624" s="338">
        <v>240.27863551898506</v>
      </c>
      <c r="L1624" s="338">
        <v>240.27863551898506</v>
      </c>
      <c r="M1624" s="338">
        <v>240.27863551898506</v>
      </c>
      <c r="N1624" s="338">
        <v>240.27863551898506</v>
      </c>
      <c r="O1624" s="338"/>
    </row>
    <row r="1625" spans="1:15" hidden="1" outlineLevel="2" x14ac:dyDescent="0.35">
      <c r="A1625" s="425" t="s">
        <v>7840</v>
      </c>
      <c r="B1625" s="327">
        <v>44069</v>
      </c>
      <c r="C1625" s="426" t="s">
        <v>10012</v>
      </c>
      <c r="D1625" s="427" t="s">
        <v>10013</v>
      </c>
      <c r="E1625" s="426" t="s">
        <v>10009</v>
      </c>
      <c r="F1625" s="338">
        <v>4100000</v>
      </c>
      <c r="G1625" s="338" t="s">
        <v>3800</v>
      </c>
      <c r="H1625" s="338"/>
      <c r="I1625" s="329">
        <v>961.11454207594022</v>
      </c>
      <c r="J1625" s="329"/>
      <c r="K1625" s="338">
        <v>240.27863551898506</v>
      </c>
      <c r="L1625" s="338">
        <v>240.27863551898506</v>
      </c>
      <c r="M1625" s="338">
        <v>240.27863551898506</v>
      </c>
      <c r="N1625" s="338">
        <v>240.27863551898506</v>
      </c>
      <c r="O1625" s="338"/>
    </row>
    <row r="1626" spans="1:15" hidden="1" outlineLevel="2" x14ac:dyDescent="0.35">
      <c r="A1626" s="425" t="s">
        <v>7840</v>
      </c>
      <c r="B1626" s="327">
        <v>44439</v>
      </c>
      <c r="C1626" s="426" t="s">
        <v>8148</v>
      </c>
      <c r="D1626" s="427" t="s">
        <v>10014</v>
      </c>
      <c r="E1626" s="426" t="s">
        <v>10015</v>
      </c>
      <c r="F1626" s="338">
        <v>246000</v>
      </c>
      <c r="G1626" s="338" t="s">
        <v>3800</v>
      </c>
      <c r="H1626" s="338"/>
      <c r="I1626" s="329">
        <v>58.647182858308845</v>
      </c>
      <c r="J1626" s="329"/>
      <c r="K1626" s="338">
        <v>14.661795714577211</v>
      </c>
      <c r="L1626" s="338">
        <v>14.661795714577211</v>
      </c>
      <c r="M1626" s="338">
        <v>14.661795714577211</v>
      </c>
      <c r="N1626" s="338">
        <v>14.661795714577211</v>
      </c>
      <c r="O1626" s="338"/>
    </row>
    <row r="1627" spans="1:15" outlineLevel="1" collapsed="1" x14ac:dyDescent="0.35">
      <c r="A1627" s="432" t="s">
        <v>10016</v>
      </c>
      <c r="B1627" s="327"/>
      <c r="C1627" s="426"/>
      <c r="D1627" s="427"/>
      <c r="E1627" s="426"/>
      <c r="F1627" s="338"/>
      <c r="G1627" s="338"/>
      <c r="H1627" s="338"/>
      <c r="I1627" s="329">
        <f t="shared" ref="I1627:O1627" si="63">SUBTOTAL(9,I1622:I1626)</f>
        <v>3860.7966738663017</v>
      </c>
      <c r="J1627" s="329"/>
      <c r="K1627" s="338">
        <f t="shared" si="63"/>
        <v>965.19916846657543</v>
      </c>
      <c r="L1627" s="338">
        <f t="shared" si="63"/>
        <v>965.19916846657543</v>
      </c>
      <c r="M1627" s="338">
        <f t="shared" si="63"/>
        <v>965.19916846657543</v>
      </c>
      <c r="N1627" s="338">
        <f t="shared" si="63"/>
        <v>965.19916846657543</v>
      </c>
      <c r="O1627" s="338">
        <f t="shared" si="63"/>
        <v>0</v>
      </c>
    </row>
    <row r="1628" spans="1:15" hidden="1" outlineLevel="2" x14ac:dyDescent="0.35">
      <c r="A1628" s="425" t="s">
        <v>7828</v>
      </c>
      <c r="B1628" s="327">
        <v>44526</v>
      </c>
      <c r="C1628" s="328" t="s">
        <v>10017</v>
      </c>
      <c r="D1628" s="427" t="s">
        <v>10018</v>
      </c>
      <c r="E1628" s="426" t="s">
        <v>10019</v>
      </c>
      <c r="F1628" s="338">
        <v>5790000</v>
      </c>
      <c r="G1628" s="338" t="s">
        <v>3800</v>
      </c>
      <c r="H1628" s="338"/>
      <c r="I1628" s="329">
        <v>1380.3544258114155</v>
      </c>
      <c r="J1628" s="329"/>
      <c r="K1628" s="338">
        <v>345.08860645285387</v>
      </c>
      <c r="L1628" s="338">
        <v>345.08860645285387</v>
      </c>
      <c r="M1628" s="338">
        <v>345.08860645285387</v>
      </c>
      <c r="N1628" s="338">
        <v>345.08860645285387</v>
      </c>
      <c r="O1628" s="338"/>
    </row>
    <row r="1629" spans="1:15" hidden="1" outlineLevel="2" x14ac:dyDescent="0.35">
      <c r="A1629" s="425" t="s">
        <v>7828</v>
      </c>
      <c r="B1629" s="327">
        <v>44145</v>
      </c>
      <c r="C1629" s="328" t="s">
        <v>10020</v>
      </c>
      <c r="D1629" s="427" t="s">
        <v>10021</v>
      </c>
      <c r="E1629" s="426" t="s">
        <v>10022</v>
      </c>
      <c r="F1629" s="338">
        <v>2491000</v>
      </c>
      <c r="G1629" s="338" t="s">
        <v>3800</v>
      </c>
      <c r="H1629" s="338"/>
      <c r="I1629" s="329">
        <v>583.93568885638217</v>
      </c>
      <c r="J1629" s="329"/>
      <c r="K1629" s="338">
        <v>145.98392221409554</v>
      </c>
      <c r="L1629" s="338">
        <v>145.98392221409554</v>
      </c>
      <c r="M1629" s="338">
        <v>145.98392221409554</v>
      </c>
      <c r="N1629" s="338">
        <v>145.98392221409554</v>
      </c>
      <c r="O1629" s="338"/>
    </row>
    <row r="1630" spans="1:15" hidden="1" outlineLevel="2" x14ac:dyDescent="0.35">
      <c r="A1630" s="425" t="s">
        <v>7828</v>
      </c>
      <c r="B1630" s="327">
        <v>44147</v>
      </c>
      <c r="C1630" s="328" t="s">
        <v>10023</v>
      </c>
      <c r="D1630" s="427" t="s">
        <v>10024</v>
      </c>
      <c r="E1630" s="426" t="s">
        <v>10025</v>
      </c>
      <c r="F1630" s="338">
        <v>180000</v>
      </c>
      <c r="G1630" s="338" t="s">
        <v>3800</v>
      </c>
      <c r="H1630" s="338"/>
      <c r="I1630" s="329">
        <v>42.195272578943715</v>
      </c>
      <c r="J1630" s="329"/>
      <c r="K1630" s="338">
        <v>10.548818144735929</v>
      </c>
      <c r="L1630" s="338">
        <v>10.548818144735929</v>
      </c>
      <c r="M1630" s="338">
        <v>10.548818144735929</v>
      </c>
      <c r="N1630" s="338">
        <v>10.548818144735929</v>
      </c>
      <c r="O1630" s="338"/>
    </row>
    <row r="1631" spans="1:15" hidden="1" outlineLevel="2" x14ac:dyDescent="0.35">
      <c r="A1631" s="425" t="s">
        <v>7828</v>
      </c>
      <c r="B1631" s="327">
        <v>44145</v>
      </c>
      <c r="C1631" s="328" t="s">
        <v>10026</v>
      </c>
      <c r="D1631" s="427" t="s">
        <v>10027</v>
      </c>
      <c r="E1631" s="426" t="s">
        <v>10028</v>
      </c>
      <c r="F1631" s="338">
        <v>159000</v>
      </c>
      <c r="G1631" s="338" t="s">
        <v>3800</v>
      </c>
      <c r="H1631" s="338"/>
      <c r="I1631" s="329">
        <v>37.272490778066953</v>
      </c>
      <c r="J1631" s="329"/>
      <c r="K1631" s="338">
        <v>9.3181226945167381</v>
      </c>
      <c r="L1631" s="338">
        <v>9.3181226945167381</v>
      </c>
      <c r="M1631" s="338">
        <v>9.3181226945167381</v>
      </c>
      <c r="N1631" s="338">
        <v>9.3181226945167381</v>
      </c>
      <c r="O1631" s="338"/>
    </row>
    <row r="1632" spans="1:15" outlineLevel="1" collapsed="1" x14ac:dyDescent="0.35">
      <c r="A1632" s="432" t="s">
        <v>10029</v>
      </c>
      <c r="B1632" s="327"/>
      <c r="C1632" s="328"/>
      <c r="D1632" s="427"/>
      <c r="E1632" s="426"/>
      <c r="F1632" s="338"/>
      <c r="G1632" s="338"/>
      <c r="H1632" s="338"/>
      <c r="I1632" s="329">
        <f t="shared" ref="I1632:O1632" si="64">SUBTOTAL(9,I1628:I1631)</f>
        <v>2043.7578780248084</v>
      </c>
      <c r="J1632" s="329"/>
      <c r="K1632" s="338">
        <f t="shared" si="64"/>
        <v>510.9394695062021</v>
      </c>
      <c r="L1632" s="338">
        <f t="shared" si="64"/>
        <v>510.9394695062021</v>
      </c>
      <c r="M1632" s="338">
        <f t="shared" si="64"/>
        <v>510.9394695062021</v>
      </c>
      <c r="N1632" s="338">
        <f t="shared" si="64"/>
        <v>510.9394695062021</v>
      </c>
      <c r="O1632" s="338">
        <f t="shared" si="64"/>
        <v>0</v>
      </c>
    </row>
    <row r="1633" spans="1:15" hidden="1" outlineLevel="2" x14ac:dyDescent="0.35">
      <c r="A1633" s="425" t="s">
        <v>7863</v>
      </c>
      <c r="B1633" s="327">
        <v>44470</v>
      </c>
      <c r="C1633" s="426" t="s">
        <v>10030</v>
      </c>
      <c r="D1633" s="427" t="s">
        <v>10031</v>
      </c>
      <c r="E1633" s="426" t="s">
        <v>9443</v>
      </c>
      <c r="F1633" s="338">
        <v>900000</v>
      </c>
      <c r="G1633" s="338" t="s">
        <v>3800</v>
      </c>
      <c r="H1633" s="338"/>
      <c r="I1633" s="329">
        <v>214.56286411576406</v>
      </c>
      <c r="J1633" s="329"/>
      <c r="K1633" s="338">
        <v>53.640716028941014</v>
      </c>
      <c r="L1633" s="338">
        <v>53.640716028941014</v>
      </c>
      <c r="M1633" s="338">
        <v>53.640716028941014</v>
      </c>
      <c r="N1633" s="338">
        <v>53.640716028941014</v>
      </c>
      <c r="O1633" s="338"/>
    </row>
    <row r="1634" spans="1:15" hidden="1" outlineLevel="2" x14ac:dyDescent="0.35">
      <c r="A1634" s="425" t="s">
        <v>7863</v>
      </c>
      <c r="B1634" s="327">
        <v>44104</v>
      </c>
      <c r="C1634" s="426" t="s">
        <v>10032</v>
      </c>
      <c r="D1634" s="427" t="s">
        <v>10033</v>
      </c>
      <c r="E1634" s="426" t="s">
        <v>10034</v>
      </c>
      <c r="F1634" s="338">
        <v>1449000</v>
      </c>
      <c r="G1634" s="338" t="s">
        <v>3800</v>
      </c>
      <c r="H1634" s="338"/>
      <c r="I1634" s="329">
        <v>339.6719442604969</v>
      </c>
      <c r="J1634" s="329"/>
      <c r="K1634" s="338">
        <v>84.917986065124225</v>
      </c>
      <c r="L1634" s="338">
        <v>84.917986065124225</v>
      </c>
      <c r="M1634" s="338">
        <v>84.917986065124225</v>
      </c>
      <c r="N1634" s="338">
        <v>84.917986065124225</v>
      </c>
      <c r="O1634" s="338"/>
    </row>
    <row r="1635" spans="1:15" hidden="1" outlineLevel="2" x14ac:dyDescent="0.35">
      <c r="A1635" s="425" t="s">
        <v>7863</v>
      </c>
      <c r="B1635" s="327">
        <v>44529</v>
      </c>
      <c r="C1635" s="426" t="s">
        <v>10035</v>
      </c>
      <c r="D1635" s="427" t="s">
        <v>10036</v>
      </c>
      <c r="E1635" s="426" t="s">
        <v>8038</v>
      </c>
      <c r="F1635" s="338">
        <v>90000</v>
      </c>
      <c r="G1635" s="338" t="s">
        <v>3800</v>
      </c>
      <c r="H1635" s="338"/>
      <c r="I1635" s="329">
        <v>21.456286411576407</v>
      </c>
      <c r="J1635" s="329"/>
      <c r="K1635" s="338">
        <v>5.3640716028941018</v>
      </c>
      <c r="L1635" s="338">
        <v>5.3640716028941018</v>
      </c>
      <c r="M1635" s="338">
        <v>5.3640716028941018</v>
      </c>
      <c r="N1635" s="338">
        <v>5.3640716028941018</v>
      </c>
      <c r="O1635" s="338"/>
    </row>
    <row r="1636" spans="1:15" hidden="1" outlineLevel="2" x14ac:dyDescent="0.35">
      <c r="A1636" s="425" t="s">
        <v>7863</v>
      </c>
      <c r="B1636" s="327" t="s">
        <v>10037</v>
      </c>
      <c r="C1636" s="426" t="s">
        <v>9216</v>
      </c>
      <c r="D1636" s="427" t="s">
        <v>10038</v>
      </c>
      <c r="E1636" s="426" t="s">
        <v>10039</v>
      </c>
      <c r="F1636" s="338">
        <v>300000</v>
      </c>
      <c r="G1636" s="338" t="s">
        <v>3800</v>
      </c>
      <c r="H1636" s="338"/>
      <c r="I1636" s="329">
        <v>71.520954705254681</v>
      </c>
      <c r="J1636" s="329"/>
      <c r="K1636" s="338">
        <v>17.88023867631367</v>
      </c>
      <c r="L1636" s="338">
        <v>17.88023867631367</v>
      </c>
      <c r="M1636" s="338">
        <v>17.88023867631367</v>
      </c>
      <c r="N1636" s="338">
        <v>17.88023867631367</v>
      </c>
      <c r="O1636" s="338"/>
    </row>
    <row r="1637" spans="1:15" hidden="1" outlineLevel="2" x14ac:dyDescent="0.35">
      <c r="A1637" s="425" t="s">
        <v>7863</v>
      </c>
      <c r="B1637" s="327">
        <v>44165</v>
      </c>
      <c r="C1637" s="426" t="s">
        <v>10040</v>
      </c>
      <c r="D1637" s="427" t="s">
        <v>10041</v>
      </c>
      <c r="E1637" s="426" t="s">
        <v>10042</v>
      </c>
      <c r="F1637" s="338">
        <v>90000</v>
      </c>
      <c r="G1637" s="338" t="s">
        <v>3800</v>
      </c>
      <c r="H1637" s="338"/>
      <c r="I1637" s="329">
        <v>21.097636289471858</v>
      </c>
      <c r="J1637" s="329"/>
      <c r="K1637" s="338">
        <v>5.2744090723679644</v>
      </c>
      <c r="L1637" s="338">
        <v>5.2744090723679644</v>
      </c>
      <c r="M1637" s="338">
        <v>5.2744090723679644</v>
      </c>
      <c r="N1637" s="338">
        <v>5.2744090723679644</v>
      </c>
      <c r="O1637" s="338"/>
    </row>
    <row r="1638" spans="1:15" hidden="1" outlineLevel="2" x14ac:dyDescent="0.35">
      <c r="A1638" s="425" t="s">
        <v>7863</v>
      </c>
      <c r="B1638" s="327">
        <v>44165</v>
      </c>
      <c r="C1638" s="426" t="s">
        <v>10043</v>
      </c>
      <c r="D1638" s="427" t="s">
        <v>10041</v>
      </c>
      <c r="E1638" s="426" t="s">
        <v>10044</v>
      </c>
      <c r="F1638" s="338">
        <v>396000</v>
      </c>
      <c r="G1638" s="338" t="s">
        <v>3800</v>
      </c>
      <c r="H1638" s="338"/>
      <c r="I1638" s="329">
        <v>92.829599673676185</v>
      </c>
      <c r="J1638" s="329"/>
      <c r="K1638" s="338">
        <v>23.207399918419046</v>
      </c>
      <c r="L1638" s="338">
        <v>23.207399918419046</v>
      </c>
      <c r="M1638" s="338">
        <v>23.207399918419046</v>
      </c>
      <c r="N1638" s="338">
        <v>23.207399918419046</v>
      </c>
      <c r="O1638" s="338"/>
    </row>
    <row r="1639" spans="1:15" hidden="1" outlineLevel="2" x14ac:dyDescent="0.35">
      <c r="A1639" s="425" t="s">
        <v>7863</v>
      </c>
      <c r="B1639" s="327">
        <v>44165</v>
      </c>
      <c r="C1639" s="426" t="s">
        <v>10045</v>
      </c>
      <c r="D1639" s="427" t="s">
        <v>10041</v>
      </c>
      <c r="E1639" s="426" t="s">
        <v>10046</v>
      </c>
      <c r="F1639" s="338">
        <v>750000</v>
      </c>
      <c r="G1639" s="338" t="s">
        <v>3800</v>
      </c>
      <c r="H1639" s="338"/>
      <c r="I1639" s="329">
        <v>175.81363574559882</v>
      </c>
      <c r="J1639" s="329"/>
      <c r="K1639" s="338">
        <v>43.953408936399704</v>
      </c>
      <c r="L1639" s="338">
        <v>43.953408936399704</v>
      </c>
      <c r="M1639" s="338">
        <v>43.953408936399704</v>
      </c>
      <c r="N1639" s="338">
        <v>43.953408936399704</v>
      </c>
      <c r="O1639" s="338"/>
    </row>
    <row r="1640" spans="1:15" hidden="1" outlineLevel="2" x14ac:dyDescent="0.35">
      <c r="A1640" s="425" t="s">
        <v>7863</v>
      </c>
      <c r="B1640" s="327">
        <v>44165</v>
      </c>
      <c r="C1640" s="426" t="s">
        <v>10047</v>
      </c>
      <c r="D1640" s="427" t="s">
        <v>10041</v>
      </c>
      <c r="E1640" s="426" t="s">
        <v>10048</v>
      </c>
      <c r="F1640" s="338">
        <v>204000</v>
      </c>
      <c r="G1640" s="338" t="s">
        <v>3800</v>
      </c>
      <c r="H1640" s="338"/>
      <c r="I1640" s="329">
        <v>47.821308922802878</v>
      </c>
      <c r="J1640" s="329"/>
      <c r="K1640" s="338">
        <v>11.955327230700719</v>
      </c>
      <c r="L1640" s="338">
        <v>11.955327230700719</v>
      </c>
      <c r="M1640" s="338">
        <v>11.955327230700719</v>
      </c>
      <c r="N1640" s="338">
        <v>11.955327230700719</v>
      </c>
      <c r="O1640" s="338"/>
    </row>
    <row r="1641" spans="1:15" hidden="1" outlineLevel="2" x14ac:dyDescent="0.35">
      <c r="A1641" s="425" t="s">
        <v>7863</v>
      </c>
      <c r="B1641" s="327">
        <v>44165</v>
      </c>
      <c r="C1641" s="426" t="s">
        <v>10049</v>
      </c>
      <c r="D1641" s="427" t="s">
        <v>10041</v>
      </c>
      <c r="E1641" s="426" t="s">
        <v>10050</v>
      </c>
      <c r="F1641" s="338">
        <v>30000</v>
      </c>
      <c r="G1641" s="338" t="s">
        <v>3800</v>
      </c>
      <c r="H1641" s="338"/>
      <c r="I1641" s="329">
        <v>7.0325454298239531</v>
      </c>
      <c r="J1641" s="329"/>
      <c r="K1641" s="338">
        <v>1.7581363574559883</v>
      </c>
      <c r="L1641" s="338">
        <v>1.7581363574559883</v>
      </c>
      <c r="M1641" s="338">
        <v>1.7581363574559883</v>
      </c>
      <c r="N1641" s="338">
        <v>1.7581363574559883</v>
      </c>
      <c r="O1641" s="338"/>
    </row>
    <row r="1642" spans="1:15" hidden="1" outlineLevel="2" x14ac:dyDescent="0.35">
      <c r="A1642" s="425" t="s">
        <v>7863</v>
      </c>
      <c r="B1642" s="327">
        <v>44165</v>
      </c>
      <c r="C1642" s="426" t="s">
        <v>10051</v>
      </c>
      <c r="D1642" s="427" t="s">
        <v>10041</v>
      </c>
      <c r="E1642" s="426" t="s">
        <v>10052</v>
      </c>
      <c r="F1642" s="338">
        <v>30000</v>
      </c>
      <c r="G1642" s="338" t="s">
        <v>3800</v>
      </c>
      <c r="H1642" s="338"/>
      <c r="I1642" s="329">
        <v>7.0325454298239531</v>
      </c>
      <c r="J1642" s="329"/>
      <c r="K1642" s="338">
        <v>1.7581363574559883</v>
      </c>
      <c r="L1642" s="338">
        <v>1.7581363574559883</v>
      </c>
      <c r="M1642" s="338">
        <v>1.7581363574559883</v>
      </c>
      <c r="N1642" s="338">
        <v>1.7581363574559883</v>
      </c>
      <c r="O1642" s="338"/>
    </row>
    <row r="1643" spans="1:15" hidden="1" outlineLevel="2" x14ac:dyDescent="0.35">
      <c r="A1643" s="425" t="s">
        <v>7863</v>
      </c>
      <c r="B1643" s="327">
        <v>44194</v>
      </c>
      <c r="C1643" s="426" t="s">
        <v>10053</v>
      </c>
      <c r="D1643" s="427" t="s">
        <v>10054</v>
      </c>
      <c r="E1643" s="426" t="s">
        <v>10044</v>
      </c>
      <c r="F1643" s="338">
        <v>450000</v>
      </c>
      <c r="G1643" s="338" t="s">
        <v>3800</v>
      </c>
      <c r="H1643" s="338"/>
      <c r="I1643" s="329">
        <v>105.4881814473593</v>
      </c>
      <c r="J1643" s="329"/>
      <c r="K1643" s="338">
        <v>26.372045361839824</v>
      </c>
      <c r="L1643" s="338">
        <v>26.372045361839824</v>
      </c>
      <c r="M1643" s="338">
        <v>26.372045361839824</v>
      </c>
      <c r="N1643" s="338">
        <v>26.372045361839824</v>
      </c>
      <c r="O1643" s="338"/>
    </row>
    <row r="1644" spans="1:15" hidden="1" outlineLevel="2" x14ac:dyDescent="0.35">
      <c r="A1644" s="425" t="s">
        <v>7863</v>
      </c>
      <c r="B1644" s="327">
        <v>44194</v>
      </c>
      <c r="C1644" s="426" t="s">
        <v>10055</v>
      </c>
      <c r="D1644" s="427" t="s">
        <v>10054</v>
      </c>
      <c r="E1644" s="426" t="s">
        <v>9683</v>
      </c>
      <c r="F1644" s="338">
        <v>750000</v>
      </c>
      <c r="G1644" s="338" t="s">
        <v>3800</v>
      </c>
      <c r="H1644" s="338"/>
      <c r="I1644" s="329">
        <v>175.81363574559882</v>
      </c>
      <c r="J1644" s="329"/>
      <c r="K1644" s="338">
        <v>43.953408936399704</v>
      </c>
      <c r="L1644" s="338">
        <v>43.953408936399704</v>
      </c>
      <c r="M1644" s="338">
        <v>43.953408936399704</v>
      </c>
      <c r="N1644" s="338">
        <v>43.953408936399704</v>
      </c>
      <c r="O1644" s="338"/>
    </row>
    <row r="1645" spans="1:15" hidden="1" outlineLevel="2" x14ac:dyDescent="0.35">
      <c r="A1645" s="425" t="s">
        <v>7863</v>
      </c>
      <c r="B1645" s="327">
        <v>44194</v>
      </c>
      <c r="C1645" s="426" t="s">
        <v>10056</v>
      </c>
      <c r="D1645" s="427" t="s">
        <v>10054</v>
      </c>
      <c r="E1645" s="426" t="s">
        <v>10048</v>
      </c>
      <c r="F1645" s="338">
        <v>300000</v>
      </c>
      <c r="G1645" s="338" t="s">
        <v>3800</v>
      </c>
      <c r="H1645" s="338"/>
      <c r="I1645" s="329">
        <v>70.325454298239535</v>
      </c>
      <c r="J1645" s="329"/>
      <c r="K1645" s="338">
        <v>17.581363574559884</v>
      </c>
      <c r="L1645" s="338">
        <v>17.581363574559884</v>
      </c>
      <c r="M1645" s="338">
        <v>17.581363574559884</v>
      </c>
      <c r="N1645" s="338">
        <v>17.581363574559884</v>
      </c>
      <c r="O1645" s="338"/>
    </row>
    <row r="1646" spans="1:15" hidden="1" outlineLevel="2" x14ac:dyDescent="0.35">
      <c r="A1646" s="425" t="s">
        <v>7863</v>
      </c>
      <c r="B1646" s="327">
        <v>44526</v>
      </c>
      <c r="C1646" s="426" t="s">
        <v>10057</v>
      </c>
      <c r="D1646" s="427" t="s">
        <v>10058</v>
      </c>
      <c r="E1646" s="426" t="s">
        <v>10059</v>
      </c>
      <c r="F1646" s="338">
        <v>14062400</v>
      </c>
      <c r="G1646" s="338" t="s">
        <v>3800</v>
      </c>
      <c r="H1646" s="338"/>
      <c r="I1646" s="329">
        <v>3352.5209114905783</v>
      </c>
      <c r="J1646" s="329"/>
      <c r="K1646" s="338">
        <v>838.13022787264458</v>
      </c>
      <c r="L1646" s="338">
        <v>838.13022787264458</v>
      </c>
      <c r="M1646" s="338">
        <v>838.13022787264458</v>
      </c>
      <c r="N1646" s="338">
        <v>838.13022787264458</v>
      </c>
      <c r="O1646" s="338"/>
    </row>
    <row r="1647" spans="1:15" hidden="1" outlineLevel="2" x14ac:dyDescent="0.35">
      <c r="A1647" s="425" t="s">
        <v>7863</v>
      </c>
      <c r="B1647" s="327">
        <v>44512</v>
      </c>
      <c r="C1647" s="426" t="s">
        <v>10060</v>
      </c>
      <c r="D1647" s="427" t="s">
        <v>10061</v>
      </c>
      <c r="E1647" s="426" t="s">
        <v>10062</v>
      </c>
      <c r="F1647" s="338">
        <v>7423650</v>
      </c>
      <c r="G1647" s="338" t="s">
        <v>3800</v>
      </c>
      <c r="H1647" s="338"/>
      <c r="I1647" s="329">
        <v>1769.8217846588798</v>
      </c>
      <c r="J1647" s="329"/>
      <c r="K1647" s="338">
        <v>442.45544616471994</v>
      </c>
      <c r="L1647" s="338">
        <v>442.45544616471994</v>
      </c>
      <c r="M1647" s="338">
        <v>442.45544616471994</v>
      </c>
      <c r="N1647" s="338">
        <v>442.45544616471994</v>
      </c>
      <c r="O1647" s="338"/>
    </row>
    <row r="1648" spans="1:15" hidden="1" outlineLevel="2" x14ac:dyDescent="0.35">
      <c r="A1648" s="425" t="s">
        <v>7863</v>
      </c>
      <c r="B1648" s="327">
        <v>44391</v>
      </c>
      <c r="C1648" s="426" t="s">
        <v>10063</v>
      </c>
      <c r="D1648" s="427" t="s">
        <v>10064</v>
      </c>
      <c r="E1648" s="426" t="s">
        <v>9680</v>
      </c>
      <c r="F1648" s="338">
        <v>1128000</v>
      </c>
      <c r="G1648" s="338" t="s">
        <v>3800</v>
      </c>
      <c r="H1648" s="338"/>
      <c r="I1648" s="329">
        <v>268.91878969175764</v>
      </c>
      <c r="J1648" s="329"/>
      <c r="K1648" s="338">
        <v>67.22969742293941</v>
      </c>
      <c r="L1648" s="338">
        <v>67.22969742293941</v>
      </c>
      <c r="M1648" s="338">
        <v>67.22969742293941</v>
      </c>
      <c r="N1648" s="338">
        <v>67.22969742293941</v>
      </c>
      <c r="O1648" s="338"/>
    </row>
    <row r="1649" spans="1:15" hidden="1" outlineLevel="2" x14ac:dyDescent="0.35">
      <c r="A1649" s="425" t="s">
        <v>7863</v>
      </c>
      <c r="B1649" s="327">
        <v>44404</v>
      </c>
      <c r="C1649" s="426" t="s">
        <v>8156</v>
      </c>
      <c r="D1649" s="427" t="s">
        <v>10065</v>
      </c>
      <c r="E1649" s="426" t="s">
        <v>10066</v>
      </c>
      <c r="F1649" s="338">
        <v>750000</v>
      </c>
      <c r="G1649" s="338" t="s">
        <v>3800</v>
      </c>
      <c r="H1649" s="338"/>
      <c r="I1649" s="329">
        <v>178.80238676313672</v>
      </c>
      <c r="J1649" s="329"/>
      <c r="K1649" s="338">
        <v>44.700596690784181</v>
      </c>
      <c r="L1649" s="338">
        <v>44.700596690784181</v>
      </c>
      <c r="M1649" s="338">
        <v>44.700596690784181</v>
      </c>
      <c r="N1649" s="338">
        <v>44.700596690784181</v>
      </c>
      <c r="O1649" s="338"/>
    </row>
    <row r="1650" spans="1:15" hidden="1" outlineLevel="2" x14ac:dyDescent="0.35">
      <c r="A1650" s="425" t="s">
        <v>7863</v>
      </c>
      <c r="B1650" s="327">
        <v>44562</v>
      </c>
      <c r="C1650" s="426" t="s">
        <v>10067</v>
      </c>
      <c r="D1650" s="427" t="s">
        <v>10068</v>
      </c>
      <c r="E1650" s="426" t="s">
        <v>9680</v>
      </c>
      <c r="F1650" s="338">
        <v>1123300</v>
      </c>
      <c r="G1650" s="338" t="s">
        <v>3800</v>
      </c>
      <c r="H1650" s="338"/>
      <c r="I1650" s="329">
        <v>267.79829473470863</v>
      </c>
      <c r="J1650" s="329"/>
      <c r="K1650" s="338">
        <v>66.949573683677158</v>
      </c>
      <c r="L1650" s="338">
        <v>66.949573683677158</v>
      </c>
      <c r="M1650" s="338">
        <v>66.949573683677158</v>
      </c>
      <c r="N1650" s="338">
        <v>66.949573683677158</v>
      </c>
      <c r="O1650" s="338"/>
    </row>
    <row r="1651" spans="1:15" hidden="1" outlineLevel="2" x14ac:dyDescent="0.35">
      <c r="A1651" s="425" t="s">
        <v>7863</v>
      </c>
      <c r="B1651" s="327" t="s">
        <v>10037</v>
      </c>
      <c r="C1651" s="426" t="s">
        <v>8016</v>
      </c>
      <c r="D1651" s="427" t="s">
        <v>10069</v>
      </c>
      <c r="E1651" s="426" t="s">
        <v>10039</v>
      </c>
      <c r="F1651" s="338">
        <v>600000</v>
      </c>
      <c r="G1651" s="338" t="s">
        <v>3800</v>
      </c>
      <c r="H1651" s="338"/>
      <c r="I1651" s="329">
        <v>143.04190941050936</v>
      </c>
      <c r="J1651" s="329"/>
      <c r="K1651" s="338">
        <v>35.760477352627341</v>
      </c>
      <c r="L1651" s="338">
        <v>35.760477352627341</v>
      </c>
      <c r="M1651" s="338">
        <v>35.760477352627341</v>
      </c>
      <c r="N1651" s="338">
        <v>35.760477352627341</v>
      </c>
      <c r="O1651" s="338"/>
    </row>
    <row r="1652" spans="1:15" hidden="1" outlineLevel="2" x14ac:dyDescent="0.35">
      <c r="A1652" s="425" t="s">
        <v>7863</v>
      </c>
      <c r="B1652" s="327">
        <v>44526</v>
      </c>
      <c r="C1652" s="426" t="s">
        <v>10070</v>
      </c>
      <c r="D1652" s="427" t="s">
        <v>10071</v>
      </c>
      <c r="E1652" s="426" t="s">
        <v>10072</v>
      </c>
      <c r="F1652" s="338">
        <v>897600</v>
      </c>
      <c r="G1652" s="338" t="s">
        <v>3800</v>
      </c>
      <c r="H1652" s="338"/>
      <c r="I1652" s="329">
        <v>213.99069647812203</v>
      </c>
      <c r="J1652" s="329"/>
      <c r="K1652" s="338">
        <v>53.497674119530508</v>
      </c>
      <c r="L1652" s="338">
        <v>53.497674119530508</v>
      </c>
      <c r="M1652" s="338">
        <v>53.497674119530508</v>
      </c>
      <c r="N1652" s="338">
        <v>53.497674119530508</v>
      </c>
      <c r="O1652" s="338"/>
    </row>
    <row r="1653" spans="1:15" hidden="1" outlineLevel="2" x14ac:dyDescent="0.35">
      <c r="A1653" s="425" t="s">
        <v>7863</v>
      </c>
      <c r="B1653" s="327">
        <v>44562</v>
      </c>
      <c r="C1653" s="426" t="s">
        <v>10073</v>
      </c>
      <c r="D1653" s="427" t="s">
        <v>10074</v>
      </c>
      <c r="E1653" s="426" t="s">
        <v>9736</v>
      </c>
      <c r="F1653" s="338">
        <v>71700</v>
      </c>
      <c r="G1653" s="338" t="s">
        <v>3800</v>
      </c>
      <c r="H1653" s="338"/>
      <c r="I1653" s="329">
        <v>17.093508174555868</v>
      </c>
      <c r="J1653" s="329"/>
      <c r="K1653" s="338">
        <v>4.2733770436389671</v>
      </c>
      <c r="L1653" s="338">
        <v>4.2733770436389671</v>
      </c>
      <c r="M1653" s="338">
        <v>4.2733770436389671</v>
      </c>
      <c r="N1653" s="338">
        <v>4.2733770436389671</v>
      </c>
      <c r="O1653" s="338"/>
    </row>
    <row r="1654" spans="1:15" hidden="1" outlineLevel="2" x14ac:dyDescent="0.35">
      <c r="A1654" s="425" t="s">
        <v>7863</v>
      </c>
      <c r="B1654" s="327">
        <v>44512</v>
      </c>
      <c r="C1654" s="426" t="s">
        <v>10075</v>
      </c>
      <c r="D1654" s="427" t="s">
        <v>10076</v>
      </c>
      <c r="E1654" s="426" t="s">
        <v>10077</v>
      </c>
      <c r="F1654" s="338">
        <v>473850</v>
      </c>
      <c r="G1654" s="338" t="s">
        <v>3800</v>
      </c>
      <c r="H1654" s="338"/>
      <c r="I1654" s="329">
        <v>112.96734795694978</v>
      </c>
      <c r="J1654" s="329"/>
      <c r="K1654" s="338">
        <v>28.241836989237445</v>
      </c>
      <c r="L1654" s="338">
        <v>28.241836989237445</v>
      </c>
      <c r="M1654" s="338">
        <v>28.241836989237445</v>
      </c>
      <c r="N1654" s="338">
        <v>28.241836989237445</v>
      </c>
      <c r="O1654" s="338"/>
    </row>
    <row r="1655" spans="1:15" hidden="1" outlineLevel="2" x14ac:dyDescent="0.35">
      <c r="A1655" s="425" t="s">
        <v>7863</v>
      </c>
      <c r="B1655" s="327">
        <v>44391</v>
      </c>
      <c r="C1655" s="426" t="s">
        <v>10078</v>
      </c>
      <c r="D1655" s="427" t="s">
        <v>10079</v>
      </c>
      <c r="E1655" s="426" t="s">
        <v>10080</v>
      </c>
      <c r="F1655" s="338">
        <v>72000</v>
      </c>
      <c r="G1655" s="338" t="s">
        <v>3800</v>
      </c>
      <c r="H1655" s="338"/>
      <c r="I1655" s="329">
        <v>17.165029129261125</v>
      </c>
      <c r="J1655" s="329"/>
      <c r="K1655" s="338">
        <v>4.2912572823152813</v>
      </c>
      <c r="L1655" s="338">
        <v>4.2912572823152813</v>
      </c>
      <c r="M1655" s="338">
        <v>4.2912572823152813</v>
      </c>
      <c r="N1655" s="338">
        <v>4.2912572823152813</v>
      </c>
      <c r="O1655" s="338"/>
    </row>
    <row r="1656" spans="1:15" hidden="1" outlineLevel="2" x14ac:dyDescent="0.35">
      <c r="A1656" s="425" t="s">
        <v>7863</v>
      </c>
      <c r="B1656" s="327">
        <v>44529</v>
      </c>
      <c r="C1656" s="426" t="s">
        <v>10035</v>
      </c>
      <c r="D1656" s="427" t="s">
        <v>10081</v>
      </c>
      <c r="E1656" s="426" t="s">
        <v>8038</v>
      </c>
      <c r="F1656" s="338">
        <v>150000</v>
      </c>
      <c r="G1656" s="338" t="s">
        <v>3800</v>
      </c>
      <c r="H1656" s="338"/>
      <c r="I1656" s="329">
        <v>35.760477352627341</v>
      </c>
      <c r="J1656" s="329"/>
      <c r="K1656" s="338">
        <v>8.9401193381568351</v>
      </c>
      <c r="L1656" s="338">
        <v>8.9401193381568351</v>
      </c>
      <c r="M1656" s="338">
        <v>8.9401193381568351</v>
      </c>
      <c r="N1656" s="338">
        <v>8.9401193381568351</v>
      </c>
      <c r="O1656" s="338"/>
    </row>
    <row r="1657" spans="1:15" outlineLevel="1" collapsed="1" x14ac:dyDescent="0.35">
      <c r="A1657" s="432" t="s">
        <v>10082</v>
      </c>
      <c r="B1657" s="327"/>
      <c r="C1657" s="426"/>
      <c r="D1657" s="427"/>
      <c r="E1657" s="426"/>
      <c r="F1657" s="338"/>
      <c r="G1657" s="338"/>
      <c r="H1657" s="338"/>
      <c r="I1657" s="329">
        <f t="shared" ref="I1657:O1657" si="65">SUBTOTAL(9,I1633:I1656)</f>
        <v>7728.3477283165721</v>
      </c>
      <c r="J1657" s="329"/>
      <c r="K1657" s="338">
        <f t="shared" si="65"/>
        <v>1932.086932079143</v>
      </c>
      <c r="L1657" s="338">
        <f t="shared" si="65"/>
        <v>1932.086932079143</v>
      </c>
      <c r="M1657" s="338">
        <f t="shared" si="65"/>
        <v>1932.086932079143</v>
      </c>
      <c r="N1657" s="338">
        <f t="shared" si="65"/>
        <v>1932.086932079143</v>
      </c>
      <c r="O1657" s="338">
        <f t="shared" si="65"/>
        <v>0</v>
      </c>
    </row>
    <row r="1658" spans="1:15" hidden="1" outlineLevel="2" x14ac:dyDescent="0.35">
      <c r="A1658" s="425" t="s">
        <v>7957</v>
      </c>
      <c r="B1658" s="327" t="s">
        <v>7996</v>
      </c>
      <c r="C1658" s="426" t="s">
        <v>9779</v>
      </c>
      <c r="D1658" s="427" t="s">
        <v>10083</v>
      </c>
      <c r="E1658" s="426" t="s">
        <v>9981</v>
      </c>
      <c r="F1658" s="338">
        <v>150000</v>
      </c>
      <c r="G1658" s="338" t="s">
        <v>3800</v>
      </c>
      <c r="H1658" s="338"/>
      <c r="I1658" s="329">
        <v>35.760477352627341</v>
      </c>
      <c r="J1658" s="329"/>
      <c r="K1658" s="338"/>
      <c r="L1658" s="338"/>
      <c r="M1658" s="338"/>
      <c r="N1658" s="338">
        <v>35.760477352627341</v>
      </c>
      <c r="O1658" s="338"/>
    </row>
    <row r="1659" spans="1:15" hidden="1" outlineLevel="2" x14ac:dyDescent="0.35">
      <c r="A1659" s="425" t="s">
        <v>7957</v>
      </c>
      <c r="B1659" s="327">
        <v>44116</v>
      </c>
      <c r="C1659" s="426" t="s">
        <v>10084</v>
      </c>
      <c r="D1659" s="427" t="s">
        <v>10085</v>
      </c>
      <c r="E1659" s="426" t="s">
        <v>10086</v>
      </c>
      <c r="F1659" s="338">
        <v>2017800</v>
      </c>
      <c r="G1659" s="338" t="s">
        <v>3800</v>
      </c>
      <c r="H1659" s="338"/>
      <c r="I1659" s="329">
        <v>473.0090056099591</v>
      </c>
      <c r="J1659" s="329"/>
      <c r="K1659" s="338"/>
      <c r="L1659" s="338"/>
      <c r="M1659" s="338"/>
      <c r="N1659" s="338">
        <v>473.0090056099591</v>
      </c>
      <c r="O1659" s="338"/>
    </row>
    <row r="1660" spans="1:15" hidden="1" outlineLevel="2" x14ac:dyDescent="0.35">
      <c r="A1660" s="425" t="s">
        <v>7957</v>
      </c>
      <c r="B1660" s="327">
        <v>44176</v>
      </c>
      <c r="C1660" s="426" t="s">
        <v>10087</v>
      </c>
      <c r="D1660" s="427" t="s">
        <v>10088</v>
      </c>
      <c r="E1660" s="426" t="s">
        <v>6620</v>
      </c>
      <c r="F1660" s="338">
        <v>240000</v>
      </c>
      <c r="G1660" s="338" t="s">
        <v>3800</v>
      </c>
      <c r="H1660" s="338"/>
      <c r="I1660" s="329">
        <v>56.260363438591625</v>
      </c>
      <c r="J1660" s="329"/>
      <c r="K1660" s="338"/>
      <c r="L1660" s="338"/>
      <c r="M1660" s="338"/>
      <c r="N1660" s="338">
        <v>56.260363438591625</v>
      </c>
      <c r="O1660" s="338"/>
    </row>
    <row r="1661" spans="1:15" hidden="1" outlineLevel="2" x14ac:dyDescent="0.35">
      <c r="A1661" s="425" t="s">
        <v>7957</v>
      </c>
      <c r="B1661" s="327">
        <v>44181</v>
      </c>
      <c r="C1661" s="426" t="s">
        <v>10089</v>
      </c>
      <c r="D1661" s="427" t="s">
        <v>10088</v>
      </c>
      <c r="E1661" s="426" t="s">
        <v>6620</v>
      </c>
      <c r="F1661" s="338">
        <v>150000</v>
      </c>
      <c r="G1661" s="338" t="s">
        <v>3800</v>
      </c>
      <c r="H1661" s="338"/>
      <c r="I1661" s="329">
        <v>35.162727149119767</v>
      </c>
      <c r="J1661" s="329"/>
      <c r="K1661" s="338"/>
      <c r="L1661" s="338"/>
      <c r="M1661" s="338"/>
      <c r="N1661" s="338">
        <v>35.162727149119767</v>
      </c>
      <c r="O1661" s="338"/>
    </row>
    <row r="1662" spans="1:15" hidden="1" outlineLevel="2" x14ac:dyDescent="0.35">
      <c r="A1662" s="425" t="s">
        <v>7957</v>
      </c>
      <c r="B1662" s="327">
        <v>44181</v>
      </c>
      <c r="C1662" s="426" t="s">
        <v>10090</v>
      </c>
      <c r="D1662" s="427" t="s">
        <v>10088</v>
      </c>
      <c r="E1662" s="426" t="s">
        <v>6620</v>
      </c>
      <c r="F1662" s="338">
        <v>240000</v>
      </c>
      <c r="G1662" s="338" t="s">
        <v>3800</v>
      </c>
      <c r="H1662" s="338"/>
      <c r="I1662" s="329">
        <v>56.260363438591625</v>
      </c>
      <c r="J1662" s="329"/>
      <c r="K1662" s="338"/>
      <c r="L1662" s="338"/>
      <c r="M1662" s="338"/>
      <c r="N1662" s="338">
        <v>56.260363438591625</v>
      </c>
      <c r="O1662" s="338"/>
    </row>
    <row r="1663" spans="1:15" hidden="1" outlineLevel="2" x14ac:dyDescent="0.35">
      <c r="A1663" s="425" t="s">
        <v>7957</v>
      </c>
      <c r="B1663" s="327">
        <v>44186</v>
      </c>
      <c r="C1663" s="426" t="s">
        <v>10091</v>
      </c>
      <c r="D1663" s="427" t="s">
        <v>10088</v>
      </c>
      <c r="E1663" s="426" t="s">
        <v>8158</v>
      </c>
      <c r="F1663" s="338">
        <v>300000</v>
      </c>
      <c r="G1663" s="338" t="s">
        <v>3800</v>
      </c>
      <c r="H1663" s="338"/>
      <c r="I1663" s="329">
        <v>70.325454298239535</v>
      </c>
      <c r="J1663" s="329"/>
      <c r="K1663" s="338"/>
      <c r="L1663" s="338"/>
      <c r="M1663" s="338"/>
      <c r="N1663" s="338">
        <v>70.325454298239535</v>
      </c>
      <c r="O1663" s="338"/>
    </row>
    <row r="1664" spans="1:15" hidden="1" outlineLevel="2" x14ac:dyDescent="0.35">
      <c r="A1664" s="425" t="s">
        <v>7957</v>
      </c>
      <c r="B1664" s="327">
        <v>44193</v>
      </c>
      <c r="C1664" s="426" t="s">
        <v>10092</v>
      </c>
      <c r="D1664" s="427" t="s">
        <v>10088</v>
      </c>
      <c r="E1664" s="426" t="s">
        <v>8220</v>
      </c>
      <c r="F1664" s="338">
        <v>70000</v>
      </c>
      <c r="G1664" s="338" t="s">
        <v>3800</v>
      </c>
      <c r="H1664" s="338"/>
      <c r="I1664" s="329">
        <v>16.409272669589225</v>
      </c>
      <c r="J1664" s="329"/>
      <c r="K1664" s="338"/>
      <c r="L1664" s="338"/>
      <c r="M1664" s="338"/>
      <c r="N1664" s="338">
        <v>16.409272669589225</v>
      </c>
      <c r="O1664" s="338"/>
    </row>
    <row r="1665" spans="1:15" hidden="1" outlineLevel="2" x14ac:dyDescent="0.35">
      <c r="A1665" s="425" t="s">
        <v>7957</v>
      </c>
      <c r="B1665" s="327">
        <v>44193</v>
      </c>
      <c r="C1665" s="426" t="s">
        <v>10093</v>
      </c>
      <c r="D1665" s="427" t="s">
        <v>10088</v>
      </c>
      <c r="E1665" s="426" t="s">
        <v>6620</v>
      </c>
      <c r="F1665" s="338">
        <v>2622000</v>
      </c>
      <c r="G1665" s="338" t="s">
        <v>3800</v>
      </c>
      <c r="H1665" s="338"/>
      <c r="I1665" s="329">
        <v>614.64447056661345</v>
      </c>
      <c r="J1665" s="329"/>
      <c r="K1665" s="338"/>
      <c r="L1665" s="338"/>
      <c r="M1665" s="338"/>
      <c r="N1665" s="338">
        <v>614.64447056661345</v>
      </c>
      <c r="O1665" s="338"/>
    </row>
    <row r="1666" spans="1:15" hidden="1" outlineLevel="2" x14ac:dyDescent="0.35">
      <c r="A1666" s="425" t="s">
        <v>7957</v>
      </c>
      <c r="B1666" s="327">
        <v>44193</v>
      </c>
      <c r="C1666" s="426" t="s">
        <v>10094</v>
      </c>
      <c r="D1666" s="427" t="s">
        <v>10088</v>
      </c>
      <c r="E1666" s="426" t="s">
        <v>10095</v>
      </c>
      <c r="F1666" s="338">
        <v>13000</v>
      </c>
      <c r="G1666" s="338" t="s">
        <v>3800</v>
      </c>
      <c r="H1666" s="338"/>
      <c r="I1666" s="329">
        <v>3.0474363529237127</v>
      </c>
      <c r="J1666" s="329"/>
      <c r="K1666" s="338"/>
      <c r="L1666" s="338"/>
      <c r="M1666" s="338"/>
      <c r="N1666" s="338">
        <v>3.0474363529237127</v>
      </c>
      <c r="O1666" s="338"/>
    </row>
    <row r="1667" spans="1:15" hidden="1" outlineLevel="2" x14ac:dyDescent="0.35">
      <c r="A1667" s="425" t="s">
        <v>7957</v>
      </c>
      <c r="B1667" s="327">
        <v>44193</v>
      </c>
      <c r="C1667" s="426" t="s">
        <v>10096</v>
      </c>
      <c r="D1667" s="427" t="s">
        <v>10088</v>
      </c>
      <c r="E1667" s="426" t="s">
        <v>8164</v>
      </c>
      <c r="F1667" s="338">
        <v>100000</v>
      </c>
      <c r="G1667" s="338" t="s">
        <v>3800</v>
      </c>
      <c r="H1667" s="338"/>
      <c r="I1667" s="329">
        <v>23.441818099413176</v>
      </c>
      <c r="J1667" s="329"/>
      <c r="K1667" s="338"/>
      <c r="L1667" s="338"/>
      <c r="M1667" s="338"/>
      <c r="N1667" s="338">
        <v>23.441818099413176</v>
      </c>
      <c r="O1667" s="338"/>
    </row>
    <row r="1668" spans="1:15" hidden="1" outlineLevel="2" x14ac:dyDescent="0.35">
      <c r="A1668" s="425" t="s">
        <v>7957</v>
      </c>
      <c r="B1668" s="327">
        <v>44194</v>
      </c>
      <c r="C1668" s="426" t="s">
        <v>10097</v>
      </c>
      <c r="D1668" s="427" t="s">
        <v>10088</v>
      </c>
      <c r="E1668" s="426" t="s">
        <v>6620</v>
      </c>
      <c r="F1668" s="338">
        <v>300000</v>
      </c>
      <c r="G1668" s="338" t="s">
        <v>3800</v>
      </c>
      <c r="H1668" s="338"/>
      <c r="I1668" s="329">
        <v>70.325454298239535</v>
      </c>
      <c r="J1668" s="329"/>
      <c r="K1668" s="338"/>
      <c r="L1668" s="338"/>
      <c r="M1668" s="338"/>
      <c r="N1668" s="338">
        <v>70.325454298239535</v>
      </c>
      <c r="O1668" s="338"/>
    </row>
    <row r="1669" spans="1:15" hidden="1" outlineLevel="2" x14ac:dyDescent="0.35">
      <c r="A1669" s="425" t="s">
        <v>7957</v>
      </c>
      <c r="B1669" s="327">
        <v>44194</v>
      </c>
      <c r="C1669" s="426" t="s">
        <v>8529</v>
      </c>
      <c r="D1669" s="427" t="s">
        <v>10088</v>
      </c>
      <c r="E1669" s="426" t="s">
        <v>6620</v>
      </c>
      <c r="F1669" s="338">
        <v>240000</v>
      </c>
      <c r="G1669" s="338" t="s">
        <v>3800</v>
      </c>
      <c r="H1669" s="338"/>
      <c r="I1669" s="329">
        <v>56.260363438591625</v>
      </c>
      <c r="J1669" s="329"/>
      <c r="K1669" s="338"/>
      <c r="L1669" s="338"/>
      <c r="M1669" s="338"/>
      <c r="N1669" s="338">
        <v>56.260363438591625</v>
      </c>
      <c r="O1669" s="338"/>
    </row>
    <row r="1670" spans="1:15" hidden="1" outlineLevel="2" x14ac:dyDescent="0.35">
      <c r="A1670" s="425" t="s">
        <v>7957</v>
      </c>
      <c r="B1670" s="327">
        <v>44194</v>
      </c>
      <c r="C1670" s="426" t="s">
        <v>10098</v>
      </c>
      <c r="D1670" s="427" t="s">
        <v>10088</v>
      </c>
      <c r="E1670" s="426" t="s">
        <v>6620</v>
      </c>
      <c r="F1670" s="338">
        <v>240000</v>
      </c>
      <c r="G1670" s="338" t="s">
        <v>3800</v>
      </c>
      <c r="H1670" s="338"/>
      <c r="I1670" s="329">
        <v>56.260363438591625</v>
      </c>
      <c r="J1670" s="329"/>
      <c r="K1670" s="338"/>
      <c r="L1670" s="338"/>
      <c r="M1670" s="338"/>
      <c r="N1670" s="338">
        <v>56.260363438591625</v>
      </c>
      <c r="O1670" s="338"/>
    </row>
    <row r="1671" spans="1:15" hidden="1" outlineLevel="2" x14ac:dyDescent="0.35">
      <c r="A1671" s="425" t="s">
        <v>7957</v>
      </c>
      <c r="B1671" s="327">
        <v>44194</v>
      </c>
      <c r="C1671" s="426" t="s">
        <v>10099</v>
      </c>
      <c r="D1671" s="427" t="s">
        <v>10088</v>
      </c>
      <c r="E1671" s="426" t="s">
        <v>6620</v>
      </c>
      <c r="F1671" s="338">
        <v>150000</v>
      </c>
      <c r="G1671" s="338" t="s">
        <v>3800</v>
      </c>
      <c r="H1671" s="338"/>
      <c r="I1671" s="329">
        <v>35.162727149119767</v>
      </c>
      <c r="J1671" s="329"/>
      <c r="K1671" s="338"/>
      <c r="L1671" s="338"/>
      <c r="M1671" s="338"/>
      <c r="N1671" s="338">
        <v>35.162727149119767</v>
      </c>
      <c r="O1671" s="338"/>
    </row>
    <row r="1672" spans="1:15" hidden="1" outlineLevel="2" x14ac:dyDescent="0.35">
      <c r="A1672" s="425" t="s">
        <v>7957</v>
      </c>
      <c r="B1672" s="327">
        <v>44194</v>
      </c>
      <c r="C1672" s="426" t="s">
        <v>10100</v>
      </c>
      <c r="D1672" s="427" t="s">
        <v>10101</v>
      </c>
      <c r="E1672" s="426" t="s">
        <v>6620</v>
      </c>
      <c r="F1672" s="338">
        <v>540000</v>
      </c>
      <c r="G1672" s="338" t="s">
        <v>3800</v>
      </c>
      <c r="H1672" s="338"/>
      <c r="I1672" s="329">
        <v>126.58581773683116</v>
      </c>
      <c r="J1672" s="329"/>
      <c r="K1672" s="338"/>
      <c r="L1672" s="338"/>
      <c r="M1672" s="338"/>
      <c r="N1672" s="338">
        <v>126.58581773683116</v>
      </c>
      <c r="O1672" s="338"/>
    </row>
    <row r="1673" spans="1:15" outlineLevel="1" collapsed="1" x14ac:dyDescent="0.35">
      <c r="A1673" s="432" t="s">
        <v>10102</v>
      </c>
      <c r="B1673" s="327"/>
      <c r="C1673" s="426"/>
      <c r="D1673" s="427"/>
      <c r="E1673" s="426"/>
      <c r="F1673" s="338"/>
      <c r="G1673" s="338"/>
      <c r="H1673" s="338"/>
      <c r="I1673" s="329">
        <f t="shared" ref="I1673:O1673" si="66">SUBTOTAL(9,I1658:I1672)</f>
        <v>1728.9161150370423</v>
      </c>
      <c r="J1673" s="329"/>
      <c r="K1673" s="338">
        <f t="shared" si="66"/>
        <v>0</v>
      </c>
      <c r="L1673" s="338">
        <f t="shared" si="66"/>
        <v>0</v>
      </c>
      <c r="M1673" s="338">
        <f t="shared" si="66"/>
        <v>0</v>
      </c>
      <c r="N1673" s="338">
        <f t="shared" si="66"/>
        <v>1728.9161150370423</v>
      </c>
      <c r="O1673" s="338">
        <f t="shared" si="66"/>
        <v>0</v>
      </c>
    </row>
    <row r="1674" spans="1:15" hidden="1" outlineLevel="2" x14ac:dyDescent="0.35">
      <c r="A1674" s="425" t="s">
        <v>7947</v>
      </c>
      <c r="B1674" s="327">
        <v>44550</v>
      </c>
      <c r="C1674" s="426" t="s">
        <v>10103</v>
      </c>
      <c r="D1674" s="427" t="s">
        <v>10104</v>
      </c>
      <c r="E1674" s="426" t="s">
        <v>8456</v>
      </c>
      <c r="F1674" s="338">
        <v>7777500</v>
      </c>
      <c r="G1674" s="338" t="s">
        <v>3800</v>
      </c>
      <c r="H1674" s="338"/>
      <c r="I1674" s="329">
        <v>1854.1807507337278</v>
      </c>
      <c r="J1674" s="329"/>
      <c r="K1674" s="338"/>
      <c r="L1674" s="338"/>
      <c r="M1674" s="338">
        <v>1854.1807507337278</v>
      </c>
      <c r="N1674" s="338"/>
      <c r="O1674" s="338"/>
    </row>
    <row r="1675" spans="1:15" hidden="1" outlineLevel="2" x14ac:dyDescent="0.35">
      <c r="A1675" s="425" t="s">
        <v>7947</v>
      </c>
      <c r="B1675" s="327">
        <v>44550</v>
      </c>
      <c r="C1675" s="426" t="s">
        <v>10105</v>
      </c>
      <c r="D1675" s="427" t="s">
        <v>10106</v>
      </c>
      <c r="E1675" s="426" t="s">
        <v>8196</v>
      </c>
      <c r="F1675" s="338">
        <v>450000</v>
      </c>
      <c r="G1675" s="338" t="s">
        <v>3800</v>
      </c>
      <c r="H1675" s="338"/>
      <c r="I1675" s="329">
        <v>107.28143205788203</v>
      </c>
      <c r="J1675" s="329"/>
      <c r="K1675" s="338"/>
      <c r="L1675" s="338"/>
      <c r="M1675" s="338">
        <v>107.28143205788203</v>
      </c>
      <c r="N1675" s="338"/>
      <c r="O1675" s="338"/>
    </row>
    <row r="1676" spans="1:15" outlineLevel="1" collapsed="1" x14ac:dyDescent="0.35">
      <c r="A1676" s="432" t="s">
        <v>10107</v>
      </c>
      <c r="B1676" s="327"/>
      <c r="C1676" s="426"/>
      <c r="D1676" s="427"/>
      <c r="E1676" s="426"/>
      <c r="F1676" s="338"/>
      <c r="G1676" s="338"/>
      <c r="H1676" s="338"/>
      <c r="I1676" s="329">
        <f t="shared" ref="I1676:O1676" si="67">SUBTOTAL(9,I1674:I1675)</f>
        <v>1961.4621827916098</v>
      </c>
      <c r="J1676" s="329"/>
      <c r="K1676" s="338">
        <f t="shared" si="67"/>
        <v>0</v>
      </c>
      <c r="L1676" s="338">
        <f t="shared" si="67"/>
        <v>0</v>
      </c>
      <c r="M1676" s="338">
        <f t="shared" si="67"/>
        <v>1961.4621827916098</v>
      </c>
      <c r="N1676" s="338">
        <f t="shared" si="67"/>
        <v>0</v>
      </c>
      <c r="O1676" s="338">
        <f t="shared" si="67"/>
        <v>0</v>
      </c>
    </row>
    <row r="1677" spans="1:15" hidden="1" outlineLevel="2" x14ac:dyDescent="0.35">
      <c r="A1677" s="425" t="s">
        <v>7919</v>
      </c>
      <c r="B1677" s="327">
        <v>44453</v>
      </c>
      <c r="C1677" s="426" t="s">
        <v>10108</v>
      </c>
      <c r="D1677" s="427" t="s">
        <v>10109</v>
      </c>
      <c r="E1677" s="426" t="s">
        <v>8456</v>
      </c>
      <c r="F1677" s="338">
        <v>4560450</v>
      </c>
      <c r="G1677" s="338" t="s">
        <v>3800</v>
      </c>
      <c r="H1677" s="338"/>
      <c r="I1677" s="329">
        <v>1087.2257929519292</v>
      </c>
      <c r="J1677" s="329"/>
      <c r="K1677" s="338"/>
      <c r="L1677" s="338">
        <v>1087.2257929519292</v>
      </c>
      <c r="M1677" s="338"/>
      <c r="N1677" s="338"/>
      <c r="O1677" s="338"/>
    </row>
    <row r="1678" spans="1:15" hidden="1" outlineLevel="2" x14ac:dyDescent="0.35">
      <c r="A1678" s="425" t="s">
        <v>7919</v>
      </c>
      <c r="B1678" s="327">
        <v>44408</v>
      </c>
      <c r="C1678" s="426" t="s">
        <v>10110</v>
      </c>
      <c r="D1678" s="427" t="s">
        <v>10111</v>
      </c>
      <c r="E1678" s="426" t="s">
        <v>8144</v>
      </c>
      <c r="F1678" s="338">
        <v>1879150</v>
      </c>
      <c r="G1678" s="338" t="s">
        <v>3800</v>
      </c>
      <c r="H1678" s="338"/>
      <c r="I1678" s="329">
        <v>447.99534011459781</v>
      </c>
      <c r="J1678" s="329"/>
      <c r="K1678" s="338">
        <v>447.99534011459781</v>
      </c>
      <c r="L1678" s="338"/>
      <c r="M1678" s="338"/>
      <c r="N1678" s="338"/>
      <c r="O1678" s="338"/>
    </row>
    <row r="1679" spans="1:15" hidden="1" outlineLevel="2" x14ac:dyDescent="0.35">
      <c r="A1679" s="425" t="s">
        <v>7919</v>
      </c>
      <c r="B1679" s="327">
        <v>44452</v>
      </c>
      <c r="C1679" s="426" t="s">
        <v>10112</v>
      </c>
      <c r="D1679" s="427" t="s">
        <v>10113</v>
      </c>
      <c r="E1679" s="426" t="s">
        <v>9670</v>
      </c>
      <c r="F1679" s="338">
        <v>4132240</v>
      </c>
      <c r="G1679" s="338" t="s">
        <v>3800</v>
      </c>
      <c r="H1679" s="338"/>
      <c r="I1679" s="329">
        <v>985.13916623747207</v>
      </c>
      <c r="J1679" s="329"/>
      <c r="K1679" s="338"/>
      <c r="L1679" s="338">
        <v>985.13916623747207</v>
      </c>
      <c r="M1679" s="338"/>
      <c r="N1679" s="338"/>
      <c r="O1679" s="338"/>
    </row>
    <row r="1680" spans="1:15" hidden="1" outlineLevel="2" x14ac:dyDescent="0.35">
      <c r="A1680" s="425" t="s">
        <v>7919</v>
      </c>
      <c r="B1680" s="327">
        <v>44562</v>
      </c>
      <c r="C1680" s="426" t="s">
        <v>8016</v>
      </c>
      <c r="D1680" s="427" t="s">
        <v>10114</v>
      </c>
      <c r="E1680" s="426" t="s">
        <v>9646</v>
      </c>
      <c r="F1680" s="338">
        <v>9366600</v>
      </c>
      <c r="G1680" s="338" t="s">
        <v>3800</v>
      </c>
      <c r="H1680" s="338"/>
      <c r="I1680" s="329">
        <v>2233.0272478074617</v>
      </c>
      <c r="J1680" s="329"/>
      <c r="K1680" s="338"/>
      <c r="L1680" s="338">
        <v>2233.0272478074617</v>
      </c>
      <c r="M1680" s="338"/>
      <c r="N1680" s="338"/>
      <c r="O1680" s="338"/>
    </row>
    <row r="1681" spans="1:15" hidden="1" outlineLevel="2" x14ac:dyDescent="0.35">
      <c r="A1681" s="425" t="s">
        <v>7919</v>
      </c>
      <c r="B1681" s="327">
        <v>44529</v>
      </c>
      <c r="C1681" s="426" t="s">
        <v>10115</v>
      </c>
      <c r="D1681" s="427" t="s">
        <v>10116</v>
      </c>
      <c r="E1681" s="426" t="s">
        <v>8030</v>
      </c>
      <c r="F1681" s="338">
        <v>600000</v>
      </c>
      <c r="G1681" s="338" t="s">
        <v>3800</v>
      </c>
      <c r="H1681" s="338"/>
      <c r="I1681" s="329">
        <v>143.04190941050936</v>
      </c>
      <c r="J1681" s="329"/>
      <c r="K1681" s="338"/>
      <c r="L1681" s="338"/>
      <c r="M1681" s="338">
        <v>143.04190941050936</v>
      </c>
      <c r="N1681" s="338"/>
      <c r="O1681" s="338"/>
    </row>
    <row r="1682" spans="1:15" hidden="1" outlineLevel="2" x14ac:dyDescent="0.35">
      <c r="A1682" s="425" t="s">
        <v>7919</v>
      </c>
      <c r="B1682" s="327">
        <v>44452</v>
      </c>
      <c r="C1682" s="426" t="s">
        <v>10117</v>
      </c>
      <c r="D1682" s="427" t="s">
        <v>10118</v>
      </c>
      <c r="E1682" s="426" t="s">
        <v>10119</v>
      </c>
      <c r="F1682" s="338">
        <v>750000</v>
      </c>
      <c r="G1682" s="338" t="s">
        <v>3800</v>
      </c>
      <c r="H1682" s="338"/>
      <c r="I1682" s="329">
        <v>178.80238676313672</v>
      </c>
      <c r="J1682" s="329"/>
      <c r="K1682" s="338"/>
      <c r="L1682" s="338">
        <v>178.80238676313672</v>
      </c>
      <c r="M1682" s="338"/>
      <c r="N1682" s="338"/>
      <c r="O1682" s="338"/>
    </row>
    <row r="1683" spans="1:15" hidden="1" outlineLevel="2" x14ac:dyDescent="0.35">
      <c r="A1683" s="425" t="s">
        <v>7919</v>
      </c>
      <c r="B1683" s="327">
        <v>44508</v>
      </c>
      <c r="C1683" s="426" t="s">
        <v>10120</v>
      </c>
      <c r="D1683" s="427" t="s">
        <v>10118</v>
      </c>
      <c r="E1683" s="426" t="s">
        <v>8200</v>
      </c>
      <c r="F1683" s="338">
        <v>600000</v>
      </c>
      <c r="G1683" s="338" t="s">
        <v>3800</v>
      </c>
      <c r="H1683" s="338"/>
      <c r="I1683" s="329">
        <v>143.04190941050936</v>
      </c>
      <c r="J1683" s="329"/>
      <c r="K1683" s="338"/>
      <c r="L1683" s="338">
        <v>143.04190941050936</v>
      </c>
      <c r="M1683" s="338"/>
      <c r="N1683" s="338"/>
      <c r="O1683" s="338"/>
    </row>
    <row r="1684" spans="1:15" hidden="1" outlineLevel="2" x14ac:dyDescent="0.35">
      <c r="A1684" s="425" t="s">
        <v>7919</v>
      </c>
      <c r="B1684" s="327">
        <v>44475</v>
      </c>
      <c r="C1684" s="426" t="s">
        <v>10121</v>
      </c>
      <c r="D1684" s="427" t="s">
        <v>10122</v>
      </c>
      <c r="E1684" s="426" t="s">
        <v>8196</v>
      </c>
      <c r="F1684" s="338">
        <v>100000</v>
      </c>
      <c r="G1684" s="338" t="s">
        <v>3800</v>
      </c>
      <c r="H1684" s="338"/>
      <c r="I1684" s="329">
        <v>23.840318235084897</v>
      </c>
      <c r="J1684" s="329"/>
      <c r="K1684" s="338"/>
      <c r="L1684" s="338">
        <v>23.840318235084897</v>
      </c>
      <c r="M1684" s="338"/>
      <c r="N1684" s="338"/>
      <c r="O1684" s="338"/>
    </row>
    <row r="1685" spans="1:15" hidden="1" outlineLevel="2" x14ac:dyDescent="0.35">
      <c r="A1685" s="425" t="s">
        <v>7919</v>
      </c>
      <c r="B1685" s="327">
        <v>44475</v>
      </c>
      <c r="C1685" s="426" t="s">
        <v>10121</v>
      </c>
      <c r="D1685" s="427" t="s">
        <v>10123</v>
      </c>
      <c r="E1685" s="426" t="s">
        <v>8196</v>
      </c>
      <c r="F1685" s="338">
        <v>300000</v>
      </c>
      <c r="G1685" s="338" t="s">
        <v>3800</v>
      </c>
      <c r="H1685" s="338"/>
      <c r="I1685" s="329">
        <v>71.520954705254681</v>
      </c>
      <c r="J1685" s="329"/>
      <c r="K1685" s="338"/>
      <c r="L1685" s="338">
        <v>71.520954705254681</v>
      </c>
      <c r="M1685" s="338"/>
      <c r="N1685" s="338"/>
      <c r="O1685" s="338"/>
    </row>
    <row r="1686" spans="1:15" hidden="1" outlineLevel="2" x14ac:dyDescent="0.35">
      <c r="A1686" s="425" t="s">
        <v>7919</v>
      </c>
      <c r="B1686" s="327">
        <v>44452</v>
      </c>
      <c r="C1686" s="426" t="s">
        <v>10124</v>
      </c>
      <c r="D1686" s="427" t="s">
        <v>10125</v>
      </c>
      <c r="E1686" s="426" t="s">
        <v>9723</v>
      </c>
      <c r="F1686" s="338">
        <v>263760</v>
      </c>
      <c r="G1686" s="338" t="s">
        <v>3800</v>
      </c>
      <c r="H1686" s="338"/>
      <c r="I1686" s="329">
        <v>62.881223376859921</v>
      </c>
      <c r="J1686" s="329"/>
      <c r="K1686" s="338"/>
      <c r="L1686" s="338">
        <v>62.881223376859921</v>
      </c>
      <c r="M1686" s="338"/>
      <c r="N1686" s="338"/>
      <c r="O1686" s="338"/>
    </row>
    <row r="1687" spans="1:15" outlineLevel="1" collapsed="1" x14ac:dyDescent="0.35">
      <c r="A1687" s="432" t="s">
        <v>10126</v>
      </c>
      <c r="B1687" s="327"/>
      <c r="C1687" s="426"/>
      <c r="D1687" s="427"/>
      <c r="E1687" s="426"/>
      <c r="F1687" s="338"/>
      <c r="G1687" s="338"/>
      <c r="H1687" s="338"/>
      <c r="I1687" s="329">
        <f t="shared" ref="I1687:O1687" si="68">SUBTOTAL(9,I1677:I1686)</f>
        <v>5376.516249012815</v>
      </c>
      <c r="J1687" s="329"/>
      <c r="K1687" s="338">
        <f t="shared" si="68"/>
        <v>447.99534011459781</v>
      </c>
      <c r="L1687" s="338">
        <f t="shared" si="68"/>
        <v>4785.4789994877083</v>
      </c>
      <c r="M1687" s="338">
        <f t="shared" si="68"/>
        <v>143.04190941050936</v>
      </c>
      <c r="N1687" s="338">
        <f t="shared" si="68"/>
        <v>0</v>
      </c>
      <c r="O1687" s="338">
        <f t="shared" si="68"/>
        <v>0</v>
      </c>
    </row>
    <row r="1688" spans="1:15" hidden="1" outlineLevel="2" x14ac:dyDescent="0.35">
      <c r="A1688" s="425" t="s">
        <v>7921</v>
      </c>
      <c r="B1688" s="327">
        <v>44549</v>
      </c>
      <c r="C1688" s="426" t="s">
        <v>10127</v>
      </c>
      <c r="D1688" s="427" t="s">
        <v>10128</v>
      </c>
      <c r="E1688" s="426" t="s">
        <v>8110</v>
      </c>
      <c r="F1688" s="338">
        <v>240000</v>
      </c>
      <c r="G1688" s="338" t="s">
        <v>3800</v>
      </c>
      <c r="H1688" s="338"/>
      <c r="I1688" s="329">
        <v>57.216763764203748</v>
      </c>
      <c r="J1688" s="329"/>
      <c r="K1688" s="338"/>
      <c r="L1688" s="338">
        <v>57.216763764203748</v>
      </c>
      <c r="M1688" s="338"/>
      <c r="N1688" s="338"/>
      <c r="O1688" s="338"/>
    </row>
    <row r="1689" spans="1:15" hidden="1" outlineLevel="2" x14ac:dyDescent="0.35">
      <c r="A1689" s="425" t="s">
        <v>7921</v>
      </c>
      <c r="B1689" s="327">
        <v>44527</v>
      </c>
      <c r="C1689" s="426" t="s">
        <v>10129</v>
      </c>
      <c r="D1689" s="427" t="s">
        <v>10130</v>
      </c>
      <c r="E1689" s="426" t="s">
        <v>9673</v>
      </c>
      <c r="F1689" s="338">
        <v>848000</v>
      </c>
      <c r="G1689" s="338" t="s">
        <v>3800</v>
      </c>
      <c r="H1689" s="338"/>
      <c r="I1689" s="329">
        <v>202.1658986335199</v>
      </c>
      <c r="J1689" s="329"/>
      <c r="K1689" s="338"/>
      <c r="L1689" s="338">
        <v>202.1658986335199</v>
      </c>
      <c r="M1689" s="338"/>
      <c r="N1689" s="338"/>
      <c r="O1689" s="338"/>
    </row>
    <row r="1690" spans="1:15" hidden="1" outlineLevel="2" x14ac:dyDescent="0.35">
      <c r="A1690" s="425" t="s">
        <v>7921</v>
      </c>
      <c r="B1690" s="327">
        <v>44561</v>
      </c>
      <c r="C1690" s="426" t="s">
        <v>10131</v>
      </c>
      <c r="D1690" s="427" t="s">
        <v>9658</v>
      </c>
      <c r="E1690" s="426" t="s">
        <v>9680</v>
      </c>
      <c r="F1690" s="338">
        <v>124000</v>
      </c>
      <c r="G1690" s="338" t="s">
        <v>3800</v>
      </c>
      <c r="H1690" s="338"/>
      <c r="I1690" s="329">
        <v>29.56199461150527</v>
      </c>
      <c r="J1690" s="329"/>
      <c r="K1690" s="338"/>
      <c r="L1690" s="338">
        <v>29.56199461150527</v>
      </c>
      <c r="M1690" s="338"/>
      <c r="N1690" s="338"/>
      <c r="O1690" s="338"/>
    </row>
    <row r="1691" spans="1:15" hidden="1" outlineLevel="2" x14ac:dyDescent="0.35">
      <c r="A1691" s="425" t="s">
        <v>7921</v>
      </c>
      <c r="B1691" s="327">
        <v>44404</v>
      </c>
      <c r="C1691" s="426" t="s">
        <v>9781</v>
      </c>
      <c r="D1691" s="427" t="s">
        <v>10132</v>
      </c>
      <c r="E1691" s="426" t="s">
        <v>9680</v>
      </c>
      <c r="F1691" s="338">
        <v>100000</v>
      </c>
      <c r="G1691" s="338" t="s">
        <v>3800</v>
      </c>
      <c r="H1691" s="338"/>
      <c r="I1691" s="329">
        <v>23.840318235084897</v>
      </c>
      <c r="J1691" s="329"/>
      <c r="K1691" s="338"/>
      <c r="L1691" s="338">
        <v>23.840318235084897</v>
      </c>
      <c r="M1691" s="338"/>
      <c r="N1691" s="338"/>
      <c r="O1691" s="338"/>
    </row>
    <row r="1692" spans="1:15" hidden="1" outlineLevel="2" x14ac:dyDescent="0.35">
      <c r="A1692" s="425" t="s">
        <v>7921</v>
      </c>
      <c r="B1692" s="327">
        <v>44404</v>
      </c>
      <c r="C1692" s="426" t="s">
        <v>8159</v>
      </c>
      <c r="D1692" s="427" t="s">
        <v>10133</v>
      </c>
      <c r="E1692" s="426" t="s">
        <v>8147</v>
      </c>
      <c r="F1692" s="338">
        <v>300000</v>
      </c>
      <c r="G1692" s="338" t="s">
        <v>3800</v>
      </c>
      <c r="H1692" s="338"/>
      <c r="I1692" s="329">
        <v>71.520954705254681</v>
      </c>
      <c r="J1692" s="329"/>
      <c r="K1692" s="338"/>
      <c r="L1692" s="338">
        <v>71.520954705254681</v>
      </c>
      <c r="M1692" s="338"/>
      <c r="N1692" s="338"/>
      <c r="O1692" s="338"/>
    </row>
    <row r="1693" spans="1:15" hidden="1" outlineLevel="2" x14ac:dyDescent="0.35">
      <c r="A1693" s="425" t="s">
        <v>7921</v>
      </c>
      <c r="B1693" s="327">
        <v>44529</v>
      </c>
      <c r="C1693" s="426" t="s">
        <v>10134</v>
      </c>
      <c r="D1693" s="427" t="s">
        <v>10135</v>
      </c>
      <c r="E1693" s="426" t="s">
        <v>10136</v>
      </c>
      <c r="F1693" s="338">
        <v>195000</v>
      </c>
      <c r="G1693" s="338" t="s">
        <v>3800</v>
      </c>
      <c r="H1693" s="338"/>
      <c r="I1693" s="329">
        <v>46.488620558415548</v>
      </c>
      <c r="J1693" s="329"/>
      <c r="K1693" s="338"/>
      <c r="L1693" s="338">
        <v>46.488620558415548</v>
      </c>
      <c r="M1693" s="338"/>
      <c r="N1693" s="338"/>
      <c r="O1693" s="338"/>
    </row>
    <row r="1694" spans="1:15" hidden="1" outlineLevel="2" x14ac:dyDescent="0.35">
      <c r="A1694" s="425" t="s">
        <v>7921</v>
      </c>
      <c r="B1694" s="327">
        <v>44545</v>
      </c>
      <c r="C1694" s="426" t="s">
        <v>10137</v>
      </c>
      <c r="D1694" s="427" t="s">
        <v>10138</v>
      </c>
      <c r="E1694" s="426" t="s">
        <v>9673</v>
      </c>
      <c r="F1694" s="338">
        <v>1980000</v>
      </c>
      <c r="G1694" s="338" t="s">
        <v>3800</v>
      </c>
      <c r="H1694" s="338"/>
      <c r="I1694" s="329">
        <v>472.03830105468091</v>
      </c>
      <c r="J1694" s="329"/>
      <c r="K1694" s="338"/>
      <c r="L1694" s="338">
        <v>472.03830105468091</v>
      </c>
      <c r="M1694" s="338"/>
      <c r="N1694" s="338"/>
      <c r="O1694" s="338"/>
    </row>
    <row r="1695" spans="1:15" hidden="1" outlineLevel="2" x14ac:dyDescent="0.35">
      <c r="A1695" s="425" t="s">
        <v>7921</v>
      </c>
      <c r="B1695" s="327">
        <v>44531</v>
      </c>
      <c r="C1695" s="426" t="s">
        <v>10139</v>
      </c>
      <c r="D1695" s="427" t="s">
        <v>10140</v>
      </c>
      <c r="E1695" s="426" t="s">
        <v>9680</v>
      </c>
      <c r="F1695" s="338">
        <v>99500</v>
      </c>
      <c r="G1695" s="338" t="s">
        <v>3800</v>
      </c>
      <c r="H1695" s="338"/>
      <c r="I1695" s="329">
        <v>23.721116643909472</v>
      </c>
      <c r="J1695" s="329"/>
      <c r="K1695" s="338"/>
      <c r="L1695" s="338">
        <v>23.721116643909472</v>
      </c>
      <c r="M1695" s="338"/>
      <c r="N1695" s="338"/>
      <c r="O1695" s="338"/>
    </row>
    <row r="1696" spans="1:15" hidden="1" outlineLevel="2" x14ac:dyDescent="0.35">
      <c r="A1696" s="425" t="s">
        <v>7921</v>
      </c>
      <c r="B1696" s="327">
        <v>44561</v>
      </c>
      <c r="C1696" s="426" t="s">
        <v>10141</v>
      </c>
      <c r="D1696" s="427" t="s">
        <v>10142</v>
      </c>
      <c r="E1696" s="426" t="s">
        <v>10143</v>
      </c>
      <c r="F1696" s="338">
        <v>245000</v>
      </c>
      <c r="G1696" s="338" t="s">
        <v>3800</v>
      </c>
      <c r="H1696" s="338"/>
      <c r="I1696" s="329">
        <v>58.408779675957994</v>
      </c>
      <c r="J1696" s="329"/>
      <c r="K1696" s="338"/>
      <c r="L1696" s="338">
        <v>58.408779675957994</v>
      </c>
      <c r="M1696" s="338"/>
      <c r="N1696" s="338"/>
      <c r="O1696" s="338"/>
    </row>
    <row r="1697" spans="1:15" hidden="1" outlineLevel="2" x14ac:dyDescent="0.35">
      <c r="A1697" s="425" t="s">
        <v>7921</v>
      </c>
      <c r="B1697" s="327">
        <v>44404</v>
      </c>
      <c r="C1697" s="426" t="s">
        <v>10100</v>
      </c>
      <c r="D1697" s="427" t="s">
        <v>10144</v>
      </c>
      <c r="E1697" s="426" t="s">
        <v>9673</v>
      </c>
      <c r="F1697" s="338">
        <v>450000</v>
      </c>
      <c r="G1697" s="338" t="s">
        <v>3800</v>
      </c>
      <c r="H1697" s="338"/>
      <c r="I1697" s="329">
        <v>107.28143205788203</v>
      </c>
      <c r="J1697" s="329"/>
      <c r="K1697" s="338"/>
      <c r="L1697" s="338">
        <v>107.28143205788203</v>
      </c>
      <c r="M1697" s="338"/>
      <c r="N1697" s="338"/>
      <c r="O1697" s="338"/>
    </row>
    <row r="1698" spans="1:15" hidden="1" outlineLevel="2" x14ac:dyDescent="0.35">
      <c r="A1698" s="425" t="s">
        <v>7921</v>
      </c>
      <c r="B1698" s="327">
        <v>44391</v>
      </c>
      <c r="C1698" s="426" t="s">
        <v>10087</v>
      </c>
      <c r="D1698" s="427" t="s">
        <v>10145</v>
      </c>
      <c r="E1698" s="426" t="s">
        <v>10146</v>
      </c>
      <c r="F1698" s="338">
        <v>200000</v>
      </c>
      <c r="G1698" s="338" t="s">
        <v>3800</v>
      </c>
      <c r="H1698" s="338"/>
      <c r="I1698" s="329">
        <v>47.680636470169794</v>
      </c>
      <c r="J1698" s="329"/>
      <c r="K1698" s="338"/>
      <c r="L1698" s="338">
        <v>47.680636470169794</v>
      </c>
      <c r="M1698" s="338"/>
      <c r="N1698" s="338"/>
      <c r="O1698" s="338"/>
    </row>
    <row r="1699" spans="1:15" hidden="1" outlineLevel="2" x14ac:dyDescent="0.35">
      <c r="A1699" s="425" t="s">
        <v>7921</v>
      </c>
      <c r="B1699" s="327">
        <v>44561</v>
      </c>
      <c r="C1699" s="426" t="s">
        <v>10147</v>
      </c>
      <c r="D1699" s="427" t="s">
        <v>10148</v>
      </c>
      <c r="E1699" s="426" t="s">
        <v>8038</v>
      </c>
      <c r="F1699" s="338">
        <v>170000</v>
      </c>
      <c r="G1699" s="338" t="s">
        <v>3800</v>
      </c>
      <c r="H1699" s="338"/>
      <c r="I1699" s="329">
        <v>40.528540999644321</v>
      </c>
      <c r="J1699" s="329"/>
      <c r="K1699" s="338"/>
      <c r="L1699" s="338">
        <v>40.528540999644321</v>
      </c>
      <c r="M1699" s="338"/>
      <c r="N1699" s="338"/>
      <c r="O1699" s="338"/>
    </row>
    <row r="1700" spans="1:15" hidden="1" outlineLevel="2" x14ac:dyDescent="0.35">
      <c r="A1700" s="425" t="s">
        <v>7921</v>
      </c>
      <c r="B1700" s="327">
        <v>44561</v>
      </c>
      <c r="C1700" s="426" t="s">
        <v>10149</v>
      </c>
      <c r="D1700" s="427" t="s">
        <v>10150</v>
      </c>
      <c r="E1700" s="426" t="s">
        <v>8517</v>
      </c>
      <c r="F1700" s="338">
        <v>300000</v>
      </c>
      <c r="G1700" s="338" t="s">
        <v>3800</v>
      </c>
      <c r="H1700" s="338"/>
      <c r="I1700" s="329">
        <v>71.520954705254681</v>
      </c>
      <c r="J1700" s="329"/>
      <c r="K1700" s="338"/>
      <c r="L1700" s="338">
        <v>71.520954705254681</v>
      </c>
      <c r="M1700" s="338"/>
      <c r="N1700" s="338"/>
      <c r="O1700" s="338"/>
    </row>
    <row r="1701" spans="1:15" hidden="1" outlineLevel="2" x14ac:dyDescent="0.35">
      <c r="A1701" s="425" t="s">
        <v>7921</v>
      </c>
      <c r="B1701" s="327">
        <v>44550</v>
      </c>
      <c r="C1701" s="426" t="s">
        <v>10151</v>
      </c>
      <c r="D1701" s="427" t="s">
        <v>10152</v>
      </c>
      <c r="E1701" s="426" t="s">
        <v>8517</v>
      </c>
      <c r="F1701" s="338">
        <v>170000</v>
      </c>
      <c r="G1701" s="338" t="s">
        <v>3800</v>
      </c>
      <c r="H1701" s="338"/>
      <c r="I1701" s="329">
        <v>40.528540999644321</v>
      </c>
      <c r="J1701" s="329"/>
      <c r="K1701" s="338"/>
      <c r="L1701" s="338">
        <v>40.528540999644321</v>
      </c>
      <c r="M1701" s="338"/>
      <c r="N1701" s="338"/>
      <c r="O1701" s="338"/>
    </row>
    <row r="1702" spans="1:15" hidden="1" outlineLevel="2" x14ac:dyDescent="0.35">
      <c r="A1702" s="425" t="s">
        <v>7921</v>
      </c>
      <c r="B1702" s="327">
        <v>44522</v>
      </c>
      <c r="C1702" s="426" t="s">
        <v>10153</v>
      </c>
      <c r="D1702" s="427" t="s">
        <v>10154</v>
      </c>
      <c r="E1702" s="426" t="s">
        <v>8144</v>
      </c>
      <c r="F1702" s="338">
        <v>300000</v>
      </c>
      <c r="G1702" s="338" t="s">
        <v>3800</v>
      </c>
      <c r="H1702" s="338"/>
      <c r="I1702" s="329">
        <v>71.520954705254681</v>
      </c>
      <c r="J1702" s="329"/>
      <c r="K1702" s="338"/>
      <c r="L1702" s="338">
        <v>71.520954705254681</v>
      </c>
      <c r="M1702" s="338"/>
      <c r="N1702" s="338"/>
      <c r="O1702" s="338"/>
    </row>
    <row r="1703" spans="1:15" hidden="1" outlineLevel="2" x14ac:dyDescent="0.35">
      <c r="A1703" s="425" t="s">
        <v>7921</v>
      </c>
      <c r="B1703" s="327">
        <v>44508</v>
      </c>
      <c r="C1703" s="426" t="s">
        <v>10155</v>
      </c>
      <c r="D1703" s="427" t="s">
        <v>10156</v>
      </c>
      <c r="E1703" s="426" t="s">
        <v>8110</v>
      </c>
      <c r="F1703" s="338">
        <v>240000</v>
      </c>
      <c r="G1703" s="338" t="s">
        <v>3800</v>
      </c>
      <c r="H1703" s="338"/>
      <c r="I1703" s="329">
        <v>57.216763764203748</v>
      </c>
      <c r="J1703" s="329"/>
      <c r="K1703" s="338"/>
      <c r="L1703" s="338">
        <v>57.216763764203748</v>
      </c>
      <c r="M1703" s="338"/>
      <c r="N1703" s="338"/>
      <c r="O1703" s="338"/>
    </row>
    <row r="1704" spans="1:15" hidden="1" outlineLevel="2" x14ac:dyDescent="0.35">
      <c r="A1704" s="425" t="s">
        <v>7921</v>
      </c>
      <c r="B1704" s="327">
        <v>44549</v>
      </c>
      <c r="C1704" s="426" t="s">
        <v>10157</v>
      </c>
      <c r="D1704" s="427" t="s">
        <v>10158</v>
      </c>
      <c r="E1704" s="426" t="s">
        <v>8144</v>
      </c>
      <c r="F1704" s="338">
        <v>300000</v>
      </c>
      <c r="G1704" s="338" t="s">
        <v>3800</v>
      </c>
      <c r="H1704" s="338"/>
      <c r="I1704" s="329">
        <v>71.520954705254681</v>
      </c>
      <c r="J1704" s="329"/>
      <c r="K1704" s="338"/>
      <c r="L1704" s="338">
        <v>71.520954705254681</v>
      </c>
      <c r="M1704" s="338"/>
      <c r="N1704" s="338"/>
      <c r="O1704" s="338"/>
    </row>
    <row r="1705" spans="1:15" hidden="1" outlineLevel="2" x14ac:dyDescent="0.35">
      <c r="A1705" s="425" t="s">
        <v>7921</v>
      </c>
      <c r="B1705" s="327">
        <v>44557</v>
      </c>
      <c r="C1705" s="426" t="s">
        <v>10159</v>
      </c>
      <c r="D1705" s="427" t="s">
        <v>10160</v>
      </c>
      <c r="E1705" s="426" t="s">
        <v>8191</v>
      </c>
      <c r="F1705" s="338">
        <v>150000</v>
      </c>
      <c r="G1705" s="338" t="s">
        <v>3800</v>
      </c>
      <c r="H1705" s="338"/>
      <c r="I1705" s="329">
        <v>35.760477352627341</v>
      </c>
      <c r="J1705" s="329"/>
      <c r="K1705" s="338"/>
      <c r="L1705" s="338">
        <v>35.760477352627341</v>
      </c>
      <c r="M1705" s="338"/>
      <c r="N1705" s="338"/>
      <c r="O1705" s="338"/>
    </row>
    <row r="1706" spans="1:15" hidden="1" outlineLevel="2" x14ac:dyDescent="0.35">
      <c r="A1706" s="425" t="s">
        <v>7921</v>
      </c>
      <c r="B1706" s="327">
        <v>44557</v>
      </c>
      <c r="C1706" s="426" t="s">
        <v>10161</v>
      </c>
      <c r="D1706" s="427" t="s">
        <v>10162</v>
      </c>
      <c r="E1706" s="426" t="s">
        <v>8191</v>
      </c>
      <c r="F1706" s="338">
        <v>150000</v>
      </c>
      <c r="G1706" s="338" t="s">
        <v>3800</v>
      </c>
      <c r="H1706" s="338"/>
      <c r="I1706" s="329">
        <v>35.760477352627341</v>
      </c>
      <c r="J1706" s="329"/>
      <c r="K1706" s="338"/>
      <c r="L1706" s="338">
        <v>35.760477352627341</v>
      </c>
      <c r="M1706" s="338"/>
      <c r="N1706" s="338"/>
      <c r="O1706" s="338"/>
    </row>
    <row r="1707" spans="1:15" hidden="1" outlineLevel="2" x14ac:dyDescent="0.35">
      <c r="A1707" s="425" t="s">
        <v>7921</v>
      </c>
      <c r="B1707" s="327">
        <v>44560</v>
      </c>
      <c r="C1707" s="426" t="s">
        <v>10163</v>
      </c>
      <c r="D1707" s="427" t="s">
        <v>10162</v>
      </c>
      <c r="E1707" s="426" t="s">
        <v>8517</v>
      </c>
      <c r="F1707" s="338">
        <v>300000</v>
      </c>
      <c r="G1707" s="338" t="s">
        <v>3800</v>
      </c>
      <c r="H1707" s="338"/>
      <c r="I1707" s="329">
        <v>71.520954705254681</v>
      </c>
      <c r="J1707" s="329"/>
      <c r="K1707" s="338"/>
      <c r="L1707" s="338">
        <v>71.520954705254681</v>
      </c>
      <c r="M1707" s="338"/>
      <c r="N1707" s="338"/>
      <c r="O1707" s="338"/>
    </row>
    <row r="1708" spans="1:15" hidden="1" outlineLevel="2" x14ac:dyDescent="0.35">
      <c r="A1708" s="425" t="s">
        <v>7921</v>
      </c>
      <c r="B1708" s="327">
        <v>44404</v>
      </c>
      <c r="C1708" s="426" t="s">
        <v>8874</v>
      </c>
      <c r="D1708" s="427" t="s">
        <v>10164</v>
      </c>
      <c r="E1708" s="426" t="s">
        <v>10066</v>
      </c>
      <c r="F1708" s="338">
        <v>100000</v>
      </c>
      <c r="G1708" s="338" t="s">
        <v>3800</v>
      </c>
      <c r="H1708" s="338"/>
      <c r="I1708" s="329">
        <v>23.840318235084897</v>
      </c>
      <c r="J1708" s="329"/>
      <c r="K1708" s="338"/>
      <c r="L1708" s="338">
        <v>23.840318235084897</v>
      </c>
      <c r="M1708" s="338"/>
      <c r="N1708" s="338"/>
      <c r="O1708" s="338"/>
    </row>
    <row r="1709" spans="1:15" outlineLevel="1" collapsed="1" x14ac:dyDescent="0.35">
      <c r="A1709" s="432" t="s">
        <v>10165</v>
      </c>
      <c r="B1709" s="327"/>
      <c r="C1709" s="426"/>
      <c r="D1709" s="427"/>
      <c r="E1709" s="426"/>
      <c r="F1709" s="338"/>
      <c r="G1709" s="338"/>
      <c r="H1709" s="338"/>
      <c r="I1709" s="329">
        <f t="shared" ref="I1709:O1709" si="69">SUBTOTAL(9,I1688:I1708)</f>
        <v>1659.6437539354349</v>
      </c>
      <c r="J1709" s="329"/>
      <c r="K1709" s="338">
        <f t="shared" si="69"/>
        <v>0</v>
      </c>
      <c r="L1709" s="338">
        <f t="shared" si="69"/>
        <v>1659.6437539354349</v>
      </c>
      <c r="M1709" s="338">
        <f t="shared" si="69"/>
        <v>0</v>
      </c>
      <c r="N1709" s="338">
        <f t="shared" si="69"/>
        <v>0</v>
      </c>
      <c r="O1709" s="338">
        <f t="shared" si="69"/>
        <v>0</v>
      </c>
    </row>
    <row r="1710" spans="1:15" hidden="1" outlineLevel="2" x14ac:dyDescent="0.35">
      <c r="A1710" s="425" t="s">
        <v>7927</v>
      </c>
      <c r="B1710" s="327">
        <v>44165</v>
      </c>
      <c r="C1710" s="426" t="s">
        <v>10166</v>
      </c>
      <c r="D1710" s="427" t="s">
        <v>9982</v>
      </c>
      <c r="E1710" s="426" t="s">
        <v>9165</v>
      </c>
      <c r="F1710" s="338">
        <v>300000</v>
      </c>
      <c r="G1710" s="338" t="s">
        <v>3800</v>
      </c>
      <c r="H1710" s="338"/>
      <c r="I1710" s="329">
        <v>70.325454298239535</v>
      </c>
      <c r="J1710" s="329"/>
      <c r="K1710" s="338"/>
      <c r="L1710" s="338"/>
      <c r="M1710" s="338">
        <v>70.325454298239535</v>
      </c>
      <c r="N1710" s="338"/>
      <c r="O1710" s="338"/>
    </row>
    <row r="1711" spans="1:15" hidden="1" outlineLevel="2" x14ac:dyDescent="0.35">
      <c r="A1711" s="425" t="s">
        <v>7927</v>
      </c>
      <c r="B1711" s="327">
        <v>44165</v>
      </c>
      <c r="C1711" s="426" t="s">
        <v>10167</v>
      </c>
      <c r="D1711" s="427" t="s">
        <v>9982</v>
      </c>
      <c r="E1711" s="426" t="s">
        <v>6620</v>
      </c>
      <c r="F1711" s="338">
        <v>240000</v>
      </c>
      <c r="G1711" s="338" t="s">
        <v>3800</v>
      </c>
      <c r="H1711" s="338"/>
      <c r="I1711" s="329">
        <v>56.260363438591625</v>
      </c>
      <c r="J1711" s="329"/>
      <c r="K1711" s="338"/>
      <c r="L1711" s="338"/>
      <c r="M1711" s="338">
        <v>56.260363438591625</v>
      </c>
      <c r="N1711" s="338"/>
      <c r="O1711" s="338"/>
    </row>
    <row r="1712" spans="1:15" hidden="1" outlineLevel="2" x14ac:dyDescent="0.35">
      <c r="A1712" s="425" t="s">
        <v>7927</v>
      </c>
      <c r="B1712" s="327">
        <v>44165</v>
      </c>
      <c r="C1712" s="426" t="s">
        <v>10168</v>
      </c>
      <c r="D1712" s="427" t="s">
        <v>9982</v>
      </c>
      <c r="E1712" s="426" t="s">
        <v>8258</v>
      </c>
      <c r="F1712" s="338">
        <v>125000</v>
      </c>
      <c r="G1712" s="338" t="s">
        <v>3800</v>
      </c>
      <c r="H1712" s="338"/>
      <c r="I1712" s="329">
        <v>29.302272624266472</v>
      </c>
      <c r="J1712" s="329"/>
      <c r="K1712" s="338"/>
      <c r="L1712" s="338"/>
      <c r="M1712" s="338">
        <v>29.302272624266472</v>
      </c>
      <c r="N1712" s="338"/>
      <c r="O1712" s="338"/>
    </row>
    <row r="1713" spans="1:15" hidden="1" outlineLevel="2" x14ac:dyDescent="0.35">
      <c r="A1713" s="425" t="s">
        <v>7927</v>
      </c>
      <c r="B1713" s="327">
        <v>44165</v>
      </c>
      <c r="C1713" s="426" t="s">
        <v>10169</v>
      </c>
      <c r="D1713" s="427" t="s">
        <v>9982</v>
      </c>
      <c r="E1713" s="426" t="s">
        <v>8164</v>
      </c>
      <c r="F1713" s="338">
        <v>60000</v>
      </c>
      <c r="G1713" s="338" t="s">
        <v>3800</v>
      </c>
      <c r="H1713" s="338"/>
      <c r="I1713" s="329">
        <v>14.065090859647906</v>
      </c>
      <c r="J1713" s="329"/>
      <c r="K1713" s="338"/>
      <c r="L1713" s="338"/>
      <c r="M1713" s="338">
        <v>14.065090859647906</v>
      </c>
      <c r="N1713" s="338"/>
      <c r="O1713" s="338"/>
    </row>
    <row r="1714" spans="1:15" hidden="1" outlineLevel="2" x14ac:dyDescent="0.35">
      <c r="A1714" s="425" t="s">
        <v>7927</v>
      </c>
      <c r="B1714" s="327">
        <v>44165</v>
      </c>
      <c r="C1714" s="426" t="s">
        <v>10170</v>
      </c>
      <c r="D1714" s="427" t="s">
        <v>10171</v>
      </c>
      <c r="E1714" s="426" t="s">
        <v>8172</v>
      </c>
      <c r="F1714" s="338">
        <v>90000</v>
      </c>
      <c r="G1714" s="338" t="s">
        <v>3800</v>
      </c>
      <c r="H1714" s="338"/>
      <c r="I1714" s="329">
        <v>21.097636289471858</v>
      </c>
      <c r="J1714" s="329"/>
      <c r="K1714" s="338"/>
      <c r="L1714" s="338"/>
      <c r="M1714" s="338">
        <v>21.097636289471858</v>
      </c>
      <c r="N1714" s="338"/>
      <c r="O1714" s="338"/>
    </row>
    <row r="1715" spans="1:15" hidden="1" outlineLevel="2" x14ac:dyDescent="0.35">
      <c r="A1715" s="425" t="s">
        <v>7927</v>
      </c>
      <c r="B1715" s="327">
        <v>44165</v>
      </c>
      <c r="C1715" s="426" t="s">
        <v>10172</v>
      </c>
      <c r="D1715" s="427" t="s">
        <v>10171</v>
      </c>
      <c r="E1715" s="426" t="s">
        <v>10173</v>
      </c>
      <c r="F1715" s="338">
        <v>50000</v>
      </c>
      <c r="G1715" s="338" t="s">
        <v>3800</v>
      </c>
      <c r="H1715" s="338"/>
      <c r="I1715" s="329">
        <v>11.720909049706588</v>
      </c>
      <c r="J1715" s="329"/>
      <c r="K1715" s="338"/>
      <c r="L1715" s="338"/>
      <c r="M1715" s="338">
        <v>11.720909049706588</v>
      </c>
      <c r="N1715" s="338"/>
      <c r="O1715" s="338"/>
    </row>
    <row r="1716" spans="1:15" hidden="1" outlineLevel="2" x14ac:dyDescent="0.35">
      <c r="A1716" s="425" t="s">
        <v>7927</v>
      </c>
      <c r="B1716" s="327">
        <v>44165</v>
      </c>
      <c r="C1716" s="426" t="s">
        <v>10174</v>
      </c>
      <c r="D1716" s="427" t="s">
        <v>10171</v>
      </c>
      <c r="E1716" s="426" t="s">
        <v>8164</v>
      </c>
      <c r="F1716" s="338">
        <v>150000</v>
      </c>
      <c r="G1716" s="338" t="s">
        <v>3800</v>
      </c>
      <c r="H1716" s="338"/>
      <c r="I1716" s="329">
        <v>35.162727149119767</v>
      </c>
      <c r="J1716" s="329"/>
      <c r="K1716" s="338"/>
      <c r="L1716" s="338"/>
      <c r="M1716" s="338">
        <v>35.162727149119767</v>
      </c>
      <c r="N1716" s="338"/>
      <c r="O1716" s="338"/>
    </row>
    <row r="1717" spans="1:15" hidden="1" outlineLevel="2" x14ac:dyDescent="0.35">
      <c r="A1717" s="425" t="s">
        <v>7927</v>
      </c>
      <c r="B1717" s="327">
        <v>44147</v>
      </c>
      <c r="C1717" s="426" t="s">
        <v>8999</v>
      </c>
      <c r="D1717" s="427" t="s">
        <v>10171</v>
      </c>
      <c r="E1717" s="426" t="s">
        <v>6620</v>
      </c>
      <c r="F1717" s="338">
        <v>230000</v>
      </c>
      <c r="G1717" s="338" t="s">
        <v>3800</v>
      </c>
      <c r="H1717" s="338"/>
      <c r="I1717" s="329">
        <v>53.916181628650307</v>
      </c>
      <c r="J1717" s="329"/>
      <c r="K1717" s="338"/>
      <c r="L1717" s="338"/>
      <c r="M1717" s="338">
        <v>53.916181628650307</v>
      </c>
      <c r="N1717" s="338"/>
      <c r="O1717" s="338"/>
    </row>
    <row r="1718" spans="1:15" hidden="1" outlineLevel="2" x14ac:dyDescent="0.35">
      <c r="A1718" s="425" t="s">
        <v>7927</v>
      </c>
      <c r="B1718" s="327">
        <v>44147</v>
      </c>
      <c r="C1718" s="426" t="s">
        <v>10175</v>
      </c>
      <c r="D1718" s="427" t="s">
        <v>10171</v>
      </c>
      <c r="E1718" s="426" t="s">
        <v>6620</v>
      </c>
      <c r="F1718" s="338">
        <v>240000</v>
      </c>
      <c r="G1718" s="338" t="s">
        <v>3800</v>
      </c>
      <c r="H1718" s="338"/>
      <c r="I1718" s="329">
        <v>56.260363438591625</v>
      </c>
      <c r="J1718" s="329"/>
      <c r="K1718" s="338"/>
      <c r="L1718" s="338"/>
      <c r="M1718" s="338">
        <v>56.260363438591625</v>
      </c>
      <c r="N1718" s="338"/>
      <c r="O1718" s="338"/>
    </row>
    <row r="1719" spans="1:15" hidden="1" outlineLevel="2" x14ac:dyDescent="0.35">
      <c r="A1719" s="425" t="s">
        <v>7927</v>
      </c>
      <c r="B1719" s="327">
        <v>44147</v>
      </c>
      <c r="C1719" s="426" t="s">
        <v>10176</v>
      </c>
      <c r="D1719" s="427" t="s">
        <v>10171</v>
      </c>
      <c r="E1719" s="426" t="s">
        <v>8164</v>
      </c>
      <c r="F1719" s="338">
        <v>50000</v>
      </c>
      <c r="G1719" s="338" t="s">
        <v>3800</v>
      </c>
      <c r="H1719" s="338"/>
      <c r="I1719" s="329">
        <v>11.720909049706588</v>
      </c>
      <c r="J1719" s="329"/>
      <c r="K1719" s="338"/>
      <c r="L1719" s="338"/>
      <c r="M1719" s="338">
        <v>11.720909049706588</v>
      </c>
      <c r="N1719" s="338"/>
      <c r="O1719" s="338"/>
    </row>
    <row r="1720" spans="1:15" hidden="1" outlineLevel="2" x14ac:dyDescent="0.35">
      <c r="A1720" s="425" t="s">
        <v>7927</v>
      </c>
      <c r="B1720" s="327">
        <v>44165</v>
      </c>
      <c r="C1720" s="426" t="s">
        <v>10177</v>
      </c>
      <c r="D1720" s="427" t="s">
        <v>10178</v>
      </c>
      <c r="E1720" s="426" t="s">
        <v>9165</v>
      </c>
      <c r="F1720" s="338">
        <v>750000</v>
      </c>
      <c r="G1720" s="338" t="s">
        <v>3800</v>
      </c>
      <c r="H1720" s="338"/>
      <c r="I1720" s="329">
        <v>175.81363574559882</v>
      </c>
      <c r="J1720" s="329"/>
      <c r="K1720" s="338"/>
      <c r="L1720" s="338"/>
      <c r="M1720" s="338">
        <v>175.81363574559882</v>
      </c>
      <c r="N1720" s="338"/>
      <c r="O1720" s="338"/>
    </row>
    <row r="1721" spans="1:15" hidden="1" outlineLevel="2" x14ac:dyDescent="0.35">
      <c r="A1721" s="425" t="s">
        <v>7927</v>
      </c>
      <c r="B1721" s="327">
        <v>44165</v>
      </c>
      <c r="C1721" s="426" t="s">
        <v>10179</v>
      </c>
      <c r="D1721" s="427" t="s">
        <v>10178</v>
      </c>
      <c r="E1721" s="426" t="s">
        <v>8220</v>
      </c>
      <c r="F1721" s="338">
        <v>30000</v>
      </c>
      <c r="G1721" s="338" t="s">
        <v>3800</v>
      </c>
      <c r="H1721" s="338"/>
      <c r="I1721" s="329">
        <v>7.0325454298239531</v>
      </c>
      <c r="J1721" s="329"/>
      <c r="K1721" s="338"/>
      <c r="L1721" s="338"/>
      <c r="M1721" s="338">
        <v>7.0325454298239531</v>
      </c>
      <c r="N1721" s="338"/>
      <c r="O1721" s="338"/>
    </row>
    <row r="1722" spans="1:15" hidden="1" outlineLevel="2" x14ac:dyDescent="0.35">
      <c r="A1722" s="425" t="s">
        <v>7927</v>
      </c>
      <c r="B1722" s="327">
        <v>44165</v>
      </c>
      <c r="C1722" s="426" t="s">
        <v>10180</v>
      </c>
      <c r="D1722" s="427" t="s">
        <v>10178</v>
      </c>
      <c r="E1722" s="426" t="s">
        <v>10095</v>
      </c>
      <c r="F1722" s="338">
        <v>250000</v>
      </c>
      <c r="G1722" s="338" t="s">
        <v>3800</v>
      </c>
      <c r="H1722" s="338"/>
      <c r="I1722" s="329">
        <v>58.604545248532943</v>
      </c>
      <c r="J1722" s="329"/>
      <c r="K1722" s="338"/>
      <c r="L1722" s="338"/>
      <c r="M1722" s="338">
        <v>58.604545248532943</v>
      </c>
      <c r="N1722" s="338"/>
      <c r="O1722" s="338"/>
    </row>
    <row r="1723" spans="1:15" hidden="1" outlineLevel="2" x14ac:dyDescent="0.35">
      <c r="A1723" s="425" t="s">
        <v>7927</v>
      </c>
      <c r="B1723" s="327">
        <v>44165</v>
      </c>
      <c r="C1723" s="426" t="s">
        <v>10181</v>
      </c>
      <c r="D1723" s="427" t="s">
        <v>10178</v>
      </c>
      <c r="E1723" s="426" t="s">
        <v>8164</v>
      </c>
      <c r="F1723" s="338">
        <v>20000</v>
      </c>
      <c r="G1723" s="338" t="s">
        <v>3800</v>
      </c>
      <c r="H1723" s="338"/>
      <c r="I1723" s="329">
        <v>4.6883636198826357</v>
      </c>
      <c r="J1723" s="329"/>
      <c r="K1723" s="338"/>
      <c r="L1723" s="338"/>
      <c r="M1723" s="338">
        <v>4.6883636198826357</v>
      </c>
      <c r="N1723" s="338"/>
      <c r="O1723" s="338"/>
    </row>
    <row r="1724" spans="1:15" hidden="1" outlineLevel="2" x14ac:dyDescent="0.35">
      <c r="A1724" s="425" t="s">
        <v>7927</v>
      </c>
      <c r="B1724" s="327">
        <v>44166</v>
      </c>
      <c r="C1724" s="426" t="s">
        <v>10182</v>
      </c>
      <c r="D1724" s="427" t="s">
        <v>10183</v>
      </c>
      <c r="E1724" s="426" t="s">
        <v>8196</v>
      </c>
      <c r="F1724" s="338">
        <v>585000</v>
      </c>
      <c r="G1724" s="338" t="s">
        <v>3800</v>
      </c>
      <c r="H1724" s="338"/>
      <c r="I1724" s="329">
        <v>137.13463588156708</v>
      </c>
      <c r="J1724" s="329"/>
      <c r="K1724" s="338"/>
      <c r="L1724" s="338"/>
      <c r="M1724" s="338">
        <v>137.13463588156708</v>
      </c>
      <c r="N1724" s="338"/>
      <c r="O1724" s="338"/>
    </row>
    <row r="1725" spans="1:15" hidden="1" outlineLevel="2" x14ac:dyDescent="0.35">
      <c r="A1725" s="425" t="s">
        <v>7927</v>
      </c>
      <c r="B1725" s="327">
        <v>44186</v>
      </c>
      <c r="C1725" s="426" t="s">
        <v>10184</v>
      </c>
      <c r="D1725" s="427" t="s">
        <v>10185</v>
      </c>
      <c r="E1725" s="426" t="s">
        <v>10186</v>
      </c>
      <c r="F1725" s="338">
        <v>250000</v>
      </c>
      <c r="G1725" s="338" t="s">
        <v>3800</v>
      </c>
      <c r="H1725" s="338"/>
      <c r="I1725" s="329">
        <v>58.604545248532943</v>
      </c>
      <c r="J1725" s="329"/>
      <c r="K1725" s="338"/>
      <c r="L1725" s="338"/>
      <c r="M1725" s="338">
        <v>58.604545248532943</v>
      </c>
      <c r="N1725" s="338"/>
      <c r="O1725" s="338"/>
    </row>
    <row r="1726" spans="1:15" hidden="1" outlineLevel="2" x14ac:dyDescent="0.35">
      <c r="A1726" s="425" t="s">
        <v>7927</v>
      </c>
      <c r="B1726" s="327">
        <v>44186</v>
      </c>
      <c r="C1726" s="426" t="s">
        <v>10187</v>
      </c>
      <c r="D1726" s="427" t="s">
        <v>10185</v>
      </c>
      <c r="E1726" s="426" t="s">
        <v>8240</v>
      </c>
      <c r="F1726" s="338">
        <v>120000</v>
      </c>
      <c r="G1726" s="338" t="s">
        <v>3800</v>
      </c>
      <c r="H1726" s="338"/>
      <c r="I1726" s="329">
        <v>28.130181719295813</v>
      </c>
      <c r="J1726" s="329"/>
      <c r="K1726" s="338"/>
      <c r="L1726" s="338"/>
      <c r="M1726" s="338">
        <v>28.130181719295813</v>
      </c>
      <c r="N1726" s="338"/>
      <c r="O1726" s="338"/>
    </row>
    <row r="1727" spans="1:15" hidden="1" outlineLevel="2" x14ac:dyDescent="0.35">
      <c r="A1727" s="425" t="s">
        <v>7927</v>
      </c>
      <c r="B1727" s="327">
        <v>44186</v>
      </c>
      <c r="C1727" s="426" t="s">
        <v>10188</v>
      </c>
      <c r="D1727" s="427" t="s">
        <v>10185</v>
      </c>
      <c r="E1727" s="426" t="s">
        <v>6620</v>
      </c>
      <c r="F1727" s="338">
        <v>210000</v>
      </c>
      <c r="G1727" s="338" t="s">
        <v>3800</v>
      </c>
      <c r="H1727" s="338"/>
      <c r="I1727" s="329">
        <v>49.22781800876767</v>
      </c>
      <c r="J1727" s="329"/>
      <c r="K1727" s="338"/>
      <c r="L1727" s="338"/>
      <c r="M1727" s="338">
        <v>49.22781800876767</v>
      </c>
      <c r="N1727" s="338"/>
      <c r="O1727" s="338"/>
    </row>
    <row r="1728" spans="1:15" hidden="1" outlineLevel="2" x14ac:dyDescent="0.35">
      <c r="A1728" s="425" t="s">
        <v>7927</v>
      </c>
      <c r="B1728" s="327">
        <v>44186</v>
      </c>
      <c r="C1728" s="426" t="s">
        <v>10189</v>
      </c>
      <c r="D1728" s="427" t="s">
        <v>10185</v>
      </c>
      <c r="E1728" s="426" t="s">
        <v>10190</v>
      </c>
      <c r="F1728" s="338">
        <v>50000</v>
      </c>
      <c r="G1728" s="338" t="s">
        <v>3800</v>
      </c>
      <c r="H1728" s="338"/>
      <c r="I1728" s="329">
        <v>11.720909049706588</v>
      </c>
      <c r="J1728" s="329"/>
      <c r="K1728" s="338"/>
      <c r="L1728" s="338"/>
      <c r="M1728" s="338">
        <v>11.720909049706588</v>
      </c>
      <c r="N1728" s="338"/>
      <c r="O1728" s="338"/>
    </row>
    <row r="1729" spans="1:15" hidden="1" outlineLevel="2" x14ac:dyDescent="0.35">
      <c r="A1729" s="425" t="s">
        <v>7927</v>
      </c>
      <c r="B1729" s="327">
        <v>44186</v>
      </c>
      <c r="C1729" s="426" t="s">
        <v>10191</v>
      </c>
      <c r="D1729" s="427" t="s">
        <v>10185</v>
      </c>
      <c r="E1729" s="426" t="s">
        <v>10190</v>
      </c>
      <c r="F1729" s="338">
        <v>140000</v>
      </c>
      <c r="G1729" s="338" t="s">
        <v>3800</v>
      </c>
      <c r="H1729" s="338"/>
      <c r="I1729" s="329">
        <v>32.818545339178449</v>
      </c>
      <c r="J1729" s="329"/>
      <c r="K1729" s="338"/>
      <c r="L1729" s="338"/>
      <c r="M1729" s="338">
        <v>32.818545339178449</v>
      </c>
      <c r="N1729" s="338"/>
      <c r="O1729" s="338"/>
    </row>
    <row r="1730" spans="1:15" hidden="1" outlineLevel="2" x14ac:dyDescent="0.35">
      <c r="A1730" s="425" t="s">
        <v>7927</v>
      </c>
      <c r="B1730" s="327">
        <v>44186</v>
      </c>
      <c r="C1730" s="426" t="s">
        <v>10192</v>
      </c>
      <c r="D1730" s="427" t="s">
        <v>10185</v>
      </c>
      <c r="E1730" s="426" t="s">
        <v>10193</v>
      </c>
      <c r="F1730" s="338">
        <v>25000</v>
      </c>
      <c r="G1730" s="338" t="s">
        <v>3800</v>
      </c>
      <c r="H1730" s="338"/>
      <c r="I1730" s="329">
        <v>5.860454524853294</v>
      </c>
      <c r="J1730" s="329"/>
      <c r="K1730" s="338"/>
      <c r="L1730" s="338"/>
      <c r="M1730" s="338">
        <v>5.860454524853294</v>
      </c>
      <c r="N1730" s="338"/>
      <c r="O1730" s="338"/>
    </row>
    <row r="1731" spans="1:15" hidden="1" outlineLevel="2" x14ac:dyDescent="0.35">
      <c r="A1731" s="425" t="s">
        <v>7927</v>
      </c>
      <c r="B1731" s="327">
        <v>44186</v>
      </c>
      <c r="C1731" s="426" t="s">
        <v>10194</v>
      </c>
      <c r="D1731" s="427" t="s">
        <v>10185</v>
      </c>
      <c r="E1731" s="426" t="s">
        <v>10195</v>
      </c>
      <c r="F1731" s="338">
        <v>880000</v>
      </c>
      <c r="G1731" s="338" t="s">
        <v>3800</v>
      </c>
      <c r="H1731" s="338"/>
      <c r="I1731" s="329">
        <v>206.28799927483595</v>
      </c>
      <c r="J1731" s="329"/>
      <c r="K1731" s="338"/>
      <c r="L1731" s="338"/>
      <c r="M1731" s="338">
        <v>206.28799927483595</v>
      </c>
      <c r="N1731" s="338"/>
      <c r="O1731" s="338"/>
    </row>
    <row r="1732" spans="1:15" outlineLevel="1" collapsed="1" x14ac:dyDescent="0.35">
      <c r="A1732" s="432" t="s">
        <v>10196</v>
      </c>
      <c r="B1732" s="327"/>
      <c r="C1732" s="426"/>
      <c r="D1732" s="427"/>
      <c r="E1732" s="426"/>
      <c r="F1732" s="338"/>
      <c r="G1732" s="338"/>
      <c r="H1732" s="338"/>
      <c r="I1732" s="329">
        <f t="shared" ref="I1732:O1732" si="70">SUBTOTAL(9,I1710:I1731)</f>
        <v>1135.7560869165684</v>
      </c>
      <c r="J1732" s="329"/>
      <c r="K1732" s="338">
        <f t="shared" si="70"/>
        <v>0</v>
      </c>
      <c r="L1732" s="338">
        <f t="shared" si="70"/>
        <v>0</v>
      </c>
      <c r="M1732" s="338">
        <f t="shared" si="70"/>
        <v>1135.7560869165684</v>
      </c>
      <c r="N1732" s="338">
        <f t="shared" si="70"/>
        <v>0</v>
      </c>
      <c r="O1732" s="338">
        <f t="shared" si="70"/>
        <v>0</v>
      </c>
    </row>
    <row r="1733" spans="1:15" hidden="1" outlineLevel="2" x14ac:dyDescent="0.35">
      <c r="A1733" s="425" t="s">
        <v>7933</v>
      </c>
      <c r="B1733" s="327">
        <v>44204</v>
      </c>
      <c r="C1733" s="426" t="s">
        <v>10197</v>
      </c>
      <c r="D1733" s="427" t="s">
        <v>10198</v>
      </c>
      <c r="E1733" s="426" t="s">
        <v>8158</v>
      </c>
      <c r="F1733" s="338">
        <v>1985000</v>
      </c>
      <c r="G1733" s="338" t="s">
        <v>3800</v>
      </c>
      <c r="H1733" s="338"/>
      <c r="I1733" s="329">
        <v>473.23031696643517</v>
      </c>
      <c r="J1733" s="329"/>
      <c r="K1733" s="338">
        <v>473.23031696643517</v>
      </c>
      <c r="L1733" s="338"/>
      <c r="M1733" s="338"/>
      <c r="N1733" s="338"/>
      <c r="O1733" s="338"/>
    </row>
    <row r="1734" spans="1:15" hidden="1" outlineLevel="2" x14ac:dyDescent="0.35">
      <c r="A1734" s="425" t="s">
        <v>7933</v>
      </c>
      <c r="B1734" s="327">
        <v>44556</v>
      </c>
      <c r="C1734" s="426" t="s">
        <v>10199</v>
      </c>
      <c r="D1734" s="427" t="s">
        <v>10200</v>
      </c>
      <c r="E1734" s="426" t="s">
        <v>9855</v>
      </c>
      <c r="F1734" s="338">
        <v>300000</v>
      </c>
      <c r="G1734" s="338" t="s">
        <v>3800</v>
      </c>
      <c r="H1734" s="338"/>
      <c r="I1734" s="329">
        <v>71.520954705254681</v>
      </c>
      <c r="J1734" s="329"/>
      <c r="K1734" s="338"/>
      <c r="L1734" s="338"/>
      <c r="M1734" s="338">
        <v>71.520954705254681</v>
      </c>
      <c r="N1734" s="338"/>
      <c r="O1734" s="338"/>
    </row>
    <row r="1735" spans="1:15" hidden="1" outlineLevel="2" x14ac:dyDescent="0.35">
      <c r="A1735" s="425" t="s">
        <v>7933</v>
      </c>
      <c r="B1735" s="327">
        <v>44404</v>
      </c>
      <c r="C1735" s="426" t="s">
        <v>10201</v>
      </c>
      <c r="D1735" s="427" t="s">
        <v>10202</v>
      </c>
      <c r="E1735" s="426" t="s">
        <v>8196</v>
      </c>
      <c r="F1735" s="338">
        <v>150000</v>
      </c>
      <c r="G1735" s="338" t="s">
        <v>3800</v>
      </c>
      <c r="H1735" s="338"/>
      <c r="I1735" s="329">
        <v>35.760477352627341</v>
      </c>
      <c r="J1735" s="329"/>
      <c r="K1735" s="338"/>
      <c r="L1735" s="338"/>
      <c r="M1735" s="338">
        <v>35.760477352627341</v>
      </c>
      <c r="N1735" s="338"/>
      <c r="O1735" s="338"/>
    </row>
    <row r="1736" spans="1:15" hidden="1" outlineLevel="2" x14ac:dyDescent="0.35">
      <c r="A1736" s="425" t="s">
        <v>7933</v>
      </c>
      <c r="B1736" s="327" t="s">
        <v>10203</v>
      </c>
      <c r="C1736" s="426" t="s">
        <v>10204</v>
      </c>
      <c r="D1736" s="427" t="s">
        <v>10205</v>
      </c>
      <c r="E1736" s="426" t="s">
        <v>8456</v>
      </c>
      <c r="F1736" s="338">
        <v>840000</v>
      </c>
      <c r="G1736" s="338" t="s">
        <v>3800</v>
      </c>
      <c r="H1736" s="338"/>
      <c r="I1736" s="329">
        <v>200.25867317471312</v>
      </c>
      <c r="J1736" s="329"/>
      <c r="K1736" s="338"/>
      <c r="L1736" s="338"/>
      <c r="M1736" s="338">
        <v>200.25867317471312</v>
      </c>
      <c r="N1736" s="338"/>
      <c r="O1736" s="338"/>
    </row>
    <row r="1737" spans="1:15" hidden="1" outlineLevel="2" x14ac:dyDescent="0.35">
      <c r="A1737" s="425" t="s">
        <v>7933</v>
      </c>
      <c r="B1737" s="327">
        <v>44519</v>
      </c>
      <c r="C1737" s="426" t="s">
        <v>10206</v>
      </c>
      <c r="D1737" s="427" t="s">
        <v>10207</v>
      </c>
      <c r="E1737" s="426" t="s">
        <v>8456</v>
      </c>
      <c r="F1737" s="338">
        <v>617600</v>
      </c>
      <c r="G1737" s="338" t="s">
        <v>3800</v>
      </c>
      <c r="H1737" s="338"/>
      <c r="I1737" s="329">
        <v>147.23780541988432</v>
      </c>
      <c r="J1737" s="329"/>
      <c r="K1737" s="338"/>
      <c r="L1737" s="338"/>
      <c r="M1737" s="338">
        <v>147.23780541988432</v>
      </c>
      <c r="N1737" s="338"/>
      <c r="O1737" s="338"/>
    </row>
    <row r="1738" spans="1:15" hidden="1" outlineLevel="2" x14ac:dyDescent="0.35">
      <c r="A1738" s="425" t="s">
        <v>7933</v>
      </c>
      <c r="B1738" s="327">
        <v>44267</v>
      </c>
      <c r="C1738" s="426" t="s">
        <v>10208</v>
      </c>
      <c r="D1738" s="427" t="s">
        <v>10209</v>
      </c>
      <c r="E1738" s="426" t="s">
        <v>10210</v>
      </c>
      <c r="F1738" s="338">
        <v>455000</v>
      </c>
      <c r="G1738" s="338" t="s">
        <v>3800</v>
      </c>
      <c r="H1738" s="338"/>
      <c r="I1738" s="329">
        <v>108.47344796963627</v>
      </c>
      <c r="J1738" s="329"/>
      <c r="K1738" s="338"/>
      <c r="L1738" s="338"/>
      <c r="M1738" s="338">
        <v>108.47344796963627</v>
      </c>
      <c r="N1738" s="338"/>
      <c r="O1738" s="338"/>
    </row>
    <row r="1739" spans="1:15" hidden="1" outlineLevel="2" x14ac:dyDescent="0.35">
      <c r="A1739" s="425" t="s">
        <v>7933</v>
      </c>
      <c r="B1739" s="327">
        <v>44408</v>
      </c>
      <c r="C1739" s="426" t="s">
        <v>10211</v>
      </c>
      <c r="D1739" s="427" t="s">
        <v>10212</v>
      </c>
      <c r="E1739" s="426" t="s">
        <v>8456</v>
      </c>
      <c r="F1739" s="338">
        <v>4889900</v>
      </c>
      <c r="G1739" s="338" t="s">
        <v>3800</v>
      </c>
      <c r="H1739" s="338"/>
      <c r="I1739" s="329">
        <v>1165.7677213774164</v>
      </c>
      <c r="J1739" s="329"/>
      <c r="K1739" s="338"/>
      <c r="L1739" s="338"/>
      <c r="M1739" s="338">
        <v>1165.7677213774164</v>
      </c>
      <c r="N1739" s="338"/>
      <c r="O1739" s="338"/>
    </row>
    <row r="1740" spans="1:15" hidden="1" outlineLevel="2" x14ac:dyDescent="0.35">
      <c r="A1740" s="425" t="s">
        <v>7933</v>
      </c>
      <c r="B1740" s="327">
        <v>44389</v>
      </c>
      <c r="C1740" s="426" t="s">
        <v>10213</v>
      </c>
      <c r="D1740" s="427" t="s">
        <v>10214</v>
      </c>
      <c r="E1740" s="426" t="s">
        <v>8456</v>
      </c>
      <c r="F1740" s="338">
        <v>1325000</v>
      </c>
      <c r="G1740" s="338" t="s">
        <v>3800</v>
      </c>
      <c r="H1740" s="338"/>
      <c r="I1740" s="329">
        <v>315.88421661487484</v>
      </c>
      <c r="J1740" s="329"/>
      <c r="K1740" s="338"/>
      <c r="L1740" s="338"/>
      <c r="M1740" s="338">
        <v>315.88421661487484</v>
      </c>
      <c r="N1740" s="338"/>
      <c r="O1740" s="338"/>
    </row>
    <row r="1741" spans="1:15" hidden="1" outlineLevel="2" x14ac:dyDescent="0.35">
      <c r="A1741" s="425" t="s">
        <v>7933</v>
      </c>
      <c r="B1741" s="327">
        <v>44546</v>
      </c>
      <c r="C1741" s="426" t="s">
        <v>10215</v>
      </c>
      <c r="D1741" s="427" t="s">
        <v>10216</v>
      </c>
      <c r="E1741" s="426" t="s">
        <v>10217</v>
      </c>
      <c r="F1741" s="338">
        <v>6670000</v>
      </c>
      <c r="G1741" s="338" t="s">
        <v>3800</v>
      </c>
      <c r="H1741" s="338"/>
      <c r="I1741" s="329">
        <v>1590.1492262801626</v>
      </c>
      <c r="J1741" s="329"/>
      <c r="K1741" s="338"/>
      <c r="L1741" s="338"/>
      <c r="M1741" s="338">
        <v>1590.1492262801626</v>
      </c>
      <c r="N1741" s="338"/>
      <c r="O1741" s="338"/>
    </row>
    <row r="1742" spans="1:15" hidden="1" outlineLevel="2" x14ac:dyDescent="0.35">
      <c r="A1742" s="425" t="s">
        <v>7933</v>
      </c>
      <c r="B1742" s="327" t="s">
        <v>10203</v>
      </c>
      <c r="C1742" s="426" t="s">
        <v>10218</v>
      </c>
      <c r="D1742" s="427" t="s">
        <v>10219</v>
      </c>
      <c r="E1742" s="426" t="s">
        <v>10220</v>
      </c>
      <c r="F1742" s="338">
        <v>112100</v>
      </c>
      <c r="G1742" s="338" t="s">
        <v>3800</v>
      </c>
      <c r="H1742" s="338"/>
      <c r="I1742" s="329">
        <v>26.724996741530166</v>
      </c>
      <c r="J1742" s="329"/>
      <c r="K1742" s="338"/>
      <c r="L1742" s="338"/>
      <c r="M1742" s="338">
        <v>26.724996741530166</v>
      </c>
      <c r="N1742" s="338"/>
      <c r="O1742" s="338"/>
    </row>
    <row r="1743" spans="1:15" hidden="1" outlineLevel="2" x14ac:dyDescent="0.35">
      <c r="A1743" s="425" t="s">
        <v>7933</v>
      </c>
      <c r="B1743" s="327" t="s">
        <v>10203</v>
      </c>
      <c r="C1743" s="426" t="s">
        <v>10221</v>
      </c>
      <c r="D1743" s="427" t="s">
        <v>10222</v>
      </c>
      <c r="E1743" s="426" t="s">
        <v>8456</v>
      </c>
      <c r="F1743" s="338">
        <v>2352545</v>
      </c>
      <c r="G1743" s="338" t="s">
        <v>3800</v>
      </c>
      <c r="H1743" s="338"/>
      <c r="I1743" s="329">
        <v>560.85421462357795</v>
      </c>
      <c r="J1743" s="329"/>
      <c r="K1743" s="338"/>
      <c r="L1743" s="338"/>
      <c r="M1743" s="338">
        <v>560.85421462357795</v>
      </c>
      <c r="N1743" s="338"/>
      <c r="O1743" s="338"/>
    </row>
    <row r="1744" spans="1:15" hidden="1" outlineLevel="2" x14ac:dyDescent="0.35">
      <c r="A1744" s="425" t="s">
        <v>7933</v>
      </c>
      <c r="B1744" s="327" t="s">
        <v>10203</v>
      </c>
      <c r="C1744" s="426" t="s">
        <v>10223</v>
      </c>
      <c r="D1744" s="427" t="s">
        <v>10224</v>
      </c>
      <c r="E1744" s="426" t="s">
        <v>8456</v>
      </c>
      <c r="F1744" s="338">
        <v>424200</v>
      </c>
      <c r="G1744" s="338" t="s">
        <v>3800</v>
      </c>
      <c r="H1744" s="338"/>
      <c r="I1744" s="329">
        <v>101.13062995323013</v>
      </c>
      <c r="J1744" s="329"/>
      <c r="K1744" s="338"/>
      <c r="L1744" s="338"/>
      <c r="M1744" s="338">
        <v>101.13062995323013</v>
      </c>
      <c r="N1744" s="338"/>
      <c r="O1744" s="338"/>
    </row>
    <row r="1745" spans="1:15" hidden="1" outlineLevel="2" x14ac:dyDescent="0.35">
      <c r="A1745" s="425" t="s">
        <v>7933</v>
      </c>
      <c r="B1745" s="327" t="s">
        <v>10203</v>
      </c>
      <c r="C1745" s="426" t="s">
        <v>10225</v>
      </c>
      <c r="D1745" s="427" t="s">
        <v>10226</v>
      </c>
      <c r="E1745" s="426" t="s">
        <v>8196</v>
      </c>
      <c r="F1745" s="338">
        <v>870000</v>
      </c>
      <c r="G1745" s="338" t="s">
        <v>3800</v>
      </c>
      <c r="H1745" s="338"/>
      <c r="I1745" s="329">
        <v>207.41076864523859</v>
      </c>
      <c r="J1745" s="329"/>
      <c r="K1745" s="338"/>
      <c r="L1745" s="338"/>
      <c r="M1745" s="338">
        <v>207.41076864523859</v>
      </c>
      <c r="N1745" s="338"/>
      <c r="O1745" s="338"/>
    </row>
    <row r="1746" spans="1:15" hidden="1" outlineLevel="2" x14ac:dyDescent="0.35">
      <c r="A1746" s="425" t="s">
        <v>7933</v>
      </c>
      <c r="B1746" s="327" t="s">
        <v>10203</v>
      </c>
      <c r="C1746" s="426" t="s">
        <v>10227</v>
      </c>
      <c r="D1746" s="427" t="s">
        <v>10228</v>
      </c>
      <c r="E1746" s="426" t="s">
        <v>8456</v>
      </c>
      <c r="F1746" s="338">
        <v>11481500</v>
      </c>
      <c r="G1746" s="338" t="s">
        <v>3800</v>
      </c>
      <c r="H1746" s="338"/>
      <c r="I1746" s="329">
        <v>2737.2261381612725</v>
      </c>
      <c r="J1746" s="329"/>
      <c r="K1746" s="338"/>
      <c r="L1746" s="338"/>
      <c r="M1746" s="338">
        <v>2737.2261381612725</v>
      </c>
      <c r="N1746" s="338"/>
      <c r="O1746" s="338"/>
    </row>
    <row r="1747" spans="1:15" hidden="1" outlineLevel="2" x14ac:dyDescent="0.35">
      <c r="A1747" s="425" t="s">
        <v>7933</v>
      </c>
      <c r="B1747" s="327" t="s">
        <v>10203</v>
      </c>
      <c r="C1747" s="426" t="s">
        <v>10229</v>
      </c>
      <c r="D1747" s="427" t="s">
        <v>10230</v>
      </c>
      <c r="E1747" s="426" t="s">
        <v>8456</v>
      </c>
      <c r="F1747" s="338">
        <v>1670400</v>
      </c>
      <c r="G1747" s="338" t="s">
        <v>3800</v>
      </c>
      <c r="H1747" s="338"/>
      <c r="I1747" s="329">
        <v>398.22867579885809</v>
      </c>
      <c r="J1747" s="329"/>
      <c r="K1747" s="338"/>
      <c r="L1747" s="338"/>
      <c r="M1747" s="338">
        <v>398.22867579885809</v>
      </c>
      <c r="N1747" s="338"/>
      <c r="O1747" s="338"/>
    </row>
    <row r="1748" spans="1:15" hidden="1" outlineLevel="2" x14ac:dyDescent="0.35">
      <c r="A1748" s="425" t="s">
        <v>7933</v>
      </c>
      <c r="B1748" s="327" t="s">
        <v>10203</v>
      </c>
      <c r="C1748" s="426" t="s">
        <v>10231</v>
      </c>
      <c r="D1748" s="427" t="s">
        <v>10232</v>
      </c>
      <c r="E1748" s="426" t="s">
        <v>8456</v>
      </c>
      <c r="F1748" s="338">
        <v>1975620</v>
      </c>
      <c r="G1748" s="338" t="s">
        <v>3800</v>
      </c>
      <c r="H1748" s="338"/>
      <c r="I1748" s="329">
        <v>470.99409511598424</v>
      </c>
      <c r="J1748" s="329"/>
      <c r="K1748" s="338"/>
      <c r="L1748" s="338"/>
      <c r="M1748" s="338">
        <v>470.99409511598424</v>
      </c>
      <c r="N1748" s="338"/>
      <c r="O1748" s="338"/>
    </row>
    <row r="1749" spans="1:15" outlineLevel="1" collapsed="1" x14ac:dyDescent="0.35">
      <c r="A1749" s="432" t="s">
        <v>10233</v>
      </c>
      <c r="B1749" s="327"/>
      <c r="C1749" s="426"/>
      <c r="D1749" s="427"/>
      <c r="E1749" s="426"/>
      <c r="F1749" s="338"/>
      <c r="G1749" s="338"/>
      <c r="H1749" s="338"/>
      <c r="I1749" s="329">
        <f t="shared" ref="I1749:O1749" si="71">SUBTOTAL(9,I1733:I1748)</f>
        <v>8610.8523589006945</v>
      </c>
      <c r="J1749" s="329"/>
      <c r="K1749" s="338">
        <f t="shared" si="71"/>
        <v>473.23031696643517</v>
      </c>
      <c r="L1749" s="338">
        <f t="shared" si="71"/>
        <v>0</v>
      </c>
      <c r="M1749" s="338">
        <f t="shared" si="71"/>
        <v>8137.6220419342608</v>
      </c>
      <c r="N1749" s="338">
        <f t="shared" si="71"/>
        <v>0</v>
      </c>
      <c r="O1749" s="338">
        <f t="shared" si="71"/>
        <v>0</v>
      </c>
    </row>
    <row r="1750" spans="1:15" hidden="1" outlineLevel="2" x14ac:dyDescent="0.35">
      <c r="A1750" s="425" t="s">
        <v>7954</v>
      </c>
      <c r="B1750" s="327">
        <v>44165</v>
      </c>
      <c r="C1750" s="426" t="s">
        <v>8518</v>
      </c>
      <c r="D1750" s="427" t="s">
        <v>10234</v>
      </c>
      <c r="E1750" s="426" t="s">
        <v>6620</v>
      </c>
      <c r="F1750" s="338">
        <v>600000</v>
      </c>
      <c r="G1750" s="338" t="s">
        <v>3800</v>
      </c>
      <c r="H1750" s="338"/>
      <c r="I1750" s="329">
        <v>140.65090859647907</v>
      </c>
      <c r="J1750" s="329"/>
      <c r="K1750" s="338"/>
      <c r="L1750" s="338"/>
      <c r="M1750" s="338"/>
      <c r="N1750" s="338">
        <v>140.65090859647907</v>
      </c>
      <c r="O1750" s="338"/>
    </row>
    <row r="1751" spans="1:15" hidden="1" outlineLevel="2" x14ac:dyDescent="0.35">
      <c r="A1751" s="425" t="s">
        <v>7954</v>
      </c>
      <c r="B1751" s="327">
        <v>44147</v>
      </c>
      <c r="C1751" s="426" t="s">
        <v>8069</v>
      </c>
      <c r="D1751" s="427" t="s">
        <v>10235</v>
      </c>
      <c r="E1751" s="426" t="s">
        <v>6620</v>
      </c>
      <c r="F1751" s="338">
        <v>750000</v>
      </c>
      <c r="G1751" s="338" t="s">
        <v>3800</v>
      </c>
      <c r="H1751" s="338"/>
      <c r="I1751" s="329">
        <v>175.81363574559882</v>
      </c>
      <c r="J1751" s="329"/>
      <c r="K1751" s="338"/>
      <c r="L1751" s="338"/>
      <c r="M1751" s="338"/>
      <c r="N1751" s="338">
        <v>175.81363574559882</v>
      </c>
      <c r="O1751" s="338"/>
    </row>
    <row r="1752" spans="1:15" hidden="1" outlineLevel="2" x14ac:dyDescent="0.35">
      <c r="A1752" s="425" t="s">
        <v>7954</v>
      </c>
      <c r="B1752" s="327">
        <v>44165</v>
      </c>
      <c r="C1752" s="426" t="s">
        <v>10236</v>
      </c>
      <c r="D1752" s="427" t="s">
        <v>10235</v>
      </c>
      <c r="E1752" s="426" t="s">
        <v>8220</v>
      </c>
      <c r="F1752" s="338">
        <v>150000</v>
      </c>
      <c r="G1752" s="338" t="s">
        <v>3800</v>
      </c>
      <c r="H1752" s="338"/>
      <c r="I1752" s="329">
        <v>35.162727149119767</v>
      </c>
      <c r="J1752" s="329"/>
      <c r="K1752" s="338"/>
      <c r="L1752" s="338"/>
      <c r="M1752" s="338"/>
      <c r="N1752" s="338">
        <v>35.162727149119767</v>
      </c>
      <c r="O1752" s="338"/>
    </row>
    <row r="1753" spans="1:15" hidden="1" outlineLevel="2" x14ac:dyDescent="0.35">
      <c r="A1753" s="425" t="s">
        <v>7954</v>
      </c>
      <c r="B1753" s="327">
        <v>44165</v>
      </c>
      <c r="C1753" s="426" t="s">
        <v>10237</v>
      </c>
      <c r="D1753" s="427" t="s">
        <v>10235</v>
      </c>
      <c r="E1753" s="426" t="s">
        <v>6620</v>
      </c>
      <c r="F1753" s="338">
        <v>2210000</v>
      </c>
      <c r="G1753" s="338" t="s">
        <v>3800</v>
      </c>
      <c r="H1753" s="338"/>
      <c r="I1753" s="329">
        <v>518.06417999703115</v>
      </c>
      <c r="J1753" s="329"/>
      <c r="K1753" s="338"/>
      <c r="L1753" s="338"/>
      <c r="M1753" s="338"/>
      <c r="N1753" s="338">
        <v>518.06417999703115</v>
      </c>
      <c r="O1753" s="338"/>
    </row>
    <row r="1754" spans="1:15" hidden="1" outlineLevel="2" x14ac:dyDescent="0.35">
      <c r="A1754" s="425" t="s">
        <v>7954</v>
      </c>
      <c r="B1754" s="327">
        <v>44165</v>
      </c>
      <c r="C1754" s="426" t="s">
        <v>10238</v>
      </c>
      <c r="D1754" s="427" t="s">
        <v>10235</v>
      </c>
      <c r="E1754" s="426" t="s">
        <v>10239</v>
      </c>
      <c r="F1754" s="338">
        <v>200000</v>
      </c>
      <c r="G1754" s="338" t="s">
        <v>3800</v>
      </c>
      <c r="H1754" s="338"/>
      <c r="I1754" s="329">
        <v>46.883636198826352</v>
      </c>
      <c r="J1754" s="329"/>
      <c r="K1754" s="338"/>
      <c r="L1754" s="338"/>
      <c r="M1754" s="338"/>
      <c r="N1754" s="338">
        <v>46.883636198826352</v>
      </c>
      <c r="O1754" s="338"/>
    </row>
    <row r="1755" spans="1:15" hidden="1" outlineLevel="2" x14ac:dyDescent="0.35">
      <c r="A1755" s="425" t="s">
        <v>7954</v>
      </c>
      <c r="B1755" s="327">
        <v>44165</v>
      </c>
      <c r="C1755" s="426" t="s">
        <v>10240</v>
      </c>
      <c r="D1755" s="427" t="s">
        <v>10235</v>
      </c>
      <c r="E1755" s="426" t="s">
        <v>6620</v>
      </c>
      <c r="F1755" s="338">
        <v>750000</v>
      </c>
      <c r="G1755" s="338" t="s">
        <v>3800</v>
      </c>
      <c r="H1755" s="338"/>
      <c r="I1755" s="329">
        <v>175.81363574559882</v>
      </c>
      <c r="J1755" s="329"/>
      <c r="K1755" s="338"/>
      <c r="L1755" s="338"/>
      <c r="M1755" s="338"/>
      <c r="N1755" s="338">
        <v>175.81363574559882</v>
      </c>
      <c r="O1755" s="338"/>
    </row>
    <row r="1756" spans="1:15" hidden="1" outlineLevel="2" x14ac:dyDescent="0.35">
      <c r="A1756" s="425" t="s">
        <v>7954</v>
      </c>
      <c r="B1756" s="327">
        <v>44166</v>
      </c>
      <c r="C1756" s="426" t="s">
        <v>8491</v>
      </c>
      <c r="D1756" s="427" t="s">
        <v>10241</v>
      </c>
      <c r="E1756" s="426" t="s">
        <v>8196</v>
      </c>
      <c r="F1756" s="338">
        <v>2295000</v>
      </c>
      <c r="G1756" s="338" t="s">
        <v>3800</v>
      </c>
      <c r="H1756" s="338"/>
      <c r="I1756" s="329">
        <v>537.98972538153237</v>
      </c>
      <c r="J1756" s="329"/>
      <c r="K1756" s="338"/>
      <c r="L1756" s="338"/>
      <c r="M1756" s="338"/>
      <c r="N1756" s="338">
        <v>537.98972538153237</v>
      </c>
      <c r="O1756" s="338"/>
    </row>
    <row r="1757" spans="1:15" outlineLevel="1" collapsed="1" x14ac:dyDescent="0.35">
      <c r="A1757" s="432" t="s">
        <v>10242</v>
      </c>
      <c r="B1757" s="327"/>
      <c r="C1757" s="426"/>
      <c r="D1757" s="427"/>
      <c r="E1757" s="426"/>
      <c r="F1757" s="338"/>
      <c r="G1757" s="338"/>
      <c r="H1757" s="338"/>
      <c r="I1757" s="329">
        <f t="shared" ref="I1757:O1757" si="72">SUBTOTAL(9,I1750:I1756)</f>
        <v>1630.3784488141864</v>
      </c>
      <c r="J1757" s="329"/>
      <c r="K1757" s="338">
        <f t="shared" si="72"/>
        <v>0</v>
      </c>
      <c r="L1757" s="338">
        <f t="shared" si="72"/>
        <v>0</v>
      </c>
      <c r="M1757" s="338">
        <f t="shared" si="72"/>
        <v>0</v>
      </c>
      <c r="N1757" s="338">
        <f t="shared" si="72"/>
        <v>1630.3784488141864</v>
      </c>
      <c r="O1757" s="338">
        <f t="shared" si="72"/>
        <v>0</v>
      </c>
    </row>
    <row r="1758" spans="1:15" hidden="1" outlineLevel="2" x14ac:dyDescent="0.35">
      <c r="A1758" s="425" t="s">
        <v>7899</v>
      </c>
      <c r="B1758" s="327">
        <v>44378</v>
      </c>
      <c r="C1758" s="426" t="s">
        <v>10243</v>
      </c>
      <c r="D1758" s="427" t="s">
        <v>10244</v>
      </c>
      <c r="E1758" s="426" t="s">
        <v>8144</v>
      </c>
      <c r="F1758" s="338">
        <v>1335400</v>
      </c>
      <c r="G1758" s="338" t="s">
        <v>3800</v>
      </c>
      <c r="H1758" s="338"/>
      <c r="I1758" s="329">
        <v>318.3636097113237</v>
      </c>
      <c r="J1758" s="329"/>
      <c r="K1758" s="338">
        <v>318.3636097113237</v>
      </c>
      <c r="L1758" s="338"/>
      <c r="M1758" s="338"/>
      <c r="N1758" s="338"/>
      <c r="O1758" s="338"/>
    </row>
    <row r="1759" spans="1:15" hidden="1" outlineLevel="2" x14ac:dyDescent="0.35">
      <c r="A1759" s="425" t="s">
        <v>7899</v>
      </c>
      <c r="B1759" s="327">
        <v>44501</v>
      </c>
      <c r="C1759" s="426" t="s">
        <v>10245</v>
      </c>
      <c r="D1759" s="427" t="s">
        <v>10246</v>
      </c>
      <c r="E1759" s="426" t="s">
        <v>9475</v>
      </c>
      <c r="F1759" s="338">
        <v>1866000</v>
      </c>
      <c r="G1759" s="338" t="s">
        <v>3800</v>
      </c>
      <c r="H1759" s="338"/>
      <c r="I1759" s="329">
        <v>444.86033826668415</v>
      </c>
      <c r="J1759" s="329"/>
      <c r="K1759" s="338">
        <v>444.86033826668415</v>
      </c>
      <c r="L1759" s="338"/>
      <c r="M1759" s="338"/>
      <c r="N1759" s="338"/>
      <c r="O1759" s="338"/>
    </row>
    <row r="1760" spans="1:15" hidden="1" outlineLevel="2" x14ac:dyDescent="0.35">
      <c r="A1760" s="425" t="s">
        <v>7899</v>
      </c>
      <c r="B1760" s="327">
        <v>44502</v>
      </c>
      <c r="C1760" s="426" t="s">
        <v>10247</v>
      </c>
      <c r="D1760" s="427" t="s">
        <v>10248</v>
      </c>
      <c r="E1760" s="426" t="s">
        <v>9475</v>
      </c>
      <c r="F1760" s="338">
        <v>1901000</v>
      </c>
      <c r="G1760" s="338" t="s">
        <v>3800</v>
      </c>
      <c r="H1760" s="338"/>
      <c r="I1760" s="329">
        <v>453.20444964896387</v>
      </c>
      <c r="J1760" s="329"/>
      <c r="K1760" s="338">
        <v>453.20444964896387</v>
      </c>
      <c r="L1760" s="338"/>
      <c r="M1760" s="338"/>
      <c r="N1760" s="338"/>
      <c r="O1760" s="338"/>
    </row>
    <row r="1761" spans="1:15" hidden="1" outlineLevel="2" x14ac:dyDescent="0.35">
      <c r="A1761" s="425" t="s">
        <v>7899</v>
      </c>
      <c r="B1761" s="327">
        <v>44501</v>
      </c>
      <c r="C1761" s="426" t="s">
        <v>10249</v>
      </c>
      <c r="D1761" s="427" t="s">
        <v>10250</v>
      </c>
      <c r="E1761" s="426" t="s">
        <v>9475</v>
      </c>
      <c r="F1761" s="338">
        <v>1432000</v>
      </c>
      <c r="G1761" s="338" t="s">
        <v>3800</v>
      </c>
      <c r="H1761" s="338"/>
      <c r="I1761" s="329">
        <v>341.39335712641571</v>
      </c>
      <c r="J1761" s="329"/>
      <c r="K1761" s="338">
        <v>341.39335712641571</v>
      </c>
      <c r="L1761" s="338"/>
      <c r="M1761" s="338"/>
      <c r="N1761" s="338"/>
      <c r="O1761" s="338"/>
    </row>
    <row r="1762" spans="1:15" hidden="1" outlineLevel="2" x14ac:dyDescent="0.35">
      <c r="A1762" s="425" t="s">
        <v>7899</v>
      </c>
      <c r="B1762" s="327">
        <v>44533</v>
      </c>
      <c r="C1762" s="426" t="s">
        <v>10251</v>
      </c>
      <c r="D1762" s="427" t="s">
        <v>10252</v>
      </c>
      <c r="E1762" s="426" t="s">
        <v>8456</v>
      </c>
      <c r="F1762" s="338">
        <v>3565000</v>
      </c>
      <c r="G1762" s="338" t="s">
        <v>3800</v>
      </c>
      <c r="H1762" s="338"/>
      <c r="I1762" s="329">
        <v>849.90734508077651</v>
      </c>
      <c r="J1762" s="329"/>
      <c r="K1762" s="338">
        <v>849.90734508077651</v>
      </c>
      <c r="L1762" s="338"/>
      <c r="M1762" s="338"/>
      <c r="N1762" s="338"/>
      <c r="O1762" s="338"/>
    </row>
    <row r="1763" spans="1:15" hidden="1" outlineLevel="2" x14ac:dyDescent="0.35">
      <c r="A1763" s="425" t="s">
        <v>7899</v>
      </c>
      <c r="B1763" s="327">
        <v>44501</v>
      </c>
      <c r="C1763" s="426" t="s">
        <v>10253</v>
      </c>
      <c r="D1763" s="427" t="s">
        <v>10254</v>
      </c>
      <c r="E1763" s="426" t="s">
        <v>9475</v>
      </c>
      <c r="F1763" s="338">
        <v>6540000</v>
      </c>
      <c r="G1763" s="338" t="s">
        <v>3800</v>
      </c>
      <c r="H1763" s="338"/>
      <c r="I1763" s="329">
        <v>1559.1568125745521</v>
      </c>
      <c r="J1763" s="329"/>
      <c r="K1763" s="338">
        <v>1559.1568125745521</v>
      </c>
      <c r="L1763" s="338"/>
      <c r="M1763" s="338"/>
      <c r="N1763" s="338"/>
      <c r="O1763" s="338"/>
    </row>
    <row r="1764" spans="1:15" hidden="1" outlineLevel="2" x14ac:dyDescent="0.35">
      <c r="A1764" s="425" t="s">
        <v>7899</v>
      </c>
      <c r="B1764" s="327">
        <v>44502</v>
      </c>
      <c r="C1764" s="426" t="s">
        <v>10255</v>
      </c>
      <c r="D1764" s="427" t="s">
        <v>10256</v>
      </c>
      <c r="E1764" s="426" t="s">
        <v>9475</v>
      </c>
      <c r="F1764" s="338">
        <v>1805000</v>
      </c>
      <c r="G1764" s="338" t="s">
        <v>3800</v>
      </c>
      <c r="H1764" s="338"/>
      <c r="I1764" s="329">
        <v>430.31774414328237</v>
      </c>
      <c r="J1764" s="329"/>
      <c r="K1764" s="338"/>
      <c r="L1764" s="338">
        <v>430.31774414328237</v>
      </c>
      <c r="M1764" s="338"/>
      <c r="N1764" s="338"/>
      <c r="O1764" s="338"/>
    </row>
    <row r="1765" spans="1:15" hidden="1" outlineLevel="2" x14ac:dyDescent="0.35">
      <c r="A1765" s="425" t="s">
        <v>7899</v>
      </c>
      <c r="B1765" s="327">
        <v>44539</v>
      </c>
      <c r="C1765" s="426" t="s">
        <v>10257</v>
      </c>
      <c r="D1765" s="427" t="s">
        <v>10258</v>
      </c>
      <c r="E1765" s="426" t="s">
        <v>8456</v>
      </c>
      <c r="F1765" s="338">
        <v>3807950</v>
      </c>
      <c r="G1765" s="338" t="s">
        <v>3800</v>
      </c>
      <c r="H1765" s="338"/>
      <c r="I1765" s="329">
        <v>907.82739823291524</v>
      </c>
      <c r="J1765" s="329"/>
      <c r="K1765" s="338">
        <v>907.82739823291524</v>
      </c>
      <c r="L1765" s="338"/>
      <c r="M1765" s="338"/>
      <c r="N1765" s="338"/>
      <c r="O1765" s="338"/>
    </row>
    <row r="1766" spans="1:15" hidden="1" outlineLevel="2" x14ac:dyDescent="0.35">
      <c r="A1766" s="425" t="s">
        <v>7899</v>
      </c>
      <c r="B1766" s="327">
        <v>44545</v>
      </c>
      <c r="C1766" s="426" t="s">
        <v>10259</v>
      </c>
      <c r="D1766" s="427" t="s">
        <v>10260</v>
      </c>
      <c r="E1766" s="426" t="s">
        <v>9673</v>
      </c>
      <c r="F1766" s="338">
        <v>1980000</v>
      </c>
      <c r="G1766" s="338" t="s">
        <v>3800</v>
      </c>
      <c r="H1766" s="338"/>
      <c r="I1766" s="329">
        <v>472.03830105468091</v>
      </c>
      <c r="J1766" s="329"/>
      <c r="K1766" s="338">
        <v>472.03830105468091</v>
      </c>
      <c r="L1766" s="338"/>
      <c r="M1766" s="338"/>
      <c r="N1766" s="338"/>
      <c r="O1766" s="338"/>
    </row>
    <row r="1767" spans="1:15" hidden="1" outlineLevel="2" x14ac:dyDescent="0.35">
      <c r="A1767" s="425" t="s">
        <v>7899</v>
      </c>
      <c r="B1767" s="327">
        <v>44391</v>
      </c>
      <c r="C1767" s="426" t="s">
        <v>8212</v>
      </c>
      <c r="D1767" s="427" t="s">
        <v>10261</v>
      </c>
      <c r="E1767" s="426" t="s">
        <v>10262</v>
      </c>
      <c r="F1767" s="338">
        <v>940000</v>
      </c>
      <c r="G1767" s="338" t="s">
        <v>3800</v>
      </c>
      <c r="H1767" s="338"/>
      <c r="I1767" s="329">
        <v>224.09899140979803</v>
      </c>
      <c r="J1767" s="329"/>
      <c r="K1767" s="338">
        <v>224.09899140979803</v>
      </c>
      <c r="L1767" s="338"/>
      <c r="M1767" s="338"/>
      <c r="N1767" s="338"/>
      <c r="O1767" s="338"/>
    </row>
    <row r="1768" spans="1:15" hidden="1" outlineLevel="2" x14ac:dyDescent="0.35">
      <c r="A1768" s="425" t="s">
        <v>7899</v>
      </c>
      <c r="B1768" s="327">
        <v>44530</v>
      </c>
      <c r="C1768" s="426" t="s">
        <v>10263</v>
      </c>
      <c r="D1768" s="427" t="s">
        <v>10264</v>
      </c>
      <c r="E1768" s="426" t="s">
        <v>9683</v>
      </c>
      <c r="F1768" s="338">
        <v>397000</v>
      </c>
      <c r="G1768" s="338" t="s">
        <v>3800</v>
      </c>
      <c r="H1768" s="338"/>
      <c r="I1768" s="329">
        <v>94.646063393287037</v>
      </c>
      <c r="J1768" s="329"/>
      <c r="K1768" s="338">
        <v>94.646063393287037</v>
      </c>
      <c r="L1768" s="338"/>
      <c r="M1768" s="338"/>
      <c r="N1768" s="338"/>
      <c r="O1768" s="338"/>
    </row>
    <row r="1769" spans="1:15" hidden="1" outlineLevel="2" x14ac:dyDescent="0.35">
      <c r="A1769" s="425" t="s">
        <v>7899</v>
      </c>
      <c r="B1769" s="327">
        <v>44391</v>
      </c>
      <c r="C1769" s="426" t="s">
        <v>10265</v>
      </c>
      <c r="D1769" s="427" t="s">
        <v>10266</v>
      </c>
      <c r="E1769" s="426" t="s">
        <v>9680</v>
      </c>
      <c r="F1769" s="338">
        <v>160000</v>
      </c>
      <c r="G1769" s="338" t="s">
        <v>3800</v>
      </c>
      <c r="H1769" s="338"/>
      <c r="I1769" s="329">
        <v>38.144509176135834</v>
      </c>
      <c r="J1769" s="329"/>
      <c r="K1769" s="338">
        <v>38.144509176135834</v>
      </c>
      <c r="L1769" s="338"/>
      <c r="M1769" s="338"/>
      <c r="N1769" s="338"/>
      <c r="O1769" s="338"/>
    </row>
    <row r="1770" spans="1:15" hidden="1" outlineLevel="2" x14ac:dyDescent="0.35">
      <c r="A1770" s="425" t="s">
        <v>7899</v>
      </c>
      <c r="B1770" s="327">
        <v>44391</v>
      </c>
      <c r="C1770" s="426" t="s">
        <v>10097</v>
      </c>
      <c r="D1770" s="427" t="s">
        <v>10266</v>
      </c>
      <c r="E1770" s="426" t="s">
        <v>9680</v>
      </c>
      <c r="F1770" s="338">
        <v>160000</v>
      </c>
      <c r="G1770" s="338" t="s">
        <v>3800</v>
      </c>
      <c r="H1770" s="338"/>
      <c r="I1770" s="329">
        <v>38.144509176135834</v>
      </c>
      <c r="J1770" s="329"/>
      <c r="K1770" s="338">
        <v>38.144509176135834</v>
      </c>
      <c r="L1770" s="338"/>
      <c r="M1770" s="338"/>
      <c r="N1770" s="338"/>
      <c r="O1770" s="338"/>
    </row>
    <row r="1771" spans="1:15" hidden="1" outlineLevel="2" x14ac:dyDescent="0.35">
      <c r="A1771" s="425" t="s">
        <v>7899</v>
      </c>
      <c r="B1771" s="327">
        <v>44391</v>
      </c>
      <c r="C1771" s="426" t="s">
        <v>10267</v>
      </c>
      <c r="D1771" s="427" t="s">
        <v>10266</v>
      </c>
      <c r="E1771" s="426" t="s">
        <v>9680</v>
      </c>
      <c r="F1771" s="338">
        <v>160000</v>
      </c>
      <c r="G1771" s="338" t="s">
        <v>3800</v>
      </c>
      <c r="H1771" s="338"/>
      <c r="I1771" s="329">
        <v>38.144509176135834</v>
      </c>
      <c r="J1771" s="329"/>
      <c r="K1771" s="338">
        <v>38.144509176135834</v>
      </c>
      <c r="L1771" s="338"/>
      <c r="M1771" s="338"/>
      <c r="N1771" s="338"/>
      <c r="O1771" s="338"/>
    </row>
    <row r="1772" spans="1:15" hidden="1" outlineLevel="2" x14ac:dyDescent="0.35">
      <c r="A1772" s="425" t="s">
        <v>7899</v>
      </c>
      <c r="B1772" s="327">
        <v>44561</v>
      </c>
      <c r="C1772" s="426" t="s">
        <v>10268</v>
      </c>
      <c r="D1772" s="427" t="s">
        <v>10269</v>
      </c>
      <c r="E1772" s="426" t="s">
        <v>9683</v>
      </c>
      <c r="F1772" s="338">
        <v>397000</v>
      </c>
      <c r="G1772" s="338" t="s">
        <v>3800</v>
      </c>
      <c r="H1772" s="338"/>
      <c r="I1772" s="329">
        <v>94.646063393287037</v>
      </c>
      <c r="J1772" s="329"/>
      <c r="K1772" s="338">
        <v>94.646063393287037</v>
      </c>
      <c r="L1772" s="338"/>
      <c r="M1772" s="338"/>
      <c r="N1772" s="338"/>
      <c r="O1772" s="338"/>
    </row>
    <row r="1773" spans="1:15" hidden="1" outlineLevel="2" x14ac:dyDescent="0.35">
      <c r="A1773" s="425" t="s">
        <v>7899</v>
      </c>
      <c r="B1773" s="327">
        <v>44391</v>
      </c>
      <c r="C1773" s="426" t="s">
        <v>10270</v>
      </c>
      <c r="D1773" s="427" t="s">
        <v>10271</v>
      </c>
      <c r="E1773" s="426" t="s">
        <v>10272</v>
      </c>
      <c r="F1773" s="338">
        <v>240000</v>
      </c>
      <c r="G1773" s="338" t="s">
        <v>3800</v>
      </c>
      <c r="H1773" s="338"/>
      <c r="I1773" s="329">
        <v>57.216763764203748</v>
      </c>
      <c r="J1773" s="329"/>
      <c r="K1773" s="338">
        <v>57.216763764203748</v>
      </c>
      <c r="L1773" s="338"/>
      <c r="M1773" s="338"/>
      <c r="N1773" s="338"/>
      <c r="O1773" s="338"/>
    </row>
    <row r="1774" spans="1:15" hidden="1" outlineLevel="2" x14ac:dyDescent="0.35">
      <c r="A1774" s="425" t="s">
        <v>7899</v>
      </c>
      <c r="B1774" s="327">
        <v>44529</v>
      </c>
      <c r="C1774" s="426" t="s">
        <v>10273</v>
      </c>
      <c r="D1774" s="427" t="s">
        <v>10274</v>
      </c>
      <c r="E1774" s="426" t="s">
        <v>8147</v>
      </c>
      <c r="F1774" s="338">
        <v>3190000</v>
      </c>
      <c r="G1774" s="338" t="s">
        <v>3800</v>
      </c>
      <c r="H1774" s="338"/>
      <c r="I1774" s="329">
        <v>760.5061516992082</v>
      </c>
      <c r="J1774" s="329"/>
      <c r="K1774" s="338">
        <v>760.5061516992082</v>
      </c>
      <c r="L1774" s="338"/>
      <c r="M1774" s="338"/>
      <c r="N1774" s="338"/>
      <c r="O1774" s="338"/>
    </row>
    <row r="1775" spans="1:15" hidden="1" outlineLevel="2" x14ac:dyDescent="0.35">
      <c r="A1775" s="425" t="s">
        <v>7899</v>
      </c>
      <c r="B1775" s="327">
        <v>44529</v>
      </c>
      <c r="C1775" s="426" t="s">
        <v>10275</v>
      </c>
      <c r="D1775" s="427" t="s">
        <v>10276</v>
      </c>
      <c r="E1775" s="426" t="s">
        <v>10277</v>
      </c>
      <c r="F1775" s="338">
        <v>2394000</v>
      </c>
      <c r="G1775" s="338" t="s">
        <v>3800</v>
      </c>
      <c r="H1775" s="338"/>
      <c r="I1775" s="329">
        <v>570.73721854793234</v>
      </c>
      <c r="J1775" s="329"/>
      <c r="K1775" s="338"/>
      <c r="L1775" s="338">
        <v>570.73721854793234</v>
      </c>
      <c r="M1775" s="338"/>
      <c r="N1775" s="338"/>
      <c r="O1775" s="338"/>
    </row>
    <row r="1776" spans="1:15" hidden="1" outlineLevel="2" x14ac:dyDescent="0.35">
      <c r="A1776" s="425" t="s">
        <v>7899</v>
      </c>
      <c r="B1776" s="327">
        <v>44391</v>
      </c>
      <c r="C1776" s="426" t="s">
        <v>10089</v>
      </c>
      <c r="D1776" s="427" t="s">
        <v>10278</v>
      </c>
      <c r="E1776" s="426" t="s">
        <v>10262</v>
      </c>
      <c r="F1776" s="338">
        <v>940000</v>
      </c>
      <c r="G1776" s="338" t="s">
        <v>3800</v>
      </c>
      <c r="H1776" s="338"/>
      <c r="I1776" s="329">
        <v>224.09899140979803</v>
      </c>
      <c r="J1776" s="329"/>
      <c r="K1776" s="338">
        <v>224.09899140979803</v>
      </c>
      <c r="L1776" s="338"/>
      <c r="M1776" s="338"/>
      <c r="N1776" s="338"/>
      <c r="O1776" s="338"/>
    </row>
    <row r="1777" spans="1:15" hidden="1" outlineLevel="2" x14ac:dyDescent="0.35">
      <c r="A1777" s="425" t="s">
        <v>7899</v>
      </c>
      <c r="B1777" s="327">
        <v>44398</v>
      </c>
      <c r="C1777" s="426" t="s">
        <v>10279</v>
      </c>
      <c r="D1777" s="427" t="s">
        <v>10280</v>
      </c>
      <c r="E1777" s="426" t="s">
        <v>9673</v>
      </c>
      <c r="F1777" s="338">
        <v>1917600</v>
      </c>
      <c r="G1777" s="338" t="s">
        <v>3800</v>
      </c>
      <c r="H1777" s="338"/>
      <c r="I1777" s="329">
        <v>457.16194247598793</v>
      </c>
      <c r="J1777" s="329"/>
      <c r="K1777" s="338">
        <v>457.16194247598793</v>
      </c>
      <c r="L1777" s="338"/>
      <c r="M1777" s="338"/>
      <c r="N1777" s="338"/>
      <c r="O1777" s="338"/>
    </row>
    <row r="1778" spans="1:15" hidden="1" outlineLevel="2" x14ac:dyDescent="0.35">
      <c r="A1778" s="425" t="s">
        <v>7899</v>
      </c>
      <c r="B1778" s="327">
        <v>44561</v>
      </c>
      <c r="C1778" s="426" t="s">
        <v>10281</v>
      </c>
      <c r="D1778" s="427" t="s">
        <v>10219</v>
      </c>
      <c r="E1778" s="426" t="s">
        <v>10282</v>
      </c>
      <c r="F1778" s="338">
        <v>59000</v>
      </c>
      <c r="G1778" s="338" t="s">
        <v>3800</v>
      </c>
      <c r="H1778" s="338"/>
      <c r="I1778" s="329">
        <v>14.065787758700088</v>
      </c>
      <c r="J1778" s="329"/>
      <c r="K1778" s="338">
        <v>14.065787758700088</v>
      </c>
      <c r="L1778" s="338"/>
      <c r="M1778" s="338"/>
      <c r="N1778" s="338"/>
      <c r="O1778" s="338"/>
    </row>
    <row r="1779" spans="1:15" hidden="1" outlineLevel="2" x14ac:dyDescent="0.35">
      <c r="A1779" s="425" t="s">
        <v>7899</v>
      </c>
      <c r="B1779" s="327">
        <v>44529</v>
      </c>
      <c r="C1779" s="426" t="s">
        <v>10283</v>
      </c>
      <c r="D1779" s="427" t="s">
        <v>10284</v>
      </c>
      <c r="E1779" s="426" t="s">
        <v>9680</v>
      </c>
      <c r="F1779" s="338">
        <v>408000</v>
      </c>
      <c r="G1779" s="338" t="s">
        <v>3800</v>
      </c>
      <c r="H1779" s="338"/>
      <c r="I1779" s="329">
        <v>97.268498399146367</v>
      </c>
      <c r="J1779" s="329"/>
      <c r="K1779" s="338">
        <v>97.268498399146367</v>
      </c>
      <c r="L1779" s="338"/>
      <c r="M1779" s="338"/>
      <c r="N1779" s="338"/>
      <c r="O1779" s="338"/>
    </row>
    <row r="1780" spans="1:15" hidden="1" outlineLevel="2" x14ac:dyDescent="0.35">
      <c r="A1780" s="425" t="s">
        <v>7899</v>
      </c>
      <c r="B1780" s="327">
        <v>44529</v>
      </c>
      <c r="C1780" s="426" t="s">
        <v>10285</v>
      </c>
      <c r="D1780" s="427" t="s">
        <v>10286</v>
      </c>
      <c r="E1780" s="426" t="s">
        <v>9680</v>
      </c>
      <c r="F1780" s="338">
        <v>631000</v>
      </c>
      <c r="G1780" s="338" t="s">
        <v>3800</v>
      </c>
      <c r="H1780" s="338"/>
      <c r="I1780" s="329">
        <v>150.43240806338568</v>
      </c>
      <c r="J1780" s="329"/>
      <c r="K1780" s="338">
        <v>150.43240806338568</v>
      </c>
      <c r="L1780" s="338"/>
      <c r="M1780" s="338"/>
      <c r="N1780" s="338"/>
      <c r="O1780" s="338"/>
    </row>
    <row r="1781" spans="1:15" hidden="1" outlineLevel="2" x14ac:dyDescent="0.35">
      <c r="A1781" s="425" t="s">
        <v>7899</v>
      </c>
      <c r="B1781" s="327">
        <v>44404</v>
      </c>
      <c r="C1781" s="426" t="s">
        <v>8873</v>
      </c>
      <c r="D1781" s="427" t="s">
        <v>10287</v>
      </c>
      <c r="E1781" s="426" t="s">
        <v>10066</v>
      </c>
      <c r="F1781" s="338">
        <v>240000</v>
      </c>
      <c r="G1781" s="338" t="s">
        <v>3800</v>
      </c>
      <c r="H1781" s="338"/>
      <c r="I1781" s="329">
        <v>57.216763764203748</v>
      </c>
      <c r="J1781" s="329"/>
      <c r="K1781" s="338">
        <v>57.216763764203748</v>
      </c>
      <c r="L1781" s="338"/>
      <c r="M1781" s="338"/>
      <c r="N1781" s="338"/>
      <c r="O1781" s="338"/>
    </row>
    <row r="1782" spans="1:15" hidden="1" outlineLevel="2" x14ac:dyDescent="0.35">
      <c r="A1782" s="425" t="s">
        <v>7899</v>
      </c>
      <c r="B1782" s="327">
        <v>44550</v>
      </c>
      <c r="C1782" s="426" t="s">
        <v>10288</v>
      </c>
      <c r="D1782" s="427" t="s">
        <v>10289</v>
      </c>
      <c r="E1782" s="426" t="s">
        <v>8144</v>
      </c>
      <c r="F1782" s="338">
        <v>270000</v>
      </c>
      <c r="G1782" s="338" t="s">
        <v>3800</v>
      </c>
      <c r="H1782" s="338"/>
      <c r="I1782" s="329">
        <v>64.368859234729214</v>
      </c>
      <c r="J1782" s="329"/>
      <c r="K1782" s="338">
        <v>64.368859234729214</v>
      </c>
      <c r="L1782" s="338"/>
      <c r="M1782" s="338"/>
      <c r="N1782" s="338"/>
      <c r="O1782" s="338"/>
    </row>
    <row r="1783" spans="1:15" hidden="1" outlineLevel="2" x14ac:dyDescent="0.35">
      <c r="A1783" s="425" t="s">
        <v>7899</v>
      </c>
      <c r="B1783" s="327">
        <v>44550</v>
      </c>
      <c r="C1783" s="426" t="s">
        <v>10290</v>
      </c>
      <c r="D1783" s="427" t="s">
        <v>10289</v>
      </c>
      <c r="E1783" s="426" t="s">
        <v>8517</v>
      </c>
      <c r="F1783" s="338">
        <v>540000</v>
      </c>
      <c r="G1783" s="338" t="s">
        <v>3800</v>
      </c>
      <c r="H1783" s="338"/>
      <c r="I1783" s="329">
        <v>128.73771846945843</v>
      </c>
      <c r="J1783" s="329"/>
      <c r="K1783" s="338">
        <v>128.73771846945843</v>
      </c>
      <c r="L1783" s="338"/>
      <c r="M1783" s="338"/>
      <c r="N1783" s="338"/>
      <c r="O1783" s="338"/>
    </row>
    <row r="1784" spans="1:15" hidden="1" outlineLevel="2" x14ac:dyDescent="0.35">
      <c r="A1784" s="425" t="s">
        <v>7899</v>
      </c>
      <c r="B1784" s="327">
        <v>44561</v>
      </c>
      <c r="C1784" s="426" t="s">
        <v>10291</v>
      </c>
      <c r="D1784" s="427" t="s">
        <v>10292</v>
      </c>
      <c r="E1784" s="426" t="s">
        <v>8038</v>
      </c>
      <c r="F1784" s="338">
        <v>420000</v>
      </c>
      <c r="G1784" s="338" t="s">
        <v>3800</v>
      </c>
      <c r="H1784" s="338"/>
      <c r="I1784" s="329">
        <v>100.12933658735656</v>
      </c>
      <c r="J1784" s="329"/>
      <c r="K1784" s="338">
        <v>100.12933658735656</v>
      </c>
      <c r="L1784" s="338"/>
      <c r="M1784" s="338"/>
      <c r="N1784" s="338"/>
      <c r="O1784" s="338"/>
    </row>
    <row r="1785" spans="1:15" hidden="1" outlineLevel="2" x14ac:dyDescent="0.35">
      <c r="A1785" s="425" t="s">
        <v>7899</v>
      </c>
      <c r="B1785" s="327">
        <v>44560</v>
      </c>
      <c r="C1785" s="426" t="s">
        <v>10293</v>
      </c>
      <c r="D1785" s="427" t="s">
        <v>10294</v>
      </c>
      <c r="E1785" s="426" t="s">
        <v>8030</v>
      </c>
      <c r="F1785" s="338">
        <v>600000</v>
      </c>
      <c r="G1785" s="338" t="s">
        <v>3800</v>
      </c>
      <c r="H1785" s="338"/>
      <c r="I1785" s="329">
        <v>143.04190941050936</v>
      </c>
      <c r="J1785" s="329"/>
      <c r="K1785" s="338">
        <v>143.04190941050936</v>
      </c>
      <c r="L1785" s="338"/>
      <c r="M1785" s="338"/>
      <c r="N1785" s="338"/>
      <c r="O1785" s="338"/>
    </row>
    <row r="1786" spans="1:15" hidden="1" outlineLevel="2" x14ac:dyDescent="0.35">
      <c r="A1786" s="425" t="s">
        <v>7899</v>
      </c>
      <c r="B1786" s="327">
        <v>44551</v>
      </c>
      <c r="C1786" s="426" t="s">
        <v>10295</v>
      </c>
      <c r="D1786" s="427" t="s">
        <v>10296</v>
      </c>
      <c r="E1786" s="426" t="s">
        <v>8144</v>
      </c>
      <c r="F1786" s="338">
        <v>750000</v>
      </c>
      <c r="G1786" s="338" t="s">
        <v>3800</v>
      </c>
      <c r="H1786" s="338"/>
      <c r="I1786" s="329">
        <v>178.80238676313672</v>
      </c>
      <c r="J1786" s="329"/>
      <c r="K1786" s="338">
        <v>178.80238676313672</v>
      </c>
      <c r="L1786" s="338"/>
      <c r="M1786" s="338"/>
      <c r="N1786" s="338"/>
      <c r="O1786" s="338"/>
    </row>
    <row r="1787" spans="1:15" hidden="1" outlineLevel="2" x14ac:dyDescent="0.35">
      <c r="A1787" s="425" t="s">
        <v>7899</v>
      </c>
      <c r="B1787" s="327">
        <v>44541</v>
      </c>
      <c r="C1787" s="426" t="s">
        <v>10297</v>
      </c>
      <c r="D1787" s="427" t="s">
        <v>10298</v>
      </c>
      <c r="E1787" s="426" t="s">
        <v>8144</v>
      </c>
      <c r="F1787" s="338">
        <v>750000</v>
      </c>
      <c r="G1787" s="338" t="s">
        <v>3800</v>
      </c>
      <c r="H1787" s="338"/>
      <c r="I1787" s="329">
        <v>178.80238676313672</v>
      </c>
      <c r="J1787" s="329"/>
      <c r="K1787" s="338">
        <v>178.80238676313672</v>
      </c>
      <c r="L1787" s="338"/>
      <c r="M1787" s="338"/>
      <c r="N1787" s="338"/>
      <c r="O1787" s="338"/>
    </row>
    <row r="1788" spans="1:15" hidden="1" outlineLevel="2" x14ac:dyDescent="0.35">
      <c r="A1788" s="425" t="s">
        <v>7899</v>
      </c>
      <c r="B1788" s="327">
        <v>44550</v>
      </c>
      <c r="C1788" s="426" t="s">
        <v>10299</v>
      </c>
      <c r="D1788" s="427" t="s">
        <v>10300</v>
      </c>
      <c r="E1788" s="426" t="s">
        <v>9714</v>
      </c>
      <c r="F1788" s="338">
        <v>600000</v>
      </c>
      <c r="G1788" s="338" t="s">
        <v>3800</v>
      </c>
      <c r="H1788" s="338"/>
      <c r="I1788" s="329">
        <v>143.04190941050936</v>
      </c>
      <c r="J1788" s="329"/>
      <c r="K1788" s="338">
        <v>143.04190941050936</v>
      </c>
      <c r="L1788" s="338"/>
      <c r="M1788" s="338"/>
      <c r="N1788" s="338"/>
      <c r="O1788" s="338"/>
    </row>
    <row r="1789" spans="1:15" hidden="1" outlineLevel="2" x14ac:dyDescent="0.35">
      <c r="A1789" s="425" t="s">
        <v>7899</v>
      </c>
      <c r="B1789" s="327">
        <v>44550</v>
      </c>
      <c r="C1789" s="426" t="s">
        <v>10301</v>
      </c>
      <c r="D1789" s="427" t="s">
        <v>10298</v>
      </c>
      <c r="E1789" s="426" t="s">
        <v>8517</v>
      </c>
      <c r="F1789" s="338">
        <v>600000</v>
      </c>
      <c r="G1789" s="338" t="s">
        <v>3800</v>
      </c>
      <c r="H1789" s="338"/>
      <c r="I1789" s="329">
        <v>143.04190941050936</v>
      </c>
      <c r="J1789" s="329"/>
      <c r="K1789" s="338">
        <v>143.04190941050936</v>
      </c>
      <c r="L1789" s="338"/>
      <c r="M1789" s="338"/>
      <c r="N1789" s="338"/>
      <c r="O1789" s="338"/>
    </row>
    <row r="1790" spans="1:15" hidden="1" outlineLevel="2" x14ac:dyDescent="0.35">
      <c r="A1790" s="425" t="s">
        <v>7899</v>
      </c>
      <c r="B1790" s="327">
        <v>44550</v>
      </c>
      <c r="C1790" s="426" t="s">
        <v>10302</v>
      </c>
      <c r="D1790" s="427" t="s">
        <v>10298</v>
      </c>
      <c r="E1790" s="426" t="s">
        <v>9714</v>
      </c>
      <c r="F1790" s="338">
        <v>600000</v>
      </c>
      <c r="G1790" s="338" t="s">
        <v>3800</v>
      </c>
      <c r="H1790" s="338"/>
      <c r="I1790" s="329">
        <v>143.04190941050936</v>
      </c>
      <c r="J1790" s="329"/>
      <c r="K1790" s="338">
        <v>143.04190941050936</v>
      </c>
      <c r="L1790" s="338"/>
      <c r="M1790" s="338"/>
      <c r="N1790" s="338"/>
      <c r="O1790" s="338"/>
    </row>
    <row r="1791" spans="1:15" hidden="1" outlineLevel="2" x14ac:dyDescent="0.35">
      <c r="A1791" s="425" t="s">
        <v>7899</v>
      </c>
      <c r="B1791" s="327">
        <v>44550</v>
      </c>
      <c r="C1791" s="426" t="s">
        <v>10303</v>
      </c>
      <c r="D1791" s="427" t="s">
        <v>10304</v>
      </c>
      <c r="E1791" s="426" t="s">
        <v>9714</v>
      </c>
      <c r="F1791" s="338">
        <v>600000</v>
      </c>
      <c r="G1791" s="338" t="s">
        <v>3800</v>
      </c>
      <c r="H1791" s="338"/>
      <c r="I1791" s="329">
        <v>143.04190941050936</v>
      </c>
      <c r="J1791" s="329"/>
      <c r="K1791" s="338">
        <v>143.04190941050936</v>
      </c>
      <c r="L1791" s="338"/>
      <c r="M1791" s="338"/>
      <c r="N1791" s="338"/>
      <c r="O1791" s="338"/>
    </row>
    <row r="1792" spans="1:15" hidden="1" outlineLevel="2" x14ac:dyDescent="0.35">
      <c r="A1792" s="425" t="s">
        <v>7899</v>
      </c>
      <c r="B1792" s="327">
        <v>44533</v>
      </c>
      <c r="C1792" s="426" t="s">
        <v>10305</v>
      </c>
      <c r="D1792" s="427" t="s">
        <v>10306</v>
      </c>
      <c r="E1792" s="426" t="s">
        <v>8456</v>
      </c>
      <c r="F1792" s="338">
        <v>3225000</v>
      </c>
      <c r="G1792" s="338" t="s">
        <v>3800</v>
      </c>
      <c r="H1792" s="338"/>
      <c r="I1792" s="329">
        <v>768.85026308148792</v>
      </c>
      <c r="J1792" s="329"/>
      <c r="K1792" s="338">
        <v>768.85026308148792</v>
      </c>
      <c r="L1792" s="338"/>
      <c r="M1792" s="338"/>
      <c r="N1792" s="338"/>
      <c r="O1792" s="338"/>
    </row>
    <row r="1793" spans="1:15" hidden="1" outlineLevel="2" x14ac:dyDescent="0.35">
      <c r="A1793" s="425" t="s">
        <v>7899</v>
      </c>
      <c r="B1793" s="327">
        <v>44398</v>
      </c>
      <c r="C1793" s="426" t="s">
        <v>10307</v>
      </c>
      <c r="D1793" s="427" t="s">
        <v>10308</v>
      </c>
      <c r="E1793" s="426" t="s">
        <v>9726</v>
      </c>
      <c r="F1793" s="338">
        <v>122400</v>
      </c>
      <c r="G1793" s="338" t="s">
        <v>3800</v>
      </c>
      <c r="H1793" s="338"/>
      <c r="I1793" s="329">
        <v>29.180549519743913</v>
      </c>
      <c r="J1793" s="329"/>
      <c r="K1793" s="338">
        <v>29.180549519743913</v>
      </c>
      <c r="L1793" s="338"/>
      <c r="M1793" s="338"/>
      <c r="N1793" s="338"/>
      <c r="O1793" s="338"/>
    </row>
    <row r="1794" spans="1:15" hidden="1" outlineLevel="2" x14ac:dyDescent="0.35">
      <c r="A1794" s="425" t="s">
        <v>7899</v>
      </c>
      <c r="B1794" s="327">
        <v>44391</v>
      </c>
      <c r="C1794" s="426" t="s">
        <v>10091</v>
      </c>
      <c r="D1794" s="427" t="s">
        <v>10309</v>
      </c>
      <c r="E1794" s="426" t="s">
        <v>10310</v>
      </c>
      <c r="F1794" s="338">
        <v>60000</v>
      </c>
      <c r="G1794" s="338" t="s">
        <v>3800</v>
      </c>
      <c r="H1794" s="338"/>
      <c r="I1794" s="329">
        <v>14.304190941050937</v>
      </c>
      <c r="J1794" s="329"/>
      <c r="K1794" s="338">
        <v>14.304190941050937</v>
      </c>
      <c r="L1794" s="338"/>
      <c r="M1794" s="338"/>
      <c r="N1794" s="338"/>
      <c r="O1794" s="338"/>
    </row>
    <row r="1795" spans="1:15" hidden="1" outlineLevel="2" x14ac:dyDescent="0.35">
      <c r="A1795" s="425" t="s">
        <v>7899</v>
      </c>
      <c r="B1795" s="327">
        <v>44391</v>
      </c>
      <c r="C1795" s="426" t="s">
        <v>10090</v>
      </c>
      <c r="D1795" s="427" t="s">
        <v>10311</v>
      </c>
      <c r="E1795" s="426" t="s">
        <v>10310</v>
      </c>
      <c r="F1795" s="338">
        <v>60000</v>
      </c>
      <c r="G1795" s="338" t="s">
        <v>3800</v>
      </c>
      <c r="H1795" s="338"/>
      <c r="I1795" s="329">
        <v>14.304190941050937</v>
      </c>
      <c r="J1795" s="329"/>
      <c r="K1795" s="338">
        <v>14.304190941050937</v>
      </c>
      <c r="L1795" s="338"/>
      <c r="M1795" s="338"/>
      <c r="N1795" s="338"/>
      <c r="O1795" s="338"/>
    </row>
    <row r="1796" spans="1:15" outlineLevel="1" collapsed="1" x14ac:dyDescent="0.35">
      <c r="A1796" s="432" t="s">
        <v>10312</v>
      </c>
      <c r="B1796" s="327"/>
      <c r="C1796" s="426"/>
      <c r="D1796" s="427"/>
      <c r="E1796" s="426"/>
      <c r="F1796" s="338"/>
      <c r="G1796" s="338"/>
      <c r="H1796" s="338"/>
      <c r="I1796" s="329">
        <f t="shared" ref="I1796:O1796" si="73">SUBTOTAL(9,I1758:I1795)</f>
        <v>10886.287956800639</v>
      </c>
      <c r="J1796" s="329"/>
      <c r="K1796" s="338">
        <f t="shared" si="73"/>
        <v>9885.2329941094267</v>
      </c>
      <c r="L1796" s="338">
        <f t="shared" si="73"/>
        <v>1001.0549626912148</v>
      </c>
      <c r="M1796" s="338">
        <f t="shared" si="73"/>
        <v>0</v>
      </c>
      <c r="N1796" s="338">
        <f t="shared" si="73"/>
        <v>0</v>
      </c>
      <c r="O1796" s="338">
        <f t="shared" si="73"/>
        <v>0</v>
      </c>
    </row>
    <row r="1797" spans="1:15" hidden="1" outlineLevel="2" x14ac:dyDescent="0.35">
      <c r="A1797" s="425" t="s">
        <v>7889</v>
      </c>
      <c r="B1797" s="327">
        <v>44404</v>
      </c>
      <c r="C1797" s="426" t="s">
        <v>10099</v>
      </c>
      <c r="D1797" s="427" t="s">
        <v>10313</v>
      </c>
      <c r="E1797" s="426" t="s">
        <v>10066</v>
      </c>
      <c r="F1797" s="338">
        <v>800000</v>
      </c>
      <c r="G1797" s="338" t="s">
        <v>3800</v>
      </c>
      <c r="H1797" s="338"/>
      <c r="I1797" s="329">
        <v>190.72254588067918</v>
      </c>
      <c r="J1797" s="329"/>
      <c r="K1797" s="338">
        <v>190.72254588067918</v>
      </c>
      <c r="L1797" s="338"/>
      <c r="M1797" s="338"/>
      <c r="N1797" s="338"/>
      <c r="O1797" s="338"/>
    </row>
    <row r="1798" spans="1:15" hidden="1" outlineLevel="2" x14ac:dyDescent="0.35">
      <c r="A1798" s="425" t="s">
        <v>7889</v>
      </c>
      <c r="B1798" s="327">
        <v>44154</v>
      </c>
      <c r="C1798" s="426" t="s">
        <v>9799</v>
      </c>
      <c r="D1798" s="427" t="s">
        <v>10314</v>
      </c>
      <c r="E1798" s="426" t="s">
        <v>8158</v>
      </c>
      <c r="F1798" s="338">
        <v>800000</v>
      </c>
      <c r="G1798" s="338" t="s">
        <v>3800</v>
      </c>
      <c r="H1798" s="338"/>
      <c r="I1798" s="329">
        <v>187.53454479530541</v>
      </c>
      <c r="J1798" s="329"/>
      <c r="K1798" s="338">
        <v>187.53454479530541</v>
      </c>
      <c r="L1798" s="338"/>
      <c r="M1798" s="338"/>
      <c r="N1798" s="338"/>
      <c r="O1798" s="338"/>
    </row>
    <row r="1799" spans="1:15" hidden="1" outlineLevel="2" x14ac:dyDescent="0.35">
      <c r="A1799" s="425" t="s">
        <v>7889</v>
      </c>
      <c r="B1799" s="327">
        <v>44408</v>
      </c>
      <c r="C1799" s="426" t="s">
        <v>10315</v>
      </c>
      <c r="D1799" s="427" t="s">
        <v>10316</v>
      </c>
      <c r="E1799" s="426" t="s">
        <v>8158</v>
      </c>
      <c r="F1799" s="338">
        <v>2186500</v>
      </c>
      <c r="G1799" s="338" t="s">
        <v>3800</v>
      </c>
      <c r="H1799" s="338"/>
      <c r="I1799" s="329">
        <v>521.26855821013123</v>
      </c>
      <c r="J1799" s="329"/>
      <c r="K1799" s="338">
        <v>521.26855821013123</v>
      </c>
      <c r="L1799" s="338"/>
      <c r="M1799" s="338"/>
      <c r="N1799" s="338"/>
      <c r="O1799" s="338"/>
    </row>
    <row r="1800" spans="1:15" hidden="1" outlineLevel="2" x14ac:dyDescent="0.35">
      <c r="A1800" s="425" t="s">
        <v>7889</v>
      </c>
      <c r="B1800" s="327">
        <v>44378</v>
      </c>
      <c r="C1800" s="426" t="s">
        <v>10317</v>
      </c>
      <c r="D1800" s="427" t="s">
        <v>10318</v>
      </c>
      <c r="E1800" s="426" t="s">
        <v>8158</v>
      </c>
      <c r="F1800" s="338">
        <v>2643000</v>
      </c>
      <c r="G1800" s="338" t="s">
        <v>3800</v>
      </c>
      <c r="H1800" s="338"/>
      <c r="I1800" s="329">
        <v>630.09961095329379</v>
      </c>
      <c r="J1800" s="329"/>
      <c r="K1800" s="338">
        <v>630.09961095329379</v>
      </c>
      <c r="L1800" s="338"/>
      <c r="M1800" s="338"/>
      <c r="N1800" s="338"/>
      <c r="O1800" s="338"/>
    </row>
    <row r="1801" spans="1:15" hidden="1" outlineLevel="2" x14ac:dyDescent="0.35">
      <c r="A1801" s="425" t="s">
        <v>7889</v>
      </c>
      <c r="B1801" s="327">
        <v>44165</v>
      </c>
      <c r="C1801" s="426" t="s">
        <v>10319</v>
      </c>
      <c r="D1801" s="427" t="s">
        <v>10171</v>
      </c>
      <c r="E1801" s="426" t="s">
        <v>8036</v>
      </c>
      <c r="F1801" s="338">
        <v>230000</v>
      </c>
      <c r="G1801" s="338" t="s">
        <v>3800</v>
      </c>
      <c r="H1801" s="338"/>
      <c r="I1801" s="329">
        <v>53.916181628650307</v>
      </c>
      <c r="J1801" s="329"/>
      <c r="K1801" s="338">
        <v>53.916181628650307</v>
      </c>
      <c r="L1801" s="338"/>
      <c r="M1801" s="338"/>
      <c r="N1801" s="338"/>
      <c r="O1801" s="338"/>
    </row>
    <row r="1802" spans="1:15" hidden="1" outlineLevel="2" x14ac:dyDescent="0.35">
      <c r="A1802" s="425" t="s">
        <v>7889</v>
      </c>
      <c r="B1802" s="327">
        <v>44378</v>
      </c>
      <c r="C1802" s="426" t="s">
        <v>10240</v>
      </c>
      <c r="D1802" s="427" t="s">
        <v>10320</v>
      </c>
      <c r="E1802" s="426" t="s">
        <v>8158</v>
      </c>
      <c r="F1802" s="338">
        <v>10568500</v>
      </c>
      <c r="G1802" s="338" t="s">
        <v>3800</v>
      </c>
      <c r="H1802" s="338"/>
      <c r="I1802" s="329">
        <v>2519.5640326749472</v>
      </c>
      <c r="J1802" s="329"/>
      <c r="K1802" s="338">
        <v>2519.5640326749472</v>
      </c>
      <c r="L1802" s="338"/>
      <c r="M1802" s="338"/>
      <c r="N1802" s="338"/>
      <c r="O1802" s="338"/>
    </row>
    <row r="1803" spans="1:15" hidden="1" outlineLevel="2" x14ac:dyDescent="0.35">
      <c r="A1803" s="425" t="s">
        <v>7889</v>
      </c>
      <c r="B1803" s="327">
        <v>44378</v>
      </c>
      <c r="C1803" s="426" t="s">
        <v>10321</v>
      </c>
      <c r="D1803" s="427" t="s">
        <v>10322</v>
      </c>
      <c r="E1803" s="426" t="s">
        <v>8144</v>
      </c>
      <c r="F1803" s="338">
        <v>8170750</v>
      </c>
      <c r="G1803" s="338" t="s">
        <v>3800</v>
      </c>
      <c r="H1803" s="338"/>
      <c r="I1803" s="329">
        <v>1947.932802193199</v>
      </c>
      <c r="J1803" s="329"/>
      <c r="K1803" s="338">
        <v>1947.932802193199</v>
      </c>
      <c r="L1803" s="338"/>
      <c r="M1803" s="338"/>
      <c r="N1803" s="338"/>
      <c r="O1803" s="338"/>
    </row>
    <row r="1804" spans="1:15" hidden="1" outlineLevel="2" x14ac:dyDescent="0.35">
      <c r="A1804" s="425" t="s">
        <v>7889</v>
      </c>
      <c r="B1804" s="327">
        <v>44378</v>
      </c>
      <c r="C1804" s="426" t="s">
        <v>10323</v>
      </c>
      <c r="D1804" s="427" t="s">
        <v>10324</v>
      </c>
      <c r="E1804" s="426" t="s">
        <v>8158</v>
      </c>
      <c r="F1804" s="338">
        <v>8191950</v>
      </c>
      <c r="G1804" s="338" t="s">
        <v>3800</v>
      </c>
      <c r="H1804" s="338"/>
      <c r="I1804" s="329">
        <v>1952.986949659037</v>
      </c>
      <c r="J1804" s="329"/>
      <c r="K1804" s="338">
        <v>1952.986949659037</v>
      </c>
      <c r="L1804" s="338"/>
      <c r="M1804" s="338"/>
      <c r="N1804" s="338"/>
      <c r="O1804" s="338"/>
    </row>
    <row r="1805" spans="1:15" hidden="1" outlineLevel="2" x14ac:dyDescent="0.35">
      <c r="A1805" s="425" t="s">
        <v>7889</v>
      </c>
      <c r="B1805" s="327">
        <v>44181</v>
      </c>
      <c r="C1805" s="426" t="s">
        <v>10325</v>
      </c>
      <c r="D1805" s="427" t="s">
        <v>10326</v>
      </c>
      <c r="E1805" s="426" t="s">
        <v>8220</v>
      </c>
      <c r="F1805" s="338">
        <v>240000</v>
      </c>
      <c r="G1805" s="338" t="s">
        <v>3800</v>
      </c>
      <c r="H1805" s="338"/>
      <c r="I1805" s="329">
        <v>56.260363438591625</v>
      </c>
      <c r="J1805" s="329"/>
      <c r="K1805" s="338">
        <v>56.260363438591625</v>
      </c>
      <c r="L1805" s="338"/>
      <c r="M1805" s="338"/>
      <c r="N1805" s="338"/>
      <c r="O1805" s="338"/>
    </row>
    <row r="1806" spans="1:15" hidden="1" outlineLevel="2" x14ac:dyDescent="0.35">
      <c r="A1806" s="425" t="s">
        <v>7889</v>
      </c>
      <c r="B1806" s="327">
        <v>44186</v>
      </c>
      <c r="C1806" s="426" t="s">
        <v>10327</v>
      </c>
      <c r="D1806" s="427" t="s">
        <v>10328</v>
      </c>
      <c r="E1806" s="426" t="s">
        <v>6620</v>
      </c>
      <c r="F1806" s="338">
        <v>2580000</v>
      </c>
      <c r="G1806" s="338" t="s">
        <v>3800</v>
      </c>
      <c r="H1806" s="338"/>
      <c r="I1806" s="329">
        <v>604.79890696485995</v>
      </c>
      <c r="J1806" s="329"/>
      <c r="K1806" s="338">
        <v>604.79890696485995</v>
      </c>
      <c r="L1806" s="338"/>
      <c r="M1806" s="338"/>
      <c r="N1806" s="338"/>
      <c r="O1806" s="338"/>
    </row>
    <row r="1807" spans="1:15" hidden="1" outlineLevel="2" x14ac:dyDescent="0.35">
      <c r="A1807" s="425" t="s">
        <v>7889</v>
      </c>
      <c r="B1807" s="327">
        <v>44186</v>
      </c>
      <c r="C1807" s="426" t="s">
        <v>10329</v>
      </c>
      <c r="D1807" s="427" t="s">
        <v>10328</v>
      </c>
      <c r="E1807" s="426" t="s">
        <v>8164</v>
      </c>
      <c r="F1807" s="338">
        <v>110000</v>
      </c>
      <c r="G1807" s="338" t="s">
        <v>3800</v>
      </c>
      <c r="H1807" s="338"/>
      <c r="I1807" s="329">
        <v>25.785999909354494</v>
      </c>
      <c r="J1807" s="329"/>
      <c r="K1807" s="338">
        <v>25.785999909354494</v>
      </c>
      <c r="L1807" s="338"/>
      <c r="M1807" s="338"/>
      <c r="N1807" s="338"/>
      <c r="O1807" s="338"/>
    </row>
    <row r="1808" spans="1:15" hidden="1" outlineLevel="2" x14ac:dyDescent="0.35">
      <c r="A1808" s="425" t="s">
        <v>7889</v>
      </c>
      <c r="B1808" s="327">
        <v>44378</v>
      </c>
      <c r="C1808" s="426" t="s">
        <v>10330</v>
      </c>
      <c r="D1808" s="427" t="s">
        <v>10331</v>
      </c>
      <c r="E1808" s="426" t="s">
        <v>8144</v>
      </c>
      <c r="F1808" s="338">
        <v>2808000</v>
      </c>
      <c r="G1808" s="338" t="s">
        <v>3800</v>
      </c>
      <c r="H1808" s="338"/>
      <c r="I1808" s="329">
        <v>669.43613604118389</v>
      </c>
      <c r="J1808" s="329"/>
      <c r="K1808" s="338">
        <v>669.43613604118389</v>
      </c>
      <c r="L1808" s="338"/>
      <c r="M1808" s="338"/>
      <c r="N1808" s="338"/>
      <c r="O1808" s="338"/>
    </row>
    <row r="1809" spans="1:15" hidden="1" outlineLevel="2" x14ac:dyDescent="0.35">
      <c r="A1809" s="425" t="s">
        <v>7889</v>
      </c>
      <c r="B1809" s="327">
        <v>44378</v>
      </c>
      <c r="C1809" s="426" t="s">
        <v>10332</v>
      </c>
      <c r="D1809" s="427" t="s">
        <v>10333</v>
      </c>
      <c r="E1809" s="426" t="s">
        <v>8144</v>
      </c>
      <c r="F1809" s="338">
        <v>2490750</v>
      </c>
      <c r="G1809" s="338" t="s">
        <v>3800</v>
      </c>
      <c r="H1809" s="338"/>
      <c r="I1809" s="329">
        <v>593.802726440377</v>
      </c>
      <c r="J1809" s="329"/>
      <c r="K1809" s="338">
        <v>593.802726440377</v>
      </c>
      <c r="L1809" s="338"/>
      <c r="M1809" s="338"/>
      <c r="N1809" s="338"/>
      <c r="O1809" s="338"/>
    </row>
    <row r="1810" spans="1:15" hidden="1" outlineLevel="2" x14ac:dyDescent="0.35">
      <c r="A1810" s="425" t="s">
        <v>7889</v>
      </c>
      <c r="B1810" s="327">
        <v>44194</v>
      </c>
      <c r="C1810" s="426" t="s">
        <v>10334</v>
      </c>
      <c r="D1810" s="427" t="s">
        <v>10335</v>
      </c>
      <c r="E1810" s="426" t="s">
        <v>10336</v>
      </c>
      <c r="F1810" s="338">
        <v>540000</v>
      </c>
      <c r="G1810" s="338" t="s">
        <v>3800</v>
      </c>
      <c r="H1810" s="338"/>
      <c r="I1810" s="329">
        <v>126.58581773683116</v>
      </c>
      <c r="J1810" s="329"/>
      <c r="K1810" s="338">
        <v>126.58581773683116</v>
      </c>
      <c r="L1810" s="338"/>
      <c r="M1810" s="338"/>
      <c r="N1810" s="338"/>
      <c r="O1810" s="338"/>
    </row>
    <row r="1811" spans="1:15" hidden="1" outlineLevel="2" x14ac:dyDescent="0.35">
      <c r="A1811" s="425" t="s">
        <v>7889</v>
      </c>
      <c r="B1811" s="327">
        <v>44391</v>
      </c>
      <c r="C1811" s="426" t="s">
        <v>10337</v>
      </c>
      <c r="D1811" s="427" t="s">
        <v>10266</v>
      </c>
      <c r="E1811" s="426" t="s">
        <v>9680</v>
      </c>
      <c r="F1811" s="338">
        <v>300000</v>
      </c>
      <c r="G1811" s="338" t="s">
        <v>3800</v>
      </c>
      <c r="H1811" s="338"/>
      <c r="I1811" s="329">
        <v>71.520954705254681</v>
      </c>
      <c r="J1811" s="329"/>
      <c r="K1811" s="338">
        <v>71.520954705254681</v>
      </c>
      <c r="L1811" s="338"/>
      <c r="M1811" s="338"/>
      <c r="N1811" s="338"/>
      <c r="O1811" s="338"/>
    </row>
    <row r="1812" spans="1:15" hidden="1" outlineLevel="2" x14ac:dyDescent="0.35">
      <c r="A1812" s="425" t="s">
        <v>7889</v>
      </c>
      <c r="B1812" s="327">
        <v>44314</v>
      </c>
      <c r="C1812" s="426" t="s">
        <v>9788</v>
      </c>
      <c r="D1812" s="427" t="s">
        <v>10338</v>
      </c>
      <c r="E1812" s="426" t="s">
        <v>10339</v>
      </c>
      <c r="F1812" s="338">
        <v>5790400</v>
      </c>
      <c r="G1812" s="338" t="s">
        <v>3800</v>
      </c>
      <c r="H1812" s="338"/>
      <c r="I1812" s="329">
        <v>1380.4497870843559</v>
      </c>
      <c r="J1812" s="329"/>
      <c r="K1812" s="338">
        <v>1380.4497870843559</v>
      </c>
      <c r="L1812" s="338"/>
      <c r="M1812" s="338"/>
      <c r="N1812" s="338"/>
      <c r="O1812" s="338"/>
    </row>
    <row r="1813" spans="1:15" hidden="1" outlineLevel="2" x14ac:dyDescent="0.35">
      <c r="A1813" s="425" t="s">
        <v>7889</v>
      </c>
      <c r="B1813" s="327">
        <v>44391</v>
      </c>
      <c r="C1813" s="426" t="s">
        <v>10325</v>
      </c>
      <c r="D1813" s="427" t="s">
        <v>10340</v>
      </c>
      <c r="E1813" s="426" t="s">
        <v>10262</v>
      </c>
      <c r="F1813" s="338">
        <v>1441960</v>
      </c>
      <c r="G1813" s="338" t="s">
        <v>3800</v>
      </c>
      <c r="H1813" s="338"/>
      <c r="I1813" s="329">
        <v>343.76785282263018</v>
      </c>
      <c r="J1813" s="329"/>
      <c r="K1813" s="338">
        <v>343.76785282263018</v>
      </c>
      <c r="L1813" s="338"/>
      <c r="M1813" s="338"/>
      <c r="N1813" s="338"/>
      <c r="O1813" s="338"/>
    </row>
    <row r="1814" spans="1:15" hidden="1" outlineLevel="2" x14ac:dyDescent="0.35">
      <c r="A1814" s="425" t="s">
        <v>7889</v>
      </c>
      <c r="B1814" s="327">
        <v>44391</v>
      </c>
      <c r="C1814" s="426" t="s">
        <v>10341</v>
      </c>
      <c r="D1814" s="427" t="s">
        <v>10340</v>
      </c>
      <c r="E1814" s="426" t="s">
        <v>10262</v>
      </c>
      <c r="F1814" s="338">
        <v>1441960</v>
      </c>
      <c r="G1814" s="338" t="s">
        <v>3800</v>
      </c>
      <c r="H1814" s="338"/>
      <c r="I1814" s="329">
        <v>343.76785282263018</v>
      </c>
      <c r="J1814" s="329"/>
      <c r="K1814" s="338">
        <v>343.76785282263018</v>
      </c>
      <c r="L1814" s="338"/>
      <c r="M1814" s="338"/>
      <c r="N1814" s="338"/>
      <c r="O1814" s="338"/>
    </row>
    <row r="1815" spans="1:15" hidden="1" outlineLevel="2" x14ac:dyDescent="0.35">
      <c r="A1815" s="425" t="s">
        <v>7889</v>
      </c>
      <c r="B1815" s="327">
        <v>44391</v>
      </c>
      <c r="C1815" s="426" t="s">
        <v>10342</v>
      </c>
      <c r="D1815" s="427" t="s">
        <v>9679</v>
      </c>
      <c r="E1815" s="426" t="s">
        <v>9680</v>
      </c>
      <c r="F1815" s="338">
        <v>220000</v>
      </c>
      <c r="G1815" s="338" t="s">
        <v>3800</v>
      </c>
      <c r="H1815" s="338"/>
      <c r="I1815" s="329">
        <v>52.448700117186767</v>
      </c>
      <c r="J1815" s="329"/>
      <c r="K1815" s="338">
        <v>52.448700117186767</v>
      </c>
      <c r="L1815" s="338"/>
      <c r="M1815" s="338"/>
      <c r="N1815" s="338"/>
      <c r="O1815" s="338"/>
    </row>
    <row r="1816" spans="1:15" hidden="1" outlineLevel="2" x14ac:dyDescent="0.35">
      <c r="A1816" s="425" t="s">
        <v>7889</v>
      </c>
      <c r="B1816" s="327">
        <v>44165</v>
      </c>
      <c r="C1816" s="426" t="s">
        <v>10343</v>
      </c>
      <c r="D1816" s="427" t="s">
        <v>10344</v>
      </c>
      <c r="E1816" s="426" t="s">
        <v>10345</v>
      </c>
      <c r="F1816" s="338">
        <v>235000</v>
      </c>
      <c r="G1816" s="338" t="s">
        <v>3800</v>
      </c>
      <c r="H1816" s="338"/>
      <c r="I1816" s="329">
        <v>55.088272533620966</v>
      </c>
      <c r="J1816" s="329"/>
      <c r="K1816" s="338">
        <v>55.088272533620966</v>
      </c>
      <c r="L1816" s="338"/>
      <c r="M1816" s="338"/>
      <c r="N1816" s="338"/>
      <c r="O1816" s="338"/>
    </row>
    <row r="1817" spans="1:15" hidden="1" outlineLevel="2" x14ac:dyDescent="0.35">
      <c r="A1817" s="425" t="s">
        <v>7889</v>
      </c>
      <c r="B1817" s="327">
        <v>44165</v>
      </c>
      <c r="C1817" s="426" t="s">
        <v>10346</v>
      </c>
      <c r="D1817" s="427" t="s">
        <v>10344</v>
      </c>
      <c r="E1817" s="426" t="s">
        <v>8240</v>
      </c>
      <c r="F1817" s="338">
        <v>180000</v>
      </c>
      <c r="G1817" s="338" t="s">
        <v>3800</v>
      </c>
      <c r="H1817" s="338"/>
      <c r="I1817" s="329">
        <v>42.195272578943715</v>
      </c>
      <c r="J1817" s="329"/>
      <c r="K1817" s="338">
        <v>42.195272578943715</v>
      </c>
      <c r="L1817" s="338"/>
      <c r="M1817" s="338"/>
      <c r="N1817" s="338"/>
      <c r="O1817" s="338"/>
    </row>
    <row r="1818" spans="1:15" hidden="1" outlineLevel="2" x14ac:dyDescent="0.35">
      <c r="A1818" s="425" t="s">
        <v>7889</v>
      </c>
      <c r="B1818" s="327">
        <v>44165</v>
      </c>
      <c r="C1818" s="426" t="s">
        <v>10347</v>
      </c>
      <c r="D1818" s="427" t="s">
        <v>10344</v>
      </c>
      <c r="E1818" s="426" t="s">
        <v>10348</v>
      </c>
      <c r="F1818" s="338">
        <v>50000</v>
      </c>
      <c r="G1818" s="338" t="s">
        <v>3800</v>
      </c>
      <c r="H1818" s="338"/>
      <c r="I1818" s="329">
        <v>11.720909049706588</v>
      </c>
      <c r="J1818" s="329"/>
      <c r="K1818" s="338">
        <v>11.720909049706588</v>
      </c>
      <c r="L1818" s="338"/>
      <c r="M1818" s="338"/>
      <c r="N1818" s="338"/>
      <c r="O1818" s="338"/>
    </row>
    <row r="1819" spans="1:15" hidden="1" outlineLevel="2" x14ac:dyDescent="0.35">
      <c r="A1819" s="425" t="s">
        <v>7889</v>
      </c>
      <c r="B1819" s="327">
        <v>44165</v>
      </c>
      <c r="C1819" s="426" t="s">
        <v>10349</v>
      </c>
      <c r="D1819" s="427" t="s">
        <v>10344</v>
      </c>
      <c r="E1819" s="426" t="s">
        <v>10350</v>
      </c>
      <c r="F1819" s="338">
        <v>690000</v>
      </c>
      <c r="G1819" s="338" t="s">
        <v>3800</v>
      </c>
      <c r="H1819" s="338"/>
      <c r="I1819" s="329">
        <v>161.74854488595091</v>
      </c>
      <c r="J1819" s="329"/>
      <c r="K1819" s="338">
        <v>161.74854488595091</v>
      </c>
      <c r="L1819" s="338"/>
      <c r="M1819" s="338"/>
      <c r="N1819" s="338"/>
      <c r="O1819" s="338"/>
    </row>
    <row r="1820" spans="1:15" hidden="1" outlineLevel="2" x14ac:dyDescent="0.35">
      <c r="A1820" s="425" t="s">
        <v>7889</v>
      </c>
      <c r="B1820" s="327">
        <v>44165</v>
      </c>
      <c r="C1820" s="426" t="s">
        <v>10351</v>
      </c>
      <c r="D1820" s="427" t="s">
        <v>10344</v>
      </c>
      <c r="E1820" s="426" t="s">
        <v>10352</v>
      </c>
      <c r="F1820" s="338">
        <v>125000</v>
      </c>
      <c r="G1820" s="338" t="s">
        <v>3800</v>
      </c>
      <c r="H1820" s="338"/>
      <c r="I1820" s="329">
        <v>29.302272624266472</v>
      </c>
      <c r="J1820" s="329"/>
      <c r="K1820" s="338">
        <v>29.302272624266472</v>
      </c>
      <c r="L1820" s="338"/>
      <c r="M1820" s="338"/>
      <c r="N1820" s="338"/>
      <c r="O1820" s="338"/>
    </row>
    <row r="1821" spans="1:15" hidden="1" outlineLevel="2" x14ac:dyDescent="0.35">
      <c r="A1821" s="425" t="s">
        <v>7889</v>
      </c>
      <c r="B1821" s="327">
        <v>44165</v>
      </c>
      <c r="C1821" s="426" t="s">
        <v>10353</v>
      </c>
      <c r="D1821" s="427" t="s">
        <v>10344</v>
      </c>
      <c r="E1821" s="426" t="s">
        <v>8164</v>
      </c>
      <c r="F1821" s="338">
        <v>150000</v>
      </c>
      <c r="G1821" s="338" t="s">
        <v>3800</v>
      </c>
      <c r="H1821" s="338"/>
      <c r="I1821" s="329">
        <v>35.162727149119767</v>
      </c>
      <c r="J1821" s="329"/>
      <c r="K1821" s="338">
        <v>35.162727149119767</v>
      </c>
      <c r="L1821" s="338"/>
      <c r="M1821" s="338"/>
      <c r="N1821" s="338"/>
      <c r="O1821" s="338"/>
    </row>
    <row r="1822" spans="1:15" hidden="1" outlineLevel="2" x14ac:dyDescent="0.35">
      <c r="A1822" s="425" t="s">
        <v>7889</v>
      </c>
      <c r="B1822" s="327">
        <v>44165</v>
      </c>
      <c r="C1822" s="426" t="s">
        <v>10354</v>
      </c>
      <c r="D1822" s="427" t="s">
        <v>10344</v>
      </c>
      <c r="E1822" s="426" t="s">
        <v>10355</v>
      </c>
      <c r="F1822" s="338">
        <v>15000</v>
      </c>
      <c r="G1822" s="338" t="s">
        <v>3800</v>
      </c>
      <c r="H1822" s="338"/>
      <c r="I1822" s="329">
        <v>3.5162727149119766</v>
      </c>
      <c r="J1822" s="329"/>
      <c r="K1822" s="338">
        <v>3.5162727149119766</v>
      </c>
      <c r="L1822" s="338"/>
      <c r="M1822" s="338"/>
      <c r="N1822" s="338"/>
      <c r="O1822" s="338"/>
    </row>
    <row r="1823" spans="1:15" hidden="1" outlineLevel="2" x14ac:dyDescent="0.35">
      <c r="A1823" s="425" t="s">
        <v>7889</v>
      </c>
      <c r="B1823" s="327">
        <v>44165</v>
      </c>
      <c r="C1823" s="426" t="s">
        <v>10356</v>
      </c>
      <c r="D1823" s="427" t="s">
        <v>10344</v>
      </c>
      <c r="E1823" s="426" t="s">
        <v>10357</v>
      </c>
      <c r="F1823" s="338">
        <v>20000</v>
      </c>
      <c r="G1823" s="338" t="s">
        <v>3800</v>
      </c>
      <c r="H1823" s="338"/>
      <c r="I1823" s="329">
        <v>4.6883636198826357</v>
      </c>
      <c r="J1823" s="329"/>
      <c r="K1823" s="338">
        <v>4.6883636198826357</v>
      </c>
      <c r="L1823" s="338"/>
      <c r="M1823" s="338"/>
      <c r="N1823" s="338"/>
      <c r="O1823" s="338"/>
    </row>
    <row r="1824" spans="1:15" hidden="1" outlineLevel="2" x14ac:dyDescent="0.35">
      <c r="A1824" s="425" t="s">
        <v>7889</v>
      </c>
      <c r="B1824" s="327">
        <v>44178</v>
      </c>
      <c r="C1824" s="426" t="s">
        <v>10342</v>
      </c>
      <c r="D1824" s="427" t="s">
        <v>10358</v>
      </c>
      <c r="E1824" s="426" t="s">
        <v>10359</v>
      </c>
      <c r="F1824" s="338">
        <v>6900000</v>
      </c>
      <c r="G1824" s="338" t="s">
        <v>3800</v>
      </c>
      <c r="H1824" s="338"/>
      <c r="I1824" s="329">
        <v>1617.4854488595092</v>
      </c>
      <c r="J1824" s="329"/>
      <c r="K1824" s="338">
        <v>1617.4854488595092</v>
      </c>
      <c r="L1824" s="338"/>
      <c r="M1824" s="338"/>
      <c r="N1824" s="338"/>
      <c r="O1824" s="338"/>
    </row>
    <row r="1825" spans="1:15" hidden="1" outlineLevel="2" x14ac:dyDescent="0.35">
      <c r="A1825" s="425" t="s">
        <v>7889</v>
      </c>
      <c r="B1825" s="327">
        <v>44426</v>
      </c>
      <c r="C1825" s="426" t="s">
        <v>10360</v>
      </c>
      <c r="D1825" s="427" t="s">
        <v>10361</v>
      </c>
      <c r="E1825" s="426" t="s">
        <v>10272</v>
      </c>
      <c r="F1825" s="338">
        <v>240000</v>
      </c>
      <c r="G1825" s="338" t="s">
        <v>3800</v>
      </c>
      <c r="H1825" s="338"/>
      <c r="I1825" s="329">
        <v>57.216763764203748</v>
      </c>
      <c r="J1825" s="329"/>
      <c r="K1825" s="338">
        <v>57.216763764203748</v>
      </c>
      <c r="L1825" s="338"/>
      <c r="M1825" s="338"/>
      <c r="N1825" s="338"/>
      <c r="O1825" s="338"/>
    </row>
    <row r="1826" spans="1:15" hidden="1" outlineLevel="2" x14ac:dyDescent="0.35">
      <c r="A1826" s="425" t="s">
        <v>7889</v>
      </c>
      <c r="B1826" s="327">
        <v>44190</v>
      </c>
      <c r="C1826" s="426" t="s">
        <v>10265</v>
      </c>
      <c r="D1826" s="427" t="s">
        <v>10362</v>
      </c>
      <c r="E1826" s="426" t="s">
        <v>8147</v>
      </c>
      <c r="F1826" s="338">
        <v>6441000</v>
      </c>
      <c r="G1826" s="338" t="s">
        <v>3800</v>
      </c>
      <c r="H1826" s="338"/>
      <c r="I1826" s="329">
        <v>1509.8875037832026</v>
      </c>
      <c r="J1826" s="329"/>
      <c r="K1826" s="338">
        <v>1509.8875037832026</v>
      </c>
      <c r="L1826" s="338"/>
      <c r="M1826" s="338"/>
      <c r="N1826" s="338"/>
      <c r="O1826" s="338"/>
    </row>
    <row r="1827" spans="1:15" hidden="1" outlineLevel="2" x14ac:dyDescent="0.35">
      <c r="A1827" s="425" t="s">
        <v>7889</v>
      </c>
      <c r="B1827" s="327">
        <v>44183</v>
      </c>
      <c r="C1827" s="426" t="s">
        <v>10363</v>
      </c>
      <c r="D1827" s="427" t="s">
        <v>10364</v>
      </c>
      <c r="E1827" s="426" t="s">
        <v>9680</v>
      </c>
      <c r="F1827" s="338">
        <v>1194000</v>
      </c>
      <c r="G1827" s="338" t="s">
        <v>3800</v>
      </c>
      <c r="H1827" s="338"/>
      <c r="I1827" s="329">
        <v>279.89530810699335</v>
      </c>
      <c r="J1827" s="329"/>
      <c r="K1827" s="338">
        <v>279.89530810699335</v>
      </c>
      <c r="L1827" s="338"/>
      <c r="M1827" s="338"/>
      <c r="N1827" s="338"/>
      <c r="O1827" s="338"/>
    </row>
    <row r="1828" spans="1:15" hidden="1" outlineLevel="2" x14ac:dyDescent="0.35">
      <c r="A1828" s="425" t="s">
        <v>7889</v>
      </c>
      <c r="B1828" s="327">
        <v>44426</v>
      </c>
      <c r="C1828" s="426" t="s">
        <v>10365</v>
      </c>
      <c r="D1828" s="427" t="s">
        <v>10366</v>
      </c>
      <c r="E1828" s="426" t="s">
        <v>10272</v>
      </c>
      <c r="F1828" s="338">
        <v>80000</v>
      </c>
      <c r="G1828" s="338" t="s">
        <v>3800</v>
      </c>
      <c r="H1828" s="338"/>
      <c r="I1828" s="329">
        <v>19.072254588067917</v>
      </c>
      <c r="J1828" s="329"/>
      <c r="K1828" s="338">
        <v>19.072254588067917</v>
      </c>
      <c r="L1828" s="338"/>
      <c r="M1828" s="338"/>
      <c r="N1828" s="338"/>
      <c r="O1828" s="338"/>
    </row>
    <row r="1829" spans="1:15" hidden="1" outlineLevel="2" x14ac:dyDescent="0.35">
      <c r="A1829" s="425" t="s">
        <v>7889</v>
      </c>
      <c r="B1829" s="327" t="s">
        <v>10367</v>
      </c>
      <c r="C1829" s="426" t="s">
        <v>8123</v>
      </c>
      <c r="D1829" s="427" t="s">
        <v>10368</v>
      </c>
      <c r="E1829" s="426" t="s">
        <v>10066</v>
      </c>
      <c r="F1829" s="338">
        <v>1128000</v>
      </c>
      <c r="G1829" s="338" t="s">
        <v>3800</v>
      </c>
      <c r="H1829" s="338"/>
      <c r="I1829" s="329">
        <v>268.91878969175764</v>
      </c>
      <c r="J1829" s="329"/>
      <c r="K1829" s="338">
        <v>268.91878969175764</v>
      </c>
      <c r="L1829" s="338"/>
      <c r="M1829" s="338"/>
      <c r="N1829" s="338"/>
      <c r="O1829" s="338"/>
    </row>
    <row r="1830" spans="1:15" hidden="1" outlineLevel="2" x14ac:dyDescent="0.35">
      <c r="A1830" s="425" t="s">
        <v>7889</v>
      </c>
      <c r="B1830" s="327">
        <v>44391</v>
      </c>
      <c r="C1830" s="426" t="s">
        <v>10369</v>
      </c>
      <c r="D1830" s="427" t="s">
        <v>10370</v>
      </c>
      <c r="E1830" s="426" t="s">
        <v>10310</v>
      </c>
      <c r="F1830" s="338">
        <v>92040</v>
      </c>
      <c r="G1830" s="338" t="s">
        <v>3800</v>
      </c>
      <c r="H1830" s="338"/>
      <c r="I1830" s="329">
        <v>21.942628903572139</v>
      </c>
      <c r="J1830" s="329"/>
      <c r="K1830" s="338">
        <v>21.942628903572139</v>
      </c>
      <c r="L1830" s="338"/>
      <c r="M1830" s="338"/>
      <c r="N1830" s="338"/>
      <c r="O1830" s="338"/>
    </row>
    <row r="1831" spans="1:15" hidden="1" outlineLevel="2" x14ac:dyDescent="0.35">
      <c r="A1831" s="425" t="s">
        <v>7889</v>
      </c>
      <c r="B1831" s="327" t="s">
        <v>10367</v>
      </c>
      <c r="C1831" s="426" t="s">
        <v>10371</v>
      </c>
      <c r="D1831" s="427" t="s">
        <v>10372</v>
      </c>
      <c r="E1831" s="426" t="s">
        <v>8057</v>
      </c>
      <c r="F1831" s="338">
        <v>72000</v>
      </c>
      <c r="G1831" s="338" t="s">
        <v>3800</v>
      </c>
      <c r="H1831" s="338"/>
      <c r="I1831" s="329">
        <v>17.165029129261125</v>
      </c>
      <c r="J1831" s="329"/>
      <c r="K1831" s="338">
        <v>17.165029129261125</v>
      </c>
      <c r="L1831" s="338"/>
      <c r="M1831" s="338"/>
      <c r="N1831" s="338"/>
      <c r="O1831" s="338"/>
    </row>
    <row r="1832" spans="1:15" hidden="1" outlineLevel="2" x14ac:dyDescent="0.35">
      <c r="A1832" s="425" t="s">
        <v>7889</v>
      </c>
      <c r="B1832" s="327">
        <v>44314</v>
      </c>
      <c r="C1832" s="426" t="s">
        <v>9777</v>
      </c>
      <c r="D1832" s="427" t="s">
        <v>10373</v>
      </c>
      <c r="E1832" s="426" t="s">
        <v>10374</v>
      </c>
      <c r="F1832" s="338">
        <v>369600</v>
      </c>
      <c r="G1832" s="338" t="s">
        <v>3800</v>
      </c>
      <c r="H1832" s="338"/>
      <c r="I1832" s="329">
        <v>88.113816196873771</v>
      </c>
      <c r="J1832" s="329"/>
      <c r="K1832" s="338">
        <v>88.113816196873771</v>
      </c>
      <c r="L1832" s="338"/>
      <c r="M1832" s="338"/>
      <c r="N1832" s="338"/>
      <c r="O1832" s="338"/>
    </row>
    <row r="1833" spans="1:15" hidden="1" outlineLevel="2" x14ac:dyDescent="0.35">
      <c r="A1833" s="425" t="s">
        <v>7889</v>
      </c>
      <c r="B1833" s="327">
        <v>44391</v>
      </c>
      <c r="C1833" s="426" t="s">
        <v>10363</v>
      </c>
      <c r="D1833" s="427" t="s">
        <v>10375</v>
      </c>
      <c r="E1833" s="426" t="s">
        <v>10310</v>
      </c>
      <c r="F1833" s="338">
        <v>92040</v>
      </c>
      <c r="G1833" s="338" t="s">
        <v>3800</v>
      </c>
      <c r="H1833" s="338"/>
      <c r="I1833" s="329">
        <v>21.942628903572139</v>
      </c>
      <c r="J1833" s="329"/>
      <c r="K1833" s="338">
        <v>21.942628903572139</v>
      </c>
      <c r="L1833" s="338"/>
      <c r="M1833" s="338"/>
      <c r="N1833" s="338"/>
      <c r="O1833" s="338"/>
    </row>
    <row r="1834" spans="1:15" outlineLevel="1" collapsed="1" x14ac:dyDescent="0.35">
      <c r="A1834" s="432" t="s">
        <v>10376</v>
      </c>
      <c r="B1834" s="327"/>
      <c r="C1834" s="426"/>
      <c r="D1834" s="427"/>
      <c r="E1834" s="426"/>
      <c r="F1834" s="338"/>
      <c r="G1834" s="338"/>
      <c r="H1834" s="338"/>
      <c r="I1834" s="329">
        <f t="shared" ref="I1834:O1834" si="74">SUBTOTAL(9,I1797:I1833)</f>
        <v>16517.713131161916</v>
      </c>
      <c r="J1834" s="329"/>
      <c r="K1834" s="338">
        <f t="shared" si="74"/>
        <v>16517.713131161916</v>
      </c>
      <c r="L1834" s="338">
        <f t="shared" si="74"/>
        <v>0</v>
      </c>
      <c r="M1834" s="338">
        <f t="shared" si="74"/>
        <v>0</v>
      </c>
      <c r="N1834" s="338">
        <f t="shared" si="74"/>
        <v>0</v>
      </c>
      <c r="O1834" s="338">
        <f t="shared" si="74"/>
        <v>0</v>
      </c>
    </row>
    <row r="1835" spans="1:15" hidden="1" outlineLevel="2" x14ac:dyDescent="0.35">
      <c r="A1835" s="425" t="s">
        <v>7939</v>
      </c>
      <c r="B1835" s="327">
        <v>44378</v>
      </c>
      <c r="C1835" s="426" t="s">
        <v>10377</v>
      </c>
      <c r="D1835" s="427" t="s">
        <v>10378</v>
      </c>
      <c r="E1835" s="426" t="s">
        <v>8144</v>
      </c>
      <c r="F1835" s="338">
        <v>1050000</v>
      </c>
      <c r="G1835" s="338" t="s">
        <v>3800</v>
      </c>
      <c r="H1835" s="338"/>
      <c r="I1835" s="329">
        <v>250.32334146839139</v>
      </c>
      <c r="J1835" s="329"/>
      <c r="K1835" s="338">
        <v>250.32334146839139</v>
      </c>
      <c r="L1835" s="338"/>
      <c r="M1835" s="338"/>
      <c r="N1835" s="338"/>
      <c r="O1835" s="338"/>
    </row>
    <row r="1836" spans="1:15" hidden="1" outlineLevel="2" x14ac:dyDescent="0.35">
      <c r="A1836" s="425" t="s">
        <v>7939</v>
      </c>
      <c r="B1836" s="327">
        <v>44561</v>
      </c>
      <c r="C1836" s="426" t="s">
        <v>10379</v>
      </c>
      <c r="D1836" s="427" t="s">
        <v>10380</v>
      </c>
      <c r="E1836" s="426" t="s">
        <v>9459</v>
      </c>
      <c r="F1836" s="338">
        <v>1880000</v>
      </c>
      <c r="G1836" s="338" t="s">
        <v>3800</v>
      </c>
      <c r="H1836" s="338"/>
      <c r="I1836" s="329">
        <v>448.19798281959606</v>
      </c>
      <c r="J1836" s="329"/>
      <c r="K1836" s="338"/>
      <c r="L1836" s="338"/>
      <c r="M1836" s="338">
        <v>448.19798281959606</v>
      </c>
      <c r="N1836" s="338"/>
      <c r="O1836" s="338"/>
    </row>
    <row r="1837" spans="1:15" outlineLevel="1" collapsed="1" x14ac:dyDescent="0.35">
      <c r="A1837" s="432" t="s">
        <v>10381</v>
      </c>
      <c r="B1837" s="327"/>
      <c r="C1837" s="426"/>
      <c r="D1837" s="427"/>
      <c r="E1837" s="426"/>
      <c r="F1837" s="338"/>
      <c r="G1837" s="338"/>
      <c r="H1837" s="338"/>
      <c r="I1837" s="329">
        <f t="shared" ref="I1837:O1837" si="75">SUBTOTAL(9,I1835:I1836)</f>
        <v>698.52132428798745</v>
      </c>
      <c r="J1837" s="329"/>
      <c r="K1837" s="338">
        <f t="shared" si="75"/>
        <v>250.32334146839139</v>
      </c>
      <c r="L1837" s="338">
        <f t="shared" si="75"/>
        <v>0</v>
      </c>
      <c r="M1837" s="338">
        <f t="shared" si="75"/>
        <v>448.19798281959606</v>
      </c>
      <c r="N1837" s="338">
        <f t="shared" si="75"/>
        <v>0</v>
      </c>
      <c r="O1837" s="338">
        <f t="shared" si="75"/>
        <v>0</v>
      </c>
    </row>
    <row r="1838" spans="1:15" hidden="1" outlineLevel="2" x14ac:dyDescent="0.35">
      <c r="A1838" s="425" t="s">
        <v>10382</v>
      </c>
      <c r="B1838" s="327">
        <v>44389</v>
      </c>
      <c r="C1838" s="328" t="s">
        <v>8251</v>
      </c>
      <c r="D1838" s="427" t="s">
        <v>10383</v>
      </c>
      <c r="E1838" s="426" t="s">
        <v>10384</v>
      </c>
      <c r="F1838" s="338">
        <v>1660960</v>
      </c>
      <c r="G1838" s="338" t="s">
        <v>3800</v>
      </c>
      <c r="H1838" s="338"/>
      <c r="I1838" s="329">
        <v>395.9781497574661</v>
      </c>
      <c r="J1838" s="329"/>
      <c r="K1838" s="338">
        <v>395.9781497574661</v>
      </c>
      <c r="L1838" s="338"/>
      <c r="M1838" s="338"/>
      <c r="N1838" s="338"/>
      <c r="O1838" s="338"/>
    </row>
    <row r="1839" spans="1:15" hidden="1" outlineLevel="2" x14ac:dyDescent="0.35">
      <c r="A1839" s="425" t="s">
        <v>10382</v>
      </c>
      <c r="B1839" s="327">
        <v>44454</v>
      </c>
      <c r="C1839" s="328" t="s">
        <v>10385</v>
      </c>
      <c r="D1839" s="427" t="s">
        <v>10386</v>
      </c>
      <c r="E1839" s="426" t="s">
        <v>10387</v>
      </c>
      <c r="F1839" s="338">
        <v>17800000</v>
      </c>
      <c r="G1839" s="338" t="s">
        <v>3800</v>
      </c>
      <c r="H1839" s="338"/>
      <c r="I1839" s="329">
        <v>4243.5766458451117</v>
      </c>
      <c r="J1839" s="329"/>
      <c r="K1839" s="338">
        <v>4243.5766458451117</v>
      </c>
      <c r="L1839" s="338"/>
      <c r="M1839" s="338"/>
      <c r="N1839" s="338"/>
      <c r="O1839" s="338"/>
    </row>
    <row r="1840" spans="1:15" hidden="1" outlineLevel="2" x14ac:dyDescent="0.35">
      <c r="A1840" s="425" t="s">
        <v>10382</v>
      </c>
      <c r="B1840" s="327">
        <v>44389</v>
      </c>
      <c r="C1840" s="328" t="s">
        <v>10319</v>
      </c>
      <c r="D1840" s="427" t="s">
        <v>10388</v>
      </c>
      <c r="E1840" s="426" t="s">
        <v>10389</v>
      </c>
      <c r="F1840" s="338">
        <v>88980</v>
      </c>
      <c r="G1840" s="338" t="s">
        <v>3800</v>
      </c>
      <c r="H1840" s="338"/>
      <c r="I1840" s="329">
        <v>21.213115165578539</v>
      </c>
      <c r="J1840" s="329"/>
      <c r="K1840" s="338">
        <v>21.213115165578539</v>
      </c>
      <c r="L1840" s="338"/>
      <c r="M1840" s="338"/>
      <c r="N1840" s="338"/>
      <c r="O1840" s="338"/>
    </row>
    <row r="1841" spans="1:15" outlineLevel="1" collapsed="1" x14ac:dyDescent="0.35">
      <c r="A1841" s="432" t="s">
        <v>10390</v>
      </c>
      <c r="B1841" s="327"/>
      <c r="C1841" s="328"/>
      <c r="D1841" s="427"/>
      <c r="E1841" s="426"/>
      <c r="F1841" s="338"/>
      <c r="G1841" s="338"/>
      <c r="H1841" s="338"/>
      <c r="I1841" s="329">
        <f t="shared" ref="I1841:O1841" si="76">SUBTOTAL(9,I1838:I1840)</f>
        <v>4660.7679107681561</v>
      </c>
      <c r="J1841" s="329"/>
      <c r="K1841" s="338">
        <f t="shared" si="76"/>
        <v>4660.7679107681561</v>
      </c>
      <c r="L1841" s="338">
        <f t="shared" si="76"/>
        <v>0</v>
      </c>
      <c r="M1841" s="338">
        <f t="shared" si="76"/>
        <v>0</v>
      </c>
      <c r="N1841" s="338">
        <f t="shared" si="76"/>
        <v>0</v>
      </c>
      <c r="O1841" s="338">
        <f t="shared" si="76"/>
        <v>0</v>
      </c>
    </row>
    <row r="1842" spans="1:15" hidden="1" outlineLevel="2" x14ac:dyDescent="0.35">
      <c r="A1842" s="425" t="s">
        <v>7955</v>
      </c>
      <c r="B1842" s="327">
        <v>44562</v>
      </c>
      <c r="C1842" s="426" t="s">
        <v>10391</v>
      </c>
      <c r="D1842" s="427" t="s">
        <v>10392</v>
      </c>
      <c r="E1842" s="426" t="s">
        <v>10393</v>
      </c>
      <c r="F1842" s="338">
        <v>7661000</v>
      </c>
      <c r="G1842" s="338" t="s">
        <v>3800</v>
      </c>
      <c r="H1842" s="338"/>
      <c r="I1842" s="329">
        <v>1826.4067799898539</v>
      </c>
      <c r="J1842" s="329"/>
      <c r="K1842" s="338"/>
      <c r="L1842" s="338"/>
      <c r="M1842" s="338"/>
      <c r="N1842" s="338">
        <v>1826.4067799898539</v>
      </c>
      <c r="O1842" s="338"/>
    </row>
    <row r="1843" spans="1:15" hidden="1" outlineLevel="2" x14ac:dyDescent="0.35">
      <c r="A1843" s="425" t="s">
        <v>7955</v>
      </c>
      <c r="B1843" s="327">
        <v>44550</v>
      </c>
      <c r="C1843" s="426" t="s">
        <v>10394</v>
      </c>
      <c r="D1843" s="427" t="s">
        <v>10395</v>
      </c>
      <c r="E1843" s="426" t="s">
        <v>8456</v>
      </c>
      <c r="F1843" s="338">
        <v>6734525</v>
      </c>
      <c r="G1843" s="338" t="s">
        <v>3800</v>
      </c>
      <c r="H1843" s="338"/>
      <c r="I1843" s="329">
        <v>1605.5321916213511</v>
      </c>
      <c r="J1843" s="329"/>
      <c r="K1843" s="338"/>
      <c r="L1843" s="338"/>
      <c r="M1843" s="338"/>
      <c r="N1843" s="338">
        <v>1605.5321916213511</v>
      </c>
      <c r="O1843" s="338"/>
    </row>
    <row r="1844" spans="1:15" hidden="1" outlineLevel="2" x14ac:dyDescent="0.35">
      <c r="A1844" s="425" t="s">
        <v>7955</v>
      </c>
      <c r="B1844" s="327">
        <v>44562</v>
      </c>
      <c r="C1844" s="426" t="s">
        <v>9904</v>
      </c>
      <c r="D1844" s="427" t="s">
        <v>10396</v>
      </c>
      <c r="E1844" s="426" t="s">
        <v>10397</v>
      </c>
      <c r="F1844" s="338">
        <v>489000</v>
      </c>
      <c r="G1844" s="338" t="s">
        <v>3800</v>
      </c>
      <c r="H1844" s="338"/>
      <c r="I1844" s="329">
        <v>116.57915616956514</v>
      </c>
      <c r="J1844" s="329"/>
      <c r="K1844" s="338"/>
      <c r="L1844" s="338"/>
      <c r="M1844" s="338"/>
      <c r="N1844" s="338">
        <v>116.57915616956514</v>
      </c>
      <c r="O1844" s="338"/>
    </row>
    <row r="1845" spans="1:15" outlineLevel="1" collapsed="1" x14ac:dyDescent="0.35">
      <c r="A1845" s="432" t="s">
        <v>10398</v>
      </c>
      <c r="B1845" s="327"/>
      <c r="C1845" s="426"/>
      <c r="D1845" s="427"/>
      <c r="E1845" s="426"/>
      <c r="F1845" s="338"/>
      <c r="G1845" s="338"/>
      <c r="H1845" s="338"/>
      <c r="I1845" s="329">
        <f t="shared" ref="I1845:O1845" si="77">SUBTOTAL(9,I1842:I1844)</f>
        <v>3548.5181277807701</v>
      </c>
      <c r="J1845" s="329"/>
      <c r="K1845" s="338">
        <f t="shared" si="77"/>
        <v>0</v>
      </c>
      <c r="L1845" s="338">
        <f t="shared" si="77"/>
        <v>0</v>
      </c>
      <c r="M1845" s="338">
        <f t="shared" si="77"/>
        <v>0</v>
      </c>
      <c r="N1845" s="338">
        <f t="shared" si="77"/>
        <v>3548.5181277807701</v>
      </c>
      <c r="O1845" s="338">
        <f t="shared" si="77"/>
        <v>0</v>
      </c>
    </row>
    <row r="1846" spans="1:15" hidden="1" outlineLevel="2" x14ac:dyDescent="0.35">
      <c r="A1846" s="425" t="s">
        <v>7851</v>
      </c>
      <c r="B1846" s="327">
        <v>44539</v>
      </c>
      <c r="C1846" s="328" t="s">
        <v>10399</v>
      </c>
      <c r="D1846" s="427" t="s">
        <v>10400</v>
      </c>
      <c r="E1846" s="426" t="s">
        <v>10401</v>
      </c>
      <c r="F1846" s="338">
        <v>16650000</v>
      </c>
      <c r="G1846" s="338" t="s">
        <v>3800</v>
      </c>
      <c r="H1846" s="338"/>
      <c r="I1846" s="329">
        <v>3969.412986141635</v>
      </c>
      <c r="J1846" s="329"/>
      <c r="K1846" s="338">
        <v>3969.412986141635</v>
      </c>
      <c r="L1846" s="338"/>
      <c r="M1846" s="338"/>
      <c r="N1846" s="338"/>
      <c r="O1846" s="338"/>
    </row>
    <row r="1847" spans="1:15" outlineLevel="1" collapsed="1" x14ac:dyDescent="0.35">
      <c r="A1847" s="432" t="s">
        <v>10402</v>
      </c>
      <c r="B1847" s="327"/>
      <c r="C1847" s="328"/>
      <c r="D1847" s="427"/>
      <c r="E1847" s="426"/>
      <c r="F1847" s="338"/>
      <c r="G1847" s="338"/>
      <c r="H1847" s="338"/>
      <c r="I1847" s="329">
        <f t="shared" ref="I1847:O1847" si="78">SUBTOTAL(9,I1846:I1846)</f>
        <v>3969.412986141635</v>
      </c>
      <c r="J1847" s="329"/>
      <c r="K1847" s="338">
        <f t="shared" si="78"/>
        <v>3969.412986141635</v>
      </c>
      <c r="L1847" s="338">
        <f t="shared" si="78"/>
        <v>0</v>
      </c>
      <c r="M1847" s="338">
        <f t="shared" si="78"/>
        <v>0</v>
      </c>
      <c r="N1847" s="338">
        <f t="shared" si="78"/>
        <v>0</v>
      </c>
      <c r="O1847" s="338">
        <f t="shared" si="78"/>
        <v>0</v>
      </c>
    </row>
    <row r="1848" spans="1:15" hidden="1" outlineLevel="2" x14ac:dyDescent="0.35">
      <c r="A1848" s="425" t="s">
        <v>7853</v>
      </c>
      <c r="B1848" s="327" t="s">
        <v>10403</v>
      </c>
      <c r="C1848" s="328" t="s">
        <v>8151</v>
      </c>
      <c r="D1848" s="427" t="s">
        <v>10404</v>
      </c>
      <c r="E1848" s="426" t="s">
        <v>9780</v>
      </c>
      <c r="F1848" s="338">
        <v>46708200</v>
      </c>
      <c r="G1848" s="338" t="s">
        <v>3800</v>
      </c>
      <c r="H1848" s="338"/>
      <c r="I1848" s="329">
        <v>11135.383521879923</v>
      </c>
      <c r="J1848" s="329"/>
      <c r="K1848" s="338">
        <v>11135.383521879923</v>
      </c>
      <c r="L1848" s="338"/>
      <c r="M1848" s="338"/>
      <c r="N1848" s="338"/>
      <c r="O1848" s="338"/>
    </row>
    <row r="1849" spans="1:15" hidden="1" outlineLevel="2" x14ac:dyDescent="0.35">
      <c r="A1849" s="425" t="s">
        <v>7853</v>
      </c>
      <c r="B1849" s="327">
        <v>44404</v>
      </c>
      <c r="C1849" s="328" t="s">
        <v>8246</v>
      </c>
      <c r="D1849" s="427" t="s">
        <v>10405</v>
      </c>
      <c r="E1849" s="426" t="s">
        <v>10406</v>
      </c>
      <c r="F1849" s="338">
        <v>200000</v>
      </c>
      <c r="G1849" s="338" t="s">
        <v>3800</v>
      </c>
      <c r="H1849" s="338"/>
      <c r="I1849" s="329">
        <v>47.680636470169794</v>
      </c>
      <c r="J1849" s="329"/>
      <c r="K1849" s="338">
        <v>47.680636470169794</v>
      </c>
      <c r="L1849" s="338"/>
      <c r="M1849" s="338"/>
      <c r="N1849" s="338"/>
      <c r="O1849" s="338"/>
    </row>
    <row r="1850" spans="1:15" hidden="1" outlineLevel="2" x14ac:dyDescent="0.35">
      <c r="A1850" s="425" t="s">
        <v>7853</v>
      </c>
      <c r="B1850" s="327">
        <v>44439</v>
      </c>
      <c r="C1850" s="328" t="s">
        <v>10407</v>
      </c>
      <c r="D1850" s="427" t="s">
        <v>10408</v>
      </c>
      <c r="E1850" s="426" t="s">
        <v>10409</v>
      </c>
      <c r="F1850" s="338">
        <v>25000</v>
      </c>
      <c r="G1850" s="338" t="s">
        <v>3800</v>
      </c>
      <c r="H1850" s="338"/>
      <c r="I1850" s="329">
        <v>5.9600795587712243</v>
      </c>
      <c r="J1850" s="329"/>
      <c r="K1850" s="338">
        <v>5.9600795587712243</v>
      </c>
      <c r="L1850" s="338"/>
      <c r="M1850" s="338"/>
      <c r="N1850" s="338"/>
      <c r="O1850" s="338"/>
    </row>
    <row r="1851" spans="1:15" hidden="1" outlineLevel="2" x14ac:dyDescent="0.35">
      <c r="A1851" s="425" t="s">
        <v>7853</v>
      </c>
      <c r="B1851" s="327" t="s">
        <v>9220</v>
      </c>
      <c r="C1851" s="328" t="s">
        <v>9807</v>
      </c>
      <c r="D1851" s="427" t="s">
        <v>10410</v>
      </c>
      <c r="E1851" s="426" t="s">
        <v>9776</v>
      </c>
      <c r="F1851" s="338">
        <v>48800741</v>
      </c>
      <c r="G1851" s="338" t="s">
        <v>3800</v>
      </c>
      <c r="H1851" s="338"/>
      <c r="I1851" s="329">
        <v>11634.251955479551</v>
      </c>
      <c r="J1851" s="329"/>
      <c r="K1851" s="338">
        <v>11634.251955479551</v>
      </c>
      <c r="L1851" s="338"/>
      <c r="M1851" s="338"/>
      <c r="N1851" s="338"/>
      <c r="O1851" s="338"/>
    </row>
    <row r="1852" spans="1:15" hidden="1" outlineLevel="2" x14ac:dyDescent="0.35">
      <c r="A1852" s="425" t="s">
        <v>7853</v>
      </c>
      <c r="B1852" s="327">
        <v>44419</v>
      </c>
      <c r="C1852" s="328" t="s">
        <v>8259</v>
      </c>
      <c r="D1852" s="427" t="s">
        <v>10411</v>
      </c>
      <c r="E1852" s="426" t="s">
        <v>8183</v>
      </c>
      <c r="F1852" s="338">
        <v>1945000</v>
      </c>
      <c r="G1852" s="338" t="s">
        <v>3800</v>
      </c>
      <c r="H1852" s="338"/>
      <c r="I1852" s="329">
        <v>463.69418967240119</v>
      </c>
      <c r="J1852" s="329"/>
      <c r="K1852" s="338">
        <v>463.69418967240119</v>
      </c>
      <c r="L1852" s="338"/>
      <c r="M1852" s="338"/>
      <c r="N1852" s="338"/>
      <c r="O1852" s="338"/>
    </row>
    <row r="1853" spans="1:15" hidden="1" outlineLevel="2" x14ac:dyDescent="0.35">
      <c r="A1853" s="425" t="s">
        <v>7853</v>
      </c>
      <c r="B1853" s="327">
        <v>44439</v>
      </c>
      <c r="C1853" s="328" t="s">
        <v>10407</v>
      </c>
      <c r="D1853" s="427" t="s">
        <v>10412</v>
      </c>
      <c r="E1853" s="426" t="s">
        <v>10409</v>
      </c>
      <c r="F1853" s="338">
        <v>840000</v>
      </c>
      <c r="G1853" s="338" t="s">
        <v>3800</v>
      </c>
      <c r="H1853" s="338"/>
      <c r="I1853" s="329">
        <v>200.25867317471312</v>
      </c>
      <c r="J1853" s="329"/>
      <c r="K1853" s="338">
        <v>200.25867317471312</v>
      </c>
      <c r="L1853" s="338"/>
      <c r="M1853" s="338"/>
      <c r="N1853" s="338"/>
      <c r="O1853" s="338"/>
    </row>
    <row r="1854" spans="1:15" hidden="1" outlineLevel="2" x14ac:dyDescent="0.35">
      <c r="A1854" s="425" t="s">
        <v>7853</v>
      </c>
      <c r="B1854" s="327">
        <v>44470</v>
      </c>
      <c r="C1854" s="328" t="s">
        <v>10413</v>
      </c>
      <c r="D1854" s="427" t="s">
        <v>10414</v>
      </c>
      <c r="E1854" s="426" t="s">
        <v>8144</v>
      </c>
      <c r="F1854" s="338">
        <v>600000</v>
      </c>
      <c r="G1854" s="338" t="s">
        <v>3800</v>
      </c>
      <c r="H1854" s="338"/>
      <c r="I1854" s="329">
        <v>143.04190941050936</v>
      </c>
      <c r="J1854" s="329"/>
      <c r="K1854" s="338">
        <v>143.04190941050936</v>
      </c>
      <c r="L1854" s="338"/>
      <c r="M1854" s="338"/>
      <c r="N1854" s="338"/>
      <c r="O1854" s="338"/>
    </row>
    <row r="1855" spans="1:15" hidden="1" outlineLevel="2" x14ac:dyDescent="0.35">
      <c r="A1855" s="425" t="s">
        <v>7853</v>
      </c>
      <c r="B1855" s="327">
        <v>44419</v>
      </c>
      <c r="C1855" s="328" t="s">
        <v>8259</v>
      </c>
      <c r="D1855" s="427" t="s">
        <v>10415</v>
      </c>
      <c r="E1855" s="426" t="s">
        <v>8183</v>
      </c>
      <c r="F1855" s="338">
        <v>500000</v>
      </c>
      <c r="G1855" s="338" t="s">
        <v>3800</v>
      </c>
      <c r="H1855" s="338"/>
      <c r="I1855" s="329">
        <v>119.20159117542448</v>
      </c>
      <c r="J1855" s="329"/>
      <c r="K1855" s="338">
        <v>119.20159117542448</v>
      </c>
      <c r="L1855" s="338"/>
      <c r="M1855" s="338"/>
      <c r="N1855" s="338"/>
      <c r="O1855" s="338"/>
    </row>
    <row r="1856" spans="1:15" hidden="1" outlineLevel="2" x14ac:dyDescent="0.35">
      <c r="A1856" s="425" t="s">
        <v>7853</v>
      </c>
      <c r="B1856" s="327" t="s">
        <v>10416</v>
      </c>
      <c r="C1856" s="328" t="s">
        <v>9205</v>
      </c>
      <c r="D1856" s="427" t="s">
        <v>10417</v>
      </c>
      <c r="E1856" s="426" t="s">
        <v>10418</v>
      </c>
      <c r="F1856" s="338">
        <v>77279400</v>
      </c>
      <c r="G1856" s="338" t="s">
        <v>3800</v>
      </c>
      <c r="H1856" s="338"/>
      <c r="I1856" s="329">
        <v>18423.654890164198</v>
      </c>
      <c r="J1856" s="329"/>
      <c r="K1856" s="338">
        <v>18423.654890164198</v>
      </c>
      <c r="L1856" s="338"/>
      <c r="M1856" s="338"/>
      <c r="N1856" s="338"/>
      <c r="O1856" s="338"/>
    </row>
    <row r="1857" spans="1:15" hidden="1" outlineLevel="2" x14ac:dyDescent="0.35">
      <c r="A1857" s="425" t="s">
        <v>7853</v>
      </c>
      <c r="B1857" s="327" t="s">
        <v>10403</v>
      </c>
      <c r="C1857" s="328" t="s">
        <v>8261</v>
      </c>
      <c r="D1857" s="427" t="s">
        <v>10419</v>
      </c>
      <c r="E1857" s="426" t="s">
        <v>8057</v>
      </c>
      <c r="F1857" s="338">
        <v>2502225</v>
      </c>
      <c r="G1857" s="338" t="s">
        <v>3800</v>
      </c>
      <c r="H1857" s="338"/>
      <c r="I1857" s="329">
        <v>596.53840295785301</v>
      </c>
      <c r="J1857" s="329"/>
      <c r="K1857" s="338">
        <v>596.53840295785301</v>
      </c>
      <c r="L1857" s="338"/>
      <c r="M1857" s="338"/>
      <c r="N1857" s="338"/>
      <c r="O1857" s="338"/>
    </row>
    <row r="1858" spans="1:15" outlineLevel="1" collapsed="1" x14ac:dyDescent="0.35">
      <c r="A1858" s="432" t="s">
        <v>10420</v>
      </c>
      <c r="B1858" s="327"/>
      <c r="C1858" s="328"/>
      <c r="D1858" s="427"/>
      <c r="E1858" s="426"/>
      <c r="F1858" s="338"/>
      <c r="G1858" s="338"/>
      <c r="H1858" s="338"/>
      <c r="I1858" s="329">
        <f t="shared" ref="I1858:O1858" si="79">SUBTOTAL(9,I1848:I1857)</f>
        <v>42769.665849943522</v>
      </c>
      <c r="J1858" s="329"/>
      <c r="K1858" s="338">
        <f t="shared" si="79"/>
        <v>42769.665849943522</v>
      </c>
      <c r="L1858" s="338">
        <f t="shared" si="79"/>
        <v>0</v>
      </c>
      <c r="M1858" s="338">
        <f t="shared" si="79"/>
        <v>0</v>
      </c>
      <c r="N1858" s="338">
        <f t="shared" si="79"/>
        <v>0</v>
      </c>
      <c r="O1858" s="338">
        <f t="shared" si="79"/>
        <v>0</v>
      </c>
    </row>
    <row r="1859" spans="1:15" hidden="1" outlineLevel="2" x14ac:dyDescent="0.35">
      <c r="A1859" s="425" t="s">
        <v>7859</v>
      </c>
      <c r="B1859" s="327">
        <v>44470</v>
      </c>
      <c r="C1859" s="328" t="s">
        <v>10421</v>
      </c>
      <c r="D1859" s="427" t="s">
        <v>10422</v>
      </c>
      <c r="E1859" s="426" t="s">
        <v>10401</v>
      </c>
      <c r="F1859" s="338">
        <v>3167800</v>
      </c>
      <c r="G1859" s="338" t="s">
        <v>3800</v>
      </c>
      <c r="H1859" s="338"/>
      <c r="I1859" s="329">
        <v>755.21360105101928</v>
      </c>
      <c r="J1859" s="329"/>
      <c r="K1859" s="338"/>
      <c r="L1859" s="338">
        <v>755.21360105101928</v>
      </c>
      <c r="M1859" s="338"/>
      <c r="N1859" s="338"/>
      <c r="O1859" s="338"/>
    </row>
    <row r="1860" spans="1:15" hidden="1" outlineLevel="2" x14ac:dyDescent="0.35">
      <c r="A1860" s="425" t="s">
        <v>7859</v>
      </c>
      <c r="B1860" s="327">
        <v>44336</v>
      </c>
      <c r="C1860" s="328" t="s">
        <v>8105</v>
      </c>
      <c r="D1860" s="427" t="s">
        <v>10423</v>
      </c>
      <c r="E1860" s="426" t="s">
        <v>10424</v>
      </c>
      <c r="F1860" s="338">
        <v>708000</v>
      </c>
      <c r="G1860" s="338" t="s">
        <v>3800</v>
      </c>
      <c r="H1860" s="338"/>
      <c r="I1860" s="329">
        <v>168.78945310440105</v>
      </c>
      <c r="J1860" s="329"/>
      <c r="K1860" s="338"/>
      <c r="L1860" s="338">
        <v>168.78945310440105</v>
      </c>
      <c r="M1860" s="338"/>
      <c r="N1860" s="338"/>
      <c r="O1860" s="338"/>
    </row>
    <row r="1861" spans="1:15" hidden="1" outlineLevel="2" x14ac:dyDescent="0.35">
      <c r="A1861" s="425" t="s">
        <v>7859</v>
      </c>
      <c r="B1861" s="327">
        <v>44381</v>
      </c>
      <c r="C1861" s="328" t="s">
        <v>10073</v>
      </c>
      <c r="D1861" s="427" t="s">
        <v>10425</v>
      </c>
      <c r="E1861" s="426" t="s">
        <v>9776</v>
      </c>
      <c r="F1861" s="338">
        <v>14950600</v>
      </c>
      <c r="G1861" s="338" t="s">
        <v>3800</v>
      </c>
      <c r="H1861" s="338"/>
      <c r="I1861" s="329">
        <v>3564.2706180546024</v>
      </c>
      <c r="J1861" s="329"/>
      <c r="K1861" s="338"/>
      <c r="L1861" s="338">
        <v>3564.2706180546024</v>
      </c>
      <c r="M1861" s="338"/>
      <c r="N1861" s="338"/>
      <c r="O1861" s="338"/>
    </row>
    <row r="1862" spans="1:15" hidden="1" outlineLevel="2" x14ac:dyDescent="0.35">
      <c r="A1862" s="425" t="s">
        <v>7859</v>
      </c>
      <c r="B1862" s="327">
        <v>44470</v>
      </c>
      <c r="C1862" s="328" t="s">
        <v>10426</v>
      </c>
      <c r="D1862" s="427" t="s">
        <v>10427</v>
      </c>
      <c r="E1862" s="426" t="s">
        <v>10428</v>
      </c>
      <c r="F1862" s="338">
        <v>202200</v>
      </c>
      <c r="G1862" s="338" t="s">
        <v>3800</v>
      </c>
      <c r="H1862" s="338"/>
      <c r="I1862" s="329">
        <v>48.205123471341658</v>
      </c>
      <c r="J1862" s="329"/>
      <c r="K1862" s="338"/>
      <c r="L1862" s="338">
        <v>48.205123471341658</v>
      </c>
      <c r="M1862" s="338"/>
      <c r="N1862" s="338"/>
      <c r="O1862" s="338"/>
    </row>
    <row r="1863" spans="1:15" outlineLevel="1" collapsed="1" x14ac:dyDescent="0.35">
      <c r="A1863" s="432" t="s">
        <v>10429</v>
      </c>
      <c r="B1863" s="327"/>
      <c r="C1863" s="328"/>
      <c r="D1863" s="427"/>
      <c r="E1863" s="426"/>
      <c r="F1863" s="338"/>
      <c r="G1863" s="338"/>
      <c r="H1863" s="338"/>
      <c r="I1863" s="329">
        <f t="shared" ref="I1863:O1863" si="80">SUBTOTAL(9,I1859:I1862)</f>
        <v>4536.4787956813643</v>
      </c>
      <c r="J1863" s="329"/>
      <c r="K1863" s="338">
        <f t="shared" si="80"/>
        <v>0</v>
      </c>
      <c r="L1863" s="338">
        <f t="shared" si="80"/>
        <v>4536.4787956813643</v>
      </c>
      <c r="M1863" s="338">
        <f t="shared" si="80"/>
        <v>0</v>
      </c>
      <c r="N1863" s="338">
        <f t="shared" si="80"/>
        <v>0</v>
      </c>
      <c r="O1863" s="338">
        <f t="shared" si="80"/>
        <v>0</v>
      </c>
    </row>
    <row r="1864" spans="1:15" hidden="1" outlineLevel="2" x14ac:dyDescent="0.35">
      <c r="A1864" s="425" t="s">
        <v>222</v>
      </c>
      <c r="B1864" s="327">
        <v>44286</v>
      </c>
      <c r="C1864" s="426" t="s">
        <v>1101</v>
      </c>
      <c r="D1864" s="427" t="s">
        <v>10430</v>
      </c>
      <c r="E1864" s="426" t="s">
        <v>1959</v>
      </c>
      <c r="F1864" s="338">
        <v>850.27</v>
      </c>
      <c r="G1864" s="338" t="s">
        <v>56</v>
      </c>
      <c r="H1864" s="338"/>
      <c r="I1864" s="329">
        <v>850.27</v>
      </c>
      <c r="J1864" s="329"/>
      <c r="K1864" s="338">
        <f t="shared" ref="K1864:N1874" si="81">$I1864/4</f>
        <v>212.5675</v>
      </c>
      <c r="L1864" s="338">
        <f t="shared" si="81"/>
        <v>212.5675</v>
      </c>
      <c r="M1864" s="338">
        <f t="shared" si="81"/>
        <v>212.5675</v>
      </c>
      <c r="N1864" s="338">
        <f t="shared" si="81"/>
        <v>212.5675</v>
      </c>
      <c r="O1864" s="338"/>
    </row>
    <row r="1865" spans="1:15" hidden="1" outlineLevel="2" x14ac:dyDescent="0.35">
      <c r="A1865" s="425" t="s">
        <v>222</v>
      </c>
      <c r="B1865" s="327">
        <v>43921</v>
      </c>
      <c r="C1865" s="426" t="s">
        <v>1092</v>
      </c>
      <c r="D1865" s="427" t="s">
        <v>2509</v>
      </c>
      <c r="E1865" s="426" t="s">
        <v>2507</v>
      </c>
      <c r="F1865" s="338">
        <v>1074.03</v>
      </c>
      <c r="G1865" s="338" t="s">
        <v>56</v>
      </c>
      <c r="H1865" s="338"/>
      <c r="I1865" s="329">
        <v>1074.03</v>
      </c>
      <c r="J1865" s="329"/>
      <c r="K1865" s="338">
        <f t="shared" si="81"/>
        <v>268.50749999999999</v>
      </c>
      <c r="L1865" s="338">
        <f t="shared" si="81"/>
        <v>268.50749999999999</v>
      </c>
      <c r="M1865" s="338">
        <f t="shared" si="81"/>
        <v>268.50749999999999</v>
      </c>
      <c r="N1865" s="338">
        <f t="shared" si="81"/>
        <v>268.50749999999999</v>
      </c>
      <c r="O1865" s="338"/>
    </row>
    <row r="1866" spans="1:15" hidden="1" outlineLevel="2" x14ac:dyDescent="0.35">
      <c r="A1866" s="425" t="s">
        <v>222</v>
      </c>
      <c r="B1866" s="327">
        <v>44012</v>
      </c>
      <c r="C1866" s="426" t="s">
        <v>1094</v>
      </c>
      <c r="D1866" s="427" t="s">
        <v>2510</v>
      </c>
      <c r="E1866" s="426" t="s">
        <v>1959</v>
      </c>
      <c r="F1866" s="338">
        <v>1074.03</v>
      </c>
      <c r="G1866" s="338" t="s">
        <v>56</v>
      </c>
      <c r="H1866" s="338"/>
      <c r="I1866" s="329">
        <v>1074.03</v>
      </c>
      <c r="J1866" s="329"/>
      <c r="K1866" s="338">
        <f t="shared" si="81"/>
        <v>268.50749999999999</v>
      </c>
      <c r="L1866" s="338">
        <f t="shared" si="81"/>
        <v>268.50749999999999</v>
      </c>
      <c r="M1866" s="338">
        <f t="shared" si="81"/>
        <v>268.50749999999999</v>
      </c>
      <c r="N1866" s="338">
        <f t="shared" si="81"/>
        <v>268.50749999999999</v>
      </c>
      <c r="O1866" s="338"/>
    </row>
    <row r="1867" spans="1:15" hidden="1" outlineLevel="2" x14ac:dyDescent="0.35">
      <c r="A1867" s="425" t="s">
        <v>222</v>
      </c>
      <c r="B1867" s="327">
        <v>43738</v>
      </c>
      <c r="C1867" s="426" t="s">
        <v>1087</v>
      </c>
      <c r="D1867" s="427" t="s">
        <v>2506</v>
      </c>
      <c r="E1867" s="426" t="s">
        <v>2507</v>
      </c>
      <c r="F1867" s="338">
        <v>895.03</v>
      </c>
      <c r="G1867" s="338" t="s">
        <v>56</v>
      </c>
      <c r="H1867" s="338"/>
      <c r="I1867" s="329">
        <v>895.03</v>
      </c>
      <c r="J1867" s="329"/>
      <c r="K1867" s="338">
        <f t="shared" si="81"/>
        <v>223.75749999999999</v>
      </c>
      <c r="L1867" s="338">
        <f t="shared" si="81"/>
        <v>223.75749999999999</v>
      </c>
      <c r="M1867" s="338">
        <f t="shared" si="81"/>
        <v>223.75749999999999</v>
      </c>
      <c r="N1867" s="338">
        <f t="shared" si="81"/>
        <v>223.75749999999999</v>
      </c>
      <c r="O1867" s="338"/>
    </row>
    <row r="1868" spans="1:15" hidden="1" outlineLevel="2" x14ac:dyDescent="0.35">
      <c r="A1868" s="425" t="s">
        <v>222</v>
      </c>
      <c r="B1868" s="327">
        <v>44104</v>
      </c>
      <c r="C1868" s="426" t="s">
        <v>1096</v>
      </c>
      <c r="D1868" s="427" t="s">
        <v>2511</v>
      </c>
      <c r="E1868" s="426" t="s">
        <v>1959</v>
      </c>
      <c r="F1868" s="338">
        <v>626.52</v>
      </c>
      <c r="G1868" s="338" t="s">
        <v>56</v>
      </c>
      <c r="H1868" s="338"/>
      <c r="I1868" s="329">
        <v>626.52</v>
      </c>
      <c r="J1868" s="329"/>
      <c r="K1868" s="338">
        <f t="shared" si="81"/>
        <v>156.63</v>
      </c>
      <c r="L1868" s="338">
        <f t="shared" si="81"/>
        <v>156.63</v>
      </c>
      <c r="M1868" s="338">
        <f t="shared" si="81"/>
        <v>156.63</v>
      </c>
      <c r="N1868" s="338">
        <f t="shared" si="81"/>
        <v>156.63</v>
      </c>
      <c r="O1868" s="338"/>
    </row>
    <row r="1869" spans="1:15" hidden="1" outlineLevel="2" x14ac:dyDescent="0.35">
      <c r="A1869" s="425" t="s">
        <v>222</v>
      </c>
      <c r="B1869" s="327">
        <v>43830</v>
      </c>
      <c r="C1869" s="426" t="s">
        <v>1090</v>
      </c>
      <c r="D1869" s="427" t="s">
        <v>2508</v>
      </c>
      <c r="E1869" s="426" t="s">
        <v>2507</v>
      </c>
      <c r="F1869" s="338">
        <v>895.03</v>
      </c>
      <c r="G1869" s="338" t="s">
        <v>56</v>
      </c>
      <c r="H1869" s="338"/>
      <c r="I1869" s="329">
        <v>895.03</v>
      </c>
      <c r="J1869" s="329"/>
      <c r="K1869" s="338">
        <f t="shared" si="81"/>
        <v>223.75749999999999</v>
      </c>
      <c r="L1869" s="338">
        <f t="shared" si="81"/>
        <v>223.75749999999999</v>
      </c>
      <c r="M1869" s="338">
        <f t="shared" si="81"/>
        <v>223.75749999999999</v>
      </c>
      <c r="N1869" s="338">
        <f t="shared" si="81"/>
        <v>223.75749999999999</v>
      </c>
      <c r="O1869" s="338"/>
    </row>
    <row r="1870" spans="1:15" hidden="1" outlineLevel="2" x14ac:dyDescent="0.35">
      <c r="A1870" s="425" t="s">
        <v>222</v>
      </c>
      <c r="B1870" s="327">
        <v>44469</v>
      </c>
      <c r="C1870" s="426" t="s">
        <v>10431</v>
      </c>
      <c r="D1870" s="427" t="s">
        <v>10432</v>
      </c>
      <c r="E1870" s="426" t="s">
        <v>1574</v>
      </c>
      <c r="F1870" s="338">
        <v>719.46</v>
      </c>
      <c r="G1870" s="338" t="s">
        <v>56</v>
      </c>
      <c r="H1870" s="338"/>
      <c r="I1870" s="329">
        <v>719.46</v>
      </c>
      <c r="J1870" s="329"/>
      <c r="K1870" s="338">
        <f t="shared" si="81"/>
        <v>179.86500000000001</v>
      </c>
      <c r="L1870" s="338">
        <f t="shared" si="81"/>
        <v>179.86500000000001</v>
      </c>
      <c r="M1870" s="338">
        <f t="shared" si="81"/>
        <v>179.86500000000001</v>
      </c>
      <c r="N1870" s="338">
        <f t="shared" si="81"/>
        <v>179.86500000000001</v>
      </c>
      <c r="O1870" s="338"/>
    </row>
    <row r="1871" spans="1:15" hidden="1" outlineLevel="2" x14ac:dyDescent="0.35">
      <c r="A1871" s="425" t="s">
        <v>222</v>
      </c>
      <c r="B1871" s="327">
        <v>44561</v>
      </c>
      <c r="C1871" s="426" t="s">
        <v>10433</v>
      </c>
      <c r="D1871" s="427" t="s">
        <v>10434</v>
      </c>
      <c r="E1871" s="426" t="s">
        <v>1120</v>
      </c>
      <c r="F1871" s="338">
        <v>359.73</v>
      </c>
      <c r="G1871" s="338" t="s">
        <v>56</v>
      </c>
      <c r="H1871" s="338"/>
      <c r="I1871" s="329">
        <v>359.73</v>
      </c>
      <c r="J1871" s="329"/>
      <c r="K1871" s="338">
        <f t="shared" si="81"/>
        <v>89.932500000000005</v>
      </c>
      <c r="L1871" s="338">
        <f t="shared" si="81"/>
        <v>89.932500000000005</v>
      </c>
      <c r="M1871" s="338">
        <f t="shared" si="81"/>
        <v>89.932500000000005</v>
      </c>
      <c r="N1871" s="338">
        <f t="shared" si="81"/>
        <v>89.932500000000005</v>
      </c>
      <c r="O1871" s="338"/>
    </row>
    <row r="1872" spans="1:15" hidden="1" outlineLevel="2" x14ac:dyDescent="0.35">
      <c r="A1872" s="425" t="s">
        <v>222</v>
      </c>
      <c r="B1872" s="327">
        <v>44561</v>
      </c>
      <c r="C1872" s="426" t="s">
        <v>10435</v>
      </c>
      <c r="D1872" s="427" t="s">
        <v>10436</v>
      </c>
      <c r="E1872" s="426" t="s">
        <v>1120</v>
      </c>
      <c r="F1872" s="338">
        <v>359.73</v>
      </c>
      <c r="G1872" s="338" t="s">
        <v>56</v>
      </c>
      <c r="H1872" s="338"/>
      <c r="I1872" s="329">
        <v>359.73</v>
      </c>
      <c r="J1872" s="329"/>
      <c r="K1872" s="338">
        <f t="shared" si="81"/>
        <v>89.932500000000005</v>
      </c>
      <c r="L1872" s="338">
        <f t="shared" si="81"/>
        <v>89.932500000000005</v>
      </c>
      <c r="M1872" s="338">
        <f t="shared" si="81"/>
        <v>89.932500000000005</v>
      </c>
      <c r="N1872" s="338">
        <f t="shared" si="81"/>
        <v>89.932500000000005</v>
      </c>
      <c r="O1872" s="338"/>
    </row>
    <row r="1873" spans="1:15" hidden="1" outlineLevel="2" x14ac:dyDescent="0.35">
      <c r="A1873" s="425" t="s">
        <v>222</v>
      </c>
      <c r="B1873" s="327">
        <v>44377</v>
      </c>
      <c r="C1873" s="426" t="s">
        <v>1103</v>
      </c>
      <c r="D1873" s="427" t="s">
        <v>10437</v>
      </c>
      <c r="E1873" s="426" t="s">
        <v>1959</v>
      </c>
      <c r="F1873" s="338">
        <v>850.27</v>
      </c>
      <c r="G1873" s="338" t="s">
        <v>56</v>
      </c>
      <c r="H1873" s="338"/>
      <c r="I1873" s="329">
        <v>850.27</v>
      </c>
      <c r="J1873" s="329"/>
      <c r="K1873" s="338">
        <f t="shared" si="81"/>
        <v>212.5675</v>
      </c>
      <c r="L1873" s="338">
        <f t="shared" si="81"/>
        <v>212.5675</v>
      </c>
      <c r="M1873" s="338">
        <f t="shared" si="81"/>
        <v>212.5675</v>
      </c>
      <c r="N1873" s="338">
        <f t="shared" si="81"/>
        <v>212.5675</v>
      </c>
      <c r="O1873" s="338"/>
    </row>
    <row r="1874" spans="1:15" hidden="1" outlineLevel="2" x14ac:dyDescent="0.35">
      <c r="A1874" s="425" t="s">
        <v>222</v>
      </c>
      <c r="B1874" s="327">
        <v>44196</v>
      </c>
      <c r="C1874" s="426" t="s">
        <v>1099</v>
      </c>
      <c r="D1874" s="427" t="s">
        <v>2512</v>
      </c>
      <c r="E1874" s="426" t="s">
        <v>1959</v>
      </c>
      <c r="F1874" s="338">
        <v>626.52</v>
      </c>
      <c r="G1874" s="338" t="s">
        <v>56</v>
      </c>
      <c r="H1874" s="338"/>
      <c r="I1874" s="329">
        <v>626.52</v>
      </c>
      <c r="J1874" s="329"/>
      <c r="K1874" s="338">
        <f t="shared" si="81"/>
        <v>156.63</v>
      </c>
      <c r="L1874" s="338">
        <f t="shared" si="81"/>
        <v>156.63</v>
      </c>
      <c r="M1874" s="338">
        <f t="shared" si="81"/>
        <v>156.63</v>
      </c>
      <c r="N1874" s="338">
        <f t="shared" si="81"/>
        <v>156.63</v>
      </c>
      <c r="O1874" s="338"/>
    </row>
    <row r="1875" spans="1:15" outlineLevel="1" collapsed="1" x14ac:dyDescent="0.35">
      <c r="A1875" s="432" t="s">
        <v>2521</v>
      </c>
      <c r="B1875" s="327"/>
      <c r="C1875" s="426"/>
      <c r="D1875" s="427"/>
      <c r="E1875" s="426"/>
      <c r="F1875" s="338"/>
      <c r="G1875" s="338"/>
      <c r="H1875" s="338"/>
      <c r="I1875" s="329">
        <f t="shared" ref="I1875:O1875" si="82">SUBTOTAL(9,I1864:I1874)</f>
        <v>8330.619999999999</v>
      </c>
      <c r="J1875" s="329"/>
      <c r="K1875" s="338">
        <f t="shared" si="82"/>
        <v>2082.6549999999997</v>
      </c>
      <c r="L1875" s="338">
        <f t="shared" si="82"/>
        <v>2082.6549999999997</v>
      </c>
      <c r="M1875" s="338">
        <f t="shared" si="82"/>
        <v>2082.6549999999997</v>
      </c>
      <c r="N1875" s="338">
        <f t="shared" si="82"/>
        <v>2082.6549999999997</v>
      </c>
      <c r="O1875" s="338">
        <f t="shared" si="82"/>
        <v>0</v>
      </c>
    </row>
    <row r="1876" spans="1:15" hidden="1" outlineLevel="2" x14ac:dyDescent="0.35">
      <c r="A1876" s="425" t="s">
        <v>105</v>
      </c>
      <c r="B1876" s="327">
        <v>44561</v>
      </c>
      <c r="C1876" s="426" t="s">
        <v>10438</v>
      </c>
      <c r="D1876" s="427" t="s">
        <v>10439</v>
      </c>
      <c r="E1876" s="426" t="s">
        <v>10440</v>
      </c>
      <c r="F1876" s="338">
        <v>186.53</v>
      </c>
      <c r="G1876" s="338" t="s">
        <v>56</v>
      </c>
      <c r="H1876" s="338"/>
      <c r="I1876" s="329">
        <v>186.53</v>
      </c>
      <c r="J1876" s="329"/>
      <c r="K1876" s="338">
        <f t="shared" ref="K1876:N1895" si="83">$I1876/4</f>
        <v>46.6325</v>
      </c>
      <c r="L1876" s="338">
        <f t="shared" si="83"/>
        <v>46.6325</v>
      </c>
      <c r="M1876" s="338">
        <f t="shared" si="83"/>
        <v>46.6325</v>
      </c>
      <c r="N1876" s="338">
        <f t="shared" si="83"/>
        <v>46.6325</v>
      </c>
      <c r="O1876" s="338"/>
    </row>
    <row r="1877" spans="1:15" hidden="1" outlineLevel="2" x14ac:dyDescent="0.35">
      <c r="A1877" s="425" t="s">
        <v>105</v>
      </c>
      <c r="B1877" s="327">
        <v>44174</v>
      </c>
      <c r="C1877" s="426" t="s">
        <v>10441</v>
      </c>
      <c r="D1877" s="427" t="s">
        <v>10442</v>
      </c>
      <c r="E1877" s="426" t="s">
        <v>3775</v>
      </c>
      <c r="F1877" s="338">
        <v>11</v>
      </c>
      <c r="G1877" s="338" t="s">
        <v>56</v>
      </c>
      <c r="H1877" s="338"/>
      <c r="I1877" s="329">
        <v>11</v>
      </c>
      <c r="J1877" s="329"/>
      <c r="K1877" s="338">
        <f t="shared" si="83"/>
        <v>2.75</v>
      </c>
      <c r="L1877" s="338">
        <f t="shared" si="83"/>
        <v>2.75</v>
      </c>
      <c r="M1877" s="338">
        <f t="shared" si="83"/>
        <v>2.75</v>
      </c>
      <c r="N1877" s="338">
        <f t="shared" si="83"/>
        <v>2.75</v>
      </c>
      <c r="O1877" s="338"/>
    </row>
    <row r="1878" spans="1:15" hidden="1" outlineLevel="2" x14ac:dyDescent="0.35">
      <c r="A1878" s="425" t="s">
        <v>105</v>
      </c>
      <c r="B1878" s="327">
        <v>44287</v>
      </c>
      <c r="C1878" s="426" t="s">
        <v>10443</v>
      </c>
      <c r="D1878" s="427" t="s">
        <v>10444</v>
      </c>
      <c r="E1878" s="426" t="s">
        <v>3775</v>
      </c>
      <c r="F1878" s="338">
        <v>-9.02</v>
      </c>
      <c r="G1878" s="338" t="s">
        <v>56</v>
      </c>
      <c r="H1878" s="338"/>
      <c r="I1878" s="329">
        <v>-9.02</v>
      </c>
      <c r="J1878" s="329"/>
      <c r="K1878" s="338">
        <f t="shared" si="83"/>
        <v>-2.2549999999999999</v>
      </c>
      <c r="L1878" s="338">
        <f t="shared" si="83"/>
        <v>-2.2549999999999999</v>
      </c>
      <c r="M1878" s="338">
        <f t="shared" si="83"/>
        <v>-2.2549999999999999</v>
      </c>
      <c r="N1878" s="338">
        <f t="shared" si="83"/>
        <v>-2.2549999999999999</v>
      </c>
      <c r="O1878" s="338"/>
    </row>
    <row r="1879" spans="1:15" hidden="1" outlineLevel="2" x14ac:dyDescent="0.35">
      <c r="A1879" s="425" t="s">
        <v>105</v>
      </c>
      <c r="B1879" s="327">
        <v>44287</v>
      </c>
      <c r="C1879" s="426" t="s">
        <v>10443</v>
      </c>
      <c r="D1879" s="427" t="s">
        <v>10444</v>
      </c>
      <c r="E1879" s="426" t="s">
        <v>3775</v>
      </c>
      <c r="F1879" s="338">
        <v>27.83</v>
      </c>
      <c r="G1879" s="338" t="s">
        <v>56</v>
      </c>
      <c r="H1879" s="338"/>
      <c r="I1879" s="329">
        <v>27.83</v>
      </c>
      <c r="J1879" s="329"/>
      <c r="K1879" s="338">
        <f t="shared" si="83"/>
        <v>6.9574999999999996</v>
      </c>
      <c r="L1879" s="338">
        <f t="shared" si="83"/>
        <v>6.9574999999999996</v>
      </c>
      <c r="M1879" s="338">
        <f t="shared" si="83"/>
        <v>6.9574999999999996</v>
      </c>
      <c r="N1879" s="338">
        <f t="shared" si="83"/>
        <v>6.9574999999999996</v>
      </c>
      <c r="O1879" s="338"/>
    </row>
    <row r="1880" spans="1:15" hidden="1" outlineLevel="2" x14ac:dyDescent="0.35">
      <c r="A1880" s="425" t="s">
        <v>105</v>
      </c>
      <c r="B1880" s="327">
        <v>44314</v>
      </c>
      <c r="C1880" s="426" t="s">
        <v>10445</v>
      </c>
      <c r="D1880" s="427" t="s">
        <v>10446</v>
      </c>
      <c r="E1880" s="426" t="s">
        <v>3775</v>
      </c>
      <c r="F1880" s="338">
        <v>27.83</v>
      </c>
      <c r="G1880" s="338" t="s">
        <v>56</v>
      </c>
      <c r="H1880" s="338"/>
      <c r="I1880" s="329">
        <v>27.83</v>
      </c>
      <c r="J1880" s="329"/>
      <c r="K1880" s="338">
        <f t="shared" si="83"/>
        <v>6.9574999999999996</v>
      </c>
      <c r="L1880" s="338">
        <f t="shared" si="83"/>
        <v>6.9574999999999996</v>
      </c>
      <c r="M1880" s="338">
        <f t="shared" si="83"/>
        <v>6.9574999999999996</v>
      </c>
      <c r="N1880" s="338">
        <f t="shared" si="83"/>
        <v>6.9574999999999996</v>
      </c>
      <c r="O1880" s="338"/>
    </row>
    <row r="1881" spans="1:15" hidden="1" outlineLevel="2" x14ac:dyDescent="0.35">
      <c r="A1881" s="425" t="s">
        <v>105</v>
      </c>
      <c r="B1881" s="327">
        <v>44561</v>
      </c>
      <c r="C1881" s="426" t="s">
        <v>10447</v>
      </c>
      <c r="D1881" s="427" t="s">
        <v>10448</v>
      </c>
      <c r="E1881" s="426" t="s">
        <v>3775</v>
      </c>
      <c r="F1881" s="338">
        <v>27.83</v>
      </c>
      <c r="G1881" s="338" t="s">
        <v>56</v>
      </c>
      <c r="H1881" s="338"/>
      <c r="I1881" s="329">
        <v>27.83</v>
      </c>
      <c r="J1881" s="329"/>
      <c r="K1881" s="338">
        <f t="shared" si="83"/>
        <v>6.9574999999999996</v>
      </c>
      <c r="L1881" s="338">
        <f t="shared" si="83"/>
        <v>6.9574999999999996</v>
      </c>
      <c r="M1881" s="338">
        <f t="shared" si="83"/>
        <v>6.9574999999999996</v>
      </c>
      <c r="N1881" s="338">
        <f t="shared" si="83"/>
        <v>6.9574999999999996</v>
      </c>
      <c r="O1881" s="338"/>
    </row>
    <row r="1882" spans="1:15" hidden="1" outlineLevel="2" x14ac:dyDescent="0.35">
      <c r="A1882" s="425" t="s">
        <v>105</v>
      </c>
      <c r="B1882" s="327">
        <v>44354</v>
      </c>
      <c r="C1882" s="426" t="s">
        <v>10449</v>
      </c>
      <c r="D1882" s="427" t="s">
        <v>10450</v>
      </c>
      <c r="E1882" s="426" t="s">
        <v>3775</v>
      </c>
      <c r="F1882" s="338">
        <v>12.92</v>
      </c>
      <c r="G1882" s="338" t="s">
        <v>56</v>
      </c>
      <c r="H1882" s="338"/>
      <c r="I1882" s="329">
        <v>12.92</v>
      </c>
      <c r="J1882" s="329"/>
      <c r="K1882" s="338">
        <f t="shared" si="83"/>
        <v>3.23</v>
      </c>
      <c r="L1882" s="338">
        <f t="shared" si="83"/>
        <v>3.23</v>
      </c>
      <c r="M1882" s="338">
        <f t="shared" si="83"/>
        <v>3.23</v>
      </c>
      <c r="N1882" s="338">
        <f t="shared" si="83"/>
        <v>3.23</v>
      </c>
      <c r="O1882" s="338"/>
    </row>
    <row r="1883" spans="1:15" hidden="1" outlineLevel="2" x14ac:dyDescent="0.35">
      <c r="A1883" s="425" t="s">
        <v>105</v>
      </c>
      <c r="B1883" s="327">
        <v>44354</v>
      </c>
      <c r="C1883" s="426" t="s">
        <v>10449</v>
      </c>
      <c r="D1883" s="427" t="s">
        <v>10450</v>
      </c>
      <c r="E1883" s="426" t="s">
        <v>3775</v>
      </c>
      <c r="F1883" s="338">
        <v>27.83</v>
      </c>
      <c r="G1883" s="338" t="s">
        <v>56</v>
      </c>
      <c r="H1883" s="338"/>
      <c r="I1883" s="329">
        <v>27.83</v>
      </c>
      <c r="J1883" s="329"/>
      <c r="K1883" s="338">
        <f t="shared" si="83"/>
        <v>6.9574999999999996</v>
      </c>
      <c r="L1883" s="338">
        <f t="shared" si="83"/>
        <v>6.9574999999999996</v>
      </c>
      <c r="M1883" s="338">
        <f t="shared" si="83"/>
        <v>6.9574999999999996</v>
      </c>
      <c r="N1883" s="338">
        <f t="shared" si="83"/>
        <v>6.9574999999999996</v>
      </c>
      <c r="O1883" s="338"/>
    </row>
    <row r="1884" spans="1:15" hidden="1" outlineLevel="2" x14ac:dyDescent="0.35">
      <c r="A1884" s="425" t="s">
        <v>105</v>
      </c>
      <c r="B1884" s="327">
        <v>44196</v>
      </c>
      <c r="C1884" s="426" t="s">
        <v>10451</v>
      </c>
      <c r="D1884" s="427" t="s">
        <v>10452</v>
      </c>
      <c r="E1884" s="426" t="s">
        <v>2839</v>
      </c>
      <c r="F1884" s="338">
        <v>70.180000000000007</v>
      </c>
      <c r="G1884" s="338" t="s">
        <v>56</v>
      </c>
      <c r="H1884" s="338"/>
      <c r="I1884" s="329">
        <v>70.180000000000007</v>
      </c>
      <c r="J1884" s="329"/>
      <c r="K1884" s="338">
        <f t="shared" si="83"/>
        <v>17.545000000000002</v>
      </c>
      <c r="L1884" s="338">
        <f t="shared" si="83"/>
        <v>17.545000000000002</v>
      </c>
      <c r="M1884" s="338">
        <f t="shared" si="83"/>
        <v>17.545000000000002</v>
      </c>
      <c r="N1884" s="338">
        <f t="shared" si="83"/>
        <v>17.545000000000002</v>
      </c>
      <c r="O1884" s="338"/>
    </row>
    <row r="1885" spans="1:15" hidden="1" outlineLevel="2" x14ac:dyDescent="0.35">
      <c r="A1885" s="425" t="s">
        <v>105</v>
      </c>
      <c r="B1885" s="327">
        <v>44138</v>
      </c>
      <c r="C1885" s="426" t="s">
        <v>10453</v>
      </c>
      <c r="D1885" s="427" t="s">
        <v>10454</v>
      </c>
      <c r="E1885" s="426" t="s">
        <v>10440</v>
      </c>
      <c r="F1885" s="338">
        <v>4000</v>
      </c>
      <c r="G1885" s="338" t="s">
        <v>805</v>
      </c>
      <c r="H1885" s="338"/>
      <c r="I1885" s="329">
        <v>3416.47</v>
      </c>
      <c r="J1885" s="329"/>
      <c r="K1885" s="338">
        <f t="shared" si="83"/>
        <v>854.11749999999995</v>
      </c>
      <c r="L1885" s="338">
        <f t="shared" si="83"/>
        <v>854.11749999999995</v>
      </c>
      <c r="M1885" s="338">
        <f t="shared" si="83"/>
        <v>854.11749999999995</v>
      </c>
      <c r="N1885" s="338">
        <f t="shared" si="83"/>
        <v>854.11749999999995</v>
      </c>
      <c r="O1885" s="338"/>
    </row>
    <row r="1886" spans="1:15" hidden="1" outlineLevel="2" x14ac:dyDescent="0.35">
      <c r="A1886" s="425" t="s">
        <v>105</v>
      </c>
      <c r="B1886" s="327">
        <v>44237</v>
      </c>
      <c r="C1886" s="426" t="s">
        <v>10455</v>
      </c>
      <c r="D1886" s="427" t="s">
        <v>10456</v>
      </c>
      <c r="E1886" s="426" t="s">
        <v>3775</v>
      </c>
      <c r="F1886" s="338">
        <v>6.56</v>
      </c>
      <c r="G1886" s="338" t="s">
        <v>56</v>
      </c>
      <c r="H1886" s="338"/>
      <c r="I1886" s="329">
        <v>6.56</v>
      </c>
      <c r="J1886" s="329"/>
      <c r="K1886" s="338">
        <f t="shared" si="83"/>
        <v>1.64</v>
      </c>
      <c r="L1886" s="338">
        <f t="shared" si="83"/>
        <v>1.64</v>
      </c>
      <c r="M1886" s="338">
        <f t="shared" si="83"/>
        <v>1.64</v>
      </c>
      <c r="N1886" s="338">
        <f t="shared" si="83"/>
        <v>1.64</v>
      </c>
      <c r="O1886" s="338"/>
    </row>
    <row r="1887" spans="1:15" hidden="1" outlineLevel="2" x14ac:dyDescent="0.35">
      <c r="A1887" s="425" t="s">
        <v>105</v>
      </c>
      <c r="B1887" s="327">
        <v>44237</v>
      </c>
      <c r="C1887" s="426" t="s">
        <v>10455</v>
      </c>
      <c r="D1887" s="427" t="s">
        <v>10456</v>
      </c>
      <c r="E1887" s="426" t="s">
        <v>3775</v>
      </c>
      <c r="F1887" s="338">
        <v>27.83</v>
      </c>
      <c r="G1887" s="338" t="s">
        <v>56</v>
      </c>
      <c r="H1887" s="338"/>
      <c r="I1887" s="329">
        <v>27.83</v>
      </c>
      <c r="J1887" s="329"/>
      <c r="K1887" s="338">
        <f t="shared" si="83"/>
        <v>6.9574999999999996</v>
      </c>
      <c r="L1887" s="338">
        <f t="shared" si="83"/>
        <v>6.9574999999999996</v>
      </c>
      <c r="M1887" s="338">
        <f t="shared" si="83"/>
        <v>6.9574999999999996</v>
      </c>
      <c r="N1887" s="338">
        <f t="shared" si="83"/>
        <v>6.9574999999999996</v>
      </c>
      <c r="O1887" s="338"/>
    </row>
    <row r="1888" spans="1:15" hidden="1" outlineLevel="2" x14ac:dyDescent="0.35">
      <c r="A1888" s="425" t="s">
        <v>105</v>
      </c>
      <c r="B1888" s="327">
        <v>44264</v>
      </c>
      <c r="C1888" s="426">
        <v>1000225214</v>
      </c>
      <c r="D1888" s="427" t="s">
        <v>10457</v>
      </c>
      <c r="E1888" s="426" t="s">
        <v>10458</v>
      </c>
      <c r="F1888" s="338">
        <v>75000</v>
      </c>
      <c r="G1888" s="338" t="s">
        <v>9869</v>
      </c>
      <c r="H1888" s="338"/>
      <c r="I1888" s="329">
        <f>+F1888/'[10]Income + exchange rates'!$G$60</f>
        <v>17.88023867631367</v>
      </c>
      <c r="J1888" s="329"/>
      <c r="K1888" s="338">
        <f t="shared" si="83"/>
        <v>4.4700596690784176</v>
      </c>
      <c r="L1888" s="338">
        <f t="shared" si="83"/>
        <v>4.4700596690784176</v>
      </c>
      <c r="M1888" s="338">
        <f t="shared" si="83"/>
        <v>4.4700596690784176</v>
      </c>
      <c r="N1888" s="338">
        <f t="shared" si="83"/>
        <v>4.4700596690784176</v>
      </c>
      <c r="O1888" s="338"/>
    </row>
    <row r="1889" spans="1:15" hidden="1" outlineLevel="2" x14ac:dyDescent="0.35">
      <c r="A1889" s="425" t="s">
        <v>105</v>
      </c>
      <c r="B1889" s="327">
        <v>44503</v>
      </c>
      <c r="C1889" s="426">
        <v>2921</v>
      </c>
      <c r="D1889" s="427" t="s">
        <v>10457</v>
      </c>
      <c r="E1889" s="426" t="s">
        <v>10459</v>
      </c>
      <c r="F1889" s="338">
        <v>100000</v>
      </c>
      <c r="G1889" s="338" t="s">
        <v>9869</v>
      </c>
      <c r="H1889" s="338"/>
      <c r="I1889" s="329">
        <f>+F1889/'[10]Income + exchange rates'!$G$60</f>
        <v>23.840318235084897</v>
      </c>
      <c r="J1889" s="329"/>
      <c r="K1889" s="338">
        <f t="shared" si="83"/>
        <v>5.9600795587712243</v>
      </c>
      <c r="L1889" s="338">
        <f t="shared" si="83"/>
        <v>5.9600795587712243</v>
      </c>
      <c r="M1889" s="338">
        <f t="shared" si="83"/>
        <v>5.9600795587712243</v>
      </c>
      <c r="N1889" s="338">
        <f t="shared" si="83"/>
        <v>5.9600795587712243</v>
      </c>
      <c r="O1889" s="338"/>
    </row>
    <row r="1890" spans="1:15" hidden="1" outlineLevel="2" x14ac:dyDescent="0.35">
      <c r="A1890" s="425" t="s">
        <v>105</v>
      </c>
      <c r="B1890" s="327">
        <v>44231</v>
      </c>
      <c r="C1890" s="426">
        <v>47770</v>
      </c>
      <c r="D1890" s="427" t="s">
        <v>10460</v>
      </c>
      <c r="E1890" s="426" t="s">
        <v>10461</v>
      </c>
      <c r="F1890" s="338">
        <v>100000</v>
      </c>
      <c r="G1890" s="338" t="s">
        <v>9869</v>
      </c>
      <c r="H1890" s="338"/>
      <c r="I1890" s="329">
        <f>+F1890/'[10]Income + exchange rates'!$G$60</f>
        <v>23.840318235084897</v>
      </c>
      <c r="J1890" s="329"/>
      <c r="K1890" s="338">
        <f t="shared" si="83"/>
        <v>5.9600795587712243</v>
      </c>
      <c r="L1890" s="338">
        <f t="shared" si="83"/>
        <v>5.9600795587712243</v>
      </c>
      <c r="M1890" s="338">
        <f t="shared" si="83"/>
        <v>5.9600795587712243</v>
      </c>
      <c r="N1890" s="338">
        <f t="shared" si="83"/>
        <v>5.9600795587712243</v>
      </c>
      <c r="O1890" s="338"/>
    </row>
    <row r="1891" spans="1:15" hidden="1" outlineLevel="2" x14ac:dyDescent="0.35">
      <c r="A1891" s="425" t="s">
        <v>105</v>
      </c>
      <c r="B1891" s="327">
        <v>44575</v>
      </c>
      <c r="C1891" s="426" t="s">
        <v>10462</v>
      </c>
      <c r="D1891" s="427" t="s">
        <v>10463</v>
      </c>
      <c r="E1891" s="426" t="s">
        <v>10464</v>
      </c>
      <c r="F1891" s="338">
        <v>33.880000000000003</v>
      </c>
      <c r="G1891" s="338" t="s">
        <v>56</v>
      </c>
      <c r="H1891" s="338"/>
      <c r="I1891" s="329">
        <v>33.880000000000003</v>
      </c>
      <c r="J1891" s="329"/>
      <c r="K1891" s="338">
        <f t="shared" si="83"/>
        <v>8.4700000000000006</v>
      </c>
      <c r="L1891" s="338">
        <f t="shared" si="83"/>
        <v>8.4700000000000006</v>
      </c>
      <c r="M1891" s="338">
        <f t="shared" si="83"/>
        <v>8.4700000000000006</v>
      </c>
      <c r="N1891" s="338">
        <f t="shared" si="83"/>
        <v>8.4700000000000006</v>
      </c>
      <c r="O1891" s="338"/>
    </row>
    <row r="1892" spans="1:15" hidden="1" outlineLevel="2" x14ac:dyDescent="0.35">
      <c r="A1892" s="425" t="s">
        <v>105</v>
      </c>
      <c r="B1892" s="327">
        <v>44551</v>
      </c>
      <c r="C1892" s="426" t="s">
        <v>10465</v>
      </c>
      <c r="D1892" s="427" t="s">
        <v>10466</v>
      </c>
      <c r="E1892" s="426" t="s">
        <v>10464</v>
      </c>
      <c r="F1892" s="338">
        <v>33.880000000000003</v>
      </c>
      <c r="G1892" s="338" t="s">
        <v>56</v>
      </c>
      <c r="H1892" s="338"/>
      <c r="I1892" s="329">
        <v>33.880000000000003</v>
      </c>
      <c r="J1892" s="329"/>
      <c r="K1892" s="338">
        <f t="shared" si="83"/>
        <v>8.4700000000000006</v>
      </c>
      <c r="L1892" s="338">
        <f t="shared" si="83"/>
        <v>8.4700000000000006</v>
      </c>
      <c r="M1892" s="338">
        <f t="shared" si="83"/>
        <v>8.4700000000000006</v>
      </c>
      <c r="N1892" s="338">
        <f t="shared" si="83"/>
        <v>8.4700000000000006</v>
      </c>
      <c r="O1892" s="338"/>
    </row>
    <row r="1893" spans="1:15" hidden="1" outlineLevel="2" x14ac:dyDescent="0.35">
      <c r="A1893" s="425" t="s">
        <v>105</v>
      </c>
      <c r="B1893" s="327">
        <v>43891</v>
      </c>
      <c r="C1893" s="426" t="s">
        <v>10467</v>
      </c>
      <c r="D1893" s="427" t="s">
        <v>10468</v>
      </c>
      <c r="E1893" s="426" t="s">
        <v>10469</v>
      </c>
      <c r="F1893" s="338">
        <v>500</v>
      </c>
      <c r="G1893" s="338" t="s">
        <v>5657</v>
      </c>
      <c r="H1893" s="338"/>
      <c r="I1893" s="329">
        <f>+F1893/121.7</f>
        <v>4.1084634346754312</v>
      </c>
      <c r="J1893" s="329"/>
      <c r="K1893" s="338">
        <f t="shared" si="83"/>
        <v>1.0271158586688578</v>
      </c>
      <c r="L1893" s="338">
        <f t="shared" si="83"/>
        <v>1.0271158586688578</v>
      </c>
      <c r="M1893" s="338">
        <f t="shared" si="83"/>
        <v>1.0271158586688578</v>
      </c>
      <c r="N1893" s="338">
        <f t="shared" si="83"/>
        <v>1.0271158586688578</v>
      </c>
      <c r="O1893" s="338"/>
    </row>
    <row r="1894" spans="1:15" hidden="1" outlineLevel="2" x14ac:dyDescent="0.35">
      <c r="A1894" s="425" t="s">
        <v>105</v>
      </c>
      <c r="B1894" s="327">
        <v>44377</v>
      </c>
      <c r="C1894" s="426" t="s">
        <v>10470</v>
      </c>
      <c r="D1894" s="427" t="s">
        <v>10471</v>
      </c>
      <c r="E1894" s="426" t="s">
        <v>3775</v>
      </c>
      <c r="F1894" s="338">
        <v>8.4499999999999993</v>
      </c>
      <c r="G1894" s="338" t="s">
        <v>56</v>
      </c>
      <c r="H1894" s="338"/>
      <c r="I1894" s="329">
        <v>8.4499999999999993</v>
      </c>
      <c r="J1894" s="329"/>
      <c r="K1894" s="338">
        <f t="shared" si="83"/>
        <v>2.1124999999999998</v>
      </c>
      <c r="L1894" s="338">
        <f t="shared" si="83"/>
        <v>2.1124999999999998</v>
      </c>
      <c r="M1894" s="338">
        <f t="shared" si="83"/>
        <v>2.1124999999999998</v>
      </c>
      <c r="N1894" s="338">
        <f t="shared" si="83"/>
        <v>2.1124999999999998</v>
      </c>
      <c r="O1894" s="338"/>
    </row>
    <row r="1895" spans="1:15" hidden="1" outlineLevel="2" x14ac:dyDescent="0.35">
      <c r="A1895" s="425" t="s">
        <v>105</v>
      </c>
      <c r="B1895" s="327">
        <v>44314</v>
      </c>
      <c r="C1895" s="426" t="s">
        <v>10445</v>
      </c>
      <c r="D1895" s="427" t="s">
        <v>10472</v>
      </c>
      <c r="E1895" s="426" t="s">
        <v>3775</v>
      </c>
      <c r="F1895" s="338">
        <v>2.56</v>
      </c>
      <c r="G1895" s="338" t="s">
        <v>56</v>
      </c>
      <c r="H1895" s="338"/>
      <c r="I1895" s="329">
        <v>2.56</v>
      </c>
      <c r="J1895" s="329"/>
      <c r="K1895" s="338">
        <f t="shared" si="83"/>
        <v>0.64</v>
      </c>
      <c r="L1895" s="338">
        <f t="shared" si="83"/>
        <v>0.64</v>
      </c>
      <c r="M1895" s="338">
        <f t="shared" si="83"/>
        <v>0.64</v>
      </c>
      <c r="N1895" s="338">
        <f t="shared" si="83"/>
        <v>0.64</v>
      </c>
      <c r="O1895" s="338"/>
    </row>
    <row r="1896" spans="1:15" hidden="1" outlineLevel="2" x14ac:dyDescent="0.35">
      <c r="A1896" s="425" t="s">
        <v>105</v>
      </c>
      <c r="B1896" s="327">
        <v>44510</v>
      </c>
      <c r="C1896" s="426" t="s">
        <v>10473</v>
      </c>
      <c r="D1896" s="427" t="s">
        <v>10474</v>
      </c>
      <c r="E1896" s="426" t="s">
        <v>10440</v>
      </c>
      <c r="F1896" s="338">
        <v>70.180000000000007</v>
      </c>
      <c r="G1896" s="338" t="s">
        <v>56</v>
      </c>
      <c r="H1896" s="338"/>
      <c r="I1896" s="329">
        <v>70.180000000000007</v>
      </c>
      <c r="J1896" s="329"/>
      <c r="K1896" s="338">
        <f t="shared" ref="K1896:N1915" si="84">$I1896/4</f>
        <v>17.545000000000002</v>
      </c>
      <c r="L1896" s="338">
        <f t="shared" si="84"/>
        <v>17.545000000000002</v>
      </c>
      <c r="M1896" s="338">
        <f t="shared" si="84"/>
        <v>17.545000000000002</v>
      </c>
      <c r="N1896" s="338">
        <f t="shared" si="84"/>
        <v>17.545000000000002</v>
      </c>
      <c r="O1896" s="338"/>
    </row>
    <row r="1897" spans="1:15" hidden="1" outlineLevel="2" x14ac:dyDescent="0.35">
      <c r="A1897" s="425" t="s">
        <v>105</v>
      </c>
      <c r="B1897" s="327">
        <v>44531</v>
      </c>
      <c r="C1897" s="426" t="s">
        <v>10475</v>
      </c>
      <c r="D1897" s="427" t="s">
        <v>10476</v>
      </c>
      <c r="E1897" s="426" t="s">
        <v>3775</v>
      </c>
      <c r="F1897" s="338">
        <v>27.83</v>
      </c>
      <c r="G1897" s="338" t="s">
        <v>56</v>
      </c>
      <c r="H1897" s="338"/>
      <c r="I1897" s="329">
        <v>27.83</v>
      </c>
      <c r="J1897" s="329"/>
      <c r="K1897" s="338">
        <f t="shared" si="84"/>
        <v>6.9574999999999996</v>
      </c>
      <c r="L1897" s="338">
        <f t="shared" si="84"/>
        <v>6.9574999999999996</v>
      </c>
      <c r="M1897" s="338">
        <f t="shared" si="84"/>
        <v>6.9574999999999996</v>
      </c>
      <c r="N1897" s="338">
        <f t="shared" si="84"/>
        <v>6.9574999999999996</v>
      </c>
      <c r="O1897" s="338"/>
    </row>
    <row r="1898" spans="1:15" hidden="1" outlineLevel="2" x14ac:dyDescent="0.35">
      <c r="A1898" s="425" t="s">
        <v>105</v>
      </c>
      <c r="B1898" s="327">
        <v>44552</v>
      </c>
      <c r="C1898" s="426" t="s">
        <v>10477</v>
      </c>
      <c r="D1898" s="427" t="s">
        <v>10478</v>
      </c>
      <c r="E1898" s="426" t="s">
        <v>3775</v>
      </c>
      <c r="F1898" s="338">
        <v>27.83</v>
      </c>
      <c r="G1898" s="338" t="s">
        <v>56</v>
      </c>
      <c r="H1898" s="338"/>
      <c r="I1898" s="329">
        <v>27.83</v>
      </c>
      <c r="J1898" s="329"/>
      <c r="K1898" s="338">
        <f t="shared" si="84"/>
        <v>6.9574999999999996</v>
      </c>
      <c r="L1898" s="338">
        <f t="shared" si="84"/>
        <v>6.9574999999999996</v>
      </c>
      <c r="M1898" s="338">
        <f t="shared" si="84"/>
        <v>6.9574999999999996</v>
      </c>
      <c r="N1898" s="338">
        <f t="shared" si="84"/>
        <v>6.9574999999999996</v>
      </c>
      <c r="O1898" s="338"/>
    </row>
    <row r="1899" spans="1:15" hidden="1" outlineLevel="2" x14ac:dyDescent="0.35">
      <c r="A1899" s="425" t="s">
        <v>105</v>
      </c>
      <c r="B1899" s="327">
        <v>44062</v>
      </c>
      <c r="C1899" s="426" t="s">
        <v>10479</v>
      </c>
      <c r="D1899" s="427" t="s">
        <v>10480</v>
      </c>
      <c r="E1899" s="426" t="s">
        <v>3775</v>
      </c>
      <c r="F1899" s="338">
        <v>27.83</v>
      </c>
      <c r="G1899" s="338" t="s">
        <v>56</v>
      </c>
      <c r="H1899" s="338"/>
      <c r="I1899" s="329">
        <v>27.83</v>
      </c>
      <c r="J1899" s="329"/>
      <c r="K1899" s="338">
        <f t="shared" si="84"/>
        <v>6.9574999999999996</v>
      </c>
      <c r="L1899" s="338">
        <f t="shared" si="84"/>
        <v>6.9574999999999996</v>
      </c>
      <c r="M1899" s="338">
        <f t="shared" si="84"/>
        <v>6.9574999999999996</v>
      </c>
      <c r="N1899" s="338">
        <f t="shared" si="84"/>
        <v>6.9574999999999996</v>
      </c>
      <c r="O1899" s="338"/>
    </row>
    <row r="1900" spans="1:15" hidden="1" outlineLevel="2" x14ac:dyDescent="0.35">
      <c r="A1900" s="425" t="s">
        <v>105</v>
      </c>
      <c r="B1900" s="327">
        <v>44056</v>
      </c>
      <c r="C1900" s="426" t="s">
        <v>5050</v>
      </c>
      <c r="D1900" s="427" t="s">
        <v>5052</v>
      </c>
      <c r="E1900" s="426" t="s">
        <v>3775</v>
      </c>
      <c r="F1900" s="338">
        <v>27.83</v>
      </c>
      <c r="G1900" s="338" t="s">
        <v>56</v>
      </c>
      <c r="H1900" s="338"/>
      <c r="I1900" s="329">
        <v>27.83</v>
      </c>
      <c r="J1900" s="329"/>
      <c r="K1900" s="338">
        <f t="shared" si="84"/>
        <v>6.9574999999999996</v>
      </c>
      <c r="L1900" s="338">
        <f t="shared" si="84"/>
        <v>6.9574999999999996</v>
      </c>
      <c r="M1900" s="338">
        <f t="shared" si="84"/>
        <v>6.9574999999999996</v>
      </c>
      <c r="N1900" s="338">
        <f t="shared" si="84"/>
        <v>6.9574999999999996</v>
      </c>
      <c r="O1900" s="338"/>
    </row>
    <row r="1901" spans="1:15" hidden="1" outlineLevel="2" x14ac:dyDescent="0.35">
      <c r="A1901" s="425" t="s">
        <v>105</v>
      </c>
      <c r="B1901" s="327">
        <v>43837</v>
      </c>
      <c r="C1901" s="426" t="s">
        <v>10481</v>
      </c>
      <c r="D1901" s="427" t="s">
        <v>10482</v>
      </c>
      <c r="E1901" s="426" t="s">
        <v>10483</v>
      </c>
      <c r="F1901" s="338">
        <v>195000</v>
      </c>
      <c r="G1901" s="338" t="s">
        <v>9869</v>
      </c>
      <c r="H1901" s="338"/>
      <c r="I1901" s="329">
        <f>+F1901/'[10]Income + exchange rates'!$G$29</f>
        <v>45.711545293855693</v>
      </c>
      <c r="J1901" s="329"/>
      <c r="K1901" s="338">
        <f t="shared" si="84"/>
        <v>11.427886323463923</v>
      </c>
      <c r="L1901" s="338">
        <f t="shared" si="84"/>
        <v>11.427886323463923</v>
      </c>
      <c r="M1901" s="338">
        <f t="shared" si="84"/>
        <v>11.427886323463923</v>
      </c>
      <c r="N1901" s="338">
        <f t="shared" si="84"/>
        <v>11.427886323463923</v>
      </c>
      <c r="O1901" s="338"/>
    </row>
    <row r="1902" spans="1:15" hidden="1" outlineLevel="2" x14ac:dyDescent="0.35">
      <c r="A1902" s="425" t="s">
        <v>105</v>
      </c>
      <c r="B1902" s="327">
        <v>43866</v>
      </c>
      <c r="C1902" s="426" t="s">
        <v>10484</v>
      </c>
      <c r="D1902" s="427" t="s">
        <v>10482</v>
      </c>
      <c r="E1902" s="426" t="s">
        <v>10483</v>
      </c>
      <c r="F1902" s="338">
        <v>195000</v>
      </c>
      <c r="G1902" s="338" t="s">
        <v>9869</v>
      </c>
      <c r="H1902" s="338"/>
      <c r="I1902" s="329">
        <f>+F1902/'[10]Income + exchange rates'!$G$29</f>
        <v>45.711545293855693</v>
      </c>
      <c r="J1902" s="329"/>
      <c r="K1902" s="338">
        <f t="shared" si="84"/>
        <v>11.427886323463923</v>
      </c>
      <c r="L1902" s="338">
        <f t="shared" si="84"/>
        <v>11.427886323463923</v>
      </c>
      <c r="M1902" s="338">
        <f t="shared" si="84"/>
        <v>11.427886323463923</v>
      </c>
      <c r="N1902" s="338">
        <f t="shared" si="84"/>
        <v>11.427886323463923</v>
      </c>
      <c r="O1902" s="338"/>
    </row>
    <row r="1903" spans="1:15" hidden="1" outlineLevel="2" x14ac:dyDescent="0.35">
      <c r="A1903" s="425" t="s">
        <v>105</v>
      </c>
      <c r="B1903" s="327">
        <v>43896</v>
      </c>
      <c r="C1903" s="426" t="s">
        <v>10485</v>
      </c>
      <c r="D1903" s="427" t="s">
        <v>10482</v>
      </c>
      <c r="E1903" s="426" t="s">
        <v>10483</v>
      </c>
      <c r="F1903" s="338">
        <v>270000</v>
      </c>
      <c r="G1903" s="338" t="s">
        <v>9869</v>
      </c>
      <c r="H1903" s="338"/>
      <c r="I1903" s="329">
        <f>+F1903/'[10]Income + exchange rates'!$G$29</f>
        <v>63.29290886841558</v>
      </c>
      <c r="J1903" s="329"/>
      <c r="K1903" s="338">
        <f t="shared" si="84"/>
        <v>15.823227217103895</v>
      </c>
      <c r="L1903" s="338">
        <f t="shared" si="84"/>
        <v>15.823227217103895</v>
      </c>
      <c r="M1903" s="338">
        <f t="shared" si="84"/>
        <v>15.823227217103895</v>
      </c>
      <c r="N1903" s="338">
        <f t="shared" si="84"/>
        <v>15.823227217103895</v>
      </c>
      <c r="O1903" s="338"/>
    </row>
    <row r="1904" spans="1:15" hidden="1" outlineLevel="2" x14ac:dyDescent="0.35">
      <c r="A1904" s="425" t="s">
        <v>105</v>
      </c>
      <c r="B1904" s="327">
        <v>44553</v>
      </c>
      <c r="C1904" s="426" t="s">
        <v>10486</v>
      </c>
      <c r="D1904" s="427" t="s">
        <v>10487</v>
      </c>
      <c r="E1904" s="426" t="s">
        <v>3775</v>
      </c>
      <c r="F1904" s="338">
        <v>28.53</v>
      </c>
      <c r="G1904" s="338" t="s">
        <v>56</v>
      </c>
      <c r="H1904" s="338"/>
      <c r="I1904" s="329">
        <v>28.53</v>
      </c>
      <c r="J1904" s="329"/>
      <c r="K1904" s="338">
        <f t="shared" si="84"/>
        <v>7.1325000000000003</v>
      </c>
      <c r="L1904" s="338">
        <f t="shared" si="84"/>
        <v>7.1325000000000003</v>
      </c>
      <c r="M1904" s="338">
        <f t="shared" si="84"/>
        <v>7.1325000000000003</v>
      </c>
      <c r="N1904" s="338">
        <f t="shared" si="84"/>
        <v>7.1325000000000003</v>
      </c>
      <c r="O1904" s="338"/>
    </row>
    <row r="1905" spans="1:15" hidden="1" outlineLevel="2" x14ac:dyDescent="0.35">
      <c r="A1905" s="425" t="s">
        <v>105</v>
      </c>
      <c r="B1905" s="327">
        <v>44553</v>
      </c>
      <c r="C1905" s="426" t="s">
        <v>10488</v>
      </c>
      <c r="D1905" s="427" t="s">
        <v>10487</v>
      </c>
      <c r="E1905" s="426" t="s">
        <v>3775</v>
      </c>
      <c r="F1905" s="338">
        <v>16.600000000000001</v>
      </c>
      <c r="G1905" s="338" t="s">
        <v>56</v>
      </c>
      <c r="H1905" s="338"/>
      <c r="I1905" s="329">
        <v>16.600000000000001</v>
      </c>
      <c r="J1905" s="329"/>
      <c r="K1905" s="338">
        <f t="shared" si="84"/>
        <v>4.1500000000000004</v>
      </c>
      <c r="L1905" s="338">
        <f t="shared" si="84"/>
        <v>4.1500000000000004</v>
      </c>
      <c r="M1905" s="338">
        <f t="shared" si="84"/>
        <v>4.1500000000000004</v>
      </c>
      <c r="N1905" s="338">
        <f t="shared" si="84"/>
        <v>4.1500000000000004</v>
      </c>
      <c r="O1905" s="338"/>
    </row>
    <row r="1906" spans="1:15" hidden="1" outlineLevel="2" x14ac:dyDescent="0.35">
      <c r="A1906" s="425" t="s">
        <v>105</v>
      </c>
      <c r="B1906" s="327">
        <v>44553</v>
      </c>
      <c r="C1906" s="426" t="s">
        <v>10489</v>
      </c>
      <c r="D1906" s="427" t="s">
        <v>10490</v>
      </c>
      <c r="E1906" s="426" t="s">
        <v>10440</v>
      </c>
      <c r="F1906" s="338">
        <v>88.4</v>
      </c>
      <c r="G1906" s="338" t="s">
        <v>56</v>
      </c>
      <c r="H1906" s="338"/>
      <c r="I1906" s="329">
        <v>88.4</v>
      </c>
      <c r="J1906" s="329"/>
      <c r="K1906" s="338">
        <f t="shared" si="84"/>
        <v>22.1</v>
      </c>
      <c r="L1906" s="338">
        <f t="shared" si="84"/>
        <v>22.1</v>
      </c>
      <c r="M1906" s="338">
        <f t="shared" si="84"/>
        <v>22.1</v>
      </c>
      <c r="N1906" s="338">
        <f t="shared" si="84"/>
        <v>22.1</v>
      </c>
      <c r="O1906" s="338"/>
    </row>
    <row r="1907" spans="1:15" hidden="1" outlineLevel="2" x14ac:dyDescent="0.35">
      <c r="A1907" s="425" t="s">
        <v>105</v>
      </c>
      <c r="B1907" s="327">
        <v>44553</v>
      </c>
      <c r="C1907" s="426" t="s">
        <v>10491</v>
      </c>
      <c r="D1907" s="427" t="s">
        <v>10490</v>
      </c>
      <c r="E1907" s="426" t="s">
        <v>3775</v>
      </c>
      <c r="F1907" s="338">
        <v>4.93</v>
      </c>
      <c r="G1907" s="338" t="s">
        <v>56</v>
      </c>
      <c r="H1907" s="338"/>
      <c r="I1907" s="329">
        <v>4.93</v>
      </c>
      <c r="J1907" s="329"/>
      <c r="K1907" s="338">
        <f t="shared" si="84"/>
        <v>1.2324999999999999</v>
      </c>
      <c r="L1907" s="338">
        <f t="shared" si="84"/>
        <v>1.2324999999999999</v>
      </c>
      <c r="M1907" s="338">
        <f t="shared" si="84"/>
        <v>1.2324999999999999</v>
      </c>
      <c r="N1907" s="338">
        <f t="shared" si="84"/>
        <v>1.2324999999999999</v>
      </c>
      <c r="O1907" s="338"/>
    </row>
    <row r="1908" spans="1:15" hidden="1" outlineLevel="2" x14ac:dyDescent="0.35">
      <c r="A1908" s="425" t="s">
        <v>105</v>
      </c>
      <c r="B1908" s="327">
        <v>44553</v>
      </c>
      <c r="C1908" s="426" t="s">
        <v>10492</v>
      </c>
      <c r="D1908" s="427" t="s">
        <v>10490</v>
      </c>
      <c r="E1908" s="426" t="s">
        <v>3775</v>
      </c>
      <c r="F1908" s="338">
        <v>19.54</v>
      </c>
      <c r="G1908" s="338" t="s">
        <v>56</v>
      </c>
      <c r="H1908" s="338"/>
      <c r="I1908" s="329">
        <v>19.54</v>
      </c>
      <c r="J1908" s="329"/>
      <c r="K1908" s="338">
        <f t="shared" si="84"/>
        <v>4.8849999999999998</v>
      </c>
      <c r="L1908" s="338">
        <f t="shared" si="84"/>
        <v>4.8849999999999998</v>
      </c>
      <c r="M1908" s="338">
        <f t="shared" si="84"/>
        <v>4.8849999999999998</v>
      </c>
      <c r="N1908" s="338">
        <f t="shared" si="84"/>
        <v>4.8849999999999998</v>
      </c>
      <c r="O1908" s="338"/>
    </row>
    <row r="1909" spans="1:15" hidden="1" outlineLevel="2" x14ac:dyDescent="0.35">
      <c r="A1909" s="425" t="s">
        <v>105</v>
      </c>
      <c r="B1909" s="327">
        <v>44553</v>
      </c>
      <c r="C1909" s="426" t="s">
        <v>10489</v>
      </c>
      <c r="D1909" s="427" t="s">
        <v>10490</v>
      </c>
      <c r="E1909" s="426" t="s">
        <v>3775</v>
      </c>
      <c r="F1909" s="338">
        <v>19.54</v>
      </c>
      <c r="G1909" s="338" t="s">
        <v>56</v>
      </c>
      <c r="H1909" s="338"/>
      <c r="I1909" s="329">
        <v>19.54</v>
      </c>
      <c r="J1909" s="329"/>
      <c r="K1909" s="338">
        <f t="shared" si="84"/>
        <v>4.8849999999999998</v>
      </c>
      <c r="L1909" s="338">
        <f t="shared" si="84"/>
        <v>4.8849999999999998</v>
      </c>
      <c r="M1909" s="338">
        <f t="shared" si="84"/>
        <v>4.8849999999999998</v>
      </c>
      <c r="N1909" s="338">
        <f t="shared" si="84"/>
        <v>4.8849999999999998</v>
      </c>
      <c r="O1909" s="338"/>
    </row>
    <row r="1910" spans="1:15" hidden="1" outlineLevel="2" x14ac:dyDescent="0.35">
      <c r="A1910" s="425" t="s">
        <v>105</v>
      </c>
      <c r="B1910" s="327">
        <v>44553</v>
      </c>
      <c r="C1910" s="426" t="s">
        <v>10493</v>
      </c>
      <c r="D1910" s="427" t="s">
        <v>10494</v>
      </c>
      <c r="E1910" s="426" t="s">
        <v>3775</v>
      </c>
      <c r="F1910" s="338">
        <v>12.75</v>
      </c>
      <c r="G1910" s="338" t="s">
        <v>56</v>
      </c>
      <c r="H1910" s="338"/>
      <c r="I1910" s="329">
        <v>12.75</v>
      </c>
      <c r="J1910" s="329"/>
      <c r="K1910" s="338">
        <f t="shared" si="84"/>
        <v>3.1875</v>
      </c>
      <c r="L1910" s="338">
        <f t="shared" si="84"/>
        <v>3.1875</v>
      </c>
      <c r="M1910" s="338">
        <f t="shared" si="84"/>
        <v>3.1875</v>
      </c>
      <c r="N1910" s="338">
        <f t="shared" si="84"/>
        <v>3.1875</v>
      </c>
      <c r="O1910" s="338"/>
    </row>
    <row r="1911" spans="1:15" hidden="1" outlineLevel="2" x14ac:dyDescent="0.35">
      <c r="A1911" s="425" t="s">
        <v>105</v>
      </c>
      <c r="B1911" s="327">
        <v>44196</v>
      </c>
      <c r="C1911" s="426" t="s">
        <v>10495</v>
      </c>
      <c r="D1911" s="427" t="s">
        <v>10496</v>
      </c>
      <c r="E1911" s="426" t="s">
        <v>5058</v>
      </c>
      <c r="F1911" s="338">
        <v>107.79</v>
      </c>
      <c r="G1911" s="338" t="s">
        <v>56</v>
      </c>
      <c r="H1911" s="338"/>
      <c r="I1911" s="329">
        <v>107.79</v>
      </c>
      <c r="J1911" s="329"/>
      <c r="K1911" s="338">
        <f t="shared" si="84"/>
        <v>26.947500000000002</v>
      </c>
      <c r="L1911" s="338">
        <f t="shared" si="84"/>
        <v>26.947500000000002</v>
      </c>
      <c r="M1911" s="338">
        <f t="shared" si="84"/>
        <v>26.947500000000002</v>
      </c>
      <c r="N1911" s="338">
        <f t="shared" si="84"/>
        <v>26.947500000000002</v>
      </c>
      <c r="O1911" s="338"/>
    </row>
    <row r="1912" spans="1:15" hidden="1" outlineLevel="2" x14ac:dyDescent="0.35">
      <c r="A1912" s="425" t="s">
        <v>105</v>
      </c>
      <c r="B1912" s="327">
        <v>44221</v>
      </c>
      <c r="C1912" s="426" t="s">
        <v>10497</v>
      </c>
      <c r="D1912" s="427" t="s">
        <v>10498</v>
      </c>
      <c r="E1912" s="426" t="s">
        <v>10440</v>
      </c>
      <c r="F1912" s="338">
        <v>6000</v>
      </c>
      <c r="G1912" s="338" t="s">
        <v>805</v>
      </c>
      <c r="H1912" s="338"/>
      <c r="I1912" s="329">
        <v>4889.58</v>
      </c>
      <c r="J1912" s="329"/>
      <c r="K1912" s="338">
        <f t="shared" si="84"/>
        <v>1222.395</v>
      </c>
      <c r="L1912" s="338">
        <f t="shared" si="84"/>
        <v>1222.395</v>
      </c>
      <c r="M1912" s="338">
        <f t="shared" si="84"/>
        <v>1222.395</v>
      </c>
      <c r="N1912" s="338">
        <f t="shared" si="84"/>
        <v>1222.395</v>
      </c>
      <c r="O1912" s="338"/>
    </row>
    <row r="1913" spans="1:15" hidden="1" outlineLevel="2" x14ac:dyDescent="0.35">
      <c r="A1913" s="425" t="s">
        <v>105</v>
      </c>
      <c r="B1913" s="327">
        <v>44196</v>
      </c>
      <c r="C1913" s="426" t="s">
        <v>10499</v>
      </c>
      <c r="D1913" s="427" t="s">
        <v>10500</v>
      </c>
      <c r="E1913" s="426" t="s">
        <v>2839</v>
      </c>
      <c r="F1913" s="338">
        <v>-1.19</v>
      </c>
      <c r="G1913" s="338" t="s">
        <v>56</v>
      </c>
      <c r="H1913" s="338"/>
      <c r="I1913" s="329">
        <v>-1.19</v>
      </c>
      <c r="J1913" s="329"/>
      <c r="K1913" s="338">
        <f t="shared" si="84"/>
        <v>-0.29749999999999999</v>
      </c>
      <c r="L1913" s="338">
        <f t="shared" si="84"/>
        <v>-0.29749999999999999</v>
      </c>
      <c r="M1913" s="338">
        <f t="shared" si="84"/>
        <v>-0.29749999999999999</v>
      </c>
      <c r="N1913" s="338">
        <f t="shared" si="84"/>
        <v>-0.29749999999999999</v>
      </c>
      <c r="O1913" s="338"/>
    </row>
    <row r="1914" spans="1:15" hidden="1" outlineLevel="2" x14ac:dyDescent="0.35">
      <c r="A1914" s="425" t="s">
        <v>105</v>
      </c>
      <c r="B1914" s="327">
        <v>44222</v>
      </c>
      <c r="C1914" s="426" t="s">
        <v>10501</v>
      </c>
      <c r="D1914" s="427" t="s">
        <v>10502</v>
      </c>
      <c r="E1914" s="426" t="s">
        <v>798</v>
      </c>
      <c r="F1914" s="338">
        <v>700.91</v>
      </c>
      <c r="G1914" s="338" t="s">
        <v>56</v>
      </c>
      <c r="H1914" s="338"/>
      <c r="I1914" s="329">
        <v>700.91</v>
      </c>
      <c r="J1914" s="329"/>
      <c r="K1914" s="338">
        <f t="shared" si="84"/>
        <v>175.22749999999999</v>
      </c>
      <c r="L1914" s="338">
        <f t="shared" si="84"/>
        <v>175.22749999999999</v>
      </c>
      <c r="M1914" s="338">
        <f t="shared" si="84"/>
        <v>175.22749999999999</v>
      </c>
      <c r="N1914" s="338">
        <f t="shared" si="84"/>
        <v>175.22749999999999</v>
      </c>
      <c r="O1914" s="338"/>
    </row>
    <row r="1915" spans="1:15" hidden="1" outlineLevel="2" x14ac:dyDescent="0.35">
      <c r="A1915" s="425" t="s">
        <v>105</v>
      </c>
      <c r="B1915" s="327">
        <v>44196</v>
      </c>
      <c r="C1915" s="426" t="s">
        <v>10503</v>
      </c>
      <c r="D1915" s="427" t="s">
        <v>10504</v>
      </c>
      <c r="E1915" s="426" t="s">
        <v>10505</v>
      </c>
      <c r="F1915" s="338">
        <v>11.1</v>
      </c>
      <c r="G1915" s="338" t="s">
        <v>56</v>
      </c>
      <c r="H1915" s="338"/>
      <c r="I1915" s="329">
        <v>11.1</v>
      </c>
      <c r="J1915" s="329"/>
      <c r="K1915" s="338">
        <f t="shared" si="84"/>
        <v>2.7749999999999999</v>
      </c>
      <c r="L1915" s="338">
        <f t="shared" si="84"/>
        <v>2.7749999999999999</v>
      </c>
      <c r="M1915" s="338">
        <f t="shared" si="84"/>
        <v>2.7749999999999999</v>
      </c>
      <c r="N1915" s="338">
        <f t="shared" si="84"/>
        <v>2.7749999999999999</v>
      </c>
      <c r="O1915" s="338"/>
    </row>
    <row r="1916" spans="1:15" hidden="1" outlineLevel="2" x14ac:dyDescent="0.35">
      <c r="A1916" s="425" t="s">
        <v>105</v>
      </c>
      <c r="B1916" s="327">
        <v>44196</v>
      </c>
      <c r="C1916" s="426" t="s">
        <v>10506</v>
      </c>
      <c r="D1916" s="427" t="s">
        <v>10507</v>
      </c>
      <c r="E1916" s="426" t="s">
        <v>10505</v>
      </c>
      <c r="F1916" s="338">
        <v>60.61</v>
      </c>
      <c r="G1916" s="338" t="s">
        <v>56</v>
      </c>
      <c r="H1916" s="338"/>
      <c r="I1916" s="329">
        <v>60.61</v>
      </c>
      <c r="J1916" s="329"/>
      <c r="K1916" s="338">
        <f t="shared" ref="K1916:N1935" si="85">$I1916/4</f>
        <v>15.1525</v>
      </c>
      <c r="L1916" s="338">
        <f t="shared" si="85"/>
        <v>15.1525</v>
      </c>
      <c r="M1916" s="338">
        <f t="shared" si="85"/>
        <v>15.1525</v>
      </c>
      <c r="N1916" s="338">
        <f t="shared" si="85"/>
        <v>15.1525</v>
      </c>
      <c r="O1916" s="338"/>
    </row>
    <row r="1917" spans="1:15" hidden="1" outlineLevel="2" x14ac:dyDescent="0.35">
      <c r="A1917" s="425" t="s">
        <v>105</v>
      </c>
      <c r="B1917" s="327">
        <v>43852</v>
      </c>
      <c r="C1917" s="426" t="s">
        <v>10508</v>
      </c>
      <c r="D1917" s="427" t="s">
        <v>10509</v>
      </c>
      <c r="E1917" s="426" t="s">
        <v>10510</v>
      </c>
      <c r="F1917" s="338">
        <v>20000</v>
      </c>
      <c r="G1917" s="338" t="s">
        <v>9869</v>
      </c>
      <c r="H1917" s="338"/>
      <c r="I1917" s="329">
        <f>+F1917/'[10]Income + exchange rates'!$G$29</f>
        <v>4.6883636198826357</v>
      </c>
      <c r="J1917" s="329"/>
      <c r="K1917" s="338">
        <f t="shared" si="85"/>
        <v>1.1720909049706589</v>
      </c>
      <c r="L1917" s="338">
        <f t="shared" si="85"/>
        <v>1.1720909049706589</v>
      </c>
      <c r="M1917" s="338">
        <f t="shared" si="85"/>
        <v>1.1720909049706589</v>
      </c>
      <c r="N1917" s="338">
        <f t="shared" si="85"/>
        <v>1.1720909049706589</v>
      </c>
      <c r="O1917" s="338"/>
    </row>
    <row r="1918" spans="1:15" hidden="1" outlineLevel="2" x14ac:dyDescent="0.35">
      <c r="A1918" s="425" t="s">
        <v>105</v>
      </c>
      <c r="B1918" s="327">
        <v>43854</v>
      </c>
      <c r="C1918" s="426" t="s">
        <v>10511</v>
      </c>
      <c r="D1918" s="427" t="s">
        <v>10509</v>
      </c>
      <c r="E1918" s="426" t="s">
        <v>10510</v>
      </c>
      <c r="F1918" s="338">
        <v>20000</v>
      </c>
      <c r="G1918" s="338" t="s">
        <v>9869</v>
      </c>
      <c r="H1918" s="338"/>
      <c r="I1918" s="329">
        <f>+F1918/'[10]Income + exchange rates'!$G$29</f>
        <v>4.6883636198826357</v>
      </c>
      <c r="J1918" s="329"/>
      <c r="K1918" s="338">
        <f t="shared" si="85"/>
        <v>1.1720909049706589</v>
      </c>
      <c r="L1918" s="338">
        <f t="shared" si="85"/>
        <v>1.1720909049706589</v>
      </c>
      <c r="M1918" s="338">
        <f t="shared" si="85"/>
        <v>1.1720909049706589</v>
      </c>
      <c r="N1918" s="338">
        <f t="shared" si="85"/>
        <v>1.1720909049706589</v>
      </c>
      <c r="O1918" s="338"/>
    </row>
    <row r="1919" spans="1:15" hidden="1" outlineLevel="2" x14ac:dyDescent="0.35">
      <c r="A1919" s="425" t="s">
        <v>105</v>
      </c>
      <c r="B1919" s="327">
        <v>44264</v>
      </c>
      <c r="C1919" s="426">
        <v>1002392120</v>
      </c>
      <c r="D1919" s="427" t="s">
        <v>10512</v>
      </c>
      <c r="E1919" s="426" t="s">
        <v>10513</v>
      </c>
      <c r="F1919" s="338">
        <v>75000</v>
      </c>
      <c r="G1919" s="338" t="s">
        <v>9869</v>
      </c>
      <c r="H1919" s="338"/>
      <c r="I1919" s="329">
        <f>+F1919/'[10]Income + exchange rates'!$G$60</f>
        <v>17.88023867631367</v>
      </c>
      <c r="J1919" s="329"/>
      <c r="K1919" s="338">
        <f t="shared" si="85"/>
        <v>4.4700596690784176</v>
      </c>
      <c r="L1919" s="338">
        <f t="shared" si="85"/>
        <v>4.4700596690784176</v>
      </c>
      <c r="M1919" s="338">
        <f t="shared" si="85"/>
        <v>4.4700596690784176</v>
      </c>
      <c r="N1919" s="338">
        <f t="shared" si="85"/>
        <v>4.4700596690784176</v>
      </c>
      <c r="O1919" s="338"/>
    </row>
    <row r="1920" spans="1:15" hidden="1" outlineLevel="2" x14ac:dyDescent="0.35">
      <c r="A1920" s="425" t="s">
        <v>105</v>
      </c>
      <c r="B1920" s="327">
        <v>43780</v>
      </c>
      <c r="C1920" s="426" t="s">
        <v>10514</v>
      </c>
      <c r="D1920" s="427" t="s">
        <v>10515</v>
      </c>
      <c r="E1920" s="426" t="s">
        <v>2708</v>
      </c>
      <c r="F1920" s="338">
        <v>43.76</v>
      </c>
      <c r="G1920" s="338" t="s">
        <v>56</v>
      </c>
      <c r="H1920" s="338"/>
      <c r="I1920" s="329">
        <v>43.76</v>
      </c>
      <c r="J1920" s="329"/>
      <c r="K1920" s="338">
        <f t="shared" si="85"/>
        <v>10.94</v>
      </c>
      <c r="L1920" s="338">
        <f t="shared" si="85"/>
        <v>10.94</v>
      </c>
      <c r="M1920" s="338">
        <f t="shared" si="85"/>
        <v>10.94</v>
      </c>
      <c r="N1920" s="338">
        <f t="shared" si="85"/>
        <v>10.94</v>
      </c>
      <c r="O1920" s="338"/>
    </row>
    <row r="1921" spans="1:15" hidden="1" outlineLevel="2" x14ac:dyDescent="0.35">
      <c r="A1921" s="425" t="s">
        <v>105</v>
      </c>
      <c r="B1921" s="327">
        <v>43780</v>
      </c>
      <c r="C1921" s="426" t="s">
        <v>10514</v>
      </c>
      <c r="D1921" s="427" t="s">
        <v>10515</v>
      </c>
      <c r="E1921" s="426" t="s">
        <v>2708</v>
      </c>
      <c r="F1921" s="338">
        <v>9.19</v>
      </c>
      <c r="G1921" s="338" t="s">
        <v>56</v>
      </c>
      <c r="H1921" s="338"/>
      <c r="I1921" s="329">
        <v>9.19</v>
      </c>
      <c r="J1921" s="329"/>
      <c r="K1921" s="338">
        <f t="shared" si="85"/>
        <v>2.2974999999999999</v>
      </c>
      <c r="L1921" s="338">
        <f t="shared" si="85"/>
        <v>2.2974999999999999</v>
      </c>
      <c r="M1921" s="338">
        <f t="shared" si="85"/>
        <v>2.2974999999999999</v>
      </c>
      <c r="N1921" s="338">
        <f t="shared" si="85"/>
        <v>2.2974999999999999</v>
      </c>
      <c r="O1921" s="338"/>
    </row>
    <row r="1922" spans="1:15" hidden="1" outlineLevel="2" x14ac:dyDescent="0.35">
      <c r="A1922" s="425" t="s">
        <v>105</v>
      </c>
      <c r="B1922" s="327">
        <v>43759</v>
      </c>
      <c r="C1922" s="426" t="s">
        <v>10516</v>
      </c>
      <c r="D1922" s="427" t="s">
        <v>10517</v>
      </c>
      <c r="E1922" s="426" t="s">
        <v>2708</v>
      </c>
      <c r="F1922" s="338">
        <v>343.07</v>
      </c>
      <c r="G1922" s="338" t="s">
        <v>56</v>
      </c>
      <c r="H1922" s="338"/>
      <c r="I1922" s="329">
        <v>343.07</v>
      </c>
      <c r="J1922" s="329"/>
      <c r="K1922" s="338">
        <f t="shared" si="85"/>
        <v>85.767499999999998</v>
      </c>
      <c r="L1922" s="338">
        <f t="shared" si="85"/>
        <v>85.767499999999998</v>
      </c>
      <c r="M1922" s="338">
        <f t="shared" si="85"/>
        <v>85.767499999999998</v>
      </c>
      <c r="N1922" s="338">
        <f t="shared" si="85"/>
        <v>85.767499999999998</v>
      </c>
      <c r="O1922" s="338"/>
    </row>
    <row r="1923" spans="1:15" hidden="1" outlineLevel="2" x14ac:dyDescent="0.35">
      <c r="A1923" s="425" t="s">
        <v>105</v>
      </c>
      <c r="B1923" s="327">
        <v>43908</v>
      </c>
      <c r="C1923" s="426" t="s">
        <v>10518</v>
      </c>
      <c r="D1923" s="427" t="s">
        <v>10519</v>
      </c>
      <c r="E1923" s="426" t="s">
        <v>798</v>
      </c>
      <c r="F1923" s="338">
        <v>570</v>
      </c>
      <c r="G1923" s="338" t="s">
        <v>56</v>
      </c>
      <c r="H1923" s="338"/>
      <c r="I1923" s="329">
        <v>570</v>
      </c>
      <c r="J1923" s="329"/>
      <c r="K1923" s="338">
        <f t="shared" si="85"/>
        <v>142.5</v>
      </c>
      <c r="L1923" s="338">
        <f t="shared" si="85"/>
        <v>142.5</v>
      </c>
      <c r="M1923" s="338">
        <f t="shared" si="85"/>
        <v>142.5</v>
      </c>
      <c r="N1923" s="338">
        <f t="shared" si="85"/>
        <v>142.5</v>
      </c>
      <c r="O1923" s="338"/>
    </row>
    <row r="1924" spans="1:15" hidden="1" outlineLevel="2" x14ac:dyDescent="0.35">
      <c r="A1924" s="425" t="s">
        <v>105</v>
      </c>
      <c r="B1924" s="327">
        <v>44232</v>
      </c>
      <c r="C1924" s="426" t="s">
        <v>10520</v>
      </c>
      <c r="D1924" s="427" t="s">
        <v>10519</v>
      </c>
      <c r="E1924" s="426" t="s">
        <v>798</v>
      </c>
      <c r="F1924" s="338">
        <v>485</v>
      </c>
      <c r="G1924" s="338" t="s">
        <v>56</v>
      </c>
      <c r="H1924" s="338"/>
      <c r="I1924" s="329">
        <v>485</v>
      </c>
      <c r="J1924" s="329"/>
      <c r="K1924" s="338">
        <f t="shared" si="85"/>
        <v>121.25</v>
      </c>
      <c r="L1924" s="338">
        <f t="shared" si="85"/>
        <v>121.25</v>
      </c>
      <c r="M1924" s="338">
        <f t="shared" si="85"/>
        <v>121.25</v>
      </c>
      <c r="N1924" s="338">
        <f t="shared" si="85"/>
        <v>121.25</v>
      </c>
      <c r="O1924" s="338"/>
    </row>
    <row r="1925" spans="1:15" hidden="1" outlineLevel="2" x14ac:dyDescent="0.35">
      <c r="A1925" s="425" t="s">
        <v>105</v>
      </c>
      <c r="B1925" s="327">
        <v>43790</v>
      </c>
      <c r="C1925" s="426" t="s">
        <v>10521</v>
      </c>
      <c r="D1925" s="427" t="s">
        <v>10522</v>
      </c>
      <c r="E1925" s="426" t="s">
        <v>798</v>
      </c>
      <c r="F1925" s="338">
        <v>415.39</v>
      </c>
      <c r="G1925" s="338" t="s">
        <v>56</v>
      </c>
      <c r="H1925" s="338"/>
      <c r="I1925" s="329">
        <v>415.39</v>
      </c>
      <c r="J1925" s="329"/>
      <c r="K1925" s="338">
        <f t="shared" si="85"/>
        <v>103.8475</v>
      </c>
      <c r="L1925" s="338">
        <f t="shared" si="85"/>
        <v>103.8475</v>
      </c>
      <c r="M1925" s="338">
        <f t="shared" si="85"/>
        <v>103.8475</v>
      </c>
      <c r="N1925" s="338">
        <f t="shared" si="85"/>
        <v>103.8475</v>
      </c>
      <c r="O1925" s="338"/>
    </row>
    <row r="1926" spans="1:15" hidden="1" outlineLevel="2" x14ac:dyDescent="0.35">
      <c r="A1926" s="425" t="s">
        <v>105</v>
      </c>
      <c r="B1926" s="327">
        <v>44442</v>
      </c>
      <c r="C1926" s="426" t="s">
        <v>10523</v>
      </c>
      <c r="D1926" s="427" t="s">
        <v>10524</v>
      </c>
      <c r="E1926" s="426" t="s">
        <v>798</v>
      </c>
      <c r="F1926" s="338">
        <v>976.57</v>
      </c>
      <c r="G1926" s="338" t="s">
        <v>56</v>
      </c>
      <c r="H1926" s="338"/>
      <c r="I1926" s="329">
        <v>976.57</v>
      </c>
      <c r="J1926" s="329"/>
      <c r="K1926" s="338">
        <f t="shared" si="85"/>
        <v>244.14250000000001</v>
      </c>
      <c r="L1926" s="338">
        <f t="shared" si="85"/>
        <v>244.14250000000001</v>
      </c>
      <c r="M1926" s="338">
        <f t="shared" si="85"/>
        <v>244.14250000000001</v>
      </c>
      <c r="N1926" s="338">
        <f t="shared" si="85"/>
        <v>244.14250000000001</v>
      </c>
      <c r="O1926" s="338"/>
    </row>
    <row r="1927" spans="1:15" hidden="1" outlineLevel="2" x14ac:dyDescent="0.35">
      <c r="A1927" s="425" t="s">
        <v>105</v>
      </c>
      <c r="B1927" s="327">
        <v>44227</v>
      </c>
      <c r="C1927" s="426" t="s">
        <v>10525</v>
      </c>
      <c r="D1927" s="427" t="s">
        <v>10526</v>
      </c>
      <c r="E1927" s="426" t="s">
        <v>3775</v>
      </c>
      <c r="F1927" s="338">
        <v>681.6</v>
      </c>
      <c r="G1927" s="338" t="s">
        <v>3776</v>
      </c>
      <c r="H1927" s="338"/>
      <c r="I1927" s="329">
        <v>630.99</v>
      </c>
      <c r="J1927" s="329"/>
      <c r="K1927" s="338">
        <f t="shared" si="85"/>
        <v>157.7475</v>
      </c>
      <c r="L1927" s="338">
        <f t="shared" si="85"/>
        <v>157.7475</v>
      </c>
      <c r="M1927" s="338">
        <f t="shared" si="85"/>
        <v>157.7475</v>
      </c>
      <c r="N1927" s="338">
        <f t="shared" si="85"/>
        <v>157.7475</v>
      </c>
      <c r="O1927" s="338"/>
    </row>
    <row r="1928" spans="1:15" hidden="1" outlineLevel="2" x14ac:dyDescent="0.35">
      <c r="A1928" s="425" t="s">
        <v>105</v>
      </c>
      <c r="B1928" s="327">
        <v>44592</v>
      </c>
      <c r="C1928" s="426" t="s">
        <v>10527</v>
      </c>
      <c r="D1928" s="427" t="s">
        <v>10528</v>
      </c>
      <c r="E1928" s="426" t="s">
        <v>3775</v>
      </c>
      <c r="F1928" s="338">
        <v>681.6</v>
      </c>
      <c r="G1928" s="338" t="s">
        <v>3776</v>
      </c>
      <c r="H1928" s="338"/>
      <c r="I1928" s="329">
        <v>653.5</v>
      </c>
      <c r="J1928" s="329"/>
      <c r="K1928" s="338">
        <f t="shared" si="85"/>
        <v>163.375</v>
      </c>
      <c r="L1928" s="338">
        <f t="shared" si="85"/>
        <v>163.375</v>
      </c>
      <c r="M1928" s="338">
        <f t="shared" si="85"/>
        <v>163.375</v>
      </c>
      <c r="N1928" s="338">
        <f t="shared" si="85"/>
        <v>163.375</v>
      </c>
      <c r="O1928" s="338"/>
    </row>
    <row r="1929" spans="1:15" hidden="1" outlineLevel="2" x14ac:dyDescent="0.35">
      <c r="A1929" s="425" t="s">
        <v>105</v>
      </c>
      <c r="B1929" s="327">
        <v>44255</v>
      </c>
      <c r="C1929" s="426" t="s">
        <v>10529</v>
      </c>
      <c r="D1929" s="427" t="s">
        <v>10530</v>
      </c>
      <c r="E1929" s="426" t="s">
        <v>3775</v>
      </c>
      <c r="F1929" s="338">
        <v>681.6</v>
      </c>
      <c r="G1929" s="338" t="s">
        <v>3776</v>
      </c>
      <c r="H1929" s="338"/>
      <c r="I1929" s="329">
        <v>630.99</v>
      </c>
      <c r="J1929" s="329"/>
      <c r="K1929" s="338">
        <f t="shared" si="85"/>
        <v>157.7475</v>
      </c>
      <c r="L1929" s="338">
        <f t="shared" si="85"/>
        <v>157.7475</v>
      </c>
      <c r="M1929" s="338">
        <f t="shared" si="85"/>
        <v>157.7475</v>
      </c>
      <c r="N1929" s="338">
        <f t="shared" si="85"/>
        <v>157.7475</v>
      </c>
      <c r="O1929" s="338"/>
    </row>
    <row r="1930" spans="1:15" hidden="1" outlineLevel="2" x14ac:dyDescent="0.35">
      <c r="A1930" s="425" t="s">
        <v>105</v>
      </c>
      <c r="B1930" s="327">
        <v>44286</v>
      </c>
      <c r="C1930" s="426" t="s">
        <v>10531</v>
      </c>
      <c r="D1930" s="427" t="s">
        <v>10532</v>
      </c>
      <c r="E1930" s="426" t="s">
        <v>3775</v>
      </c>
      <c r="F1930" s="338">
        <v>681.6</v>
      </c>
      <c r="G1930" s="338" t="s">
        <v>3776</v>
      </c>
      <c r="H1930" s="338"/>
      <c r="I1930" s="329">
        <v>620.42999999999995</v>
      </c>
      <c r="J1930" s="329"/>
      <c r="K1930" s="338">
        <f t="shared" si="85"/>
        <v>155.10749999999999</v>
      </c>
      <c r="L1930" s="338">
        <f t="shared" si="85"/>
        <v>155.10749999999999</v>
      </c>
      <c r="M1930" s="338">
        <f t="shared" si="85"/>
        <v>155.10749999999999</v>
      </c>
      <c r="N1930" s="338">
        <f t="shared" si="85"/>
        <v>155.10749999999999</v>
      </c>
      <c r="O1930" s="338"/>
    </row>
    <row r="1931" spans="1:15" hidden="1" outlineLevel="2" x14ac:dyDescent="0.35">
      <c r="A1931" s="425" t="s">
        <v>105</v>
      </c>
      <c r="B1931" s="327">
        <v>44316</v>
      </c>
      <c r="C1931" s="426" t="s">
        <v>10533</v>
      </c>
      <c r="D1931" s="427" t="s">
        <v>10534</v>
      </c>
      <c r="E1931" s="426" t="s">
        <v>3775</v>
      </c>
      <c r="F1931" s="338">
        <v>681.6</v>
      </c>
      <c r="G1931" s="338" t="s">
        <v>3776</v>
      </c>
      <c r="H1931" s="338"/>
      <c r="I1931" s="329">
        <v>615.72</v>
      </c>
      <c r="J1931" s="329"/>
      <c r="K1931" s="338">
        <f t="shared" si="85"/>
        <v>153.93</v>
      </c>
      <c r="L1931" s="338">
        <f t="shared" si="85"/>
        <v>153.93</v>
      </c>
      <c r="M1931" s="338">
        <f t="shared" si="85"/>
        <v>153.93</v>
      </c>
      <c r="N1931" s="338">
        <f t="shared" si="85"/>
        <v>153.93</v>
      </c>
      <c r="O1931" s="338"/>
    </row>
    <row r="1932" spans="1:15" hidden="1" outlineLevel="2" x14ac:dyDescent="0.35">
      <c r="A1932" s="425" t="s">
        <v>105</v>
      </c>
      <c r="B1932" s="327">
        <v>44347</v>
      </c>
      <c r="C1932" s="426" t="s">
        <v>10535</v>
      </c>
      <c r="D1932" s="427" t="s">
        <v>10536</v>
      </c>
      <c r="E1932" s="426" t="s">
        <v>3775</v>
      </c>
      <c r="F1932" s="338">
        <v>681.6</v>
      </c>
      <c r="G1932" s="338" t="s">
        <v>3776</v>
      </c>
      <c r="H1932" s="338"/>
      <c r="I1932" s="329">
        <v>615.72</v>
      </c>
      <c r="J1932" s="329"/>
      <c r="K1932" s="338">
        <f t="shared" si="85"/>
        <v>153.93</v>
      </c>
      <c r="L1932" s="338">
        <f t="shared" si="85"/>
        <v>153.93</v>
      </c>
      <c r="M1932" s="338">
        <f t="shared" si="85"/>
        <v>153.93</v>
      </c>
      <c r="N1932" s="338">
        <f t="shared" si="85"/>
        <v>153.93</v>
      </c>
      <c r="O1932" s="338"/>
    </row>
    <row r="1933" spans="1:15" hidden="1" outlineLevel="2" x14ac:dyDescent="0.35">
      <c r="A1933" s="425" t="s">
        <v>105</v>
      </c>
      <c r="B1933" s="327">
        <v>44012</v>
      </c>
      <c r="C1933" s="426" t="s">
        <v>10537</v>
      </c>
      <c r="D1933" s="427" t="s">
        <v>10538</v>
      </c>
      <c r="E1933" s="426" t="s">
        <v>3775</v>
      </c>
      <c r="F1933" s="338">
        <v>681.6</v>
      </c>
      <c r="G1933" s="338" t="s">
        <v>3776</v>
      </c>
      <c r="H1933" s="338"/>
      <c r="I1933" s="329">
        <v>635.82000000000005</v>
      </c>
      <c r="J1933" s="329"/>
      <c r="K1933" s="338">
        <f t="shared" si="85"/>
        <v>158.95500000000001</v>
      </c>
      <c r="L1933" s="338">
        <f t="shared" si="85"/>
        <v>158.95500000000001</v>
      </c>
      <c r="M1933" s="338">
        <f t="shared" si="85"/>
        <v>158.95500000000001</v>
      </c>
      <c r="N1933" s="338">
        <f t="shared" si="85"/>
        <v>158.95500000000001</v>
      </c>
      <c r="O1933" s="338"/>
    </row>
    <row r="1934" spans="1:15" hidden="1" outlineLevel="2" x14ac:dyDescent="0.35">
      <c r="A1934" s="425" t="s">
        <v>105</v>
      </c>
      <c r="B1934" s="327">
        <v>44377</v>
      </c>
      <c r="C1934" s="426" t="s">
        <v>10539</v>
      </c>
      <c r="D1934" s="427" t="s">
        <v>10540</v>
      </c>
      <c r="E1934" s="426" t="s">
        <v>3775</v>
      </c>
      <c r="F1934" s="338">
        <v>681.6</v>
      </c>
      <c r="G1934" s="338" t="s">
        <v>3776</v>
      </c>
      <c r="H1934" s="338"/>
      <c r="I1934" s="329">
        <v>620.65</v>
      </c>
      <c r="J1934" s="329"/>
      <c r="K1934" s="338">
        <f t="shared" si="85"/>
        <v>155.16249999999999</v>
      </c>
      <c r="L1934" s="338">
        <f t="shared" si="85"/>
        <v>155.16249999999999</v>
      </c>
      <c r="M1934" s="338">
        <f t="shared" si="85"/>
        <v>155.16249999999999</v>
      </c>
      <c r="N1934" s="338">
        <f t="shared" si="85"/>
        <v>155.16249999999999</v>
      </c>
      <c r="O1934" s="338"/>
    </row>
    <row r="1935" spans="1:15" hidden="1" outlineLevel="2" x14ac:dyDescent="0.35">
      <c r="A1935" s="425" t="s">
        <v>105</v>
      </c>
      <c r="B1935" s="327">
        <v>44043</v>
      </c>
      <c r="C1935" s="426" t="s">
        <v>10541</v>
      </c>
      <c r="D1935" s="427" t="s">
        <v>10542</v>
      </c>
      <c r="E1935" s="426" t="s">
        <v>3775</v>
      </c>
      <c r="F1935" s="338">
        <v>681.6</v>
      </c>
      <c r="G1935" s="338" t="s">
        <v>3776</v>
      </c>
      <c r="H1935" s="338"/>
      <c r="I1935" s="329">
        <v>639.94000000000005</v>
      </c>
      <c r="J1935" s="329"/>
      <c r="K1935" s="338">
        <f t="shared" si="85"/>
        <v>159.98500000000001</v>
      </c>
      <c r="L1935" s="338">
        <f t="shared" si="85"/>
        <v>159.98500000000001</v>
      </c>
      <c r="M1935" s="338">
        <f t="shared" si="85"/>
        <v>159.98500000000001</v>
      </c>
      <c r="N1935" s="338">
        <f t="shared" si="85"/>
        <v>159.98500000000001</v>
      </c>
      <c r="O1935" s="338"/>
    </row>
    <row r="1936" spans="1:15" hidden="1" outlineLevel="2" x14ac:dyDescent="0.35">
      <c r="A1936" s="425" t="s">
        <v>105</v>
      </c>
      <c r="B1936" s="327">
        <v>44408</v>
      </c>
      <c r="C1936" s="426" t="s">
        <v>10543</v>
      </c>
      <c r="D1936" s="427" t="s">
        <v>10544</v>
      </c>
      <c r="E1936" s="426" t="s">
        <v>3775</v>
      </c>
      <c r="F1936" s="338">
        <v>681.6</v>
      </c>
      <c r="G1936" s="338" t="s">
        <v>3776</v>
      </c>
      <c r="H1936" s="338"/>
      <c r="I1936" s="329">
        <v>620.77</v>
      </c>
      <c r="J1936" s="329"/>
      <c r="K1936" s="338">
        <f t="shared" ref="K1936:N1955" si="86">$I1936/4</f>
        <v>155.1925</v>
      </c>
      <c r="L1936" s="338">
        <f t="shared" si="86"/>
        <v>155.1925</v>
      </c>
      <c r="M1936" s="338">
        <f t="shared" si="86"/>
        <v>155.1925</v>
      </c>
      <c r="N1936" s="338">
        <f t="shared" si="86"/>
        <v>155.1925</v>
      </c>
      <c r="O1936" s="338"/>
    </row>
    <row r="1937" spans="1:15" hidden="1" outlineLevel="2" x14ac:dyDescent="0.35">
      <c r="A1937" s="425" t="s">
        <v>105</v>
      </c>
      <c r="B1937" s="327">
        <v>44074</v>
      </c>
      <c r="C1937" s="426" t="s">
        <v>10545</v>
      </c>
      <c r="D1937" s="427" t="s">
        <v>10546</v>
      </c>
      <c r="E1937" s="426" t="s">
        <v>3775</v>
      </c>
      <c r="F1937" s="338">
        <v>681.6</v>
      </c>
      <c r="G1937" s="338" t="s">
        <v>3776</v>
      </c>
      <c r="H1937" s="338"/>
      <c r="I1937" s="329">
        <v>639.94000000000005</v>
      </c>
      <c r="J1937" s="329"/>
      <c r="K1937" s="338">
        <f t="shared" si="86"/>
        <v>159.98500000000001</v>
      </c>
      <c r="L1937" s="338">
        <f t="shared" si="86"/>
        <v>159.98500000000001</v>
      </c>
      <c r="M1937" s="338">
        <f t="shared" si="86"/>
        <v>159.98500000000001</v>
      </c>
      <c r="N1937" s="338">
        <f t="shared" si="86"/>
        <v>159.98500000000001</v>
      </c>
      <c r="O1937" s="338"/>
    </row>
    <row r="1938" spans="1:15" hidden="1" outlineLevel="2" x14ac:dyDescent="0.35">
      <c r="A1938" s="425" t="s">
        <v>105</v>
      </c>
      <c r="B1938" s="327">
        <v>44439</v>
      </c>
      <c r="C1938" s="426" t="s">
        <v>10547</v>
      </c>
      <c r="D1938" s="427" t="s">
        <v>10548</v>
      </c>
      <c r="E1938" s="426" t="s">
        <v>3775</v>
      </c>
      <c r="F1938" s="338">
        <v>681.6</v>
      </c>
      <c r="G1938" s="338" t="s">
        <v>3776</v>
      </c>
      <c r="H1938" s="338"/>
      <c r="I1938" s="329">
        <v>620.77</v>
      </c>
      <c r="J1938" s="329"/>
      <c r="K1938" s="338">
        <f t="shared" si="86"/>
        <v>155.1925</v>
      </c>
      <c r="L1938" s="338">
        <f t="shared" si="86"/>
        <v>155.1925</v>
      </c>
      <c r="M1938" s="338">
        <f t="shared" si="86"/>
        <v>155.1925</v>
      </c>
      <c r="N1938" s="338">
        <f t="shared" si="86"/>
        <v>155.1925</v>
      </c>
      <c r="O1938" s="338"/>
    </row>
    <row r="1939" spans="1:15" hidden="1" outlineLevel="2" x14ac:dyDescent="0.35">
      <c r="A1939" s="425" t="s">
        <v>105</v>
      </c>
      <c r="B1939" s="327">
        <v>44104</v>
      </c>
      <c r="C1939" s="426" t="s">
        <v>10549</v>
      </c>
      <c r="D1939" s="427" t="s">
        <v>10550</v>
      </c>
      <c r="E1939" s="426" t="s">
        <v>3775</v>
      </c>
      <c r="F1939" s="338">
        <v>681.6</v>
      </c>
      <c r="G1939" s="338" t="s">
        <v>3776</v>
      </c>
      <c r="H1939" s="338"/>
      <c r="I1939" s="329">
        <v>632.63</v>
      </c>
      <c r="J1939" s="329"/>
      <c r="K1939" s="338">
        <f t="shared" si="86"/>
        <v>158.1575</v>
      </c>
      <c r="L1939" s="338">
        <f t="shared" si="86"/>
        <v>158.1575</v>
      </c>
      <c r="M1939" s="338">
        <f t="shared" si="86"/>
        <v>158.1575</v>
      </c>
      <c r="N1939" s="338">
        <f t="shared" si="86"/>
        <v>158.1575</v>
      </c>
      <c r="O1939" s="338"/>
    </row>
    <row r="1940" spans="1:15" hidden="1" outlineLevel="2" x14ac:dyDescent="0.35">
      <c r="A1940" s="425" t="s">
        <v>105</v>
      </c>
      <c r="B1940" s="327">
        <v>44469</v>
      </c>
      <c r="C1940" s="426" t="s">
        <v>10551</v>
      </c>
      <c r="D1940" s="427" t="s">
        <v>10552</v>
      </c>
      <c r="E1940" s="426" t="s">
        <v>3775</v>
      </c>
      <c r="F1940" s="338">
        <v>681.6</v>
      </c>
      <c r="G1940" s="338" t="s">
        <v>3776</v>
      </c>
      <c r="H1940" s="338"/>
      <c r="I1940" s="329">
        <v>631.16999999999996</v>
      </c>
      <c r="J1940" s="329"/>
      <c r="K1940" s="338">
        <f t="shared" si="86"/>
        <v>157.79249999999999</v>
      </c>
      <c r="L1940" s="338">
        <f t="shared" si="86"/>
        <v>157.79249999999999</v>
      </c>
      <c r="M1940" s="338">
        <f t="shared" si="86"/>
        <v>157.79249999999999</v>
      </c>
      <c r="N1940" s="338">
        <f t="shared" si="86"/>
        <v>157.79249999999999</v>
      </c>
      <c r="O1940" s="338"/>
    </row>
    <row r="1941" spans="1:15" hidden="1" outlineLevel="2" x14ac:dyDescent="0.35">
      <c r="A1941" s="425" t="s">
        <v>105</v>
      </c>
      <c r="B1941" s="327">
        <v>44135</v>
      </c>
      <c r="C1941" s="426" t="s">
        <v>10553</v>
      </c>
      <c r="D1941" s="427" t="s">
        <v>10554</v>
      </c>
      <c r="E1941" s="426" t="s">
        <v>3775</v>
      </c>
      <c r="F1941" s="338">
        <v>681.6</v>
      </c>
      <c r="G1941" s="338" t="s">
        <v>3776</v>
      </c>
      <c r="H1941" s="338"/>
      <c r="I1941" s="329">
        <v>630.88</v>
      </c>
      <c r="J1941" s="329"/>
      <c r="K1941" s="338">
        <f t="shared" si="86"/>
        <v>157.72</v>
      </c>
      <c r="L1941" s="338">
        <f t="shared" si="86"/>
        <v>157.72</v>
      </c>
      <c r="M1941" s="338">
        <f t="shared" si="86"/>
        <v>157.72</v>
      </c>
      <c r="N1941" s="338">
        <f t="shared" si="86"/>
        <v>157.72</v>
      </c>
      <c r="O1941" s="338"/>
    </row>
    <row r="1942" spans="1:15" hidden="1" outlineLevel="2" x14ac:dyDescent="0.35">
      <c r="A1942" s="425" t="s">
        <v>105</v>
      </c>
      <c r="B1942" s="327">
        <v>44500</v>
      </c>
      <c r="C1942" s="426" t="s">
        <v>10555</v>
      </c>
      <c r="D1942" s="427" t="s">
        <v>10556</v>
      </c>
      <c r="E1942" s="426" t="s">
        <v>3775</v>
      </c>
      <c r="F1942" s="338">
        <v>681.6</v>
      </c>
      <c r="G1942" s="338" t="s">
        <v>3776</v>
      </c>
      <c r="H1942" s="338"/>
      <c r="I1942" s="329">
        <v>629.36</v>
      </c>
      <c r="J1942" s="329"/>
      <c r="K1942" s="338">
        <f t="shared" si="86"/>
        <v>157.34</v>
      </c>
      <c r="L1942" s="338">
        <f t="shared" si="86"/>
        <v>157.34</v>
      </c>
      <c r="M1942" s="338">
        <f t="shared" si="86"/>
        <v>157.34</v>
      </c>
      <c r="N1942" s="338">
        <f t="shared" si="86"/>
        <v>157.34</v>
      </c>
      <c r="O1942" s="338"/>
    </row>
    <row r="1943" spans="1:15" hidden="1" outlineLevel="2" x14ac:dyDescent="0.35">
      <c r="A1943" s="425" t="s">
        <v>105</v>
      </c>
      <c r="B1943" s="327">
        <v>44165</v>
      </c>
      <c r="C1943" s="426" t="s">
        <v>10557</v>
      </c>
      <c r="D1943" s="427" t="s">
        <v>10558</v>
      </c>
      <c r="E1943" s="426" t="s">
        <v>3775</v>
      </c>
      <c r="F1943" s="338">
        <v>681.6</v>
      </c>
      <c r="G1943" s="338" t="s">
        <v>3776</v>
      </c>
      <c r="H1943" s="338"/>
      <c r="I1943" s="329">
        <v>630.88</v>
      </c>
      <c r="J1943" s="329"/>
      <c r="K1943" s="338">
        <f t="shared" si="86"/>
        <v>157.72</v>
      </c>
      <c r="L1943" s="338">
        <f t="shared" si="86"/>
        <v>157.72</v>
      </c>
      <c r="M1943" s="338">
        <f t="shared" si="86"/>
        <v>157.72</v>
      </c>
      <c r="N1943" s="338">
        <f t="shared" si="86"/>
        <v>157.72</v>
      </c>
      <c r="O1943" s="338"/>
    </row>
    <row r="1944" spans="1:15" hidden="1" outlineLevel="2" x14ac:dyDescent="0.35">
      <c r="A1944" s="425" t="s">
        <v>105</v>
      </c>
      <c r="B1944" s="327">
        <v>44530</v>
      </c>
      <c r="C1944" s="426" t="s">
        <v>10559</v>
      </c>
      <c r="D1944" s="427" t="s">
        <v>10560</v>
      </c>
      <c r="E1944" s="426" t="s">
        <v>3775</v>
      </c>
      <c r="F1944" s="338">
        <v>681.6</v>
      </c>
      <c r="G1944" s="338" t="s">
        <v>3776</v>
      </c>
      <c r="H1944" s="338"/>
      <c r="I1944" s="329">
        <v>642.35</v>
      </c>
      <c r="J1944" s="329"/>
      <c r="K1944" s="338">
        <f t="shared" si="86"/>
        <v>160.58750000000001</v>
      </c>
      <c r="L1944" s="338">
        <f t="shared" si="86"/>
        <v>160.58750000000001</v>
      </c>
      <c r="M1944" s="338">
        <f t="shared" si="86"/>
        <v>160.58750000000001</v>
      </c>
      <c r="N1944" s="338">
        <f t="shared" si="86"/>
        <v>160.58750000000001</v>
      </c>
      <c r="O1944" s="338"/>
    </row>
    <row r="1945" spans="1:15" hidden="1" outlineLevel="2" x14ac:dyDescent="0.35">
      <c r="A1945" s="425" t="s">
        <v>105</v>
      </c>
      <c r="B1945" s="327">
        <v>44196</v>
      </c>
      <c r="C1945" s="426" t="s">
        <v>10561</v>
      </c>
      <c r="D1945" s="427" t="s">
        <v>10562</v>
      </c>
      <c r="E1945" s="426" t="s">
        <v>3775</v>
      </c>
      <c r="F1945" s="338">
        <v>681.6</v>
      </c>
      <c r="G1945" s="338" t="s">
        <v>3776</v>
      </c>
      <c r="H1945" s="338"/>
      <c r="I1945" s="329">
        <v>628.84</v>
      </c>
      <c r="J1945" s="329"/>
      <c r="K1945" s="338">
        <f t="shared" si="86"/>
        <v>157.21</v>
      </c>
      <c r="L1945" s="338">
        <f t="shared" si="86"/>
        <v>157.21</v>
      </c>
      <c r="M1945" s="338">
        <f t="shared" si="86"/>
        <v>157.21</v>
      </c>
      <c r="N1945" s="338">
        <f t="shared" si="86"/>
        <v>157.21</v>
      </c>
      <c r="O1945" s="338"/>
    </row>
    <row r="1946" spans="1:15" hidden="1" outlineLevel="2" x14ac:dyDescent="0.35">
      <c r="A1946" s="425" t="s">
        <v>105</v>
      </c>
      <c r="B1946" s="327">
        <v>44561</v>
      </c>
      <c r="C1946" s="426" t="s">
        <v>10563</v>
      </c>
      <c r="D1946" s="427" t="s">
        <v>10564</v>
      </c>
      <c r="E1946" s="426" t="s">
        <v>3775</v>
      </c>
      <c r="F1946" s="338">
        <v>681.6</v>
      </c>
      <c r="G1946" s="338" t="s">
        <v>3776</v>
      </c>
      <c r="H1946" s="338"/>
      <c r="I1946" s="329">
        <v>653.5</v>
      </c>
      <c r="J1946" s="329"/>
      <c r="K1946" s="338">
        <f t="shared" si="86"/>
        <v>163.375</v>
      </c>
      <c r="L1946" s="338">
        <f t="shared" si="86"/>
        <v>163.375</v>
      </c>
      <c r="M1946" s="338">
        <f t="shared" si="86"/>
        <v>163.375</v>
      </c>
      <c r="N1946" s="338">
        <f t="shared" si="86"/>
        <v>163.375</v>
      </c>
      <c r="O1946" s="338"/>
    </row>
    <row r="1947" spans="1:15" hidden="1" outlineLevel="2" x14ac:dyDescent="0.35">
      <c r="A1947" s="425" t="s">
        <v>105</v>
      </c>
      <c r="B1947" s="327">
        <v>44349</v>
      </c>
      <c r="C1947" s="426" t="s">
        <v>10565</v>
      </c>
      <c r="D1947" s="427" t="s">
        <v>10566</v>
      </c>
      <c r="E1947" s="426" t="s">
        <v>10440</v>
      </c>
      <c r="F1947" s="338">
        <v>-132.94999999999999</v>
      </c>
      <c r="G1947" s="338" t="s">
        <v>56</v>
      </c>
      <c r="H1947" s="338"/>
      <c r="I1947" s="329">
        <v>-132.94999999999999</v>
      </c>
      <c r="J1947" s="329"/>
      <c r="K1947" s="338">
        <f t="shared" si="86"/>
        <v>-33.237499999999997</v>
      </c>
      <c r="L1947" s="338">
        <f t="shared" si="86"/>
        <v>-33.237499999999997</v>
      </c>
      <c r="M1947" s="338">
        <f t="shared" si="86"/>
        <v>-33.237499999999997</v>
      </c>
      <c r="N1947" s="338">
        <f t="shared" si="86"/>
        <v>-33.237499999999997</v>
      </c>
      <c r="O1947" s="338"/>
    </row>
    <row r="1948" spans="1:15" hidden="1" outlineLevel="2" x14ac:dyDescent="0.35">
      <c r="A1948" s="425" t="s">
        <v>105</v>
      </c>
      <c r="B1948" s="327">
        <v>44349</v>
      </c>
      <c r="C1948" s="426" t="s">
        <v>10565</v>
      </c>
      <c r="D1948" s="427" t="s">
        <v>10566</v>
      </c>
      <c r="E1948" s="426" t="s">
        <v>10440</v>
      </c>
      <c r="F1948" s="338">
        <v>70.180000000000007</v>
      </c>
      <c r="G1948" s="338" t="s">
        <v>56</v>
      </c>
      <c r="H1948" s="338"/>
      <c r="I1948" s="329">
        <v>70.180000000000007</v>
      </c>
      <c r="J1948" s="329"/>
      <c r="K1948" s="338">
        <f t="shared" si="86"/>
        <v>17.545000000000002</v>
      </c>
      <c r="L1948" s="338">
        <f t="shared" si="86"/>
        <v>17.545000000000002</v>
      </c>
      <c r="M1948" s="338">
        <f t="shared" si="86"/>
        <v>17.545000000000002</v>
      </c>
      <c r="N1948" s="338">
        <f t="shared" si="86"/>
        <v>17.545000000000002</v>
      </c>
      <c r="O1948" s="338"/>
    </row>
    <row r="1949" spans="1:15" hidden="1" outlineLevel="2" x14ac:dyDescent="0.35">
      <c r="A1949" s="425" t="s">
        <v>105</v>
      </c>
      <c r="B1949" s="327">
        <v>44308</v>
      </c>
      <c r="C1949" s="426" t="s">
        <v>10567</v>
      </c>
      <c r="D1949" s="427" t="s">
        <v>10566</v>
      </c>
      <c r="E1949" s="426" t="s">
        <v>10440</v>
      </c>
      <c r="F1949" s="338">
        <v>6000</v>
      </c>
      <c r="G1949" s="338" t="s">
        <v>805</v>
      </c>
      <c r="H1949" s="338"/>
      <c r="I1949" s="329">
        <v>5117.2700000000004</v>
      </c>
      <c r="J1949" s="329"/>
      <c r="K1949" s="338">
        <f t="shared" si="86"/>
        <v>1279.3175000000001</v>
      </c>
      <c r="L1949" s="338">
        <f t="shared" si="86"/>
        <v>1279.3175000000001</v>
      </c>
      <c r="M1949" s="338">
        <f t="shared" si="86"/>
        <v>1279.3175000000001</v>
      </c>
      <c r="N1949" s="338">
        <f t="shared" si="86"/>
        <v>1279.3175000000001</v>
      </c>
      <c r="O1949" s="338"/>
    </row>
    <row r="1950" spans="1:15" hidden="1" outlineLevel="2" x14ac:dyDescent="0.35">
      <c r="A1950" s="425" t="s">
        <v>105</v>
      </c>
      <c r="B1950" s="327">
        <v>43992</v>
      </c>
      <c r="C1950" s="426" t="s">
        <v>10568</v>
      </c>
      <c r="D1950" s="427" t="s">
        <v>10569</v>
      </c>
      <c r="E1950" s="426" t="s">
        <v>10440</v>
      </c>
      <c r="F1950" s="338">
        <v>5387.93</v>
      </c>
      <c r="G1950" s="338" t="s">
        <v>56</v>
      </c>
      <c r="H1950" s="338"/>
      <c r="I1950" s="329">
        <v>5387.93</v>
      </c>
      <c r="J1950" s="329"/>
      <c r="K1950" s="338">
        <f t="shared" si="86"/>
        <v>1346.9825000000001</v>
      </c>
      <c r="L1950" s="338">
        <f t="shared" si="86"/>
        <v>1346.9825000000001</v>
      </c>
      <c r="M1950" s="338">
        <f t="shared" si="86"/>
        <v>1346.9825000000001</v>
      </c>
      <c r="N1950" s="338">
        <f t="shared" si="86"/>
        <v>1346.9825000000001</v>
      </c>
      <c r="O1950" s="338"/>
    </row>
    <row r="1951" spans="1:15" hidden="1" outlineLevel="2" x14ac:dyDescent="0.35">
      <c r="A1951" s="425" t="s">
        <v>105</v>
      </c>
      <c r="B1951" s="327">
        <v>44391</v>
      </c>
      <c r="C1951" s="426" t="s">
        <v>10570</v>
      </c>
      <c r="D1951" s="427" t="s">
        <v>10571</v>
      </c>
      <c r="E1951" s="426" t="s">
        <v>10440</v>
      </c>
      <c r="F1951" s="338">
        <v>6000</v>
      </c>
      <c r="G1951" s="338" t="s">
        <v>805</v>
      </c>
      <c r="H1951" s="338"/>
      <c r="I1951" s="329">
        <v>5048.8100000000004</v>
      </c>
      <c r="J1951" s="329"/>
      <c r="K1951" s="338">
        <f t="shared" si="86"/>
        <v>1262.2025000000001</v>
      </c>
      <c r="L1951" s="338">
        <f t="shared" si="86"/>
        <v>1262.2025000000001</v>
      </c>
      <c r="M1951" s="338">
        <f t="shared" si="86"/>
        <v>1262.2025000000001</v>
      </c>
      <c r="N1951" s="338">
        <f t="shared" si="86"/>
        <v>1262.2025000000001</v>
      </c>
      <c r="O1951" s="338"/>
    </row>
    <row r="1952" spans="1:15" hidden="1" outlineLevel="2" x14ac:dyDescent="0.35">
      <c r="A1952" s="425" t="s">
        <v>105</v>
      </c>
      <c r="B1952" s="327">
        <v>44561</v>
      </c>
      <c r="C1952" s="426" t="s">
        <v>10572</v>
      </c>
      <c r="D1952" s="427" t="s">
        <v>10573</v>
      </c>
      <c r="E1952" s="426" t="s">
        <v>10440</v>
      </c>
      <c r="F1952" s="338">
        <v>1708.23</v>
      </c>
      <c r="G1952" s="338" t="s">
        <v>56</v>
      </c>
      <c r="H1952" s="338"/>
      <c r="I1952" s="329">
        <v>1708.23</v>
      </c>
      <c r="J1952" s="329"/>
      <c r="K1952" s="338">
        <f t="shared" si="86"/>
        <v>427.0575</v>
      </c>
      <c r="L1952" s="338">
        <f t="shared" si="86"/>
        <v>427.0575</v>
      </c>
      <c r="M1952" s="338">
        <f t="shared" si="86"/>
        <v>427.0575</v>
      </c>
      <c r="N1952" s="338">
        <f t="shared" si="86"/>
        <v>427.0575</v>
      </c>
      <c r="O1952" s="338"/>
    </row>
    <row r="1953" spans="1:15" hidden="1" outlineLevel="2" x14ac:dyDescent="0.35">
      <c r="A1953" s="425" t="s">
        <v>105</v>
      </c>
      <c r="B1953" s="327">
        <v>44474</v>
      </c>
      <c r="C1953" s="426" t="s">
        <v>10574</v>
      </c>
      <c r="D1953" s="427" t="s">
        <v>10575</v>
      </c>
      <c r="E1953" s="426" t="s">
        <v>10440</v>
      </c>
      <c r="F1953" s="338">
        <v>6000</v>
      </c>
      <c r="G1953" s="338" t="s">
        <v>805</v>
      </c>
      <c r="H1953" s="338"/>
      <c r="I1953" s="329">
        <v>5181.79</v>
      </c>
      <c r="J1953" s="329"/>
      <c r="K1953" s="338">
        <f t="shared" si="86"/>
        <v>1295.4475</v>
      </c>
      <c r="L1953" s="338">
        <f t="shared" si="86"/>
        <v>1295.4475</v>
      </c>
      <c r="M1953" s="338">
        <f t="shared" si="86"/>
        <v>1295.4475</v>
      </c>
      <c r="N1953" s="338">
        <f t="shared" si="86"/>
        <v>1295.4475</v>
      </c>
      <c r="O1953" s="338"/>
    </row>
    <row r="1954" spans="1:15" hidden="1" outlineLevel="2" x14ac:dyDescent="0.35">
      <c r="A1954" s="425" t="s">
        <v>105</v>
      </c>
      <c r="B1954" s="327">
        <v>43830</v>
      </c>
      <c r="C1954" s="426" t="s">
        <v>10576</v>
      </c>
      <c r="D1954" s="427" t="s">
        <v>9022</v>
      </c>
      <c r="E1954" s="426" t="s">
        <v>5058</v>
      </c>
      <c r="F1954" s="338">
        <v>161.76</v>
      </c>
      <c r="G1954" s="338" t="s">
        <v>56</v>
      </c>
      <c r="H1954" s="338"/>
      <c r="I1954" s="329">
        <v>161.76</v>
      </c>
      <c r="J1954" s="329"/>
      <c r="K1954" s="338">
        <f t="shared" si="86"/>
        <v>40.44</v>
      </c>
      <c r="L1954" s="338">
        <f t="shared" si="86"/>
        <v>40.44</v>
      </c>
      <c r="M1954" s="338">
        <f t="shared" si="86"/>
        <v>40.44</v>
      </c>
      <c r="N1954" s="338">
        <f t="shared" si="86"/>
        <v>40.44</v>
      </c>
      <c r="O1954" s="338"/>
    </row>
    <row r="1955" spans="1:15" hidden="1" outlineLevel="2" x14ac:dyDescent="0.35">
      <c r="A1955" s="425" t="s">
        <v>105</v>
      </c>
      <c r="B1955" s="327">
        <v>43830</v>
      </c>
      <c r="C1955" s="426" t="s">
        <v>10576</v>
      </c>
      <c r="D1955" s="427" t="s">
        <v>10577</v>
      </c>
      <c r="E1955" s="426" t="s">
        <v>5058</v>
      </c>
      <c r="F1955" s="338">
        <v>1328.95</v>
      </c>
      <c r="G1955" s="338" t="s">
        <v>56</v>
      </c>
      <c r="H1955" s="338"/>
      <c r="I1955" s="329">
        <v>1328.95</v>
      </c>
      <c r="J1955" s="329"/>
      <c r="K1955" s="338">
        <f t="shared" si="86"/>
        <v>332.23750000000001</v>
      </c>
      <c r="L1955" s="338">
        <f t="shared" si="86"/>
        <v>332.23750000000001</v>
      </c>
      <c r="M1955" s="338">
        <f t="shared" si="86"/>
        <v>332.23750000000001</v>
      </c>
      <c r="N1955" s="338">
        <f t="shared" si="86"/>
        <v>332.23750000000001</v>
      </c>
      <c r="O1955" s="338"/>
    </row>
    <row r="1956" spans="1:15" hidden="1" outlineLevel="2" x14ac:dyDescent="0.35">
      <c r="A1956" s="425" t="s">
        <v>105</v>
      </c>
      <c r="B1956" s="327">
        <v>44268</v>
      </c>
      <c r="C1956" s="426">
        <v>7230225568</v>
      </c>
      <c r="D1956" s="427" t="s">
        <v>10578</v>
      </c>
      <c r="E1956" s="426" t="s">
        <v>10579</v>
      </c>
      <c r="F1956" s="338">
        <v>214700</v>
      </c>
      <c r="G1956" s="338" t="s">
        <v>9869</v>
      </c>
      <c r="H1956" s="338"/>
      <c r="I1956" s="329">
        <f>+F1956/'[10]Income + exchange rates'!$G$60</f>
        <v>51.185163250727271</v>
      </c>
      <c r="J1956" s="329"/>
      <c r="K1956" s="338">
        <f t="shared" ref="K1956:N1975" si="87">$I1956/4</f>
        <v>12.796290812681818</v>
      </c>
      <c r="L1956" s="338">
        <f t="shared" si="87"/>
        <v>12.796290812681818</v>
      </c>
      <c r="M1956" s="338">
        <f t="shared" si="87"/>
        <v>12.796290812681818</v>
      </c>
      <c r="N1956" s="338">
        <f t="shared" si="87"/>
        <v>12.796290812681818</v>
      </c>
      <c r="O1956" s="338"/>
    </row>
    <row r="1957" spans="1:15" hidden="1" outlineLevel="2" x14ac:dyDescent="0.35">
      <c r="A1957" s="425" t="s">
        <v>105</v>
      </c>
      <c r="B1957" s="327">
        <v>43863</v>
      </c>
      <c r="C1957" s="426" t="s">
        <v>10580</v>
      </c>
      <c r="D1957" s="427" t="s">
        <v>10581</v>
      </c>
      <c r="E1957" s="426" t="s">
        <v>10582</v>
      </c>
      <c r="F1957" s="338">
        <v>218400</v>
      </c>
      <c r="G1957" s="338" t="s">
        <v>9869</v>
      </c>
      <c r="H1957" s="338"/>
      <c r="I1957" s="329">
        <f>+F1957/'[10]Income + exchange rates'!$G$29</f>
        <v>51.196930729118378</v>
      </c>
      <c r="J1957" s="329"/>
      <c r="K1957" s="338">
        <f t="shared" si="87"/>
        <v>12.799232682279595</v>
      </c>
      <c r="L1957" s="338">
        <f t="shared" si="87"/>
        <v>12.799232682279595</v>
      </c>
      <c r="M1957" s="338">
        <f t="shared" si="87"/>
        <v>12.799232682279595</v>
      </c>
      <c r="N1957" s="338">
        <f t="shared" si="87"/>
        <v>12.799232682279595</v>
      </c>
      <c r="O1957" s="338"/>
    </row>
    <row r="1958" spans="1:15" hidden="1" outlineLevel="2" x14ac:dyDescent="0.35">
      <c r="A1958" s="425" t="s">
        <v>105</v>
      </c>
      <c r="B1958" s="327">
        <v>43892</v>
      </c>
      <c r="C1958" s="426" t="s">
        <v>10583</v>
      </c>
      <c r="D1958" s="427" t="s">
        <v>10584</v>
      </c>
      <c r="E1958" s="426" t="s">
        <v>10582</v>
      </c>
      <c r="F1958" s="338">
        <v>223965</v>
      </c>
      <c r="G1958" s="338" t="s">
        <v>9869</v>
      </c>
      <c r="H1958" s="338"/>
      <c r="I1958" s="329">
        <f>+F1958/'[10]Income + exchange rates'!$G$29</f>
        <v>52.501467906350719</v>
      </c>
      <c r="J1958" s="329"/>
      <c r="K1958" s="338">
        <f t="shared" si="87"/>
        <v>13.12536697658768</v>
      </c>
      <c r="L1958" s="338">
        <f t="shared" si="87"/>
        <v>13.12536697658768</v>
      </c>
      <c r="M1958" s="338">
        <f t="shared" si="87"/>
        <v>13.12536697658768</v>
      </c>
      <c r="N1958" s="338">
        <f t="shared" si="87"/>
        <v>13.12536697658768</v>
      </c>
      <c r="O1958" s="338"/>
    </row>
    <row r="1959" spans="1:15" hidden="1" outlineLevel="2" x14ac:dyDescent="0.35">
      <c r="A1959" s="425" t="s">
        <v>105</v>
      </c>
      <c r="B1959" s="327">
        <v>43934</v>
      </c>
      <c r="C1959" s="426" t="s">
        <v>10585</v>
      </c>
      <c r="D1959" s="427" t="s">
        <v>10586</v>
      </c>
      <c r="E1959" s="426" t="s">
        <v>10582</v>
      </c>
      <c r="F1959" s="338">
        <v>243560</v>
      </c>
      <c r="G1959" s="338" t="s">
        <v>9869</v>
      </c>
      <c r="H1959" s="338"/>
      <c r="I1959" s="329">
        <f>+F1959/'[10]Income + exchange rates'!$G$29</f>
        <v>57.094892162930734</v>
      </c>
      <c r="J1959" s="329"/>
      <c r="K1959" s="338">
        <f t="shared" si="87"/>
        <v>14.273723040732683</v>
      </c>
      <c r="L1959" s="338">
        <f t="shared" si="87"/>
        <v>14.273723040732683</v>
      </c>
      <c r="M1959" s="338">
        <f t="shared" si="87"/>
        <v>14.273723040732683</v>
      </c>
      <c r="N1959" s="338">
        <f t="shared" si="87"/>
        <v>14.273723040732683</v>
      </c>
      <c r="O1959" s="338"/>
    </row>
    <row r="1960" spans="1:15" hidden="1" outlineLevel="2" x14ac:dyDescent="0.35">
      <c r="A1960" s="425" t="s">
        <v>105</v>
      </c>
      <c r="B1960" s="327">
        <v>43954</v>
      </c>
      <c r="C1960" s="426" t="s">
        <v>10587</v>
      </c>
      <c r="D1960" s="427" t="s">
        <v>10588</v>
      </c>
      <c r="E1960" s="426" t="s">
        <v>10582</v>
      </c>
      <c r="F1960" s="338">
        <v>416038</v>
      </c>
      <c r="G1960" s="338" t="s">
        <v>9869</v>
      </c>
      <c r="H1960" s="338"/>
      <c r="I1960" s="329">
        <f>+F1960/'[10]Income + exchange rates'!$G$29</f>
        <v>97.526871184436587</v>
      </c>
      <c r="J1960" s="329"/>
      <c r="K1960" s="338">
        <f t="shared" si="87"/>
        <v>24.381717796109147</v>
      </c>
      <c r="L1960" s="338">
        <f t="shared" si="87"/>
        <v>24.381717796109147</v>
      </c>
      <c r="M1960" s="338">
        <f t="shared" si="87"/>
        <v>24.381717796109147</v>
      </c>
      <c r="N1960" s="338">
        <f t="shared" si="87"/>
        <v>24.381717796109147</v>
      </c>
      <c r="O1960" s="338"/>
    </row>
    <row r="1961" spans="1:15" hidden="1" outlineLevel="2" x14ac:dyDescent="0.35">
      <c r="A1961" s="425" t="s">
        <v>105</v>
      </c>
      <c r="B1961" s="327">
        <v>43984</v>
      </c>
      <c r="C1961" s="426" t="s">
        <v>10589</v>
      </c>
      <c r="D1961" s="427" t="s">
        <v>10590</v>
      </c>
      <c r="E1961" s="426" t="s">
        <v>10582</v>
      </c>
      <c r="F1961" s="338">
        <v>142804</v>
      </c>
      <c r="G1961" s="338" t="s">
        <v>9869</v>
      </c>
      <c r="H1961" s="338"/>
      <c r="I1961" s="329">
        <f>+F1961/'[10]Income + exchange rates'!$G$29</f>
        <v>33.475853918685992</v>
      </c>
      <c r="J1961" s="329"/>
      <c r="K1961" s="338">
        <f t="shared" si="87"/>
        <v>8.368963479671498</v>
      </c>
      <c r="L1961" s="338">
        <f t="shared" si="87"/>
        <v>8.368963479671498</v>
      </c>
      <c r="M1961" s="338">
        <f t="shared" si="87"/>
        <v>8.368963479671498</v>
      </c>
      <c r="N1961" s="338">
        <f t="shared" si="87"/>
        <v>8.368963479671498</v>
      </c>
      <c r="O1961" s="338"/>
    </row>
    <row r="1962" spans="1:15" hidden="1" outlineLevel="2" x14ac:dyDescent="0.35">
      <c r="A1962" s="425" t="s">
        <v>105</v>
      </c>
      <c r="B1962" s="327">
        <v>44015</v>
      </c>
      <c r="C1962" s="426" t="s">
        <v>10591</v>
      </c>
      <c r="D1962" s="427" t="s">
        <v>10592</v>
      </c>
      <c r="E1962" s="426" t="s">
        <v>10582</v>
      </c>
      <c r="F1962" s="338">
        <v>176375</v>
      </c>
      <c r="G1962" s="338" t="s">
        <v>9869</v>
      </c>
      <c r="H1962" s="338"/>
      <c r="I1962" s="329">
        <f>+F1962/'[10]Income + exchange rates'!$G$29</f>
        <v>41.345506672839988</v>
      </c>
      <c r="J1962" s="329"/>
      <c r="K1962" s="338">
        <f t="shared" si="87"/>
        <v>10.336376668209997</v>
      </c>
      <c r="L1962" s="338">
        <f t="shared" si="87"/>
        <v>10.336376668209997</v>
      </c>
      <c r="M1962" s="338">
        <f t="shared" si="87"/>
        <v>10.336376668209997</v>
      </c>
      <c r="N1962" s="338">
        <f t="shared" si="87"/>
        <v>10.336376668209997</v>
      </c>
      <c r="O1962" s="338"/>
    </row>
    <row r="1963" spans="1:15" hidden="1" outlineLevel="2" x14ac:dyDescent="0.35">
      <c r="A1963" s="425" t="s">
        <v>105</v>
      </c>
      <c r="B1963" s="327">
        <v>44047</v>
      </c>
      <c r="C1963" s="426" t="s">
        <v>10593</v>
      </c>
      <c r="D1963" s="427" t="s">
        <v>10594</v>
      </c>
      <c r="E1963" s="426" t="s">
        <v>10582</v>
      </c>
      <c r="F1963" s="338">
        <v>144770</v>
      </c>
      <c r="G1963" s="338" t="s">
        <v>9869</v>
      </c>
      <c r="H1963" s="338"/>
      <c r="I1963" s="329">
        <f>+F1963/'[10]Income + exchange rates'!$G$29</f>
        <v>33.936720062520457</v>
      </c>
      <c r="J1963" s="329"/>
      <c r="K1963" s="338">
        <f t="shared" si="87"/>
        <v>8.4841800156301144</v>
      </c>
      <c r="L1963" s="338">
        <f t="shared" si="87"/>
        <v>8.4841800156301144</v>
      </c>
      <c r="M1963" s="338">
        <f t="shared" si="87"/>
        <v>8.4841800156301144</v>
      </c>
      <c r="N1963" s="338">
        <f t="shared" si="87"/>
        <v>8.4841800156301144</v>
      </c>
      <c r="O1963" s="338"/>
    </row>
    <row r="1964" spans="1:15" hidden="1" outlineLevel="2" x14ac:dyDescent="0.35">
      <c r="A1964" s="425" t="s">
        <v>105</v>
      </c>
      <c r="B1964" s="327">
        <v>44076</v>
      </c>
      <c r="C1964" s="426" t="s">
        <v>10595</v>
      </c>
      <c r="D1964" s="427" t="s">
        <v>10596</v>
      </c>
      <c r="E1964" s="426" t="s">
        <v>10582</v>
      </c>
      <c r="F1964" s="338">
        <v>139455</v>
      </c>
      <c r="G1964" s="338" t="s">
        <v>9869</v>
      </c>
      <c r="H1964" s="338"/>
      <c r="I1964" s="329">
        <f>+F1964/'[10]Income + exchange rates'!$G$29</f>
        <v>32.690787430536645</v>
      </c>
      <c r="J1964" s="329"/>
      <c r="K1964" s="338">
        <f t="shared" si="87"/>
        <v>8.1726968576341612</v>
      </c>
      <c r="L1964" s="338">
        <f t="shared" si="87"/>
        <v>8.1726968576341612</v>
      </c>
      <c r="M1964" s="338">
        <f t="shared" si="87"/>
        <v>8.1726968576341612</v>
      </c>
      <c r="N1964" s="338">
        <f t="shared" si="87"/>
        <v>8.1726968576341612</v>
      </c>
      <c r="O1964" s="338"/>
    </row>
    <row r="1965" spans="1:15" hidden="1" outlineLevel="2" x14ac:dyDescent="0.35">
      <c r="A1965" s="425" t="s">
        <v>105</v>
      </c>
      <c r="B1965" s="327">
        <v>44106</v>
      </c>
      <c r="C1965" s="426" t="s">
        <v>10597</v>
      </c>
      <c r="D1965" s="427" t="s">
        <v>10598</v>
      </c>
      <c r="E1965" s="426" t="s">
        <v>10582</v>
      </c>
      <c r="F1965" s="338">
        <v>121434</v>
      </c>
      <c r="G1965" s="338" t="s">
        <v>9869</v>
      </c>
      <c r="H1965" s="338"/>
      <c r="I1965" s="329">
        <f>+F1965/'[10]Income + exchange rates'!$G$29</f>
        <v>28.466337390841396</v>
      </c>
      <c r="J1965" s="329"/>
      <c r="K1965" s="338">
        <f t="shared" si="87"/>
        <v>7.116584347710349</v>
      </c>
      <c r="L1965" s="338">
        <f t="shared" si="87"/>
        <v>7.116584347710349</v>
      </c>
      <c r="M1965" s="338">
        <f t="shared" si="87"/>
        <v>7.116584347710349</v>
      </c>
      <c r="N1965" s="338">
        <f t="shared" si="87"/>
        <v>7.116584347710349</v>
      </c>
      <c r="O1965" s="338"/>
    </row>
    <row r="1966" spans="1:15" hidden="1" outlineLevel="2" x14ac:dyDescent="0.35">
      <c r="A1966" s="425" t="s">
        <v>105</v>
      </c>
      <c r="B1966" s="327">
        <v>44138</v>
      </c>
      <c r="C1966" s="426" t="s">
        <v>10599</v>
      </c>
      <c r="D1966" s="427" t="s">
        <v>10600</v>
      </c>
      <c r="E1966" s="426" t="s">
        <v>10582</v>
      </c>
      <c r="F1966" s="338">
        <v>141663</v>
      </c>
      <c r="G1966" s="338" t="s">
        <v>9869</v>
      </c>
      <c r="H1966" s="338"/>
      <c r="I1966" s="329">
        <f>+F1966/'[10]Income + exchange rates'!$G$29</f>
        <v>33.208382774171689</v>
      </c>
      <c r="J1966" s="329"/>
      <c r="K1966" s="338">
        <f t="shared" si="87"/>
        <v>8.3020956935429222</v>
      </c>
      <c r="L1966" s="338">
        <f t="shared" si="87"/>
        <v>8.3020956935429222</v>
      </c>
      <c r="M1966" s="338">
        <f t="shared" si="87"/>
        <v>8.3020956935429222</v>
      </c>
      <c r="N1966" s="338">
        <f t="shared" si="87"/>
        <v>8.3020956935429222</v>
      </c>
      <c r="O1966" s="338"/>
    </row>
    <row r="1967" spans="1:15" hidden="1" outlineLevel="2" x14ac:dyDescent="0.35">
      <c r="A1967" s="425" t="s">
        <v>105</v>
      </c>
      <c r="B1967" s="327">
        <v>43833</v>
      </c>
      <c r="C1967" s="426" t="s">
        <v>10601</v>
      </c>
      <c r="D1967" s="427" t="s">
        <v>10602</v>
      </c>
      <c r="E1967" s="426" t="s">
        <v>10582</v>
      </c>
      <c r="F1967" s="338">
        <v>158000</v>
      </c>
      <c r="G1967" s="338" t="s">
        <v>9869</v>
      </c>
      <c r="H1967" s="338"/>
      <c r="I1967" s="329">
        <f>+F1967/'[10]Income + exchange rates'!$G$29</f>
        <v>37.038072597072819</v>
      </c>
      <c r="J1967" s="329"/>
      <c r="K1967" s="338">
        <f t="shared" si="87"/>
        <v>9.2595181492682048</v>
      </c>
      <c r="L1967" s="338">
        <f t="shared" si="87"/>
        <v>9.2595181492682048</v>
      </c>
      <c r="M1967" s="338">
        <f t="shared" si="87"/>
        <v>9.2595181492682048</v>
      </c>
      <c r="N1967" s="338">
        <f t="shared" si="87"/>
        <v>9.2595181492682048</v>
      </c>
      <c r="O1967" s="338"/>
    </row>
    <row r="1968" spans="1:15" hidden="1" outlineLevel="2" x14ac:dyDescent="0.35">
      <c r="A1968" s="425" t="s">
        <v>105</v>
      </c>
      <c r="B1968" s="327">
        <v>44168</v>
      </c>
      <c r="C1968" s="426" t="s">
        <v>10603</v>
      </c>
      <c r="D1968" s="427" t="s">
        <v>10604</v>
      </c>
      <c r="E1968" s="426" t="s">
        <v>10582</v>
      </c>
      <c r="F1968" s="338">
        <v>129402</v>
      </c>
      <c r="G1968" s="338" t="s">
        <v>9869</v>
      </c>
      <c r="H1968" s="338"/>
      <c r="I1968" s="329">
        <f>+F1968/'[10]Income + exchange rates'!$G$29</f>
        <v>30.334181457002639</v>
      </c>
      <c r="J1968" s="329"/>
      <c r="K1968" s="338">
        <f t="shared" si="87"/>
        <v>7.5835453642506598</v>
      </c>
      <c r="L1968" s="338">
        <f t="shared" si="87"/>
        <v>7.5835453642506598</v>
      </c>
      <c r="M1968" s="338">
        <f t="shared" si="87"/>
        <v>7.5835453642506598</v>
      </c>
      <c r="N1968" s="338">
        <f t="shared" si="87"/>
        <v>7.5835453642506598</v>
      </c>
      <c r="O1968" s="338"/>
    </row>
    <row r="1969" spans="1:15" hidden="1" outlineLevel="2" x14ac:dyDescent="0.35">
      <c r="A1969" s="425" t="s">
        <v>105</v>
      </c>
      <c r="B1969" s="327">
        <v>44200</v>
      </c>
      <c r="C1969" s="426">
        <v>1394589556</v>
      </c>
      <c r="D1969" s="427" t="s">
        <v>10605</v>
      </c>
      <c r="E1969" s="426" t="s">
        <v>10582</v>
      </c>
      <c r="F1969" s="338">
        <v>158088</v>
      </c>
      <c r="G1969" s="338" t="s">
        <v>9869</v>
      </c>
      <c r="H1969" s="338"/>
      <c r="I1969" s="329">
        <f>+F1969/'[10]Income + exchange rates'!$G$60</f>
        <v>37.688682291481008</v>
      </c>
      <c r="J1969" s="329"/>
      <c r="K1969" s="338">
        <f t="shared" si="87"/>
        <v>9.4221705728702521</v>
      </c>
      <c r="L1969" s="338">
        <f t="shared" si="87"/>
        <v>9.4221705728702521</v>
      </c>
      <c r="M1969" s="338">
        <f t="shared" si="87"/>
        <v>9.4221705728702521</v>
      </c>
      <c r="N1969" s="338">
        <f t="shared" si="87"/>
        <v>9.4221705728702521</v>
      </c>
      <c r="O1969" s="338"/>
    </row>
    <row r="1970" spans="1:15" hidden="1" outlineLevel="2" x14ac:dyDescent="0.35">
      <c r="A1970" s="425" t="s">
        <v>105</v>
      </c>
      <c r="B1970" s="327">
        <v>43875</v>
      </c>
      <c r="C1970" s="426" t="s">
        <v>10606</v>
      </c>
      <c r="D1970" s="427" t="s">
        <v>10607</v>
      </c>
      <c r="E1970" s="426" t="s">
        <v>10608</v>
      </c>
      <c r="F1970" s="338">
        <v>118000</v>
      </c>
      <c r="G1970" s="338" t="s">
        <v>9869</v>
      </c>
      <c r="H1970" s="338"/>
      <c r="I1970" s="329">
        <f>+F1970/'[10]Income + exchange rates'!$G$29</f>
        <v>27.66134535730755</v>
      </c>
      <c r="J1970" s="329"/>
      <c r="K1970" s="338">
        <f t="shared" si="87"/>
        <v>6.9153363393268874</v>
      </c>
      <c r="L1970" s="338">
        <f t="shared" si="87"/>
        <v>6.9153363393268874</v>
      </c>
      <c r="M1970" s="338">
        <f t="shared" si="87"/>
        <v>6.9153363393268874</v>
      </c>
      <c r="N1970" s="338">
        <f t="shared" si="87"/>
        <v>6.9153363393268874</v>
      </c>
      <c r="O1970" s="338"/>
    </row>
    <row r="1971" spans="1:15" hidden="1" outlineLevel="2" x14ac:dyDescent="0.35">
      <c r="A1971" s="425" t="s">
        <v>105</v>
      </c>
      <c r="B1971" s="327">
        <v>44153</v>
      </c>
      <c r="C1971" s="426" t="s">
        <v>10609</v>
      </c>
      <c r="D1971" s="427" t="s">
        <v>10610</v>
      </c>
      <c r="E1971" s="426" t="s">
        <v>3775</v>
      </c>
      <c r="F1971" s="338">
        <v>0.4</v>
      </c>
      <c r="G1971" s="338" t="s">
        <v>56</v>
      </c>
      <c r="H1971" s="338"/>
      <c r="I1971" s="329">
        <v>0.4</v>
      </c>
      <c r="J1971" s="329"/>
      <c r="K1971" s="338">
        <f t="shared" si="87"/>
        <v>0.1</v>
      </c>
      <c r="L1971" s="338">
        <f t="shared" si="87"/>
        <v>0.1</v>
      </c>
      <c r="M1971" s="338">
        <f t="shared" si="87"/>
        <v>0.1</v>
      </c>
      <c r="N1971" s="338">
        <f t="shared" si="87"/>
        <v>0.1</v>
      </c>
      <c r="O1971" s="338"/>
    </row>
    <row r="1972" spans="1:15" hidden="1" outlineLevel="2" x14ac:dyDescent="0.35">
      <c r="A1972" s="425" t="s">
        <v>105</v>
      </c>
      <c r="B1972" s="327">
        <v>44153</v>
      </c>
      <c r="C1972" s="426" t="s">
        <v>10609</v>
      </c>
      <c r="D1972" s="427" t="s">
        <v>10611</v>
      </c>
      <c r="E1972" s="426" t="s">
        <v>3775</v>
      </c>
      <c r="F1972" s="338">
        <v>6.49</v>
      </c>
      <c r="G1972" s="338" t="s">
        <v>56</v>
      </c>
      <c r="H1972" s="338"/>
      <c r="I1972" s="329">
        <v>6.49</v>
      </c>
      <c r="J1972" s="329"/>
      <c r="K1972" s="338">
        <f t="shared" si="87"/>
        <v>1.6225000000000001</v>
      </c>
      <c r="L1972" s="338">
        <f t="shared" si="87"/>
        <v>1.6225000000000001</v>
      </c>
      <c r="M1972" s="338">
        <f t="shared" si="87"/>
        <v>1.6225000000000001</v>
      </c>
      <c r="N1972" s="338">
        <f t="shared" si="87"/>
        <v>1.6225000000000001</v>
      </c>
      <c r="O1972" s="338"/>
    </row>
    <row r="1973" spans="1:15" hidden="1" outlineLevel="2" x14ac:dyDescent="0.35">
      <c r="A1973" s="425" t="s">
        <v>105</v>
      </c>
      <c r="B1973" s="327">
        <v>44056</v>
      </c>
      <c r="C1973" s="426" t="s">
        <v>5050</v>
      </c>
      <c r="D1973" s="427" t="s">
        <v>10612</v>
      </c>
      <c r="E1973" s="426" t="s">
        <v>3775</v>
      </c>
      <c r="F1973" s="338">
        <v>0.28999999999999998</v>
      </c>
      <c r="G1973" s="338" t="s">
        <v>56</v>
      </c>
      <c r="H1973" s="338"/>
      <c r="I1973" s="329">
        <v>0.28999999999999998</v>
      </c>
      <c r="J1973" s="329"/>
      <c r="K1973" s="338">
        <f t="shared" si="87"/>
        <v>7.2499999999999995E-2</v>
      </c>
      <c r="L1973" s="338">
        <f t="shared" si="87"/>
        <v>7.2499999999999995E-2</v>
      </c>
      <c r="M1973" s="338">
        <f t="shared" si="87"/>
        <v>7.2499999999999995E-2</v>
      </c>
      <c r="N1973" s="338">
        <f t="shared" si="87"/>
        <v>7.2499999999999995E-2</v>
      </c>
      <c r="O1973" s="338"/>
    </row>
    <row r="1974" spans="1:15" hidden="1" outlineLevel="2" x14ac:dyDescent="0.35">
      <c r="A1974" s="425" t="s">
        <v>105</v>
      </c>
      <c r="B1974" s="327">
        <v>44062</v>
      </c>
      <c r="C1974" s="426" t="s">
        <v>10479</v>
      </c>
      <c r="D1974" s="427" t="s">
        <v>10613</v>
      </c>
      <c r="E1974" s="426" t="s">
        <v>3775</v>
      </c>
      <c r="F1974" s="338">
        <v>-0.62</v>
      </c>
      <c r="G1974" s="338" t="s">
        <v>56</v>
      </c>
      <c r="H1974" s="338"/>
      <c r="I1974" s="329">
        <v>-0.62</v>
      </c>
      <c r="J1974" s="329"/>
      <c r="K1974" s="338">
        <f t="shared" si="87"/>
        <v>-0.155</v>
      </c>
      <c r="L1974" s="338">
        <f t="shared" si="87"/>
        <v>-0.155</v>
      </c>
      <c r="M1974" s="338">
        <f t="shared" si="87"/>
        <v>-0.155</v>
      </c>
      <c r="N1974" s="338">
        <f t="shared" si="87"/>
        <v>-0.155</v>
      </c>
      <c r="O1974" s="338"/>
    </row>
    <row r="1975" spans="1:15" hidden="1" outlineLevel="2" x14ac:dyDescent="0.35">
      <c r="A1975" s="425" t="s">
        <v>105</v>
      </c>
      <c r="B1975" s="327">
        <v>44153</v>
      </c>
      <c r="C1975" s="426" t="s">
        <v>10614</v>
      </c>
      <c r="D1975" s="427" t="s">
        <v>10615</v>
      </c>
      <c r="E1975" s="426" t="s">
        <v>3775</v>
      </c>
      <c r="F1975" s="338">
        <v>9.33</v>
      </c>
      <c r="G1975" s="338" t="s">
        <v>56</v>
      </c>
      <c r="H1975" s="338"/>
      <c r="I1975" s="329">
        <v>9.33</v>
      </c>
      <c r="J1975" s="329"/>
      <c r="K1975" s="338">
        <f t="shared" si="87"/>
        <v>2.3325</v>
      </c>
      <c r="L1975" s="338">
        <f t="shared" si="87"/>
        <v>2.3325</v>
      </c>
      <c r="M1975" s="338">
        <f t="shared" si="87"/>
        <v>2.3325</v>
      </c>
      <c r="N1975" s="338">
        <f t="shared" si="87"/>
        <v>2.3325</v>
      </c>
      <c r="O1975" s="338"/>
    </row>
    <row r="1976" spans="1:15" hidden="1" outlineLevel="2" x14ac:dyDescent="0.35">
      <c r="A1976" s="425" t="s">
        <v>105</v>
      </c>
      <c r="B1976" s="327">
        <v>44269</v>
      </c>
      <c r="C1976" s="426">
        <v>1000097526</v>
      </c>
      <c r="D1976" s="427" t="s">
        <v>10616</v>
      </c>
      <c r="E1976" s="426" t="s">
        <v>10617</v>
      </c>
      <c r="F1976" s="338">
        <v>56000</v>
      </c>
      <c r="G1976" s="338" t="s">
        <v>9869</v>
      </c>
      <c r="H1976" s="338"/>
      <c r="I1976" s="329">
        <f>+F1976/'[10]Income + exchange rates'!$G$60</f>
        <v>13.350578211647541</v>
      </c>
      <c r="J1976" s="329"/>
      <c r="K1976" s="338">
        <f t="shared" ref="K1976:N1995" si="88">$I1976/4</f>
        <v>3.3376445529118852</v>
      </c>
      <c r="L1976" s="338">
        <f t="shared" si="88"/>
        <v>3.3376445529118852</v>
      </c>
      <c r="M1976" s="338">
        <f t="shared" si="88"/>
        <v>3.3376445529118852</v>
      </c>
      <c r="N1976" s="338">
        <f t="shared" si="88"/>
        <v>3.3376445529118852</v>
      </c>
      <c r="O1976" s="338"/>
    </row>
    <row r="1977" spans="1:15" hidden="1" outlineLevel="2" x14ac:dyDescent="0.35">
      <c r="A1977" s="425" t="s">
        <v>105</v>
      </c>
      <c r="B1977" s="327">
        <v>44377</v>
      </c>
      <c r="C1977" s="426" t="s">
        <v>10618</v>
      </c>
      <c r="D1977" s="427" t="s">
        <v>10619</v>
      </c>
      <c r="E1977" s="426" t="s">
        <v>3775</v>
      </c>
      <c r="F1977" s="338">
        <v>27.83</v>
      </c>
      <c r="G1977" s="338" t="s">
        <v>56</v>
      </c>
      <c r="H1977" s="338"/>
      <c r="I1977" s="329">
        <v>27.83</v>
      </c>
      <c r="J1977" s="329"/>
      <c r="K1977" s="338">
        <f t="shared" si="88"/>
        <v>6.9574999999999996</v>
      </c>
      <c r="L1977" s="338">
        <f t="shared" si="88"/>
        <v>6.9574999999999996</v>
      </c>
      <c r="M1977" s="338">
        <f t="shared" si="88"/>
        <v>6.9574999999999996</v>
      </c>
      <c r="N1977" s="338">
        <f t="shared" si="88"/>
        <v>6.9574999999999996</v>
      </c>
      <c r="O1977" s="338"/>
    </row>
    <row r="1978" spans="1:15" hidden="1" outlineLevel="2" x14ac:dyDescent="0.35">
      <c r="A1978" s="425" t="s">
        <v>105</v>
      </c>
      <c r="B1978" s="327">
        <v>44377</v>
      </c>
      <c r="C1978" s="426" t="s">
        <v>10618</v>
      </c>
      <c r="D1978" s="427" t="s">
        <v>10619</v>
      </c>
      <c r="E1978" s="426" t="s">
        <v>3775</v>
      </c>
      <c r="F1978" s="338">
        <v>7.54</v>
      </c>
      <c r="G1978" s="338" t="s">
        <v>56</v>
      </c>
      <c r="H1978" s="338"/>
      <c r="I1978" s="329">
        <v>7.54</v>
      </c>
      <c r="J1978" s="329"/>
      <c r="K1978" s="338">
        <f t="shared" si="88"/>
        <v>1.885</v>
      </c>
      <c r="L1978" s="338">
        <f t="shared" si="88"/>
        <v>1.885</v>
      </c>
      <c r="M1978" s="338">
        <f t="shared" si="88"/>
        <v>1.885</v>
      </c>
      <c r="N1978" s="338">
        <f t="shared" si="88"/>
        <v>1.885</v>
      </c>
      <c r="O1978" s="338"/>
    </row>
    <row r="1979" spans="1:15" hidden="1" outlineLevel="2" x14ac:dyDescent="0.35">
      <c r="A1979" s="425" t="s">
        <v>105</v>
      </c>
      <c r="B1979" s="327">
        <v>44196</v>
      </c>
      <c r="C1979" s="426" t="s">
        <v>10620</v>
      </c>
      <c r="D1979" s="427" t="s">
        <v>10621</v>
      </c>
      <c r="E1979" s="426" t="s">
        <v>10440</v>
      </c>
      <c r="F1979" s="338">
        <v>5340.93</v>
      </c>
      <c r="G1979" s="338" t="s">
        <v>56</v>
      </c>
      <c r="H1979" s="338"/>
      <c r="I1979" s="329">
        <v>5340.93</v>
      </c>
      <c r="J1979" s="329"/>
      <c r="K1979" s="338">
        <f t="shared" si="88"/>
        <v>1335.2325000000001</v>
      </c>
      <c r="L1979" s="338">
        <f t="shared" si="88"/>
        <v>1335.2325000000001</v>
      </c>
      <c r="M1979" s="338">
        <f t="shared" si="88"/>
        <v>1335.2325000000001</v>
      </c>
      <c r="N1979" s="338">
        <f t="shared" si="88"/>
        <v>1335.2325000000001</v>
      </c>
      <c r="O1979" s="338"/>
    </row>
    <row r="1980" spans="1:15" hidden="1" outlineLevel="2" x14ac:dyDescent="0.35">
      <c r="A1980" s="425" t="s">
        <v>105</v>
      </c>
      <c r="B1980" s="327">
        <v>44196</v>
      </c>
      <c r="C1980" s="426" t="s">
        <v>10622</v>
      </c>
      <c r="D1980" s="427" t="s">
        <v>10623</v>
      </c>
      <c r="E1980" s="426" t="s">
        <v>10440</v>
      </c>
      <c r="F1980" s="338">
        <v>5340.93</v>
      </c>
      <c r="G1980" s="338" t="s">
        <v>56</v>
      </c>
      <c r="H1980" s="338"/>
      <c r="I1980" s="329">
        <v>5340.93</v>
      </c>
      <c r="J1980" s="329"/>
      <c r="K1980" s="338">
        <f t="shared" si="88"/>
        <v>1335.2325000000001</v>
      </c>
      <c r="L1980" s="338">
        <f t="shared" si="88"/>
        <v>1335.2325000000001</v>
      </c>
      <c r="M1980" s="338">
        <f t="shared" si="88"/>
        <v>1335.2325000000001</v>
      </c>
      <c r="N1980" s="338">
        <f t="shared" si="88"/>
        <v>1335.2325000000001</v>
      </c>
      <c r="O1980" s="338"/>
    </row>
    <row r="1981" spans="1:15" hidden="1" outlineLevel="2" x14ac:dyDescent="0.35">
      <c r="A1981" s="425" t="s">
        <v>105</v>
      </c>
      <c r="B1981" s="327">
        <v>44196</v>
      </c>
      <c r="C1981" s="426" t="s">
        <v>10624</v>
      </c>
      <c r="D1981" s="427" t="s">
        <v>10625</v>
      </c>
      <c r="E1981" s="426" t="s">
        <v>10440</v>
      </c>
      <c r="F1981" s="338">
        <v>115.39</v>
      </c>
      <c r="G1981" s="338" t="s">
        <v>56</v>
      </c>
      <c r="H1981" s="338"/>
      <c r="I1981" s="329">
        <v>115.39</v>
      </c>
      <c r="J1981" s="329"/>
      <c r="K1981" s="338">
        <f t="shared" si="88"/>
        <v>28.8475</v>
      </c>
      <c r="L1981" s="338">
        <f t="shared" si="88"/>
        <v>28.8475</v>
      </c>
      <c r="M1981" s="338">
        <f t="shared" si="88"/>
        <v>28.8475</v>
      </c>
      <c r="N1981" s="338">
        <f t="shared" si="88"/>
        <v>28.8475</v>
      </c>
      <c r="O1981" s="338"/>
    </row>
    <row r="1982" spans="1:15" hidden="1" outlineLevel="2" x14ac:dyDescent="0.35">
      <c r="A1982" s="425" t="s">
        <v>105</v>
      </c>
      <c r="B1982" s="327">
        <v>44196</v>
      </c>
      <c r="C1982" s="426" t="s">
        <v>10626</v>
      </c>
      <c r="D1982" s="427" t="s">
        <v>10627</v>
      </c>
      <c r="E1982" s="426" t="s">
        <v>10440</v>
      </c>
      <c r="F1982" s="338">
        <v>70.180000000000007</v>
      </c>
      <c r="G1982" s="338" t="s">
        <v>56</v>
      </c>
      <c r="H1982" s="338"/>
      <c r="I1982" s="329">
        <v>70.180000000000007</v>
      </c>
      <c r="J1982" s="329"/>
      <c r="K1982" s="338">
        <f t="shared" si="88"/>
        <v>17.545000000000002</v>
      </c>
      <c r="L1982" s="338">
        <f t="shared" si="88"/>
        <v>17.545000000000002</v>
      </c>
      <c r="M1982" s="338">
        <f t="shared" si="88"/>
        <v>17.545000000000002</v>
      </c>
      <c r="N1982" s="338">
        <f t="shared" si="88"/>
        <v>17.545000000000002</v>
      </c>
      <c r="O1982" s="338"/>
    </row>
    <row r="1983" spans="1:15" hidden="1" outlineLevel="2" x14ac:dyDescent="0.35">
      <c r="A1983" s="425" t="s">
        <v>105</v>
      </c>
      <c r="B1983" s="327">
        <v>44196</v>
      </c>
      <c r="C1983" s="426" t="s">
        <v>10628</v>
      </c>
      <c r="D1983" s="427" t="s">
        <v>10629</v>
      </c>
      <c r="E1983" s="426" t="s">
        <v>10440</v>
      </c>
      <c r="F1983" s="338">
        <v>70.180000000000007</v>
      </c>
      <c r="G1983" s="338" t="s">
        <v>56</v>
      </c>
      <c r="H1983" s="338"/>
      <c r="I1983" s="329">
        <v>70.180000000000007</v>
      </c>
      <c r="J1983" s="329"/>
      <c r="K1983" s="338">
        <f t="shared" si="88"/>
        <v>17.545000000000002</v>
      </c>
      <c r="L1983" s="338">
        <f t="shared" si="88"/>
        <v>17.545000000000002</v>
      </c>
      <c r="M1983" s="338">
        <f t="shared" si="88"/>
        <v>17.545000000000002</v>
      </c>
      <c r="N1983" s="338">
        <f t="shared" si="88"/>
        <v>17.545000000000002</v>
      </c>
      <c r="O1983" s="338"/>
    </row>
    <row r="1984" spans="1:15" hidden="1" outlineLevel="2" x14ac:dyDescent="0.35">
      <c r="A1984" s="425" t="s">
        <v>105</v>
      </c>
      <c r="B1984" s="327">
        <v>44196</v>
      </c>
      <c r="C1984" s="426" t="s">
        <v>10630</v>
      </c>
      <c r="D1984" s="427" t="s">
        <v>10631</v>
      </c>
      <c r="E1984" s="426" t="s">
        <v>10440</v>
      </c>
      <c r="F1984" s="338">
        <v>249.93</v>
      </c>
      <c r="G1984" s="338" t="s">
        <v>56</v>
      </c>
      <c r="H1984" s="338"/>
      <c r="I1984" s="329">
        <v>249.93</v>
      </c>
      <c r="J1984" s="329"/>
      <c r="K1984" s="338">
        <f t="shared" si="88"/>
        <v>62.482500000000002</v>
      </c>
      <c r="L1984" s="338">
        <f t="shared" si="88"/>
        <v>62.482500000000002</v>
      </c>
      <c r="M1984" s="338">
        <f t="shared" si="88"/>
        <v>62.482500000000002</v>
      </c>
      <c r="N1984" s="338">
        <f t="shared" si="88"/>
        <v>62.482500000000002</v>
      </c>
      <c r="O1984" s="338"/>
    </row>
    <row r="1985" spans="1:15" hidden="1" outlineLevel="2" x14ac:dyDescent="0.35">
      <c r="A1985" s="425" t="s">
        <v>105</v>
      </c>
      <c r="B1985" s="327">
        <v>44196</v>
      </c>
      <c r="C1985" s="426" t="s">
        <v>10632</v>
      </c>
      <c r="D1985" s="427" t="s">
        <v>10633</v>
      </c>
      <c r="E1985" s="426" t="s">
        <v>10440</v>
      </c>
      <c r="F1985" s="338">
        <v>70.180000000000007</v>
      </c>
      <c r="G1985" s="338" t="s">
        <v>56</v>
      </c>
      <c r="H1985" s="338"/>
      <c r="I1985" s="329">
        <v>70.180000000000007</v>
      </c>
      <c r="J1985" s="329"/>
      <c r="K1985" s="338">
        <f t="shared" si="88"/>
        <v>17.545000000000002</v>
      </c>
      <c r="L1985" s="338">
        <f t="shared" si="88"/>
        <v>17.545000000000002</v>
      </c>
      <c r="M1985" s="338">
        <f t="shared" si="88"/>
        <v>17.545000000000002</v>
      </c>
      <c r="N1985" s="338">
        <f t="shared" si="88"/>
        <v>17.545000000000002</v>
      </c>
      <c r="O1985" s="338"/>
    </row>
    <row r="1986" spans="1:15" hidden="1" outlineLevel="2" x14ac:dyDescent="0.35">
      <c r="A1986" s="425" t="s">
        <v>105</v>
      </c>
      <c r="B1986" s="327">
        <v>44196</v>
      </c>
      <c r="C1986" s="426" t="s">
        <v>10634</v>
      </c>
      <c r="D1986" s="427" t="s">
        <v>10635</v>
      </c>
      <c r="E1986" s="426" t="s">
        <v>10440</v>
      </c>
      <c r="F1986" s="338">
        <v>19.46</v>
      </c>
      <c r="G1986" s="338" t="s">
        <v>56</v>
      </c>
      <c r="H1986" s="338"/>
      <c r="I1986" s="329">
        <v>19.46</v>
      </c>
      <c r="J1986" s="329"/>
      <c r="K1986" s="338">
        <f t="shared" si="88"/>
        <v>4.8650000000000002</v>
      </c>
      <c r="L1986" s="338">
        <f t="shared" si="88"/>
        <v>4.8650000000000002</v>
      </c>
      <c r="M1986" s="338">
        <f t="shared" si="88"/>
        <v>4.8650000000000002</v>
      </c>
      <c r="N1986" s="338">
        <f t="shared" si="88"/>
        <v>4.8650000000000002</v>
      </c>
      <c r="O1986" s="338"/>
    </row>
    <row r="1987" spans="1:15" hidden="1" outlineLevel="2" x14ac:dyDescent="0.35">
      <c r="A1987" s="425" t="s">
        <v>105</v>
      </c>
      <c r="B1987" s="327">
        <v>44196</v>
      </c>
      <c r="C1987" s="426" t="s">
        <v>5047</v>
      </c>
      <c r="D1987" s="427" t="s">
        <v>10636</v>
      </c>
      <c r="E1987" s="426" t="s">
        <v>3775</v>
      </c>
      <c r="F1987" s="338">
        <v>27.83</v>
      </c>
      <c r="G1987" s="338" t="s">
        <v>56</v>
      </c>
      <c r="H1987" s="338"/>
      <c r="I1987" s="329">
        <v>27.83</v>
      </c>
      <c r="J1987" s="329"/>
      <c r="K1987" s="338">
        <f t="shared" si="88"/>
        <v>6.9574999999999996</v>
      </c>
      <c r="L1987" s="338">
        <f t="shared" si="88"/>
        <v>6.9574999999999996</v>
      </c>
      <c r="M1987" s="338">
        <f t="shared" si="88"/>
        <v>6.9574999999999996</v>
      </c>
      <c r="N1987" s="338">
        <f t="shared" si="88"/>
        <v>6.9574999999999996</v>
      </c>
      <c r="O1987" s="338"/>
    </row>
    <row r="1988" spans="1:15" hidden="1" outlineLevel="2" x14ac:dyDescent="0.35">
      <c r="A1988" s="425" t="s">
        <v>105</v>
      </c>
      <c r="B1988" s="327">
        <v>44196</v>
      </c>
      <c r="C1988" s="426" t="s">
        <v>10637</v>
      </c>
      <c r="D1988" s="427" t="s">
        <v>10638</v>
      </c>
      <c r="E1988" s="426" t="s">
        <v>10440</v>
      </c>
      <c r="F1988" s="338">
        <v>40.950000000000003</v>
      </c>
      <c r="G1988" s="338" t="s">
        <v>56</v>
      </c>
      <c r="H1988" s="338"/>
      <c r="I1988" s="329">
        <v>40.950000000000003</v>
      </c>
      <c r="J1988" s="329"/>
      <c r="K1988" s="338">
        <f t="shared" si="88"/>
        <v>10.237500000000001</v>
      </c>
      <c r="L1988" s="338">
        <f t="shared" si="88"/>
        <v>10.237500000000001</v>
      </c>
      <c r="M1988" s="338">
        <f t="shared" si="88"/>
        <v>10.237500000000001</v>
      </c>
      <c r="N1988" s="338">
        <f t="shared" si="88"/>
        <v>10.237500000000001</v>
      </c>
      <c r="O1988" s="338"/>
    </row>
    <row r="1989" spans="1:15" hidden="1" outlineLevel="2" x14ac:dyDescent="0.35">
      <c r="A1989" s="425" t="s">
        <v>105</v>
      </c>
      <c r="B1989" s="327">
        <v>44196</v>
      </c>
      <c r="C1989" s="426" t="s">
        <v>5047</v>
      </c>
      <c r="D1989" s="427" t="s">
        <v>10639</v>
      </c>
      <c r="E1989" s="426" t="s">
        <v>3775</v>
      </c>
      <c r="F1989" s="338">
        <v>27.83</v>
      </c>
      <c r="G1989" s="338" t="s">
        <v>56</v>
      </c>
      <c r="H1989" s="338"/>
      <c r="I1989" s="329">
        <v>27.83</v>
      </c>
      <c r="J1989" s="329"/>
      <c r="K1989" s="338">
        <f t="shared" si="88"/>
        <v>6.9574999999999996</v>
      </c>
      <c r="L1989" s="338">
        <f t="shared" si="88"/>
        <v>6.9574999999999996</v>
      </c>
      <c r="M1989" s="338">
        <f t="shared" si="88"/>
        <v>6.9574999999999996</v>
      </c>
      <c r="N1989" s="338">
        <f t="shared" si="88"/>
        <v>6.9574999999999996</v>
      </c>
      <c r="O1989" s="338"/>
    </row>
    <row r="1990" spans="1:15" hidden="1" outlineLevel="2" x14ac:dyDescent="0.35">
      <c r="A1990" s="425" t="s">
        <v>105</v>
      </c>
      <c r="B1990" s="327">
        <v>44196</v>
      </c>
      <c r="C1990" s="426" t="s">
        <v>5047</v>
      </c>
      <c r="D1990" s="427" t="s">
        <v>10640</v>
      </c>
      <c r="E1990" s="426" t="s">
        <v>3775</v>
      </c>
      <c r="F1990" s="338">
        <v>27.83</v>
      </c>
      <c r="G1990" s="338" t="s">
        <v>56</v>
      </c>
      <c r="H1990" s="338"/>
      <c r="I1990" s="329">
        <v>27.83</v>
      </c>
      <c r="J1990" s="329"/>
      <c r="K1990" s="338">
        <f t="shared" si="88"/>
        <v>6.9574999999999996</v>
      </c>
      <c r="L1990" s="338">
        <f t="shared" si="88"/>
        <v>6.9574999999999996</v>
      </c>
      <c r="M1990" s="338">
        <f t="shared" si="88"/>
        <v>6.9574999999999996</v>
      </c>
      <c r="N1990" s="338">
        <f t="shared" si="88"/>
        <v>6.9574999999999996</v>
      </c>
      <c r="O1990" s="338"/>
    </row>
    <row r="1991" spans="1:15" hidden="1" outlineLevel="2" x14ac:dyDescent="0.35">
      <c r="A1991" s="425" t="s">
        <v>105</v>
      </c>
      <c r="B1991" s="327">
        <v>44196</v>
      </c>
      <c r="C1991" s="426" t="s">
        <v>5047</v>
      </c>
      <c r="D1991" s="427" t="s">
        <v>10641</v>
      </c>
      <c r="E1991" s="426" t="s">
        <v>3775</v>
      </c>
      <c r="F1991" s="338">
        <v>27.83</v>
      </c>
      <c r="G1991" s="338" t="s">
        <v>56</v>
      </c>
      <c r="H1991" s="338"/>
      <c r="I1991" s="329">
        <v>27.83</v>
      </c>
      <c r="J1991" s="329"/>
      <c r="K1991" s="338">
        <f t="shared" si="88"/>
        <v>6.9574999999999996</v>
      </c>
      <c r="L1991" s="338">
        <f t="shared" si="88"/>
        <v>6.9574999999999996</v>
      </c>
      <c r="M1991" s="338">
        <f t="shared" si="88"/>
        <v>6.9574999999999996</v>
      </c>
      <c r="N1991" s="338">
        <f t="shared" si="88"/>
        <v>6.9574999999999996</v>
      </c>
      <c r="O1991" s="338"/>
    </row>
    <row r="1992" spans="1:15" hidden="1" outlineLevel="2" x14ac:dyDescent="0.35">
      <c r="A1992" s="425" t="s">
        <v>105</v>
      </c>
      <c r="B1992" s="327">
        <v>44216</v>
      </c>
      <c r="C1992" s="426" t="s">
        <v>10642</v>
      </c>
      <c r="D1992" s="427" t="s">
        <v>10643</v>
      </c>
      <c r="E1992" s="426" t="s">
        <v>3775</v>
      </c>
      <c r="F1992" s="338">
        <v>27.83</v>
      </c>
      <c r="G1992" s="338" t="s">
        <v>56</v>
      </c>
      <c r="H1992" s="338"/>
      <c r="I1992" s="329">
        <v>27.83</v>
      </c>
      <c r="J1992" s="329"/>
      <c r="K1992" s="338">
        <f t="shared" si="88"/>
        <v>6.9574999999999996</v>
      </c>
      <c r="L1992" s="338">
        <f t="shared" si="88"/>
        <v>6.9574999999999996</v>
      </c>
      <c r="M1992" s="338">
        <f t="shared" si="88"/>
        <v>6.9574999999999996</v>
      </c>
      <c r="N1992" s="338">
        <f t="shared" si="88"/>
        <v>6.9574999999999996</v>
      </c>
      <c r="O1992" s="338"/>
    </row>
    <row r="1993" spans="1:15" hidden="1" outlineLevel="2" x14ac:dyDescent="0.35">
      <c r="A1993" s="425" t="s">
        <v>105</v>
      </c>
      <c r="B1993" s="327">
        <v>44174</v>
      </c>
      <c r="C1993" s="426" t="s">
        <v>10644</v>
      </c>
      <c r="D1993" s="427" t="s">
        <v>10645</v>
      </c>
      <c r="E1993" s="426" t="s">
        <v>3775</v>
      </c>
      <c r="F1993" s="338">
        <v>10.74</v>
      </c>
      <c r="G1993" s="338" t="s">
        <v>56</v>
      </c>
      <c r="H1993" s="338"/>
      <c r="I1993" s="329">
        <v>10.74</v>
      </c>
      <c r="J1993" s="329"/>
      <c r="K1993" s="338">
        <f t="shared" si="88"/>
        <v>2.6850000000000001</v>
      </c>
      <c r="L1993" s="338">
        <f t="shared" si="88"/>
        <v>2.6850000000000001</v>
      </c>
      <c r="M1993" s="338">
        <f t="shared" si="88"/>
        <v>2.6850000000000001</v>
      </c>
      <c r="N1993" s="338">
        <f t="shared" si="88"/>
        <v>2.6850000000000001</v>
      </c>
      <c r="O1993" s="338"/>
    </row>
    <row r="1994" spans="1:15" hidden="1" outlineLevel="2" x14ac:dyDescent="0.35">
      <c r="A1994" s="425" t="s">
        <v>105</v>
      </c>
      <c r="B1994" s="327">
        <v>44196</v>
      </c>
      <c r="C1994" s="426" t="s">
        <v>10646</v>
      </c>
      <c r="D1994" s="427" t="s">
        <v>10647</v>
      </c>
      <c r="E1994" s="426" t="s">
        <v>3775</v>
      </c>
      <c r="F1994" s="338">
        <v>1.75</v>
      </c>
      <c r="G1994" s="338" t="s">
        <v>56</v>
      </c>
      <c r="H1994" s="338"/>
      <c r="I1994" s="329">
        <v>1.75</v>
      </c>
      <c r="J1994" s="329"/>
      <c r="K1994" s="338">
        <f t="shared" si="88"/>
        <v>0.4375</v>
      </c>
      <c r="L1994" s="338">
        <f t="shared" si="88"/>
        <v>0.4375</v>
      </c>
      <c r="M1994" s="338">
        <f t="shared" si="88"/>
        <v>0.4375</v>
      </c>
      <c r="N1994" s="338">
        <f t="shared" si="88"/>
        <v>0.4375</v>
      </c>
      <c r="O1994" s="338"/>
    </row>
    <row r="1995" spans="1:15" hidden="1" outlineLevel="2" x14ac:dyDescent="0.35">
      <c r="A1995" s="425" t="s">
        <v>105</v>
      </c>
      <c r="B1995" s="327">
        <v>44314</v>
      </c>
      <c r="C1995" s="426" t="s">
        <v>10648</v>
      </c>
      <c r="D1995" s="427" t="s">
        <v>10649</v>
      </c>
      <c r="E1995" s="426" t="s">
        <v>3775</v>
      </c>
      <c r="F1995" s="338">
        <v>4.71</v>
      </c>
      <c r="G1995" s="338" t="s">
        <v>56</v>
      </c>
      <c r="H1995" s="338"/>
      <c r="I1995" s="329">
        <v>4.71</v>
      </c>
      <c r="J1995" s="329"/>
      <c r="K1995" s="338">
        <f t="shared" si="88"/>
        <v>1.1775</v>
      </c>
      <c r="L1995" s="338">
        <f t="shared" si="88"/>
        <v>1.1775</v>
      </c>
      <c r="M1995" s="338">
        <f t="shared" si="88"/>
        <v>1.1775</v>
      </c>
      <c r="N1995" s="338">
        <f t="shared" si="88"/>
        <v>1.1775</v>
      </c>
      <c r="O1995" s="338"/>
    </row>
    <row r="1996" spans="1:15" hidden="1" outlineLevel="2" x14ac:dyDescent="0.35">
      <c r="A1996" s="425" t="s">
        <v>105</v>
      </c>
      <c r="B1996" s="327">
        <v>44561</v>
      </c>
      <c r="C1996" s="426" t="s">
        <v>10650</v>
      </c>
      <c r="D1996" s="427" t="s">
        <v>10651</v>
      </c>
      <c r="E1996" s="426" t="s">
        <v>3775</v>
      </c>
      <c r="F1996" s="338">
        <v>16.21</v>
      </c>
      <c r="G1996" s="338" t="s">
        <v>56</v>
      </c>
      <c r="H1996" s="338"/>
      <c r="I1996" s="329">
        <v>16.21</v>
      </c>
      <c r="J1996" s="329"/>
      <c r="K1996" s="338">
        <f t="shared" ref="K1996:N2015" si="89">$I1996/4</f>
        <v>4.0525000000000002</v>
      </c>
      <c r="L1996" s="338">
        <f t="shared" si="89"/>
        <v>4.0525000000000002</v>
      </c>
      <c r="M1996" s="338">
        <f t="shared" si="89"/>
        <v>4.0525000000000002</v>
      </c>
      <c r="N1996" s="338">
        <f t="shared" si="89"/>
        <v>4.0525000000000002</v>
      </c>
      <c r="O1996" s="338"/>
    </row>
    <row r="1997" spans="1:15" hidden="1" outlineLevel="2" x14ac:dyDescent="0.35">
      <c r="A1997" s="425" t="s">
        <v>105</v>
      </c>
      <c r="B1997" s="327">
        <v>44561</v>
      </c>
      <c r="C1997" s="426" t="s">
        <v>10652</v>
      </c>
      <c r="D1997" s="427" t="s">
        <v>10653</v>
      </c>
      <c r="E1997" s="426" t="s">
        <v>3775</v>
      </c>
      <c r="F1997" s="338">
        <v>21.48</v>
      </c>
      <c r="G1997" s="338" t="s">
        <v>56</v>
      </c>
      <c r="H1997" s="338"/>
      <c r="I1997" s="329">
        <v>21.48</v>
      </c>
      <c r="J1997" s="329"/>
      <c r="K1997" s="338">
        <f t="shared" si="89"/>
        <v>5.37</v>
      </c>
      <c r="L1997" s="338">
        <f t="shared" si="89"/>
        <v>5.37</v>
      </c>
      <c r="M1997" s="338">
        <f t="shared" si="89"/>
        <v>5.37</v>
      </c>
      <c r="N1997" s="338">
        <f t="shared" si="89"/>
        <v>5.37</v>
      </c>
      <c r="O1997" s="338"/>
    </row>
    <row r="1998" spans="1:15" hidden="1" outlineLevel="2" x14ac:dyDescent="0.35">
      <c r="A1998" s="425" t="s">
        <v>105</v>
      </c>
      <c r="B1998" s="327">
        <v>44561</v>
      </c>
      <c r="C1998" s="426" t="s">
        <v>10654</v>
      </c>
      <c r="D1998" s="427" t="s">
        <v>10655</v>
      </c>
      <c r="E1998" s="426" t="s">
        <v>3775</v>
      </c>
      <c r="F1998" s="338">
        <v>7.16</v>
      </c>
      <c r="G1998" s="338" t="s">
        <v>56</v>
      </c>
      <c r="H1998" s="338"/>
      <c r="I1998" s="329">
        <v>7.16</v>
      </c>
      <c r="J1998" s="329"/>
      <c r="K1998" s="338">
        <f t="shared" si="89"/>
        <v>1.79</v>
      </c>
      <c r="L1998" s="338">
        <f t="shared" si="89"/>
        <v>1.79</v>
      </c>
      <c r="M1998" s="338">
        <f t="shared" si="89"/>
        <v>1.79</v>
      </c>
      <c r="N1998" s="338">
        <f t="shared" si="89"/>
        <v>1.79</v>
      </c>
      <c r="O1998" s="338"/>
    </row>
    <row r="1999" spans="1:15" hidden="1" outlineLevel="2" x14ac:dyDescent="0.35">
      <c r="A1999" s="425" t="s">
        <v>105</v>
      </c>
      <c r="B1999" s="327">
        <v>44561</v>
      </c>
      <c r="C1999" s="426" t="s">
        <v>10656</v>
      </c>
      <c r="D1999" s="427" t="s">
        <v>10657</v>
      </c>
      <c r="E1999" s="426" t="s">
        <v>10440</v>
      </c>
      <c r="F1999" s="338">
        <v>131.63999999999999</v>
      </c>
      <c r="G1999" s="338" t="s">
        <v>56</v>
      </c>
      <c r="H1999" s="338"/>
      <c r="I1999" s="329">
        <v>131.63999999999999</v>
      </c>
      <c r="J1999" s="329"/>
      <c r="K1999" s="338">
        <f t="shared" si="89"/>
        <v>32.909999999999997</v>
      </c>
      <c r="L1999" s="338">
        <f t="shared" si="89"/>
        <v>32.909999999999997</v>
      </c>
      <c r="M1999" s="338">
        <f t="shared" si="89"/>
        <v>32.909999999999997</v>
      </c>
      <c r="N1999" s="338">
        <f t="shared" si="89"/>
        <v>32.909999999999997</v>
      </c>
      <c r="O1999" s="338"/>
    </row>
    <row r="2000" spans="1:15" hidden="1" outlineLevel="2" x14ac:dyDescent="0.35">
      <c r="A2000" s="425" t="s">
        <v>105</v>
      </c>
      <c r="B2000" s="327">
        <v>44561</v>
      </c>
      <c r="C2000" s="426" t="s">
        <v>10658</v>
      </c>
      <c r="D2000" s="427" t="s">
        <v>10659</v>
      </c>
      <c r="E2000" s="426" t="s">
        <v>10464</v>
      </c>
      <c r="F2000" s="338">
        <v>101.64</v>
      </c>
      <c r="G2000" s="338" t="s">
        <v>56</v>
      </c>
      <c r="H2000" s="338"/>
      <c r="I2000" s="329">
        <v>101.64</v>
      </c>
      <c r="J2000" s="329"/>
      <c r="K2000" s="338">
        <f t="shared" si="89"/>
        <v>25.41</v>
      </c>
      <c r="L2000" s="338">
        <f t="shared" si="89"/>
        <v>25.41</v>
      </c>
      <c r="M2000" s="338">
        <f t="shared" si="89"/>
        <v>25.41</v>
      </c>
      <c r="N2000" s="338">
        <f t="shared" si="89"/>
        <v>25.41</v>
      </c>
      <c r="O2000" s="338"/>
    </row>
    <row r="2001" spans="1:15" hidden="1" outlineLevel="2" x14ac:dyDescent="0.35">
      <c r="A2001" s="425" t="s">
        <v>105</v>
      </c>
      <c r="B2001" s="327">
        <v>44210</v>
      </c>
      <c r="C2001" s="426" t="s">
        <v>10660</v>
      </c>
      <c r="D2001" s="427" t="s">
        <v>10661</v>
      </c>
      <c r="E2001" s="426" t="s">
        <v>10662</v>
      </c>
      <c r="F2001" s="338">
        <v>50000</v>
      </c>
      <c r="G2001" s="338" t="s">
        <v>9869</v>
      </c>
      <c r="H2001" s="338"/>
      <c r="I2001" s="329">
        <f>+F2001/'[10]Income + exchange rates'!$G$60</f>
        <v>11.920159117542449</v>
      </c>
      <c r="J2001" s="329"/>
      <c r="K2001" s="338">
        <f t="shared" si="89"/>
        <v>2.9800397793856122</v>
      </c>
      <c r="L2001" s="338">
        <f t="shared" si="89"/>
        <v>2.9800397793856122</v>
      </c>
      <c r="M2001" s="338">
        <f t="shared" si="89"/>
        <v>2.9800397793856122</v>
      </c>
      <c r="N2001" s="338">
        <f t="shared" si="89"/>
        <v>2.9800397793856122</v>
      </c>
      <c r="O2001" s="338"/>
    </row>
    <row r="2002" spans="1:15" hidden="1" outlineLevel="2" x14ac:dyDescent="0.35">
      <c r="A2002" s="425" t="s">
        <v>105</v>
      </c>
      <c r="B2002" s="327">
        <v>44222</v>
      </c>
      <c r="C2002" s="426" t="s">
        <v>10660</v>
      </c>
      <c r="D2002" s="427" t="s">
        <v>10661</v>
      </c>
      <c r="E2002" s="426" t="s">
        <v>10662</v>
      </c>
      <c r="F2002" s="338">
        <v>8000</v>
      </c>
      <c r="G2002" s="338" t="s">
        <v>9869</v>
      </c>
      <c r="H2002" s="338"/>
      <c r="I2002" s="329">
        <f>+F2002/'[10]Income + exchange rates'!$G$60</f>
        <v>1.9072254588067916</v>
      </c>
      <c r="J2002" s="329"/>
      <c r="K2002" s="338">
        <f t="shared" si="89"/>
        <v>0.4768063647016979</v>
      </c>
      <c r="L2002" s="338">
        <f t="shared" si="89"/>
        <v>0.4768063647016979</v>
      </c>
      <c r="M2002" s="338">
        <f t="shared" si="89"/>
        <v>0.4768063647016979</v>
      </c>
      <c r="N2002" s="338">
        <f t="shared" si="89"/>
        <v>0.4768063647016979</v>
      </c>
      <c r="O2002" s="338"/>
    </row>
    <row r="2003" spans="1:15" hidden="1" outlineLevel="2" x14ac:dyDescent="0.35">
      <c r="A2003" s="425" t="s">
        <v>105</v>
      </c>
      <c r="B2003" s="327">
        <v>44228</v>
      </c>
      <c r="C2003" s="426" t="s">
        <v>10660</v>
      </c>
      <c r="D2003" s="427" t="s">
        <v>10661</v>
      </c>
      <c r="E2003" s="426" t="s">
        <v>10662</v>
      </c>
      <c r="F2003" s="338">
        <v>50000</v>
      </c>
      <c r="G2003" s="338" t="s">
        <v>9869</v>
      </c>
      <c r="H2003" s="338"/>
      <c r="I2003" s="329">
        <f>+F2003/'[10]Income + exchange rates'!$G$60</f>
        <v>11.920159117542449</v>
      </c>
      <c r="J2003" s="329"/>
      <c r="K2003" s="338">
        <f t="shared" si="89"/>
        <v>2.9800397793856122</v>
      </c>
      <c r="L2003" s="338">
        <f t="shared" si="89"/>
        <v>2.9800397793856122</v>
      </c>
      <c r="M2003" s="338">
        <f t="shared" si="89"/>
        <v>2.9800397793856122</v>
      </c>
      <c r="N2003" s="338">
        <f t="shared" si="89"/>
        <v>2.9800397793856122</v>
      </c>
      <c r="O2003" s="338"/>
    </row>
    <row r="2004" spans="1:15" hidden="1" outlineLevel="2" x14ac:dyDescent="0.35">
      <c r="A2004" s="425" t="s">
        <v>105</v>
      </c>
      <c r="B2004" s="327">
        <v>43853</v>
      </c>
      <c r="C2004" s="426" t="s">
        <v>10663</v>
      </c>
      <c r="D2004" s="427" t="s">
        <v>10661</v>
      </c>
      <c r="E2004" s="426" t="s">
        <v>10664</v>
      </c>
      <c r="F2004" s="338">
        <v>50000</v>
      </c>
      <c r="G2004" s="338" t="s">
        <v>9869</v>
      </c>
      <c r="H2004" s="338"/>
      <c r="I2004" s="329">
        <f>+F2004/'[10]Income + exchange rates'!$G$29</f>
        <v>11.720909049706588</v>
      </c>
      <c r="J2004" s="329"/>
      <c r="K2004" s="338">
        <f t="shared" si="89"/>
        <v>2.930227262426647</v>
      </c>
      <c r="L2004" s="338">
        <f t="shared" si="89"/>
        <v>2.930227262426647</v>
      </c>
      <c r="M2004" s="338">
        <f t="shared" si="89"/>
        <v>2.930227262426647</v>
      </c>
      <c r="N2004" s="338">
        <f t="shared" si="89"/>
        <v>2.930227262426647</v>
      </c>
      <c r="O2004" s="338"/>
    </row>
    <row r="2005" spans="1:15" hidden="1" outlineLevel="2" x14ac:dyDescent="0.35">
      <c r="A2005" s="425" t="s">
        <v>105</v>
      </c>
      <c r="B2005" s="327">
        <v>43881</v>
      </c>
      <c r="C2005" s="426" t="s">
        <v>10665</v>
      </c>
      <c r="D2005" s="427" t="s">
        <v>10661</v>
      </c>
      <c r="E2005" s="426" t="s">
        <v>10662</v>
      </c>
      <c r="F2005" s="338">
        <v>50000</v>
      </c>
      <c r="G2005" s="338" t="s">
        <v>9869</v>
      </c>
      <c r="H2005" s="338"/>
      <c r="I2005" s="329">
        <f>+F2005/'[10]Income + exchange rates'!$G$29</f>
        <v>11.720909049706588</v>
      </c>
      <c r="J2005" s="329"/>
      <c r="K2005" s="338">
        <f t="shared" si="89"/>
        <v>2.930227262426647</v>
      </c>
      <c r="L2005" s="338">
        <f t="shared" si="89"/>
        <v>2.930227262426647</v>
      </c>
      <c r="M2005" s="338">
        <f t="shared" si="89"/>
        <v>2.930227262426647</v>
      </c>
      <c r="N2005" s="338">
        <f t="shared" si="89"/>
        <v>2.930227262426647</v>
      </c>
      <c r="O2005" s="338"/>
    </row>
    <row r="2006" spans="1:15" hidden="1" outlineLevel="2" x14ac:dyDescent="0.35">
      <c r="A2006" s="425" t="s">
        <v>105</v>
      </c>
      <c r="B2006" s="327">
        <v>43836</v>
      </c>
      <c r="C2006" s="426" t="s">
        <v>10666</v>
      </c>
      <c r="D2006" s="427" t="s">
        <v>10667</v>
      </c>
      <c r="E2006" s="426" t="s">
        <v>10668</v>
      </c>
      <c r="F2006" s="338">
        <v>126000</v>
      </c>
      <c r="G2006" s="338" t="s">
        <v>9869</v>
      </c>
      <c r="H2006" s="338"/>
      <c r="I2006" s="329">
        <f>+F2006/'[10]Income + exchange rates'!$G$29</f>
        <v>29.536690805260601</v>
      </c>
      <c r="J2006" s="329"/>
      <c r="K2006" s="338">
        <f t="shared" si="89"/>
        <v>7.3841727013151504</v>
      </c>
      <c r="L2006" s="338">
        <f t="shared" si="89"/>
        <v>7.3841727013151504</v>
      </c>
      <c r="M2006" s="338">
        <f t="shared" si="89"/>
        <v>7.3841727013151504</v>
      </c>
      <c r="N2006" s="338">
        <f t="shared" si="89"/>
        <v>7.3841727013151504</v>
      </c>
      <c r="O2006" s="338"/>
    </row>
    <row r="2007" spans="1:15" hidden="1" outlineLevel="2" x14ac:dyDescent="0.35">
      <c r="A2007" s="425" t="s">
        <v>105</v>
      </c>
      <c r="B2007" s="327">
        <v>44419</v>
      </c>
      <c r="C2007" s="426" t="s">
        <v>10669</v>
      </c>
      <c r="D2007" s="427" t="s">
        <v>10670</v>
      </c>
      <c r="E2007" s="426" t="s">
        <v>10440</v>
      </c>
      <c r="F2007" s="338">
        <v>70.180000000000007</v>
      </c>
      <c r="G2007" s="338" t="s">
        <v>56</v>
      </c>
      <c r="H2007" s="338"/>
      <c r="I2007" s="329">
        <v>70.180000000000007</v>
      </c>
      <c r="J2007" s="329"/>
      <c r="K2007" s="338">
        <f t="shared" si="89"/>
        <v>17.545000000000002</v>
      </c>
      <c r="L2007" s="338">
        <f t="shared" si="89"/>
        <v>17.545000000000002</v>
      </c>
      <c r="M2007" s="338">
        <f t="shared" si="89"/>
        <v>17.545000000000002</v>
      </c>
      <c r="N2007" s="338">
        <f t="shared" si="89"/>
        <v>17.545000000000002</v>
      </c>
      <c r="O2007" s="338"/>
    </row>
    <row r="2008" spans="1:15" hidden="1" outlineLevel="2" x14ac:dyDescent="0.35">
      <c r="A2008" s="425" t="s">
        <v>105</v>
      </c>
      <c r="B2008" s="327">
        <v>44369</v>
      </c>
      <c r="C2008" s="426" t="s">
        <v>10671</v>
      </c>
      <c r="D2008" s="427" t="s">
        <v>10672</v>
      </c>
      <c r="E2008" s="426" t="s">
        <v>10673</v>
      </c>
      <c r="F2008" s="338">
        <v>33.880000000000003</v>
      </c>
      <c r="G2008" s="338" t="s">
        <v>56</v>
      </c>
      <c r="H2008" s="338"/>
      <c r="I2008" s="329">
        <v>33.880000000000003</v>
      </c>
      <c r="J2008" s="329"/>
      <c r="K2008" s="338">
        <f t="shared" si="89"/>
        <v>8.4700000000000006</v>
      </c>
      <c r="L2008" s="338">
        <f t="shared" si="89"/>
        <v>8.4700000000000006</v>
      </c>
      <c r="M2008" s="338">
        <f t="shared" si="89"/>
        <v>8.4700000000000006</v>
      </c>
      <c r="N2008" s="338">
        <f t="shared" si="89"/>
        <v>8.4700000000000006</v>
      </c>
      <c r="O2008" s="338"/>
    </row>
    <row r="2009" spans="1:15" hidden="1" outlineLevel="2" x14ac:dyDescent="0.35">
      <c r="A2009" s="425" t="s">
        <v>105</v>
      </c>
      <c r="B2009" s="327">
        <v>44331</v>
      </c>
      <c r="C2009" s="426" t="s">
        <v>10674</v>
      </c>
      <c r="D2009" s="427" t="s">
        <v>10675</v>
      </c>
      <c r="E2009" s="426" t="s">
        <v>10673</v>
      </c>
      <c r="F2009" s="338">
        <v>33.979999999999997</v>
      </c>
      <c r="G2009" s="338" t="s">
        <v>56</v>
      </c>
      <c r="H2009" s="338"/>
      <c r="I2009" s="329">
        <v>33.979999999999997</v>
      </c>
      <c r="J2009" s="329"/>
      <c r="K2009" s="338">
        <f t="shared" si="89"/>
        <v>8.4949999999999992</v>
      </c>
      <c r="L2009" s="338">
        <f t="shared" si="89"/>
        <v>8.4949999999999992</v>
      </c>
      <c r="M2009" s="338">
        <f t="shared" si="89"/>
        <v>8.4949999999999992</v>
      </c>
      <c r="N2009" s="338">
        <f t="shared" si="89"/>
        <v>8.4949999999999992</v>
      </c>
      <c r="O2009" s="338"/>
    </row>
    <row r="2010" spans="1:15" hidden="1" outlineLevel="2" x14ac:dyDescent="0.35">
      <c r="A2010" s="425" t="s">
        <v>105</v>
      </c>
      <c r="B2010" s="327">
        <v>44400</v>
      </c>
      <c r="C2010" s="426" t="s">
        <v>10676</v>
      </c>
      <c r="D2010" s="427" t="s">
        <v>10677</v>
      </c>
      <c r="E2010" s="426" t="s">
        <v>10673</v>
      </c>
      <c r="F2010" s="338">
        <v>34.479999999999997</v>
      </c>
      <c r="G2010" s="338" t="s">
        <v>56</v>
      </c>
      <c r="H2010" s="338"/>
      <c r="I2010" s="329">
        <v>34.479999999999997</v>
      </c>
      <c r="J2010" s="329"/>
      <c r="K2010" s="338">
        <f t="shared" si="89"/>
        <v>8.6199999999999992</v>
      </c>
      <c r="L2010" s="338">
        <f t="shared" si="89"/>
        <v>8.6199999999999992</v>
      </c>
      <c r="M2010" s="338">
        <f t="shared" si="89"/>
        <v>8.6199999999999992</v>
      </c>
      <c r="N2010" s="338">
        <f t="shared" si="89"/>
        <v>8.6199999999999992</v>
      </c>
      <c r="O2010" s="338"/>
    </row>
    <row r="2011" spans="1:15" hidden="1" outlineLevel="2" x14ac:dyDescent="0.35">
      <c r="A2011" s="425" t="s">
        <v>105</v>
      </c>
      <c r="B2011" s="327">
        <v>44496</v>
      </c>
      <c r="C2011" s="426" t="s">
        <v>10678</v>
      </c>
      <c r="D2011" s="427" t="s">
        <v>10679</v>
      </c>
      <c r="E2011" s="426" t="s">
        <v>10680</v>
      </c>
      <c r="F2011" s="338">
        <v>58.12</v>
      </c>
      <c r="G2011" s="338" t="s">
        <v>56</v>
      </c>
      <c r="H2011" s="338"/>
      <c r="I2011" s="329">
        <v>58.12</v>
      </c>
      <c r="J2011" s="329"/>
      <c r="K2011" s="338">
        <f t="shared" si="89"/>
        <v>14.53</v>
      </c>
      <c r="L2011" s="338">
        <f t="shared" si="89"/>
        <v>14.53</v>
      </c>
      <c r="M2011" s="338">
        <f t="shared" si="89"/>
        <v>14.53</v>
      </c>
      <c r="N2011" s="338">
        <f t="shared" si="89"/>
        <v>14.53</v>
      </c>
      <c r="O2011" s="338"/>
    </row>
    <row r="2012" spans="1:15" hidden="1" outlineLevel="2" x14ac:dyDescent="0.35">
      <c r="A2012" s="425" t="s">
        <v>105</v>
      </c>
      <c r="B2012" s="327">
        <v>44487</v>
      </c>
      <c r="C2012" s="426" t="s">
        <v>10681</v>
      </c>
      <c r="D2012" s="427" t="s">
        <v>10682</v>
      </c>
      <c r="E2012" s="426" t="s">
        <v>10680</v>
      </c>
      <c r="F2012" s="338">
        <v>60.1</v>
      </c>
      <c r="G2012" s="338" t="s">
        <v>56</v>
      </c>
      <c r="H2012" s="338"/>
      <c r="I2012" s="329">
        <v>60.1</v>
      </c>
      <c r="J2012" s="329"/>
      <c r="K2012" s="338">
        <f t="shared" si="89"/>
        <v>15.025</v>
      </c>
      <c r="L2012" s="338">
        <f t="shared" si="89"/>
        <v>15.025</v>
      </c>
      <c r="M2012" s="338">
        <f t="shared" si="89"/>
        <v>15.025</v>
      </c>
      <c r="N2012" s="338">
        <f t="shared" si="89"/>
        <v>15.025</v>
      </c>
      <c r="O2012" s="338"/>
    </row>
    <row r="2013" spans="1:15" hidden="1" outlineLevel="2" x14ac:dyDescent="0.35">
      <c r="A2013" s="425" t="s">
        <v>105</v>
      </c>
      <c r="B2013" s="327">
        <v>44204</v>
      </c>
      <c r="C2013" s="426" t="s">
        <v>10683</v>
      </c>
      <c r="D2013" s="427" t="s">
        <v>10684</v>
      </c>
      <c r="E2013" s="426" t="s">
        <v>10685</v>
      </c>
      <c r="F2013" s="338">
        <v>12.2</v>
      </c>
      <c r="G2013" s="338" t="s">
        <v>56</v>
      </c>
      <c r="H2013" s="338"/>
      <c r="I2013" s="329">
        <v>12.2</v>
      </c>
      <c r="J2013" s="329"/>
      <c r="K2013" s="338">
        <f t="shared" si="89"/>
        <v>3.05</v>
      </c>
      <c r="L2013" s="338">
        <f t="shared" si="89"/>
        <v>3.05</v>
      </c>
      <c r="M2013" s="338">
        <f t="shared" si="89"/>
        <v>3.05</v>
      </c>
      <c r="N2013" s="338">
        <f t="shared" si="89"/>
        <v>3.05</v>
      </c>
      <c r="O2013" s="338"/>
    </row>
    <row r="2014" spans="1:15" hidden="1" outlineLevel="2" x14ac:dyDescent="0.35">
      <c r="A2014" s="425" t="s">
        <v>105</v>
      </c>
      <c r="B2014" s="327">
        <v>44203</v>
      </c>
      <c r="C2014" s="426" t="s">
        <v>10686</v>
      </c>
      <c r="D2014" s="427" t="s">
        <v>10687</v>
      </c>
      <c r="E2014" s="426" t="s">
        <v>10688</v>
      </c>
      <c r="F2014" s="338">
        <v>42.71</v>
      </c>
      <c r="G2014" s="338" t="s">
        <v>56</v>
      </c>
      <c r="H2014" s="338"/>
      <c r="I2014" s="329">
        <v>42.71</v>
      </c>
      <c r="J2014" s="329"/>
      <c r="K2014" s="338">
        <f t="shared" si="89"/>
        <v>10.6775</v>
      </c>
      <c r="L2014" s="338">
        <f t="shared" si="89"/>
        <v>10.6775</v>
      </c>
      <c r="M2014" s="338">
        <f t="shared" si="89"/>
        <v>10.6775</v>
      </c>
      <c r="N2014" s="338">
        <f t="shared" si="89"/>
        <v>10.6775</v>
      </c>
      <c r="O2014" s="338"/>
    </row>
    <row r="2015" spans="1:15" hidden="1" outlineLevel="2" x14ac:dyDescent="0.35">
      <c r="A2015" s="425" t="s">
        <v>105</v>
      </c>
      <c r="B2015" s="327">
        <v>44203</v>
      </c>
      <c r="C2015" s="426" t="s">
        <v>10689</v>
      </c>
      <c r="D2015" s="427" t="s">
        <v>10690</v>
      </c>
      <c r="E2015" s="426" t="s">
        <v>5058</v>
      </c>
      <c r="F2015" s="338">
        <v>67</v>
      </c>
      <c r="G2015" s="338" t="s">
        <v>56</v>
      </c>
      <c r="H2015" s="338"/>
      <c r="I2015" s="329">
        <v>67</v>
      </c>
      <c r="J2015" s="329"/>
      <c r="K2015" s="338">
        <f t="shared" si="89"/>
        <v>16.75</v>
      </c>
      <c r="L2015" s="338">
        <f t="shared" si="89"/>
        <v>16.75</v>
      </c>
      <c r="M2015" s="338">
        <f t="shared" si="89"/>
        <v>16.75</v>
      </c>
      <c r="N2015" s="338">
        <f t="shared" si="89"/>
        <v>16.75</v>
      </c>
      <c r="O2015" s="338"/>
    </row>
    <row r="2016" spans="1:15" hidden="1" outlineLevel="2" x14ac:dyDescent="0.35">
      <c r="A2016" s="425" t="s">
        <v>105</v>
      </c>
      <c r="B2016" s="327">
        <v>44235</v>
      </c>
      <c r="C2016" s="426" t="s">
        <v>10691</v>
      </c>
      <c r="D2016" s="427" t="s">
        <v>10692</v>
      </c>
      <c r="E2016" s="426" t="s">
        <v>10693</v>
      </c>
      <c r="F2016" s="338">
        <v>46.81</v>
      </c>
      <c r="G2016" s="338" t="s">
        <v>56</v>
      </c>
      <c r="H2016" s="338"/>
      <c r="I2016" s="329">
        <v>46.81</v>
      </c>
      <c r="J2016" s="329"/>
      <c r="K2016" s="338">
        <f t="shared" ref="K2016:N2035" si="90">$I2016/4</f>
        <v>11.702500000000001</v>
      </c>
      <c r="L2016" s="338">
        <f t="shared" si="90"/>
        <v>11.702500000000001</v>
      </c>
      <c r="M2016" s="338">
        <f t="shared" si="90"/>
        <v>11.702500000000001</v>
      </c>
      <c r="N2016" s="338">
        <f t="shared" si="90"/>
        <v>11.702500000000001</v>
      </c>
      <c r="O2016" s="338"/>
    </row>
    <row r="2017" spans="1:15" hidden="1" outlineLevel="2" x14ac:dyDescent="0.35">
      <c r="A2017" s="425" t="s">
        <v>105</v>
      </c>
      <c r="B2017" s="327">
        <v>44203</v>
      </c>
      <c r="C2017" s="426" t="s">
        <v>10694</v>
      </c>
      <c r="D2017" s="427" t="s">
        <v>10695</v>
      </c>
      <c r="E2017" s="426" t="s">
        <v>2731</v>
      </c>
      <c r="F2017" s="338">
        <v>15.8</v>
      </c>
      <c r="G2017" s="338" t="s">
        <v>56</v>
      </c>
      <c r="H2017" s="338"/>
      <c r="I2017" s="329">
        <v>15.8</v>
      </c>
      <c r="J2017" s="329"/>
      <c r="K2017" s="338">
        <f t="shared" si="90"/>
        <v>3.95</v>
      </c>
      <c r="L2017" s="338">
        <f t="shared" si="90"/>
        <v>3.95</v>
      </c>
      <c r="M2017" s="338">
        <f t="shared" si="90"/>
        <v>3.95</v>
      </c>
      <c r="N2017" s="338">
        <f t="shared" si="90"/>
        <v>3.95</v>
      </c>
      <c r="O2017" s="338"/>
    </row>
    <row r="2018" spans="1:15" hidden="1" outlineLevel="2" x14ac:dyDescent="0.35">
      <c r="A2018" s="425" t="s">
        <v>105</v>
      </c>
      <c r="B2018" s="327">
        <v>44235</v>
      </c>
      <c r="C2018" s="426" t="s">
        <v>10696</v>
      </c>
      <c r="D2018" s="427" t="s">
        <v>10697</v>
      </c>
      <c r="E2018" s="426" t="s">
        <v>10698</v>
      </c>
      <c r="F2018" s="338">
        <v>450</v>
      </c>
      <c r="G2018" s="338" t="s">
        <v>56</v>
      </c>
      <c r="H2018" s="338"/>
      <c r="I2018" s="329">
        <v>450</v>
      </c>
      <c r="J2018" s="329"/>
      <c r="K2018" s="338">
        <f t="shared" si="90"/>
        <v>112.5</v>
      </c>
      <c r="L2018" s="338">
        <f t="shared" si="90"/>
        <v>112.5</v>
      </c>
      <c r="M2018" s="338">
        <f t="shared" si="90"/>
        <v>112.5</v>
      </c>
      <c r="N2018" s="338">
        <f t="shared" si="90"/>
        <v>112.5</v>
      </c>
      <c r="O2018" s="338"/>
    </row>
    <row r="2019" spans="1:15" hidden="1" outlineLevel="2" x14ac:dyDescent="0.35">
      <c r="A2019" s="425" t="s">
        <v>105</v>
      </c>
      <c r="B2019" s="327">
        <v>44233</v>
      </c>
      <c r="C2019" s="426" t="s">
        <v>10699</v>
      </c>
      <c r="D2019" s="427" t="s">
        <v>10700</v>
      </c>
      <c r="E2019" s="426" t="s">
        <v>10701</v>
      </c>
      <c r="F2019" s="338">
        <v>56.93</v>
      </c>
      <c r="G2019" s="338" t="s">
        <v>56</v>
      </c>
      <c r="H2019" s="338"/>
      <c r="I2019" s="329">
        <v>56.93</v>
      </c>
      <c r="J2019" s="329"/>
      <c r="K2019" s="338">
        <f t="shared" si="90"/>
        <v>14.2325</v>
      </c>
      <c r="L2019" s="338">
        <f t="shared" si="90"/>
        <v>14.2325</v>
      </c>
      <c r="M2019" s="338">
        <f t="shared" si="90"/>
        <v>14.2325</v>
      </c>
      <c r="N2019" s="338">
        <f t="shared" si="90"/>
        <v>14.2325</v>
      </c>
      <c r="O2019" s="338"/>
    </row>
    <row r="2020" spans="1:15" hidden="1" outlineLevel="2" x14ac:dyDescent="0.35">
      <c r="A2020" s="425" t="s">
        <v>105</v>
      </c>
      <c r="B2020" s="327">
        <v>44237</v>
      </c>
      <c r="C2020" s="426" t="s">
        <v>10702</v>
      </c>
      <c r="D2020" s="427" t="s">
        <v>10703</v>
      </c>
      <c r="E2020" s="426" t="s">
        <v>10704</v>
      </c>
      <c r="F2020" s="338">
        <v>42.82</v>
      </c>
      <c r="G2020" s="338" t="s">
        <v>56</v>
      </c>
      <c r="H2020" s="338"/>
      <c r="I2020" s="329">
        <v>42.82</v>
      </c>
      <c r="J2020" s="329"/>
      <c r="K2020" s="338">
        <f t="shared" si="90"/>
        <v>10.705</v>
      </c>
      <c r="L2020" s="338">
        <f t="shared" si="90"/>
        <v>10.705</v>
      </c>
      <c r="M2020" s="338">
        <f t="shared" si="90"/>
        <v>10.705</v>
      </c>
      <c r="N2020" s="338">
        <f t="shared" si="90"/>
        <v>10.705</v>
      </c>
      <c r="O2020" s="338"/>
    </row>
    <row r="2021" spans="1:15" hidden="1" outlineLevel="2" x14ac:dyDescent="0.35">
      <c r="A2021" s="425" t="s">
        <v>105</v>
      </c>
      <c r="B2021" s="327">
        <v>44305</v>
      </c>
      <c r="C2021" s="426" t="s">
        <v>10705</v>
      </c>
      <c r="D2021" s="427" t="s">
        <v>10706</v>
      </c>
      <c r="E2021" s="426" t="s">
        <v>10617</v>
      </c>
      <c r="F2021" s="338">
        <v>13.17</v>
      </c>
      <c r="G2021" s="338" t="s">
        <v>56</v>
      </c>
      <c r="H2021" s="338"/>
      <c r="I2021" s="329">
        <v>13.17</v>
      </c>
      <c r="J2021" s="329"/>
      <c r="K2021" s="338">
        <f t="shared" si="90"/>
        <v>3.2925</v>
      </c>
      <c r="L2021" s="338">
        <f t="shared" si="90"/>
        <v>3.2925</v>
      </c>
      <c r="M2021" s="338">
        <f t="shared" si="90"/>
        <v>3.2925</v>
      </c>
      <c r="N2021" s="338">
        <f t="shared" si="90"/>
        <v>3.2925</v>
      </c>
      <c r="O2021" s="338"/>
    </row>
    <row r="2022" spans="1:15" hidden="1" outlineLevel="2" x14ac:dyDescent="0.35">
      <c r="A2022" s="425" t="s">
        <v>105</v>
      </c>
      <c r="B2022" s="327">
        <v>44561</v>
      </c>
      <c r="C2022" s="426" t="s">
        <v>10707</v>
      </c>
      <c r="D2022" s="427" t="s">
        <v>10708</v>
      </c>
      <c r="E2022" s="426" t="s">
        <v>10709</v>
      </c>
      <c r="F2022" s="338">
        <v>50.72</v>
      </c>
      <c r="G2022" s="338" t="s">
        <v>56</v>
      </c>
      <c r="H2022" s="338"/>
      <c r="I2022" s="329">
        <v>50.72</v>
      </c>
      <c r="J2022" s="329"/>
      <c r="K2022" s="338">
        <f t="shared" si="90"/>
        <v>12.68</v>
      </c>
      <c r="L2022" s="338">
        <f t="shared" si="90"/>
        <v>12.68</v>
      </c>
      <c r="M2022" s="338">
        <f t="shared" si="90"/>
        <v>12.68</v>
      </c>
      <c r="N2022" s="338">
        <f t="shared" si="90"/>
        <v>12.68</v>
      </c>
      <c r="O2022" s="338"/>
    </row>
    <row r="2023" spans="1:15" hidden="1" outlineLevel="2" x14ac:dyDescent="0.35">
      <c r="A2023" s="425" t="s">
        <v>105</v>
      </c>
      <c r="B2023" s="327">
        <v>44561</v>
      </c>
      <c r="C2023" s="426" t="s">
        <v>10707</v>
      </c>
      <c r="D2023" s="427" t="s">
        <v>10708</v>
      </c>
      <c r="E2023" s="426" t="s">
        <v>10709</v>
      </c>
      <c r="F2023" s="338">
        <v>47</v>
      </c>
      <c r="G2023" s="338" t="s">
        <v>56</v>
      </c>
      <c r="H2023" s="338"/>
      <c r="I2023" s="329">
        <v>47</v>
      </c>
      <c r="J2023" s="329"/>
      <c r="K2023" s="338">
        <f t="shared" si="90"/>
        <v>11.75</v>
      </c>
      <c r="L2023" s="338">
        <f t="shared" si="90"/>
        <v>11.75</v>
      </c>
      <c r="M2023" s="338">
        <f t="shared" si="90"/>
        <v>11.75</v>
      </c>
      <c r="N2023" s="338">
        <f t="shared" si="90"/>
        <v>11.75</v>
      </c>
      <c r="O2023" s="338"/>
    </row>
    <row r="2024" spans="1:15" hidden="1" outlineLevel="2" x14ac:dyDescent="0.35">
      <c r="A2024" s="425" t="s">
        <v>105</v>
      </c>
      <c r="B2024" s="327">
        <v>44561</v>
      </c>
      <c r="C2024" s="426" t="s">
        <v>10707</v>
      </c>
      <c r="D2024" s="427" t="s">
        <v>10708</v>
      </c>
      <c r="E2024" s="426" t="s">
        <v>10709</v>
      </c>
      <c r="F2024" s="338">
        <v>41.98</v>
      </c>
      <c r="G2024" s="338" t="s">
        <v>56</v>
      </c>
      <c r="H2024" s="338"/>
      <c r="I2024" s="329">
        <v>41.98</v>
      </c>
      <c r="J2024" s="329"/>
      <c r="K2024" s="338">
        <f t="shared" si="90"/>
        <v>10.494999999999999</v>
      </c>
      <c r="L2024" s="338">
        <f t="shared" si="90"/>
        <v>10.494999999999999</v>
      </c>
      <c r="M2024" s="338">
        <f t="shared" si="90"/>
        <v>10.494999999999999</v>
      </c>
      <c r="N2024" s="338">
        <f t="shared" si="90"/>
        <v>10.494999999999999</v>
      </c>
      <c r="O2024" s="338"/>
    </row>
    <row r="2025" spans="1:15" hidden="1" outlineLevel="2" x14ac:dyDescent="0.35">
      <c r="A2025" s="425" t="s">
        <v>105</v>
      </c>
      <c r="B2025" s="327">
        <v>44477</v>
      </c>
      <c r="C2025" s="426" t="s">
        <v>10710</v>
      </c>
      <c r="D2025" s="427" t="s">
        <v>10711</v>
      </c>
      <c r="E2025" s="426" t="s">
        <v>2731</v>
      </c>
      <c r="F2025" s="338">
        <v>19.100000000000001</v>
      </c>
      <c r="G2025" s="338" t="s">
        <v>56</v>
      </c>
      <c r="H2025" s="338"/>
      <c r="I2025" s="329">
        <v>19.100000000000001</v>
      </c>
      <c r="J2025" s="329"/>
      <c r="K2025" s="338">
        <f t="shared" si="90"/>
        <v>4.7750000000000004</v>
      </c>
      <c r="L2025" s="338">
        <f t="shared" si="90"/>
        <v>4.7750000000000004</v>
      </c>
      <c r="M2025" s="338">
        <f t="shared" si="90"/>
        <v>4.7750000000000004</v>
      </c>
      <c r="N2025" s="338">
        <f t="shared" si="90"/>
        <v>4.7750000000000004</v>
      </c>
      <c r="O2025" s="338"/>
    </row>
    <row r="2026" spans="1:15" hidden="1" outlineLevel="2" x14ac:dyDescent="0.35">
      <c r="A2026" s="425" t="s">
        <v>105</v>
      </c>
      <c r="B2026" s="327">
        <v>44484</v>
      </c>
      <c r="C2026" s="426" t="s">
        <v>10712</v>
      </c>
      <c r="D2026" s="427" t="s">
        <v>10713</v>
      </c>
      <c r="E2026" s="426" t="s">
        <v>10714</v>
      </c>
      <c r="F2026" s="338">
        <v>38.200000000000003</v>
      </c>
      <c r="G2026" s="338" t="s">
        <v>56</v>
      </c>
      <c r="H2026" s="338"/>
      <c r="I2026" s="329">
        <v>38.200000000000003</v>
      </c>
      <c r="J2026" s="329"/>
      <c r="K2026" s="338">
        <f t="shared" si="90"/>
        <v>9.5500000000000007</v>
      </c>
      <c r="L2026" s="338">
        <f t="shared" si="90"/>
        <v>9.5500000000000007</v>
      </c>
      <c r="M2026" s="338">
        <f t="shared" si="90"/>
        <v>9.5500000000000007</v>
      </c>
      <c r="N2026" s="338">
        <f t="shared" si="90"/>
        <v>9.5500000000000007</v>
      </c>
      <c r="O2026" s="338"/>
    </row>
    <row r="2027" spans="1:15" hidden="1" outlineLevel="2" x14ac:dyDescent="0.35">
      <c r="A2027" s="425" t="s">
        <v>105</v>
      </c>
      <c r="B2027" s="327">
        <v>44282</v>
      </c>
      <c r="C2027" s="426" t="s">
        <v>10715</v>
      </c>
      <c r="D2027" s="427" t="s">
        <v>10716</v>
      </c>
      <c r="E2027" s="426" t="s">
        <v>10717</v>
      </c>
      <c r="F2027" s="338">
        <v>107.7</v>
      </c>
      <c r="G2027" s="338" t="s">
        <v>56</v>
      </c>
      <c r="H2027" s="338"/>
      <c r="I2027" s="329">
        <v>107.7</v>
      </c>
      <c r="J2027" s="329"/>
      <c r="K2027" s="338">
        <f t="shared" si="90"/>
        <v>26.925000000000001</v>
      </c>
      <c r="L2027" s="338">
        <f t="shared" si="90"/>
        <v>26.925000000000001</v>
      </c>
      <c r="M2027" s="338">
        <f t="shared" si="90"/>
        <v>26.925000000000001</v>
      </c>
      <c r="N2027" s="338">
        <f t="shared" si="90"/>
        <v>26.925000000000001</v>
      </c>
      <c r="O2027" s="338"/>
    </row>
    <row r="2028" spans="1:15" hidden="1" outlineLevel="2" x14ac:dyDescent="0.35">
      <c r="A2028" s="425" t="s">
        <v>105</v>
      </c>
      <c r="B2028" s="327">
        <v>44221</v>
      </c>
      <c r="C2028" s="426" t="s">
        <v>10718</v>
      </c>
      <c r="D2028" s="427" t="s">
        <v>10719</v>
      </c>
      <c r="E2028" s="426" t="s">
        <v>10720</v>
      </c>
      <c r="F2028" s="338">
        <v>50.21</v>
      </c>
      <c r="G2028" s="338" t="s">
        <v>56</v>
      </c>
      <c r="H2028" s="338"/>
      <c r="I2028" s="329">
        <v>50.21</v>
      </c>
      <c r="J2028" s="329"/>
      <c r="K2028" s="338">
        <f t="shared" si="90"/>
        <v>12.5525</v>
      </c>
      <c r="L2028" s="338">
        <f t="shared" si="90"/>
        <v>12.5525</v>
      </c>
      <c r="M2028" s="338">
        <f t="shared" si="90"/>
        <v>12.5525</v>
      </c>
      <c r="N2028" s="338">
        <f t="shared" si="90"/>
        <v>12.5525</v>
      </c>
      <c r="O2028" s="338"/>
    </row>
    <row r="2029" spans="1:15" hidden="1" outlineLevel="2" x14ac:dyDescent="0.35">
      <c r="A2029" s="425" t="s">
        <v>105</v>
      </c>
      <c r="B2029" s="327">
        <v>44312</v>
      </c>
      <c r="C2029" s="426" t="s">
        <v>10721</v>
      </c>
      <c r="D2029" s="427" t="s">
        <v>10722</v>
      </c>
      <c r="E2029" s="426" t="s">
        <v>10723</v>
      </c>
      <c r="F2029" s="338">
        <v>70.650000000000006</v>
      </c>
      <c r="G2029" s="338" t="s">
        <v>56</v>
      </c>
      <c r="H2029" s="338"/>
      <c r="I2029" s="329">
        <v>70.650000000000006</v>
      </c>
      <c r="J2029" s="329"/>
      <c r="K2029" s="338">
        <f t="shared" si="90"/>
        <v>17.662500000000001</v>
      </c>
      <c r="L2029" s="338">
        <f t="shared" si="90"/>
        <v>17.662500000000001</v>
      </c>
      <c r="M2029" s="338">
        <f t="shared" si="90"/>
        <v>17.662500000000001</v>
      </c>
      <c r="N2029" s="338">
        <f t="shared" si="90"/>
        <v>17.662500000000001</v>
      </c>
      <c r="O2029" s="338"/>
    </row>
    <row r="2030" spans="1:15" hidden="1" outlineLevel="2" x14ac:dyDescent="0.35">
      <c r="A2030" s="425" t="s">
        <v>105</v>
      </c>
      <c r="B2030" s="327">
        <v>44323</v>
      </c>
      <c r="C2030" s="426" t="s">
        <v>10724</v>
      </c>
      <c r="D2030" s="427" t="s">
        <v>10725</v>
      </c>
      <c r="E2030" s="426" t="s">
        <v>10723</v>
      </c>
      <c r="F2030" s="338">
        <v>53.94</v>
      </c>
      <c r="G2030" s="338" t="s">
        <v>56</v>
      </c>
      <c r="H2030" s="338"/>
      <c r="I2030" s="329">
        <v>53.94</v>
      </c>
      <c r="J2030" s="329"/>
      <c r="K2030" s="338">
        <f t="shared" si="90"/>
        <v>13.484999999999999</v>
      </c>
      <c r="L2030" s="338">
        <f t="shared" si="90"/>
        <v>13.484999999999999</v>
      </c>
      <c r="M2030" s="338">
        <f t="shared" si="90"/>
        <v>13.484999999999999</v>
      </c>
      <c r="N2030" s="338">
        <f t="shared" si="90"/>
        <v>13.484999999999999</v>
      </c>
      <c r="O2030" s="338"/>
    </row>
    <row r="2031" spans="1:15" hidden="1" outlineLevel="2" x14ac:dyDescent="0.35">
      <c r="A2031" s="425" t="s">
        <v>105</v>
      </c>
      <c r="B2031" s="327">
        <v>44284</v>
      </c>
      <c r="C2031" s="426" t="s">
        <v>10726</v>
      </c>
      <c r="D2031" s="427" t="s">
        <v>10727</v>
      </c>
      <c r="E2031" s="426" t="s">
        <v>10723</v>
      </c>
      <c r="F2031" s="338">
        <v>59.3</v>
      </c>
      <c r="G2031" s="338" t="s">
        <v>56</v>
      </c>
      <c r="H2031" s="338"/>
      <c r="I2031" s="329">
        <v>59.3</v>
      </c>
      <c r="J2031" s="329"/>
      <c r="K2031" s="338">
        <f t="shared" si="90"/>
        <v>14.824999999999999</v>
      </c>
      <c r="L2031" s="338">
        <f t="shared" si="90"/>
        <v>14.824999999999999</v>
      </c>
      <c r="M2031" s="338">
        <f t="shared" si="90"/>
        <v>14.824999999999999</v>
      </c>
      <c r="N2031" s="338">
        <f t="shared" si="90"/>
        <v>14.824999999999999</v>
      </c>
      <c r="O2031" s="338"/>
    </row>
    <row r="2032" spans="1:15" hidden="1" outlineLevel="2" x14ac:dyDescent="0.35">
      <c r="A2032" s="425" t="s">
        <v>105</v>
      </c>
      <c r="B2032" s="327">
        <v>44484</v>
      </c>
      <c r="C2032" s="426" t="s">
        <v>10728</v>
      </c>
      <c r="D2032" s="427" t="s">
        <v>10729</v>
      </c>
      <c r="E2032" s="426" t="s">
        <v>10730</v>
      </c>
      <c r="F2032" s="338">
        <v>2.5</v>
      </c>
      <c r="G2032" s="338" t="s">
        <v>56</v>
      </c>
      <c r="H2032" s="338"/>
      <c r="I2032" s="329">
        <v>2.5</v>
      </c>
      <c r="J2032" s="329"/>
      <c r="K2032" s="338">
        <f t="shared" si="90"/>
        <v>0.625</v>
      </c>
      <c r="L2032" s="338">
        <f t="shared" si="90"/>
        <v>0.625</v>
      </c>
      <c r="M2032" s="338">
        <f t="shared" si="90"/>
        <v>0.625</v>
      </c>
      <c r="N2032" s="338">
        <f t="shared" si="90"/>
        <v>0.625</v>
      </c>
      <c r="O2032" s="338"/>
    </row>
    <row r="2033" spans="1:15" hidden="1" outlineLevel="2" x14ac:dyDescent="0.35">
      <c r="A2033" s="425" t="s">
        <v>105</v>
      </c>
      <c r="B2033" s="327">
        <v>44530</v>
      </c>
      <c r="C2033" s="426" t="s">
        <v>10731</v>
      </c>
      <c r="D2033" s="427" t="s">
        <v>10732</v>
      </c>
      <c r="E2033" s="426" t="s">
        <v>10733</v>
      </c>
      <c r="F2033" s="338">
        <v>92.36</v>
      </c>
      <c r="G2033" s="338" t="s">
        <v>56</v>
      </c>
      <c r="H2033" s="338"/>
      <c r="I2033" s="329">
        <v>92.36</v>
      </c>
      <c r="J2033" s="329"/>
      <c r="K2033" s="338">
        <f t="shared" si="90"/>
        <v>23.09</v>
      </c>
      <c r="L2033" s="338">
        <f t="shared" si="90"/>
        <v>23.09</v>
      </c>
      <c r="M2033" s="338">
        <f t="shared" si="90"/>
        <v>23.09</v>
      </c>
      <c r="N2033" s="338">
        <f t="shared" si="90"/>
        <v>23.09</v>
      </c>
      <c r="O2033" s="338"/>
    </row>
    <row r="2034" spans="1:15" hidden="1" outlineLevel="2" x14ac:dyDescent="0.35">
      <c r="A2034" s="425" t="s">
        <v>105</v>
      </c>
      <c r="B2034" s="327">
        <v>44477</v>
      </c>
      <c r="C2034" s="426" t="s">
        <v>10734</v>
      </c>
      <c r="D2034" s="427" t="s">
        <v>10735</v>
      </c>
      <c r="E2034" s="426" t="s">
        <v>10736</v>
      </c>
      <c r="F2034" s="338">
        <v>50</v>
      </c>
      <c r="G2034" s="338" t="s">
        <v>56</v>
      </c>
      <c r="H2034" s="338"/>
      <c r="I2034" s="329">
        <v>50</v>
      </c>
      <c r="J2034" s="329"/>
      <c r="K2034" s="338">
        <f t="shared" si="90"/>
        <v>12.5</v>
      </c>
      <c r="L2034" s="338">
        <f t="shared" si="90"/>
        <v>12.5</v>
      </c>
      <c r="M2034" s="338">
        <f t="shared" si="90"/>
        <v>12.5</v>
      </c>
      <c r="N2034" s="338">
        <f t="shared" si="90"/>
        <v>12.5</v>
      </c>
      <c r="O2034" s="338"/>
    </row>
    <row r="2035" spans="1:15" hidden="1" outlineLevel="2" x14ac:dyDescent="0.35">
      <c r="A2035" s="425" t="s">
        <v>105</v>
      </c>
      <c r="B2035" s="327">
        <v>44531</v>
      </c>
      <c r="C2035" s="426" t="s">
        <v>10737</v>
      </c>
      <c r="D2035" s="427" t="s">
        <v>10738</v>
      </c>
      <c r="E2035" s="426" t="s">
        <v>10739</v>
      </c>
      <c r="F2035" s="338">
        <v>139.9</v>
      </c>
      <c r="G2035" s="338" t="s">
        <v>56</v>
      </c>
      <c r="H2035" s="338"/>
      <c r="I2035" s="329">
        <v>139.9</v>
      </c>
      <c r="J2035" s="329"/>
      <c r="K2035" s="338">
        <f t="shared" si="90"/>
        <v>34.975000000000001</v>
      </c>
      <c r="L2035" s="338">
        <f t="shared" si="90"/>
        <v>34.975000000000001</v>
      </c>
      <c r="M2035" s="338">
        <f t="shared" si="90"/>
        <v>34.975000000000001</v>
      </c>
      <c r="N2035" s="338">
        <f t="shared" si="90"/>
        <v>34.975000000000001</v>
      </c>
      <c r="O2035" s="338"/>
    </row>
    <row r="2036" spans="1:15" hidden="1" outlineLevel="2" x14ac:dyDescent="0.35">
      <c r="A2036" s="425" t="s">
        <v>105</v>
      </c>
      <c r="B2036" s="327">
        <v>44215</v>
      </c>
      <c r="C2036" s="426" t="s">
        <v>10740</v>
      </c>
      <c r="D2036" s="427" t="s">
        <v>10741</v>
      </c>
      <c r="E2036" s="426" t="s">
        <v>9957</v>
      </c>
      <c r="F2036" s="338">
        <v>1104.6099999999999</v>
      </c>
      <c r="G2036" s="338" t="s">
        <v>56</v>
      </c>
      <c r="H2036" s="338"/>
      <c r="I2036" s="329">
        <v>1104.6099999999999</v>
      </c>
      <c r="J2036" s="329"/>
      <c r="K2036" s="338">
        <f t="shared" ref="K2036:N2055" si="91">$I2036/4</f>
        <v>276.15249999999997</v>
      </c>
      <c r="L2036" s="338">
        <f t="shared" si="91"/>
        <v>276.15249999999997</v>
      </c>
      <c r="M2036" s="338">
        <f t="shared" si="91"/>
        <v>276.15249999999997</v>
      </c>
      <c r="N2036" s="338">
        <f t="shared" si="91"/>
        <v>276.15249999999997</v>
      </c>
      <c r="O2036" s="338"/>
    </row>
    <row r="2037" spans="1:15" hidden="1" outlineLevel="2" x14ac:dyDescent="0.35">
      <c r="A2037" s="425" t="s">
        <v>105</v>
      </c>
      <c r="B2037" s="327">
        <v>44477</v>
      </c>
      <c r="C2037" s="426" t="s">
        <v>10742</v>
      </c>
      <c r="D2037" s="427" t="s">
        <v>10743</v>
      </c>
      <c r="E2037" s="426" t="s">
        <v>10744</v>
      </c>
      <c r="F2037" s="338">
        <v>30</v>
      </c>
      <c r="G2037" s="338" t="s">
        <v>56</v>
      </c>
      <c r="H2037" s="338"/>
      <c r="I2037" s="329">
        <v>30</v>
      </c>
      <c r="J2037" s="329"/>
      <c r="K2037" s="338">
        <f t="shared" si="91"/>
        <v>7.5</v>
      </c>
      <c r="L2037" s="338">
        <f t="shared" si="91"/>
        <v>7.5</v>
      </c>
      <c r="M2037" s="338">
        <f t="shared" si="91"/>
        <v>7.5</v>
      </c>
      <c r="N2037" s="338">
        <f t="shared" si="91"/>
        <v>7.5</v>
      </c>
      <c r="O2037" s="338"/>
    </row>
    <row r="2038" spans="1:15" hidden="1" outlineLevel="2" x14ac:dyDescent="0.35">
      <c r="A2038" s="425" t="s">
        <v>105</v>
      </c>
      <c r="B2038" s="327">
        <v>44203</v>
      </c>
      <c r="C2038" s="426" t="s">
        <v>10745</v>
      </c>
      <c r="D2038" s="427" t="s">
        <v>10746</v>
      </c>
      <c r="E2038" s="426" t="s">
        <v>5058</v>
      </c>
      <c r="F2038" s="338">
        <v>56.77</v>
      </c>
      <c r="G2038" s="338" t="s">
        <v>56</v>
      </c>
      <c r="H2038" s="338"/>
      <c r="I2038" s="329">
        <v>56.77</v>
      </c>
      <c r="J2038" s="329"/>
      <c r="K2038" s="338">
        <f t="shared" si="91"/>
        <v>14.192500000000001</v>
      </c>
      <c r="L2038" s="338">
        <f t="shared" si="91"/>
        <v>14.192500000000001</v>
      </c>
      <c r="M2038" s="338">
        <f t="shared" si="91"/>
        <v>14.192500000000001</v>
      </c>
      <c r="N2038" s="338">
        <f t="shared" si="91"/>
        <v>14.192500000000001</v>
      </c>
      <c r="O2038" s="338"/>
    </row>
    <row r="2039" spans="1:15" hidden="1" outlineLevel="2" x14ac:dyDescent="0.35">
      <c r="A2039" s="425" t="s">
        <v>105</v>
      </c>
      <c r="B2039" s="327">
        <v>44484</v>
      </c>
      <c r="C2039" s="426" t="s">
        <v>10747</v>
      </c>
      <c r="D2039" s="427" t="s">
        <v>10748</v>
      </c>
      <c r="E2039" s="426" t="s">
        <v>2731</v>
      </c>
      <c r="F2039" s="338">
        <v>9.1999999999999993</v>
      </c>
      <c r="G2039" s="338" t="s">
        <v>56</v>
      </c>
      <c r="H2039" s="338"/>
      <c r="I2039" s="329">
        <v>9.1999999999999993</v>
      </c>
      <c r="J2039" s="329"/>
      <c r="K2039" s="338">
        <f t="shared" si="91"/>
        <v>2.2999999999999998</v>
      </c>
      <c r="L2039" s="338">
        <f t="shared" si="91"/>
        <v>2.2999999999999998</v>
      </c>
      <c r="M2039" s="338">
        <f t="shared" si="91"/>
        <v>2.2999999999999998</v>
      </c>
      <c r="N2039" s="338">
        <f t="shared" si="91"/>
        <v>2.2999999999999998</v>
      </c>
      <c r="O2039" s="338"/>
    </row>
    <row r="2040" spans="1:15" hidden="1" outlineLevel="2" x14ac:dyDescent="0.35">
      <c r="A2040" s="425" t="s">
        <v>105</v>
      </c>
      <c r="B2040" s="327">
        <v>44483</v>
      </c>
      <c r="C2040" s="426" t="s">
        <v>10749</v>
      </c>
      <c r="D2040" s="427" t="s">
        <v>10750</v>
      </c>
      <c r="E2040" s="426" t="s">
        <v>2731</v>
      </c>
      <c r="F2040" s="338">
        <v>9.1999999999999993</v>
      </c>
      <c r="G2040" s="338" t="s">
        <v>56</v>
      </c>
      <c r="H2040" s="338"/>
      <c r="I2040" s="329">
        <v>9.1999999999999993</v>
      </c>
      <c r="J2040" s="329"/>
      <c r="K2040" s="338">
        <f t="shared" si="91"/>
        <v>2.2999999999999998</v>
      </c>
      <c r="L2040" s="338">
        <f t="shared" si="91"/>
        <v>2.2999999999999998</v>
      </c>
      <c r="M2040" s="338">
        <f t="shared" si="91"/>
        <v>2.2999999999999998</v>
      </c>
      <c r="N2040" s="338">
        <f t="shared" si="91"/>
        <v>2.2999999999999998</v>
      </c>
      <c r="O2040" s="338"/>
    </row>
    <row r="2041" spans="1:15" hidden="1" outlineLevel="2" x14ac:dyDescent="0.35">
      <c r="A2041" s="425" t="s">
        <v>105</v>
      </c>
      <c r="B2041" s="327">
        <v>44483</v>
      </c>
      <c r="C2041" s="426" t="s">
        <v>10751</v>
      </c>
      <c r="D2041" s="427" t="s">
        <v>10752</v>
      </c>
      <c r="E2041" s="426" t="s">
        <v>2731</v>
      </c>
      <c r="F2041" s="338">
        <v>9.1999999999999993</v>
      </c>
      <c r="G2041" s="338" t="s">
        <v>56</v>
      </c>
      <c r="H2041" s="338"/>
      <c r="I2041" s="329">
        <v>9.1999999999999993</v>
      </c>
      <c r="J2041" s="329"/>
      <c r="K2041" s="338">
        <f t="shared" si="91"/>
        <v>2.2999999999999998</v>
      </c>
      <c r="L2041" s="338">
        <f t="shared" si="91"/>
        <v>2.2999999999999998</v>
      </c>
      <c r="M2041" s="338">
        <f t="shared" si="91"/>
        <v>2.2999999999999998</v>
      </c>
      <c r="N2041" s="338">
        <f t="shared" si="91"/>
        <v>2.2999999999999998</v>
      </c>
      <c r="O2041" s="338"/>
    </row>
    <row r="2042" spans="1:15" hidden="1" outlineLevel="2" x14ac:dyDescent="0.35">
      <c r="A2042" s="425" t="s">
        <v>105</v>
      </c>
      <c r="B2042" s="327">
        <v>44477</v>
      </c>
      <c r="C2042" s="426" t="s">
        <v>10753</v>
      </c>
      <c r="D2042" s="427" t="s">
        <v>10754</v>
      </c>
      <c r="E2042" s="426" t="s">
        <v>2731</v>
      </c>
      <c r="F2042" s="338">
        <v>15.9</v>
      </c>
      <c r="G2042" s="338" t="s">
        <v>56</v>
      </c>
      <c r="H2042" s="338"/>
      <c r="I2042" s="329">
        <v>15.9</v>
      </c>
      <c r="J2042" s="329"/>
      <c r="K2042" s="338">
        <f t="shared" si="91"/>
        <v>3.9750000000000001</v>
      </c>
      <c r="L2042" s="338">
        <f t="shared" si="91"/>
        <v>3.9750000000000001</v>
      </c>
      <c r="M2042" s="338">
        <f t="shared" si="91"/>
        <v>3.9750000000000001</v>
      </c>
      <c r="N2042" s="338">
        <f t="shared" si="91"/>
        <v>3.9750000000000001</v>
      </c>
      <c r="O2042" s="338"/>
    </row>
    <row r="2043" spans="1:15" hidden="1" outlineLevel="2" x14ac:dyDescent="0.35">
      <c r="A2043" s="425" t="s">
        <v>105</v>
      </c>
      <c r="B2043" s="327">
        <v>44484</v>
      </c>
      <c r="C2043" s="426" t="s">
        <v>10755</v>
      </c>
      <c r="D2043" s="427" t="s">
        <v>10756</v>
      </c>
      <c r="E2043" s="426" t="s">
        <v>2731</v>
      </c>
      <c r="F2043" s="338">
        <v>9.1999999999999993</v>
      </c>
      <c r="G2043" s="338" t="s">
        <v>56</v>
      </c>
      <c r="H2043" s="338"/>
      <c r="I2043" s="329">
        <v>9.1999999999999993</v>
      </c>
      <c r="J2043" s="329"/>
      <c r="K2043" s="338">
        <f t="shared" si="91"/>
        <v>2.2999999999999998</v>
      </c>
      <c r="L2043" s="338">
        <f t="shared" si="91"/>
        <v>2.2999999999999998</v>
      </c>
      <c r="M2043" s="338">
        <f t="shared" si="91"/>
        <v>2.2999999999999998</v>
      </c>
      <c r="N2043" s="338">
        <f t="shared" si="91"/>
        <v>2.2999999999999998</v>
      </c>
      <c r="O2043" s="338"/>
    </row>
    <row r="2044" spans="1:15" hidden="1" outlineLevel="2" x14ac:dyDescent="0.35">
      <c r="A2044" s="425" t="s">
        <v>105</v>
      </c>
      <c r="B2044" s="327">
        <v>44491</v>
      </c>
      <c r="C2044" s="426" t="s">
        <v>10757</v>
      </c>
      <c r="D2044" s="427" t="s">
        <v>10758</v>
      </c>
      <c r="E2044" s="426" t="s">
        <v>2731</v>
      </c>
      <c r="F2044" s="338">
        <v>15.9</v>
      </c>
      <c r="G2044" s="338" t="s">
        <v>56</v>
      </c>
      <c r="H2044" s="338"/>
      <c r="I2044" s="329">
        <v>15.9</v>
      </c>
      <c r="J2044" s="329"/>
      <c r="K2044" s="338">
        <f t="shared" si="91"/>
        <v>3.9750000000000001</v>
      </c>
      <c r="L2044" s="338">
        <f t="shared" si="91"/>
        <v>3.9750000000000001</v>
      </c>
      <c r="M2044" s="338">
        <f t="shared" si="91"/>
        <v>3.9750000000000001</v>
      </c>
      <c r="N2044" s="338">
        <f t="shared" si="91"/>
        <v>3.9750000000000001</v>
      </c>
      <c r="O2044" s="338"/>
    </row>
    <row r="2045" spans="1:15" hidden="1" outlineLevel="2" x14ac:dyDescent="0.35">
      <c r="A2045" s="425" t="s">
        <v>105</v>
      </c>
      <c r="B2045" s="327">
        <v>44496</v>
      </c>
      <c r="C2045" s="426" t="s">
        <v>10759</v>
      </c>
      <c r="D2045" s="427" t="s">
        <v>10760</v>
      </c>
      <c r="E2045" s="426" t="s">
        <v>10761</v>
      </c>
      <c r="F2045" s="338">
        <v>59.26</v>
      </c>
      <c r="G2045" s="338" t="s">
        <v>56</v>
      </c>
      <c r="H2045" s="338"/>
      <c r="I2045" s="329">
        <v>59.26</v>
      </c>
      <c r="J2045" s="329"/>
      <c r="K2045" s="338">
        <f t="shared" si="91"/>
        <v>14.815</v>
      </c>
      <c r="L2045" s="338">
        <f t="shared" si="91"/>
        <v>14.815</v>
      </c>
      <c r="M2045" s="338">
        <f t="shared" si="91"/>
        <v>14.815</v>
      </c>
      <c r="N2045" s="338">
        <f t="shared" si="91"/>
        <v>14.815</v>
      </c>
      <c r="O2045" s="338"/>
    </row>
    <row r="2046" spans="1:15" hidden="1" outlineLevel="2" x14ac:dyDescent="0.35">
      <c r="A2046" s="425" t="s">
        <v>105</v>
      </c>
      <c r="B2046" s="327">
        <v>44491</v>
      </c>
      <c r="C2046" s="426" t="s">
        <v>10762</v>
      </c>
      <c r="D2046" s="427" t="s">
        <v>10763</v>
      </c>
      <c r="E2046" s="426" t="s">
        <v>10764</v>
      </c>
      <c r="F2046" s="338">
        <v>8.5</v>
      </c>
      <c r="G2046" s="338" t="s">
        <v>56</v>
      </c>
      <c r="H2046" s="338"/>
      <c r="I2046" s="329">
        <v>8.5</v>
      </c>
      <c r="J2046" s="329"/>
      <c r="K2046" s="338">
        <f t="shared" si="91"/>
        <v>2.125</v>
      </c>
      <c r="L2046" s="338">
        <f t="shared" si="91"/>
        <v>2.125</v>
      </c>
      <c r="M2046" s="338">
        <f t="shared" si="91"/>
        <v>2.125</v>
      </c>
      <c r="N2046" s="338">
        <f t="shared" si="91"/>
        <v>2.125</v>
      </c>
      <c r="O2046" s="338"/>
    </row>
    <row r="2047" spans="1:15" hidden="1" outlineLevel="2" x14ac:dyDescent="0.35">
      <c r="A2047" s="425" t="s">
        <v>105</v>
      </c>
      <c r="B2047" s="327">
        <v>44362</v>
      </c>
      <c r="C2047" s="426" t="s">
        <v>10765</v>
      </c>
      <c r="D2047" s="427" t="s">
        <v>10766</v>
      </c>
      <c r="E2047" s="426" t="s">
        <v>9204</v>
      </c>
      <c r="F2047" s="338">
        <v>36.049999999999997</v>
      </c>
      <c r="G2047" s="338" t="s">
        <v>56</v>
      </c>
      <c r="H2047" s="338"/>
      <c r="I2047" s="329">
        <v>36.049999999999997</v>
      </c>
      <c r="J2047" s="329"/>
      <c r="K2047" s="338">
        <f t="shared" si="91"/>
        <v>9.0124999999999993</v>
      </c>
      <c r="L2047" s="338">
        <f t="shared" si="91"/>
        <v>9.0124999999999993</v>
      </c>
      <c r="M2047" s="338">
        <f t="shared" si="91"/>
        <v>9.0124999999999993</v>
      </c>
      <c r="N2047" s="338">
        <f t="shared" si="91"/>
        <v>9.0124999999999993</v>
      </c>
      <c r="O2047" s="338"/>
    </row>
    <row r="2048" spans="1:15" hidden="1" outlineLevel="2" x14ac:dyDescent="0.35">
      <c r="A2048" s="425" t="s">
        <v>105</v>
      </c>
      <c r="B2048" s="327">
        <v>44476</v>
      </c>
      <c r="C2048" s="426" t="s">
        <v>10767</v>
      </c>
      <c r="D2048" s="427" t="s">
        <v>10768</v>
      </c>
      <c r="E2048" s="426" t="s">
        <v>9204</v>
      </c>
      <c r="F2048" s="338">
        <v>36.94</v>
      </c>
      <c r="G2048" s="338" t="s">
        <v>56</v>
      </c>
      <c r="H2048" s="338"/>
      <c r="I2048" s="329">
        <v>36.94</v>
      </c>
      <c r="J2048" s="329"/>
      <c r="K2048" s="338">
        <f t="shared" si="91"/>
        <v>9.2349999999999994</v>
      </c>
      <c r="L2048" s="338">
        <f t="shared" si="91"/>
        <v>9.2349999999999994</v>
      </c>
      <c r="M2048" s="338">
        <f t="shared" si="91"/>
        <v>9.2349999999999994</v>
      </c>
      <c r="N2048" s="338">
        <f t="shared" si="91"/>
        <v>9.2349999999999994</v>
      </c>
      <c r="O2048" s="338"/>
    </row>
    <row r="2049" spans="1:15" hidden="1" outlineLevel="2" x14ac:dyDescent="0.35">
      <c r="A2049" s="425" t="s">
        <v>105</v>
      </c>
      <c r="B2049" s="327">
        <v>44509</v>
      </c>
      <c r="C2049" s="426" t="s">
        <v>10769</v>
      </c>
      <c r="D2049" s="427" t="s">
        <v>10770</v>
      </c>
      <c r="E2049" s="426" t="s">
        <v>9204</v>
      </c>
      <c r="F2049" s="338">
        <v>92.4</v>
      </c>
      <c r="G2049" s="338" t="s">
        <v>56</v>
      </c>
      <c r="H2049" s="338"/>
      <c r="I2049" s="329">
        <v>92.4</v>
      </c>
      <c r="J2049" s="329"/>
      <c r="K2049" s="338">
        <f t="shared" si="91"/>
        <v>23.1</v>
      </c>
      <c r="L2049" s="338">
        <f t="shared" si="91"/>
        <v>23.1</v>
      </c>
      <c r="M2049" s="338">
        <f t="shared" si="91"/>
        <v>23.1</v>
      </c>
      <c r="N2049" s="338">
        <f t="shared" si="91"/>
        <v>23.1</v>
      </c>
      <c r="O2049" s="338"/>
    </row>
    <row r="2050" spans="1:15" hidden="1" outlineLevel="2" x14ac:dyDescent="0.35">
      <c r="A2050" s="425" t="s">
        <v>105</v>
      </c>
      <c r="B2050" s="327">
        <v>44512</v>
      </c>
      <c r="C2050" s="426" t="s">
        <v>10771</v>
      </c>
      <c r="D2050" s="427" t="s">
        <v>10772</v>
      </c>
      <c r="E2050" s="426" t="s">
        <v>10704</v>
      </c>
      <c r="F2050" s="338">
        <v>75.5</v>
      </c>
      <c r="G2050" s="338" t="s">
        <v>56</v>
      </c>
      <c r="H2050" s="338"/>
      <c r="I2050" s="329">
        <v>75.5</v>
      </c>
      <c r="J2050" s="329"/>
      <c r="K2050" s="338">
        <f t="shared" si="91"/>
        <v>18.875</v>
      </c>
      <c r="L2050" s="338">
        <f t="shared" si="91"/>
        <v>18.875</v>
      </c>
      <c r="M2050" s="338">
        <f t="shared" si="91"/>
        <v>18.875</v>
      </c>
      <c r="N2050" s="338">
        <f t="shared" si="91"/>
        <v>18.875</v>
      </c>
      <c r="O2050" s="338"/>
    </row>
    <row r="2051" spans="1:15" hidden="1" outlineLevel="2" x14ac:dyDescent="0.35">
      <c r="A2051" s="425" t="s">
        <v>105</v>
      </c>
      <c r="B2051" s="327">
        <v>44512</v>
      </c>
      <c r="C2051" s="426" t="s">
        <v>10773</v>
      </c>
      <c r="D2051" s="427" t="s">
        <v>10774</v>
      </c>
      <c r="E2051" s="426" t="s">
        <v>10704</v>
      </c>
      <c r="F2051" s="338">
        <v>25.17</v>
      </c>
      <c r="G2051" s="338" t="s">
        <v>56</v>
      </c>
      <c r="H2051" s="338"/>
      <c r="I2051" s="329">
        <v>25.17</v>
      </c>
      <c r="J2051" s="329"/>
      <c r="K2051" s="338">
        <f t="shared" si="91"/>
        <v>6.2925000000000004</v>
      </c>
      <c r="L2051" s="338">
        <f t="shared" si="91"/>
        <v>6.2925000000000004</v>
      </c>
      <c r="M2051" s="338">
        <f t="shared" si="91"/>
        <v>6.2925000000000004</v>
      </c>
      <c r="N2051" s="338">
        <f t="shared" si="91"/>
        <v>6.2925000000000004</v>
      </c>
      <c r="O2051" s="338"/>
    </row>
    <row r="2052" spans="1:15" hidden="1" outlineLevel="2" x14ac:dyDescent="0.35">
      <c r="A2052" s="425" t="s">
        <v>105</v>
      </c>
      <c r="B2052" s="327">
        <v>44338</v>
      </c>
      <c r="C2052" s="426" t="s">
        <v>10775</v>
      </c>
      <c r="D2052" s="427" t="s">
        <v>10776</v>
      </c>
      <c r="E2052" s="426" t="s">
        <v>10777</v>
      </c>
      <c r="F2052" s="338">
        <v>93.01</v>
      </c>
      <c r="G2052" s="338" t="s">
        <v>56</v>
      </c>
      <c r="H2052" s="338"/>
      <c r="I2052" s="329">
        <v>93.01</v>
      </c>
      <c r="J2052" s="329"/>
      <c r="K2052" s="338">
        <f t="shared" si="91"/>
        <v>23.252500000000001</v>
      </c>
      <c r="L2052" s="338">
        <f t="shared" si="91"/>
        <v>23.252500000000001</v>
      </c>
      <c r="M2052" s="338">
        <f t="shared" si="91"/>
        <v>23.252500000000001</v>
      </c>
      <c r="N2052" s="338">
        <f t="shared" si="91"/>
        <v>23.252500000000001</v>
      </c>
      <c r="O2052" s="338"/>
    </row>
    <row r="2053" spans="1:15" hidden="1" outlineLevel="2" x14ac:dyDescent="0.35">
      <c r="A2053" s="425" t="s">
        <v>105</v>
      </c>
      <c r="B2053" s="327">
        <v>44224</v>
      </c>
      <c r="C2053" s="426" t="s">
        <v>10778</v>
      </c>
      <c r="D2053" s="427" t="s">
        <v>10779</v>
      </c>
      <c r="E2053" s="426" t="s">
        <v>10780</v>
      </c>
      <c r="F2053" s="338">
        <v>68.849999999999994</v>
      </c>
      <c r="G2053" s="338" t="s">
        <v>56</v>
      </c>
      <c r="H2053" s="338"/>
      <c r="I2053" s="329">
        <v>68.849999999999994</v>
      </c>
      <c r="J2053" s="329"/>
      <c r="K2053" s="338">
        <f t="shared" si="91"/>
        <v>17.212499999999999</v>
      </c>
      <c r="L2053" s="338">
        <f t="shared" si="91"/>
        <v>17.212499999999999</v>
      </c>
      <c r="M2053" s="338">
        <f t="shared" si="91"/>
        <v>17.212499999999999</v>
      </c>
      <c r="N2053" s="338">
        <f t="shared" si="91"/>
        <v>17.212499999999999</v>
      </c>
      <c r="O2053" s="338"/>
    </row>
    <row r="2054" spans="1:15" hidden="1" outlineLevel="2" x14ac:dyDescent="0.35">
      <c r="A2054" s="425" t="s">
        <v>105</v>
      </c>
      <c r="B2054" s="327">
        <v>44224</v>
      </c>
      <c r="C2054" s="426" t="s">
        <v>10781</v>
      </c>
      <c r="D2054" s="427" t="s">
        <v>10782</v>
      </c>
      <c r="E2054" s="426" t="s">
        <v>10780</v>
      </c>
      <c r="F2054" s="338">
        <v>15.27</v>
      </c>
      <c r="G2054" s="338" t="s">
        <v>56</v>
      </c>
      <c r="H2054" s="338"/>
      <c r="I2054" s="329">
        <v>15.27</v>
      </c>
      <c r="J2054" s="329"/>
      <c r="K2054" s="338">
        <f t="shared" si="91"/>
        <v>3.8174999999999999</v>
      </c>
      <c r="L2054" s="338">
        <f t="shared" si="91"/>
        <v>3.8174999999999999</v>
      </c>
      <c r="M2054" s="338">
        <f t="shared" si="91"/>
        <v>3.8174999999999999</v>
      </c>
      <c r="N2054" s="338">
        <f t="shared" si="91"/>
        <v>3.8174999999999999</v>
      </c>
      <c r="O2054" s="338"/>
    </row>
    <row r="2055" spans="1:15" hidden="1" outlineLevel="2" x14ac:dyDescent="0.35">
      <c r="A2055" s="425" t="s">
        <v>105</v>
      </c>
      <c r="B2055" s="327">
        <v>44234</v>
      </c>
      <c r="C2055" s="426" t="s">
        <v>10783</v>
      </c>
      <c r="D2055" s="427" t="s">
        <v>10784</v>
      </c>
      <c r="E2055" s="426" t="s">
        <v>10785</v>
      </c>
      <c r="F2055" s="338">
        <v>79.33</v>
      </c>
      <c r="G2055" s="338" t="s">
        <v>56</v>
      </c>
      <c r="H2055" s="338"/>
      <c r="I2055" s="329">
        <v>79.33</v>
      </c>
      <c r="J2055" s="329"/>
      <c r="K2055" s="338">
        <f t="shared" si="91"/>
        <v>19.8325</v>
      </c>
      <c r="L2055" s="338">
        <f t="shared" si="91"/>
        <v>19.8325</v>
      </c>
      <c r="M2055" s="338">
        <f t="shared" si="91"/>
        <v>19.8325</v>
      </c>
      <c r="N2055" s="338">
        <f t="shared" si="91"/>
        <v>19.8325</v>
      </c>
      <c r="O2055" s="338"/>
    </row>
    <row r="2056" spans="1:15" hidden="1" outlineLevel="2" x14ac:dyDescent="0.35">
      <c r="A2056" s="425" t="s">
        <v>105</v>
      </c>
      <c r="B2056" s="327">
        <v>44252</v>
      </c>
      <c r="C2056" s="426" t="s">
        <v>10786</v>
      </c>
      <c r="D2056" s="427" t="s">
        <v>10787</v>
      </c>
      <c r="E2056" s="426" t="s">
        <v>10785</v>
      </c>
      <c r="F2056" s="338">
        <v>60.46</v>
      </c>
      <c r="G2056" s="338" t="s">
        <v>56</v>
      </c>
      <c r="H2056" s="338"/>
      <c r="I2056" s="329">
        <v>60.46</v>
      </c>
      <c r="J2056" s="329"/>
      <c r="K2056" s="338">
        <f t="shared" ref="K2056:N2075" si="92">$I2056/4</f>
        <v>15.115</v>
      </c>
      <c r="L2056" s="338">
        <f t="shared" si="92"/>
        <v>15.115</v>
      </c>
      <c r="M2056" s="338">
        <f t="shared" si="92"/>
        <v>15.115</v>
      </c>
      <c r="N2056" s="338">
        <f t="shared" si="92"/>
        <v>15.115</v>
      </c>
      <c r="O2056" s="338"/>
    </row>
    <row r="2057" spans="1:15" hidden="1" outlineLevel="2" x14ac:dyDescent="0.35">
      <c r="A2057" s="425" t="s">
        <v>105</v>
      </c>
      <c r="B2057" s="327">
        <v>44261</v>
      </c>
      <c r="C2057" s="426" t="s">
        <v>10788</v>
      </c>
      <c r="D2057" s="427" t="s">
        <v>10789</v>
      </c>
      <c r="E2057" s="426" t="s">
        <v>10785</v>
      </c>
      <c r="F2057" s="338">
        <v>92.77</v>
      </c>
      <c r="G2057" s="338" t="s">
        <v>56</v>
      </c>
      <c r="H2057" s="338"/>
      <c r="I2057" s="329">
        <v>92.77</v>
      </c>
      <c r="J2057" s="329"/>
      <c r="K2057" s="338">
        <f t="shared" si="92"/>
        <v>23.192499999999999</v>
      </c>
      <c r="L2057" s="338">
        <f t="shared" si="92"/>
        <v>23.192499999999999</v>
      </c>
      <c r="M2057" s="338">
        <f t="shared" si="92"/>
        <v>23.192499999999999</v>
      </c>
      <c r="N2057" s="338">
        <f t="shared" si="92"/>
        <v>23.192499999999999</v>
      </c>
      <c r="O2057" s="338"/>
    </row>
    <row r="2058" spans="1:15" hidden="1" outlineLevel="2" x14ac:dyDescent="0.35">
      <c r="A2058" s="425" t="s">
        <v>105</v>
      </c>
      <c r="B2058" s="327">
        <v>44518</v>
      </c>
      <c r="C2058" s="426" t="s">
        <v>10790</v>
      </c>
      <c r="D2058" s="427" t="s">
        <v>10791</v>
      </c>
      <c r="E2058" s="426" t="s">
        <v>10785</v>
      </c>
      <c r="F2058" s="338">
        <v>103.93</v>
      </c>
      <c r="G2058" s="338" t="s">
        <v>56</v>
      </c>
      <c r="H2058" s="338"/>
      <c r="I2058" s="329">
        <v>103.93</v>
      </c>
      <c r="J2058" s="329"/>
      <c r="K2058" s="338">
        <f t="shared" si="92"/>
        <v>25.982500000000002</v>
      </c>
      <c r="L2058" s="338">
        <f t="shared" si="92"/>
        <v>25.982500000000002</v>
      </c>
      <c r="M2058" s="338">
        <f t="shared" si="92"/>
        <v>25.982500000000002</v>
      </c>
      <c r="N2058" s="338">
        <f t="shared" si="92"/>
        <v>25.982500000000002</v>
      </c>
      <c r="O2058" s="338"/>
    </row>
    <row r="2059" spans="1:15" hidden="1" outlineLevel="2" x14ac:dyDescent="0.35">
      <c r="A2059" s="425" t="s">
        <v>105</v>
      </c>
      <c r="B2059" s="327">
        <v>44528</v>
      </c>
      <c r="C2059" s="426" t="s">
        <v>10792</v>
      </c>
      <c r="D2059" s="427" t="s">
        <v>10793</v>
      </c>
      <c r="E2059" s="426" t="s">
        <v>10785</v>
      </c>
      <c r="F2059" s="338">
        <v>52.91</v>
      </c>
      <c r="G2059" s="338" t="s">
        <v>56</v>
      </c>
      <c r="H2059" s="338"/>
      <c r="I2059" s="329">
        <v>52.91</v>
      </c>
      <c r="J2059" s="329"/>
      <c r="K2059" s="338">
        <f t="shared" si="92"/>
        <v>13.227499999999999</v>
      </c>
      <c r="L2059" s="338">
        <f t="shared" si="92"/>
        <v>13.227499999999999</v>
      </c>
      <c r="M2059" s="338">
        <f t="shared" si="92"/>
        <v>13.227499999999999</v>
      </c>
      <c r="N2059" s="338">
        <f t="shared" si="92"/>
        <v>13.227499999999999</v>
      </c>
      <c r="O2059" s="338"/>
    </row>
    <row r="2060" spans="1:15" hidden="1" outlineLevel="2" x14ac:dyDescent="0.35">
      <c r="A2060" s="425" t="s">
        <v>105</v>
      </c>
      <c r="B2060" s="327">
        <v>44534</v>
      </c>
      <c r="C2060" s="426" t="s">
        <v>10794</v>
      </c>
      <c r="D2060" s="427" t="s">
        <v>10795</v>
      </c>
      <c r="E2060" s="426" t="s">
        <v>10796</v>
      </c>
      <c r="F2060" s="338">
        <v>108.15</v>
      </c>
      <c r="G2060" s="338" t="s">
        <v>56</v>
      </c>
      <c r="H2060" s="338"/>
      <c r="I2060" s="329">
        <v>108.15</v>
      </c>
      <c r="J2060" s="329"/>
      <c r="K2060" s="338">
        <f t="shared" si="92"/>
        <v>27.037500000000001</v>
      </c>
      <c r="L2060" s="338">
        <f t="shared" si="92"/>
        <v>27.037500000000001</v>
      </c>
      <c r="M2060" s="338">
        <f t="shared" si="92"/>
        <v>27.037500000000001</v>
      </c>
      <c r="N2060" s="338">
        <f t="shared" si="92"/>
        <v>27.037500000000001</v>
      </c>
      <c r="O2060" s="338"/>
    </row>
    <row r="2061" spans="1:15" hidden="1" outlineLevel="2" x14ac:dyDescent="0.35">
      <c r="A2061" s="425" t="s">
        <v>105</v>
      </c>
      <c r="B2061" s="327">
        <v>44459</v>
      </c>
      <c r="C2061" s="426" t="s">
        <v>10797</v>
      </c>
      <c r="D2061" s="427" t="s">
        <v>10798</v>
      </c>
      <c r="E2061" s="426" t="s">
        <v>10799</v>
      </c>
      <c r="F2061" s="338">
        <v>46.46</v>
      </c>
      <c r="G2061" s="338" t="s">
        <v>56</v>
      </c>
      <c r="H2061" s="338"/>
      <c r="I2061" s="329">
        <v>46.46</v>
      </c>
      <c r="J2061" s="329"/>
      <c r="K2061" s="338">
        <f t="shared" si="92"/>
        <v>11.615</v>
      </c>
      <c r="L2061" s="338">
        <f t="shared" si="92"/>
        <v>11.615</v>
      </c>
      <c r="M2061" s="338">
        <f t="shared" si="92"/>
        <v>11.615</v>
      </c>
      <c r="N2061" s="338">
        <f t="shared" si="92"/>
        <v>11.615</v>
      </c>
      <c r="O2061" s="338"/>
    </row>
    <row r="2062" spans="1:15" hidden="1" outlineLevel="2" x14ac:dyDescent="0.35">
      <c r="A2062" s="425" t="s">
        <v>105</v>
      </c>
      <c r="B2062" s="327">
        <v>44459</v>
      </c>
      <c r="C2062" s="426" t="s">
        <v>10800</v>
      </c>
      <c r="D2062" s="427" t="s">
        <v>10801</v>
      </c>
      <c r="E2062" s="426" t="s">
        <v>10802</v>
      </c>
      <c r="F2062" s="338">
        <v>86.54</v>
      </c>
      <c r="G2062" s="338" t="s">
        <v>56</v>
      </c>
      <c r="H2062" s="338"/>
      <c r="I2062" s="329">
        <v>86.54</v>
      </c>
      <c r="J2062" s="329"/>
      <c r="K2062" s="338">
        <f t="shared" si="92"/>
        <v>21.635000000000002</v>
      </c>
      <c r="L2062" s="338">
        <f t="shared" si="92"/>
        <v>21.635000000000002</v>
      </c>
      <c r="M2062" s="338">
        <f t="shared" si="92"/>
        <v>21.635000000000002</v>
      </c>
      <c r="N2062" s="338">
        <f t="shared" si="92"/>
        <v>21.635000000000002</v>
      </c>
      <c r="O2062" s="338"/>
    </row>
    <row r="2063" spans="1:15" hidden="1" outlineLevel="2" x14ac:dyDescent="0.35">
      <c r="A2063" s="425" t="s">
        <v>105</v>
      </c>
      <c r="B2063" s="327">
        <v>44474</v>
      </c>
      <c r="C2063" s="426" t="s">
        <v>10803</v>
      </c>
      <c r="D2063" s="427" t="s">
        <v>10804</v>
      </c>
      <c r="E2063" s="426" t="s">
        <v>9962</v>
      </c>
      <c r="F2063" s="338">
        <v>61.75</v>
      </c>
      <c r="G2063" s="338" t="s">
        <v>56</v>
      </c>
      <c r="H2063" s="338"/>
      <c r="I2063" s="329">
        <v>61.75</v>
      </c>
      <c r="J2063" s="329"/>
      <c r="K2063" s="338">
        <f t="shared" si="92"/>
        <v>15.4375</v>
      </c>
      <c r="L2063" s="338">
        <f t="shared" si="92"/>
        <v>15.4375</v>
      </c>
      <c r="M2063" s="338">
        <f t="shared" si="92"/>
        <v>15.4375</v>
      </c>
      <c r="N2063" s="338">
        <f t="shared" si="92"/>
        <v>15.4375</v>
      </c>
      <c r="O2063" s="338"/>
    </row>
    <row r="2064" spans="1:15" hidden="1" outlineLevel="2" x14ac:dyDescent="0.35">
      <c r="A2064" s="425" t="s">
        <v>105</v>
      </c>
      <c r="B2064" s="327">
        <v>44484</v>
      </c>
      <c r="C2064" s="426" t="s">
        <v>10805</v>
      </c>
      <c r="D2064" s="427" t="s">
        <v>10806</v>
      </c>
      <c r="E2064" s="426" t="s">
        <v>10736</v>
      </c>
      <c r="F2064" s="338">
        <v>50</v>
      </c>
      <c r="G2064" s="338" t="s">
        <v>56</v>
      </c>
      <c r="H2064" s="338"/>
      <c r="I2064" s="329">
        <v>50</v>
      </c>
      <c r="J2064" s="329"/>
      <c r="K2064" s="338">
        <f t="shared" si="92"/>
        <v>12.5</v>
      </c>
      <c r="L2064" s="338">
        <f t="shared" si="92"/>
        <v>12.5</v>
      </c>
      <c r="M2064" s="338">
        <f t="shared" si="92"/>
        <v>12.5</v>
      </c>
      <c r="N2064" s="338">
        <f t="shared" si="92"/>
        <v>12.5</v>
      </c>
      <c r="O2064" s="338"/>
    </row>
    <row r="2065" spans="1:15" hidden="1" outlineLevel="2" x14ac:dyDescent="0.35">
      <c r="A2065" s="425" t="s">
        <v>105</v>
      </c>
      <c r="B2065" s="327">
        <v>44488</v>
      </c>
      <c r="C2065" s="426" t="s">
        <v>10807</v>
      </c>
      <c r="D2065" s="427" t="s">
        <v>10808</v>
      </c>
      <c r="E2065" s="426" t="s">
        <v>10736</v>
      </c>
      <c r="F2065" s="338">
        <v>50</v>
      </c>
      <c r="G2065" s="338" t="s">
        <v>56</v>
      </c>
      <c r="H2065" s="338"/>
      <c r="I2065" s="329">
        <v>50</v>
      </c>
      <c r="J2065" s="329"/>
      <c r="K2065" s="338">
        <f t="shared" si="92"/>
        <v>12.5</v>
      </c>
      <c r="L2065" s="338">
        <f t="shared" si="92"/>
        <v>12.5</v>
      </c>
      <c r="M2065" s="338">
        <f t="shared" si="92"/>
        <v>12.5</v>
      </c>
      <c r="N2065" s="338">
        <f t="shared" si="92"/>
        <v>12.5</v>
      </c>
      <c r="O2065" s="338"/>
    </row>
    <row r="2066" spans="1:15" hidden="1" outlineLevel="2" x14ac:dyDescent="0.35">
      <c r="A2066" s="425" t="s">
        <v>105</v>
      </c>
      <c r="B2066" s="327">
        <v>44483</v>
      </c>
      <c r="C2066" s="426" t="s">
        <v>10809</v>
      </c>
      <c r="D2066" s="427" t="s">
        <v>10810</v>
      </c>
      <c r="E2066" s="426" t="s">
        <v>2731</v>
      </c>
      <c r="F2066" s="338">
        <v>2.5</v>
      </c>
      <c r="G2066" s="338" t="s">
        <v>56</v>
      </c>
      <c r="H2066" s="338"/>
      <c r="I2066" s="329">
        <v>2.5</v>
      </c>
      <c r="J2066" s="329"/>
      <c r="K2066" s="338">
        <f t="shared" si="92"/>
        <v>0.625</v>
      </c>
      <c r="L2066" s="338">
        <f t="shared" si="92"/>
        <v>0.625</v>
      </c>
      <c r="M2066" s="338">
        <f t="shared" si="92"/>
        <v>0.625</v>
      </c>
      <c r="N2066" s="338">
        <f t="shared" si="92"/>
        <v>0.625</v>
      </c>
      <c r="O2066" s="338"/>
    </row>
    <row r="2067" spans="1:15" hidden="1" outlineLevel="2" x14ac:dyDescent="0.35">
      <c r="A2067" s="425" t="s">
        <v>105</v>
      </c>
      <c r="B2067" s="327">
        <v>44483</v>
      </c>
      <c r="C2067" s="426" t="s">
        <v>10811</v>
      </c>
      <c r="D2067" s="427" t="s">
        <v>10812</v>
      </c>
      <c r="E2067" s="426" t="s">
        <v>2731</v>
      </c>
      <c r="F2067" s="338">
        <v>2.5</v>
      </c>
      <c r="G2067" s="338" t="s">
        <v>56</v>
      </c>
      <c r="H2067" s="338"/>
      <c r="I2067" s="329">
        <v>2.5</v>
      </c>
      <c r="J2067" s="329"/>
      <c r="K2067" s="338">
        <f t="shared" si="92"/>
        <v>0.625</v>
      </c>
      <c r="L2067" s="338">
        <f t="shared" si="92"/>
        <v>0.625</v>
      </c>
      <c r="M2067" s="338">
        <f t="shared" si="92"/>
        <v>0.625</v>
      </c>
      <c r="N2067" s="338">
        <f t="shared" si="92"/>
        <v>0.625</v>
      </c>
      <c r="O2067" s="338"/>
    </row>
    <row r="2068" spans="1:15" hidden="1" outlineLevel="2" x14ac:dyDescent="0.35">
      <c r="A2068" s="425" t="s">
        <v>105</v>
      </c>
      <c r="B2068" s="327">
        <v>44488</v>
      </c>
      <c r="C2068" s="426" t="s">
        <v>10813</v>
      </c>
      <c r="D2068" s="427" t="s">
        <v>10814</v>
      </c>
      <c r="E2068" s="426" t="s">
        <v>10764</v>
      </c>
      <c r="F2068" s="338">
        <v>85.7</v>
      </c>
      <c r="G2068" s="338" t="s">
        <v>56</v>
      </c>
      <c r="H2068" s="338"/>
      <c r="I2068" s="329">
        <v>85.7</v>
      </c>
      <c r="J2068" s="329"/>
      <c r="K2068" s="338">
        <f t="shared" si="92"/>
        <v>21.425000000000001</v>
      </c>
      <c r="L2068" s="338">
        <f t="shared" si="92"/>
        <v>21.425000000000001</v>
      </c>
      <c r="M2068" s="338">
        <f t="shared" si="92"/>
        <v>21.425000000000001</v>
      </c>
      <c r="N2068" s="338">
        <f t="shared" si="92"/>
        <v>21.425000000000001</v>
      </c>
      <c r="O2068" s="338"/>
    </row>
    <row r="2069" spans="1:15" hidden="1" outlineLevel="2" x14ac:dyDescent="0.35">
      <c r="A2069" s="425" t="s">
        <v>105</v>
      </c>
      <c r="B2069" s="327">
        <v>44230</v>
      </c>
      <c r="C2069" s="426">
        <v>298925</v>
      </c>
      <c r="D2069" s="427" t="s">
        <v>10815</v>
      </c>
      <c r="E2069" s="426" t="s">
        <v>10816</v>
      </c>
      <c r="F2069" s="338">
        <v>76000</v>
      </c>
      <c r="G2069" s="338" t="s">
        <v>9869</v>
      </c>
      <c r="H2069" s="338"/>
      <c r="I2069" s="329">
        <f>+F2069/'[10]Income + exchange rates'!$G$60</f>
        <v>18.118641858664521</v>
      </c>
      <c r="J2069" s="329"/>
      <c r="K2069" s="338">
        <f t="shared" si="92"/>
        <v>4.5296604646661303</v>
      </c>
      <c r="L2069" s="338">
        <f t="shared" si="92"/>
        <v>4.5296604646661303</v>
      </c>
      <c r="M2069" s="338">
        <f t="shared" si="92"/>
        <v>4.5296604646661303</v>
      </c>
      <c r="N2069" s="338">
        <f t="shared" si="92"/>
        <v>4.5296604646661303</v>
      </c>
      <c r="O2069" s="338"/>
    </row>
    <row r="2070" spans="1:15" hidden="1" outlineLevel="2" x14ac:dyDescent="0.35">
      <c r="A2070" s="425" t="s">
        <v>105</v>
      </c>
      <c r="B2070" s="327">
        <v>44226</v>
      </c>
      <c r="C2070" s="426" t="s">
        <v>10817</v>
      </c>
      <c r="D2070" s="427" t="s">
        <v>10818</v>
      </c>
      <c r="E2070" s="426" t="s">
        <v>10816</v>
      </c>
      <c r="F2070" s="338">
        <v>295283</v>
      </c>
      <c r="G2070" s="338" t="s">
        <v>9869</v>
      </c>
      <c r="H2070" s="338"/>
      <c r="I2070" s="329">
        <f>+F2070/'[10]Income + exchange rates'!$G$60</f>
        <v>70.396406894105738</v>
      </c>
      <c r="J2070" s="329"/>
      <c r="K2070" s="338">
        <f t="shared" si="92"/>
        <v>17.599101723526434</v>
      </c>
      <c r="L2070" s="338">
        <f t="shared" si="92"/>
        <v>17.599101723526434</v>
      </c>
      <c r="M2070" s="338">
        <f t="shared" si="92"/>
        <v>17.599101723526434</v>
      </c>
      <c r="N2070" s="338">
        <f t="shared" si="92"/>
        <v>17.599101723526434</v>
      </c>
      <c r="O2070" s="338"/>
    </row>
    <row r="2071" spans="1:15" hidden="1" outlineLevel="2" x14ac:dyDescent="0.35">
      <c r="A2071" s="425" t="s">
        <v>105</v>
      </c>
      <c r="B2071" s="327">
        <v>44273</v>
      </c>
      <c r="C2071" s="426">
        <v>347</v>
      </c>
      <c r="D2071" s="427" t="s">
        <v>10819</v>
      </c>
      <c r="E2071" s="426" t="s">
        <v>10820</v>
      </c>
      <c r="F2071" s="338">
        <v>15000</v>
      </c>
      <c r="G2071" s="338" t="s">
        <v>9869</v>
      </c>
      <c r="H2071" s="338"/>
      <c r="I2071" s="329">
        <f>+F2071/'[10]Income + exchange rates'!$G$60</f>
        <v>3.5760477352627342</v>
      </c>
      <c r="J2071" s="329"/>
      <c r="K2071" s="338">
        <f t="shared" si="92"/>
        <v>0.89401193381568356</v>
      </c>
      <c r="L2071" s="338">
        <f t="shared" si="92"/>
        <v>0.89401193381568356</v>
      </c>
      <c r="M2071" s="338">
        <f t="shared" si="92"/>
        <v>0.89401193381568356</v>
      </c>
      <c r="N2071" s="338">
        <f t="shared" si="92"/>
        <v>0.89401193381568356</v>
      </c>
      <c r="O2071" s="338"/>
    </row>
    <row r="2072" spans="1:15" hidden="1" outlineLevel="2" x14ac:dyDescent="0.35">
      <c r="A2072" s="425" t="s">
        <v>105</v>
      </c>
      <c r="B2072" s="327">
        <v>44317</v>
      </c>
      <c r="C2072" s="426">
        <v>46473</v>
      </c>
      <c r="D2072" s="427" t="s">
        <v>10821</v>
      </c>
      <c r="E2072" s="426" t="s">
        <v>10461</v>
      </c>
      <c r="F2072" s="338">
        <v>100000</v>
      </c>
      <c r="G2072" s="338" t="s">
        <v>9869</v>
      </c>
      <c r="H2072" s="338"/>
      <c r="I2072" s="329">
        <f>+F2072/'[10]Income + exchange rates'!$G$60</f>
        <v>23.840318235084897</v>
      </c>
      <c r="J2072" s="329"/>
      <c r="K2072" s="338">
        <f t="shared" si="92"/>
        <v>5.9600795587712243</v>
      </c>
      <c r="L2072" s="338">
        <f t="shared" si="92"/>
        <v>5.9600795587712243</v>
      </c>
      <c r="M2072" s="338">
        <f t="shared" si="92"/>
        <v>5.9600795587712243</v>
      </c>
      <c r="N2072" s="338">
        <f t="shared" si="92"/>
        <v>5.9600795587712243</v>
      </c>
      <c r="O2072" s="338"/>
    </row>
    <row r="2073" spans="1:15" hidden="1" outlineLevel="2" x14ac:dyDescent="0.35">
      <c r="A2073" s="425" t="s">
        <v>105</v>
      </c>
      <c r="B2073" s="327">
        <v>44281</v>
      </c>
      <c r="C2073" s="426" t="s">
        <v>10822</v>
      </c>
      <c r="D2073" s="427" t="s">
        <v>10823</v>
      </c>
      <c r="E2073" s="426" t="s">
        <v>10824</v>
      </c>
      <c r="F2073" s="338">
        <v>550000</v>
      </c>
      <c r="G2073" s="338" t="s">
        <v>9869</v>
      </c>
      <c r="H2073" s="338"/>
      <c r="I2073" s="329">
        <f>+F2073/'[10]Income + exchange rates'!$G$60</f>
        <v>131.12175029296694</v>
      </c>
      <c r="J2073" s="329"/>
      <c r="K2073" s="338">
        <f t="shared" si="92"/>
        <v>32.780437573241734</v>
      </c>
      <c r="L2073" s="338">
        <f t="shared" si="92"/>
        <v>32.780437573241734</v>
      </c>
      <c r="M2073" s="338">
        <f t="shared" si="92"/>
        <v>32.780437573241734</v>
      </c>
      <c r="N2073" s="338">
        <f t="shared" si="92"/>
        <v>32.780437573241734</v>
      </c>
      <c r="O2073" s="338"/>
    </row>
    <row r="2074" spans="1:15" hidden="1" outlineLevel="2" x14ac:dyDescent="0.35">
      <c r="A2074" s="425" t="s">
        <v>105</v>
      </c>
      <c r="B2074" s="327">
        <v>44316</v>
      </c>
      <c r="C2074" s="426" t="s">
        <v>10822</v>
      </c>
      <c r="D2074" s="427" t="s">
        <v>10825</v>
      </c>
      <c r="E2074" s="426" t="s">
        <v>10824</v>
      </c>
      <c r="F2074" s="338">
        <v>550000</v>
      </c>
      <c r="G2074" s="338" t="s">
        <v>9869</v>
      </c>
      <c r="H2074" s="338"/>
      <c r="I2074" s="329">
        <f>+F2074/'[10]Income + exchange rates'!$G$60</f>
        <v>131.12175029296694</v>
      </c>
      <c r="J2074" s="329"/>
      <c r="K2074" s="338">
        <f t="shared" si="92"/>
        <v>32.780437573241734</v>
      </c>
      <c r="L2074" s="338">
        <f t="shared" si="92"/>
        <v>32.780437573241734</v>
      </c>
      <c r="M2074" s="338">
        <f t="shared" si="92"/>
        <v>32.780437573241734</v>
      </c>
      <c r="N2074" s="338">
        <f t="shared" si="92"/>
        <v>32.780437573241734</v>
      </c>
      <c r="O2074" s="338"/>
    </row>
    <row r="2075" spans="1:15" hidden="1" outlineLevel="2" x14ac:dyDescent="0.35">
      <c r="A2075" s="425" t="s">
        <v>105</v>
      </c>
      <c r="B2075" s="327">
        <v>44456</v>
      </c>
      <c r="C2075" s="426" t="s">
        <v>10822</v>
      </c>
      <c r="D2075" s="427" t="s">
        <v>10826</v>
      </c>
      <c r="E2075" s="426" t="s">
        <v>10824</v>
      </c>
      <c r="F2075" s="338">
        <v>550000</v>
      </c>
      <c r="G2075" s="338" t="s">
        <v>9869</v>
      </c>
      <c r="H2075" s="338"/>
      <c r="I2075" s="329">
        <f>+F2075/'[10]Income + exchange rates'!$G$60</f>
        <v>131.12175029296694</v>
      </c>
      <c r="J2075" s="329"/>
      <c r="K2075" s="338">
        <f t="shared" si="92"/>
        <v>32.780437573241734</v>
      </c>
      <c r="L2075" s="338">
        <f t="shared" si="92"/>
        <v>32.780437573241734</v>
      </c>
      <c r="M2075" s="338">
        <f t="shared" si="92"/>
        <v>32.780437573241734</v>
      </c>
      <c r="N2075" s="338">
        <f t="shared" si="92"/>
        <v>32.780437573241734</v>
      </c>
      <c r="O2075" s="338"/>
    </row>
    <row r="2076" spans="1:15" hidden="1" outlineLevel="2" x14ac:dyDescent="0.35">
      <c r="A2076" s="425" t="s">
        <v>105</v>
      </c>
      <c r="B2076" s="327">
        <v>44540</v>
      </c>
      <c r="C2076" s="426" t="s">
        <v>10822</v>
      </c>
      <c r="D2076" s="427" t="s">
        <v>10827</v>
      </c>
      <c r="E2076" s="426" t="s">
        <v>10824</v>
      </c>
      <c r="F2076" s="338">
        <v>850000</v>
      </c>
      <c r="G2076" s="338" t="s">
        <v>9869</v>
      </c>
      <c r="H2076" s="338"/>
      <c r="I2076" s="329">
        <f>+F2076/'[10]Income + exchange rates'!$G$60</f>
        <v>202.6427049982216</v>
      </c>
      <c r="J2076" s="329"/>
      <c r="K2076" s="338">
        <f t="shared" ref="K2076:N2095" si="93">$I2076/4</f>
        <v>50.660676249555401</v>
      </c>
      <c r="L2076" s="338">
        <f t="shared" si="93"/>
        <v>50.660676249555401</v>
      </c>
      <c r="M2076" s="338">
        <f t="shared" si="93"/>
        <v>50.660676249555401</v>
      </c>
      <c r="N2076" s="338">
        <f t="shared" si="93"/>
        <v>50.660676249555401</v>
      </c>
      <c r="O2076" s="338"/>
    </row>
    <row r="2077" spans="1:15" hidden="1" outlineLevel="2" x14ac:dyDescent="0.35">
      <c r="A2077" s="425" t="s">
        <v>105</v>
      </c>
      <c r="B2077" s="327">
        <v>44411</v>
      </c>
      <c r="C2077" s="426" t="s">
        <v>10822</v>
      </c>
      <c r="D2077" s="427" t="s">
        <v>10828</v>
      </c>
      <c r="E2077" s="426" t="s">
        <v>10824</v>
      </c>
      <c r="F2077" s="338">
        <v>550000</v>
      </c>
      <c r="G2077" s="338" t="s">
        <v>9869</v>
      </c>
      <c r="H2077" s="338"/>
      <c r="I2077" s="329">
        <f>+F2077/'[10]Income + exchange rates'!$G$60</f>
        <v>131.12175029296694</v>
      </c>
      <c r="J2077" s="329"/>
      <c r="K2077" s="338">
        <f t="shared" si="93"/>
        <v>32.780437573241734</v>
      </c>
      <c r="L2077" s="338">
        <f t="shared" si="93"/>
        <v>32.780437573241734</v>
      </c>
      <c r="M2077" s="338">
        <f t="shared" si="93"/>
        <v>32.780437573241734</v>
      </c>
      <c r="N2077" s="338">
        <f t="shared" si="93"/>
        <v>32.780437573241734</v>
      </c>
      <c r="O2077" s="338"/>
    </row>
    <row r="2078" spans="1:15" hidden="1" outlineLevel="2" x14ac:dyDescent="0.35">
      <c r="A2078" s="425" t="s">
        <v>105</v>
      </c>
      <c r="B2078" s="327">
        <v>44377</v>
      </c>
      <c r="C2078" s="426" t="s">
        <v>10822</v>
      </c>
      <c r="D2078" s="427" t="s">
        <v>10829</v>
      </c>
      <c r="E2078" s="426" t="s">
        <v>10824</v>
      </c>
      <c r="F2078" s="338">
        <v>550000</v>
      </c>
      <c r="G2078" s="338" t="s">
        <v>9869</v>
      </c>
      <c r="H2078" s="338"/>
      <c r="I2078" s="329">
        <f>+F2078/'[10]Income + exchange rates'!$G$60</f>
        <v>131.12175029296694</v>
      </c>
      <c r="J2078" s="329"/>
      <c r="K2078" s="338">
        <f t="shared" si="93"/>
        <v>32.780437573241734</v>
      </c>
      <c r="L2078" s="338">
        <f t="shared" si="93"/>
        <v>32.780437573241734</v>
      </c>
      <c r="M2078" s="338">
        <f t="shared" si="93"/>
        <v>32.780437573241734</v>
      </c>
      <c r="N2078" s="338">
        <f t="shared" si="93"/>
        <v>32.780437573241734</v>
      </c>
      <c r="O2078" s="338"/>
    </row>
    <row r="2079" spans="1:15" hidden="1" outlineLevel="2" x14ac:dyDescent="0.35">
      <c r="A2079" s="425" t="s">
        <v>105</v>
      </c>
      <c r="B2079" s="327">
        <v>44342</v>
      </c>
      <c r="C2079" s="426" t="s">
        <v>10822</v>
      </c>
      <c r="D2079" s="427" t="s">
        <v>10830</v>
      </c>
      <c r="E2079" s="426" t="s">
        <v>10824</v>
      </c>
      <c r="F2079" s="338">
        <v>550000</v>
      </c>
      <c r="G2079" s="338" t="s">
        <v>9869</v>
      </c>
      <c r="H2079" s="338"/>
      <c r="I2079" s="329">
        <f>+F2079/'[10]Income + exchange rates'!$G$60</f>
        <v>131.12175029296694</v>
      </c>
      <c r="J2079" s="329"/>
      <c r="K2079" s="338">
        <f t="shared" si="93"/>
        <v>32.780437573241734</v>
      </c>
      <c r="L2079" s="338">
        <f t="shared" si="93"/>
        <v>32.780437573241734</v>
      </c>
      <c r="M2079" s="338">
        <f t="shared" si="93"/>
        <v>32.780437573241734</v>
      </c>
      <c r="N2079" s="338">
        <f t="shared" si="93"/>
        <v>32.780437573241734</v>
      </c>
      <c r="O2079" s="338"/>
    </row>
    <row r="2080" spans="1:15" hidden="1" outlineLevel="2" x14ac:dyDescent="0.35">
      <c r="A2080" s="425" t="s">
        <v>105</v>
      </c>
      <c r="B2080" s="327">
        <v>44530</v>
      </c>
      <c r="C2080" s="426" t="s">
        <v>10822</v>
      </c>
      <c r="D2080" s="427" t="s">
        <v>10831</v>
      </c>
      <c r="E2080" s="426" t="s">
        <v>10824</v>
      </c>
      <c r="F2080" s="338">
        <v>550000</v>
      </c>
      <c r="G2080" s="338" t="s">
        <v>9869</v>
      </c>
      <c r="H2080" s="338"/>
      <c r="I2080" s="329">
        <f>+F2080/'[10]Income + exchange rates'!$G$60</f>
        <v>131.12175029296694</v>
      </c>
      <c r="J2080" s="329"/>
      <c r="K2080" s="338">
        <f t="shared" si="93"/>
        <v>32.780437573241734</v>
      </c>
      <c r="L2080" s="338">
        <f t="shared" si="93"/>
        <v>32.780437573241734</v>
      </c>
      <c r="M2080" s="338">
        <f t="shared" si="93"/>
        <v>32.780437573241734</v>
      </c>
      <c r="N2080" s="338">
        <f t="shared" si="93"/>
        <v>32.780437573241734</v>
      </c>
      <c r="O2080" s="338"/>
    </row>
    <row r="2081" spans="1:15" hidden="1" outlineLevel="2" x14ac:dyDescent="0.35">
      <c r="A2081" s="425" t="s">
        <v>105</v>
      </c>
      <c r="B2081" s="327">
        <v>44499</v>
      </c>
      <c r="C2081" s="426" t="s">
        <v>10822</v>
      </c>
      <c r="D2081" s="427" t="s">
        <v>10832</v>
      </c>
      <c r="E2081" s="426" t="s">
        <v>10824</v>
      </c>
      <c r="F2081" s="338">
        <v>550000</v>
      </c>
      <c r="G2081" s="338" t="s">
        <v>9869</v>
      </c>
      <c r="H2081" s="338"/>
      <c r="I2081" s="329">
        <f>+F2081/'[10]Income + exchange rates'!$G$60</f>
        <v>131.12175029296694</v>
      </c>
      <c r="J2081" s="329"/>
      <c r="K2081" s="338">
        <f t="shared" si="93"/>
        <v>32.780437573241734</v>
      </c>
      <c r="L2081" s="338">
        <f t="shared" si="93"/>
        <v>32.780437573241734</v>
      </c>
      <c r="M2081" s="338">
        <f t="shared" si="93"/>
        <v>32.780437573241734</v>
      </c>
      <c r="N2081" s="338">
        <f t="shared" si="93"/>
        <v>32.780437573241734</v>
      </c>
      <c r="O2081" s="338"/>
    </row>
    <row r="2082" spans="1:15" hidden="1" outlineLevel="2" x14ac:dyDescent="0.35">
      <c r="A2082" s="425" t="s">
        <v>105</v>
      </c>
      <c r="B2082" s="327">
        <v>44465</v>
      </c>
      <c r="C2082" s="426" t="s">
        <v>10822</v>
      </c>
      <c r="D2082" s="427" t="s">
        <v>10833</v>
      </c>
      <c r="E2082" s="426" t="s">
        <v>10824</v>
      </c>
      <c r="F2082" s="338">
        <v>550000</v>
      </c>
      <c r="G2082" s="338" t="s">
        <v>9869</v>
      </c>
      <c r="H2082" s="338"/>
      <c r="I2082" s="329">
        <f>+F2082/'[10]Income + exchange rates'!$G$60</f>
        <v>131.12175029296694</v>
      </c>
      <c r="J2082" s="329"/>
      <c r="K2082" s="338">
        <f t="shared" si="93"/>
        <v>32.780437573241734</v>
      </c>
      <c r="L2082" s="338">
        <f t="shared" si="93"/>
        <v>32.780437573241734</v>
      </c>
      <c r="M2082" s="338">
        <f t="shared" si="93"/>
        <v>32.780437573241734</v>
      </c>
      <c r="N2082" s="338">
        <f t="shared" si="93"/>
        <v>32.780437573241734</v>
      </c>
      <c r="O2082" s="338"/>
    </row>
    <row r="2083" spans="1:15" hidden="1" outlineLevel="2" x14ac:dyDescent="0.35">
      <c r="A2083" s="425" t="s">
        <v>105</v>
      </c>
      <c r="B2083" s="327">
        <v>44323</v>
      </c>
      <c r="C2083" s="426">
        <v>206032727</v>
      </c>
      <c r="D2083" s="427" t="s">
        <v>10834</v>
      </c>
      <c r="E2083" s="426" t="s">
        <v>10579</v>
      </c>
      <c r="F2083" s="338">
        <v>230000</v>
      </c>
      <c r="G2083" s="338" t="s">
        <v>9869</v>
      </c>
      <c r="H2083" s="338"/>
      <c r="I2083" s="329">
        <f>+F2083/'[10]Income + exchange rates'!$G$60</f>
        <v>54.832731940695261</v>
      </c>
      <c r="J2083" s="329"/>
      <c r="K2083" s="338">
        <f t="shared" si="93"/>
        <v>13.708182985173815</v>
      </c>
      <c r="L2083" s="338">
        <f t="shared" si="93"/>
        <v>13.708182985173815</v>
      </c>
      <c r="M2083" s="338">
        <f t="shared" si="93"/>
        <v>13.708182985173815</v>
      </c>
      <c r="N2083" s="338">
        <f t="shared" si="93"/>
        <v>13.708182985173815</v>
      </c>
      <c r="O2083" s="338"/>
    </row>
    <row r="2084" spans="1:15" hidden="1" outlineLevel="2" x14ac:dyDescent="0.35">
      <c r="A2084" s="425" t="s">
        <v>105</v>
      </c>
      <c r="B2084" s="327">
        <v>44452</v>
      </c>
      <c r="C2084" s="426">
        <v>7263877132</v>
      </c>
      <c r="D2084" s="427" t="s">
        <v>10835</v>
      </c>
      <c r="E2084" s="426" t="s">
        <v>10579</v>
      </c>
      <c r="F2084" s="338">
        <v>96000</v>
      </c>
      <c r="G2084" s="338" t="s">
        <v>9869</v>
      </c>
      <c r="H2084" s="338"/>
      <c r="I2084" s="329">
        <f>+F2084/'[10]Income + exchange rates'!$G$60</f>
        <v>22.886705505681501</v>
      </c>
      <c r="J2084" s="329"/>
      <c r="K2084" s="338">
        <f t="shared" si="93"/>
        <v>5.7216763764203753</v>
      </c>
      <c r="L2084" s="338">
        <f t="shared" si="93"/>
        <v>5.7216763764203753</v>
      </c>
      <c r="M2084" s="338">
        <f t="shared" si="93"/>
        <v>5.7216763764203753</v>
      </c>
      <c r="N2084" s="338">
        <f t="shared" si="93"/>
        <v>5.7216763764203753</v>
      </c>
      <c r="O2084" s="338"/>
    </row>
    <row r="2085" spans="1:15" hidden="1" outlineLevel="2" x14ac:dyDescent="0.35">
      <c r="A2085" s="425" t="s">
        <v>105</v>
      </c>
      <c r="B2085" s="327">
        <v>44418</v>
      </c>
      <c r="C2085" s="426">
        <v>206032727</v>
      </c>
      <c r="D2085" s="427" t="s">
        <v>10836</v>
      </c>
      <c r="E2085" s="426" t="s">
        <v>10579</v>
      </c>
      <c r="F2085" s="338">
        <v>115200</v>
      </c>
      <c r="G2085" s="338" t="s">
        <v>9869</v>
      </c>
      <c r="H2085" s="338"/>
      <c r="I2085" s="329">
        <f>+F2085/'[10]Income + exchange rates'!$G$60</f>
        <v>27.464046606817799</v>
      </c>
      <c r="J2085" s="329"/>
      <c r="K2085" s="338">
        <f t="shared" si="93"/>
        <v>6.8660116517044498</v>
      </c>
      <c r="L2085" s="338">
        <f t="shared" si="93"/>
        <v>6.8660116517044498</v>
      </c>
      <c r="M2085" s="338">
        <f t="shared" si="93"/>
        <v>6.8660116517044498</v>
      </c>
      <c r="N2085" s="338">
        <f t="shared" si="93"/>
        <v>6.8660116517044498</v>
      </c>
      <c r="O2085" s="338"/>
    </row>
    <row r="2086" spans="1:15" hidden="1" outlineLevel="2" x14ac:dyDescent="0.35">
      <c r="A2086" s="425" t="s">
        <v>105</v>
      </c>
      <c r="B2086" s="327">
        <v>44393</v>
      </c>
      <c r="C2086" s="426">
        <v>206032727</v>
      </c>
      <c r="D2086" s="427" t="s">
        <v>10837</v>
      </c>
      <c r="E2086" s="426" t="s">
        <v>10579</v>
      </c>
      <c r="F2086" s="338">
        <v>162000</v>
      </c>
      <c r="G2086" s="338" t="s">
        <v>9869</v>
      </c>
      <c r="H2086" s="338"/>
      <c r="I2086" s="329">
        <f>+F2086/'[10]Income + exchange rates'!$G$60</f>
        <v>38.621315540837529</v>
      </c>
      <c r="J2086" s="329"/>
      <c r="K2086" s="338">
        <f t="shared" si="93"/>
        <v>9.6553288852093822</v>
      </c>
      <c r="L2086" s="338">
        <f t="shared" si="93"/>
        <v>9.6553288852093822</v>
      </c>
      <c r="M2086" s="338">
        <f t="shared" si="93"/>
        <v>9.6553288852093822</v>
      </c>
      <c r="N2086" s="338">
        <f t="shared" si="93"/>
        <v>9.6553288852093822</v>
      </c>
      <c r="O2086" s="338"/>
    </row>
    <row r="2087" spans="1:15" hidden="1" outlineLevel="2" x14ac:dyDescent="0.35">
      <c r="A2087" s="425" t="s">
        <v>105</v>
      </c>
      <c r="B2087" s="327">
        <v>44294</v>
      </c>
      <c r="C2087" s="426" t="s">
        <v>10838</v>
      </c>
      <c r="D2087" s="427" t="s">
        <v>10839</v>
      </c>
      <c r="E2087" s="426" t="s">
        <v>10579</v>
      </c>
      <c r="F2087" s="338">
        <v>253000</v>
      </c>
      <c r="G2087" s="338" t="s">
        <v>9869</v>
      </c>
      <c r="H2087" s="338"/>
      <c r="I2087" s="329">
        <f>+F2087/'[10]Income + exchange rates'!$G$60</f>
        <v>60.316005134764787</v>
      </c>
      <c r="J2087" s="329"/>
      <c r="K2087" s="338">
        <f t="shared" si="93"/>
        <v>15.079001283691197</v>
      </c>
      <c r="L2087" s="338">
        <f t="shared" si="93"/>
        <v>15.079001283691197</v>
      </c>
      <c r="M2087" s="338">
        <f t="shared" si="93"/>
        <v>15.079001283691197</v>
      </c>
      <c r="N2087" s="338">
        <f t="shared" si="93"/>
        <v>15.079001283691197</v>
      </c>
      <c r="O2087" s="338"/>
    </row>
    <row r="2088" spans="1:15" hidden="1" outlineLevel="2" x14ac:dyDescent="0.35">
      <c r="A2088" s="425" t="s">
        <v>105</v>
      </c>
      <c r="B2088" s="327">
        <v>44361</v>
      </c>
      <c r="C2088" s="426">
        <v>206032727</v>
      </c>
      <c r="D2088" s="427" t="s">
        <v>10840</v>
      </c>
      <c r="E2088" s="426" t="s">
        <v>10579</v>
      </c>
      <c r="F2088" s="338">
        <v>234000</v>
      </c>
      <c r="G2088" s="338" t="s">
        <v>9869</v>
      </c>
      <c r="H2088" s="338"/>
      <c r="I2088" s="329">
        <f>+F2088/'[10]Income + exchange rates'!$G$60</f>
        <v>55.786344670098657</v>
      </c>
      <c r="J2088" s="329"/>
      <c r="K2088" s="338">
        <f t="shared" si="93"/>
        <v>13.946586167524664</v>
      </c>
      <c r="L2088" s="338">
        <f t="shared" si="93"/>
        <v>13.946586167524664</v>
      </c>
      <c r="M2088" s="338">
        <f t="shared" si="93"/>
        <v>13.946586167524664</v>
      </c>
      <c r="N2088" s="338">
        <f t="shared" si="93"/>
        <v>13.946586167524664</v>
      </c>
      <c r="O2088" s="338"/>
    </row>
    <row r="2089" spans="1:15" hidden="1" outlineLevel="2" x14ac:dyDescent="0.35">
      <c r="A2089" s="425" t="s">
        <v>105</v>
      </c>
      <c r="B2089" s="327">
        <v>44539</v>
      </c>
      <c r="C2089" s="426">
        <v>206032727</v>
      </c>
      <c r="D2089" s="427" t="s">
        <v>10841</v>
      </c>
      <c r="E2089" s="426" t="s">
        <v>10579</v>
      </c>
      <c r="F2089" s="338">
        <v>340000</v>
      </c>
      <c r="G2089" s="338" t="s">
        <v>9869</v>
      </c>
      <c r="H2089" s="338"/>
      <c r="I2089" s="329">
        <f>+F2089/'[10]Income + exchange rates'!$G$60</f>
        <v>81.057081999288641</v>
      </c>
      <c r="J2089" s="329"/>
      <c r="K2089" s="338">
        <f t="shared" si="93"/>
        <v>20.26427049982216</v>
      </c>
      <c r="L2089" s="338">
        <f t="shared" si="93"/>
        <v>20.26427049982216</v>
      </c>
      <c r="M2089" s="338">
        <f t="shared" si="93"/>
        <v>20.26427049982216</v>
      </c>
      <c r="N2089" s="338">
        <f t="shared" si="93"/>
        <v>20.26427049982216</v>
      </c>
      <c r="O2089" s="338"/>
    </row>
    <row r="2090" spans="1:15" hidden="1" outlineLevel="2" x14ac:dyDescent="0.35">
      <c r="A2090" s="425" t="s">
        <v>105</v>
      </c>
      <c r="B2090" s="327">
        <v>44511</v>
      </c>
      <c r="C2090" s="426">
        <v>7273520841</v>
      </c>
      <c r="D2090" s="427" t="s">
        <v>10842</v>
      </c>
      <c r="E2090" s="426" t="s">
        <v>10579</v>
      </c>
      <c r="F2090" s="338">
        <v>225000</v>
      </c>
      <c r="G2090" s="338" t="s">
        <v>9869</v>
      </c>
      <c r="H2090" s="338"/>
      <c r="I2090" s="329">
        <f>+F2090/'[10]Income + exchange rates'!$G$60</f>
        <v>53.640716028941014</v>
      </c>
      <c r="J2090" s="329"/>
      <c r="K2090" s="338">
        <f t="shared" si="93"/>
        <v>13.410179007235254</v>
      </c>
      <c r="L2090" s="338">
        <f t="shared" si="93"/>
        <v>13.410179007235254</v>
      </c>
      <c r="M2090" s="338">
        <f t="shared" si="93"/>
        <v>13.410179007235254</v>
      </c>
      <c r="N2090" s="338">
        <f t="shared" si="93"/>
        <v>13.410179007235254</v>
      </c>
      <c r="O2090" s="338"/>
    </row>
    <row r="2091" spans="1:15" hidden="1" outlineLevel="2" x14ac:dyDescent="0.35">
      <c r="A2091" s="425" t="s">
        <v>105</v>
      </c>
      <c r="B2091" s="327">
        <v>44483</v>
      </c>
      <c r="C2091" s="426">
        <v>850411</v>
      </c>
      <c r="D2091" s="427" t="s">
        <v>10843</v>
      </c>
      <c r="E2091" s="426" t="s">
        <v>10579</v>
      </c>
      <c r="F2091" s="338">
        <v>41000</v>
      </c>
      <c r="G2091" s="338" t="s">
        <v>9869</v>
      </c>
      <c r="H2091" s="338"/>
      <c r="I2091" s="329">
        <f>+F2091/'[10]Income + exchange rates'!$G$60</f>
        <v>9.7745304763848075</v>
      </c>
      <c r="J2091" s="329"/>
      <c r="K2091" s="338">
        <f t="shared" si="93"/>
        <v>2.4436326190962019</v>
      </c>
      <c r="L2091" s="338">
        <f t="shared" si="93"/>
        <v>2.4436326190962019</v>
      </c>
      <c r="M2091" s="338">
        <f t="shared" si="93"/>
        <v>2.4436326190962019</v>
      </c>
      <c r="N2091" s="338">
        <f t="shared" si="93"/>
        <v>2.4436326190962019</v>
      </c>
      <c r="O2091" s="338"/>
    </row>
    <row r="2092" spans="1:15" hidden="1" outlineLevel="2" x14ac:dyDescent="0.35">
      <c r="A2092" s="425" t="s">
        <v>105</v>
      </c>
      <c r="B2092" s="327">
        <v>44462</v>
      </c>
      <c r="C2092" s="426">
        <v>136051</v>
      </c>
      <c r="D2092" s="427" t="s">
        <v>10844</v>
      </c>
      <c r="E2092" s="426" t="s">
        <v>10845</v>
      </c>
      <c r="F2092" s="338">
        <v>100000</v>
      </c>
      <c r="G2092" s="338" t="s">
        <v>9869</v>
      </c>
      <c r="H2092" s="338"/>
      <c r="I2092" s="329">
        <f>+F2092/'[10]Income + exchange rates'!$G$60</f>
        <v>23.840318235084897</v>
      </c>
      <c r="J2092" s="329"/>
      <c r="K2092" s="338">
        <f t="shared" si="93"/>
        <v>5.9600795587712243</v>
      </c>
      <c r="L2092" s="338">
        <f t="shared" si="93"/>
        <v>5.9600795587712243</v>
      </c>
      <c r="M2092" s="338">
        <f t="shared" si="93"/>
        <v>5.9600795587712243</v>
      </c>
      <c r="N2092" s="338">
        <f t="shared" si="93"/>
        <v>5.9600795587712243</v>
      </c>
      <c r="O2092" s="338"/>
    </row>
    <row r="2093" spans="1:15" hidden="1" outlineLevel="2" x14ac:dyDescent="0.35">
      <c r="A2093" s="425" t="s">
        <v>105</v>
      </c>
      <c r="B2093" s="327">
        <v>44509</v>
      </c>
      <c r="C2093" s="426">
        <v>928</v>
      </c>
      <c r="D2093" s="427" t="s">
        <v>10846</v>
      </c>
      <c r="E2093" s="426" t="s">
        <v>10847</v>
      </c>
      <c r="F2093" s="338">
        <v>35000</v>
      </c>
      <c r="G2093" s="338" t="s">
        <v>9869</v>
      </c>
      <c r="H2093" s="338"/>
      <c r="I2093" s="329">
        <f>+F2093/'[10]Income + exchange rates'!$G$60</f>
        <v>8.3441113822797135</v>
      </c>
      <c r="J2093" s="329"/>
      <c r="K2093" s="338">
        <f t="shared" si="93"/>
        <v>2.0860278455699284</v>
      </c>
      <c r="L2093" s="338">
        <f t="shared" si="93"/>
        <v>2.0860278455699284</v>
      </c>
      <c r="M2093" s="338">
        <f t="shared" si="93"/>
        <v>2.0860278455699284</v>
      </c>
      <c r="N2093" s="338">
        <f t="shared" si="93"/>
        <v>2.0860278455699284</v>
      </c>
      <c r="O2093" s="338"/>
    </row>
    <row r="2094" spans="1:15" hidden="1" outlineLevel="2" x14ac:dyDescent="0.35">
      <c r="A2094" s="425" t="s">
        <v>105</v>
      </c>
      <c r="B2094" s="327">
        <v>44510</v>
      </c>
      <c r="C2094" s="426">
        <v>931</v>
      </c>
      <c r="D2094" s="427" t="s">
        <v>10846</v>
      </c>
      <c r="E2094" s="426" t="s">
        <v>10847</v>
      </c>
      <c r="F2094" s="338">
        <v>35000</v>
      </c>
      <c r="G2094" s="338" t="s">
        <v>9869</v>
      </c>
      <c r="H2094" s="338"/>
      <c r="I2094" s="329">
        <f>+F2094/'[10]Income + exchange rates'!$G$60</f>
        <v>8.3441113822797135</v>
      </c>
      <c r="J2094" s="329"/>
      <c r="K2094" s="338">
        <f t="shared" si="93"/>
        <v>2.0860278455699284</v>
      </c>
      <c r="L2094" s="338">
        <f t="shared" si="93"/>
        <v>2.0860278455699284</v>
      </c>
      <c r="M2094" s="338">
        <f t="shared" si="93"/>
        <v>2.0860278455699284</v>
      </c>
      <c r="N2094" s="338">
        <f t="shared" si="93"/>
        <v>2.0860278455699284</v>
      </c>
      <c r="O2094" s="338"/>
    </row>
    <row r="2095" spans="1:15" hidden="1" outlineLevel="2" x14ac:dyDescent="0.35">
      <c r="A2095" s="425" t="s">
        <v>105</v>
      </c>
      <c r="B2095" s="327">
        <v>44511</v>
      </c>
      <c r="C2095" s="426">
        <v>1669</v>
      </c>
      <c r="D2095" s="427" t="s">
        <v>10846</v>
      </c>
      <c r="E2095" s="426" t="s">
        <v>10848</v>
      </c>
      <c r="F2095" s="338">
        <v>160000</v>
      </c>
      <c r="G2095" s="338" t="s">
        <v>9869</v>
      </c>
      <c r="H2095" s="338"/>
      <c r="I2095" s="329">
        <f>+F2095/'[10]Income + exchange rates'!$G$60</f>
        <v>38.144509176135834</v>
      </c>
      <c r="J2095" s="329"/>
      <c r="K2095" s="338">
        <f t="shared" si="93"/>
        <v>9.5361272940339585</v>
      </c>
      <c r="L2095" s="338">
        <f t="shared" si="93"/>
        <v>9.5361272940339585</v>
      </c>
      <c r="M2095" s="338">
        <f t="shared" si="93"/>
        <v>9.5361272940339585</v>
      </c>
      <c r="N2095" s="338">
        <f t="shared" si="93"/>
        <v>9.5361272940339585</v>
      </c>
      <c r="O2095" s="338"/>
    </row>
    <row r="2096" spans="1:15" hidden="1" outlineLevel="2" x14ac:dyDescent="0.35">
      <c r="A2096" s="425" t="s">
        <v>105</v>
      </c>
      <c r="B2096" s="327">
        <v>44321</v>
      </c>
      <c r="C2096" s="426">
        <v>1000097526</v>
      </c>
      <c r="D2096" s="427" t="s">
        <v>10849</v>
      </c>
      <c r="E2096" s="426" t="s">
        <v>10617</v>
      </c>
      <c r="F2096" s="338">
        <v>56000</v>
      </c>
      <c r="G2096" s="338" t="s">
        <v>9869</v>
      </c>
      <c r="H2096" s="338"/>
      <c r="I2096" s="329">
        <f>+F2096/'[10]Income + exchange rates'!$G$60</f>
        <v>13.350578211647541</v>
      </c>
      <c r="J2096" s="329"/>
      <c r="K2096" s="338">
        <f t="shared" ref="K2096:N2115" si="94">$I2096/4</f>
        <v>3.3376445529118852</v>
      </c>
      <c r="L2096" s="338">
        <f t="shared" si="94"/>
        <v>3.3376445529118852</v>
      </c>
      <c r="M2096" s="338">
        <f t="shared" si="94"/>
        <v>3.3376445529118852</v>
      </c>
      <c r="N2096" s="338">
        <f t="shared" si="94"/>
        <v>3.3376445529118852</v>
      </c>
      <c r="O2096" s="338"/>
    </row>
    <row r="2097" spans="1:15" hidden="1" outlineLevel="2" x14ac:dyDescent="0.35">
      <c r="A2097" s="425" t="s">
        <v>105</v>
      </c>
      <c r="B2097" s="327">
        <v>44540</v>
      </c>
      <c r="C2097" s="426" t="s">
        <v>10822</v>
      </c>
      <c r="D2097" s="427" t="s">
        <v>10850</v>
      </c>
      <c r="E2097" s="426" t="s">
        <v>10851</v>
      </c>
      <c r="F2097" s="338">
        <v>300000</v>
      </c>
      <c r="G2097" s="338" t="s">
        <v>9869</v>
      </c>
      <c r="H2097" s="338"/>
      <c r="I2097" s="329">
        <f>+F2097/'[10]Income + exchange rates'!$G$60</f>
        <v>71.520954705254681</v>
      </c>
      <c r="J2097" s="329"/>
      <c r="K2097" s="338">
        <f t="shared" si="94"/>
        <v>17.88023867631367</v>
      </c>
      <c r="L2097" s="338">
        <f t="shared" si="94"/>
        <v>17.88023867631367</v>
      </c>
      <c r="M2097" s="338">
        <f t="shared" si="94"/>
        <v>17.88023867631367</v>
      </c>
      <c r="N2097" s="338">
        <f t="shared" si="94"/>
        <v>17.88023867631367</v>
      </c>
      <c r="O2097" s="338"/>
    </row>
    <row r="2098" spans="1:15" hidden="1" outlineLevel="2" x14ac:dyDescent="0.35">
      <c r="A2098" s="425" t="s">
        <v>105</v>
      </c>
      <c r="B2098" s="327">
        <v>44230</v>
      </c>
      <c r="C2098" s="426">
        <v>58</v>
      </c>
      <c r="D2098" s="427" t="s">
        <v>10852</v>
      </c>
      <c r="E2098" s="426" t="s">
        <v>10853</v>
      </c>
      <c r="F2098" s="338">
        <v>10000</v>
      </c>
      <c r="G2098" s="338" t="s">
        <v>9869</v>
      </c>
      <c r="H2098" s="338"/>
      <c r="I2098" s="329">
        <f>+F2098/'[10]Income + exchange rates'!$G$60</f>
        <v>2.3840318235084896</v>
      </c>
      <c r="J2098" s="329"/>
      <c r="K2098" s="338">
        <f t="shared" si="94"/>
        <v>0.59600795587712241</v>
      </c>
      <c r="L2098" s="338">
        <f t="shared" si="94"/>
        <v>0.59600795587712241</v>
      </c>
      <c r="M2098" s="338">
        <f t="shared" si="94"/>
        <v>0.59600795587712241</v>
      </c>
      <c r="N2098" s="338">
        <f t="shared" si="94"/>
        <v>0.59600795587712241</v>
      </c>
      <c r="O2098" s="338"/>
    </row>
    <row r="2099" spans="1:15" hidden="1" outlineLevel="2" x14ac:dyDescent="0.35">
      <c r="A2099" s="425" t="s">
        <v>105</v>
      </c>
      <c r="B2099" s="327">
        <v>44313</v>
      </c>
      <c r="C2099" s="426">
        <v>130303</v>
      </c>
      <c r="D2099" s="427" t="s">
        <v>10854</v>
      </c>
      <c r="E2099" s="426" t="s">
        <v>10845</v>
      </c>
      <c r="F2099" s="338">
        <v>100000</v>
      </c>
      <c r="G2099" s="338" t="s">
        <v>9869</v>
      </c>
      <c r="H2099" s="338"/>
      <c r="I2099" s="329">
        <f>+F2099/'[10]Income + exchange rates'!$G$60</f>
        <v>23.840318235084897</v>
      </c>
      <c r="J2099" s="329"/>
      <c r="K2099" s="338">
        <f t="shared" si="94"/>
        <v>5.9600795587712243</v>
      </c>
      <c r="L2099" s="338">
        <f t="shared" si="94"/>
        <v>5.9600795587712243</v>
      </c>
      <c r="M2099" s="338">
        <f t="shared" si="94"/>
        <v>5.9600795587712243</v>
      </c>
      <c r="N2099" s="338">
        <f t="shared" si="94"/>
        <v>5.9600795587712243</v>
      </c>
      <c r="O2099" s="338"/>
    </row>
    <row r="2100" spans="1:15" hidden="1" outlineLevel="2" x14ac:dyDescent="0.35">
      <c r="A2100" s="425" t="s">
        <v>105</v>
      </c>
      <c r="B2100" s="327">
        <v>44249</v>
      </c>
      <c r="C2100" s="426" t="s">
        <v>10822</v>
      </c>
      <c r="D2100" s="427" t="s">
        <v>10855</v>
      </c>
      <c r="E2100" s="426" t="s">
        <v>10856</v>
      </c>
      <c r="F2100" s="338">
        <v>180000</v>
      </c>
      <c r="G2100" s="338" t="s">
        <v>9869</v>
      </c>
      <c r="H2100" s="338"/>
      <c r="I2100" s="329">
        <f>+F2100/'[10]Income + exchange rates'!$G$60</f>
        <v>42.912572823152814</v>
      </c>
      <c r="J2100" s="329"/>
      <c r="K2100" s="338">
        <f t="shared" si="94"/>
        <v>10.728143205788204</v>
      </c>
      <c r="L2100" s="338">
        <f t="shared" si="94"/>
        <v>10.728143205788204</v>
      </c>
      <c r="M2100" s="338">
        <f t="shared" si="94"/>
        <v>10.728143205788204</v>
      </c>
      <c r="N2100" s="338">
        <f t="shared" si="94"/>
        <v>10.728143205788204</v>
      </c>
      <c r="O2100" s="338"/>
    </row>
    <row r="2101" spans="1:15" hidden="1" outlineLevel="2" x14ac:dyDescent="0.35">
      <c r="A2101" s="425" t="s">
        <v>105</v>
      </c>
      <c r="B2101" s="327">
        <v>44249</v>
      </c>
      <c r="C2101" s="426" t="s">
        <v>10822</v>
      </c>
      <c r="D2101" s="427" t="s">
        <v>10857</v>
      </c>
      <c r="E2101" s="426" t="s">
        <v>10824</v>
      </c>
      <c r="F2101" s="338">
        <v>550000</v>
      </c>
      <c r="G2101" s="338" t="s">
        <v>9869</v>
      </c>
      <c r="H2101" s="338"/>
      <c r="I2101" s="329">
        <f>+F2101/'[10]Income + exchange rates'!$G$60</f>
        <v>131.12175029296694</v>
      </c>
      <c r="J2101" s="329"/>
      <c r="K2101" s="338">
        <f t="shared" si="94"/>
        <v>32.780437573241734</v>
      </c>
      <c r="L2101" s="338">
        <f t="shared" si="94"/>
        <v>32.780437573241734</v>
      </c>
      <c r="M2101" s="338">
        <f t="shared" si="94"/>
        <v>32.780437573241734</v>
      </c>
      <c r="N2101" s="338">
        <f t="shared" si="94"/>
        <v>32.780437573241734</v>
      </c>
      <c r="O2101" s="338"/>
    </row>
    <row r="2102" spans="1:15" hidden="1" outlineLevel="2" x14ac:dyDescent="0.35">
      <c r="A2102" s="425" t="s">
        <v>105</v>
      </c>
      <c r="B2102" s="327">
        <v>44457</v>
      </c>
      <c r="C2102" s="426">
        <v>32968</v>
      </c>
      <c r="D2102" s="427" t="s">
        <v>10858</v>
      </c>
      <c r="E2102" s="426" t="s">
        <v>10859</v>
      </c>
      <c r="F2102" s="338">
        <v>708000</v>
      </c>
      <c r="G2102" s="338" t="s">
        <v>9869</v>
      </c>
      <c r="H2102" s="338"/>
      <c r="I2102" s="329">
        <f>+F2102/'[10]Income + exchange rates'!$G$60</f>
        <v>168.78945310440105</v>
      </c>
      <c r="J2102" s="329"/>
      <c r="K2102" s="338">
        <f t="shared" si="94"/>
        <v>42.197363276100262</v>
      </c>
      <c r="L2102" s="338">
        <f t="shared" si="94"/>
        <v>42.197363276100262</v>
      </c>
      <c r="M2102" s="338">
        <f t="shared" si="94"/>
        <v>42.197363276100262</v>
      </c>
      <c r="N2102" s="338">
        <f t="shared" si="94"/>
        <v>42.197363276100262</v>
      </c>
      <c r="O2102" s="338"/>
    </row>
    <row r="2103" spans="1:15" hidden="1" outlineLevel="2" x14ac:dyDescent="0.35">
      <c r="A2103" s="425" t="s">
        <v>105</v>
      </c>
      <c r="B2103" s="327">
        <v>44543</v>
      </c>
      <c r="C2103" s="426">
        <v>33907</v>
      </c>
      <c r="D2103" s="427" t="s">
        <v>10860</v>
      </c>
      <c r="E2103" s="426" t="s">
        <v>10859</v>
      </c>
      <c r="F2103" s="338">
        <v>708000</v>
      </c>
      <c r="G2103" s="338" t="s">
        <v>9869</v>
      </c>
      <c r="H2103" s="338"/>
      <c r="I2103" s="329">
        <f>+F2103/'[10]Income + exchange rates'!$G$60</f>
        <v>168.78945310440105</v>
      </c>
      <c r="J2103" s="329"/>
      <c r="K2103" s="338">
        <f t="shared" si="94"/>
        <v>42.197363276100262</v>
      </c>
      <c r="L2103" s="338">
        <f t="shared" si="94"/>
        <v>42.197363276100262</v>
      </c>
      <c r="M2103" s="338">
        <f t="shared" si="94"/>
        <v>42.197363276100262</v>
      </c>
      <c r="N2103" s="338">
        <f t="shared" si="94"/>
        <v>42.197363276100262</v>
      </c>
      <c r="O2103" s="338"/>
    </row>
    <row r="2104" spans="1:15" hidden="1" outlineLevel="2" x14ac:dyDescent="0.35">
      <c r="A2104" s="425" t="s">
        <v>105</v>
      </c>
      <c r="B2104" s="327">
        <v>44264</v>
      </c>
      <c r="C2104" s="426">
        <v>31753</v>
      </c>
      <c r="D2104" s="427" t="s">
        <v>10861</v>
      </c>
      <c r="E2104" s="426" t="s">
        <v>10859</v>
      </c>
      <c r="F2104" s="338">
        <v>708000</v>
      </c>
      <c r="G2104" s="338" t="s">
        <v>9869</v>
      </c>
      <c r="H2104" s="338"/>
      <c r="I2104" s="329">
        <f>+F2104/'[10]Income + exchange rates'!$G$60</f>
        <v>168.78945310440105</v>
      </c>
      <c r="J2104" s="329"/>
      <c r="K2104" s="338">
        <f t="shared" si="94"/>
        <v>42.197363276100262</v>
      </c>
      <c r="L2104" s="338">
        <f t="shared" si="94"/>
        <v>42.197363276100262</v>
      </c>
      <c r="M2104" s="338">
        <f t="shared" si="94"/>
        <v>42.197363276100262</v>
      </c>
      <c r="N2104" s="338">
        <f t="shared" si="94"/>
        <v>42.197363276100262</v>
      </c>
      <c r="O2104" s="338"/>
    </row>
    <row r="2105" spans="1:15" hidden="1" outlineLevel="2" x14ac:dyDescent="0.35">
      <c r="A2105" s="425" t="s">
        <v>105</v>
      </c>
      <c r="B2105" s="327">
        <v>44239</v>
      </c>
      <c r="C2105" s="426">
        <v>31419</v>
      </c>
      <c r="D2105" s="427" t="s">
        <v>10862</v>
      </c>
      <c r="E2105" s="426" t="s">
        <v>10859</v>
      </c>
      <c r="F2105" s="338">
        <v>708000</v>
      </c>
      <c r="G2105" s="338" t="s">
        <v>9869</v>
      </c>
      <c r="H2105" s="338"/>
      <c r="I2105" s="329">
        <f>+F2105/'[10]Income + exchange rates'!$G$60</f>
        <v>168.78945310440105</v>
      </c>
      <c r="J2105" s="329"/>
      <c r="K2105" s="338">
        <f t="shared" si="94"/>
        <v>42.197363276100262</v>
      </c>
      <c r="L2105" s="338">
        <f t="shared" si="94"/>
        <v>42.197363276100262</v>
      </c>
      <c r="M2105" s="338">
        <f t="shared" si="94"/>
        <v>42.197363276100262</v>
      </c>
      <c r="N2105" s="338">
        <f t="shared" si="94"/>
        <v>42.197363276100262</v>
      </c>
      <c r="O2105" s="338"/>
    </row>
    <row r="2106" spans="1:15" hidden="1" outlineLevel="2" x14ac:dyDescent="0.35">
      <c r="A2106" s="425" t="s">
        <v>105</v>
      </c>
      <c r="B2106" s="327">
        <v>44411</v>
      </c>
      <c r="C2106" s="426" t="s">
        <v>10822</v>
      </c>
      <c r="D2106" s="427" t="s">
        <v>10863</v>
      </c>
      <c r="E2106" s="426" t="s">
        <v>10859</v>
      </c>
      <c r="F2106" s="338">
        <v>708000</v>
      </c>
      <c r="G2106" s="338" t="s">
        <v>9869</v>
      </c>
      <c r="H2106" s="338"/>
      <c r="I2106" s="329">
        <f>+F2106/'[10]Income + exchange rates'!$G$60</f>
        <v>168.78945310440105</v>
      </c>
      <c r="J2106" s="329"/>
      <c r="K2106" s="338">
        <f t="shared" si="94"/>
        <v>42.197363276100262</v>
      </c>
      <c r="L2106" s="338">
        <f t="shared" si="94"/>
        <v>42.197363276100262</v>
      </c>
      <c r="M2106" s="338">
        <f t="shared" si="94"/>
        <v>42.197363276100262</v>
      </c>
      <c r="N2106" s="338">
        <f t="shared" si="94"/>
        <v>42.197363276100262</v>
      </c>
      <c r="O2106" s="338"/>
    </row>
    <row r="2107" spans="1:15" hidden="1" outlineLevel="2" x14ac:dyDescent="0.35">
      <c r="A2107" s="425" t="s">
        <v>105</v>
      </c>
      <c r="B2107" s="327">
        <v>44392</v>
      </c>
      <c r="C2107" s="426">
        <v>32444</v>
      </c>
      <c r="D2107" s="427" t="s">
        <v>10864</v>
      </c>
      <c r="E2107" s="426" t="s">
        <v>10859</v>
      </c>
      <c r="F2107" s="338">
        <v>708000</v>
      </c>
      <c r="G2107" s="338" t="s">
        <v>9869</v>
      </c>
      <c r="H2107" s="338"/>
      <c r="I2107" s="329">
        <f>+F2107/'[10]Income + exchange rates'!$G$60</f>
        <v>168.78945310440105</v>
      </c>
      <c r="J2107" s="329"/>
      <c r="K2107" s="338">
        <f t="shared" si="94"/>
        <v>42.197363276100262</v>
      </c>
      <c r="L2107" s="338">
        <f t="shared" si="94"/>
        <v>42.197363276100262</v>
      </c>
      <c r="M2107" s="338">
        <f t="shared" si="94"/>
        <v>42.197363276100262</v>
      </c>
      <c r="N2107" s="338">
        <f t="shared" si="94"/>
        <v>42.197363276100262</v>
      </c>
      <c r="O2107" s="338"/>
    </row>
    <row r="2108" spans="1:15" hidden="1" outlineLevel="2" x14ac:dyDescent="0.35">
      <c r="A2108" s="425" t="s">
        <v>105</v>
      </c>
      <c r="B2108" s="327">
        <v>44307</v>
      </c>
      <c r="C2108" s="426">
        <v>32006</v>
      </c>
      <c r="D2108" s="427" t="s">
        <v>10865</v>
      </c>
      <c r="E2108" s="426" t="s">
        <v>10859</v>
      </c>
      <c r="F2108" s="338">
        <v>1416000</v>
      </c>
      <c r="G2108" s="338" t="s">
        <v>9869</v>
      </c>
      <c r="H2108" s="338"/>
      <c r="I2108" s="329">
        <f>+F2108/'[10]Income + exchange rates'!$G$60</f>
        <v>337.5789062088021</v>
      </c>
      <c r="J2108" s="329"/>
      <c r="K2108" s="338">
        <f t="shared" si="94"/>
        <v>84.394726552200524</v>
      </c>
      <c r="L2108" s="338">
        <f t="shared" si="94"/>
        <v>84.394726552200524</v>
      </c>
      <c r="M2108" s="338">
        <f t="shared" si="94"/>
        <v>84.394726552200524</v>
      </c>
      <c r="N2108" s="338">
        <f t="shared" si="94"/>
        <v>84.394726552200524</v>
      </c>
      <c r="O2108" s="338"/>
    </row>
    <row r="2109" spans="1:15" hidden="1" outlineLevel="2" x14ac:dyDescent="0.35">
      <c r="A2109" s="425" t="s">
        <v>105</v>
      </c>
      <c r="B2109" s="327">
        <v>44361</v>
      </c>
      <c r="C2109" s="426">
        <v>32320</v>
      </c>
      <c r="D2109" s="427" t="s">
        <v>10866</v>
      </c>
      <c r="E2109" s="426" t="s">
        <v>10859</v>
      </c>
      <c r="F2109" s="338">
        <v>708000</v>
      </c>
      <c r="G2109" s="338" t="s">
        <v>9869</v>
      </c>
      <c r="H2109" s="338"/>
      <c r="I2109" s="329">
        <f>+F2109/'[10]Income + exchange rates'!$G$60</f>
        <v>168.78945310440105</v>
      </c>
      <c r="J2109" s="329"/>
      <c r="K2109" s="338">
        <f t="shared" si="94"/>
        <v>42.197363276100262</v>
      </c>
      <c r="L2109" s="338">
        <f t="shared" si="94"/>
        <v>42.197363276100262</v>
      </c>
      <c r="M2109" s="338">
        <f t="shared" si="94"/>
        <v>42.197363276100262</v>
      </c>
      <c r="N2109" s="338">
        <f t="shared" si="94"/>
        <v>42.197363276100262</v>
      </c>
      <c r="O2109" s="338"/>
    </row>
    <row r="2110" spans="1:15" hidden="1" outlineLevel="2" x14ac:dyDescent="0.35">
      <c r="A2110" s="425" t="s">
        <v>105</v>
      </c>
      <c r="B2110" s="327">
        <v>44523</v>
      </c>
      <c r="C2110" s="426">
        <v>33674</v>
      </c>
      <c r="D2110" s="427" t="s">
        <v>10867</v>
      </c>
      <c r="E2110" s="426" t="s">
        <v>10859</v>
      </c>
      <c r="F2110" s="338">
        <v>708000</v>
      </c>
      <c r="G2110" s="338" t="s">
        <v>9869</v>
      </c>
      <c r="H2110" s="338"/>
      <c r="I2110" s="329">
        <f>+F2110/'[10]Income + exchange rates'!$G$60</f>
        <v>168.78945310440105</v>
      </c>
      <c r="J2110" s="329"/>
      <c r="K2110" s="338">
        <f t="shared" si="94"/>
        <v>42.197363276100262</v>
      </c>
      <c r="L2110" s="338">
        <f t="shared" si="94"/>
        <v>42.197363276100262</v>
      </c>
      <c r="M2110" s="338">
        <f t="shared" si="94"/>
        <v>42.197363276100262</v>
      </c>
      <c r="N2110" s="338">
        <f t="shared" si="94"/>
        <v>42.197363276100262</v>
      </c>
      <c r="O2110" s="338"/>
    </row>
    <row r="2111" spans="1:15" hidden="1" outlineLevel="2" x14ac:dyDescent="0.35">
      <c r="A2111" s="425" t="s">
        <v>105</v>
      </c>
      <c r="B2111" s="327">
        <v>44506</v>
      </c>
      <c r="C2111" s="426">
        <v>33623</v>
      </c>
      <c r="D2111" s="427" t="s">
        <v>10868</v>
      </c>
      <c r="E2111" s="426" t="s">
        <v>10859</v>
      </c>
      <c r="F2111" s="338">
        <v>708000</v>
      </c>
      <c r="G2111" s="338" t="s">
        <v>9869</v>
      </c>
      <c r="H2111" s="338"/>
      <c r="I2111" s="329">
        <f>+F2111/'[10]Income + exchange rates'!$G$60</f>
        <v>168.78945310440105</v>
      </c>
      <c r="J2111" s="329"/>
      <c r="K2111" s="338">
        <f t="shared" si="94"/>
        <v>42.197363276100262</v>
      </c>
      <c r="L2111" s="338">
        <f t="shared" si="94"/>
        <v>42.197363276100262</v>
      </c>
      <c r="M2111" s="338">
        <f t="shared" si="94"/>
        <v>42.197363276100262</v>
      </c>
      <c r="N2111" s="338">
        <f t="shared" si="94"/>
        <v>42.197363276100262</v>
      </c>
      <c r="O2111" s="338"/>
    </row>
    <row r="2112" spans="1:15" hidden="1" outlineLevel="2" x14ac:dyDescent="0.35">
      <c r="A2112" s="425" t="s">
        <v>105</v>
      </c>
      <c r="B2112" s="327">
        <v>44470</v>
      </c>
      <c r="C2112" s="426">
        <v>32983</v>
      </c>
      <c r="D2112" s="427" t="s">
        <v>10869</v>
      </c>
      <c r="E2112" s="426" t="s">
        <v>10859</v>
      </c>
      <c r="F2112" s="338">
        <v>708000</v>
      </c>
      <c r="G2112" s="338" t="s">
        <v>9869</v>
      </c>
      <c r="H2112" s="338"/>
      <c r="I2112" s="329">
        <f>+F2112/'[10]Income + exchange rates'!$G$60</f>
        <v>168.78945310440105</v>
      </c>
      <c r="J2112" s="329"/>
      <c r="K2112" s="338">
        <f t="shared" si="94"/>
        <v>42.197363276100262</v>
      </c>
      <c r="L2112" s="338">
        <f t="shared" si="94"/>
        <v>42.197363276100262</v>
      </c>
      <c r="M2112" s="338">
        <f t="shared" si="94"/>
        <v>42.197363276100262</v>
      </c>
      <c r="N2112" s="338">
        <f t="shared" si="94"/>
        <v>42.197363276100262</v>
      </c>
      <c r="O2112" s="338"/>
    </row>
    <row r="2113" spans="1:15" hidden="1" outlineLevel="2" x14ac:dyDescent="0.35">
      <c r="A2113" s="425" t="s">
        <v>105</v>
      </c>
      <c r="B2113" s="327">
        <v>44523</v>
      </c>
      <c r="C2113" s="426" t="s">
        <v>10870</v>
      </c>
      <c r="D2113" s="427" t="s">
        <v>10871</v>
      </c>
      <c r="E2113" s="426" t="s">
        <v>10872</v>
      </c>
      <c r="F2113" s="338">
        <v>135000</v>
      </c>
      <c r="G2113" s="338" t="s">
        <v>9869</v>
      </c>
      <c r="H2113" s="338"/>
      <c r="I2113" s="329">
        <f>+F2113/'[10]Income + exchange rates'!$G$60</f>
        <v>32.184429617364607</v>
      </c>
      <c r="J2113" s="329"/>
      <c r="K2113" s="338">
        <f t="shared" si="94"/>
        <v>8.0461074043411518</v>
      </c>
      <c r="L2113" s="338">
        <f t="shared" si="94"/>
        <v>8.0461074043411518</v>
      </c>
      <c r="M2113" s="338">
        <f t="shared" si="94"/>
        <v>8.0461074043411518</v>
      </c>
      <c r="N2113" s="338">
        <f t="shared" si="94"/>
        <v>8.0461074043411518</v>
      </c>
      <c r="O2113" s="338"/>
    </row>
    <row r="2114" spans="1:15" hidden="1" outlineLevel="2" x14ac:dyDescent="0.35">
      <c r="A2114" s="425" t="s">
        <v>105</v>
      </c>
      <c r="B2114" s="327">
        <v>44245</v>
      </c>
      <c r="C2114" s="426" t="s">
        <v>10873</v>
      </c>
      <c r="D2114" s="427" t="s">
        <v>10874</v>
      </c>
      <c r="E2114" s="426" t="s">
        <v>10875</v>
      </c>
      <c r="F2114" s="338">
        <v>68200</v>
      </c>
      <c r="G2114" s="338" t="s">
        <v>9869</v>
      </c>
      <c r="H2114" s="338"/>
      <c r="I2114" s="329">
        <f>+F2114/'[10]Income + exchange rates'!$G$60</f>
        <v>16.259097036327898</v>
      </c>
      <c r="J2114" s="329"/>
      <c r="K2114" s="338">
        <f t="shared" si="94"/>
        <v>4.0647742590819744</v>
      </c>
      <c r="L2114" s="338">
        <f t="shared" si="94"/>
        <v>4.0647742590819744</v>
      </c>
      <c r="M2114" s="338">
        <f t="shared" si="94"/>
        <v>4.0647742590819744</v>
      </c>
      <c r="N2114" s="338">
        <f t="shared" si="94"/>
        <v>4.0647742590819744</v>
      </c>
      <c r="O2114" s="338"/>
    </row>
    <row r="2115" spans="1:15" hidden="1" outlineLevel="2" x14ac:dyDescent="0.35">
      <c r="A2115" s="425" t="s">
        <v>105</v>
      </c>
      <c r="B2115" s="327">
        <v>44303</v>
      </c>
      <c r="C2115" s="426" t="s">
        <v>10876</v>
      </c>
      <c r="D2115" s="427" t="s">
        <v>10877</v>
      </c>
      <c r="E2115" s="426" t="s">
        <v>10875</v>
      </c>
      <c r="F2115" s="338">
        <v>60000</v>
      </c>
      <c r="G2115" s="338" t="s">
        <v>9869</v>
      </c>
      <c r="H2115" s="338"/>
      <c r="I2115" s="329">
        <f>+F2115/'[10]Income + exchange rates'!$G$60</f>
        <v>14.304190941050937</v>
      </c>
      <c r="J2115" s="329"/>
      <c r="K2115" s="338">
        <f t="shared" si="94"/>
        <v>3.5760477352627342</v>
      </c>
      <c r="L2115" s="338">
        <f t="shared" si="94"/>
        <v>3.5760477352627342</v>
      </c>
      <c r="M2115" s="338">
        <f t="shared" si="94"/>
        <v>3.5760477352627342</v>
      </c>
      <c r="N2115" s="338">
        <f t="shared" si="94"/>
        <v>3.5760477352627342</v>
      </c>
      <c r="O2115" s="338"/>
    </row>
    <row r="2116" spans="1:15" hidden="1" outlineLevel="2" x14ac:dyDescent="0.35">
      <c r="A2116" s="425" t="s">
        <v>105</v>
      </c>
      <c r="B2116" s="327">
        <v>44520</v>
      </c>
      <c r="C2116" s="426">
        <v>2126708</v>
      </c>
      <c r="D2116" s="427" t="s">
        <v>10878</v>
      </c>
      <c r="E2116" s="426" t="s">
        <v>10875</v>
      </c>
      <c r="F2116" s="338">
        <v>176000</v>
      </c>
      <c r="G2116" s="338" t="s">
        <v>9869</v>
      </c>
      <c r="H2116" s="338"/>
      <c r="I2116" s="329">
        <f>+F2116/'[10]Income + exchange rates'!$G$60</f>
        <v>41.958960093749418</v>
      </c>
      <c r="J2116" s="329"/>
      <c r="K2116" s="338">
        <f t="shared" ref="K2116:N2135" si="95">$I2116/4</f>
        <v>10.489740023437355</v>
      </c>
      <c r="L2116" s="338">
        <f t="shared" si="95"/>
        <v>10.489740023437355</v>
      </c>
      <c r="M2116" s="338">
        <f t="shared" si="95"/>
        <v>10.489740023437355</v>
      </c>
      <c r="N2116" s="338">
        <f t="shared" si="95"/>
        <v>10.489740023437355</v>
      </c>
      <c r="O2116" s="338"/>
    </row>
    <row r="2117" spans="1:15" hidden="1" outlineLevel="2" x14ac:dyDescent="0.35">
      <c r="A2117" s="425" t="s">
        <v>105</v>
      </c>
      <c r="B2117" s="327">
        <v>44334</v>
      </c>
      <c r="C2117" s="426">
        <v>2126708</v>
      </c>
      <c r="D2117" s="427" t="s">
        <v>10879</v>
      </c>
      <c r="E2117" s="426" t="s">
        <v>10875</v>
      </c>
      <c r="F2117" s="338">
        <v>114000</v>
      </c>
      <c r="G2117" s="338" t="s">
        <v>9869</v>
      </c>
      <c r="H2117" s="338"/>
      <c r="I2117" s="329">
        <f>+F2117/'[10]Income + exchange rates'!$G$60</f>
        <v>27.17796278799678</v>
      </c>
      <c r="J2117" s="329"/>
      <c r="K2117" s="338">
        <f t="shared" si="95"/>
        <v>6.7944906969991949</v>
      </c>
      <c r="L2117" s="338">
        <f t="shared" si="95"/>
        <v>6.7944906969991949</v>
      </c>
      <c r="M2117" s="338">
        <f t="shared" si="95"/>
        <v>6.7944906969991949</v>
      </c>
      <c r="N2117" s="338">
        <f t="shared" si="95"/>
        <v>6.7944906969991949</v>
      </c>
      <c r="O2117" s="338"/>
    </row>
    <row r="2118" spans="1:15" hidden="1" outlineLevel="2" x14ac:dyDescent="0.35">
      <c r="A2118" s="425" t="s">
        <v>105</v>
      </c>
      <c r="B2118" s="327">
        <v>44491</v>
      </c>
      <c r="C2118" s="426">
        <v>2126708</v>
      </c>
      <c r="D2118" s="427" t="s">
        <v>10880</v>
      </c>
      <c r="E2118" s="426" t="s">
        <v>10875</v>
      </c>
      <c r="F2118" s="338">
        <v>120000</v>
      </c>
      <c r="G2118" s="338" t="s">
        <v>9869</v>
      </c>
      <c r="H2118" s="338"/>
      <c r="I2118" s="329">
        <f>+F2118/'[10]Income + exchange rates'!$G$60</f>
        <v>28.608381882101874</v>
      </c>
      <c r="J2118" s="329"/>
      <c r="K2118" s="338">
        <f t="shared" si="95"/>
        <v>7.1520954705254685</v>
      </c>
      <c r="L2118" s="338">
        <f t="shared" si="95"/>
        <v>7.1520954705254685</v>
      </c>
      <c r="M2118" s="338">
        <f t="shared" si="95"/>
        <v>7.1520954705254685</v>
      </c>
      <c r="N2118" s="338">
        <f t="shared" si="95"/>
        <v>7.1520954705254685</v>
      </c>
      <c r="O2118" s="338"/>
    </row>
    <row r="2119" spans="1:15" hidden="1" outlineLevel="2" x14ac:dyDescent="0.35">
      <c r="A2119" s="425" t="s">
        <v>105</v>
      </c>
      <c r="B2119" s="327">
        <v>44427</v>
      </c>
      <c r="C2119" s="426" t="s">
        <v>10881</v>
      </c>
      <c r="D2119" s="427" t="s">
        <v>10882</v>
      </c>
      <c r="E2119" s="426" t="s">
        <v>10875</v>
      </c>
      <c r="F2119" s="338">
        <v>47200</v>
      </c>
      <c r="G2119" s="338" t="s">
        <v>9869</v>
      </c>
      <c r="H2119" s="338"/>
      <c r="I2119" s="329">
        <f>+F2119/'[10]Income + exchange rates'!$G$60</f>
        <v>11.25263020696007</v>
      </c>
      <c r="J2119" s="329"/>
      <c r="K2119" s="338">
        <f t="shared" si="95"/>
        <v>2.8131575517400176</v>
      </c>
      <c r="L2119" s="338">
        <f t="shared" si="95"/>
        <v>2.8131575517400176</v>
      </c>
      <c r="M2119" s="338">
        <f t="shared" si="95"/>
        <v>2.8131575517400176</v>
      </c>
      <c r="N2119" s="338">
        <f t="shared" si="95"/>
        <v>2.8131575517400176</v>
      </c>
      <c r="O2119" s="338"/>
    </row>
    <row r="2120" spans="1:15" hidden="1" outlineLevel="2" x14ac:dyDescent="0.35">
      <c r="A2120" s="425" t="s">
        <v>105</v>
      </c>
      <c r="B2120" s="327">
        <v>44399</v>
      </c>
      <c r="C2120" s="426" t="s">
        <v>10883</v>
      </c>
      <c r="D2120" s="427" t="s">
        <v>10884</v>
      </c>
      <c r="E2120" s="426" t="s">
        <v>10875</v>
      </c>
      <c r="F2120" s="338">
        <v>89000</v>
      </c>
      <c r="G2120" s="338" t="s">
        <v>9869</v>
      </c>
      <c r="H2120" s="338"/>
      <c r="I2120" s="329">
        <f>+F2120/'[10]Income + exchange rates'!$G$60</f>
        <v>21.217883229225556</v>
      </c>
      <c r="J2120" s="329"/>
      <c r="K2120" s="338">
        <f t="shared" si="95"/>
        <v>5.3044708073063891</v>
      </c>
      <c r="L2120" s="338">
        <f t="shared" si="95"/>
        <v>5.3044708073063891</v>
      </c>
      <c r="M2120" s="338">
        <f t="shared" si="95"/>
        <v>5.3044708073063891</v>
      </c>
      <c r="N2120" s="338">
        <f t="shared" si="95"/>
        <v>5.3044708073063891</v>
      </c>
      <c r="O2120" s="338"/>
    </row>
    <row r="2121" spans="1:15" hidden="1" outlineLevel="2" x14ac:dyDescent="0.35">
      <c r="A2121" s="425" t="s">
        <v>105</v>
      </c>
      <c r="B2121" s="327">
        <v>44365</v>
      </c>
      <c r="C2121" s="426" t="s">
        <v>10885</v>
      </c>
      <c r="D2121" s="427" t="s">
        <v>10886</v>
      </c>
      <c r="E2121" s="426" t="s">
        <v>10875</v>
      </c>
      <c r="F2121" s="338">
        <v>126000</v>
      </c>
      <c r="G2121" s="338" t="s">
        <v>9869</v>
      </c>
      <c r="H2121" s="338"/>
      <c r="I2121" s="329">
        <f>+F2121/'[10]Income + exchange rates'!$G$60</f>
        <v>30.038800976206968</v>
      </c>
      <c r="J2121" s="329"/>
      <c r="K2121" s="338">
        <f t="shared" si="95"/>
        <v>7.509700244051742</v>
      </c>
      <c r="L2121" s="338">
        <f t="shared" si="95"/>
        <v>7.509700244051742</v>
      </c>
      <c r="M2121" s="338">
        <f t="shared" si="95"/>
        <v>7.509700244051742</v>
      </c>
      <c r="N2121" s="338">
        <f t="shared" si="95"/>
        <v>7.509700244051742</v>
      </c>
      <c r="O2121" s="338"/>
    </row>
    <row r="2122" spans="1:15" hidden="1" outlineLevel="2" x14ac:dyDescent="0.35">
      <c r="A2122" s="425" t="s">
        <v>105</v>
      </c>
      <c r="B2122" s="327">
        <v>44282</v>
      </c>
      <c r="C2122" s="426" t="s">
        <v>10822</v>
      </c>
      <c r="D2122" s="427" t="s">
        <v>10887</v>
      </c>
      <c r="E2122" s="426" t="s">
        <v>10856</v>
      </c>
      <c r="F2122" s="338">
        <v>180000</v>
      </c>
      <c r="G2122" s="338" t="s">
        <v>9869</v>
      </c>
      <c r="H2122" s="338"/>
      <c r="I2122" s="329">
        <f>+F2122/'[10]Income + exchange rates'!$G$60</f>
        <v>42.912572823152814</v>
      </c>
      <c r="J2122" s="329"/>
      <c r="K2122" s="338">
        <f t="shared" si="95"/>
        <v>10.728143205788204</v>
      </c>
      <c r="L2122" s="338">
        <f t="shared" si="95"/>
        <v>10.728143205788204</v>
      </c>
      <c r="M2122" s="338">
        <f t="shared" si="95"/>
        <v>10.728143205788204</v>
      </c>
      <c r="N2122" s="338">
        <f t="shared" si="95"/>
        <v>10.728143205788204</v>
      </c>
      <c r="O2122" s="338"/>
    </row>
    <row r="2123" spans="1:15" hidden="1" outlineLevel="2" x14ac:dyDescent="0.35">
      <c r="A2123" s="425" t="s">
        <v>105</v>
      </c>
      <c r="B2123" s="327">
        <v>44316</v>
      </c>
      <c r="C2123" s="426" t="s">
        <v>10822</v>
      </c>
      <c r="D2123" s="427" t="s">
        <v>10888</v>
      </c>
      <c r="E2123" s="426" t="s">
        <v>10856</v>
      </c>
      <c r="F2123" s="338">
        <v>180000</v>
      </c>
      <c r="G2123" s="338" t="s">
        <v>9869</v>
      </c>
      <c r="H2123" s="338"/>
      <c r="I2123" s="329">
        <f>+F2123/'[10]Income + exchange rates'!$G$60</f>
        <v>42.912572823152814</v>
      </c>
      <c r="J2123" s="329"/>
      <c r="K2123" s="338">
        <f t="shared" si="95"/>
        <v>10.728143205788204</v>
      </c>
      <c r="L2123" s="338">
        <f t="shared" si="95"/>
        <v>10.728143205788204</v>
      </c>
      <c r="M2123" s="338">
        <f t="shared" si="95"/>
        <v>10.728143205788204</v>
      </c>
      <c r="N2123" s="338">
        <f t="shared" si="95"/>
        <v>10.728143205788204</v>
      </c>
      <c r="O2123" s="338"/>
    </row>
    <row r="2124" spans="1:15" hidden="1" outlineLevel="2" x14ac:dyDescent="0.35">
      <c r="A2124" s="425" t="s">
        <v>105</v>
      </c>
      <c r="B2124" s="327">
        <v>44456</v>
      </c>
      <c r="C2124" s="426" t="s">
        <v>10822</v>
      </c>
      <c r="D2124" s="427" t="s">
        <v>10889</v>
      </c>
      <c r="E2124" s="426" t="s">
        <v>10856</v>
      </c>
      <c r="F2124" s="338">
        <v>180000</v>
      </c>
      <c r="G2124" s="338" t="s">
        <v>9869</v>
      </c>
      <c r="H2124" s="338"/>
      <c r="I2124" s="329">
        <f>+F2124/'[10]Income + exchange rates'!$G$60</f>
        <v>42.912572823152814</v>
      </c>
      <c r="J2124" s="329"/>
      <c r="K2124" s="338">
        <f t="shared" si="95"/>
        <v>10.728143205788204</v>
      </c>
      <c r="L2124" s="338">
        <f t="shared" si="95"/>
        <v>10.728143205788204</v>
      </c>
      <c r="M2124" s="338">
        <f t="shared" si="95"/>
        <v>10.728143205788204</v>
      </c>
      <c r="N2124" s="338">
        <f t="shared" si="95"/>
        <v>10.728143205788204</v>
      </c>
      <c r="O2124" s="338"/>
    </row>
    <row r="2125" spans="1:15" hidden="1" outlineLevel="2" x14ac:dyDescent="0.35">
      <c r="A2125" s="425" t="s">
        <v>105</v>
      </c>
      <c r="B2125" s="327">
        <v>44540</v>
      </c>
      <c r="C2125" s="426" t="s">
        <v>10822</v>
      </c>
      <c r="D2125" s="427" t="s">
        <v>10890</v>
      </c>
      <c r="E2125" s="426" t="s">
        <v>10856</v>
      </c>
      <c r="F2125" s="338">
        <v>330000</v>
      </c>
      <c r="G2125" s="338" t="s">
        <v>9869</v>
      </c>
      <c r="H2125" s="338"/>
      <c r="I2125" s="329">
        <f>+F2125/'[10]Income + exchange rates'!$G$60</f>
        <v>78.673050175780162</v>
      </c>
      <c r="J2125" s="329"/>
      <c r="K2125" s="338">
        <f t="shared" si="95"/>
        <v>19.66826254394504</v>
      </c>
      <c r="L2125" s="338">
        <f t="shared" si="95"/>
        <v>19.66826254394504</v>
      </c>
      <c r="M2125" s="338">
        <f t="shared" si="95"/>
        <v>19.66826254394504</v>
      </c>
      <c r="N2125" s="338">
        <f t="shared" si="95"/>
        <v>19.66826254394504</v>
      </c>
      <c r="O2125" s="338"/>
    </row>
    <row r="2126" spans="1:15" hidden="1" outlineLevel="2" x14ac:dyDescent="0.35">
      <c r="A2126" s="425" t="s">
        <v>105</v>
      </c>
      <c r="B2126" s="327">
        <v>44411</v>
      </c>
      <c r="C2126" s="426" t="s">
        <v>10822</v>
      </c>
      <c r="D2126" s="427" t="s">
        <v>10891</v>
      </c>
      <c r="E2126" s="426" t="s">
        <v>10856</v>
      </c>
      <c r="F2126" s="338">
        <v>180000</v>
      </c>
      <c r="G2126" s="338" t="s">
        <v>9869</v>
      </c>
      <c r="H2126" s="338"/>
      <c r="I2126" s="329">
        <f>+F2126/'[10]Income + exchange rates'!$G$60</f>
        <v>42.912572823152814</v>
      </c>
      <c r="J2126" s="329"/>
      <c r="K2126" s="338">
        <f t="shared" si="95"/>
        <v>10.728143205788204</v>
      </c>
      <c r="L2126" s="338">
        <f t="shared" si="95"/>
        <v>10.728143205788204</v>
      </c>
      <c r="M2126" s="338">
        <f t="shared" si="95"/>
        <v>10.728143205788204</v>
      </c>
      <c r="N2126" s="338">
        <f t="shared" si="95"/>
        <v>10.728143205788204</v>
      </c>
      <c r="O2126" s="338"/>
    </row>
    <row r="2127" spans="1:15" hidden="1" outlineLevel="2" x14ac:dyDescent="0.35">
      <c r="A2127" s="425" t="s">
        <v>105</v>
      </c>
      <c r="B2127" s="327">
        <v>44377</v>
      </c>
      <c r="C2127" s="426" t="s">
        <v>10822</v>
      </c>
      <c r="D2127" s="427" t="s">
        <v>10892</v>
      </c>
      <c r="E2127" s="426" t="s">
        <v>10856</v>
      </c>
      <c r="F2127" s="338">
        <v>180000</v>
      </c>
      <c r="G2127" s="338" t="s">
        <v>9869</v>
      </c>
      <c r="H2127" s="338"/>
      <c r="I2127" s="329">
        <f>+F2127/'[10]Income + exchange rates'!$G$60</f>
        <v>42.912572823152814</v>
      </c>
      <c r="J2127" s="329"/>
      <c r="K2127" s="338">
        <f t="shared" si="95"/>
        <v>10.728143205788204</v>
      </c>
      <c r="L2127" s="338">
        <f t="shared" si="95"/>
        <v>10.728143205788204</v>
      </c>
      <c r="M2127" s="338">
        <f t="shared" si="95"/>
        <v>10.728143205788204</v>
      </c>
      <c r="N2127" s="338">
        <f t="shared" si="95"/>
        <v>10.728143205788204</v>
      </c>
      <c r="O2127" s="338"/>
    </row>
    <row r="2128" spans="1:15" hidden="1" outlineLevel="2" x14ac:dyDescent="0.35">
      <c r="A2128" s="425" t="s">
        <v>105</v>
      </c>
      <c r="B2128" s="327">
        <v>44342</v>
      </c>
      <c r="C2128" s="426" t="s">
        <v>10822</v>
      </c>
      <c r="D2128" s="427" t="s">
        <v>10893</v>
      </c>
      <c r="E2128" s="426" t="s">
        <v>10856</v>
      </c>
      <c r="F2128" s="338">
        <v>180000</v>
      </c>
      <c r="G2128" s="338" t="s">
        <v>9869</v>
      </c>
      <c r="H2128" s="338"/>
      <c r="I2128" s="329">
        <f>+F2128/'[10]Income + exchange rates'!$G$60</f>
        <v>42.912572823152814</v>
      </c>
      <c r="J2128" s="329"/>
      <c r="K2128" s="338">
        <f t="shared" si="95"/>
        <v>10.728143205788204</v>
      </c>
      <c r="L2128" s="338">
        <f t="shared" si="95"/>
        <v>10.728143205788204</v>
      </c>
      <c r="M2128" s="338">
        <f t="shared" si="95"/>
        <v>10.728143205788204</v>
      </c>
      <c r="N2128" s="338">
        <f t="shared" si="95"/>
        <v>10.728143205788204</v>
      </c>
      <c r="O2128" s="338"/>
    </row>
    <row r="2129" spans="1:15" hidden="1" outlineLevel="2" x14ac:dyDescent="0.35">
      <c r="A2129" s="425" t="s">
        <v>105</v>
      </c>
      <c r="B2129" s="327">
        <v>44530</v>
      </c>
      <c r="C2129" s="426" t="s">
        <v>10822</v>
      </c>
      <c r="D2129" s="427" t="s">
        <v>10894</v>
      </c>
      <c r="E2129" s="426" t="s">
        <v>10856</v>
      </c>
      <c r="F2129" s="338">
        <v>180000</v>
      </c>
      <c r="G2129" s="338" t="s">
        <v>9869</v>
      </c>
      <c r="H2129" s="338"/>
      <c r="I2129" s="329">
        <f>+F2129/'[10]Income + exchange rates'!$G$60</f>
        <v>42.912572823152814</v>
      </c>
      <c r="J2129" s="329"/>
      <c r="K2129" s="338">
        <f t="shared" si="95"/>
        <v>10.728143205788204</v>
      </c>
      <c r="L2129" s="338">
        <f t="shared" si="95"/>
        <v>10.728143205788204</v>
      </c>
      <c r="M2129" s="338">
        <f t="shared" si="95"/>
        <v>10.728143205788204</v>
      </c>
      <c r="N2129" s="338">
        <f t="shared" si="95"/>
        <v>10.728143205788204</v>
      </c>
      <c r="O2129" s="338"/>
    </row>
    <row r="2130" spans="1:15" hidden="1" outlineLevel="2" x14ac:dyDescent="0.35">
      <c r="A2130" s="425" t="s">
        <v>105</v>
      </c>
      <c r="B2130" s="327">
        <v>44499</v>
      </c>
      <c r="C2130" s="426" t="s">
        <v>10822</v>
      </c>
      <c r="D2130" s="427" t="s">
        <v>10895</v>
      </c>
      <c r="E2130" s="426" t="s">
        <v>10856</v>
      </c>
      <c r="F2130" s="338">
        <v>180000</v>
      </c>
      <c r="G2130" s="338" t="s">
        <v>9869</v>
      </c>
      <c r="H2130" s="338"/>
      <c r="I2130" s="329">
        <f>+F2130/'[10]Income + exchange rates'!$G$60</f>
        <v>42.912572823152814</v>
      </c>
      <c r="J2130" s="329"/>
      <c r="K2130" s="338">
        <f t="shared" si="95"/>
        <v>10.728143205788204</v>
      </c>
      <c r="L2130" s="338">
        <f t="shared" si="95"/>
        <v>10.728143205788204</v>
      </c>
      <c r="M2130" s="338">
        <f t="shared" si="95"/>
        <v>10.728143205788204</v>
      </c>
      <c r="N2130" s="338">
        <f t="shared" si="95"/>
        <v>10.728143205788204</v>
      </c>
      <c r="O2130" s="338"/>
    </row>
    <row r="2131" spans="1:15" hidden="1" outlineLevel="2" x14ac:dyDescent="0.35">
      <c r="A2131" s="425" t="s">
        <v>105</v>
      </c>
      <c r="B2131" s="327">
        <v>44465</v>
      </c>
      <c r="C2131" s="426" t="s">
        <v>10822</v>
      </c>
      <c r="D2131" s="427" t="s">
        <v>10896</v>
      </c>
      <c r="E2131" s="426" t="s">
        <v>10856</v>
      </c>
      <c r="F2131" s="338">
        <v>180000</v>
      </c>
      <c r="G2131" s="338" t="s">
        <v>9869</v>
      </c>
      <c r="H2131" s="338"/>
      <c r="I2131" s="329">
        <f>+F2131/'[10]Income + exchange rates'!$G$60</f>
        <v>42.912572823152814</v>
      </c>
      <c r="J2131" s="329"/>
      <c r="K2131" s="338">
        <f t="shared" si="95"/>
        <v>10.728143205788204</v>
      </c>
      <c r="L2131" s="338">
        <f t="shared" si="95"/>
        <v>10.728143205788204</v>
      </c>
      <c r="M2131" s="338">
        <f t="shared" si="95"/>
        <v>10.728143205788204</v>
      </c>
      <c r="N2131" s="338">
        <f t="shared" si="95"/>
        <v>10.728143205788204</v>
      </c>
      <c r="O2131" s="338"/>
    </row>
    <row r="2132" spans="1:15" hidden="1" outlineLevel="2" x14ac:dyDescent="0.35">
      <c r="A2132" s="425" t="s">
        <v>105</v>
      </c>
      <c r="B2132" s="327">
        <v>44239</v>
      </c>
      <c r="C2132" s="426">
        <v>190947</v>
      </c>
      <c r="D2132" s="427" t="s">
        <v>10897</v>
      </c>
      <c r="E2132" s="426" t="s">
        <v>10579</v>
      </c>
      <c r="F2132" s="338">
        <v>234000</v>
      </c>
      <c r="G2132" s="338" t="s">
        <v>9869</v>
      </c>
      <c r="H2132" s="338"/>
      <c r="I2132" s="329">
        <f>+F2132/'[10]Income + exchange rates'!$G$60</f>
        <v>55.786344670098657</v>
      </c>
      <c r="J2132" s="329"/>
      <c r="K2132" s="338">
        <f t="shared" si="95"/>
        <v>13.946586167524664</v>
      </c>
      <c r="L2132" s="338">
        <f t="shared" si="95"/>
        <v>13.946586167524664</v>
      </c>
      <c r="M2132" s="338">
        <f t="shared" si="95"/>
        <v>13.946586167524664</v>
      </c>
      <c r="N2132" s="338">
        <f t="shared" si="95"/>
        <v>13.946586167524664</v>
      </c>
      <c r="O2132" s="338"/>
    </row>
    <row r="2133" spans="1:15" hidden="1" outlineLevel="2" x14ac:dyDescent="0.35">
      <c r="A2133" s="425" t="s">
        <v>105</v>
      </c>
      <c r="B2133" s="327">
        <v>44274</v>
      </c>
      <c r="C2133" s="426" t="s">
        <v>10898</v>
      </c>
      <c r="D2133" s="427" t="s">
        <v>10899</v>
      </c>
      <c r="E2133" s="426" t="s">
        <v>10875</v>
      </c>
      <c r="F2133" s="338">
        <v>101300</v>
      </c>
      <c r="G2133" s="338" t="s">
        <v>9869</v>
      </c>
      <c r="H2133" s="338"/>
      <c r="I2133" s="329">
        <f>+F2133/'[10]Income + exchange rates'!$G$60</f>
        <v>24.150242372140998</v>
      </c>
      <c r="J2133" s="329"/>
      <c r="K2133" s="338">
        <f t="shared" si="95"/>
        <v>6.0375605930352494</v>
      </c>
      <c r="L2133" s="338">
        <f t="shared" si="95"/>
        <v>6.0375605930352494</v>
      </c>
      <c r="M2133" s="338">
        <f t="shared" si="95"/>
        <v>6.0375605930352494</v>
      </c>
      <c r="N2133" s="338">
        <f t="shared" si="95"/>
        <v>6.0375605930352494</v>
      </c>
      <c r="O2133" s="338"/>
    </row>
    <row r="2134" spans="1:15" hidden="1" outlineLevel="2" x14ac:dyDescent="0.35">
      <c r="A2134" s="425" t="s">
        <v>105</v>
      </c>
      <c r="B2134" s="327">
        <v>44226</v>
      </c>
      <c r="C2134" s="426" t="s">
        <v>10822</v>
      </c>
      <c r="D2134" s="427" t="s">
        <v>10900</v>
      </c>
      <c r="E2134" s="426" t="s">
        <v>8110</v>
      </c>
      <c r="F2134" s="338">
        <v>145000</v>
      </c>
      <c r="G2134" s="338" t="s">
        <v>9869</v>
      </c>
      <c r="H2134" s="338"/>
      <c r="I2134" s="329">
        <f>+F2134/'[10]Income + exchange rates'!$G$60</f>
        <v>34.568461440873101</v>
      </c>
      <c r="J2134" s="329"/>
      <c r="K2134" s="338">
        <f t="shared" si="95"/>
        <v>8.6421153602182752</v>
      </c>
      <c r="L2134" s="338">
        <f t="shared" si="95"/>
        <v>8.6421153602182752</v>
      </c>
      <c r="M2134" s="338">
        <f t="shared" si="95"/>
        <v>8.6421153602182752</v>
      </c>
      <c r="N2134" s="338">
        <f t="shared" si="95"/>
        <v>8.6421153602182752</v>
      </c>
      <c r="O2134" s="338"/>
    </row>
    <row r="2135" spans="1:15" hidden="1" outlineLevel="2" x14ac:dyDescent="0.35">
      <c r="A2135" s="425" t="s">
        <v>105</v>
      </c>
      <c r="B2135" s="327">
        <v>44253</v>
      </c>
      <c r="C2135" s="426" t="s">
        <v>10822</v>
      </c>
      <c r="D2135" s="427" t="s">
        <v>10900</v>
      </c>
      <c r="E2135" s="426" t="s">
        <v>8110</v>
      </c>
      <c r="F2135" s="338">
        <v>145000</v>
      </c>
      <c r="G2135" s="338" t="s">
        <v>9869</v>
      </c>
      <c r="H2135" s="338"/>
      <c r="I2135" s="329">
        <f>+F2135/'[10]Income + exchange rates'!$G$60</f>
        <v>34.568461440873101</v>
      </c>
      <c r="J2135" s="329"/>
      <c r="K2135" s="338">
        <f t="shared" si="95"/>
        <v>8.6421153602182752</v>
      </c>
      <c r="L2135" s="338">
        <f t="shared" si="95"/>
        <v>8.6421153602182752</v>
      </c>
      <c r="M2135" s="338">
        <f t="shared" si="95"/>
        <v>8.6421153602182752</v>
      </c>
      <c r="N2135" s="338">
        <f t="shared" si="95"/>
        <v>8.6421153602182752</v>
      </c>
      <c r="O2135" s="338"/>
    </row>
    <row r="2136" spans="1:15" hidden="1" outlineLevel="2" x14ac:dyDescent="0.35">
      <c r="A2136" s="425" t="s">
        <v>105</v>
      </c>
      <c r="B2136" s="327">
        <v>44285</v>
      </c>
      <c r="C2136" s="426" t="s">
        <v>10822</v>
      </c>
      <c r="D2136" s="427" t="s">
        <v>10900</v>
      </c>
      <c r="E2136" s="426" t="s">
        <v>8110</v>
      </c>
      <c r="F2136" s="338">
        <v>145000</v>
      </c>
      <c r="G2136" s="338" t="s">
        <v>9869</v>
      </c>
      <c r="H2136" s="338"/>
      <c r="I2136" s="329">
        <f>+F2136/'[10]Income + exchange rates'!$G$60</f>
        <v>34.568461440873101</v>
      </c>
      <c r="J2136" s="329"/>
      <c r="K2136" s="338">
        <f t="shared" ref="K2136:N2155" si="96">$I2136/4</f>
        <v>8.6421153602182752</v>
      </c>
      <c r="L2136" s="338">
        <f t="shared" si="96"/>
        <v>8.6421153602182752</v>
      </c>
      <c r="M2136" s="338">
        <f t="shared" si="96"/>
        <v>8.6421153602182752</v>
      </c>
      <c r="N2136" s="338">
        <f t="shared" si="96"/>
        <v>8.6421153602182752</v>
      </c>
      <c r="O2136" s="338"/>
    </row>
    <row r="2137" spans="1:15" hidden="1" outlineLevel="2" x14ac:dyDescent="0.35">
      <c r="A2137" s="425" t="s">
        <v>105</v>
      </c>
      <c r="B2137" s="327">
        <v>44206</v>
      </c>
      <c r="C2137" s="426" t="s">
        <v>10660</v>
      </c>
      <c r="D2137" s="427" t="s">
        <v>10901</v>
      </c>
      <c r="E2137" s="426" t="s">
        <v>10662</v>
      </c>
      <c r="F2137" s="338">
        <v>106000</v>
      </c>
      <c r="G2137" s="338" t="s">
        <v>9869</v>
      </c>
      <c r="H2137" s="338"/>
      <c r="I2137" s="329">
        <f>+F2137/'[10]Income + exchange rates'!$G$60</f>
        <v>25.270737329189988</v>
      </c>
      <c r="J2137" s="329"/>
      <c r="K2137" s="338">
        <f t="shared" si="96"/>
        <v>6.3176843322974969</v>
      </c>
      <c r="L2137" s="338">
        <f t="shared" si="96"/>
        <v>6.3176843322974969</v>
      </c>
      <c r="M2137" s="338">
        <f t="shared" si="96"/>
        <v>6.3176843322974969</v>
      </c>
      <c r="N2137" s="338">
        <f t="shared" si="96"/>
        <v>6.3176843322974969</v>
      </c>
      <c r="O2137" s="338"/>
    </row>
    <row r="2138" spans="1:15" hidden="1" outlineLevel="2" x14ac:dyDescent="0.35">
      <c r="A2138" s="425" t="s">
        <v>105</v>
      </c>
      <c r="B2138" s="327">
        <v>43866</v>
      </c>
      <c r="C2138" s="426" t="s">
        <v>10902</v>
      </c>
      <c r="D2138" s="427" t="s">
        <v>10901</v>
      </c>
      <c r="E2138" s="426" t="s">
        <v>10662</v>
      </c>
      <c r="F2138" s="338">
        <v>106000</v>
      </c>
      <c r="G2138" s="338" t="s">
        <v>9869</v>
      </c>
      <c r="H2138" s="338"/>
      <c r="I2138" s="329">
        <f>+F2138/'[10]Income + exchange rates'!$G$29</f>
        <v>24.848327185377968</v>
      </c>
      <c r="J2138" s="329"/>
      <c r="K2138" s="338">
        <f t="shared" si="96"/>
        <v>6.2120817963444921</v>
      </c>
      <c r="L2138" s="338">
        <f t="shared" si="96"/>
        <v>6.2120817963444921</v>
      </c>
      <c r="M2138" s="338">
        <f t="shared" si="96"/>
        <v>6.2120817963444921</v>
      </c>
      <c r="N2138" s="338">
        <f t="shared" si="96"/>
        <v>6.2120817963444921</v>
      </c>
      <c r="O2138" s="338"/>
    </row>
    <row r="2139" spans="1:15" hidden="1" outlineLevel="2" x14ac:dyDescent="0.35">
      <c r="A2139" s="425" t="s">
        <v>105</v>
      </c>
      <c r="B2139" s="327">
        <v>43897</v>
      </c>
      <c r="C2139" s="426" t="s">
        <v>10903</v>
      </c>
      <c r="D2139" s="427" t="s">
        <v>10901</v>
      </c>
      <c r="E2139" s="426" t="s">
        <v>10662</v>
      </c>
      <c r="F2139" s="338">
        <v>106000</v>
      </c>
      <c r="G2139" s="338" t="s">
        <v>9869</v>
      </c>
      <c r="H2139" s="338"/>
      <c r="I2139" s="329">
        <f>+F2139/'[10]Income + exchange rates'!$G$29</f>
        <v>24.848327185377968</v>
      </c>
      <c r="J2139" s="329"/>
      <c r="K2139" s="338">
        <f t="shared" si="96"/>
        <v>6.2120817963444921</v>
      </c>
      <c r="L2139" s="338">
        <f t="shared" si="96"/>
        <v>6.2120817963444921</v>
      </c>
      <c r="M2139" s="338">
        <f t="shared" si="96"/>
        <v>6.2120817963444921</v>
      </c>
      <c r="N2139" s="338">
        <f t="shared" si="96"/>
        <v>6.2120817963444921</v>
      </c>
      <c r="O2139" s="338"/>
    </row>
    <row r="2140" spans="1:15" hidden="1" outlineLevel="2" x14ac:dyDescent="0.35">
      <c r="A2140" s="425" t="s">
        <v>105</v>
      </c>
      <c r="B2140" s="327">
        <v>44468</v>
      </c>
      <c r="C2140" s="426">
        <v>1000225214</v>
      </c>
      <c r="D2140" s="427" t="s">
        <v>10904</v>
      </c>
      <c r="E2140" s="426" t="s">
        <v>10458</v>
      </c>
      <c r="F2140" s="338">
        <v>100000</v>
      </c>
      <c r="G2140" s="338" t="s">
        <v>9869</v>
      </c>
      <c r="H2140" s="338"/>
      <c r="I2140" s="329">
        <f>+F2140/'[10]Income + exchange rates'!$G$60</f>
        <v>23.840318235084897</v>
      </c>
      <c r="J2140" s="329"/>
      <c r="K2140" s="338">
        <f t="shared" si="96"/>
        <v>5.9600795587712243</v>
      </c>
      <c r="L2140" s="338">
        <f t="shared" si="96"/>
        <v>5.9600795587712243</v>
      </c>
      <c r="M2140" s="338">
        <f t="shared" si="96"/>
        <v>5.9600795587712243</v>
      </c>
      <c r="N2140" s="338">
        <f t="shared" si="96"/>
        <v>5.9600795587712243</v>
      </c>
      <c r="O2140" s="338"/>
    </row>
    <row r="2141" spans="1:15" hidden="1" outlineLevel="2" x14ac:dyDescent="0.35">
      <c r="A2141" s="425" t="s">
        <v>105</v>
      </c>
      <c r="B2141" s="327">
        <v>44355</v>
      </c>
      <c r="C2141" s="426">
        <v>100225214</v>
      </c>
      <c r="D2141" s="427" t="s">
        <v>10905</v>
      </c>
      <c r="E2141" s="426" t="s">
        <v>10458</v>
      </c>
      <c r="F2141" s="338">
        <v>50000</v>
      </c>
      <c r="G2141" s="338" t="s">
        <v>9869</v>
      </c>
      <c r="H2141" s="338"/>
      <c r="I2141" s="329">
        <f>+F2141/'[10]Income + exchange rates'!$G$60</f>
        <v>11.920159117542449</v>
      </c>
      <c r="J2141" s="329"/>
      <c r="K2141" s="338">
        <f t="shared" si="96"/>
        <v>2.9800397793856122</v>
      </c>
      <c r="L2141" s="338">
        <f t="shared" si="96"/>
        <v>2.9800397793856122</v>
      </c>
      <c r="M2141" s="338">
        <f t="shared" si="96"/>
        <v>2.9800397793856122</v>
      </c>
      <c r="N2141" s="338">
        <f t="shared" si="96"/>
        <v>2.9800397793856122</v>
      </c>
      <c r="O2141" s="338"/>
    </row>
    <row r="2142" spans="1:15" hidden="1" outlineLevel="2" x14ac:dyDescent="0.35">
      <c r="A2142" s="425" t="s">
        <v>105</v>
      </c>
      <c r="B2142" s="327">
        <v>44355</v>
      </c>
      <c r="C2142" s="426">
        <v>1000097526</v>
      </c>
      <c r="D2142" s="427" t="s">
        <v>10906</v>
      </c>
      <c r="E2142" s="426" t="s">
        <v>10617</v>
      </c>
      <c r="F2142" s="338">
        <v>56000</v>
      </c>
      <c r="G2142" s="338" t="s">
        <v>9869</v>
      </c>
      <c r="H2142" s="338"/>
      <c r="I2142" s="329">
        <f>+F2142/'[10]Income + exchange rates'!$G$60</f>
        <v>13.350578211647541</v>
      </c>
      <c r="J2142" s="329"/>
      <c r="K2142" s="338">
        <f t="shared" si="96"/>
        <v>3.3376445529118852</v>
      </c>
      <c r="L2142" s="338">
        <f t="shared" si="96"/>
        <v>3.3376445529118852</v>
      </c>
      <c r="M2142" s="338">
        <f t="shared" si="96"/>
        <v>3.3376445529118852</v>
      </c>
      <c r="N2142" s="338">
        <f t="shared" si="96"/>
        <v>3.3376445529118852</v>
      </c>
      <c r="O2142" s="338"/>
    </row>
    <row r="2143" spans="1:15" hidden="1" outlineLevel="2" x14ac:dyDescent="0.35">
      <c r="A2143" s="425" t="s">
        <v>105</v>
      </c>
      <c r="B2143" s="327">
        <v>44561</v>
      </c>
      <c r="C2143" s="426" t="s">
        <v>10907</v>
      </c>
      <c r="D2143" s="427" t="s">
        <v>10908</v>
      </c>
      <c r="E2143" s="426" t="s">
        <v>3775</v>
      </c>
      <c r="F2143" s="338">
        <v>83.49</v>
      </c>
      <c r="G2143" s="338" t="s">
        <v>56</v>
      </c>
      <c r="H2143" s="338"/>
      <c r="I2143" s="329">
        <v>83.49</v>
      </c>
      <c r="J2143" s="329"/>
      <c r="K2143" s="338">
        <f t="shared" si="96"/>
        <v>20.872499999999999</v>
      </c>
      <c r="L2143" s="338">
        <f t="shared" si="96"/>
        <v>20.872499999999999</v>
      </c>
      <c r="M2143" s="338">
        <f t="shared" si="96"/>
        <v>20.872499999999999</v>
      </c>
      <c r="N2143" s="338">
        <f t="shared" si="96"/>
        <v>20.872499999999999</v>
      </c>
      <c r="O2143" s="338"/>
    </row>
    <row r="2144" spans="1:15" hidden="1" outlineLevel="2" x14ac:dyDescent="0.35">
      <c r="A2144" s="425" t="s">
        <v>105</v>
      </c>
      <c r="B2144" s="327">
        <v>43867</v>
      </c>
      <c r="C2144" s="426" t="s">
        <v>10909</v>
      </c>
      <c r="D2144" s="427" t="s">
        <v>10910</v>
      </c>
      <c r="E2144" s="426" t="s">
        <v>10911</v>
      </c>
      <c r="F2144" s="338">
        <v>2034500</v>
      </c>
      <c r="G2144" s="338" t="s">
        <v>9869</v>
      </c>
      <c r="H2144" s="338"/>
      <c r="I2144" s="329">
        <f>+F2144/'[10]Income + exchange rates'!$G$29</f>
        <v>476.92378923256109</v>
      </c>
      <c r="J2144" s="329"/>
      <c r="K2144" s="338">
        <f t="shared" si="96"/>
        <v>119.23094730814027</v>
      </c>
      <c r="L2144" s="338">
        <f t="shared" si="96"/>
        <v>119.23094730814027</v>
      </c>
      <c r="M2144" s="338">
        <f t="shared" si="96"/>
        <v>119.23094730814027</v>
      </c>
      <c r="N2144" s="338">
        <f t="shared" si="96"/>
        <v>119.23094730814027</v>
      </c>
      <c r="O2144" s="338"/>
    </row>
    <row r="2145" spans="1:15" hidden="1" outlineLevel="2" x14ac:dyDescent="0.35">
      <c r="A2145" s="425" t="s">
        <v>105</v>
      </c>
      <c r="B2145" s="327">
        <v>44196</v>
      </c>
      <c r="C2145" s="426" t="s">
        <v>10912</v>
      </c>
      <c r="D2145" s="427" t="s">
        <v>10913</v>
      </c>
      <c r="E2145" s="426" t="s">
        <v>10914</v>
      </c>
      <c r="F2145" s="338">
        <v>300000</v>
      </c>
      <c r="G2145" s="338" t="s">
        <v>9869</v>
      </c>
      <c r="H2145" s="338"/>
      <c r="I2145" s="329">
        <f>+F2145/'[10]Income + exchange rates'!$G$29</f>
        <v>70.325454298239535</v>
      </c>
      <c r="J2145" s="329"/>
      <c r="K2145" s="338">
        <f t="shared" si="96"/>
        <v>17.581363574559884</v>
      </c>
      <c r="L2145" s="338">
        <f t="shared" si="96"/>
        <v>17.581363574559884</v>
      </c>
      <c r="M2145" s="338">
        <f t="shared" si="96"/>
        <v>17.581363574559884</v>
      </c>
      <c r="N2145" s="338">
        <f t="shared" si="96"/>
        <v>17.581363574559884</v>
      </c>
      <c r="O2145" s="338"/>
    </row>
    <row r="2146" spans="1:15" hidden="1" outlineLevel="2" x14ac:dyDescent="0.35">
      <c r="A2146" s="425" t="s">
        <v>105</v>
      </c>
      <c r="B2146" s="327">
        <v>44074</v>
      </c>
      <c r="C2146" s="426" t="s">
        <v>10915</v>
      </c>
      <c r="D2146" s="427" t="s">
        <v>10916</v>
      </c>
      <c r="E2146" s="426" t="s">
        <v>10917</v>
      </c>
      <c r="F2146" s="338">
        <v>550000</v>
      </c>
      <c r="G2146" s="338" t="s">
        <v>9869</v>
      </c>
      <c r="H2146" s="338"/>
      <c r="I2146" s="329">
        <f>+F2146/'[10]Income + exchange rates'!$G$29</f>
        <v>128.92999954677248</v>
      </c>
      <c r="J2146" s="329"/>
      <c r="K2146" s="338">
        <f t="shared" si="96"/>
        <v>32.23249988669312</v>
      </c>
      <c r="L2146" s="338">
        <f t="shared" si="96"/>
        <v>32.23249988669312</v>
      </c>
      <c r="M2146" s="338">
        <f t="shared" si="96"/>
        <v>32.23249988669312</v>
      </c>
      <c r="N2146" s="338">
        <f t="shared" si="96"/>
        <v>32.23249988669312</v>
      </c>
      <c r="O2146" s="338"/>
    </row>
    <row r="2147" spans="1:15" hidden="1" outlineLevel="2" x14ac:dyDescent="0.35">
      <c r="A2147" s="425" t="s">
        <v>105</v>
      </c>
      <c r="B2147" s="327">
        <v>44196</v>
      </c>
      <c r="C2147" s="426" t="s">
        <v>10918</v>
      </c>
      <c r="D2147" s="427" t="s">
        <v>10919</v>
      </c>
      <c r="E2147" s="426" t="s">
        <v>10917</v>
      </c>
      <c r="F2147" s="338">
        <v>800000</v>
      </c>
      <c r="G2147" s="338" t="s">
        <v>9869</v>
      </c>
      <c r="H2147" s="338"/>
      <c r="I2147" s="329">
        <f>+F2147/'[10]Income + exchange rates'!$G$29</f>
        <v>187.53454479530541</v>
      </c>
      <c r="J2147" s="329"/>
      <c r="K2147" s="338">
        <f t="shared" si="96"/>
        <v>46.883636198826352</v>
      </c>
      <c r="L2147" s="338">
        <f t="shared" si="96"/>
        <v>46.883636198826352</v>
      </c>
      <c r="M2147" s="338">
        <f t="shared" si="96"/>
        <v>46.883636198826352</v>
      </c>
      <c r="N2147" s="338">
        <f t="shared" si="96"/>
        <v>46.883636198826352</v>
      </c>
      <c r="O2147" s="338"/>
    </row>
    <row r="2148" spans="1:15" hidden="1" outlineLevel="2" x14ac:dyDescent="0.35">
      <c r="A2148" s="425" t="s">
        <v>105</v>
      </c>
      <c r="B2148" s="327">
        <v>43890</v>
      </c>
      <c r="C2148" s="426" t="s">
        <v>10920</v>
      </c>
      <c r="D2148" s="427" t="s">
        <v>10921</v>
      </c>
      <c r="E2148" s="426" t="s">
        <v>10917</v>
      </c>
      <c r="F2148" s="338">
        <v>500000</v>
      </c>
      <c r="G2148" s="338" t="s">
        <v>9869</v>
      </c>
      <c r="H2148" s="338"/>
      <c r="I2148" s="329">
        <f>+F2148/'[10]Income + exchange rates'!$G$29</f>
        <v>117.20909049706589</v>
      </c>
      <c r="J2148" s="329"/>
      <c r="K2148" s="338">
        <f t="shared" si="96"/>
        <v>29.302272624266472</v>
      </c>
      <c r="L2148" s="338">
        <f t="shared" si="96"/>
        <v>29.302272624266472</v>
      </c>
      <c r="M2148" s="338">
        <f t="shared" si="96"/>
        <v>29.302272624266472</v>
      </c>
      <c r="N2148" s="338">
        <f t="shared" si="96"/>
        <v>29.302272624266472</v>
      </c>
      <c r="O2148" s="338"/>
    </row>
    <row r="2149" spans="1:15" hidden="1" outlineLevel="2" x14ac:dyDescent="0.35">
      <c r="A2149" s="425" t="s">
        <v>105</v>
      </c>
      <c r="B2149" s="327">
        <v>44227</v>
      </c>
      <c r="C2149" s="426" t="s">
        <v>10922</v>
      </c>
      <c r="D2149" s="427" t="s">
        <v>10923</v>
      </c>
      <c r="E2149" s="426" t="s">
        <v>10917</v>
      </c>
      <c r="F2149" s="338">
        <v>500000</v>
      </c>
      <c r="G2149" s="338" t="s">
        <v>9869</v>
      </c>
      <c r="H2149" s="338"/>
      <c r="I2149" s="329">
        <f>+F2149/'[10]Income + exchange rates'!$G$60</f>
        <v>119.20159117542448</v>
      </c>
      <c r="J2149" s="329"/>
      <c r="K2149" s="338">
        <f t="shared" si="96"/>
        <v>29.800397793856121</v>
      </c>
      <c r="L2149" s="338">
        <f t="shared" si="96"/>
        <v>29.800397793856121</v>
      </c>
      <c r="M2149" s="338">
        <f t="shared" si="96"/>
        <v>29.800397793856121</v>
      </c>
      <c r="N2149" s="338">
        <f t="shared" si="96"/>
        <v>29.800397793856121</v>
      </c>
      <c r="O2149" s="338"/>
    </row>
    <row r="2150" spans="1:15" hidden="1" outlineLevel="2" x14ac:dyDescent="0.35">
      <c r="A2150" s="425" t="s">
        <v>105</v>
      </c>
      <c r="B2150" s="327">
        <v>43861</v>
      </c>
      <c r="C2150" s="426" t="s">
        <v>10924</v>
      </c>
      <c r="D2150" s="427" t="s">
        <v>10923</v>
      </c>
      <c r="E2150" s="426" t="s">
        <v>10917</v>
      </c>
      <c r="F2150" s="338">
        <v>500000</v>
      </c>
      <c r="G2150" s="338" t="s">
        <v>9869</v>
      </c>
      <c r="H2150" s="338"/>
      <c r="I2150" s="329">
        <f>+F2150/'[10]Income + exchange rates'!$G$29</f>
        <v>117.20909049706589</v>
      </c>
      <c r="J2150" s="329"/>
      <c r="K2150" s="338">
        <f t="shared" si="96"/>
        <v>29.302272624266472</v>
      </c>
      <c r="L2150" s="338">
        <f t="shared" si="96"/>
        <v>29.302272624266472</v>
      </c>
      <c r="M2150" s="338">
        <f t="shared" si="96"/>
        <v>29.302272624266472</v>
      </c>
      <c r="N2150" s="338">
        <f t="shared" si="96"/>
        <v>29.302272624266472</v>
      </c>
      <c r="O2150" s="338"/>
    </row>
    <row r="2151" spans="1:15" hidden="1" outlineLevel="2" x14ac:dyDescent="0.35">
      <c r="A2151" s="425" t="s">
        <v>105</v>
      </c>
      <c r="B2151" s="327">
        <v>44043</v>
      </c>
      <c r="C2151" s="426" t="s">
        <v>10925</v>
      </c>
      <c r="D2151" s="427" t="s">
        <v>10926</v>
      </c>
      <c r="E2151" s="426" t="s">
        <v>10917</v>
      </c>
      <c r="F2151" s="338">
        <v>550000</v>
      </c>
      <c r="G2151" s="338" t="s">
        <v>9869</v>
      </c>
      <c r="H2151" s="338"/>
      <c r="I2151" s="329">
        <f>+F2151/'[10]Income + exchange rates'!$G$29</f>
        <v>128.92999954677248</v>
      </c>
      <c r="J2151" s="329"/>
      <c r="K2151" s="338">
        <f t="shared" si="96"/>
        <v>32.23249988669312</v>
      </c>
      <c r="L2151" s="338">
        <f t="shared" si="96"/>
        <v>32.23249988669312</v>
      </c>
      <c r="M2151" s="338">
        <f t="shared" si="96"/>
        <v>32.23249988669312</v>
      </c>
      <c r="N2151" s="338">
        <f t="shared" si="96"/>
        <v>32.23249988669312</v>
      </c>
      <c r="O2151" s="338"/>
    </row>
    <row r="2152" spans="1:15" hidden="1" outlineLevel="2" x14ac:dyDescent="0.35">
      <c r="A2152" s="425" t="s">
        <v>105</v>
      </c>
      <c r="B2152" s="327">
        <v>44012</v>
      </c>
      <c r="C2152" s="426" t="s">
        <v>10927</v>
      </c>
      <c r="D2152" s="427" t="s">
        <v>10928</v>
      </c>
      <c r="E2152" s="426" t="s">
        <v>10917</v>
      </c>
      <c r="F2152" s="338">
        <v>550000</v>
      </c>
      <c r="G2152" s="338" t="s">
        <v>9869</v>
      </c>
      <c r="H2152" s="338"/>
      <c r="I2152" s="329">
        <f>+F2152/'[10]Income + exchange rates'!$G$29</f>
        <v>128.92999954677248</v>
      </c>
      <c r="J2152" s="329"/>
      <c r="K2152" s="338">
        <f t="shared" si="96"/>
        <v>32.23249988669312</v>
      </c>
      <c r="L2152" s="338">
        <f t="shared" si="96"/>
        <v>32.23249988669312</v>
      </c>
      <c r="M2152" s="338">
        <f t="shared" si="96"/>
        <v>32.23249988669312</v>
      </c>
      <c r="N2152" s="338">
        <f t="shared" si="96"/>
        <v>32.23249988669312</v>
      </c>
      <c r="O2152" s="338"/>
    </row>
    <row r="2153" spans="1:15" hidden="1" outlineLevel="2" x14ac:dyDescent="0.35">
      <c r="A2153" s="425" t="s">
        <v>105</v>
      </c>
      <c r="B2153" s="327">
        <v>43921</v>
      </c>
      <c r="C2153" s="426" t="s">
        <v>10929</v>
      </c>
      <c r="D2153" s="427" t="s">
        <v>10930</v>
      </c>
      <c r="E2153" s="426" t="s">
        <v>10917</v>
      </c>
      <c r="F2153" s="338">
        <v>1500000</v>
      </c>
      <c r="G2153" s="338" t="s">
        <v>9869</v>
      </c>
      <c r="H2153" s="338"/>
      <c r="I2153" s="329">
        <f>+F2153/'[10]Income + exchange rates'!$G$29</f>
        <v>351.62727149119763</v>
      </c>
      <c r="J2153" s="329"/>
      <c r="K2153" s="338">
        <f t="shared" si="96"/>
        <v>87.906817872799408</v>
      </c>
      <c r="L2153" s="338">
        <f t="shared" si="96"/>
        <v>87.906817872799408</v>
      </c>
      <c r="M2153" s="338">
        <f t="shared" si="96"/>
        <v>87.906817872799408</v>
      </c>
      <c r="N2153" s="338">
        <f t="shared" si="96"/>
        <v>87.906817872799408</v>
      </c>
      <c r="O2153" s="338"/>
    </row>
    <row r="2154" spans="1:15" hidden="1" outlineLevel="2" x14ac:dyDescent="0.35">
      <c r="A2154" s="425" t="s">
        <v>105</v>
      </c>
      <c r="B2154" s="327" t="s">
        <v>4645</v>
      </c>
      <c r="C2154" s="426" t="s">
        <v>10931</v>
      </c>
      <c r="D2154" s="427" t="s">
        <v>10932</v>
      </c>
      <c r="E2154" s="426" t="s">
        <v>10917</v>
      </c>
      <c r="F2154" s="338">
        <v>550000</v>
      </c>
      <c r="G2154" s="338" t="s">
        <v>9869</v>
      </c>
      <c r="H2154" s="338"/>
      <c r="I2154" s="329">
        <f>+F2154/'[10]Income + exchange rates'!$G$29</f>
        <v>128.92999954677248</v>
      </c>
      <c r="J2154" s="329"/>
      <c r="K2154" s="338">
        <f t="shared" si="96"/>
        <v>32.23249988669312</v>
      </c>
      <c r="L2154" s="338">
        <f t="shared" si="96"/>
        <v>32.23249988669312</v>
      </c>
      <c r="M2154" s="338">
        <f t="shared" si="96"/>
        <v>32.23249988669312</v>
      </c>
      <c r="N2154" s="338">
        <f t="shared" si="96"/>
        <v>32.23249988669312</v>
      </c>
      <c r="O2154" s="338"/>
    </row>
    <row r="2155" spans="1:15" hidden="1" outlineLevel="2" x14ac:dyDescent="0.35">
      <c r="A2155" s="425" t="s">
        <v>105</v>
      </c>
      <c r="B2155" s="327">
        <v>44135</v>
      </c>
      <c r="C2155" s="426" t="s">
        <v>10933</v>
      </c>
      <c r="D2155" s="427" t="s">
        <v>10934</v>
      </c>
      <c r="E2155" s="426" t="s">
        <v>10917</v>
      </c>
      <c r="F2155" s="338">
        <v>550000</v>
      </c>
      <c r="G2155" s="338" t="s">
        <v>9869</v>
      </c>
      <c r="H2155" s="338"/>
      <c r="I2155" s="329">
        <f>+F2155/'[10]Income + exchange rates'!$G$29</f>
        <v>128.92999954677248</v>
      </c>
      <c r="J2155" s="329"/>
      <c r="K2155" s="338">
        <f t="shared" si="96"/>
        <v>32.23249988669312</v>
      </c>
      <c r="L2155" s="338">
        <f t="shared" si="96"/>
        <v>32.23249988669312</v>
      </c>
      <c r="M2155" s="338">
        <f t="shared" si="96"/>
        <v>32.23249988669312</v>
      </c>
      <c r="N2155" s="338">
        <f t="shared" si="96"/>
        <v>32.23249988669312</v>
      </c>
      <c r="O2155" s="338"/>
    </row>
    <row r="2156" spans="1:15" hidden="1" outlineLevel="2" x14ac:dyDescent="0.35">
      <c r="A2156" s="425" t="s">
        <v>105</v>
      </c>
      <c r="B2156" s="327">
        <v>44104</v>
      </c>
      <c r="C2156" s="426" t="s">
        <v>10935</v>
      </c>
      <c r="D2156" s="427" t="s">
        <v>10936</v>
      </c>
      <c r="E2156" s="426" t="s">
        <v>10917</v>
      </c>
      <c r="F2156" s="338">
        <v>550000</v>
      </c>
      <c r="G2156" s="338" t="s">
        <v>9869</v>
      </c>
      <c r="H2156" s="338"/>
      <c r="I2156" s="329">
        <f>+F2156/'[10]Income + exchange rates'!$G$29</f>
        <v>128.92999954677248</v>
      </c>
      <c r="J2156" s="329"/>
      <c r="K2156" s="338">
        <f t="shared" ref="K2156:N2175" si="97">$I2156/4</f>
        <v>32.23249988669312</v>
      </c>
      <c r="L2156" s="338">
        <f t="shared" si="97"/>
        <v>32.23249988669312</v>
      </c>
      <c r="M2156" s="338">
        <f t="shared" si="97"/>
        <v>32.23249988669312</v>
      </c>
      <c r="N2156" s="338">
        <f t="shared" si="97"/>
        <v>32.23249988669312</v>
      </c>
      <c r="O2156" s="338"/>
    </row>
    <row r="2157" spans="1:15" hidden="1" outlineLevel="2" x14ac:dyDescent="0.35">
      <c r="A2157" s="425" t="s">
        <v>105</v>
      </c>
      <c r="B2157" s="327">
        <v>44074</v>
      </c>
      <c r="C2157" s="426" t="s">
        <v>10937</v>
      </c>
      <c r="D2157" s="427" t="s">
        <v>10938</v>
      </c>
      <c r="E2157" s="426" t="s">
        <v>10939</v>
      </c>
      <c r="F2157" s="338">
        <v>180000</v>
      </c>
      <c r="G2157" s="338" t="s">
        <v>9869</v>
      </c>
      <c r="H2157" s="338"/>
      <c r="I2157" s="329">
        <f>+F2157/'[10]Income + exchange rates'!$G$29</f>
        <v>42.195272578943715</v>
      </c>
      <c r="J2157" s="329"/>
      <c r="K2157" s="338">
        <f t="shared" si="97"/>
        <v>10.548818144735929</v>
      </c>
      <c r="L2157" s="338">
        <f t="shared" si="97"/>
        <v>10.548818144735929</v>
      </c>
      <c r="M2157" s="338">
        <f t="shared" si="97"/>
        <v>10.548818144735929</v>
      </c>
      <c r="N2157" s="338">
        <f t="shared" si="97"/>
        <v>10.548818144735929</v>
      </c>
      <c r="O2157" s="338"/>
    </row>
    <row r="2158" spans="1:15" hidden="1" outlineLevel="2" x14ac:dyDescent="0.35">
      <c r="A2158" s="425" t="s">
        <v>105</v>
      </c>
      <c r="B2158" s="327">
        <v>44196</v>
      </c>
      <c r="C2158" s="426" t="s">
        <v>10940</v>
      </c>
      <c r="D2158" s="427" t="s">
        <v>10941</v>
      </c>
      <c r="E2158" s="426" t="s">
        <v>10939</v>
      </c>
      <c r="F2158" s="338">
        <v>320000</v>
      </c>
      <c r="G2158" s="338" t="s">
        <v>9869</v>
      </c>
      <c r="H2158" s="338"/>
      <c r="I2158" s="329">
        <f>+F2158/'[10]Income + exchange rates'!$G$29</f>
        <v>75.013817918122172</v>
      </c>
      <c r="J2158" s="329"/>
      <c r="K2158" s="338">
        <f t="shared" si="97"/>
        <v>18.753454479530543</v>
      </c>
      <c r="L2158" s="338">
        <f t="shared" si="97"/>
        <v>18.753454479530543</v>
      </c>
      <c r="M2158" s="338">
        <f t="shared" si="97"/>
        <v>18.753454479530543</v>
      </c>
      <c r="N2158" s="338">
        <f t="shared" si="97"/>
        <v>18.753454479530543</v>
      </c>
      <c r="O2158" s="338"/>
    </row>
    <row r="2159" spans="1:15" hidden="1" outlineLevel="2" x14ac:dyDescent="0.35">
      <c r="A2159" s="425" t="s">
        <v>105</v>
      </c>
      <c r="B2159" s="327">
        <v>43890</v>
      </c>
      <c r="C2159" s="426" t="s">
        <v>10942</v>
      </c>
      <c r="D2159" s="427" t="s">
        <v>10943</v>
      </c>
      <c r="E2159" s="426" t="s">
        <v>10939</v>
      </c>
      <c r="F2159" s="338">
        <v>160000</v>
      </c>
      <c r="G2159" s="338" t="s">
        <v>9869</v>
      </c>
      <c r="H2159" s="338"/>
      <c r="I2159" s="329">
        <f>+F2159/'[10]Income + exchange rates'!$G$29</f>
        <v>37.506908959061086</v>
      </c>
      <c r="J2159" s="329"/>
      <c r="K2159" s="338">
        <f t="shared" si="97"/>
        <v>9.3767272397652714</v>
      </c>
      <c r="L2159" s="338">
        <f t="shared" si="97"/>
        <v>9.3767272397652714</v>
      </c>
      <c r="M2159" s="338">
        <f t="shared" si="97"/>
        <v>9.3767272397652714</v>
      </c>
      <c r="N2159" s="338">
        <f t="shared" si="97"/>
        <v>9.3767272397652714</v>
      </c>
      <c r="O2159" s="338"/>
    </row>
    <row r="2160" spans="1:15" hidden="1" outlineLevel="2" x14ac:dyDescent="0.35">
      <c r="A2160" s="425" t="s">
        <v>105</v>
      </c>
      <c r="B2160" s="327">
        <v>44227</v>
      </c>
      <c r="C2160" s="426" t="s">
        <v>10922</v>
      </c>
      <c r="D2160" s="427" t="s">
        <v>10944</v>
      </c>
      <c r="E2160" s="426" t="s">
        <v>10939</v>
      </c>
      <c r="F2160" s="338">
        <v>180000</v>
      </c>
      <c r="G2160" s="338" t="s">
        <v>9869</v>
      </c>
      <c r="H2160" s="338"/>
      <c r="I2160" s="329">
        <f>+F2160/'[10]Income + exchange rates'!$G$60</f>
        <v>42.912572823152814</v>
      </c>
      <c r="J2160" s="329"/>
      <c r="K2160" s="338">
        <f t="shared" si="97"/>
        <v>10.728143205788204</v>
      </c>
      <c r="L2160" s="338">
        <f t="shared" si="97"/>
        <v>10.728143205788204</v>
      </c>
      <c r="M2160" s="338">
        <f t="shared" si="97"/>
        <v>10.728143205788204</v>
      </c>
      <c r="N2160" s="338">
        <f t="shared" si="97"/>
        <v>10.728143205788204</v>
      </c>
      <c r="O2160" s="338"/>
    </row>
    <row r="2161" spans="1:15" hidden="1" outlineLevel="2" x14ac:dyDescent="0.35">
      <c r="A2161" s="425" t="s">
        <v>105</v>
      </c>
      <c r="B2161" s="327">
        <v>43861</v>
      </c>
      <c r="C2161" s="426" t="s">
        <v>10945</v>
      </c>
      <c r="D2161" s="427" t="s">
        <v>10944</v>
      </c>
      <c r="E2161" s="426" t="s">
        <v>10939</v>
      </c>
      <c r="F2161" s="338">
        <v>160000</v>
      </c>
      <c r="G2161" s="338" t="s">
        <v>9869</v>
      </c>
      <c r="H2161" s="338"/>
      <c r="I2161" s="329">
        <f>+F2161/'[10]Income + exchange rates'!$G$29</f>
        <v>37.506908959061086</v>
      </c>
      <c r="J2161" s="329"/>
      <c r="K2161" s="338">
        <f t="shared" si="97"/>
        <v>9.3767272397652714</v>
      </c>
      <c r="L2161" s="338">
        <f t="shared" si="97"/>
        <v>9.3767272397652714</v>
      </c>
      <c r="M2161" s="338">
        <f t="shared" si="97"/>
        <v>9.3767272397652714</v>
      </c>
      <c r="N2161" s="338">
        <f t="shared" si="97"/>
        <v>9.3767272397652714</v>
      </c>
      <c r="O2161" s="338"/>
    </row>
    <row r="2162" spans="1:15" hidden="1" outlineLevel="2" x14ac:dyDescent="0.35">
      <c r="A2162" s="425" t="s">
        <v>105</v>
      </c>
      <c r="B2162" s="327">
        <v>44043</v>
      </c>
      <c r="C2162" s="426" t="s">
        <v>10946</v>
      </c>
      <c r="D2162" s="427" t="s">
        <v>10947</v>
      </c>
      <c r="E2162" s="426" t="s">
        <v>10939</v>
      </c>
      <c r="F2162" s="338">
        <v>180000</v>
      </c>
      <c r="G2162" s="338" t="s">
        <v>9869</v>
      </c>
      <c r="H2162" s="338"/>
      <c r="I2162" s="329">
        <f>+F2162/'[10]Income + exchange rates'!$G$29</f>
        <v>42.195272578943715</v>
      </c>
      <c r="J2162" s="329"/>
      <c r="K2162" s="338">
        <f t="shared" si="97"/>
        <v>10.548818144735929</v>
      </c>
      <c r="L2162" s="338">
        <f t="shared" si="97"/>
        <v>10.548818144735929</v>
      </c>
      <c r="M2162" s="338">
        <f t="shared" si="97"/>
        <v>10.548818144735929</v>
      </c>
      <c r="N2162" s="338">
        <f t="shared" si="97"/>
        <v>10.548818144735929</v>
      </c>
      <c r="O2162" s="338"/>
    </row>
    <row r="2163" spans="1:15" hidden="1" outlineLevel="2" x14ac:dyDescent="0.35">
      <c r="A2163" s="425" t="s">
        <v>105</v>
      </c>
      <c r="B2163" s="327">
        <v>44012</v>
      </c>
      <c r="C2163" s="426" t="s">
        <v>10948</v>
      </c>
      <c r="D2163" s="427" t="s">
        <v>10949</v>
      </c>
      <c r="E2163" s="426" t="s">
        <v>10939</v>
      </c>
      <c r="F2163" s="338">
        <v>180000</v>
      </c>
      <c r="G2163" s="338" t="s">
        <v>9869</v>
      </c>
      <c r="H2163" s="338"/>
      <c r="I2163" s="329">
        <f>+F2163/'[10]Income + exchange rates'!$G$29</f>
        <v>42.195272578943715</v>
      </c>
      <c r="J2163" s="329"/>
      <c r="K2163" s="338">
        <f t="shared" si="97"/>
        <v>10.548818144735929</v>
      </c>
      <c r="L2163" s="338">
        <f t="shared" si="97"/>
        <v>10.548818144735929</v>
      </c>
      <c r="M2163" s="338">
        <f t="shared" si="97"/>
        <v>10.548818144735929</v>
      </c>
      <c r="N2163" s="338">
        <f t="shared" si="97"/>
        <v>10.548818144735929</v>
      </c>
      <c r="O2163" s="338"/>
    </row>
    <row r="2164" spans="1:15" hidden="1" outlineLevel="2" x14ac:dyDescent="0.35">
      <c r="A2164" s="425" t="s">
        <v>105</v>
      </c>
      <c r="B2164" s="327">
        <v>43921</v>
      </c>
      <c r="C2164" s="426" t="s">
        <v>10950</v>
      </c>
      <c r="D2164" s="427" t="s">
        <v>10951</v>
      </c>
      <c r="E2164" s="426" t="s">
        <v>10939</v>
      </c>
      <c r="F2164" s="338">
        <v>480000</v>
      </c>
      <c r="G2164" s="338" t="s">
        <v>9869</v>
      </c>
      <c r="H2164" s="338"/>
      <c r="I2164" s="329">
        <f>+F2164/'[10]Income + exchange rates'!$G$29</f>
        <v>112.52072687718325</v>
      </c>
      <c r="J2164" s="329"/>
      <c r="K2164" s="338">
        <f t="shared" si="97"/>
        <v>28.130181719295813</v>
      </c>
      <c r="L2164" s="338">
        <f t="shared" si="97"/>
        <v>28.130181719295813</v>
      </c>
      <c r="M2164" s="338">
        <f t="shared" si="97"/>
        <v>28.130181719295813</v>
      </c>
      <c r="N2164" s="338">
        <f t="shared" si="97"/>
        <v>28.130181719295813</v>
      </c>
      <c r="O2164" s="338"/>
    </row>
    <row r="2165" spans="1:15" hidden="1" outlineLevel="2" x14ac:dyDescent="0.35">
      <c r="A2165" s="425" t="s">
        <v>105</v>
      </c>
      <c r="B2165" s="327" t="s">
        <v>4645</v>
      </c>
      <c r="C2165" s="426" t="s">
        <v>10952</v>
      </c>
      <c r="D2165" s="427" t="s">
        <v>10953</v>
      </c>
      <c r="E2165" s="426" t="s">
        <v>10939</v>
      </c>
      <c r="F2165" s="338">
        <v>180000</v>
      </c>
      <c r="G2165" s="338" t="s">
        <v>9869</v>
      </c>
      <c r="H2165" s="338"/>
      <c r="I2165" s="329">
        <f>+F2165/'[10]Income + exchange rates'!$G$29</f>
        <v>42.195272578943715</v>
      </c>
      <c r="J2165" s="329"/>
      <c r="K2165" s="338">
        <f t="shared" si="97"/>
        <v>10.548818144735929</v>
      </c>
      <c r="L2165" s="338">
        <f t="shared" si="97"/>
        <v>10.548818144735929</v>
      </c>
      <c r="M2165" s="338">
        <f t="shared" si="97"/>
        <v>10.548818144735929</v>
      </c>
      <c r="N2165" s="338">
        <f t="shared" si="97"/>
        <v>10.548818144735929</v>
      </c>
      <c r="O2165" s="338"/>
    </row>
    <row r="2166" spans="1:15" hidden="1" outlineLevel="2" x14ac:dyDescent="0.35">
      <c r="A2166" s="425" t="s">
        <v>105</v>
      </c>
      <c r="B2166" s="327">
        <v>44135</v>
      </c>
      <c r="C2166" s="426" t="s">
        <v>10954</v>
      </c>
      <c r="D2166" s="427" t="s">
        <v>10955</v>
      </c>
      <c r="E2166" s="426" t="s">
        <v>10939</v>
      </c>
      <c r="F2166" s="338">
        <v>180000</v>
      </c>
      <c r="G2166" s="338" t="s">
        <v>9869</v>
      </c>
      <c r="H2166" s="338"/>
      <c r="I2166" s="329">
        <f>+F2166/'[10]Income + exchange rates'!$G$29</f>
        <v>42.195272578943715</v>
      </c>
      <c r="J2166" s="329"/>
      <c r="K2166" s="338">
        <f t="shared" si="97"/>
        <v>10.548818144735929</v>
      </c>
      <c r="L2166" s="338">
        <f t="shared" si="97"/>
        <v>10.548818144735929</v>
      </c>
      <c r="M2166" s="338">
        <f t="shared" si="97"/>
        <v>10.548818144735929</v>
      </c>
      <c r="N2166" s="338">
        <f t="shared" si="97"/>
        <v>10.548818144735929</v>
      </c>
      <c r="O2166" s="338"/>
    </row>
    <row r="2167" spans="1:15" hidden="1" outlineLevel="2" x14ac:dyDescent="0.35">
      <c r="A2167" s="425" t="s">
        <v>105</v>
      </c>
      <c r="B2167" s="327">
        <v>44104</v>
      </c>
      <c r="C2167" s="426" t="s">
        <v>10956</v>
      </c>
      <c r="D2167" s="427" t="s">
        <v>10957</v>
      </c>
      <c r="E2167" s="426" t="s">
        <v>10939</v>
      </c>
      <c r="F2167" s="338">
        <v>180000</v>
      </c>
      <c r="G2167" s="338" t="s">
        <v>9869</v>
      </c>
      <c r="H2167" s="338"/>
      <c r="I2167" s="329">
        <f>+F2167/'[10]Income + exchange rates'!$G$29</f>
        <v>42.195272578943715</v>
      </c>
      <c r="J2167" s="329"/>
      <c r="K2167" s="338">
        <f t="shared" si="97"/>
        <v>10.548818144735929</v>
      </c>
      <c r="L2167" s="338">
        <f t="shared" si="97"/>
        <v>10.548818144735929</v>
      </c>
      <c r="M2167" s="338">
        <f t="shared" si="97"/>
        <v>10.548818144735929</v>
      </c>
      <c r="N2167" s="338">
        <f t="shared" si="97"/>
        <v>10.548818144735929</v>
      </c>
      <c r="O2167" s="338"/>
    </row>
    <row r="2168" spans="1:15" hidden="1" outlineLevel="2" x14ac:dyDescent="0.35">
      <c r="A2168" s="425" t="s">
        <v>105</v>
      </c>
      <c r="B2168" s="327">
        <v>43868</v>
      </c>
      <c r="C2168" s="426" t="s">
        <v>10958</v>
      </c>
      <c r="D2168" s="427" t="s">
        <v>10959</v>
      </c>
      <c r="E2168" s="426" t="s">
        <v>10960</v>
      </c>
      <c r="F2168" s="338">
        <v>8000</v>
      </c>
      <c r="G2168" s="338" t="s">
        <v>9869</v>
      </c>
      <c r="H2168" s="338"/>
      <c r="I2168" s="329">
        <f>+F2168/'[10]Income + exchange rates'!$G$29</f>
        <v>1.875345447953054</v>
      </c>
      <c r="J2168" s="329"/>
      <c r="K2168" s="338">
        <f t="shared" si="97"/>
        <v>0.46883636198826351</v>
      </c>
      <c r="L2168" s="338">
        <f t="shared" si="97"/>
        <v>0.46883636198826351</v>
      </c>
      <c r="M2168" s="338">
        <f t="shared" si="97"/>
        <v>0.46883636198826351</v>
      </c>
      <c r="N2168" s="338">
        <f t="shared" si="97"/>
        <v>0.46883636198826351</v>
      </c>
      <c r="O2168" s="338"/>
    </row>
    <row r="2169" spans="1:15" hidden="1" outlineLevel="2" x14ac:dyDescent="0.35">
      <c r="A2169" s="425" t="s">
        <v>105</v>
      </c>
      <c r="B2169" s="327">
        <v>43895</v>
      </c>
      <c r="C2169" s="426" t="s">
        <v>10961</v>
      </c>
      <c r="D2169" s="427" t="s">
        <v>10962</v>
      </c>
      <c r="E2169" s="426" t="s">
        <v>10963</v>
      </c>
      <c r="F2169" s="338">
        <v>1200</v>
      </c>
      <c r="G2169" s="338" t="s">
        <v>5657</v>
      </c>
      <c r="H2169" s="338"/>
      <c r="I2169" s="329">
        <f>+F2169/121.7</f>
        <v>9.8603122432210348</v>
      </c>
      <c r="J2169" s="329"/>
      <c r="K2169" s="338">
        <f t="shared" si="97"/>
        <v>2.4650780608052587</v>
      </c>
      <c r="L2169" s="338">
        <f t="shared" si="97"/>
        <v>2.4650780608052587</v>
      </c>
      <c r="M2169" s="338">
        <f t="shared" si="97"/>
        <v>2.4650780608052587</v>
      </c>
      <c r="N2169" s="338">
        <f t="shared" si="97"/>
        <v>2.4650780608052587</v>
      </c>
      <c r="O2169" s="338"/>
    </row>
    <row r="2170" spans="1:15" hidden="1" outlineLevel="2" x14ac:dyDescent="0.35">
      <c r="A2170" s="425" t="s">
        <v>105</v>
      </c>
      <c r="B2170" s="327">
        <v>44206</v>
      </c>
      <c r="C2170" s="426">
        <v>2672</v>
      </c>
      <c r="D2170" s="427" t="s">
        <v>10964</v>
      </c>
      <c r="E2170" s="426" t="s">
        <v>10965</v>
      </c>
      <c r="F2170" s="338">
        <v>100000</v>
      </c>
      <c r="G2170" s="338" t="s">
        <v>9869</v>
      </c>
      <c r="H2170" s="338"/>
      <c r="I2170" s="329">
        <f>+F2170/'[10]Income + exchange rates'!$G$60</f>
        <v>23.840318235084897</v>
      </c>
      <c r="J2170" s="329"/>
      <c r="K2170" s="338">
        <f t="shared" si="97"/>
        <v>5.9600795587712243</v>
      </c>
      <c r="L2170" s="338">
        <f t="shared" si="97"/>
        <v>5.9600795587712243</v>
      </c>
      <c r="M2170" s="338">
        <f t="shared" si="97"/>
        <v>5.9600795587712243</v>
      </c>
      <c r="N2170" s="338">
        <f t="shared" si="97"/>
        <v>5.9600795587712243</v>
      </c>
      <c r="O2170" s="338"/>
    </row>
    <row r="2171" spans="1:15" hidden="1" outlineLevel="2" x14ac:dyDescent="0.35">
      <c r="A2171" s="425" t="s">
        <v>105</v>
      </c>
      <c r="B2171" s="327">
        <v>43836</v>
      </c>
      <c r="C2171" s="426" t="s">
        <v>10966</v>
      </c>
      <c r="D2171" s="427" t="s">
        <v>10964</v>
      </c>
      <c r="E2171" s="426" t="s">
        <v>10967</v>
      </c>
      <c r="F2171" s="338">
        <v>100000</v>
      </c>
      <c r="G2171" s="338" t="s">
        <v>9869</v>
      </c>
      <c r="H2171" s="338"/>
      <c r="I2171" s="329">
        <f>+F2171/'[10]Income + exchange rates'!$G$29</f>
        <v>23.441818099413176</v>
      </c>
      <c r="J2171" s="329"/>
      <c r="K2171" s="338">
        <f t="shared" si="97"/>
        <v>5.860454524853294</v>
      </c>
      <c r="L2171" s="338">
        <f t="shared" si="97"/>
        <v>5.860454524853294</v>
      </c>
      <c r="M2171" s="338">
        <f t="shared" si="97"/>
        <v>5.860454524853294</v>
      </c>
      <c r="N2171" s="338">
        <f t="shared" si="97"/>
        <v>5.860454524853294</v>
      </c>
      <c r="O2171" s="338"/>
    </row>
    <row r="2172" spans="1:15" hidden="1" outlineLevel="2" x14ac:dyDescent="0.35">
      <c r="A2172" s="425" t="s">
        <v>105</v>
      </c>
      <c r="B2172" s="327">
        <v>44234</v>
      </c>
      <c r="C2172" s="426">
        <v>2679</v>
      </c>
      <c r="D2172" s="427" t="s">
        <v>10968</v>
      </c>
      <c r="E2172" s="426" t="s">
        <v>10965</v>
      </c>
      <c r="F2172" s="338">
        <v>200000</v>
      </c>
      <c r="G2172" s="338" t="s">
        <v>9869</v>
      </c>
      <c r="H2172" s="338"/>
      <c r="I2172" s="329">
        <f>+F2172/'[10]Income + exchange rates'!$G$60</f>
        <v>47.680636470169794</v>
      </c>
      <c r="J2172" s="329"/>
      <c r="K2172" s="338">
        <f t="shared" si="97"/>
        <v>11.920159117542449</v>
      </c>
      <c r="L2172" s="338">
        <f t="shared" si="97"/>
        <v>11.920159117542449</v>
      </c>
      <c r="M2172" s="338">
        <f t="shared" si="97"/>
        <v>11.920159117542449</v>
      </c>
      <c r="N2172" s="338">
        <f t="shared" si="97"/>
        <v>11.920159117542449</v>
      </c>
      <c r="O2172" s="338"/>
    </row>
    <row r="2173" spans="1:15" hidden="1" outlineLevel="2" x14ac:dyDescent="0.35">
      <c r="A2173" s="425" t="s">
        <v>105</v>
      </c>
      <c r="B2173" s="327">
        <v>43883</v>
      </c>
      <c r="C2173" s="426" t="s">
        <v>10969</v>
      </c>
      <c r="D2173" s="427" t="s">
        <v>10970</v>
      </c>
      <c r="E2173" s="426" t="s">
        <v>10965</v>
      </c>
      <c r="F2173" s="338">
        <v>100000</v>
      </c>
      <c r="G2173" s="338" t="s">
        <v>9869</v>
      </c>
      <c r="H2173" s="338"/>
      <c r="I2173" s="329">
        <f>+F2173/'[10]Income + exchange rates'!$G$29</f>
        <v>23.441818099413176</v>
      </c>
      <c r="J2173" s="329"/>
      <c r="K2173" s="338">
        <f t="shared" si="97"/>
        <v>5.860454524853294</v>
      </c>
      <c r="L2173" s="338">
        <f t="shared" si="97"/>
        <v>5.860454524853294</v>
      </c>
      <c r="M2173" s="338">
        <f t="shared" si="97"/>
        <v>5.860454524853294</v>
      </c>
      <c r="N2173" s="338">
        <f t="shared" si="97"/>
        <v>5.860454524853294</v>
      </c>
      <c r="O2173" s="338"/>
    </row>
    <row r="2174" spans="1:15" hidden="1" outlineLevel="2" x14ac:dyDescent="0.35">
      <c r="A2174" s="425" t="s">
        <v>105</v>
      </c>
      <c r="B2174" s="327">
        <v>43892</v>
      </c>
      <c r="C2174" s="426" t="s">
        <v>10971</v>
      </c>
      <c r="D2174" s="427" t="s">
        <v>10970</v>
      </c>
      <c r="E2174" s="426" t="s">
        <v>10965</v>
      </c>
      <c r="F2174" s="338">
        <v>100000</v>
      </c>
      <c r="G2174" s="338" t="s">
        <v>9869</v>
      </c>
      <c r="H2174" s="338"/>
      <c r="I2174" s="329">
        <f>+F2174/'[10]Income + exchange rates'!$G$29</f>
        <v>23.441818099413176</v>
      </c>
      <c r="J2174" s="329"/>
      <c r="K2174" s="338">
        <f t="shared" si="97"/>
        <v>5.860454524853294</v>
      </c>
      <c r="L2174" s="338">
        <f t="shared" si="97"/>
        <v>5.860454524853294</v>
      </c>
      <c r="M2174" s="338">
        <f t="shared" si="97"/>
        <v>5.860454524853294</v>
      </c>
      <c r="N2174" s="338">
        <f t="shared" si="97"/>
        <v>5.860454524853294</v>
      </c>
      <c r="O2174" s="338"/>
    </row>
    <row r="2175" spans="1:15" hidden="1" outlineLevel="2" x14ac:dyDescent="0.35">
      <c r="A2175" s="425" t="s">
        <v>105</v>
      </c>
      <c r="B2175" s="327">
        <v>43867</v>
      </c>
      <c r="C2175" s="426" t="s">
        <v>10972</v>
      </c>
      <c r="D2175" s="427" t="s">
        <v>10973</v>
      </c>
      <c r="E2175" s="426" t="s">
        <v>10483</v>
      </c>
      <c r="F2175" s="338">
        <v>20000</v>
      </c>
      <c r="G2175" s="338" t="s">
        <v>9869</v>
      </c>
      <c r="H2175" s="338"/>
      <c r="I2175" s="329">
        <f>+F2175/'[10]Income + exchange rates'!$G$29</f>
        <v>4.6883636198826357</v>
      </c>
      <c r="J2175" s="329"/>
      <c r="K2175" s="338">
        <f t="shared" si="97"/>
        <v>1.1720909049706589</v>
      </c>
      <c r="L2175" s="338">
        <f t="shared" si="97"/>
        <v>1.1720909049706589</v>
      </c>
      <c r="M2175" s="338">
        <f t="shared" si="97"/>
        <v>1.1720909049706589</v>
      </c>
      <c r="N2175" s="338">
        <f t="shared" si="97"/>
        <v>1.1720909049706589</v>
      </c>
      <c r="O2175" s="338"/>
    </row>
    <row r="2176" spans="1:15" hidden="1" outlineLevel="2" x14ac:dyDescent="0.35">
      <c r="A2176" s="425" t="s">
        <v>105</v>
      </c>
      <c r="B2176" s="327">
        <v>43890</v>
      </c>
      <c r="C2176" s="426" t="s">
        <v>10974</v>
      </c>
      <c r="D2176" s="427" t="s">
        <v>10975</v>
      </c>
      <c r="E2176" s="426" t="s">
        <v>10976</v>
      </c>
      <c r="F2176" s="338">
        <v>708000</v>
      </c>
      <c r="G2176" s="338" t="s">
        <v>9869</v>
      </c>
      <c r="H2176" s="338"/>
      <c r="I2176" s="329">
        <f>+F2176/'[10]Income + exchange rates'!$G$29</f>
        <v>165.96807214384529</v>
      </c>
      <c r="J2176" s="329"/>
      <c r="K2176" s="338">
        <f t="shared" ref="K2176:N2195" si="98">$I2176/4</f>
        <v>41.492018035961323</v>
      </c>
      <c r="L2176" s="338">
        <f t="shared" si="98"/>
        <v>41.492018035961323</v>
      </c>
      <c r="M2176" s="338">
        <f t="shared" si="98"/>
        <v>41.492018035961323</v>
      </c>
      <c r="N2176" s="338">
        <f t="shared" si="98"/>
        <v>41.492018035961323</v>
      </c>
      <c r="O2176" s="338"/>
    </row>
    <row r="2177" spans="1:15" hidden="1" outlineLevel="2" x14ac:dyDescent="0.35">
      <c r="A2177" s="425" t="s">
        <v>105</v>
      </c>
      <c r="B2177" s="327">
        <v>43906</v>
      </c>
      <c r="C2177" s="426" t="s">
        <v>10977</v>
      </c>
      <c r="D2177" s="427" t="s">
        <v>10975</v>
      </c>
      <c r="E2177" s="426" t="s">
        <v>10976</v>
      </c>
      <c r="F2177" s="338">
        <v>708000</v>
      </c>
      <c r="G2177" s="338" t="s">
        <v>9869</v>
      </c>
      <c r="H2177" s="338"/>
      <c r="I2177" s="329">
        <f>+F2177/'[10]Income + exchange rates'!$G$29</f>
        <v>165.96807214384529</v>
      </c>
      <c r="J2177" s="329"/>
      <c r="K2177" s="338">
        <f t="shared" si="98"/>
        <v>41.492018035961323</v>
      </c>
      <c r="L2177" s="338">
        <f t="shared" si="98"/>
        <v>41.492018035961323</v>
      </c>
      <c r="M2177" s="338">
        <f t="shared" si="98"/>
        <v>41.492018035961323</v>
      </c>
      <c r="N2177" s="338">
        <f t="shared" si="98"/>
        <v>41.492018035961323</v>
      </c>
      <c r="O2177" s="338"/>
    </row>
    <row r="2178" spans="1:15" hidden="1" outlineLevel="2" x14ac:dyDescent="0.35">
      <c r="A2178" s="425" t="s">
        <v>105</v>
      </c>
      <c r="B2178" s="327">
        <v>43861</v>
      </c>
      <c r="C2178" s="426" t="s">
        <v>10978</v>
      </c>
      <c r="D2178" s="427" t="s">
        <v>10979</v>
      </c>
      <c r="E2178" s="426" t="s">
        <v>10976</v>
      </c>
      <c r="F2178" s="338">
        <v>228387.1</v>
      </c>
      <c r="G2178" s="338" t="s">
        <v>9869</v>
      </c>
      <c r="H2178" s="338"/>
      <c r="I2178" s="329">
        <f>+F2178/'[10]Income + exchange rates'!$G$29</f>
        <v>53.538088544524875</v>
      </c>
      <c r="J2178" s="329"/>
      <c r="K2178" s="338">
        <f t="shared" si="98"/>
        <v>13.384522136131219</v>
      </c>
      <c r="L2178" s="338">
        <f t="shared" si="98"/>
        <v>13.384522136131219</v>
      </c>
      <c r="M2178" s="338">
        <f t="shared" si="98"/>
        <v>13.384522136131219</v>
      </c>
      <c r="N2178" s="338">
        <f t="shared" si="98"/>
        <v>13.384522136131219</v>
      </c>
      <c r="O2178" s="338"/>
    </row>
    <row r="2179" spans="1:15" hidden="1" outlineLevel="2" x14ac:dyDescent="0.35">
      <c r="A2179" s="425" t="s">
        <v>105</v>
      </c>
      <c r="B2179" s="327">
        <v>43861</v>
      </c>
      <c r="C2179" s="426" t="s">
        <v>10980</v>
      </c>
      <c r="D2179" s="427" t="s">
        <v>10981</v>
      </c>
      <c r="E2179" s="426" t="s">
        <v>10976</v>
      </c>
      <c r="F2179" s="338">
        <v>708000</v>
      </c>
      <c r="G2179" s="338" t="s">
        <v>9869</v>
      </c>
      <c r="H2179" s="338"/>
      <c r="I2179" s="329">
        <f>+F2179/'[10]Income + exchange rates'!$G$29</f>
        <v>165.96807214384529</v>
      </c>
      <c r="J2179" s="329"/>
      <c r="K2179" s="338">
        <f t="shared" si="98"/>
        <v>41.492018035961323</v>
      </c>
      <c r="L2179" s="338">
        <f t="shared" si="98"/>
        <v>41.492018035961323</v>
      </c>
      <c r="M2179" s="338">
        <f t="shared" si="98"/>
        <v>41.492018035961323</v>
      </c>
      <c r="N2179" s="338">
        <f t="shared" si="98"/>
        <v>41.492018035961323</v>
      </c>
      <c r="O2179" s="338"/>
    </row>
    <row r="2180" spans="1:15" hidden="1" outlineLevel="2" x14ac:dyDescent="0.35">
      <c r="A2180" s="425" t="s">
        <v>105</v>
      </c>
      <c r="B2180" s="327">
        <v>43937</v>
      </c>
      <c r="C2180" s="426" t="s">
        <v>10982</v>
      </c>
      <c r="D2180" s="427" t="s">
        <v>10983</v>
      </c>
      <c r="E2180" s="426" t="s">
        <v>10976</v>
      </c>
      <c r="F2180" s="338">
        <v>708000</v>
      </c>
      <c r="G2180" s="338" t="s">
        <v>9869</v>
      </c>
      <c r="H2180" s="338"/>
      <c r="I2180" s="329">
        <f>+F2180/'[10]Income + exchange rates'!$G$29</f>
        <v>165.96807214384529</v>
      </c>
      <c r="J2180" s="329"/>
      <c r="K2180" s="338">
        <f t="shared" si="98"/>
        <v>41.492018035961323</v>
      </c>
      <c r="L2180" s="338">
        <f t="shared" si="98"/>
        <v>41.492018035961323</v>
      </c>
      <c r="M2180" s="338">
        <f t="shared" si="98"/>
        <v>41.492018035961323</v>
      </c>
      <c r="N2180" s="338">
        <f t="shared" si="98"/>
        <v>41.492018035961323</v>
      </c>
      <c r="O2180" s="338"/>
    </row>
    <row r="2181" spans="1:15" hidden="1" outlineLevel="2" x14ac:dyDescent="0.35">
      <c r="A2181" s="425" t="s">
        <v>105</v>
      </c>
      <c r="B2181" s="327">
        <v>44059</v>
      </c>
      <c r="C2181" s="426" t="s">
        <v>10984</v>
      </c>
      <c r="D2181" s="427" t="s">
        <v>10985</v>
      </c>
      <c r="E2181" s="426" t="s">
        <v>10976</v>
      </c>
      <c r="F2181" s="338">
        <v>708000</v>
      </c>
      <c r="G2181" s="338" t="s">
        <v>9869</v>
      </c>
      <c r="H2181" s="338"/>
      <c r="I2181" s="329">
        <f>+F2181/'[10]Income + exchange rates'!$G$29</f>
        <v>165.96807214384529</v>
      </c>
      <c r="J2181" s="329"/>
      <c r="K2181" s="338">
        <f t="shared" si="98"/>
        <v>41.492018035961323</v>
      </c>
      <c r="L2181" s="338">
        <f t="shared" si="98"/>
        <v>41.492018035961323</v>
      </c>
      <c r="M2181" s="338">
        <f t="shared" si="98"/>
        <v>41.492018035961323</v>
      </c>
      <c r="N2181" s="338">
        <f t="shared" si="98"/>
        <v>41.492018035961323</v>
      </c>
      <c r="O2181" s="338"/>
    </row>
    <row r="2182" spans="1:15" hidden="1" outlineLevel="2" x14ac:dyDescent="0.35">
      <c r="A2182" s="425" t="s">
        <v>105</v>
      </c>
      <c r="B2182" s="327">
        <v>44181</v>
      </c>
      <c r="C2182" s="426" t="s">
        <v>10986</v>
      </c>
      <c r="D2182" s="427" t="s">
        <v>10987</v>
      </c>
      <c r="E2182" s="426" t="s">
        <v>10976</v>
      </c>
      <c r="F2182" s="338">
        <v>708000</v>
      </c>
      <c r="G2182" s="338" t="s">
        <v>9869</v>
      </c>
      <c r="H2182" s="338"/>
      <c r="I2182" s="329">
        <f>+F2182/'[10]Income + exchange rates'!$G$29</f>
        <v>165.96807214384529</v>
      </c>
      <c r="J2182" s="329"/>
      <c r="K2182" s="338">
        <f t="shared" si="98"/>
        <v>41.492018035961323</v>
      </c>
      <c r="L2182" s="338">
        <f t="shared" si="98"/>
        <v>41.492018035961323</v>
      </c>
      <c r="M2182" s="338">
        <f t="shared" si="98"/>
        <v>41.492018035961323</v>
      </c>
      <c r="N2182" s="338">
        <f t="shared" si="98"/>
        <v>41.492018035961323</v>
      </c>
      <c r="O2182" s="338"/>
    </row>
    <row r="2183" spans="1:15" hidden="1" outlineLevel="2" x14ac:dyDescent="0.35">
      <c r="A2183" s="425" t="s">
        <v>105</v>
      </c>
      <c r="B2183" s="327">
        <v>44028</v>
      </c>
      <c r="C2183" s="426" t="s">
        <v>10988</v>
      </c>
      <c r="D2183" s="427" t="s">
        <v>10989</v>
      </c>
      <c r="E2183" s="426" t="s">
        <v>10976</v>
      </c>
      <c r="F2183" s="338">
        <v>708000</v>
      </c>
      <c r="G2183" s="338" t="s">
        <v>9869</v>
      </c>
      <c r="H2183" s="338"/>
      <c r="I2183" s="329">
        <f>+F2183/'[10]Income + exchange rates'!$G$29</f>
        <v>165.96807214384529</v>
      </c>
      <c r="J2183" s="329"/>
      <c r="K2183" s="338">
        <f t="shared" si="98"/>
        <v>41.492018035961323</v>
      </c>
      <c r="L2183" s="338">
        <f t="shared" si="98"/>
        <v>41.492018035961323</v>
      </c>
      <c r="M2183" s="338">
        <f t="shared" si="98"/>
        <v>41.492018035961323</v>
      </c>
      <c r="N2183" s="338">
        <f t="shared" si="98"/>
        <v>41.492018035961323</v>
      </c>
      <c r="O2183" s="338"/>
    </row>
    <row r="2184" spans="1:15" hidden="1" outlineLevel="2" x14ac:dyDescent="0.35">
      <c r="A2184" s="425" t="s">
        <v>105</v>
      </c>
      <c r="B2184" s="327">
        <v>43998</v>
      </c>
      <c r="C2184" s="426" t="s">
        <v>10990</v>
      </c>
      <c r="D2184" s="427" t="s">
        <v>10991</v>
      </c>
      <c r="E2184" s="426" t="s">
        <v>10976</v>
      </c>
      <c r="F2184" s="338">
        <v>708000</v>
      </c>
      <c r="G2184" s="338" t="s">
        <v>9869</v>
      </c>
      <c r="H2184" s="338"/>
      <c r="I2184" s="329">
        <f>+F2184/'[10]Income + exchange rates'!$G$29</f>
        <v>165.96807214384529</v>
      </c>
      <c r="J2184" s="329"/>
      <c r="K2184" s="338">
        <f t="shared" si="98"/>
        <v>41.492018035961323</v>
      </c>
      <c r="L2184" s="338">
        <f t="shared" si="98"/>
        <v>41.492018035961323</v>
      </c>
      <c r="M2184" s="338">
        <f t="shared" si="98"/>
        <v>41.492018035961323</v>
      </c>
      <c r="N2184" s="338">
        <f t="shared" si="98"/>
        <v>41.492018035961323</v>
      </c>
      <c r="O2184" s="338"/>
    </row>
    <row r="2185" spans="1:15" hidden="1" outlineLevel="2" x14ac:dyDescent="0.35">
      <c r="A2185" s="425" t="s">
        <v>105</v>
      </c>
      <c r="B2185" s="327">
        <v>43967</v>
      </c>
      <c r="C2185" s="426" t="s">
        <v>10992</v>
      </c>
      <c r="D2185" s="427" t="s">
        <v>10993</v>
      </c>
      <c r="E2185" s="426" t="s">
        <v>10976</v>
      </c>
      <c r="F2185" s="338">
        <v>708000</v>
      </c>
      <c r="G2185" s="338" t="s">
        <v>9869</v>
      </c>
      <c r="H2185" s="338"/>
      <c r="I2185" s="329">
        <f>+F2185/'[10]Income + exchange rates'!$G$29</f>
        <v>165.96807214384529</v>
      </c>
      <c r="J2185" s="329"/>
      <c r="K2185" s="338">
        <f t="shared" si="98"/>
        <v>41.492018035961323</v>
      </c>
      <c r="L2185" s="338">
        <f t="shared" si="98"/>
        <v>41.492018035961323</v>
      </c>
      <c r="M2185" s="338">
        <f t="shared" si="98"/>
        <v>41.492018035961323</v>
      </c>
      <c r="N2185" s="338">
        <f t="shared" si="98"/>
        <v>41.492018035961323</v>
      </c>
      <c r="O2185" s="338"/>
    </row>
    <row r="2186" spans="1:15" hidden="1" outlineLevel="2" x14ac:dyDescent="0.35">
      <c r="A2186" s="425" t="s">
        <v>105</v>
      </c>
      <c r="B2186" s="327">
        <v>44151</v>
      </c>
      <c r="C2186" s="426" t="s">
        <v>10994</v>
      </c>
      <c r="D2186" s="427" t="s">
        <v>10995</v>
      </c>
      <c r="E2186" s="426" t="s">
        <v>10976</v>
      </c>
      <c r="F2186" s="338">
        <v>708000</v>
      </c>
      <c r="G2186" s="338" t="s">
        <v>9869</v>
      </c>
      <c r="H2186" s="338"/>
      <c r="I2186" s="329">
        <f>+F2186/'[10]Income + exchange rates'!$G$29</f>
        <v>165.96807214384529</v>
      </c>
      <c r="J2186" s="329"/>
      <c r="K2186" s="338">
        <f t="shared" si="98"/>
        <v>41.492018035961323</v>
      </c>
      <c r="L2186" s="338">
        <f t="shared" si="98"/>
        <v>41.492018035961323</v>
      </c>
      <c r="M2186" s="338">
        <f t="shared" si="98"/>
        <v>41.492018035961323</v>
      </c>
      <c r="N2186" s="338">
        <f t="shared" si="98"/>
        <v>41.492018035961323</v>
      </c>
      <c r="O2186" s="338"/>
    </row>
    <row r="2187" spans="1:15" hidden="1" outlineLevel="2" x14ac:dyDescent="0.35">
      <c r="A2187" s="425" t="s">
        <v>105</v>
      </c>
      <c r="B2187" s="327">
        <v>44120</v>
      </c>
      <c r="C2187" s="426" t="s">
        <v>10996</v>
      </c>
      <c r="D2187" s="427" t="s">
        <v>10997</v>
      </c>
      <c r="E2187" s="426" t="s">
        <v>10976</v>
      </c>
      <c r="F2187" s="338">
        <v>708000</v>
      </c>
      <c r="G2187" s="338" t="s">
        <v>9869</v>
      </c>
      <c r="H2187" s="338"/>
      <c r="I2187" s="329">
        <f>+F2187/'[10]Income + exchange rates'!$G$29</f>
        <v>165.96807214384529</v>
      </c>
      <c r="J2187" s="329"/>
      <c r="K2187" s="338">
        <f t="shared" si="98"/>
        <v>41.492018035961323</v>
      </c>
      <c r="L2187" s="338">
        <f t="shared" si="98"/>
        <v>41.492018035961323</v>
      </c>
      <c r="M2187" s="338">
        <f t="shared" si="98"/>
        <v>41.492018035961323</v>
      </c>
      <c r="N2187" s="338">
        <f t="shared" si="98"/>
        <v>41.492018035961323</v>
      </c>
      <c r="O2187" s="338"/>
    </row>
    <row r="2188" spans="1:15" hidden="1" outlineLevel="2" x14ac:dyDescent="0.35">
      <c r="A2188" s="425" t="s">
        <v>105</v>
      </c>
      <c r="B2188" s="327">
        <v>44090</v>
      </c>
      <c r="C2188" s="426" t="s">
        <v>10998</v>
      </c>
      <c r="D2188" s="427" t="s">
        <v>10999</v>
      </c>
      <c r="E2188" s="426" t="s">
        <v>10976</v>
      </c>
      <c r="F2188" s="338">
        <v>708000</v>
      </c>
      <c r="G2188" s="338" t="s">
        <v>9869</v>
      </c>
      <c r="H2188" s="338"/>
      <c r="I2188" s="329">
        <f>+F2188/'[10]Income + exchange rates'!$G$29</f>
        <v>165.96807214384529</v>
      </c>
      <c r="J2188" s="329"/>
      <c r="K2188" s="338">
        <f t="shared" si="98"/>
        <v>41.492018035961323</v>
      </c>
      <c r="L2188" s="338">
        <f t="shared" si="98"/>
        <v>41.492018035961323</v>
      </c>
      <c r="M2188" s="338">
        <f t="shared" si="98"/>
        <v>41.492018035961323</v>
      </c>
      <c r="N2188" s="338">
        <f t="shared" si="98"/>
        <v>41.492018035961323</v>
      </c>
      <c r="O2188" s="338"/>
    </row>
    <row r="2189" spans="1:15" hidden="1" outlineLevel="2" x14ac:dyDescent="0.35">
      <c r="A2189" s="425" t="s">
        <v>105</v>
      </c>
      <c r="B2189" s="327">
        <v>44475</v>
      </c>
      <c r="C2189" s="426" t="s">
        <v>11000</v>
      </c>
      <c r="D2189" s="427" t="s">
        <v>11001</v>
      </c>
      <c r="E2189" s="426" t="s">
        <v>798</v>
      </c>
      <c r="F2189" s="338">
        <v>1363.58</v>
      </c>
      <c r="G2189" s="338" t="s">
        <v>56</v>
      </c>
      <c r="H2189" s="338"/>
      <c r="I2189" s="329">
        <v>1363.58</v>
      </c>
      <c r="J2189" s="329"/>
      <c r="K2189" s="338">
        <f t="shared" si="98"/>
        <v>340.89499999999998</v>
      </c>
      <c r="L2189" s="338">
        <f t="shared" si="98"/>
        <v>340.89499999999998</v>
      </c>
      <c r="M2189" s="338">
        <f t="shared" si="98"/>
        <v>340.89499999999998</v>
      </c>
      <c r="N2189" s="338">
        <f t="shared" si="98"/>
        <v>340.89499999999998</v>
      </c>
      <c r="O2189" s="338"/>
    </row>
    <row r="2190" spans="1:15" hidden="1" outlineLevel="2" x14ac:dyDescent="0.35">
      <c r="A2190" s="425" t="s">
        <v>105</v>
      </c>
      <c r="B2190" s="327">
        <v>44475</v>
      </c>
      <c r="C2190" s="426" t="s">
        <v>11000</v>
      </c>
      <c r="D2190" s="427" t="s">
        <v>11001</v>
      </c>
      <c r="E2190" s="426" t="s">
        <v>798</v>
      </c>
      <c r="F2190" s="338">
        <v>10</v>
      </c>
      <c r="G2190" s="338" t="s">
        <v>56</v>
      </c>
      <c r="H2190" s="338"/>
      <c r="I2190" s="329">
        <v>10</v>
      </c>
      <c r="J2190" s="329"/>
      <c r="K2190" s="338">
        <f t="shared" si="98"/>
        <v>2.5</v>
      </c>
      <c r="L2190" s="338">
        <f t="shared" si="98"/>
        <v>2.5</v>
      </c>
      <c r="M2190" s="338">
        <f t="shared" si="98"/>
        <v>2.5</v>
      </c>
      <c r="N2190" s="338">
        <f t="shared" si="98"/>
        <v>2.5</v>
      </c>
      <c r="O2190" s="338"/>
    </row>
    <row r="2191" spans="1:15" hidden="1" outlineLevel="2" x14ac:dyDescent="0.35">
      <c r="A2191" s="425" t="s">
        <v>105</v>
      </c>
      <c r="B2191" s="327">
        <v>44475</v>
      </c>
      <c r="C2191" s="426" t="s">
        <v>11000</v>
      </c>
      <c r="D2191" s="427" t="s">
        <v>11001</v>
      </c>
      <c r="E2191" s="426" t="s">
        <v>798</v>
      </c>
      <c r="F2191" s="338">
        <v>2.1</v>
      </c>
      <c r="G2191" s="338" t="s">
        <v>56</v>
      </c>
      <c r="H2191" s="338"/>
      <c r="I2191" s="329">
        <v>2.1</v>
      </c>
      <c r="J2191" s="329"/>
      <c r="K2191" s="338">
        <f t="shared" si="98"/>
        <v>0.52500000000000002</v>
      </c>
      <c r="L2191" s="338">
        <f t="shared" si="98"/>
        <v>0.52500000000000002</v>
      </c>
      <c r="M2191" s="338">
        <f t="shared" si="98"/>
        <v>0.52500000000000002</v>
      </c>
      <c r="N2191" s="338">
        <f t="shared" si="98"/>
        <v>0.52500000000000002</v>
      </c>
      <c r="O2191" s="338"/>
    </row>
    <row r="2192" spans="1:15" hidden="1" outlineLevel="2" x14ac:dyDescent="0.35">
      <c r="A2192" s="425" t="s">
        <v>105</v>
      </c>
      <c r="B2192" s="327">
        <v>44476</v>
      </c>
      <c r="C2192" s="426" t="s">
        <v>11002</v>
      </c>
      <c r="D2192" s="427" t="s">
        <v>11003</v>
      </c>
      <c r="E2192" s="426" t="s">
        <v>798</v>
      </c>
      <c r="F2192" s="338">
        <v>133.06</v>
      </c>
      <c r="G2192" s="338" t="s">
        <v>56</v>
      </c>
      <c r="H2192" s="338"/>
      <c r="I2192" s="329">
        <v>133.06</v>
      </c>
      <c r="J2192" s="329"/>
      <c r="K2192" s="338">
        <f t="shared" si="98"/>
        <v>33.265000000000001</v>
      </c>
      <c r="L2192" s="338">
        <f t="shared" si="98"/>
        <v>33.265000000000001</v>
      </c>
      <c r="M2192" s="338">
        <f t="shared" si="98"/>
        <v>33.265000000000001</v>
      </c>
      <c r="N2192" s="338">
        <f t="shared" si="98"/>
        <v>33.265000000000001</v>
      </c>
      <c r="O2192" s="338"/>
    </row>
    <row r="2193" spans="1:15" hidden="1" outlineLevel="2" x14ac:dyDescent="0.35">
      <c r="A2193" s="425" t="s">
        <v>105</v>
      </c>
      <c r="B2193" s="327">
        <v>44476</v>
      </c>
      <c r="C2193" s="426" t="s">
        <v>11002</v>
      </c>
      <c r="D2193" s="427" t="s">
        <v>11003</v>
      </c>
      <c r="E2193" s="426" t="s">
        <v>798</v>
      </c>
      <c r="F2193" s="338">
        <v>10</v>
      </c>
      <c r="G2193" s="338" t="s">
        <v>56</v>
      </c>
      <c r="H2193" s="338"/>
      <c r="I2193" s="329">
        <v>10</v>
      </c>
      <c r="J2193" s="329"/>
      <c r="K2193" s="338">
        <f t="shared" si="98"/>
        <v>2.5</v>
      </c>
      <c r="L2193" s="338">
        <f t="shared" si="98"/>
        <v>2.5</v>
      </c>
      <c r="M2193" s="338">
        <f t="shared" si="98"/>
        <v>2.5</v>
      </c>
      <c r="N2193" s="338">
        <f t="shared" si="98"/>
        <v>2.5</v>
      </c>
      <c r="O2193" s="338"/>
    </row>
    <row r="2194" spans="1:15" hidden="1" outlineLevel="2" x14ac:dyDescent="0.35">
      <c r="A2194" s="425" t="s">
        <v>105</v>
      </c>
      <c r="B2194" s="327">
        <v>44476</v>
      </c>
      <c r="C2194" s="426" t="s">
        <v>11002</v>
      </c>
      <c r="D2194" s="427" t="s">
        <v>11003</v>
      </c>
      <c r="E2194" s="426" t="s">
        <v>798</v>
      </c>
      <c r="F2194" s="338">
        <v>2.1</v>
      </c>
      <c r="G2194" s="338" t="s">
        <v>56</v>
      </c>
      <c r="H2194" s="338"/>
      <c r="I2194" s="329">
        <v>2.1</v>
      </c>
      <c r="J2194" s="329"/>
      <c r="K2194" s="338">
        <f t="shared" si="98"/>
        <v>0.52500000000000002</v>
      </c>
      <c r="L2194" s="338">
        <f t="shared" si="98"/>
        <v>0.52500000000000002</v>
      </c>
      <c r="M2194" s="338">
        <f t="shared" si="98"/>
        <v>0.52500000000000002</v>
      </c>
      <c r="N2194" s="338">
        <f t="shared" si="98"/>
        <v>0.52500000000000002</v>
      </c>
      <c r="O2194" s="338"/>
    </row>
    <row r="2195" spans="1:15" hidden="1" outlineLevel="2" x14ac:dyDescent="0.35">
      <c r="A2195" s="425" t="s">
        <v>105</v>
      </c>
      <c r="B2195" s="327">
        <v>44252</v>
      </c>
      <c r="C2195" s="426">
        <v>291278</v>
      </c>
      <c r="D2195" s="427" t="s">
        <v>11004</v>
      </c>
      <c r="E2195" s="426" t="s">
        <v>11005</v>
      </c>
      <c r="F2195" s="338">
        <v>31025</v>
      </c>
      <c r="G2195" s="338" t="s">
        <v>9869</v>
      </c>
      <c r="H2195" s="338"/>
      <c r="I2195" s="329">
        <f>+F2195/'[10]Income + exchange rates'!$G$60</f>
        <v>7.3964587324350886</v>
      </c>
      <c r="J2195" s="329"/>
      <c r="K2195" s="338">
        <f t="shared" si="98"/>
        <v>1.8491146831087721</v>
      </c>
      <c r="L2195" s="338">
        <f t="shared" si="98"/>
        <v>1.8491146831087721</v>
      </c>
      <c r="M2195" s="338">
        <f t="shared" si="98"/>
        <v>1.8491146831087721</v>
      </c>
      <c r="N2195" s="338">
        <f t="shared" si="98"/>
        <v>1.8491146831087721</v>
      </c>
      <c r="O2195" s="338"/>
    </row>
    <row r="2196" spans="1:15" hidden="1" outlineLevel="2" x14ac:dyDescent="0.35">
      <c r="A2196" s="425" t="s">
        <v>105</v>
      </c>
      <c r="B2196" s="327">
        <v>44269</v>
      </c>
      <c r="C2196" s="426">
        <v>294898</v>
      </c>
      <c r="D2196" s="427" t="s">
        <v>11006</v>
      </c>
      <c r="E2196" s="426" t="s">
        <v>11005</v>
      </c>
      <c r="F2196" s="338">
        <v>31025</v>
      </c>
      <c r="G2196" s="338" t="s">
        <v>9869</v>
      </c>
      <c r="H2196" s="338"/>
      <c r="I2196" s="329">
        <f>+F2196/'[10]Income + exchange rates'!$G$60</f>
        <v>7.3964587324350886</v>
      </c>
      <c r="J2196" s="329"/>
      <c r="K2196" s="338">
        <f t="shared" ref="K2196:N2215" si="99">$I2196/4</f>
        <v>1.8491146831087721</v>
      </c>
      <c r="L2196" s="338">
        <f t="shared" si="99"/>
        <v>1.8491146831087721</v>
      </c>
      <c r="M2196" s="338">
        <f t="shared" si="99"/>
        <v>1.8491146831087721</v>
      </c>
      <c r="N2196" s="338">
        <f t="shared" si="99"/>
        <v>1.8491146831087721</v>
      </c>
      <c r="O2196" s="338"/>
    </row>
    <row r="2197" spans="1:15" hidden="1" outlineLevel="2" x14ac:dyDescent="0.35">
      <c r="A2197" s="425" t="s">
        <v>105</v>
      </c>
      <c r="B2197" s="327">
        <v>44340</v>
      </c>
      <c r="C2197" s="426">
        <v>311486</v>
      </c>
      <c r="D2197" s="427" t="s">
        <v>11006</v>
      </c>
      <c r="E2197" s="426" t="s">
        <v>11005</v>
      </c>
      <c r="F2197" s="338">
        <v>31025</v>
      </c>
      <c r="G2197" s="338" t="s">
        <v>9869</v>
      </c>
      <c r="H2197" s="338"/>
      <c r="I2197" s="329">
        <f>+F2197/'[10]Income + exchange rates'!$G$60</f>
        <v>7.3964587324350886</v>
      </c>
      <c r="J2197" s="329"/>
      <c r="K2197" s="338">
        <f t="shared" si="99"/>
        <v>1.8491146831087721</v>
      </c>
      <c r="L2197" s="338">
        <f t="shared" si="99"/>
        <v>1.8491146831087721</v>
      </c>
      <c r="M2197" s="338">
        <f t="shared" si="99"/>
        <v>1.8491146831087721</v>
      </c>
      <c r="N2197" s="338">
        <f t="shared" si="99"/>
        <v>1.8491146831087721</v>
      </c>
      <c r="O2197" s="338"/>
    </row>
    <row r="2198" spans="1:15" hidden="1" outlineLevel="2" x14ac:dyDescent="0.35">
      <c r="A2198" s="425" t="s">
        <v>105</v>
      </c>
      <c r="B2198" s="327">
        <v>44500</v>
      </c>
      <c r="C2198" s="426" t="s">
        <v>11007</v>
      </c>
      <c r="D2198" s="427" t="s">
        <v>11008</v>
      </c>
      <c r="E2198" s="426" t="s">
        <v>11005</v>
      </c>
      <c r="F2198" s="338">
        <v>31025</v>
      </c>
      <c r="G2198" s="338" t="s">
        <v>9869</v>
      </c>
      <c r="H2198" s="338"/>
      <c r="I2198" s="329">
        <f>+F2198/'[10]Income + exchange rates'!$G$60</f>
        <v>7.3964587324350886</v>
      </c>
      <c r="J2198" s="329"/>
      <c r="K2198" s="338">
        <f t="shared" si="99"/>
        <v>1.8491146831087721</v>
      </c>
      <c r="L2198" s="338">
        <f t="shared" si="99"/>
        <v>1.8491146831087721</v>
      </c>
      <c r="M2198" s="338">
        <f t="shared" si="99"/>
        <v>1.8491146831087721</v>
      </c>
      <c r="N2198" s="338">
        <f t="shared" si="99"/>
        <v>1.8491146831087721</v>
      </c>
      <c r="O2198" s="338"/>
    </row>
    <row r="2199" spans="1:15" hidden="1" outlineLevel="2" x14ac:dyDescent="0.35">
      <c r="A2199" s="425" t="s">
        <v>105</v>
      </c>
      <c r="B2199" s="327">
        <v>44520</v>
      </c>
      <c r="C2199" s="426">
        <v>350434</v>
      </c>
      <c r="D2199" s="427" t="s">
        <v>11008</v>
      </c>
      <c r="E2199" s="426" t="s">
        <v>11005</v>
      </c>
      <c r="F2199" s="338">
        <v>31025</v>
      </c>
      <c r="G2199" s="338" t="s">
        <v>9869</v>
      </c>
      <c r="H2199" s="338"/>
      <c r="I2199" s="329">
        <f>+F2199/'[10]Income + exchange rates'!$G$60</f>
        <v>7.3964587324350886</v>
      </c>
      <c r="J2199" s="329"/>
      <c r="K2199" s="338">
        <f t="shared" si="99"/>
        <v>1.8491146831087721</v>
      </c>
      <c r="L2199" s="338">
        <f t="shared" si="99"/>
        <v>1.8491146831087721</v>
      </c>
      <c r="M2199" s="338">
        <f t="shared" si="99"/>
        <v>1.8491146831087721</v>
      </c>
      <c r="N2199" s="338">
        <f t="shared" si="99"/>
        <v>1.8491146831087721</v>
      </c>
      <c r="O2199" s="338"/>
    </row>
    <row r="2200" spans="1:15" hidden="1" outlineLevel="2" x14ac:dyDescent="0.35">
      <c r="A2200" s="425" t="s">
        <v>105</v>
      </c>
      <c r="B2200" s="327">
        <v>44538</v>
      </c>
      <c r="C2200" s="426">
        <v>35561</v>
      </c>
      <c r="D2200" s="427" t="s">
        <v>11008</v>
      </c>
      <c r="E2200" s="426" t="s">
        <v>11005</v>
      </c>
      <c r="F2200" s="338">
        <v>31025</v>
      </c>
      <c r="G2200" s="338" t="s">
        <v>9869</v>
      </c>
      <c r="H2200" s="338"/>
      <c r="I2200" s="329">
        <f>+F2200/'[10]Income + exchange rates'!$G$60</f>
        <v>7.3964587324350886</v>
      </c>
      <c r="J2200" s="329"/>
      <c r="K2200" s="338">
        <f t="shared" si="99"/>
        <v>1.8491146831087721</v>
      </c>
      <c r="L2200" s="338">
        <f t="shared" si="99"/>
        <v>1.8491146831087721</v>
      </c>
      <c r="M2200" s="338">
        <f t="shared" si="99"/>
        <v>1.8491146831087721</v>
      </c>
      <c r="N2200" s="338">
        <f t="shared" si="99"/>
        <v>1.8491146831087721</v>
      </c>
      <c r="O2200" s="338"/>
    </row>
    <row r="2201" spans="1:15" hidden="1" outlineLevel="2" x14ac:dyDescent="0.35">
      <c r="A2201" s="425" t="s">
        <v>105</v>
      </c>
      <c r="B2201" s="327">
        <v>44541</v>
      </c>
      <c r="C2201" s="426">
        <v>356178</v>
      </c>
      <c r="D2201" s="427" t="s">
        <v>11008</v>
      </c>
      <c r="E2201" s="426" t="s">
        <v>11005</v>
      </c>
      <c r="F2201" s="338">
        <v>31025</v>
      </c>
      <c r="G2201" s="338" t="s">
        <v>9869</v>
      </c>
      <c r="H2201" s="338"/>
      <c r="I2201" s="329">
        <f>+F2201/'[10]Income + exchange rates'!$G$60</f>
        <v>7.3964587324350886</v>
      </c>
      <c r="J2201" s="329"/>
      <c r="K2201" s="338">
        <f t="shared" si="99"/>
        <v>1.8491146831087721</v>
      </c>
      <c r="L2201" s="338">
        <f t="shared" si="99"/>
        <v>1.8491146831087721</v>
      </c>
      <c r="M2201" s="338">
        <f t="shared" si="99"/>
        <v>1.8491146831087721</v>
      </c>
      <c r="N2201" s="338">
        <f t="shared" si="99"/>
        <v>1.8491146831087721</v>
      </c>
      <c r="O2201" s="338"/>
    </row>
    <row r="2202" spans="1:15" hidden="1" outlineLevel="2" x14ac:dyDescent="0.35">
      <c r="A2202" s="425" t="s">
        <v>105</v>
      </c>
      <c r="B2202" s="327">
        <v>44456</v>
      </c>
      <c r="C2202" s="426">
        <v>335357</v>
      </c>
      <c r="D2202" s="427" t="s">
        <v>11009</v>
      </c>
      <c r="E2202" s="426" t="s">
        <v>11005</v>
      </c>
      <c r="F2202" s="338">
        <v>31025</v>
      </c>
      <c r="G2202" s="338" t="s">
        <v>9869</v>
      </c>
      <c r="H2202" s="338"/>
      <c r="I2202" s="329">
        <f>+F2202/'[10]Income + exchange rates'!$G$60</f>
        <v>7.3964587324350886</v>
      </c>
      <c r="J2202" s="329"/>
      <c r="K2202" s="338">
        <f t="shared" si="99"/>
        <v>1.8491146831087721</v>
      </c>
      <c r="L2202" s="338">
        <f t="shared" si="99"/>
        <v>1.8491146831087721</v>
      </c>
      <c r="M2202" s="338">
        <f t="shared" si="99"/>
        <v>1.8491146831087721</v>
      </c>
      <c r="N2202" s="338">
        <f t="shared" si="99"/>
        <v>1.8491146831087721</v>
      </c>
      <c r="O2202" s="338"/>
    </row>
    <row r="2203" spans="1:15" hidden="1" outlineLevel="2" x14ac:dyDescent="0.35">
      <c r="A2203" s="425" t="s">
        <v>105</v>
      </c>
      <c r="B2203" s="327">
        <v>44462</v>
      </c>
      <c r="C2203" s="426">
        <v>336681</v>
      </c>
      <c r="D2203" s="427" t="s">
        <v>11009</v>
      </c>
      <c r="E2203" s="426" t="s">
        <v>11005</v>
      </c>
      <c r="F2203" s="338">
        <v>31025</v>
      </c>
      <c r="G2203" s="338" t="s">
        <v>9869</v>
      </c>
      <c r="H2203" s="338"/>
      <c r="I2203" s="329">
        <f>+F2203/'[10]Income + exchange rates'!$G$60</f>
        <v>7.3964587324350886</v>
      </c>
      <c r="J2203" s="329"/>
      <c r="K2203" s="338">
        <f t="shared" si="99"/>
        <v>1.8491146831087721</v>
      </c>
      <c r="L2203" s="338">
        <f t="shared" si="99"/>
        <v>1.8491146831087721</v>
      </c>
      <c r="M2203" s="338">
        <f t="shared" si="99"/>
        <v>1.8491146831087721</v>
      </c>
      <c r="N2203" s="338">
        <f t="shared" si="99"/>
        <v>1.8491146831087721</v>
      </c>
      <c r="O2203" s="338"/>
    </row>
    <row r="2204" spans="1:15" hidden="1" outlineLevel="2" x14ac:dyDescent="0.35">
      <c r="A2204" s="425" t="s">
        <v>105</v>
      </c>
      <c r="B2204" s="327">
        <v>44468</v>
      </c>
      <c r="C2204" s="426">
        <v>338144</v>
      </c>
      <c r="D2204" s="427" t="s">
        <v>11009</v>
      </c>
      <c r="E2204" s="426" t="s">
        <v>11005</v>
      </c>
      <c r="F2204" s="338">
        <v>31025</v>
      </c>
      <c r="G2204" s="338" t="s">
        <v>9869</v>
      </c>
      <c r="H2204" s="338"/>
      <c r="I2204" s="329">
        <f>+F2204/'[10]Income + exchange rates'!$G$60</f>
        <v>7.3964587324350886</v>
      </c>
      <c r="J2204" s="329"/>
      <c r="K2204" s="338">
        <f t="shared" si="99"/>
        <v>1.8491146831087721</v>
      </c>
      <c r="L2204" s="338">
        <f t="shared" si="99"/>
        <v>1.8491146831087721</v>
      </c>
      <c r="M2204" s="338">
        <f t="shared" si="99"/>
        <v>1.8491146831087721</v>
      </c>
      <c r="N2204" s="338">
        <f t="shared" si="99"/>
        <v>1.8491146831087721</v>
      </c>
      <c r="O2204" s="338"/>
    </row>
    <row r="2205" spans="1:15" hidden="1" outlineLevel="2" x14ac:dyDescent="0.35">
      <c r="A2205" s="425" t="s">
        <v>105</v>
      </c>
      <c r="B2205" s="327">
        <v>44238</v>
      </c>
      <c r="C2205" s="426">
        <v>288236</v>
      </c>
      <c r="D2205" s="427" t="s">
        <v>11010</v>
      </c>
      <c r="E2205" s="426" t="s">
        <v>11005</v>
      </c>
      <c r="F2205" s="338">
        <v>31025</v>
      </c>
      <c r="G2205" s="338" t="s">
        <v>9869</v>
      </c>
      <c r="H2205" s="338"/>
      <c r="I2205" s="329">
        <f>+F2205/'[10]Income + exchange rates'!$G$60</f>
        <v>7.3964587324350886</v>
      </c>
      <c r="J2205" s="329"/>
      <c r="K2205" s="338">
        <f t="shared" si="99"/>
        <v>1.8491146831087721</v>
      </c>
      <c r="L2205" s="338">
        <f t="shared" si="99"/>
        <v>1.8491146831087721</v>
      </c>
      <c r="M2205" s="338">
        <f t="shared" si="99"/>
        <v>1.8491146831087721</v>
      </c>
      <c r="N2205" s="338">
        <f t="shared" si="99"/>
        <v>1.8491146831087721</v>
      </c>
      <c r="O2205" s="338"/>
    </row>
    <row r="2206" spans="1:15" hidden="1" outlineLevel="2" x14ac:dyDescent="0.35">
      <c r="A2206" s="425" t="s">
        <v>105</v>
      </c>
      <c r="B2206" s="327">
        <v>44306</v>
      </c>
      <c r="C2206" s="426">
        <v>303378</v>
      </c>
      <c r="D2206" s="427" t="s">
        <v>11010</v>
      </c>
      <c r="E2206" s="426" t="s">
        <v>11005</v>
      </c>
      <c r="F2206" s="338">
        <v>31025</v>
      </c>
      <c r="G2206" s="338" t="s">
        <v>9869</v>
      </c>
      <c r="H2206" s="338"/>
      <c r="I2206" s="329">
        <f>+F2206/'[10]Income + exchange rates'!$G$60</f>
        <v>7.3964587324350886</v>
      </c>
      <c r="J2206" s="329"/>
      <c r="K2206" s="338">
        <f t="shared" si="99"/>
        <v>1.8491146831087721</v>
      </c>
      <c r="L2206" s="338">
        <f t="shared" si="99"/>
        <v>1.8491146831087721</v>
      </c>
      <c r="M2206" s="338">
        <f t="shared" si="99"/>
        <v>1.8491146831087721</v>
      </c>
      <c r="N2206" s="338">
        <f t="shared" si="99"/>
        <v>1.8491146831087721</v>
      </c>
      <c r="O2206" s="338"/>
    </row>
    <row r="2207" spans="1:15" hidden="1" outlineLevel="2" x14ac:dyDescent="0.35">
      <c r="A2207" s="425" t="s">
        <v>105</v>
      </c>
      <c r="B2207" s="327">
        <v>44561</v>
      </c>
      <c r="C2207" s="426" t="s">
        <v>11011</v>
      </c>
      <c r="D2207" s="427" t="s">
        <v>11012</v>
      </c>
      <c r="E2207" s="426" t="s">
        <v>11013</v>
      </c>
      <c r="F2207" s="338">
        <v>55</v>
      </c>
      <c r="G2207" s="338" t="s">
        <v>56</v>
      </c>
      <c r="H2207" s="338"/>
      <c r="I2207" s="329">
        <v>55</v>
      </c>
      <c r="J2207" s="329"/>
      <c r="K2207" s="338">
        <f t="shared" si="99"/>
        <v>13.75</v>
      </c>
      <c r="L2207" s="338">
        <f t="shared" si="99"/>
        <v>13.75</v>
      </c>
      <c r="M2207" s="338">
        <f t="shared" si="99"/>
        <v>13.75</v>
      </c>
      <c r="N2207" s="338">
        <f t="shared" si="99"/>
        <v>13.75</v>
      </c>
      <c r="O2207" s="338"/>
    </row>
    <row r="2208" spans="1:15" hidden="1" outlineLevel="2" x14ac:dyDescent="0.35">
      <c r="A2208" s="425" t="s">
        <v>105</v>
      </c>
      <c r="B2208" s="327">
        <v>43889</v>
      </c>
      <c r="C2208" s="426" t="s">
        <v>11014</v>
      </c>
      <c r="D2208" s="427" t="s">
        <v>11015</v>
      </c>
      <c r="E2208" s="426" t="s">
        <v>11016</v>
      </c>
      <c r="F2208" s="338">
        <v>109600</v>
      </c>
      <c r="G2208" s="338" t="s">
        <v>9869</v>
      </c>
      <c r="H2208" s="338"/>
      <c r="I2208" s="329">
        <f>+F2208/'[10]Income + exchange rates'!$G$29</f>
        <v>25.692232636956842</v>
      </c>
      <c r="J2208" s="329"/>
      <c r="K2208" s="338">
        <f t="shared" si="99"/>
        <v>6.4230581592392104</v>
      </c>
      <c r="L2208" s="338">
        <f t="shared" si="99"/>
        <v>6.4230581592392104</v>
      </c>
      <c r="M2208" s="338">
        <f t="shared" si="99"/>
        <v>6.4230581592392104</v>
      </c>
      <c r="N2208" s="338">
        <f t="shared" si="99"/>
        <v>6.4230581592392104</v>
      </c>
      <c r="O2208" s="338"/>
    </row>
    <row r="2209" spans="1:15" hidden="1" outlineLevel="2" x14ac:dyDescent="0.35">
      <c r="A2209" s="425" t="s">
        <v>105</v>
      </c>
      <c r="B2209" s="327">
        <v>43950</v>
      </c>
      <c r="C2209" s="426" t="s">
        <v>11017</v>
      </c>
      <c r="D2209" s="427" t="s">
        <v>11018</v>
      </c>
      <c r="E2209" s="426" t="s">
        <v>11016</v>
      </c>
      <c r="F2209" s="338">
        <v>260763</v>
      </c>
      <c r="G2209" s="338" t="s">
        <v>9869</v>
      </c>
      <c r="H2209" s="338"/>
      <c r="I2209" s="329">
        <f>+F2209/'[10]Income + exchange rates'!$G$29</f>
        <v>61.127588130572782</v>
      </c>
      <c r="J2209" s="329"/>
      <c r="K2209" s="338">
        <f t="shared" si="99"/>
        <v>15.281897032643196</v>
      </c>
      <c r="L2209" s="338">
        <f t="shared" si="99"/>
        <v>15.281897032643196</v>
      </c>
      <c r="M2209" s="338">
        <f t="shared" si="99"/>
        <v>15.281897032643196</v>
      </c>
      <c r="N2209" s="338">
        <f t="shared" si="99"/>
        <v>15.281897032643196</v>
      </c>
      <c r="O2209" s="338"/>
    </row>
    <row r="2210" spans="1:15" hidden="1" outlineLevel="2" x14ac:dyDescent="0.35">
      <c r="A2210" s="425" t="s">
        <v>105</v>
      </c>
      <c r="B2210" s="327">
        <v>44215</v>
      </c>
      <c r="C2210" s="426">
        <v>1000023440</v>
      </c>
      <c r="D2210" s="427" t="s">
        <v>11019</v>
      </c>
      <c r="E2210" s="426" t="s">
        <v>11016</v>
      </c>
      <c r="F2210" s="338">
        <v>113790</v>
      </c>
      <c r="G2210" s="338" t="s">
        <v>9869</v>
      </c>
      <c r="H2210" s="338"/>
      <c r="I2210" s="329">
        <f>+F2210/'[10]Income + exchange rates'!$G$60</f>
        <v>27.127898119703101</v>
      </c>
      <c r="J2210" s="329"/>
      <c r="K2210" s="338">
        <f t="shared" si="99"/>
        <v>6.7819745299257752</v>
      </c>
      <c r="L2210" s="338">
        <f t="shared" si="99"/>
        <v>6.7819745299257752</v>
      </c>
      <c r="M2210" s="338">
        <f t="shared" si="99"/>
        <v>6.7819745299257752</v>
      </c>
      <c r="N2210" s="338">
        <f t="shared" si="99"/>
        <v>6.7819745299257752</v>
      </c>
      <c r="O2210" s="338"/>
    </row>
    <row r="2211" spans="1:15" hidden="1" outlineLevel="2" x14ac:dyDescent="0.35">
      <c r="A2211" s="425" t="s">
        <v>105</v>
      </c>
      <c r="B2211" s="327">
        <v>44180</v>
      </c>
      <c r="C2211" s="426" t="s">
        <v>11020</v>
      </c>
      <c r="D2211" s="427" t="s">
        <v>11021</v>
      </c>
      <c r="E2211" s="426" t="s">
        <v>11016</v>
      </c>
      <c r="F2211" s="338">
        <v>47407</v>
      </c>
      <c r="G2211" s="338" t="s">
        <v>9869</v>
      </c>
      <c r="H2211" s="338"/>
      <c r="I2211" s="329">
        <f>+F2211/'[10]Income + exchange rates'!$G$29</f>
        <v>11.113062706388805</v>
      </c>
      <c r="J2211" s="329"/>
      <c r="K2211" s="338">
        <f t="shared" si="99"/>
        <v>2.7782656765972011</v>
      </c>
      <c r="L2211" s="338">
        <f t="shared" si="99"/>
        <v>2.7782656765972011</v>
      </c>
      <c r="M2211" s="338">
        <f t="shared" si="99"/>
        <v>2.7782656765972011</v>
      </c>
      <c r="N2211" s="338">
        <f t="shared" si="99"/>
        <v>2.7782656765972011</v>
      </c>
      <c r="O2211" s="338"/>
    </row>
    <row r="2212" spans="1:15" hidden="1" outlineLevel="2" x14ac:dyDescent="0.35">
      <c r="A2212" s="425" t="s">
        <v>105</v>
      </c>
      <c r="B2212" s="327">
        <v>44095</v>
      </c>
      <c r="C2212" s="426" t="s">
        <v>11022</v>
      </c>
      <c r="D2212" s="427" t="s">
        <v>11023</v>
      </c>
      <c r="E2212" s="426" t="s">
        <v>11016</v>
      </c>
      <c r="F2212" s="338">
        <v>105492</v>
      </c>
      <c r="G2212" s="338" t="s">
        <v>9869</v>
      </c>
      <c r="H2212" s="338"/>
      <c r="I2212" s="329">
        <f>+F2212/'[10]Income + exchange rates'!$G$29</f>
        <v>24.729242749432949</v>
      </c>
      <c r="J2212" s="329"/>
      <c r="K2212" s="338">
        <f t="shared" si="99"/>
        <v>6.1823106873582372</v>
      </c>
      <c r="L2212" s="338">
        <f t="shared" si="99"/>
        <v>6.1823106873582372</v>
      </c>
      <c r="M2212" s="338">
        <f t="shared" si="99"/>
        <v>6.1823106873582372</v>
      </c>
      <c r="N2212" s="338">
        <f t="shared" si="99"/>
        <v>6.1823106873582372</v>
      </c>
      <c r="O2212" s="338"/>
    </row>
    <row r="2213" spans="1:15" hidden="1" outlineLevel="2" x14ac:dyDescent="0.35">
      <c r="A2213" s="425" t="s">
        <v>105</v>
      </c>
      <c r="B2213" s="327">
        <v>44153</v>
      </c>
      <c r="C2213" s="426" t="s">
        <v>11024</v>
      </c>
      <c r="D2213" s="427" t="s">
        <v>11025</v>
      </c>
      <c r="E2213" s="426" t="s">
        <v>11016</v>
      </c>
      <c r="F2213" s="338">
        <v>64003</v>
      </c>
      <c r="G2213" s="338" t="s">
        <v>9869</v>
      </c>
      <c r="H2213" s="338"/>
      <c r="I2213" s="329">
        <f>+F2213/'[10]Income + exchange rates'!$G$29</f>
        <v>15.003466838167416</v>
      </c>
      <c r="J2213" s="329"/>
      <c r="K2213" s="338">
        <f t="shared" si="99"/>
        <v>3.750866709541854</v>
      </c>
      <c r="L2213" s="338">
        <f t="shared" si="99"/>
        <v>3.750866709541854</v>
      </c>
      <c r="M2213" s="338">
        <f t="shared" si="99"/>
        <v>3.750866709541854</v>
      </c>
      <c r="N2213" s="338">
        <f t="shared" si="99"/>
        <v>3.750866709541854</v>
      </c>
      <c r="O2213" s="338"/>
    </row>
    <row r="2214" spans="1:15" hidden="1" outlineLevel="2" x14ac:dyDescent="0.35">
      <c r="A2214" s="425" t="s">
        <v>105</v>
      </c>
      <c r="B2214" s="327">
        <v>44063</v>
      </c>
      <c r="C2214" s="426" t="s">
        <v>11026</v>
      </c>
      <c r="D2214" s="427" t="s">
        <v>11027</v>
      </c>
      <c r="E2214" s="426" t="s">
        <v>11016</v>
      </c>
      <c r="F2214" s="338">
        <v>51556</v>
      </c>
      <c r="G2214" s="338" t="s">
        <v>9869</v>
      </c>
      <c r="H2214" s="338"/>
      <c r="I2214" s="329">
        <f>+F2214/'[10]Income + exchange rates'!$G$29</f>
        <v>12.085663739333457</v>
      </c>
      <c r="J2214" s="329"/>
      <c r="K2214" s="338">
        <f t="shared" si="99"/>
        <v>3.0214159348333642</v>
      </c>
      <c r="L2214" s="338">
        <f t="shared" si="99"/>
        <v>3.0214159348333642</v>
      </c>
      <c r="M2214" s="338">
        <f t="shared" si="99"/>
        <v>3.0214159348333642</v>
      </c>
      <c r="N2214" s="338">
        <f t="shared" si="99"/>
        <v>3.0214159348333642</v>
      </c>
      <c r="O2214" s="338"/>
    </row>
    <row r="2215" spans="1:15" hidden="1" outlineLevel="2" x14ac:dyDescent="0.35">
      <c r="A2215" s="425" t="s">
        <v>105</v>
      </c>
      <c r="B2215" s="327">
        <v>44123</v>
      </c>
      <c r="C2215" s="426" t="s">
        <v>11028</v>
      </c>
      <c r="D2215" s="427" t="s">
        <v>11029</v>
      </c>
      <c r="E2215" s="426" t="s">
        <v>11016</v>
      </c>
      <c r="F2215" s="338">
        <v>55705</v>
      </c>
      <c r="G2215" s="338" t="s">
        <v>9869</v>
      </c>
      <c r="H2215" s="338"/>
      <c r="I2215" s="329">
        <f>+F2215/'[10]Income + exchange rates'!$G$29</f>
        <v>13.058264772278109</v>
      </c>
      <c r="J2215" s="329"/>
      <c r="K2215" s="338">
        <f t="shared" si="99"/>
        <v>3.2645661930695273</v>
      </c>
      <c r="L2215" s="338">
        <f t="shared" si="99"/>
        <v>3.2645661930695273</v>
      </c>
      <c r="M2215" s="338">
        <f t="shared" si="99"/>
        <v>3.2645661930695273</v>
      </c>
      <c r="N2215" s="338">
        <f t="shared" si="99"/>
        <v>3.2645661930695273</v>
      </c>
      <c r="O2215" s="338"/>
    </row>
    <row r="2216" spans="1:15" hidden="1" outlineLevel="2" x14ac:dyDescent="0.35">
      <c r="A2216" s="425" t="s">
        <v>105</v>
      </c>
      <c r="B2216" s="327">
        <v>44033</v>
      </c>
      <c r="C2216" s="426" t="s">
        <v>11030</v>
      </c>
      <c r="D2216" s="427" t="s">
        <v>11031</v>
      </c>
      <c r="E2216" s="426" t="s">
        <v>11016</v>
      </c>
      <c r="F2216" s="338">
        <v>84747</v>
      </c>
      <c r="G2216" s="338" t="s">
        <v>9869</v>
      </c>
      <c r="H2216" s="338"/>
      <c r="I2216" s="329">
        <f>+F2216/'[10]Income + exchange rates'!$G$29</f>
        <v>19.866237584709683</v>
      </c>
      <c r="J2216" s="329"/>
      <c r="K2216" s="338">
        <f t="shared" ref="K2216:N2235" si="100">$I2216/4</f>
        <v>4.9665593961774208</v>
      </c>
      <c r="L2216" s="338">
        <f t="shared" si="100"/>
        <v>4.9665593961774208</v>
      </c>
      <c r="M2216" s="338">
        <f t="shared" si="100"/>
        <v>4.9665593961774208</v>
      </c>
      <c r="N2216" s="338">
        <f t="shared" si="100"/>
        <v>4.9665593961774208</v>
      </c>
      <c r="O2216" s="338"/>
    </row>
    <row r="2217" spans="1:15" hidden="1" outlineLevel="2" x14ac:dyDescent="0.35">
      <c r="A2217" s="425" t="s">
        <v>105</v>
      </c>
      <c r="B2217" s="327">
        <v>44006</v>
      </c>
      <c r="C2217" s="426" t="s">
        <v>11032</v>
      </c>
      <c r="D2217" s="427" t="s">
        <v>11033</v>
      </c>
      <c r="E2217" s="426" t="s">
        <v>11016</v>
      </c>
      <c r="F2217" s="338">
        <v>55705</v>
      </c>
      <c r="G2217" s="338" t="s">
        <v>9869</v>
      </c>
      <c r="H2217" s="338"/>
      <c r="I2217" s="329">
        <f>+F2217/'[10]Income + exchange rates'!$G$29</f>
        <v>13.058264772278109</v>
      </c>
      <c r="J2217" s="329"/>
      <c r="K2217" s="338">
        <f t="shared" si="100"/>
        <v>3.2645661930695273</v>
      </c>
      <c r="L2217" s="338">
        <f t="shared" si="100"/>
        <v>3.2645661930695273</v>
      </c>
      <c r="M2217" s="338">
        <f t="shared" si="100"/>
        <v>3.2645661930695273</v>
      </c>
      <c r="N2217" s="338">
        <f t="shared" si="100"/>
        <v>3.2645661930695273</v>
      </c>
      <c r="O2217" s="338"/>
    </row>
    <row r="2218" spans="1:15" hidden="1" outlineLevel="2" x14ac:dyDescent="0.35">
      <c r="A2218" s="425" t="s">
        <v>105</v>
      </c>
      <c r="B2218" s="327">
        <v>43976</v>
      </c>
      <c r="C2218" s="426" t="s">
        <v>11034</v>
      </c>
      <c r="D2218" s="427" t="s">
        <v>11035</v>
      </c>
      <c r="E2218" s="426" t="s">
        <v>11016</v>
      </c>
      <c r="F2218" s="338">
        <v>59854</v>
      </c>
      <c r="G2218" s="338" t="s">
        <v>9869</v>
      </c>
      <c r="H2218" s="338"/>
      <c r="I2218" s="329">
        <f>+F2218/'[10]Income + exchange rates'!$G$29</f>
        <v>14.030865805222763</v>
      </c>
      <c r="J2218" s="329"/>
      <c r="K2218" s="338">
        <f t="shared" si="100"/>
        <v>3.5077164513056909</v>
      </c>
      <c r="L2218" s="338">
        <f t="shared" si="100"/>
        <v>3.5077164513056909</v>
      </c>
      <c r="M2218" s="338">
        <f t="shared" si="100"/>
        <v>3.5077164513056909</v>
      </c>
      <c r="N2218" s="338">
        <f t="shared" si="100"/>
        <v>3.5077164513056909</v>
      </c>
      <c r="O2218" s="338"/>
    </row>
    <row r="2219" spans="1:15" hidden="1" outlineLevel="2" x14ac:dyDescent="0.35">
      <c r="A2219" s="425" t="s">
        <v>105</v>
      </c>
      <c r="B2219" s="327">
        <v>43860</v>
      </c>
      <c r="C2219" s="426" t="s">
        <v>11036</v>
      </c>
      <c r="D2219" s="427" t="s">
        <v>11037</v>
      </c>
      <c r="E2219" s="426" t="s">
        <v>11016</v>
      </c>
      <c r="F2219" s="338">
        <v>97200</v>
      </c>
      <c r="G2219" s="338" t="s">
        <v>9869</v>
      </c>
      <c r="H2219" s="338"/>
      <c r="I2219" s="329">
        <f>+F2219/'[10]Income + exchange rates'!$G$29</f>
        <v>22.785447192629608</v>
      </c>
      <c r="J2219" s="329"/>
      <c r="K2219" s="338">
        <f t="shared" si="100"/>
        <v>5.696361798157402</v>
      </c>
      <c r="L2219" s="338">
        <f t="shared" si="100"/>
        <v>5.696361798157402</v>
      </c>
      <c r="M2219" s="338">
        <f t="shared" si="100"/>
        <v>5.696361798157402</v>
      </c>
      <c r="N2219" s="338">
        <f t="shared" si="100"/>
        <v>5.696361798157402</v>
      </c>
      <c r="O2219" s="338"/>
    </row>
    <row r="2220" spans="1:15" hidden="1" outlineLevel="2" x14ac:dyDescent="0.35">
      <c r="A2220" s="425" t="s">
        <v>105</v>
      </c>
      <c r="B2220" s="327">
        <v>44196</v>
      </c>
      <c r="C2220" s="426" t="s">
        <v>11038</v>
      </c>
      <c r="D2220" s="427" t="s">
        <v>11039</v>
      </c>
      <c r="E2220" s="426" t="s">
        <v>11040</v>
      </c>
      <c r="F2220" s="338">
        <v>6.19</v>
      </c>
      <c r="G2220" s="338" t="s">
        <v>56</v>
      </c>
      <c r="H2220" s="338"/>
      <c r="I2220" s="329">
        <v>6.19</v>
      </c>
      <c r="J2220" s="329"/>
      <c r="K2220" s="338">
        <f t="shared" si="100"/>
        <v>1.5475000000000001</v>
      </c>
      <c r="L2220" s="338">
        <f t="shared" si="100"/>
        <v>1.5475000000000001</v>
      </c>
      <c r="M2220" s="338">
        <f t="shared" si="100"/>
        <v>1.5475000000000001</v>
      </c>
      <c r="N2220" s="338">
        <f t="shared" si="100"/>
        <v>1.5475000000000001</v>
      </c>
      <c r="O2220" s="338"/>
    </row>
    <row r="2221" spans="1:15" hidden="1" outlineLevel="2" x14ac:dyDescent="0.35">
      <c r="A2221" s="425" t="s">
        <v>105</v>
      </c>
      <c r="B2221" s="327">
        <v>44196</v>
      </c>
      <c r="C2221" s="426" t="s">
        <v>11041</v>
      </c>
      <c r="D2221" s="427" t="s">
        <v>11042</v>
      </c>
      <c r="E2221" s="426" t="s">
        <v>11043</v>
      </c>
      <c r="F2221" s="338">
        <v>6.19</v>
      </c>
      <c r="G2221" s="338" t="s">
        <v>56</v>
      </c>
      <c r="H2221" s="338"/>
      <c r="I2221" s="329">
        <v>6.19</v>
      </c>
      <c r="J2221" s="329"/>
      <c r="K2221" s="338">
        <f t="shared" si="100"/>
        <v>1.5475000000000001</v>
      </c>
      <c r="L2221" s="338">
        <f t="shared" si="100"/>
        <v>1.5475000000000001</v>
      </c>
      <c r="M2221" s="338">
        <f t="shared" si="100"/>
        <v>1.5475000000000001</v>
      </c>
      <c r="N2221" s="338">
        <f t="shared" si="100"/>
        <v>1.5475000000000001</v>
      </c>
      <c r="O2221" s="338"/>
    </row>
    <row r="2222" spans="1:15" hidden="1" outlineLevel="2" x14ac:dyDescent="0.35">
      <c r="A2222" s="425" t="s">
        <v>105</v>
      </c>
      <c r="B2222" s="327">
        <v>44196</v>
      </c>
      <c r="C2222" s="426" t="s">
        <v>11044</v>
      </c>
      <c r="D2222" s="427" t="s">
        <v>11045</v>
      </c>
      <c r="E2222" s="426" t="s">
        <v>2839</v>
      </c>
      <c r="F2222" s="338">
        <v>6</v>
      </c>
      <c r="G2222" s="338" t="s">
        <v>56</v>
      </c>
      <c r="H2222" s="338"/>
      <c r="I2222" s="329">
        <v>6</v>
      </c>
      <c r="J2222" s="329"/>
      <c r="K2222" s="338">
        <f t="shared" si="100"/>
        <v>1.5</v>
      </c>
      <c r="L2222" s="338">
        <f t="shared" si="100"/>
        <v>1.5</v>
      </c>
      <c r="M2222" s="338">
        <f t="shared" si="100"/>
        <v>1.5</v>
      </c>
      <c r="N2222" s="338">
        <f t="shared" si="100"/>
        <v>1.5</v>
      </c>
      <c r="O2222" s="338"/>
    </row>
    <row r="2223" spans="1:15" hidden="1" outlineLevel="2" x14ac:dyDescent="0.35">
      <c r="A2223" s="425" t="s">
        <v>105</v>
      </c>
      <c r="B2223" s="327">
        <v>44196</v>
      </c>
      <c r="C2223" s="426" t="s">
        <v>11046</v>
      </c>
      <c r="D2223" s="427" t="s">
        <v>11047</v>
      </c>
      <c r="E2223" s="426" t="s">
        <v>2839</v>
      </c>
      <c r="F2223" s="338">
        <v>6</v>
      </c>
      <c r="G2223" s="338" t="s">
        <v>56</v>
      </c>
      <c r="H2223" s="338"/>
      <c r="I2223" s="329">
        <v>6</v>
      </c>
      <c r="J2223" s="329"/>
      <c r="K2223" s="338">
        <f t="shared" si="100"/>
        <v>1.5</v>
      </c>
      <c r="L2223" s="338">
        <f t="shared" si="100"/>
        <v>1.5</v>
      </c>
      <c r="M2223" s="338">
        <f t="shared" si="100"/>
        <v>1.5</v>
      </c>
      <c r="N2223" s="338">
        <f t="shared" si="100"/>
        <v>1.5</v>
      </c>
      <c r="O2223" s="338"/>
    </row>
    <row r="2224" spans="1:15" hidden="1" outlineLevel="2" x14ac:dyDescent="0.35">
      <c r="A2224" s="425" t="s">
        <v>105</v>
      </c>
      <c r="B2224" s="327">
        <v>44196</v>
      </c>
      <c r="C2224" s="426" t="s">
        <v>11048</v>
      </c>
      <c r="D2224" s="427" t="s">
        <v>11049</v>
      </c>
      <c r="E2224" s="426" t="s">
        <v>2839</v>
      </c>
      <c r="F2224" s="338">
        <v>6</v>
      </c>
      <c r="G2224" s="338" t="s">
        <v>56</v>
      </c>
      <c r="H2224" s="338"/>
      <c r="I2224" s="329">
        <v>6</v>
      </c>
      <c r="J2224" s="329"/>
      <c r="K2224" s="338">
        <f t="shared" si="100"/>
        <v>1.5</v>
      </c>
      <c r="L2224" s="338">
        <f t="shared" si="100"/>
        <v>1.5</v>
      </c>
      <c r="M2224" s="338">
        <f t="shared" si="100"/>
        <v>1.5</v>
      </c>
      <c r="N2224" s="338">
        <f t="shared" si="100"/>
        <v>1.5</v>
      </c>
      <c r="O2224" s="338"/>
    </row>
    <row r="2225" spans="1:15" hidden="1" outlineLevel="2" x14ac:dyDescent="0.35">
      <c r="A2225" s="425" t="s">
        <v>105</v>
      </c>
      <c r="B2225" s="327">
        <v>44196</v>
      </c>
      <c r="C2225" s="426" t="s">
        <v>11050</v>
      </c>
      <c r="D2225" s="427" t="s">
        <v>11051</v>
      </c>
      <c r="E2225" s="426" t="s">
        <v>2839</v>
      </c>
      <c r="F2225" s="338">
        <v>6</v>
      </c>
      <c r="G2225" s="338" t="s">
        <v>56</v>
      </c>
      <c r="H2225" s="338"/>
      <c r="I2225" s="329">
        <v>6</v>
      </c>
      <c r="J2225" s="329"/>
      <c r="K2225" s="338">
        <f t="shared" si="100"/>
        <v>1.5</v>
      </c>
      <c r="L2225" s="338">
        <f t="shared" si="100"/>
        <v>1.5</v>
      </c>
      <c r="M2225" s="338">
        <f t="shared" si="100"/>
        <v>1.5</v>
      </c>
      <c r="N2225" s="338">
        <f t="shared" si="100"/>
        <v>1.5</v>
      </c>
      <c r="O2225" s="338"/>
    </row>
    <row r="2226" spans="1:15" hidden="1" outlineLevel="2" x14ac:dyDescent="0.35">
      <c r="A2226" s="425" t="s">
        <v>105</v>
      </c>
      <c r="B2226" s="327">
        <v>44196</v>
      </c>
      <c r="C2226" s="426" t="s">
        <v>11052</v>
      </c>
      <c r="D2226" s="427" t="s">
        <v>11053</v>
      </c>
      <c r="E2226" s="426" t="s">
        <v>2839</v>
      </c>
      <c r="F2226" s="338">
        <v>6</v>
      </c>
      <c r="G2226" s="338" t="s">
        <v>56</v>
      </c>
      <c r="H2226" s="338"/>
      <c r="I2226" s="329">
        <v>6</v>
      </c>
      <c r="J2226" s="329"/>
      <c r="K2226" s="338">
        <f t="shared" si="100"/>
        <v>1.5</v>
      </c>
      <c r="L2226" s="338">
        <f t="shared" si="100"/>
        <v>1.5</v>
      </c>
      <c r="M2226" s="338">
        <f t="shared" si="100"/>
        <v>1.5</v>
      </c>
      <c r="N2226" s="338">
        <f t="shared" si="100"/>
        <v>1.5</v>
      </c>
      <c r="O2226" s="338"/>
    </row>
    <row r="2227" spans="1:15" hidden="1" outlineLevel="2" x14ac:dyDescent="0.35">
      <c r="A2227" s="425" t="s">
        <v>105</v>
      </c>
      <c r="B2227" s="327">
        <v>44196</v>
      </c>
      <c r="C2227" s="426" t="s">
        <v>11054</v>
      </c>
      <c r="D2227" s="427" t="s">
        <v>11055</v>
      </c>
      <c r="E2227" s="426" t="s">
        <v>2839</v>
      </c>
      <c r="F2227" s="338">
        <v>6</v>
      </c>
      <c r="G2227" s="338" t="s">
        <v>56</v>
      </c>
      <c r="H2227" s="338"/>
      <c r="I2227" s="329">
        <v>6</v>
      </c>
      <c r="J2227" s="329"/>
      <c r="K2227" s="338">
        <f t="shared" si="100"/>
        <v>1.5</v>
      </c>
      <c r="L2227" s="338">
        <f t="shared" si="100"/>
        <v>1.5</v>
      </c>
      <c r="M2227" s="338">
        <f t="shared" si="100"/>
        <v>1.5</v>
      </c>
      <c r="N2227" s="338">
        <f t="shared" si="100"/>
        <v>1.5</v>
      </c>
      <c r="O2227" s="338"/>
    </row>
    <row r="2228" spans="1:15" hidden="1" outlineLevel="2" x14ac:dyDescent="0.35">
      <c r="A2228" s="425" t="s">
        <v>105</v>
      </c>
      <c r="B2228" s="327">
        <v>44196</v>
      </c>
      <c r="C2228" s="426" t="s">
        <v>11056</v>
      </c>
      <c r="D2228" s="427" t="s">
        <v>11057</v>
      </c>
      <c r="E2228" s="426" t="s">
        <v>2839</v>
      </c>
      <c r="F2228" s="338">
        <v>6</v>
      </c>
      <c r="G2228" s="338" t="s">
        <v>56</v>
      </c>
      <c r="H2228" s="338"/>
      <c r="I2228" s="329">
        <v>6</v>
      </c>
      <c r="J2228" s="329"/>
      <c r="K2228" s="338">
        <f t="shared" si="100"/>
        <v>1.5</v>
      </c>
      <c r="L2228" s="338">
        <f t="shared" si="100"/>
        <v>1.5</v>
      </c>
      <c r="M2228" s="338">
        <f t="shared" si="100"/>
        <v>1.5</v>
      </c>
      <c r="N2228" s="338">
        <f t="shared" si="100"/>
        <v>1.5</v>
      </c>
      <c r="O2228" s="338"/>
    </row>
    <row r="2229" spans="1:15" hidden="1" outlineLevel="2" x14ac:dyDescent="0.35">
      <c r="A2229" s="425" t="s">
        <v>105</v>
      </c>
      <c r="B2229" s="327">
        <v>44196</v>
      </c>
      <c r="C2229" s="426" t="s">
        <v>11058</v>
      </c>
      <c r="D2229" s="427" t="s">
        <v>11059</v>
      </c>
      <c r="E2229" s="426" t="s">
        <v>2839</v>
      </c>
      <c r="F2229" s="338">
        <v>6</v>
      </c>
      <c r="G2229" s="338" t="s">
        <v>56</v>
      </c>
      <c r="H2229" s="338"/>
      <c r="I2229" s="329">
        <v>6</v>
      </c>
      <c r="J2229" s="329"/>
      <c r="K2229" s="338">
        <f t="shared" si="100"/>
        <v>1.5</v>
      </c>
      <c r="L2229" s="338">
        <f t="shared" si="100"/>
        <v>1.5</v>
      </c>
      <c r="M2229" s="338">
        <f t="shared" si="100"/>
        <v>1.5</v>
      </c>
      <c r="N2229" s="338">
        <f t="shared" si="100"/>
        <v>1.5</v>
      </c>
      <c r="O2229" s="338"/>
    </row>
    <row r="2230" spans="1:15" hidden="1" outlineLevel="2" x14ac:dyDescent="0.35">
      <c r="A2230" s="425" t="s">
        <v>105</v>
      </c>
      <c r="B2230" s="327">
        <v>44196</v>
      </c>
      <c r="C2230" s="426" t="s">
        <v>11060</v>
      </c>
      <c r="D2230" s="427" t="s">
        <v>11061</v>
      </c>
      <c r="E2230" s="426" t="s">
        <v>2839</v>
      </c>
      <c r="F2230" s="338">
        <v>6</v>
      </c>
      <c r="G2230" s="338" t="s">
        <v>56</v>
      </c>
      <c r="H2230" s="338"/>
      <c r="I2230" s="329">
        <v>6</v>
      </c>
      <c r="J2230" s="329"/>
      <c r="K2230" s="338">
        <f t="shared" si="100"/>
        <v>1.5</v>
      </c>
      <c r="L2230" s="338">
        <f t="shared" si="100"/>
        <v>1.5</v>
      </c>
      <c r="M2230" s="338">
        <f t="shared" si="100"/>
        <v>1.5</v>
      </c>
      <c r="N2230" s="338">
        <f t="shared" si="100"/>
        <v>1.5</v>
      </c>
      <c r="O2230" s="338"/>
    </row>
    <row r="2231" spans="1:15" hidden="1" outlineLevel="2" x14ac:dyDescent="0.35">
      <c r="A2231" s="425" t="s">
        <v>105</v>
      </c>
      <c r="B2231" s="327">
        <v>44054</v>
      </c>
      <c r="C2231" s="426" t="s">
        <v>11062</v>
      </c>
      <c r="D2231" s="427"/>
      <c r="E2231" s="426" t="s">
        <v>3775</v>
      </c>
      <c r="F2231" s="338">
        <v>0</v>
      </c>
      <c r="G2231" s="338" t="s">
        <v>56</v>
      </c>
      <c r="H2231" s="338"/>
      <c r="I2231" s="329">
        <v>3.87</v>
      </c>
      <c r="J2231" s="329"/>
      <c r="K2231" s="338">
        <f t="shared" si="100"/>
        <v>0.96750000000000003</v>
      </c>
      <c r="L2231" s="338">
        <f t="shared" si="100"/>
        <v>0.96750000000000003</v>
      </c>
      <c r="M2231" s="338">
        <f t="shared" si="100"/>
        <v>0.96750000000000003</v>
      </c>
      <c r="N2231" s="338">
        <f t="shared" si="100"/>
        <v>0.96750000000000003</v>
      </c>
      <c r="O2231" s="338"/>
    </row>
    <row r="2232" spans="1:15" hidden="1" outlineLevel="2" x14ac:dyDescent="0.35">
      <c r="A2232" s="425" t="s">
        <v>105</v>
      </c>
      <c r="B2232" s="327">
        <v>44215</v>
      </c>
      <c r="C2232" s="426" t="s">
        <v>11063</v>
      </c>
      <c r="D2232" s="427"/>
      <c r="E2232" s="426" t="s">
        <v>3775</v>
      </c>
      <c r="F2232" s="338">
        <v>0</v>
      </c>
      <c r="G2232" s="338" t="s">
        <v>56</v>
      </c>
      <c r="H2232" s="338"/>
      <c r="I2232" s="329">
        <v>2.15</v>
      </c>
      <c r="J2232" s="329"/>
      <c r="K2232" s="338">
        <f t="shared" si="100"/>
        <v>0.53749999999999998</v>
      </c>
      <c r="L2232" s="338">
        <f t="shared" si="100"/>
        <v>0.53749999999999998</v>
      </c>
      <c r="M2232" s="338">
        <f t="shared" si="100"/>
        <v>0.53749999999999998</v>
      </c>
      <c r="N2232" s="338">
        <f t="shared" si="100"/>
        <v>0.53749999999999998</v>
      </c>
      <c r="O2232" s="338"/>
    </row>
    <row r="2233" spans="1:15" hidden="1" outlineLevel="2" x14ac:dyDescent="0.35">
      <c r="A2233" s="425" t="s">
        <v>105</v>
      </c>
      <c r="B2233" s="327">
        <v>44377</v>
      </c>
      <c r="C2233" s="426" t="s">
        <v>11064</v>
      </c>
      <c r="D2233" s="427"/>
      <c r="E2233" s="426" t="s">
        <v>3775</v>
      </c>
      <c r="F2233" s="338">
        <v>0</v>
      </c>
      <c r="G2233" s="338" t="s">
        <v>56</v>
      </c>
      <c r="H2233" s="338"/>
      <c r="I2233" s="329">
        <v>4.93</v>
      </c>
      <c r="J2233" s="329"/>
      <c r="K2233" s="338">
        <f t="shared" si="100"/>
        <v>1.2324999999999999</v>
      </c>
      <c r="L2233" s="338">
        <f t="shared" si="100"/>
        <v>1.2324999999999999</v>
      </c>
      <c r="M2233" s="338">
        <f t="shared" si="100"/>
        <v>1.2324999999999999</v>
      </c>
      <c r="N2233" s="338">
        <f t="shared" si="100"/>
        <v>1.2324999999999999</v>
      </c>
      <c r="O2233" s="338"/>
    </row>
    <row r="2234" spans="1:15" hidden="1" outlineLevel="2" x14ac:dyDescent="0.35">
      <c r="A2234" s="425" t="s">
        <v>105</v>
      </c>
      <c r="B2234" s="327">
        <v>44417</v>
      </c>
      <c r="C2234" s="426" t="s">
        <v>11065</v>
      </c>
      <c r="D2234" s="427"/>
      <c r="E2234" s="426" t="s">
        <v>3775</v>
      </c>
      <c r="F2234" s="338">
        <v>0</v>
      </c>
      <c r="G2234" s="338" t="s">
        <v>56</v>
      </c>
      <c r="H2234" s="338"/>
      <c r="I2234" s="329">
        <v>0.12</v>
      </c>
      <c r="J2234" s="329"/>
      <c r="K2234" s="338">
        <f t="shared" si="100"/>
        <v>0.03</v>
      </c>
      <c r="L2234" s="338">
        <f t="shared" si="100"/>
        <v>0.03</v>
      </c>
      <c r="M2234" s="338">
        <f t="shared" si="100"/>
        <v>0.03</v>
      </c>
      <c r="N2234" s="338">
        <f t="shared" si="100"/>
        <v>0.03</v>
      </c>
      <c r="O2234" s="338"/>
    </row>
    <row r="2235" spans="1:15" hidden="1" outlineLevel="2" x14ac:dyDescent="0.35">
      <c r="A2235" s="425" t="s">
        <v>105</v>
      </c>
      <c r="B2235" s="327">
        <v>44481</v>
      </c>
      <c r="C2235" s="426" t="s">
        <v>11066</v>
      </c>
      <c r="D2235" s="427"/>
      <c r="E2235" s="426" t="s">
        <v>3775</v>
      </c>
      <c r="F2235" s="338">
        <v>0</v>
      </c>
      <c r="G2235" s="338" t="s">
        <v>56</v>
      </c>
      <c r="H2235" s="338"/>
      <c r="I2235" s="329">
        <v>8.59</v>
      </c>
      <c r="J2235" s="329"/>
      <c r="K2235" s="338">
        <f t="shared" si="100"/>
        <v>2.1475</v>
      </c>
      <c r="L2235" s="338">
        <f t="shared" si="100"/>
        <v>2.1475</v>
      </c>
      <c r="M2235" s="338">
        <f t="shared" si="100"/>
        <v>2.1475</v>
      </c>
      <c r="N2235" s="338">
        <f t="shared" si="100"/>
        <v>2.1475</v>
      </c>
      <c r="O2235" s="338"/>
    </row>
    <row r="2236" spans="1:15" hidden="1" outlineLevel="2" x14ac:dyDescent="0.35">
      <c r="A2236" s="425" t="s">
        <v>105</v>
      </c>
      <c r="B2236" s="327">
        <v>44530</v>
      </c>
      <c r="C2236" s="426" t="s">
        <v>11067</v>
      </c>
      <c r="D2236" s="427"/>
      <c r="E2236" s="426" t="s">
        <v>3775</v>
      </c>
      <c r="F2236" s="338">
        <v>0</v>
      </c>
      <c r="G2236" s="338" t="s">
        <v>56</v>
      </c>
      <c r="H2236" s="338"/>
      <c r="I2236" s="329">
        <v>12.99</v>
      </c>
      <c r="J2236" s="329"/>
      <c r="K2236" s="338">
        <f t="shared" ref="K2236:N2246" si="101">$I2236/4</f>
        <v>3.2475000000000001</v>
      </c>
      <c r="L2236" s="338">
        <f t="shared" si="101"/>
        <v>3.2475000000000001</v>
      </c>
      <c r="M2236" s="338">
        <f t="shared" si="101"/>
        <v>3.2475000000000001</v>
      </c>
      <c r="N2236" s="338">
        <f t="shared" si="101"/>
        <v>3.2475000000000001</v>
      </c>
      <c r="O2236" s="338"/>
    </row>
    <row r="2237" spans="1:15" hidden="1" outlineLevel="2" x14ac:dyDescent="0.35">
      <c r="A2237" s="425" t="s">
        <v>105</v>
      </c>
      <c r="B2237" s="327">
        <v>44551</v>
      </c>
      <c r="C2237" s="426" t="s">
        <v>11068</v>
      </c>
      <c r="D2237" s="427"/>
      <c r="E2237" s="426" t="s">
        <v>3775</v>
      </c>
      <c r="F2237" s="338">
        <v>0</v>
      </c>
      <c r="G2237" s="338" t="s">
        <v>56</v>
      </c>
      <c r="H2237" s="338"/>
      <c r="I2237" s="329">
        <v>11.15</v>
      </c>
      <c r="J2237" s="329"/>
      <c r="K2237" s="338">
        <f t="shared" si="101"/>
        <v>2.7875000000000001</v>
      </c>
      <c r="L2237" s="338">
        <f t="shared" si="101"/>
        <v>2.7875000000000001</v>
      </c>
      <c r="M2237" s="338">
        <f t="shared" si="101"/>
        <v>2.7875000000000001</v>
      </c>
      <c r="N2237" s="338">
        <f t="shared" si="101"/>
        <v>2.7875000000000001</v>
      </c>
      <c r="O2237" s="338"/>
    </row>
    <row r="2238" spans="1:15" hidden="1" outlineLevel="2" x14ac:dyDescent="0.35">
      <c r="A2238" s="425" t="s">
        <v>105</v>
      </c>
      <c r="B2238" s="327">
        <v>44614</v>
      </c>
      <c r="C2238" s="426" t="s">
        <v>11069</v>
      </c>
      <c r="D2238" s="427"/>
      <c r="E2238" s="426" t="s">
        <v>3775</v>
      </c>
      <c r="F2238" s="338">
        <v>0</v>
      </c>
      <c r="G2238" s="338" t="s">
        <v>56</v>
      </c>
      <c r="H2238" s="338"/>
      <c r="I2238" s="329">
        <v>1.63</v>
      </c>
      <c r="J2238" s="329"/>
      <c r="K2238" s="338">
        <f t="shared" si="101"/>
        <v>0.40749999999999997</v>
      </c>
      <c r="L2238" s="338">
        <f t="shared" si="101"/>
        <v>0.40749999999999997</v>
      </c>
      <c r="M2238" s="338">
        <f t="shared" si="101"/>
        <v>0.40749999999999997</v>
      </c>
      <c r="N2238" s="338">
        <f t="shared" si="101"/>
        <v>0.40749999999999997</v>
      </c>
      <c r="O2238" s="338"/>
    </row>
    <row r="2239" spans="1:15" hidden="1" outlineLevel="2" x14ac:dyDescent="0.35">
      <c r="A2239" s="425" t="s">
        <v>105</v>
      </c>
      <c r="B2239" s="327">
        <v>44103</v>
      </c>
      <c r="C2239" s="426" t="s">
        <v>11070</v>
      </c>
      <c r="D2239" s="427"/>
      <c r="E2239" s="426" t="s">
        <v>3775</v>
      </c>
      <c r="F2239" s="338">
        <v>0</v>
      </c>
      <c r="G2239" s="338" t="s">
        <v>56</v>
      </c>
      <c r="H2239" s="338"/>
      <c r="I2239" s="329">
        <v>-7.31</v>
      </c>
      <c r="J2239" s="329"/>
      <c r="K2239" s="338">
        <f t="shared" si="101"/>
        <v>-1.8274999999999999</v>
      </c>
      <c r="L2239" s="338">
        <f t="shared" si="101"/>
        <v>-1.8274999999999999</v>
      </c>
      <c r="M2239" s="338">
        <f t="shared" si="101"/>
        <v>-1.8274999999999999</v>
      </c>
      <c r="N2239" s="338">
        <f t="shared" si="101"/>
        <v>-1.8274999999999999</v>
      </c>
      <c r="O2239" s="338"/>
    </row>
    <row r="2240" spans="1:15" hidden="1" outlineLevel="2" x14ac:dyDescent="0.35">
      <c r="A2240" s="425" t="s">
        <v>105</v>
      </c>
      <c r="B2240" s="327">
        <v>44117</v>
      </c>
      <c r="C2240" s="426" t="s">
        <v>11071</v>
      </c>
      <c r="D2240" s="427"/>
      <c r="E2240" s="426" t="s">
        <v>3775</v>
      </c>
      <c r="F2240" s="338">
        <v>0</v>
      </c>
      <c r="G2240" s="338" t="s">
        <v>56</v>
      </c>
      <c r="H2240" s="338"/>
      <c r="I2240" s="329">
        <v>-1.75</v>
      </c>
      <c r="J2240" s="329"/>
      <c r="K2240" s="338">
        <f t="shared" si="101"/>
        <v>-0.4375</v>
      </c>
      <c r="L2240" s="338">
        <f t="shared" si="101"/>
        <v>-0.4375</v>
      </c>
      <c r="M2240" s="338">
        <f t="shared" si="101"/>
        <v>-0.4375</v>
      </c>
      <c r="N2240" s="338">
        <f t="shared" si="101"/>
        <v>-0.4375</v>
      </c>
      <c r="O2240" s="338"/>
    </row>
    <row r="2241" spans="1:15" hidden="1" outlineLevel="2" x14ac:dyDescent="0.35">
      <c r="A2241" s="425" t="s">
        <v>105</v>
      </c>
      <c r="B2241" s="327">
        <v>44152</v>
      </c>
      <c r="C2241" s="426" t="s">
        <v>11072</v>
      </c>
      <c r="D2241" s="427"/>
      <c r="E2241" s="426" t="s">
        <v>3775</v>
      </c>
      <c r="F2241" s="338">
        <v>0</v>
      </c>
      <c r="G2241" s="338" t="s">
        <v>56</v>
      </c>
      <c r="H2241" s="338"/>
      <c r="I2241" s="329">
        <v>-0.3</v>
      </c>
      <c r="J2241" s="329"/>
      <c r="K2241" s="338">
        <f t="shared" si="101"/>
        <v>-7.4999999999999997E-2</v>
      </c>
      <c r="L2241" s="338">
        <f t="shared" si="101"/>
        <v>-7.4999999999999997E-2</v>
      </c>
      <c r="M2241" s="338">
        <f t="shared" si="101"/>
        <v>-7.4999999999999997E-2</v>
      </c>
      <c r="N2241" s="338">
        <f t="shared" si="101"/>
        <v>-7.4999999999999997E-2</v>
      </c>
      <c r="O2241" s="338"/>
    </row>
    <row r="2242" spans="1:15" hidden="1" outlineLevel="2" x14ac:dyDescent="0.35">
      <c r="A2242" s="425" t="s">
        <v>105</v>
      </c>
      <c r="B2242" s="327">
        <v>44173</v>
      </c>
      <c r="C2242" s="426" t="s">
        <v>11073</v>
      </c>
      <c r="D2242" s="427"/>
      <c r="E2242" s="426" t="s">
        <v>3775</v>
      </c>
      <c r="F2242" s="338">
        <v>0</v>
      </c>
      <c r="G2242" s="338" t="s">
        <v>56</v>
      </c>
      <c r="H2242" s="338"/>
      <c r="I2242" s="329">
        <v>-2.04</v>
      </c>
      <c r="J2242" s="329"/>
      <c r="K2242" s="338">
        <f t="shared" si="101"/>
        <v>-0.51</v>
      </c>
      <c r="L2242" s="338">
        <f t="shared" si="101"/>
        <v>-0.51</v>
      </c>
      <c r="M2242" s="338">
        <f t="shared" si="101"/>
        <v>-0.51</v>
      </c>
      <c r="N2242" s="338">
        <f t="shared" si="101"/>
        <v>-0.51</v>
      </c>
      <c r="O2242" s="338"/>
    </row>
    <row r="2243" spans="1:15" hidden="1" outlineLevel="2" x14ac:dyDescent="0.35">
      <c r="A2243" s="425" t="s">
        <v>105</v>
      </c>
      <c r="B2243" s="327">
        <v>44285</v>
      </c>
      <c r="C2243" s="426" t="s">
        <v>11074</v>
      </c>
      <c r="D2243" s="427"/>
      <c r="E2243" s="426" t="s">
        <v>3775</v>
      </c>
      <c r="F2243" s="338">
        <v>0</v>
      </c>
      <c r="G2243" s="338" t="s">
        <v>56</v>
      </c>
      <c r="H2243" s="338"/>
      <c r="I2243" s="329">
        <v>-10.56</v>
      </c>
      <c r="J2243" s="329"/>
      <c r="K2243" s="338">
        <f t="shared" si="101"/>
        <v>-2.64</v>
      </c>
      <c r="L2243" s="338">
        <f t="shared" si="101"/>
        <v>-2.64</v>
      </c>
      <c r="M2243" s="338">
        <f t="shared" si="101"/>
        <v>-2.64</v>
      </c>
      <c r="N2243" s="338">
        <f t="shared" si="101"/>
        <v>-2.64</v>
      </c>
      <c r="O2243" s="338"/>
    </row>
    <row r="2244" spans="1:15" hidden="1" outlineLevel="2" x14ac:dyDescent="0.35">
      <c r="A2244" s="425" t="s">
        <v>105</v>
      </c>
      <c r="B2244" s="327">
        <v>44313</v>
      </c>
      <c r="C2244" s="426" t="s">
        <v>11075</v>
      </c>
      <c r="D2244" s="427"/>
      <c r="E2244" s="426" t="s">
        <v>3775</v>
      </c>
      <c r="F2244" s="338">
        <v>0</v>
      </c>
      <c r="G2244" s="338" t="s">
        <v>56</v>
      </c>
      <c r="H2244" s="338"/>
      <c r="I2244" s="329">
        <v>-4.71</v>
      </c>
      <c r="J2244" s="329"/>
      <c r="K2244" s="338">
        <f t="shared" si="101"/>
        <v>-1.1775</v>
      </c>
      <c r="L2244" s="338">
        <f t="shared" si="101"/>
        <v>-1.1775</v>
      </c>
      <c r="M2244" s="338">
        <f t="shared" si="101"/>
        <v>-1.1775</v>
      </c>
      <c r="N2244" s="338">
        <f t="shared" si="101"/>
        <v>-1.1775</v>
      </c>
      <c r="O2244" s="338"/>
    </row>
    <row r="2245" spans="1:15" hidden="1" outlineLevel="2" x14ac:dyDescent="0.35">
      <c r="A2245" s="425" t="s">
        <v>105</v>
      </c>
      <c r="B2245" s="327">
        <v>44499</v>
      </c>
      <c r="C2245" s="426" t="s">
        <v>11076</v>
      </c>
      <c r="D2245" s="427"/>
      <c r="E2245" s="426" t="s">
        <v>3775</v>
      </c>
      <c r="F2245" s="338">
        <v>0</v>
      </c>
      <c r="G2245" s="338" t="s">
        <v>56</v>
      </c>
      <c r="H2245" s="338"/>
      <c r="I2245" s="329">
        <v>-1.81</v>
      </c>
      <c r="J2245" s="329"/>
      <c r="K2245" s="338">
        <f t="shared" si="101"/>
        <v>-0.45250000000000001</v>
      </c>
      <c r="L2245" s="338">
        <f t="shared" si="101"/>
        <v>-0.45250000000000001</v>
      </c>
      <c r="M2245" s="338">
        <f t="shared" si="101"/>
        <v>-0.45250000000000001</v>
      </c>
      <c r="N2245" s="338">
        <f t="shared" si="101"/>
        <v>-0.45250000000000001</v>
      </c>
      <c r="O2245" s="338"/>
    </row>
    <row r="2246" spans="1:15" hidden="1" outlineLevel="2" x14ac:dyDescent="0.35">
      <c r="A2246" s="425" t="s">
        <v>105</v>
      </c>
      <c r="B2246" s="327">
        <v>44509</v>
      </c>
      <c r="C2246" s="426" t="s">
        <v>11077</v>
      </c>
      <c r="D2246" s="427"/>
      <c r="E2246" s="426" t="s">
        <v>10440</v>
      </c>
      <c r="F2246" s="338">
        <v>0</v>
      </c>
      <c r="G2246" s="338" t="s">
        <v>56</v>
      </c>
      <c r="H2246" s="338"/>
      <c r="I2246" s="329">
        <v>-29.36</v>
      </c>
      <c r="J2246" s="329"/>
      <c r="K2246" s="338">
        <f t="shared" si="101"/>
        <v>-7.34</v>
      </c>
      <c r="L2246" s="338">
        <f t="shared" si="101"/>
        <v>-7.34</v>
      </c>
      <c r="M2246" s="338">
        <f t="shared" si="101"/>
        <v>-7.34</v>
      </c>
      <c r="N2246" s="338">
        <f t="shared" si="101"/>
        <v>-7.34</v>
      </c>
      <c r="O2246" s="338"/>
    </row>
    <row r="2247" spans="1:15" outlineLevel="1" collapsed="1" x14ac:dyDescent="0.35">
      <c r="A2247" s="432" t="s">
        <v>3159</v>
      </c>
      <c r="B2247" s="327"/>
      <c r="C2247" s="426"/>
      <c r="D2247" s="427"/>
      <c r="E2247" s="426"/>
      <c r="F2247" s="338"/>
      <c r="G2247" s="338"/>
      <c r="H2247" s="338"/>
      <c r="I2247" s="329">
        <f t="shared" ref="I2247:O2247" si="102">SUBTOTAL(9,I1876:I2246)</f>
        <v>79026.899659415445</v>
      </c>
      <c r="J2247" s="329"/>
      <c r="K2247" s="338">
        <f t="shared" si="102"/>
        <v>19756.724914853861</v>
      </c>
      <c r="L2247" s="338">
        <f t="shared" si="102"/>
        <v>19756.724914853861</v>
      </c>
      <c r="M2247" s="338">
        <f t="shared" si="102"/>
        <v>19756.724914853861</v>
      </c>
      <c r="N2247" s="338">
        <f t="shared" si="102"/>
        <v>19756.724914853861</v>
      </c>
      <c r="O2247" s="338">
        <f t="shared" si="102"/>
        <v>0</v>
      </c>
    </row>
    <row r="2248" spans="1:15" hidden="1" outlineLevel="2" x14ac:dyDescent="0.35">
      <c r="A2248" s="425" t="s">
        <v>208</v>
      </c>
      <c r="B2248" s="327">
        <v>44561</v>
      </c>
      <c r="C2248" s="426" t="s">
        <v>11078</v>
      </c>
      <c r="D2248" s="427" t="s">
        <v>11079</v>
      </c>
      <c r="E2248" s="426" t="s">
        <v>10464</v>
      </c>
      <c r="F2248" s="338">
        <v>289.77999999999997</v>
      </c>
      <c r="G2248" s="338" t="s">
        <v>56</v>
      </c>
      <c r="H2248" s="338"/>
      <c r="I2248" s="329">
        <v>289.77999999999997</v>
      </c>
      <c r="J2248" s="329"/>
      <c r="K2248" s="338">
        <f t="shared" ref="K2248:N2267" si="103">$I2248/4</f>
        <v>72.444999999999993</v>
      </c>
      <c r="L2248" s="338">
        <f t="shared" si="103"/>
        <v>72.444999999999993</v>
      </c>
      <c r="M2248" s="338">
        <f t="shared" si="103"/>
        <v>72.444999999999993</v>
      </c>
      <c r="N2248" s="338">
        <f t="shared" si="103"/>
        <v>72.444999999999993</v>
      </c>
      <c r="O2248" s="338"/>
    </row>
    <row r="2249" spans="1:15" hidden="1" outlineLevel="2" x14ac:dyDescent="0.35">
      <c r="A2249" s="425" t="s">
        <v>208</v>
      </c>
      <c r="B2249" s="327">
        <v>44561</v>
      </c>
      <c r="C2249" s="426" t="s">
        <v>11080</v>
      </c>
      <c r="D2249" s="427" t="s">
        <v>11081</v>
      </c>
      <c r="E2249" s="426" t="s">
        <v>10464</v>
      </c>
      <c r="F2249" s="338">
        <v>289.77999999999997</v>
      </c>
      <c r="G2249" s="338" t="s">
        <v>56</v>
      </c>
      <c r="H2249" s="338"/>
      <c r="I2249" s="329">
        <v>289.77999999999997</v>
      </c>
      <c r="J2249" s="329"/>
      <c r="K2249" s="338">
        <f t="shared" si="103"/>
        <v>72.444999999999993</v>
      </c>
      <c r="L2249" s="338">
        <f t="shared" si="103"/>
        <v>72.444999999999993</v>
      </c>
      <c r="M2249" s="338">
        <f t="shared" si="103"/>
        <v>72.444999999999993</v>
      </c>
      <c r="N2249" s="338">
        <f t="shared" si="103"/>
        <v>72.444999999999993</v>
      </c>
      <c r="O2249" s="338"/>
    </row>
    <row r="2250" spans="1:15" hidden="1" outlineLevel="2" x14ac:dyDescent="0.35">
      <c r="A2250" s="425" t="s">
        <v>208</v>
      </c>
      <c r="B2250" s="327">
        <v>44561</v>
      </c>
      <c r="C2250" s="426" t="s">
        <v>11082</v>
      </c>
      <c r="D2250" s="427" t="s">
        <v>11083</v>
      </c>
      <c r="E2250" s="426" t="s">
        <v>10464</v>
      </c>
      <c r="F2250" s="338">
        <v>289.77999999999997</v>
      </c>
      <c r="G2250" s="338" t="s">
        <v>56</v>
      </c>
      <c r="H2250" s="338"/>
      <c r="I2250" s="329">
        <v>289.77999999999997</v>
      </c>
      <c r="J2250" s="329"/>
      <c r="K2250" s="338">
        <f t="shared" si="103"/>
        <v>72.444999999999993</v>
      </c>
      <c r="L2250" s="338">
        <f t="shared" si="103"/>
        <v>72.444999999999993</v>
      </c>
      <c r="M2250" s="338">
        <f t="shared" si="103"/>
        <v>72.444999999999993</v>
      </c>
      <c r="N2250" s="338">
        <f t="shared" si="103"/>
        <v>72.444999999999993</v>
      </c>
      <c r="O2250" s="338"/>
    </row>
    <row r="2251" spans="1:15" hidden="1" outlineLevel="2" x14ac:dyDescent="0.35">
      <c r="A2251" s="425" t="s">
        <v>208</v>
      </c>
      <c r="B2251" s="327">
        <v>44561</v>
      </c>
      <c r="C2251" s="426" t="s">
        <v>11084</v>
      </c>
      <c r="D2251" s="427" t="s">
        <v>11085</v>
      </c>
      <c r="E2251" s="426" t="s">
        <v>10464</v>
      </c>
      <c r="F2251" s="338">
        <v>289.77999999999997</v>
      </c>
      <c r="G2251" s="338" t="s">
        <v>56</v>
      </c>
      <c r="H2251" s="338"/>
      <c r="I2251" s="329">
        <v>289.77999999999997</v>
      </c>
      <c r="J2251" s="329"/>
      <c r="K2251" s="338">
        <f t="shared" si="103"/>
        <v>72.444999999999993</v>
      </c>
      <c r="L2251" s="338">
        <f t="shared" si="103"/>
        <v>72.444999999999993</v>
      </c>
      <c r="M2251" s="338">
        <f t="shared" si="103"/>
        <v>72.444999999999993</v>
      </c>
      <c r="N2251" s="338">
        <f t="shared" si="103"/>
        <v>72.444999999999993</v>
      </c>
      <c r="O2251" s="338"/>
    </row>
    <row r="2252" spans="1:15" hidden="1" outlineLevel="2" x14ac:dyDescent="0.35">
      <c r="A2252" s="425" t="s">
        <v>208</v>
      </c>
      <c r="B2252" s="327">
        <v>44561</v>
      </c>
      <c r="C2252" s="426" t="s">
        <v>11086</v>
      </c>
      <c r="D2252" s="427" t="s">
        <v>11087</v>
      </c>
      <c r="E2252" s="426" t="s">
        <v>10464</v>
      </c>
      <c r="F2252" s="338">
        <v>289.77999999999997</v>
      </c>
      <c r="G2252" s="338" t="s">
        <v>56</v>
      </c>
      <c r="H2252" s="338"/>
      <c r="I2252" s="329">
        <v>289.77999999999997</v>
      </c>
      <c r="J2252" s="329"/>
      <c r="K2252" s="338">
        <f t="shared" si="103"/>
        <v>72.444999999999993</v>
      </c>
      <c r="L2252" s="338">
        <f t="shared" si="103"/>
        <v>72.444999999999993</v>
      </c>
      <c r="M2252" s="338">
        <f t="shared" si="103"/>
        <v>72.444999999999993</v>
      </c>
      <c r="N2252" s="338">
        <f t="shared" si="103"/>
        <v>72.444999999999993</v>
      </c>
      <c r="O2252" s="338"/>
    </row>
    <row r="2253" spans="1:15" hidden="1" outlineLevel="2" x14ac:dyDescent="0.35">
      <c r="A2253" s="425" t="s">
        <v>208</v>
      </c>
      <c r="B2253" s="327">
        <v>44561</v>
      </c>
      <c r="C2253" s="426" t="s">
        <v>3307</v>
      </c>
      <c r="D2253" s="427" t="s">
        <v>11088</v>
      </c>
      <c r="E2253" s="426" t="s">
        <v>10464</v>
      </c>
      <c r="F2253" s="338">
        <v>289.77999999999997</v>
      </c>
      <c r="G2253" s="338" t="s">
        <v>56</v>
      </c>
      <c r="H2253" s="338"/>
      <c r="I2253" s="329">
        <v>289.77999999999997</v>
      </c>
      <c r="J2253" s="329"/>
      <c r="K2253" s="338">
        <f t="shared" si="103"/>
        <v>72.444999999999993</v>
      </c>
      <c r="L2253" s="338">
        <f t="shared" si="103"/>
        <v>72.444999999999993</v>
      </c>
      <c r="M2253" s="338">
        <f t="shared" si="103"/>
        <v>72.444999999999993</v>
      </c>
      <c r="N2253" s="338">
        <f t="shared" si="103"/>
        <v>72.444999999999993</v>
      </c>
      <c r="O2253" s="338"/>
    </row>
    <row r="2254" spans="1:15" hidden="1" outlineLevel="2" x14ac:dyDescent="0.35">
      <c r="A2254" s="425" t="s">
        <v>208</v>
      </c>
      <c r="B2254" s="327">
        <v>44227</v>
      </c>
      <c r="C2254" s="426" t="s">
        <v>3297</v>
      </c>
      <c r="D2254" s="427" t="s">
        <v>11089</v>
      </c>
      <c r="E2254" s="426" t="s">
        <v>11090</v>
      </c>
      <c r="F2254" s="338">
        <v>291.97000000000003</v>
      </c>
      <c r="G2254" s="338" t="s">
        <v>56</v>
      </c>
      <c r="H2254" s="338"/>
      <c r="I2254" s="329">
        <v>291.97000000000003</v>
      </c>
      <c r="J2254" s="329"/>
      <c r="K2254" s="338">
        <f t="shared" si="103"/>
        <v>72.992500000000007</v>
      </c>
      <c r="L2254" s="338">
        <f t="shared" si="103"/>
        <v>72.992500000000007</v>
      </c>
      <c r="M2254" s="338">
        <f t="shared" si="103"/>
        <v>72.992500000000007</v>
      </c>
      <c r="N2254" s="338">
        <f t="shared" si="103"/>
        <v>72.992500000000007</v>
      </c>
      <c r="O2254" s="338"/>
    </row>
    <row r="2255" spans="1:15" hidden="1" outlineLevel="2" x14ac:dyDescent="0.35">
      <c r="A2255" s="425" t="s">
        <v>208</v>
      </c>
      <c r="B2255" s="327">
        <v>44255</v>
      </c>
      <c r="C2255" s="426" t="s">
        <v>3299</v>
      </c>
      <c r="D2255" s="427" t="s">
        <v>11089</v>
      </c>
      <c r="E2255" s="426" t="s">
        <v>11090</v>
      </c>
      <c r="F2255" s="338">
        <v>291.97000000000003</v>
      </c>
      <c r="G2255" s="338" t="s">
        <v>56</v>
      </c>
      <c r="H2255" s="338"/>
      <c r="I2255" s="329">
        <v>291.97000000000003</v>
      </c>
      <c r="J2255" s="329"/>
      <c r="K2255" s="338">
        <f t="shared" si="103"/>
        <v>72.992500000000007</v>
      </c>
      <c r="L2255" s="338">
        <f t="shared" si="103"/>
        <v>72.992500000000007</v>
      </c>
      <c r="M2255" s="338">
        <f t="shared" si="103"/>
        <v>72.992500000000007</v>
      </c>
      <c r="N2255" s="338">
        <f t="shared" si="103"/>
        <v>72.992500000000007</v>
      </c>
      <c r="O2255" s="338"/>
    </row>
    <row r="2256" spans="1:15" hidden="1" outlineLevel="2" x14ac:dyDescent="0.35">
      <c r="A2256" s="425" t="s">
        <v>208</v>
      </c>
      <c r="B2256" s="327">
        <v>44227</v>
      </c>
      <c r="C2256" s="426" t="s">
        <v>3297</v>
      </c>
      <c r="D2256" s="427" t="s">
        <v>11091</v>
      </c>
      <c r="E2256" s="426" t="s">
        <v>10464</v>
      </c>
      <c r="F2256" s="338">
        <v>284.08999999999997</v>
      </c>
      <c r="G2256" s="338" t="s">
        <v>56</v>
      </c>
      <c r="H2256" s="338"/>
      <c r="I2256" s="329">
        <v>284.08999999999997</v>
      </c>
      <c r="J2256" s="329"/>
      <c r="K2256" s="338">
        <f t="shared" si="103"/>
        <v>71.022499999999994</v>
      </c>
      <c r="L2256" s="338">
        <f t="shared" si="103"/>
        <v>71.022499999999994</v>
      </c>
      <c r="M2256" s="338">
        <f t="shared" si="103"/>
        <v>71.022499999999994</v>
      </c>
      <c r="N2256" s="338">
        <f t="shared" si="103"/>
        <v>71.022499999999994</v>
      </c>
      <c r="O2256" s="338"/>
    </row>
    <row r="2257" spans="1:15" hidden="1" outlineLevel="2" x14ac:dyDescent="0.35">
      <c r="A2257" s="425" t="s">
        <v>208</v>
      </c>
      <c r="B2257" s="327">
        <v>44255</v>
      </c>
      <c r="C2257" s="426" t="s">
        <v>3299</v>
      </c>
      <c r="D2257" s="427" t="s">
        <v>11092</v>
      </c>
      <c r="E2257" s="426" t="s">
        <v>10464</v>
      </c>
      <c r="F2257" s="338">
        <v>284.08999999999997</v>
      </c>
      <c r="G2257" s="338" t="s">
        <v>56</v>
      </c>
      <c r="H2257" s="338"/>
      <c r="I2257" s="329">
        <v>284.08999999999997</v>
      </c>
      <c r="J2257" s="329"/>
      <c r="K2257" s="338">
        <f t="shared" si="103"/>
        <v>71.022499999999994</v>
      </c>
      <c r="L2257" s="338">
        <f t="shared" si="103"/>
        <v>71.022499999999994</v>
      </c>
      <c r="M2257" s="338">
        <f t="shared" si="103"/>
        <v>71.022499999999994</v>
      </c>
      <c r="N2257" s="338">
        <f t="shared" si="103"/>
        <v>71.022499999999994</v>
      </c>
      <c r="O2257" s="338"/>
    </row>
    <row r="2258" spans="1:15" hidden="1" outlineLevel="2" x14ac:dyDescent="0.35">
      <c r="A2258" s="425" t="s">
        <v>208</v>
      </c>
      <c r="B2258" s="327">
        <v>44286</v>
      </c>
      <c r="C2258" s="426" t="s">
        <v>3301</v>
      </c>
      <c r="D2258" s="427" t="s">
        <v>11093</v>
      </c>
      <c r="E2258" s="426" t="s">
        <v>10464</v>
      </c>
      <c r="F2258" s="338">
        <v>301.16000000000003</v>
      </c>
      <c r="G2258" s="338" t="s">
        <v>56</v>
      </c>
      <c r="H2258" s="338"/>
      <c r="I2258" s="329">
        <v>301.16000000000003</v>
      </c>
      <c r="J2258" s="329"/>
      <c r="K2258" s="338">
        <f t="shared" si="103"/>
        <v>75.290000000000006</v>
      </c>
      <c r="L2258" s="338">
        <f t="shared" si="103"/>
        <v>75.290000000000006</v>
      </c>
      <c r="M2258" s="338">
        <f t="shared" si="103"/>
        <v>75.290000000000006</v>
      </c>
      <c r="N2258" s="338">
        <f t="shared" si="103"/>
        <v>75.290000000000006</v>
      </c>
      <c r="O2258" s="338"/>
    </row>
    <row r="2259" spans="1:15" hidden="1" outlineLevel="2" x14ac:dyDescent="0.35">
      <c r="A2259" s="425" t="s">
        <v>208</v>
      </c>
      <c r="B2259" s="327">
        <v>44316</v>
      </c>
      <c r="C2259" s="426" t="s">
        <v>3303</v>
      </c>
      <c r="D2259" s="427" t="s">
        <v>11094</v>
      </c>
      <c r="E2259" s="426" t="s">
        <v>10464</v>
      </c>
      <c r="F2259" s="338">
        <v>289.77999999999997</v>
      </c>
      <c r="G2259" s="338" t="s">
        <v>56</v>
      </c>
      <c r="H2259" s="338"/>
      <c r="I2259" s="329">
        <v>289.77999999999997</v>
      </c>
      <c r="J2259" s="329"/>
      <c r="K2259" s="338">
        <f t="shared" si="103"/>
        <v>72.444999999999993</v>
      </c>
      <c r="L2259" s="338">
        <f t="shared" si="103"/>
        <v>72.444999999999993</v>
      </c>
      <c r="M2259" s="338">
        <f t="shared" si="103"/>
        <v>72.444999999999993</v>
      </c>
      <c r="N2259" s="338">
        <f t="shared" si="103"/>
        <v>72.444999999999993</v>
      </c>
      <c r="O2259" s="338"/>
    </row>
    <row r="2260" spans="1:15" hidden="1" outlineLevel="2" x14ac:dyDescent="0.35">
      <c r="A2260" s="425" t="s">
        <v>208</v>
      </c>
      <c r="B2260" s="327">
        <v>44347</v>
      </c>
      <c r="C2260" s="426" t="s">
        <v>11095</v>
      </c>
      <c r="D2260" s="427" t="s">
        <v>11096</v>
      </c>
      <c r="E2260" s="426" t="s">
        <v>10464</v>
      </c>
      <c r="F2260" s="338">
        <v>289.77999999999997</v>
      </c>
      <c r="G2260" s="338" t="s">
        <v>56</v>
      </c>
      <c r="H2260" s="338"/>
      <c r="I2260" s="329">
        <v>289.77999999999997</v>
      </c>
      <c r="J2260" s="329"/>
      <c r="K2260" s="338">
        <f t="shared" si="103"/>
        <v>72.444999999999993</v>
      </c>
      <c r="L2260" s="338">
        <f t="shared" si="103"/>
        <v>72.444999999999993</v>
      </c>
      <c r="M2260" s="338">
        <f t="shared" si="103"/>
        <v>72.444999999999993</v>
      </c>
      <c r="N2260" s="338">
        <f t="shared" si="103"/>
        <v>72.444999999999993</v>
      </c>
      <c r="O2260" s="338"/>
    </row>
    <row r="2261" spans="1:15" hidden="1" outlineLevel="2" x14ac:dyDescent="0.35">
      <c r="A2261" s="425" t="s">
        <v>208</v>
      </c>
      <c r="B2261" s="327">
        <v>44377</v>
      </c>
      <c r="C2261" s="426" t="s">
        <v>11097</v>
      </c>
      <c r="D2261" s="427" t="s">
        <v>11098</v>
      </c>
      <c r="E2261" s="426" t="s">
        <v>10464</v>
      </c>
      <c r="F2261" s="338">
        <v>289.77999999999997</v>
      </c>
      <c r="G2261" s="338" t="s">
        <v>56</v>
      </c>
      <c r="H2261" s="338"/>
      <c r="I2261" s="329">
        <v>289.77999999999997</v>
      </c>
      <c r="J2261" s="329"/>
      <c r="K2261" s="338">
        <f t="shared" si="103"/>
        <v>72.444999999999993</v>
      </c>
      <c r="L2261" s="338">
        <f t="shared" si="103"/>
        <v>72.444999999999993</v>
      </c>
      <c r="M2261" s="338">
        <f t="shared" si="103"/>
        <v>72.444999999999993</v>
      </c>
      <c r="N2261" s="338">
        <f t="shared" si="103"/>
        <v>72.444999999999993</v>
      </c>
      <c r="O2261" s="338"/>
    </row>
    <row r="2262" spans="1:15" hidden="1" outlineLevel="2" x14ac:dyDescent="0.35">
      <c r="A2262" s="425" t="s">
        <v>208</v>
      </c>
      <c r="B2262" s="327">
        <v>44227</v>
      </c>
      <c r="C2262" s="426" t="s">
        <v>3248</v>
      </c>
      <c r="D2262" s="427" t="s">
        <v>11099</v>
      </c>
      <c r="E2262" s="426" t="s">
        <v>3210</v>
      </c>
      <c r="F2262" s="338">
        <v>409.63</v>
      </c>
      <c r="G2262" s="338" t="s">
        <v>56</v>
      </c>
      <c r="H2262" s="338"/>
      <c r="I2262" s="329">
        <v>409.63</v>
      </c>
      <c r="J2262" s="329"/>
      <c r="K2262" s="338">
        <f t="shared" si="103"/>
        <v>102.4075</v>
      </c>
      <c r="L2262" s="338">
        <f t="shared" si="103"/>
        <v>102.4075</v>
      </c>
      <c r="M2262" s="338">
        <f t="shared" si="103"/>
        <v>102.4075</v>
      </c>
      <c r="N2262" s="338">
        <f t="shared" si="103"/>
        <v>102.4075</v>
      </c>
      <c r="O2262" s="338"/>
    </row>
    <row r="2263" spans="1:15" hidden="1" outlineLevel="2" x14ac:dyDescent="0.35">
      <c r="A2263" s="425" t="s">
        <v>208</v>
      </c>
      <c r="B2263" s="327">
        <v>44255</v>
      </c>
      <c r="C2263" s="426" t="s">
        <v>3250</v>
      </c>
      <c r="D2263" s="427" t="s">
        <v>11100</v>
      </c>
      <c r="E2263" s="426" t="s">
        <v>3210</v>
      </c>
      <c r="F2263" s="338">
        <v>409.89</v>
      </c>
      <c r="G2263" s="338" t="s">
        <v>56</v>
      </c>
      <c r="H2263" s="338"/>
      <c r="I2263" s="329">
        <v>409.89</v>
      </c>
      <c r="J2263" s="329"/>
      <c r="K2263" s="338">
        <f t="shared" si="103"/>
        <v>102.4725</v>
      </c>
      <c r="L2263" s="338">
        <f t="shared" si="103"/>
        <v>102.4725</v>
      </c>
      <c r="M2263" s="338">
        <f t="shared" si="103"/>
        <v>102.4725</v>
      </c>
      <c r="N2263" s="338">
        <f t="shared" si="103"/>
        <v>102.4725</v>
      </c>
      <c r="O2263" s="338"/>
    </row>
    <row r="2264" spans="1:15" hidden="1" outlineLevel="2" x14ac:dyDescent="0.35">
      <c r="A2264" s="425" t="s">
        <v>208</v>
      </c>
      <c r="B2264" s="327">
        <v>44227</v>
      </c>
      <c r="C2264" s="426" t="s">
        <v>3248</v>
      </c>
      <c r="D2264" s="427" t="s">
        <v>11101</v>
      </c>
      <c r="E2264" s="426" t="s">
        <v>3210</v>
      </c>
      <c r="F2264" s="338">
        <v>405.78</v>
      </c>
      <c r="G2264" s="338" t="s">
        <v>56</v>
      </c>
      <c r="H2264" s="338"/>
      <c r="I2264" s="329">
        <v>405.78</v>
      </c>
      <c r="J2264" s="329"/>
      <c r="K2264" s="338">
        <f t="shared" si="103"/>
        <v>101.44499999999999</v>
      </c>
      <c r="L2264" s="338">
        <f t="shared" si="103"/>
        <v>101.44499999999999</v>
      </c>
      <c r="M2264" s="338">
        <f t="shared" si="103"/>
        <v>101.44499999999999</v>
      </c>
      <c r="N2264" s="338">
        <f t="shared" si="103"/>
        <v>101.44499999999999</v>
      </c>
      <c r="O2264" s="338"/>
    </row>
    <row r="2265" spans="1:15" hidden="1" outlineLevel="2" x14ac:dyDescent="0.35">
      <c r="A2265" s="425" t="s">
        <v>208</v>
      </c>
      <c r="B2265" s="327">
        <v>44255</v>
      </c>
      <c r="C2265" s="426" t="s">
        <v>3250</v>
      </c>
      <c r="D2265" s="427" t="s">
        <v>11102</v>
      </c>
      <c r="E2265" s="426" t="s">
        <v>3210</v>
      </c>
      <c r="F2265" s="338">
        <v>405.78</v>
      </c>
      <c r="G2265" s="338" t="s">
        <v>56</v>
      </c>
      <c r="H2265" s="338"/>
      <c r="I2265" s="329">
        <v>405.78</v>
      </c>
      <c r="J2265" s="329"/>
      <c r="K2265" s="338">
        <f t="shared" si="103"/>
        <v>101.44499999999999</v>
      </c>
      <c r="L2265" s="338">
        <f t="shared" si="103"/>
        <v>101.44499999999999</v>
      </c>
      <c r="M2265" s="338">
        <f t="shared" si="103"/>
        <v>101.44499999999999</v>
      </c>
      <c r="N2265" s="338">
        <f t="shared" si="103"/>
        <v>101.44499999999999</v>
      </c>
      <c r="O2265" s="338"/>
    </row>
    <row r="2266" spans="1:15" hidden="1" outlineLevel="2" x14ac:dyDescent="0.35">
      <c r="A2266" s="425" t="s">
        <v>208</v>
      </c>
      <c r="B2266" s="327">
        <v>44278</v>
      </c>
      <c r="C2266" s="426" t="s">
        <v>11103</v>
      </c>
      <c r="D2266" s="427" t="s">
        <v>11104</v>
      </c>
      <c r="E2266" s="426" t="s">
        <v>3210</v>
      </c>
      <c r="F2266" s="338">
        <v>405.78</v>
      </c>
      <c r="G2266" s="338" t="s">
        <v>56</v>
      </c>
      <c r="H2266" s="338"/>
      <c r="I2266" s="329">
        <v>405.78</v>
      </c>
      <c r="J2266" s="329"/>
      <c r="K2266" s="338">
        <f t="shared" si="103"/>
        <v>101.44499999999999</v>
      </c>
      <c r="L2266" s="338">
        <f t="shared" si="103"/>
        <v>101.44499999999999</v>
      </c>
      <c r="M2266" s="338">
        <f t="shared" si="103"/>
        <v>101.44499999999999</v>
      </c>
      <c r="N2266" s="338">
        <f t="shared" si="103"/>
        <v>101.44499999999999</v>
      </c>
      <c r="O2266" s="338"/>
    </row>
    <row r="2267" spans="1:15" hidden="1" outlineLevel="2" x14ac:dyDescent="0.35">
      <c r="A2267" s="425" t="s">
        <v>208</v>
      </c>
      <c r="B2267" s="327">
        <v>44347</v>
      </c>
      <c r="C2267" s="426" t="s">
        <v>11105</v>
      </c>
      <c r="D2267" s="427" t="s">
        <v>11106</v>
      </c>
      <c r="E2267" s="426" t="s">
        <v>3210</v>
      </c>
      <c r="F2267" s="338">
        <v>405.78</v>
      </c>
      <c r="G2267" s="338" t="s">
        <v>56</v>
      </c>
      <c r="H2267" s="338"/>
      <c r="I2267" s="329">
        <v>405.78</v>
      </c>
      <c r="J2267" s="329"/>
      <c r="K2267" s="338">
        <f t="shared" si="103"/>
        <v>101.44499999999999</v>
      </c>
      <c r="L2267" s="338">
        <f t="shared" si="103"/>
        <v>101.44499999999999</v>
      </c>
      <c r="M2267" s="338">
        <f t="shared" si="103"/>
        <v>101.44499999999999</v>
      </c>
      <c r="N2267" s="338">
        <f t="shared" si="103"/>
        <v>101.44499999999999</v>
      </c>
      <c r="O2267" s="338"/>
    </row>
    <row r="2268" spans="1:15" hidden="1" outlineLevel="2" x14ac:dyDescent="0.35">
      <c r="A2268" s="425" t="s">
        <v>208</v>
      </c>
      <c r="B2268" s="327">
        <v>44347</v>
      </c>
      <c r="C2268" s="426" t="s">
        <v>11107</v>
      </c>
      <c r="D2268" s="427" t="s">
        <v>11108</v>
      </c>
      <c r="E2268" s="426" t="s">
        <v>3210</v>
      </c>
      <c r="F2268" s="338">
        <v>405.78</v>
      </c>
      <c r="G2268" s="338" t="s">
        <v>56</v>
      </c>
      <c r="H2268" s="338"/>
      <c r="I2268" s="329">
        <v>405.78</v>
      </c>
      <c r="J2268" s="329"/>
      <c r="K2268" s="338">
        <f t="shared" ref="K2268:N2287" si="104">$I2268/4</f>
        <v>101.44499999999999</v>
      </c>
      <c r="L2268" s="338">
        <f t="shared" si="104"/>
        <v>101.44499999999999</v>
      </c>
      <c r="M2268" s="338">
        <f t="shared" si="104"/>
        <v>101.44499999999999</v>
      </c>
      <c r="N2268" s="338">
        <f t="shared" si="104"/>
        <v>101.44499999999999</v>
      </c>
      <c r="O2268" s="338"/>
    </row>
    <row r="2269" spans="1:15" hidden="1" outlineLevel="2" x14ac:dyDescent="0.35">
      <c r="A2269" s="425" t="s">
        <v>208</v>
      </c>
      <c r="B2269" s="327">
        <v>44378</v>
      </c>
      <c r="C2269" s="426" t="s">
        <v>11109</v>
      </c>
      <c r="D2269" s="427" t="s">
        <v>11110</v>
      </c>
      <c r="E2269" s="426" t="s">
        <v>3210</v>
      </c>
      <c r="F2269" s="338">
        <v>405.31</v>
      </c>
      <c r="G2269" s="338" t="s">
        <v>56</v>
      </c>
      <c r="H2269" s="338"/>
      <c r="I2269" s="329">
        <v>405.31</v>
      </c>
      <c r="J2269" s="329"/>
      <c r="K2269" s="338">
        <f t="shared" si="104"/>
        <v>101.3275</v>
      </c>
      <c r="L2269" s="338">
        <f t="shared" si="104"/>
        <v>101.3275</v>
      </c>
      <c r="M2269" s="338">
        <f t="shared" si="104"/>
        <v>101.3275</v>
      </c>
      <c r="N2269" s="338">
        <f t="shared" si="104"/>
        <v>101.3275</v>
      </c>
      <c r="O2269" s="338"/>
    </row>
    <row r="2270" spans="1:15" hidden="1" outlineLevel="2" x14ac:dyDescent="0.35">
      <c r="A2270" s="425" t="s">
        <v>208</v>
      </c>
      <c r="B2270" s="327">
        <v>44406</v>
      </c>
      <c r="C2270" s="426" t="s">
        <v>11111</v>
      </c>
      <c r="D2270" s="427" t="s">
        <v>11112</v>
      </c>
      <c r="E2270" s="426" t="s">
        <v>3210</v>
      </c>
      <c r="F2270" s="338">
        <v>405.31</v>
      </c>
      <c r="G2270" s="338" t="s">
        <v>56</v>
      </c>
      <c r="H2270" s="338"/>
      <c r="I2270" s="329">
        <v>405.31</v>
      </c>
      <c r="J2270" s="329"/>
      <c r="K2270" s="338">
        <f t="shared" si="104"/>
        <v>101.3275</v>
      </c>
      <c r="L2270" s="338">
        <f t="shared" si="104"/>
        <v>101.3275</v>
      </c>
      <c r="M2270" s="338">
        <f t="shared" si="104"/>
        <v>101.3275</v>
      </c>
      <c r="N2270" s="338">
        <f t="shared" si="104"/>
        <v>101.3275</v>
      </c>
      <c r="O2270" s="338"/>
    </row>
    <row r="2271" spans="1:15" hidden="1" outlineLevel="2" x14ac:dyDescent="0.35">
      <c r="A2271" s="425" t="s">
        <v>208</v>
      </c>
      <c r="B2271" s="327">
        <v>44561</v>
      </c>
      <c r="C2271" s="426" t="s">
        <v>11113</v>
      </c>
      <c r="D2271" s="427" t="s">
        <v>11114</v>
      </c>
      <c r="E2271" s="426" t="s">
        <v>3210</v>
      </c>
      <c r="F2271" s="338">
        <v>405.31</v>
      </c>
      <c r="G2271" s="338" t="s">
        <v>56</v>
      </c>
      <c r="H2271" s="338"/>
      <c r="I2271" s="329">
        <v>405.31</v>
      </c>
      <c r="J2271" s="329"/>
      <c r="K2271" s="338">
        <f t="shared" si="104"/>
        <v>101.3275</v>
      </c>
      <c r="L2271" s="338">
        <f t="shared" si="104"/>
        <v>101.3275</v>
      </c>
      <c r="M2271" s="338">
        <f t="shared" si="104"/>
        <v>101.3275</v>
      </c>
      <c r="N2271" s="338">
        <f t="shared" si="104"/>
        <v>101.3275</v>
      </c>
      <c r="O2271" s="338"/>
    </row>
    <row r="2272" spans="1:15" hidden="1" outlineLevel="2" x14ac:dyDescent="0.35">
      <c r="A2272" s="425" t="s">
        <v>208</v>
      </c>
      <c r="B2272" s="327">
        <v>44561</v>
      </c>
      <c r="C2272" s="426" t="s">
        <v>11115</v>
      </c>
      <c r="D2272" s="427" t="s">
        <v>11116</v>
      </c>
      <c r="E2272" s="426" t="s">
        <v>3210</v>
      </c>
      <c r="F2272" s="338">
        <v>405.31</v>
      </c>
      <c r="G2272" s="338" t="s">
        <v>56</v>
      </c>
      <c r="H2272" s="338"/>
      <c r="I2272" s="329">
        <v>405.31</v>
      </c>
      <c r="J2272" s="329"/>
      <c r="K2272" s="338">
        <f t="shared" si="104"/>
        <v>101.3275</v>
      </c>
      <c r="L2272" s="338">
        <f t="shared" si="104"/>
        <v>101.3275</v>
      </c>
      <c r="M2272" s="338">
        <f t="shared" si="104"/>
        <v>101.3275</v>
      </c>
      <c r="N2272" s="338">
        <f t="shared" si="104"/>
        <v>101.3275</v>
      </c>
      <c r="O2272" s="338"/>
    </row>
    <row r="2273" spans="1:15" hidden="1" outlineLevel="2" x14ac:dyDescent="0.35">
      <c r="A2273" s="425" t="s">
        <v>208</v>
      </c>
      <c r="B2273" s="327">
        <v>44561</v>
      </c>
      <c r="C2273" s="426" t="s">
        <v>11117</v>
      </c>
      <c r="D2273" s="427" t="s">
        <v>11118</v>
      </c>
      <c r="E2273" s="426" t="s">
        <v>3210</v>
      </c>
      <c r="F2273" s="338">
        <v>405.31</v>
      </c>
      <c r="G2273" s="338" t="s">
        <v>56</v>
      </c>
      <c r="H2273" s="338"/>
      <c r="I2273" s="329">
        <v>405.31</v>
      </c>
      <c r="J2273" s="329"/>
      <c r="K2273" s="338">
        <f t="shared" si="104"/>
        <v>101.3275</v>
      </c>
      <c r="L2273" s="338">
        <f t="shared" si="104"/>
        <v>101.3275</v>
      </c>
      <c r="M2273" s="338">
        <f t="shared" si="104"/>
        <v>101.3275</v>
      </c>
      <c r="N2273" s="338">
        <f t="shared" si="104"/>
        <v>101.3275</v>
      </c>
      <c r="O2273" s="338"/>
    </row>
    <row r="2274" spans="1:15" hidden="1" outlineLevel="2" x14ac:dyDescent="0.35">
      <c r="A2274" s="425" t="s">
        <v>208</v>
      </c>
      <c r="B2274" s="327">
        <v>44196</v>
      </c>
      <c r="C2274" s="426" t="s">
        <v>3252</v>
      </c>
      <c r="D2274" s="427" t="s">
        <v>11119</v>
      </c>
      <c r="E2274" s="426" t="s">
        <v>3210</v>
      </c>
      <c r="F2274" s="338">
        <v>409.52</v>
      </c>
      <c r="G2274" s="338" t="s">
        <v>56</v>
      </c>
      <c r="H2274" s="338"/>
      <c r="I2274" s="329">
        <v>409.52</v>
      </c>
      <c r="J2274" s="329"/>
      <c r="K2274" s="338">
        <f t="shared" si="104"/>
        <v>102.38</v>
      </c>
      <c r="L2274" s="338">
        <f t="shared" si="104"/>
        <v>102.38</v>
      </c>
      <c r="M2274" s="338">
        <f t="shared" si="104"/>
        <v>102.38</v>
      </c>
      <c r="N2274" s="338">
        <f t="shared" si="104"/>
        <v>102.38</v>
      </c>
      <c r="O2274" s="338"/>
    </row>
    <row r="2275" spans="1:15" hidden="1" outlineLevel="2" x14ac:dyDescent="0.35">
      <c r="A2275" s="425" t="s">
        <v>208</v>
      </c>
      <c r="B2275" s="327">
        <v>44196</v>
      </c>
      <c r="C2275" s="426" t="s">
        <v>3252</v>
      </c>
      <c r="D2275" s="427" t="s">
        <v>11119</v>
      </c>
      <c r="E2275" s="426" t="s">
        <v>3210</v>
      </c>
      <c r="F2275" s="338">
        <v>409.52</v>
      </c>
      <c r="G2275" s="338" t="s">
        <v>56</v>
      </c>
      <c r="H2275" s="338"/>
      <c r="I2275" s="329">
        <v>409.52</v>
      </c>
      <c r="J2275" s="329"/>
      <c r="K2275" s="338">
        <f t="shared" si="104"/>
        <v>102.38</v>
      </c>
      <c r="L2275" s="338">
        <f t="shared" si="104"/>
        <v>102.38</v>
      </c>
      <c r="M2275" s="338">
        <f t="shared" si="104"/>
        <v>102.38</v>
      </c>
      <c r="N2275" s="338">
        <f t="shared" si="104"/>
        <v>102.38</v>
      </c>
      <c r="O2275" s="338"/>
    </row>
    <row r="2276" spans="1:15" hidden="1" outlineLevel="2" x14ac:dyDescent="0.35">
      <c r="A2276" s="425" t="s">
        <v>208</v>
      </c>
      <c r="B2276" s="327">
        <v>44561</v>
      </c>
      <c r="C2276" s="426" t="s">
        <v>11120</v>
      </c>
      <c r="D2276" s="427" t="s">
        <v>11121</v>
      </c>
      <c r="E2276" s="426" t="s">
        <v>2839</v>
      </c>
      <c r="F2276" s="338">
        <v>12</v>
      </c>
      <c r="G2276" s="338" t="s">
        <v>56</v>
      </c>
      <c r="H2276" s="338"/>
      <c r="I2276" s="329">
        <v>12</v>
      </c>
      <c r="J2276" s="329"/>
      <c r="K2276" s="338">
        <f t="shared" si="104"/>
        <v>3</v>
      </c>
      <c r="L2276" s="338">
        <f t="shared" si="104"/>
        <v>3</v>
      </c>
      <c r="M2276" s="338">
        <f t="shared" si="104"/>
        <v>3</v>
      </c>
      <c r="N2276" s="338">
        <f t="shared" si="104"/>
        <v>3</v>
      </c>
      <c r="O2276" s="338"/>
    </row>
    <row r="2277" spans="1:15" hidden="1" outlineLevel="2" x14ac:dyDescent="0.35">
      <c r="A2277" s="425" t="s">
        <v>208</v>
      </c>
      <c r="B2277" s="327">
        <v>44561</v>
      </c>
      <c r="C2277" s="426" t="s">
        <v>11122</v>
      </c>
      <c r="D2277" s="427" t="s">
        <v>11123</v>
      </c>
      <c r="E2277" s="426" t="s">
        <v>2839</v>
      </c>
      <c r="F2277" s="338">
        <v>10</v>
      </c>
      <c r="G2277" s="338" t="s">
        <v>56</v>
      </c>
      <c r="H2277" s="338"/>
      <c r="I2277" s="329">
        <v>10</v>
      </c>
      <c r="J2277" s="329"/>
      <c r="K2277" s="338">
        <f t="shared" si="104"/>
        <v>2.5</v>
      </c>
      <c r="L2277" s="338">
        <f t="shared" si="104"/>
        <v>2.5</v>
      </c>
      <c r="M2277" s="338">
        <f t="shared" si="104"/>
        <v>2.5</v>
      </c>
      <c r="N2277" s="338">
        <f t="shared" si="104"/>
        <v>2.5</v>
      </c>
      <c r="O2277" s="338"/>
    </row>
    <row r="2278" spans="1:15" hidden="1" outlineLevel="2" x14ac:dyDescent="0.35">
      <c r="A2278" s="425" t="s">
        <v>208</v>
      </c>
      <c r="B2278" s="327">
        <v>44561</v>
      </c>
      <c r="C2278" s="426" t="s">
        <v>11124</v>
      </c>
      <c r="D2278" s="427" t="s">
        <v>11125</v>
      </c>
      <c r="E2278" s="426" t="s">
        <v>2839</v>
      </c>
      <c r="F2278" s="338">
        <v>10</v>
      </c>
      <c r="G2278" s="338" t="s">
        <v>56</v>
      </c>
      <c r="H2278" s="338"/>
      <c r="I2278" s="329">
        <v>10</v>
      </c>
      <c r="J2278" s="329"/>
      <c r="K2278" s="338">
        <f t="shared" si="104"/>
        <v>2.5</v>
      </c>
      <c r="L2278" s="338">
        <f t="shared" si="104"/>
        <v>2.5</v>
      </c>
      <c r="M2278" s="338">
        <f t="shared" si="104"/>
        <v>2.5</v>
      </c>
      <c r="N2278" s="338">
        <f t="shared" si="104"/>
        <v>2.5</v>
      </c>
      <c r="O2278" s="338"/>
    </row>
    <row r="2279" spans="1:15" hidden="1" outlineLevel="2" x14ac:dyDescent="0.35">
      <c r="A2279" s="425" t="s">
        <v>208</v>
      </c>
      <c r="B2279" s="327">
        <v>44561</v>
      </c>
      <c r="C2279" s="426" t="s">
        <v>11126</v>
      </c>
      <c r="D2279" s="427" t="s">
        <v>11127</v>
      </c>
      <c r="E2279" s="426" t="s">
        <v>2839</v>
      </c>
      <c r="F2279" s="338">
        <v>10</v>
      </c>
      <c r="G2279" s="338" t="s">
        <v>56</v>
      </c>
      <c r="H2279" s="338"/>
      <c r="I2279" s="329">
        <v>10</v>
      </c>
      <c r="J2279" s="329"/>
      <c r="K2279" s="338">
        <f t="shared" si="104"/>
        <v>2.5</v>
      </c>
      <c r="L2279" s="338">
        <f t="shared" si="104"/>
        <v>2.5</v>
      </c>
      <c r="M2279" s="338">
        <f t="shared" si="104"/>
        <v>2.5</v>
      </c>
      <c r="N2279" s="338">
        <f t="shared" si="104"/>
        <v>2.5</v>
      </c>
      <c r="O2279" s="338"/>
    </row>
    <row r="2280" spans="1:15" hidden="1" outlineLevel="2" x14ac:dyDescent="0.35">
      <c r="A2280" s="425" t="s">
        <v>208</v>
      </c>
      <c r="B2280" s="327">
        <v>44561</v>
      </c>
      <c r="C2280" s="426" t="s">
        <v>11128</v>
      </c>
      <c r="D2280" s="427" t="s">
        <v>11129</v>
      </c>
      <c r="E2280" s="426" t="s">
        <v>2839</v>
      </c>
      <c r="F2280" s="338">
        <v>5</v>
      </c>
      <c r="G2280" s="338" t="s">
        <v>56</v>
      </c>
      <c r="H2280" s="338"/>
      <c r="I2280" s="329">
        <v>5</v>
      </c>
      <c r="J2280" s="329"/>
      <c r="K2280" s="338">
        <f t="shared" si="104"/>
        <v>1.25</v>
      </c>
      <c r="L2280" s="338">
        <f t="shared" si="104"/>
        <v>1.25</v>
      </c>
      <c r="M2280" s="338">
        <f t="shared" si="104"/>
        <v>1.25</v>
      </c>
      <c r="N2280" s="338">
        <f t="shared" si="104"/>
        <v>1.25</v>
      </c>
      <c r="O2280" s="338"/>
    </row>
    <row r="2281" spans="1:15" hidden="1" outlineLevel="2" x14ac:dyDescent="0.35">
      <c r="A2281" s="425" t="s">
        <v>208</v>
      </c>
      <c r="B2281" s="327">
        <v>44561</v>
      </c>
      <c r="C2281" s="426" t="s">
        <v>11130</v>
      </c>
      <c r="D2281" s="427" t="s">
        <v>11131</v>
      </c>
      <c r="E2281" s="426" t="s">
        <v>2839</v>
      </c>
      <c r="F2281" s="338">
        <v>5</v>
      </c>
      <c r="G2281" s="338" t="s">
        <v>56</v>
      </c>
      <c r="H2281" s="338"/>
      <c r="I2281" s="329">
        <v>5</v>
      </c>
      <c r="J2281" s="329"/>
      <c r="K2281" s="338">
        <f t="shared" si="104"/>
        <v>1.25</v>
      </c>
      <c r="L2281" s="338">
        <f t="shared" si="104"/>
        <v>1.25</v>
      </c>
      <c r="M2281" s="338">
        <f t="shared" si="104"/>
        <v>1.25</v>
      </c>
      <c r="N2281" s="338">
        <f t="shared" si="104"/>
        <v>1.25</v>
      </c>
      <c r="O2281" s="338"/>
    </row>
    <row r="2282" spans="1:15" hidden="1" outlineLevel="2" x14ac:dyDescent="0.35">
      <c r="A2282" s="425" t="s">
        <v>208</v>
      </c>
      <c r="B2282" s="327">
        <v>44561</v>
      </c>
      <c r="C2282" s="426" t="s">
        <v>11132</v>
      </c>
      <c r="D2282" s="427" t="s">
        <v>11133</v>
      </c>
      <c r="E2282" s="426" t="s">
        <v>2839</v>
      </c>
      <c r="F2282" s="338">
        <v>5</v>
      </c>
      <c r="G2282" s="338" t="s">
        <v>56</v>
      </c>
      <c r="H2282" s="338"/>
      <c r="I2282" s="329">
        <v>5</v>
      </c>
      <c r="J2282" s="329"/>
      <c r="K2282" s="338">
        <f t="shared" si="104"/>
        <v>1.25</v>
      </c>
      <c r="L2282" s="338">
        <f t="shared" si="104"/>
        <v>1.25</v>
      </c>
      <c r="M2282" s="338">
        <f t="shared" si="104"/>
        <v>1.25</v>
      </c>
      <c r="N2282" s="338">
        <f t="shared" si="104"/>
        <v>1.25</v>
      </c>
      <c r="O2282" s="338"/>
    </row>
    <row r="2283" spans="1:15" hidden="1" outlineLevel="2" x14ac:dyDescent="0.35">
      <c r="A2283" s="425" t="s">
        <v>208</v>
      </c>
      <c r="B2283" s="327">
        <v>44561</v>
      </c>
      <c r="C2283" s="426" t="s">
        <v>11134</v>
      </c>
      <c r="D2283" s="427" t="s">
        <v>11135</v>
      </c>
      <c r="E2283" s="426" t="s">
        <v>2839</v>
      </c>
      <c r="F2283" s="338">
        <v>15.6</v>
      </c>
      <c r="G2283" s="338" t="s">
        <v>56</v>
      </c>
      <c r="H2283" s="338"/>
      <c r="I2283" s="329">
        <v>15.6</v>
      </c>
      <c r="J2283" s="329"/>
      <c r="K2283" s="338">
        <f t="shared" si="104"/>
        <v>3.9</v>
      </c>
      <c r="L2283" s="338">
        <f t="shared" si="104"/>
        <v>3.9</v>
      </c>
      <c r="M2283" s="338">
        <f t="shared" si="104"/>
        <v>3.9</v>
      </c>
      <c r="N2283" s="338">
        <f t="shared" si="104"/>
        <v>3.9</v>
      </c>
      <c r="O2283" s="338"/>
    </row>
    <row r="2284" spans="1:15" hidden="1" outlineLevel="2" x14ac:dyDescent="0.35">
      <c r="A2284" s="425" t="s">
        <v>208</v>
      </c>
      <c r="B2284" s="327">
        <v>44227</v>
      </c>
      <c r="C2284" s="426" t="s">
        <v>3196</v>
      </c>
      <c r="D2284" s="427" t="s">
        <v>11136</v>
      </c>
      <c r="E2284" s="426" t="s">
        <v>11137</v>
      </c>
      <c r="F2284" s="338">
        <v>19.89</v>
      </c>
      <c r="G2284" s="338" t="s">
        <v>56</v>
      </c>
      <c r="H2284" s="338"/>
      <c r="I2284" s="329">
        <v>19.89</v>
      </c>
      <c r="J2284" s="329"/>
      <c r="K2284" s="338">
        <f t="shared" si="104"/>
        <v>4.9725000000000001</v>
      </c>
      <c r="L2284" s="338">
        <f t="shared" si="104"/>
        <v>4.9725000000000001</v>
      </c>
      <c r="M2284" s="338">
        <f t="shared" si="104"/>
        <v>4.9725000000000001</v>
      </c>
      <c r="N2284" s="338">
        <f t="shared" si="104"/>
        <v>4.9725000000000001</v>
      </c>
      <c r="O2284" s="338"/>
    </row>
    <row r="2285" spans="1:15" hidden="1" outlineLevel="2" x14ac:dyDescent="0.35">
      <c r="A2285" s="425" t="s">
        <v>208</v>
      </c>
      <c r="B2285" s="327">
        <v>44227</v>
      </c>
      <c r="C2285" s="426" t="s">
        <v>3196</v>
      </c>
      <c r="D2285" s="427" t="s">
        <v>11138</v>
      </c>
      <c r="E2285" s="426" t="s">
        <v>10464</v>
      </c>
      <c r="F2285" s="338">
        <v>19.89</v>
      </c>
      <c r="G2285" s="338" t="s">
        <v>56</v>
      </c>
      <c r="H2285" s="338"/>
      <c r="I2285" s="329">
        <v>19.89</v>
      </c>
      <c r="J2285" s="329"/>
      <c r="K2285" s="338">
        <f t="shared" si="104"/>
        <v>4.9725000000000001</v>
      </c>
      <c r="L2285" s="338">
        <f t="shared" si="104"/>
        <v>4.9725000000000001</v>
      </c>
      <c r="M2285" s="338">
        <f t="shared" si="104"/>
        <v>4.9725000000000001</v>
      </c>
      <c r="N2285" s="338">
        <f t="shared" si="104"/>
        <v>4.9725000000000001</v>
      </c>
      <c r="O2285" s="338"/>
    </row>
    <row r="2286" spans="1:15" hidden="1" outlineLevel="2" x14ac:dyDescent="0.35">
      <c r="A2286" s="425" t="s">
        <v>208</v>
      </c>
      <c r="B2286" s="327">
        <v>44255</v>
      </c>
      <c r="C2286" s="426" t="s">
        <v>3198</v>
      </c>
      <c r="D2286" s="427" t="s">
        <v>11139</v>
      </c>
      <c r="E2286" s="426" t="s">
        <v>11137</v>
      </c>
      <c r="F2286" s="338">
        <v>39.78</v>
      </c>
      <c r="G2286" s="338" t="s">
        <v>56</v>
      </c>
      <c r="H2286" s="338"/>
      <c r="I2286" s="329">
        <v>39.78</v>
      </c>
      <c r="J2286" s="329"/>
      <c r="K2286" s="338">
        <f t="shared" si="104"/>
        <v>9.9450000000000003</v>
      </c>
      <c r="L2286" s="338">
        <f t="shared" si="104"/>
        <v>9.9450000000000003</v>
      </c>
      <c r="M2286" s="338">
        <f t="shared" si="104"/>
        <v>9.9450000000000003</v>
      </c>
      <c r="N2286" s="338">
        <f t="shared" si="104"/>
        <v>9.9450000000000003</v>
      </c>
      <c r="O2286" s="338"/>
    </row>
    <row r="2287" spans="1:15" hidden="1" outlineLevel="2" x14ac:dyDescent="0.35">
      <c r="A2287" s="425" t="s">
        <v>208</v>
      </c>
      <c r="B2287" s="327">
        <v>44255</v>
      </c>
      <c r="C2287" s="426" t="s">
        <v>3198</v>
      </c>
      <c r="D2287" s="427" t="s">
        <v>11140</v>
      </c>
      <c r="E2287" s="426" t="s">
        <v>10464</v>
      </c>
      <c r="F2287" s="338">
        <v>19.899999999999999</v>
      </c>
      <c r="G2287" s="338" t="s">
        <v>56</v>
      </c>
      <c r="H2287" s="338"/>
      <c r="I2287" s="329">
        <v>19.899999999999999</v>
      </c>
      <c r="J2287" s="329"/>
      <c r="K2287" s="338">
        <f t="shared" si="104"/>
        <v>4.9749999999999996</v>
      </c>
      <c r="L2287" s="338">
        <f t="shared" si="104"/>
        <v>4.9749999999999996</v>
      </c>
      <c r="M2287" s="338">
        <f t="shared" si="104"/>
        <v>4.9749999999999996</v>
      </c>
      <c r="N2287" s="338">
        <f t="shared" si="104"/>
        <v>4.9749999999999996</v>
      </c>
      <c r="O2287" s="338"/>
    </row>
    <row r="2288" spans="1:15" hidden="1" outlineLevel="2" x14ac:dyDescent="0.35">
      <c r="A2288" s="425" t="s">
        <v>208</v>
      </c>
      <c r="B2288" s="327">
        <v>44286</v>
      </c>
      <c r="C2288" s="426" t="s">
        <v>3200</v>
      </c>
      <c r="D2288" s="427" t="s">
        <v>11141</v>
      </c>
      <c r="E2288" s="426" t="s">
        <v>10464</v>
      </c>
      <c r="F2288" s="338">
        <v>19.89</v>
      </c>
      <c r="G2288" s="338" t="s">
        <v>56</v>
      </c>
      <c r="H2288" s="338"/>
      <c r="I2288" s="329">
        <v>19.89</v>
      </c>
      <c r="J2288" s="329"/>
      <c r="K2288" s="338">
        <f t="shared" ref="K2288:N2307" si="105">$I2288/4</f>
        <v>4.9725000000000001</v>
      </c>
      <c r="L2288" s="338">
        <f t="shared" si="105"/>
        <v>4.9725000000000001</v>
      </c>
      <c r="M2288" s="338">
        <f t="shared" si="105"/>
        <v>4.9725000000000001</v>
      </c>
      <c r="N2288" s="338">
        <f t="shared" si="105"/>
        <v>4.9725000000000001</v>
      </c>
      <c r="O2288" s="338"/>
    </row>
    <row r="2289" spans="1:15" hidden="1" outlineLevel="2" x14ac:dyDescent="0.35">
      <c r="A2289" s="425" t="s">
        <v>208</v>
      </c>
      <c r="B2289" s="327">
        <v>44316</v>
      </c>
      <c r="C2289" s="426" t="s">
        <v>3202</v>
      </c>
      <c r="D2289" s="427" t="s">
        <v>11142</v>
      </c>
      <c r="E2289" s="426" t="s">
        <v>10464</v>
      </c>
      <c r="F2289" s="338">
        <v>19.89</v>
      </c>
      <c r="G2289" s="338" t="s">
        <v>56</v>
      </c>
      <c r="H2289" s="338"/>
      <c r="I2289" s="329">
        <v>19.89</v>
      </c>
      <c r="J2289" s="329"/>
      <c r="K2289" s="338">
        <f t="shared" si="105"/>
        <v>4.9725000000000001</v>
      </c>
      <c r="L2289" s="338">
        <f t="shared" si="105"/>
        <v>4.9725000000000001</v>
      </c>
      <c r="M2289" s="338">
        <f t="shared" si="105"/>
        <v>4.9725000000000001</v>
      </c>
      <c r="N2289" s="338">
        <f t="shared" si="105"/>
        <v>4.9725000000000001</v>
      </c>
      <c r="O2289" s="338"/>
    </row>
    <row r="2290" spans="1:15" hidden="1" outlineLevel="2" x14ac:dyDescent="0.35">
      <c r="A2290" s="425" t="s">
        <v>208</v>
      </c>
      <c r="B2290" s="327">
        <v>44347</v>
      </c>
      <c r="C2290" s="426" t="s">
        <v>11143</v>
      </c>
      <c r="D2290" s="427" t="s">
        <v>11144</v>
      </c>
      <c r="E2290" s="426" t="s">
        <v>10464</v>
      </c>
      <c r="F2290" s="338">
        <v>19.89</v>
      </c>
      <c r="G2290" s="338" t="s">
        <v>56</v>
      </c>
      <c r="H2290" s="338"/>
      <c r="I2290" s="329">
        <v>19.89</v>
      </c>
      <c r="J2290" s="329"/>
      <c r="K2290" s="338">
        <f t="shared" si="105"/>
        <v>4.9725000000000001</v>
      </c>
      <c r="L2290" s="338">
        <f t="shared" si="105"/>
        <v>4.9725000000000001</v>
      </c>
      <c r="M2290" s="338">
        <f t="shared" si="105"/>
        <v>4.9725000000000001</v>
      </c>
      <c r="N2290" s="338">
        <f t="shared" si="105"/>
        <v>4.9725000000000001</v>
      </c>
      <c r="O2290" s="338"/>
    </row>
    <row r="2291" spans="1:15" hidden="1" outlineLevel="2" x14ac:dyDescent="0.35">
      <c r="A2291" s="425" t="s">
        <v>208</v>
      </c>
      <c r="B2291" s="327">
        <v>44377</v>
      </c>
      <c r="C2291" s="426" t="s">
        <v>11145</v>
      </c>
      <c r="D2291" s="427" t="s">
        <v>11146</v>
      </c>
      <c r="E2291" s="426" t="s">
        <v>10464</v>
      </c>
      <c r="F2291" s="338">
        <v>19.89</v>
      </c>
      <c r="G2291" s="338" t="s">
        <v>56</v>
      </c>
      <c r="H2291" s="338"/>
      <c r="I2291" s="329">
        <v>19.89</v>
      </c>
      <c r="J2291" s="329"/>
      <c r="K2291" s="338">
        <f t="shared" si="105"/>
        <v>4.9725000000000001</v>
      </c>
      <c r="L2291" s="338">
        <f t="shared" si="105"/>
        <v>4.9725000000000001</v>
      </c>
      <c r="M2291" s="338">
        <f t="shared" si="105"/>
        <v>4.9725000000000001</v>
      </c>
      <c r="N2291" s="338">
        <f t="shared" si="105"/>
        <v>4.9725000000000001</v>
      </c>
      <c r="O2291" s="338"/>
    </row>
    <row r="2292" spans="1:15" hidden="1" outlineLevel="2" x14ac:dyDescent="0.35">
      <c r="A2292" s="425" t="s">
        <v>208</v>
      </c>
      <c r="B2292" s="327">
        <v>44408</v>
      </c>
      <c r="C2292" s="426" t="s">
        <v>11147</v>
      </c>
      <c r="D2292" s="427" t="s">
        <v>11148</v>
      </c>
      <c r="E2292" s="426" t="s">
        <v>10464</v>
      </c>
      <c r="F2292" s="338">
        <v>19.89</v>
      </c>
      <c r="G2292" s="338" t="s">
        <v>56</v>
      </c>
      <c r="H2292" s="338"/>
      <c r="I2292" s="329">
        <v>19.89</v>
      </c>
      <c r="J2292" s="329"/>
      <c r="K2292" s="338">
        <f t="shared" si="105"/>
        <v>4.9725000000000001</v>
      </c>
      <c r="L2292" s="338">
        <f t="shared" si="105"/>
        <v>4.9725000000000001</v>
      </c>
      <c r="M2292" s="338">
        <f t="shared" si="105"/>
        <v>4.9725000000000001</v>
      </c>
      <c r="N2292" s="338">
        <f t="shared" si="105"/>
        <v>4.9725000000000001</v>
      </c>
      <c r="O2292" s="338"/>
    </row>
    <row r="2293" spans="1:15" hidden="1" outlineLevel="2" x14ac:dyDescent="0.35">
      <c r="A2293" s="425" t="s">
        <v>208</v>
      </c>
      <c r="B2293" s="327">
        <v>44439</v>
      </c>
      <c r="C2293" s="426" t="s">
        <v>11149</v>
      </c>
      <c r="D2293" s="427" t="s">
        <v>11150</v>
      </c>
      <c r="E2293" s="426" t="s">
        <v>10464</v>
      </c>
      <c r="F2293" s="338">
        <v>19.89</v>
      </c>
      <c r="G2293" s="338" t="s">
        <v>56</v>
      </c>
      <c r="H2293" s="338"/>
      <c r="I2293" s="329">
        <v>19.89</v>
      </c>
      <c r="J2293" s="329"/>
      <c r="K2293" s="338">
        <f t="shared" si="105"/>
        <v>4.9725000000000001</v>
      </c>
      <c r="L2293" s="338">
        <f t="shared" si="105"/>
        <v>4.9725000000000001</v>
      </c>
      <c r="M2293" s="338">
        <f t="shared" si="105"/>
        <v>4.9725000000000001</v>
      </c>
      <c r="N2293" s="338">
        <f t="shared" si="105"/>
        <v>4.9725000000000001</v>
      </c>
      <c r="O2293" s="338"/>
    </row>
    <row r="2294" spans="1:15" hidden="1" outlineLevel="2" x14ac:dyDescent="0.35">
      <c r="A2294" s="425" t="s">
        <v>208</v>
      </c>
      <c r="B2294" s="327">
        <v>44469</v>
      </c>
      <c r="C2294" s="426" t="s">
        <v>11151</v>
      </c>
      <c r="D2294" s="427" t="s">
        <v>11152</v>
      </c>
      <c r="E2294" s="426" t="s">
        <v>10464</v>
      </c>
      <c r="F2294" s="338">
        <v>19.89</v>
      </c>
      <c r="G2294" s="338" t="s">
        <v>56</v>
      </c>
      <c r="H2294" s="338"/>
      <c r="I2294" s="329">
        <v>19.89</v>
      </c>
      <c r="J2294" s="329"/>
      <c r="K2294" s="338">
        <f t="shared" si="105"/>
        <v>4.9725000000000001</v>
      </c>
      <c r="L2294" s="338">
        <f t="shared" si="105"/>
        <v>4.9725000000000001</v>
      </c>
      <c r="M2294" s="338">
        <f t="shared" si="105"/>
        <v>4.9725000000000001</v>
      </c>
      <c r="N2294" s="338">
        <f t="shared" si="105"/>
        <v>4.9725000000000001</v>
      </c>
      <c r="O2294" s="338"/>
    </row>
    <row r="2295" spans="1:15" hidden="1" outlineLevel="2" x14ac:dyDescent="0.35">
      <c r="A2295" s="425" t="s">
        <v>208</v>
      </c>
      <c r="B2295" s="327">
        <v>44500</v>
      </c>
      <c r="C2295" s="426" t="s">
        <v>11153</v>
      </c>
      <c r="D2295" s="427" t="s">
        <v>11154</v>
      </c>
      <c r="E2295" s="426" t="s">
        <v>10464</v>
      </c>
      <c r="F2295" s="338">
        <v>19.89</v>
      </c>
      <c r="G2295" s="338" t="s">
        <v>56</v>
      </c>
      <c r="H2295" s="338"/>
      <c r="I2295" s="329">
        <v>19.89</v>
      </c>
      <c r="J2295" s="329"/>
      <c r="K2295" s="338">
        <f t="shared" si="105"/>
        <v>4.9725000000000001</v>
      </c>
      <c r="L2295" s="338">
        <f t="shared" si="105"/>
        <v>4.9725000000000001</v>
      </c>
      <c r="M2295" s="338">
        <f t="shared" si="105"/>
        <v>4.9725000000000001</v>
      </c>
      <c r="N2295" s="338">
        <f t="shared" si="105"/>
        <v>4.9725000000000001</v>
      </c>
      <c r="O2295" s="338"/>
    </row>
    <row r="2296" spans="1:15" hidden="1" outlineLevel="2" x14ac:dyDescent="0.35">
      <c r="A2296" s="425" t="s">
        <v>208</v>
      </c>
      <c r="B2296" s="327">
        <v>44547</v>
      </c>
      <c r="C2296" s="426" t="s">
        <v>11155</v>
      </c>
      <c r="D2296" s="427" t="s">
        <v>11156</v>
      </c>
      <c r="E2296" s="426" t="s">
        <v>10464</v>
      </c>
      <c r="F2296" s="338">
        <v>19.89</v>
      </c>
      <c r="G2296" s="338" t="s">
        <v>56</v>
      </c>
      <c r="H2296" s="338"/>
      <c r="I2296" s="329">
        <v>19.89</v>
      </c>
      <c r="J2296" s="329"/>
      <c r="K2296" s="338">
        <f t="shared" si="105"/>
        <v>4.9725000000000001</v>
      </c>
      <c r="L2296" s="338">
        <f t="shared" si="105"/>
        <v>4.9725000000000001</v>
      </c>
      <c r="M2296" s="338">
        <f t="shared" si="105"/>
        <v>4.9725000000000001</v>
      </c>
      <c r="N2296" s="338">
        <f t="shared" si="105"/>
        <v>4.9725000000000001</v>
      </c>
      <c r="O2296" s="338"/>
    </row>
    <row r="2297" spans="1:15" hidden="1" outlineLevel="2" x14ac:dyDescent="0.35">
      <c r="A2297" s="425" t="s">
        <v>208</v>
      </c>
      <c r="B2297" s="327">
        <v>44561</v>
      </c>
      <c r="C2297" s="426" t="s">
        <v>3204</v>
      </c>
      <c r="D2297" s="427" t="s">
        <v>11157</v>
      </c>
      <c r="E2297" s="426" t="s">
        <v>10464</v>
      </c>
      <c r="F2297" s="338">
        <v>19.89</v>
      </c>
      <c r="G2297" s="338" t="s">
        <v>56</v>
      </c>
      <c r="H2297" s="338"/>
      <c r="I2297" s="329">
        <v>19.89</v>
      </c>
      <c r="J2297" s="329"/>
      <c r="K2297" s="338">
        <f t="shared" si="105"/>
        <v>4.9725000000000001</v>
      </c>
      <c r="L2297" s="338">
        <f t="shared" si="105"/>
        <v>4.9725000000000001</v>
      </c>
      <c r="M2297" s="338">
        <f t="shared" si="105"/>
        <v>4.9725000000000001</v>
      </c>
      <c r="N2297" s="338">
        <f t="shared" si="105"/>
        <v>4.9725000000000001</v>
      </c>
      <c r="O2297" s="338"/>
    </row>
    <row r="2298" spans="1:15" hidden="1" outlineLevel="2" x14ac:dyDescent="0.35">
      <c r="A2298" s="425" t="s">
        <v>208</v>
      </c>
      <c r="B2298" s="327">
        <v>44196</v>
      </c>
      <c r="C2298" s="426" t="s">
        <v>3194</v>
      </c>
      <c r="D2298" s="427" t="s">
        <v>11158</v>
      </c>
      <c r="E2298" s="426" t="s">
        <v>11137</v>
      </c>
      <c r="F2298" s="338">
        <v>19.5</v>
      </c>
      <c r="G2298" s="338" t="s">
        <v>56</v>
      </c>
      <c r="H2298" s="338"/>
      <c r="I2298" s="329">
        <v>19.5</v>
      </c>
      <c r="J2298" s="329"/>
      <c r="K2298" s="338">
        <f t="shared" si="105"/>
        <v>4.875</v>
      </c>
      <c r="L2298" s="338">
        <f t="shared" si="105"/>
        <v>4.875</v>
      </c>
      <c r="M2298" s="338">
        <f t="shared" si="105"/>
        <v>4.875</v>
      </c>
      <c r="N2298" s="338">
        <f t="shared" si="105"/>
        <v>4.875</v>
      </c>
      <c r="O2298" s="338"/>
    </row>
    <row r="2299" spans="1:15" hidden="1" outlineLevel="2" x14ac:dyDescent="0.35">
      <c r="A2299" s="425" t="s">
        <v>208</v>
      </c>
      <c r="B2299" s="327">
        <v>44561</v>
      </c>
      <c r="C2299" s="426" t="s">
        <v>10707</v>
      </c>
      <c r="D2299" s="427" t="s">
        <v>11159</v>
      </c>
      <c r="E2299" s="426" t="s">
        <v>10464</v>
      </c>
      <c r="F2299" s="338">
        <v>33.880000000000003</v>
      </c>
      <c r="G2299" s="338" t="s">
        <v>56</v>
      </c>
      <c r="H2299" s="338"/>
      <c r="I2299" s="329">
        <v>33.880000000000003</v>
      </c>
      <c r="J2299" s="329"/>
      <c r="K2299" s="338">
        <f t="shared" si="105"/>
        <v>8.4700000000000006</v>
      </c>
      <c r="L2299" s="338">
        <f t="shared" si="105"/>
        <v>8.4700000000000006</v>
      </c>
      <c r="M2299" s="338">
        <f t="shared" si="105"/>
        <v>8.4700000000000006</v>
      </c>
      <c r="N2299" s="338">
        <f t="shared" si="105"/>
        <v>8.4700000000000006</v>
      </c>
      <c r="O2299" s="338"/>
    </row>
    <row r="2300" spans="1:15" hidden="1" outlineLevel="2" x14ac:dyDescent="0.35">
      <c r="A2300" s="425" t="s">
        <v>208</v>
      </c>
      <c r="B2300" s="327">
        <v>44561</v>
      </c>
      <c r="C2300" s="426" t="s">
        <v>10707</v>
      </c>
      <c r="D2300" s="427" t="s">
        <v>11160</v>
      </c>
      <c r="E2300" s="426" t="s">
        <v>10464</v>
      </c>
      <c r="F2300" s="338">
        <v>33.880000000000003</v>
      </c>
      <c r="G2300" s="338" t="s">
        <v>56</v>
      </c>
      <c r="H2300" s="338"/>
      <c r="I2300" s="329">
        <v>33.880000000000003</v>
      </c>
      <c r="J2300" s="329"/>
      <c r="K2300" s="338">
        <f t="shared" si="105"/>
        <v>8.4700000000000006</v>
      </c>
      <c r="L2300" s="338">
        <f t="shared" si="105"/>
        <v>8.4700000000000006</v>
      </c>
      <c r="M2300" s="338">
        <f t="shared" si="105"/>
        <v>8.4700000000000006</v>
      </c>
      <c r="N2300" s="338">
        <f t="shared" si="105"/>
        <v>8.4700000000000006</v>
      </c>
      <c r="O2300" s="338"/>
    </row>
    <row r="2301" spans="1:15" hidden="1" outlineLevel="2" x14ac:dyDescent="0.35">
      <c r="A2301" s="425" t="s">
        <v>208</v>
      </c>
      <c r="B2301" s="327">
        <v>44074</v>
      </c>
      <c r="C2301" s="426" t="s">
        <v>3185</v>
      </c>
      <c r="D2301" s="427" t="s">
        <v>11161</v>
      </c>
      <c r="E2301" s="426" t="s">
        <v>11137</v>
      </c>
      <c r="F2301" s="338">
        <v>19.510000000000002</v>
      </c>
      <c r="G2301" s="338" t="s">
        <v>56</v>
      </c>
      <c r="H2301" s="338"/>
      <c r="I2301" s="329">
        <v>19.510000000000002</v>
      </c>
      <c r="J2301" s="329"/>
      <c r="K2301" s="338">
        <f t="shared" si="105"/>
        <v>4.8775000000000004</v>
      </c>
      <c r="L2301" s="338">
        <f t="shared" si="105"/>
        <v>4.8775000000000004</v>
      </c>
      <c r="M2301" s="338">
        <f t="shared" si="105"/>
        <v>4.8775000000000004</v>
      </c>
      <c r="N2301" s="338">
        <f t="shared" si="105"/>
        <v>4.8775000000000004</v>
      </c>
      <c r="O2301" s="338"/>
    </row>
    <row r="2302" spans="1:15" hidden="1" outlineLevel="2" x14ac:dyDescent="0.35">
      <c r="A2302" s="425" t="s">
        <v>208</v>
      </c>
      <c r="B2302" s="327">
        <v>44104</v>
      </c>
      <c r="C2302" s="426" t="s">
        <v>3188</v>
      </c>
      <c r="D2302" s="427" t="s">
        <v>11162</v>
      </c>
      <c r="E2302" s="426" t="s">
        <v>11137</v>
      </c>
      <c r="F2302" s="338">
        <v>19.510000000000002</v>
      </c>
      <c r="G2302" s="338" t="s">
        <v>56</v>
      </c>
      <c r="H2302" s="338"/>
      <c r="I2302" s="329">
        <v>19.510000000000002</v>
      </c>
      <c r="J2302" s="329"/>
      <c r="K2302" s="338">
        <f t="shared" si="105"/>
        <v>4.8775000000000004</v>
      </c>
      <c r="L2302" s="338">
        <f t="shared" si="105"/>
        <v>4.8775000000000004</v>
      </c>
      <c r="M2302" s="338">
        <f t="shared" si="105"/>
        <v>4.8775000000000004</v>
      </c>
      <c r="N2302" s="338">
        <f t="shared" si="105"/>
        <v>4.8775000000000004</v>
      </c>
      <c r="O2302" s="338"/>
    </row>
    <row r="2303" spans="1:15" hidden="1" outlineLevel="2" x14ac:dyDescent="0.35">
      <c r="A2303" s="425" t="s">
        <v>208</v>
      </c>
      <c r="B2303" s="327">
        <v>44408</v>
      </c>
      <c r="C2303" s="426" t="s">
        <v>11163</v>
      </c>
      <c r="D2303" s="427" t="s">
        <v>11164</v>
      </c>
      <c r="E2303" s="426" t="s">
        <v>10464</v>
      </c>
      <c r="F2303" s="338">
        <v>3906.61</v>
      </c>
      <c r="G2303" s="338" t="s">
        <v>56</v>
      </c>
      <c r="H2303" s="338"/>
      <c r="I2303" s="329">
        <v>3906.61</v>
      </c>
      <c r="J2303" s="329"/>
      <c r="K2303" s="338">
        <f t="shared" si="105"/>
        <v>976.65250000000003</v>
      </c>
      <c r="L2303" s="338">
        <f t="shared" si="105"/>
        <v>976.65250000000003</v>
      </c>
      <c r="M2303" s="338">
        <f t="shared" si="105"/>
        <v>976.65250000000003</v>
      </c>
      <c r="N2303" s="338">
        <f t="shared" si="105"/>
        <v>976.65250000000003</v>
      </c>
      <c r="O2303" s="338"/>
    </row>
    <row r="2304" spans="1:15" hidden="1" outlineLevel="2" x14ac:dyDescent="0.35">
      <c r="A2304" s="425" t="s">
        <v>208</v>
      </c>
      <c r="B2304" s="327">
        <v>44439</v>
      </c>
      <c r="C2304" s="426" t="s">
        <v>11165</v>
      </c>
      <c r="D2304" s="427" t="s">
        <v>11166</v>
      </c>
      <c r="E2304" s="426" t="s">
        <v>10464</v>
      </c>
      <c r="F2304" s="338">
        <v>3906.61</v>
      </c>
      <c r="G2304" s="338" t="s">
        <v>56</v>
      </c>
      <c r="H2304" s="338"/>
      <c r="I2304" s="329">
        <v>3906.61</v>
      </c>
      <c r="J2304" s="329"/>
      <c r="K2304" s="338">
        <f t="shared" si="105"/>
        <v>976.65250000000003</v>
      </c>
      <c r="L2304" s="338">
        <f t="shared" si="105"/>
        <v>976.65250000000003</v>
      </c>
      <c r="M2304" s="338">
        <f t="shared" si="105"/>
        <v>976.65250000000003</v>
      </c>
      <c r="N2304" s="338">
        <f t="shared" si="105"/>
        <v>976.65250000000003</v>
      </c>
      <c r="O2304" s="338"/>
    </row>
    <row r="2305" spans="1:15" hidden="1" outlineLevel="2" x14ac:dyDescent="0.35">
      <c r="A2305" s="425" t="s">
        <v>208</v>
      </c>
      <c r="B2305" s="327">
        <v>44469</v>
      </c>
      <c r="C2305" s="426" t="s">
        <v>11167</v>
      </c>
      <c r="D2305" s="427" t="s">
        <v>11168</v>
      </c>
      <c r="E2305" s="426" t="s">
        <v>10464</v>
      </c>
      <c r="F2305" s="338">
        <v>3906.61</v>
      </c>
      <c r="G2305" s="338" t="s">
        <v>56</v>
      </c>
      <c r="H2305" s="338"/>
      <c r="I2305" s="329">
        <v>3906.61</v>
      </c>
      <c r="J2305" s="329"/>
      <c r="K2305" s="338">
        <f t="shared" si="105"/>
        <v>976.65250000000003</v>
      </c>
      <c r="L2305" s="338">
        <f t="shared" si="105"/>
        <v>976.65250000000003</v>
      </c>
      <c r="M2305" s="338">
        <f t="shared" si="105"/>
        <v>976.65250000000003</v>
      </c>
      <c r="N2305" s="338">
        <f t="shared" si="105"/>
        <v>976.65250000000003</v>
      </c>
      <c r="O2305" s="338"/>
    </row>
    <row r="2306" spans="1:15" hidden="1" outlineLevel="2" x14ac:dyDescent="0.35">
      <c r="A2306" s="425" t="s">
        <v>208</v>
      </c>
      <c r="B2306" s="327">
        <v>44547</v>
      </c>
      <c r="C2306" s="426" t="s">
        <v>11169</v>
      </c>
      <c r="D2306" s="427" t="s">
        <v>11170</v>
      </c>
      <c r="E2306" s="426" t="s">
        <v>10464</v>
      </c>
      <c r="F2306" s="338">
        <v>3960.4</v>
      </c>
      <c r="G2306" s="338" t="s">
        <v>56</v>
      </c>
      <c r="H2306" s="338"/>
      <c r="I2306" s="329">
        <v>3960.4</v>
      </c>
      <c r="J2306" s="329"/>
      <c r="K2306" s="338">
        <f t="shared" si="105"/>
        <v>990.1</v>
      </c>
      <c r="L2306" s="338">
        <f t="shared" si="105"/>
        <v>990.1</v>
      </c>
      <c r="M2306" s="338">
        <f t="shared" si="105"/>
        <v>990.1</v>
      </c>
      <c r="N2306" s="338">
        <f t="shared" si="105"/>
        <v>990.1</v>
      </c>
      <c r="O2306" s="338"/>
    </row>
    <row r="2307" spans="1:15" hidden="1" outlineLevel="2" x14ac:dyDescent="0.35">
      <c r="A2307" s="425" t="s">
        <v>208</v>
      </c>
      <c r="B2307" s="327">
        <v>44547</v>
      </c>
      <c r="C2307" s="426" t="s">
        <v>11171</v>
      </c>
      <c r="D2307" s="427" t="s">
        <v>11172</v>
      </c>
      <c r="E2307" s="426" t="s">
        <v>10464</v>
      </c>
      <c r="F2307" s="338">
        <v>3960.4</v>
      </c>
      <c r="G2307" s="338" t="s">
        <v>56</v>
      </c>
      <c r="H2307" s="338"/>
      <c r="I2307" s="329">
        <v>3960.4</v>
      </c>
      <c r="J2307" s="329"/>
      <c r="K2307" s="338">
        <f t="shared" si="105"/>
        <v>990.1</v>
      </c>
      <c r="L2307" s="338">
        <f t="shared" si="105"/>
        <v>990.1</v>
      </c>
      <c r="M2307" s="338">
        <f t="shared" si="105"/>
        <v>990.1</v>
      </c>
      <c r="N2307" s="338">
        <f t="shared" si="105"/>
        <v>990.1</v>
      </c>
      <c r="O2307" s="338"/>
    </row>
    <row r="2308" spans="1:15" hidden="1" outlineLevel="2" x14ac:dyDescent="0.35">
      <c r="A2308" s="425" t="s">
        <v>208</v>
      </c>
      <c r="B2308" s="327">
        <v>44561</v>
      </c>
      <c r="C2308" s="426" t="s">
        <v>11173</v>
      </c>
      <c r="D2308" s="427" t="s">
        <v>11174</v>
      </c>
      <c r="E2308" s="426" t="s">
        <v>10464</v>
      </c>
      <c r="F2308" s="338">
        <v>3960.4</v>
      </c>
      <c r="G2308" s="338" t="s">
        <v>56</v>
      </c>
      <c r="H2308" s="338"/>
      <c r="I2308" s="329">
        <v>3960.4</v>
      </c>
      <c r="J2308" s="329"/>
      <c r="K2308" s="338">
        <f t="shared" ref="K2308:N2327" si="106">$I2308/4</f>
        <v>990.1</v>
      </c>
      <c r="L2308" s="338">
        <f t="shared" si="106"/>
        <v>990.1</v>
      </c>
      <c r="M2308" s="338">
        <f t="shared" si="106"/>
        <v>990.1</v>
      </c>
      <c r="N2308" s="338">
        <f t="shared" si="106"/>
        <v>990.1</v>
      </c>
      <c r="O2308" s="338"/>
    </row>
    <row r="2309" spans="1:15" hidden="1" outlineLevel="2" x14ac:dyDescent="0.35">
      <c r="A2309" s="425" t="s">
        <v>208</v>
      </c>
      <c r="B2309" s="327">
        <v>44074</v>
      </c>
      <c r="C2309" s="426" t="s">
        <v>3185</v>
      </c>
      <c r="D2309" s="427" t="s">
        <v>11175</v>
      </c>
      <c r="E2309" s="426" t="s">
        <v>11090</v>
      </c>
      <c r="F2309" s="338">
        <v>3475.16</v>
      </c>
      <c r="G2309" s="338" t="s">
        <v>56</v>
      </c>
      <c r="H2309" s="338"/>
      <c r="I2309" s="329">
        <v>3475.16</v>
      </c>
      <c r="J2309" s="329"/>
      <c r="K2309" s="338">
        <f t="shared" si="106"/>
        <v>868.79</v>
      </c>
      <c r="L2309" s="338">
        <f t="shared" si="106"/>
        <v>868.79</v>
      </c>
      <c r="M2309" s="338">
        <f t="shared" si="106"/>
        <v>868.79</v>
      </c>
      <c r="N2309" s="338">
        <f t="shared" si="106"/>
        <v>868.79</v>
      </c>
      <c r="O2309" s="338"/>
    </row>
    <row r="2310" spans="1:15" hidden="1" outlineLevel="2" x14ac:dyDescent="0.35">
      <c r="A2310" s="425" t="s">
        <v>208</v>
      </c>
      <c r="B2310" s="327">
        <v>44104</v>
      </c>
      <c r="C2310" s="426" t="s">
        <v>3188</v>
      </c>
      <c r="D2310" s="427" t="s">
        <v>11176</v>
      </c>
      <c r="E2310" s="426" t="s">
        <v>11090</v>
      </c>
      <c r="F2310" s="338">
        <v>3470.16</v>
      </c>
      <c r="G2310" s="338" t="s">
        <v>56</v>
      </c>
      <c r="H2310" s="338"/>
      <c r="I2310" s="329">
        <v>3470.16</v>
      </c>
      <c r="J2310" s="329"/>
      <c r="K2310" s="338">
        <f t="shared" si="106"/>
        <v>867.54</v>
      </c>
      <c r="L2310" s="338">
        <f t="shared" si="106"/>
        <v>867.54</v>
      </c>
      <c r="M2310" s="338">
        <f t="shared" si="106"/>
        <v>867.54</v>
      </c>
      <c r="N2310" s="338">
        <f t="shared" si="106"/>
        <v>867.54</v>
      </c>
      <c r="O2310" s="338"/>
    </row>
    <row r="2311" spans="1:15" hidden="1" outlineLevel="2" x14ac:dyDescent="0.35">
      <c r="A2311" s="425" t="s">
        <v>208</v>
      </c>
      <c r="B2311" s="327">
        <v>44165</v>
      </c>
      <c r="C2311" s="426" t="s">
        <v>3192</v>
      </c>
      <c r="D2311" s="427" t="s">
        <v>11177</v>
      </c>
      <c r="E2311" s="426" t="s">
        <v>11137</v>
      </c>
      <c r="F2311" s="338">
        <v>19.510000000000002</v>
      </c>
      <c r="G2311" s="338" t="s">
        <v>56</v>
      </c>
      <c r="H2311" s="338"/>
      <c r="I2311" s="329">
        <v>19.510000000000002</v>
      </c>
      <c r="J2311" s="329"/>
      <c r="K2311" s="338">
        <f t="shared" si="106"/>
        <v>4.8775000000000004</v>
      </c>
      <c r="L2311" s="338">
        <f t="shared" si="106"/>
        <v>4.8775000000000004</v>
      </c>
      <c r="M2311" s="338">
        <f t="shared" si="106"/>
        <v>4.8775000000000004</v>
      </c>
      <c r="N2311" s="338">
        <f t="shared" si="106"/>
        <v>4.8775000000000004</v>
      </c>
      <c r="O2311" s="338"/>
    </row>
    <row r="2312" spans="1:15" hidden="1" outlineLevel="2" x14ac:dyDescent="0.35">
      <c r="A2312" s="425" t="s">
        <v>208</v>
      </c>
      <c r="B2312" s="327">
        <v>44165</v>
      </c>
      <c r="C2312" s="426" t="s">
        <v>3192</v>
      </c>
      <c r="D2312" s="427" t="s">
        <v>11177</v>
      </c>
      <c r="E2312" s="426" t="s">
        <v>11090</v>
      </c>
      <c r="F2312" s="338">
        <v>3488.17</v>
      </c>
      <c r="G2312" s="338" t="s">
        <v>56</v>
      </c>
      <c r="H2312" s="338"/>
      <c r="I2312" s="329">
        <v>3488.17</v>
      </c>
      <c r="J2312" s="329"/>
      <c r="K2312" s="338">
        <f t="shared" si="106"/>
        <v>872.04250000000002</v>
      </c>
      <c r="L2312" s="338">
        <f t="shared" si="106"/>
        <v>872.04250000000002</v>
      </c>
      <c r="M2312" s="338">
        <f t="shared" si="106"/>
        <v>872.04250000000002</v>
      </c>
      <c r="N2312" s="338">
        <f t="shared" si="106"/>
        <v>872.04250000000002</v>
      </c>
      <c r="O2312" s="338"/>
    </row>
    <row r="2313" spans="1:15" hidden="1" outlineLevel="2" x14ac:dyDescent="0.35">
      <c r="A2313" s="425" t="s">
        <v>208</v>
      </c>
      <c r="B2313" s="327">
        <v>44196</v>
      </c>
      <c r="C2313" s="426" t="s">
        <v>3194</v>
      </c>
      <c r="D2313" s="427" t="s">
        <v>11178</v>
      </c>
      <c r="E2313" s="426" t="s">
        <v>11090</v>
      </c>
      <c r="F2313" s="338">
        <v>2018.76</v>
      </c>
      <c r="G2313" s="338" t="s">
        <v>56</v>
      </c>
      <c r="H2313" s="338"/>
      <c r="I2313" s="329">
        <v>2018.76</v>
      </c>
      <c r="J2313" s="329"/>
      <c r="K2313" s="338">
        <f t="shared" si="106"/>
        <v>504.69</v>
      </c>
      <c r="L2313" s="338">
        <f t="shared" si="106"/>
        <v>504.69</v>
      </c>
      <c r="M2313" s="338">
        <f t="shared" si="106"/>
        <v>504.69</v>
      </c>
      <c r="N2313" s="338">
        <f t="shared" si="106"/>
        <v>504.69</v>
      </c>
      <c r="O2313" s="338"/>
    </row>
    <row r="2314" spans="1:15" hidden="1" outlineLevel="2" x14ac:dyDescent="0.35">
      <c r="A2314" s="425" t="s">
        <v>208</v>
      </c>
      <c r="B2314" s="327">
        <v>44135</v>
      </c>
      <c r="C2314" s="426" t="s">
        <v>11179</v>
      </c>
      <c r="D2314" s="427" t="s">
        <v>11180</v>
      </c>
      <c r="E2314" s="426" t="s">
        <v>11090</v>
      </c>
      <c r="F2314" s="338">
        <v>-2660.46</v>
      </c>
      <c r="G2314" s="338" t="s">
        <v>56</v>
      </c>
      <c r="H2314" s="338"/>
      <c r="I2314" s="329">
        <v>-2660.46</v>
      </c>
      <c r="J2314" s="329"/>
      <c r="K2314" s="338">
        <f t="shared" si="106"/>
        <v>-665.11500000000001</v>
      </c>
      <c r="L2314" s="338">
        <f t="shared" si="106"/>
        <v>-665.11500000000001</v>
      </c>
      <c r="M2314" s="338">
        <f t="shared" si="106"/>
        <v>-665.11500000000001</v>
      </c>
      <c r="N2314" s="338">
        <f t="shared" si="106"/>
        <v>-665.11500000000001</v>
      </c>
      <c r="O2314" s="338"/>
    </row>
    <row r="2315" spans="1:15" hidden="1" outlineLevel="2" x14ac:dyDescent="0.35">
      <c r="A2315" s="425" t="s">
        <v>208</v>
      </c>
      <c r="B2315" s="327">
        <v>44227</v>
      </c>
      <c r="C2315" s="426" t="s">
        <v>3196</v>
      </c>
      <c r="D2315" s="427" t="s">
        <v>11181</v>
      </c>
      <c r="E2315" s="426" t="s">
        <v>11090</v>
      </c>
      <c r="F2315" s="338">
        <v>2736.53</v>
      </c>
      <c r="G2315" s="338" t="s">
        <v>56</v>
      </c>
      <c r="H2315" s="338"/>
      <c r="I2315" s="329">
        <v>2736.53</v>
      </c>
      <c r="J2315" s="329"/>
      <c r="K2315" s="338">
        <f t="shared" si="106"/>
        <v>684.13250000000005</v>
      </c>
      <c r="L2315" s="338">
        <f t="shared" si="106"/>
        <v>684.13250000000005</v>
      </c>
      <c r="M2315" s="338">
        <f t="shared" si="106"/>
        <v>684.13250000000005</v>
      </c>
      <c r="N2315" s="338">
        <f t="shared" si="106"/>
        <v>684.13250000000005</v>
      </c>
      <c r="O2315" s="338"/>
    </row>
    <row r="2316" spans="1:15" hidden="1" outlineLevel="2" x14ac:dyDescent="0.35">
      <c r="A2316" s="425" t="s">
        <v>208</v>
      </c>
      <c r="B2316" s="327">
        <v>44227</v>
      </c>
      <c r="C2316" s="426" t="s">
        <v>3196</v>
      </c>
      <c r="D2316" s="427" t="s">
        <v>11182</v>
      </c>
      <c r="E2316" s="426" t="s">
        <v>10464</v>
      </c>
      <c r="F2316" s="338">
        <v>3906.61</v>
      </c>
      <c r="G2316" s="338" t="s">
        <v>56</v>
      </c>
      <c r="H2316" s="338"/>
      <c r="I2316" s="329">
        <v>3906.61</v>
      </c>
      <c r="J2316" s="329"/>
      <c r="K2316" s="338">
        <f t="shared" si="106"/>
        <v>976.65250000000003</v>
      </c>
      <c r="L2316" s="338">
        <f t="shared" si="106"/>
        <v>976.65250000000003</v>
      </c>
      <c r="M2316" s="338">
        <f t="shared" si="106"/>
        <v>976.65250000000003</v>
      </c>
      <c r="N2316" s="338">
        <f t="shared" si="106"/>
        <v>976.65250000000003</v>
      </c>
      <c r="O2316" s="338"/>
    </row>
    <row r="2317" spans="1:15" hidden="1" outlineLevel="2" x14ac:dyDescent="0.35">
      <c r="A2317" s="425" t="s">
        <v>208</v>
      </c>
      <c r="B2317" s="327">
        <v>44255</v>
      </c>
      <c r="C2317" s="426" t="s">
        <v>3269</v>
      </c>
      <c r="D2317" s="427" t="s">
        <v>11183</v>
      </c>
      <c r="E2317" s="426" t="s">
        <v>11090</v>
      </c>
      <c r="F2317" s="338">
        <v>2646.52</v>
      </c>
      <c r="G2317" s="338" t="s">
        <v>56</v>
      </c>
      <c r="H2317" s="338"/>
      <c r="I2317" s="329">
        <v>2646.52</v>
      </c>
      <c r="J2317" s="329"/>
      <c r="K2317" s="338">
        <f t="shared" si="106"/>
        <v>661.63</v>
      </c>
      <c r="L2317" s="338">
        <f t="shared" si="106"/>
        <v>661.63</v>
      </c>
      <c r="M2317" s="338">
        <f t="shared" si="106"/>
        <v>661.63</v>
      </c>
      <c r="N2317" s="338">
        <f t="shared" si="106"/>
        <v>661.63</v>
      </c>
      <c r="O2317" s="338"/>
    </row>
    <row r="2318" spans="1:15" hidden="1" outlineLevel="2" x14ac:dyDescent="0.35">
      <c r="A2318" s="425" t="s">
        <v>208</v>
      </c>
      <c r="B2318" s="327">
        <v>44255</v>
      </c>
      <c r="C2318" s="426" t="s">
        <v>3269</v>
      </c>
      <c r="D2318" s="427" t="s">
        <v>11184</v>
      </c>
      <c r="E2318" s="426" t="s">
        <v>10464</v>
      </c>
      <c r="F2318" s="338">
        <v>3906.61</v>
      </c>
      <c r="G2318" s="338" t="s">
        <v>56</v>
      </c>
      <c r="H2318" s="338"/>
      <c r="I2318" s="329">
        <v>3906.61</v>
      </c>
      <c r="J2318" s="329"/>
      <c r="K2318" s="338">
        <f t="shared" si="106"/>
        <v>976.65250000000003</v>
      </c>
      <c r="L2318" s="338">
        <f t="shared" si="106"/>
        <v>976.65250000000003</v>
      </c>
      <c r="M2318" s="338">
        <f t="shared" si="106"/>
        <v>976.65250000000003</v>
      </c>
      <c r="N2318" s="338">
        <f t="shared" si="106"/>
        <v>976.65250000000003</v>
      </c>
      <c r="O2318" s="338"/>
    </row>
    <row r="2319" spans="1:15" hidden="1" outlineLevel="2" x14ac:dyDescent="0.35">
      <c r="A2319" s="425" t="s">
        <v>208</v>
      </c>
      <c r="B2319" s="327">
        <v>44286</v>
      </c>
      <c r="C2319" s="426" t="s">
        <v>3271</v>
      </c>
      <c r="D2319" s="427" t="s">
        <v>11185</v>
      </c>
      <c r="E2319" s="426" t="s">
        <v>10464</v>
      </c>
      <c r="F2319" s="338">
        <v>3906.61</v>
      </c>
      <c r="G2319" s="338" t="s">
        <v>56</v>
      </c>
      <c r="H2319" s="338"/>
      <c r="I2319" s="329">
        <v>3906.61</v>
      </c>
      <c r="J2319" s="329"/>
      <c r="K2319" s="338">
        <f t="shared" si="106"/>
        <v>976.65250000000003</v>
      </c>
      <c r="L2319" s="338">
        <f t="shared" si="106"/>
        <v>976.65250000000003</v>
      </c>
      <c r="M2319" s="338">
        <f t="shared" si="106"/>
        <v>976.65250000000003</v>
      </c>
      <c r="N2319" s="338">
        <f t="shared" si="106"/>
        <v>976.65250000000003</v>
      </c>
      <c r="O2319" s="338"/>
    </row>
    <row r="2320" spans="1:15" hidden="1" outlineLevel="2" x14ac:dyDescent="0.35">
      <c r="A2320" s="425" t="s">
        <v>208</v>
      </c>
      <c r="B2320" s="327">
        <v>44316</v>
      </c>
      <c r="C2320" s="426" t="s">
        <v>3273</v>
      </c>
      <c r="D2320" s="427" t="s">
        <v>11186</v>
      </c>
      <c r="E2320" s="426" t="s">
        <v>10464</v>
      </c>
      <c r="F2320" s="338">
        <v>4206.6099999999997</v>
      </c>
      <c r="G2320" s="338" t="s">
        <v>56</v>
      </c>
      <c r="H2320" s="338"/>
      <c r="I2320" s="329">
        <v>4206.6099999999997</v>
      </c>
      <c r="J2320" s="329"/>
      <c r="K2320" s="338">
        <f t="shared" si="106"/>
        <v>1051.6524999999999</v>
      </c>
      <c r="L2320" s="338">
        <f t="shared" si="106"/>
        <v>1051.6524999999999</v>
      </c>
      <c r="M2320" s="338">
        <f t="shared" si="106"/>
        <v>1051.6524999999999</v>
      </c>
      <c r="N2320" s="338">
        <f t="shared" si="106"/>
        <v>1051.6524999999999</v>
      </c>
      <c r="O2320" s="338"/>
    </row>
    <row r="2321" spans="1:15" hidden="1" outlineLevel="2" x14ac:dyDescent="0.35">
      <c r="A2321" s="425" t="s">
        <v>208</v>
      </c>
      <c r="B2321" s="327">
        <v>44347</v>
      </c>
      <c r="C2321" s="426" t="s">
        <v>11187</v>
      </c>
      <c r="D2321" s="427" t="s">
        <v>11188</v>
      </c>
      <c r="E2321" s="426" t="s">
        <v>10464</v>
      </c>
      <c r="F2321" s="338">
        <v>3906.61</v>
      </c>
      <c r="G2321" s="338" t="s">
        <v>56</v>
      </c>
      <c r="H2321" s="338"/>
      <c r="I2321" s="329">
        <v>3906.61</v>
      </c>
      <c r="J2321" s="329"/>
      <c r="K2321" s="338">
        <f t="shared" si="106"/>
        <v>976.65250000000003</v>
      </c>
      <c r="L2321" s="338">
        <f t="shared" si="106"/>
        <v>976.65250000000003</v>
      </c>
      <c r="M2321" s="338">
        <f t="shared" si="106"/>
        <v>976.65250000000003</v>
      </c>
      <c r="N2321" s="338">
        <f t="shared" si="106"/>
        <v>976.65250000000003</v>
      </c>
      <c r="O2321" s="338"/>
    </row>
    <row r="2322" spans="1:15" hidden="1" outlineLevel="2" x14ac:dyDescent="0.35">
      <c r="A2322" s="425" t="s">
        <v>208</v>
      </c>
      <c r="B2322" s="327">
        <v>44377</v>
      </c>
      <c r="C2322" s="426" t="s">
        <v>11145</v>
      </c>
      <c r="D2322" s="427" t="s">
        <v>11189</v>
      </c>
      <c r="E2322" s="426" t="s">
        <v>10464</v>
      </c>
      <c r="F2322" s="338">
        <v>3906.61</v>
      </c>
      <c r="G2322" s="338" t="s">
        <v>56</v>
      </c>
      <c r="H2322" s="338"/>
      <c r="I2322" s="329">
        <v>3906.61</v>
      </c>
      <c r="J2322" s="329"/>
      <c r="K2322" s="338">
        <f t="shared" si="106"/>
        <v>976.65250000000003</v>
      </c>
      <c r="L2322" s="338">
        <f t="shared" si="106"/>
        <v>976.65250000000003</v>
      </c>
      <c r="M2322" s="338">
        <f t="shared" si="106"/>
        <v>976.65250000000003</v>
      </c>
      <c r="N2322" s="338">
        <f t="shared" si="106"/>
        <v>976.65250000000003</v>
      </c>
      <c r="O2322" s="338"/>
    </row>
    <row r="2323" spans="1:15" hidden="1" outlineLevel="2" x14ac:dyDescent="0.35">
      <c r="A2323" s="425" t="s">
        <v>208</v>
      </c>
      <c r="B2323" s="327">
        <v>44227</v>
      </c>
      <c r="C2323" s="426" t="s">
        <v>3275</v>
      </c>
      <c r="D2323" s="427" t="s">
        <v>11190</v>
      </c>
      <c r="E2323" s="426" t="s">
        <v>11090</v>
      </c>
      <c r="F2323" s="338">
        <v>1104.6300000000001</v>
      </c>
      <c r="G2323" s="338" t="s">
        <v>56</v>
      </c>
      <c r="H2323" s="338"/>
      <c r="I2323" s="329">
        <v>1104.6300000000001</v>
      </c>
      <c r="J2323" s="329"/>
      <c r="K2323" s="338">
        <f t="shared" si="106"/>
        <v>276.15750000000003</v>
      </c>
      <c r="L2323" s="338">
        <f t="shared" si="106"/>
        <v>276.15750000000003</v>
      </c>
      <c r="M2323" s="338">
        <f t="shared" si="106"/>
        <v>276.15750000000003</v>
      </c>
      <c r="N2323" s="338">
        <f t="shared" si="106"/>
        <v>276.15750000000003</v>
      </c>
      <c r="O2323" s="338"/>
    </row>
    <row r="2324" spans="1:15" hidden="1" outlineLevel="2" x14ac:dyDescent="0.35">
      <c r="A2324" s="425" t="s">
        <v>208</v>
      </c>
      <c r="B2324" s="327">
        <v>44255</v>
      </c>
      <c r="C2324" s="426" t="s">
        <v>3277</v>
      </c>
      <c r="D2324" s="427" t="s">
        <v>11191</v>
      </c>
      <c r="E2324" s="426" t="s">
        <v>11090</v>
      </c>
      <c r="F2324" s="338">
        <v>6977.15</v>
      </c>
      <c r="G2324" s="338" t="s">
        <v>56</v>
      </c>
      <c r="H2324" s="338"/>
      <c r="I2324" s="329">
        <v>6977.15</v>
      </c>
      <c r="J2324" s="329"/>
      <c r="K2324" s="338">
        <f t="shared" si="106"/>
        <v>1744.2874999999999</v>
      </c>
      <c r="L2324" s="338">
        <f t="shared" si="106"/>
        <v>1744.2874999999999</v>
      </c>
      <c r="M2324" s="338">
        <f t="shared" si="106"/>
        <v>1744.2874999999999</v>
      </c>
      <c r="N2324" s="338">
        <f t="shared" si="106"/>
        <v>1744.2874999999999</v>
      </c>
      <c r="O2324" s="338"/>
    </row>
    <row r="2325" spans="1:15" hidden="1" outlineLevel="2" x14ac:dyDescent="0.35">
      <c r="A2325" s="425" t="s">
        <v>208</v>
      </c>
      <c r="B2325" s="327">
        <v>44561</v>
      </c>
      <c r="C2325" s="426" t="s">
        <v>3287</v>
      </c>
      <c r="D2325" s="427" t="s">
        <v>11192</v>
      </c>
      <c r="E2325" s="426" t="s">
        <v>11090</v>
      </c>
      <c r="F2325" s="338">
        <v>62.34</v>
      </c>
      <c r="G2325" s="338" t="s">
        <v>56</v>
      </c>
      <c r="H2325" s="338"/>
      <c r="I2325" s="329">
        <v>62.34</v>
      </c>
      <c r="J2325" s="329"/>
      <c r="K2325" s="338">
        <f t="shared" si="106"/>
        <v>15.585000000000001</v>
      </c>
      <c r="L2325" s="338">
        <f t="shared" si="106"/>
        <v>15.585000000000001</v>
      </c>
      <c r="M2325" s="338">
        <f t="shared" si="106"/>
        <v>15.585000000000001</v>
      </c>
      <c r="N2325" s="338">
        <f t="shared" si="106"/>
        <v>15.585000000000001</v>
      </c>
      <c r="O2325" s="338"/>
    </row>
    <row r="2326" spans="1:15" hidden="1" outlineLevel="2" x14ac:dyDescent="0.35">
      <c r="A2326" s="425" t="s">
        <v>208</v>
      </c>
      <c r="B2326" s="327">
        <v>44561</v>
      </c>
      <c r="C2326" s="426" t="s">
        <v>3287</v>
      </c>
      <c r="D2326" s="427" t="s">
        <v>11193</v>
      </c>
      <c r="E2326" s="426" t="s">
        <v>10464</v>
      </c>
      <c r="F2326" s="338">
        <v>365.76</v>
      </c>
      <c r="G2326" s="338" t="s">
        <v>56</v>
      </c>
      <c r="H2326" s="338"/>
      <c r="I2326" s="329">
        <v>365.76</v>
      </c>
      <c r="J2326" s="329"/>
      <c r="K2326" s="338">
        <f t="shared" si="106"/>
        <v>91.44</v>
      </c>
      <c r="L2326" s="338">
        <f t="shared" si="106"/>
        <v>91.44</v>
      </c>
      <c r="M2326" s="338">
        <f t="shared" si="106"/>
        <v>91.44</v>
      </c>
      <c r="N2326" s="338">
        <f t="shared" si="106"/>
        <v>91.44</v>
      </c>
      <c r="O2326" s="338"/>
    </row>
    <row r="2327" spans="1:15" hidden="1" outlineLevel="2" x14ac:dyDescent="0.35">
      <c r="A2327" s="425" t="s">
        <v>208</v>
      </c>
      <c r="B2327" s="327">
        <v>44238</v>
      </c>
      <c r="C2327" s="426" t="s">
        <v>3246</v>
      </c>
      <c r="D2327" s="427" t="s">
        <v>11194</v>
      </c>
      <c r="E2327" s="426" t="s">
        <v>3210</v>
      </c>
      <c r="F2327" s="338">
        <v>405.78</v>
      </c>
      <c r="G2327" s="338" t="s">
        <v>56</v>
      </c>
      <c r="H2327" s="338"/>
      <c r="I2327" s="329">
        <v>405.78</v>
      </c>
      <c r="J2327" s="329"/>
      <c r="K2327" s="338">
        <f t="shared" si="106"/>
        <v>101.44499999999999</v>
      </c>
      <c r="L2327" s="338">
        <f t="shared" si="106"/>
        <v>101.44499999999999</v>
      </c>
      <c r="M2327" s="338">
        <f t="shared" si="106"/>
        <v>101.44499999999999</v>
      </c>
      <c r="N2327" s="338">
        <f t="shared" si="106"/>
        <v>101.44499999999999</v>
      </c>
      <c r="O2327" s="338"/>
    </row>
    <row r="2328" spans="1:15" hidden="1" outlineLevel="2" x14ac:dyDescent="0.35">
      <c r="A2328" s="425" t="s">
        <v>208</v>
      </c>
      <c r="B2328" s="327">
        <v>44238</v>
      </c>
      <c r="C2328" s="426" t="s">
        <v>3246</v>
      </c>
      <c r="D2328" s="427" t="s">
        <v>11195</v>
      </c>
      <c r="E2328" s="426" t="s">
        <v>3210</v>
      </c>
      <c r="F2328" s="338">
        <v>409.89</v>
      </c>
      <c r="G2328" s="338" t="s">
        <v>56</v>
      </c>
      <c r="H2328" s="338"/>
      <c r="I2328" s="329">
        <v>409.89</v>
      </c>
      <c r="J2328" s="329"/>
      <c r="K2328" s="338">
        <f t="shared" ref="K2328:N2347" si="107">$I2328/4</f>
        <v>102.4725</v>
      </c>
      <c r="L2328" s="338">
        <f t="shared" si="107"/>
        <v>102.4725</v>
      </c>
      <c r="M2328" s="338">
        <f t="shared" si="107"/>
        <v>102.4725</v>
      </c>
      <c r="N2328" s="338">
        <f t="shared" si="107"/>
        <v>102.4725</v>
      </c>
      <c r="O2328" s="338"/>
    </row>
    <row r="2329" spans="1:15" hidden="1" outlineLevel="2" x14ac:dyDescent="0.35">
      <c r="A2329" s="425" t="s">
        <v>208</v>
      </c>
      <c r="B2329" s="327">
        <v>43922</v>
      </c>
      <c r="C2329" s="426" t="s">
        <v>3225</v>
      </c>
      <c r="D2329" s="427" t="s">
        <v>11196</v>
      </c>
      <c r="E2329" s="426" t="s">
        <v>3210</v>
      </c>
      <c r="F2329" s="338">
        <v>410.13</v>
      </c>
      <c r="G2329" s="338" t="s">
        <v>56</v>
      </c>
      <c r="H2329" s="338"/>
      <c r="I2329" s="329">
        <v>410.13</v>
      </c>
      <c r="J2329" s="329"/>
      <c r="K2329" s="338">
        <f t="shared" si="107"/>
        <v>102.5325</v>
      </c>
      <c r="L2329" s="338">
        <f t="shared" si="107"/>
        <v>102.5325</v>
      </c>
      <c r="M2329" s="338">
        <f t="shared" si="107"/>
        <v>102.5325</v>
      </c>
      <c r="N2329" s="338">
        <f t="shared" si="107"/>
        <v>102.5325</v>
      </c>
      <c r="O2329" s="338"/>
    </row>
    <row r="2330" spans="1:15" hidden="1" outlineLevel="2" x14ac:dyDescent="0.35">
      <c r="A2330" s="425" t="s">
        <v>208</v>
      </c>
      <c r="B2330" s="327">
        <v>43931</v>
      </c>
      <c r="C2330" s="426" t="s">
        <v>3227</v>
      </c>
      <c r="D2330" s="427" t="s">
        <v>11197</v>
      </c>
      <c r="E2330" s="426" t="s">
        <v>3210</v>
      </c>
      <c r="F2330" s="338">
        <v>410.13</v>
      </c>
      <c r="G2330" s="338" t="s">
        <v>56</v>
      </c>
      <c r="H2330" s="338"/>
      <c r="I2330" s="329">
        <v>410.13</v>
      </c>
      <c r="J2330" s="329"/>
      <c r="K2330" s="338">
        <f t="shared" si="107"/>
        <v>102.5325</v>
      </c>
      <c r="L2330" s="338">
        <f t="shared" si="107"/>
        <v>102.5325</v>
      </c>
      <c r="M2330" s="338">
        <f t="shared" si="107"/>
        <v>102.5325</v>
      </c>
      <c r="N2330" s="338">
        <f t="shared" si="107"/>
        <v>102.5325</v>
      </c>
      <c r="O2330" s="338"/>
    </row>
    <row r="2331" spans="1:15" hidden="1" outlineLevel="2" x14ac:dyDescent="0.35">
      <c r="A2331" s="425" t="s">
        <v>208</v>
      </c>
      <c r="B2331" s="327">
        <v>44013</v>
      </c>
      <c r="C2331" s="426" t="s">
        <v>3231</v>
      </c>
      <c r="D2331" s="427" t="s">
        <v>11198</v>
      </c>
      <c r="E2331" s="426" t="s">
        <v>3210</v>
      </c>
      <c r="F2331" s="338">
        <v>410.13</v>
      </c>
      <c r="G2331" s="338" t="s">
        <v>56</v>
      </c>
      <c r="H2331" s="338"/>
      <c r="I2331" s="329">
        <v>410.13</v>
      </c>
      <c r="J2331" s="329"/>
      <c r="K2331" s="338">
        <f t="shared" si="107"/>
        <v>102.5325</v>
      </c>
      <c r="L2331" s="338">
        <f t="shared" si="107"/>
        <v>102.5325</v>
      </c>
      <c r="M2331" s="338">
        <f t="shared" si="107"/>
        <v>102.5325</v>
      </c>
      <c r="N2331" s="338">
        <f t="shared" si="107"/>
        <v>102.5325</v>
      </c>
      <c r="O2331" s="338"/>
    </row>
    <row r="2332" spans="1:15" hidden="1" outlineLevel="2" x14ac:dyDescent="0.35">
      <c r="A2332" s="425" t="s">
        <v>208</v>
      </c>
      <c r="B2332" s="327">
        <v>44025</v>
      </c>
      <c r="C2332" s="426" t="s">
        <v>3239</v>
      </c>
      <c r="D2332" s="427" t="s">
        <v>11199</v>
      </c>
      <c r="E2332" s="426" t="s">
        <v>3210</v>
      </c>
      <c r="F2332" s="338">
        <v>409.52</v>
      </c>
      <c r="G2332" s="338" t="s">
        <v>56</v>
      </c>
      <c r="H2332" s="338"/>
      <c r="I2332" s="329">
        <v>409.52</v>
      </c>
      <c r="J2332" s="329"/>
      <c r="K2332" s="338">
        <f t="shared" si="107"/>
        <v>102.38</v>
      </c>
      <c r="L2332" s="338">
        <f t="shared" si="107"/>
        <v>102.38</v>
      </c>
      <c r="M2332" s="338">
        <f t="shared" si="107"/>
        <v>102.38</v>
      </c>
      <c r="N2332" s="338">
        <f t="shared" si="107"/>
        <v>102.38</v>
      </c>
      <c r="O2332" s="338"/>
    </row>
    <row r="2333" spans="1:15" hidden="1" outlineLevel="2" x14ac:dyDescent="0.35">
      <c r="A2333" s="425" t="s">
        <v>208</v>
      </c>
      <c r="B2333" s="327">
        <v>44111</v>
      </c>
      <c r="C2333" s="426" t="s">
        <v>3237</v>
      </c>
      <c r="D2333" s="427" t="s">
        <v>11200</v>
      </c>
      <c r="E2333" s="426" t="s">
        <v>3210</v>
      </c>
      <c r="F2333" s="338">
        <v>409.63</v>
      </c>
      <c r="G2333" s="338" t="s">
        <v>56</v>
      </c>
      <c r="H2333" s="338"/>
      <c r="I2333" s="329">
        <v>409.63</v>
      </c>
      <c r="J2333" s="329"/>
      <c r="K2333" s="338">
        <f t="shared" si="107"/>
        <v>102.4075</v>
      </c>
      <c r="L2333" s="338">
        <f t="shared" si="107"/>
        <v>102.4075</v>
      </c>
      <c r="M2333" s="338">
        <f t="shared" si="107"/>
        <v>102.4075</v>
      </c>
      <c r="N2333" s="338">
        <f t="shared" si="107"/>
        <v>102.4075</v>
      </c>
      <c r="O2333" s="338"/>
    </row>
    <row r="2334" spans="1:15" hidden="1" outlineLevel="2" x14ac:dyDescent="0.35">
      <c r="A2334" s="425" t="s">
        <v>208</v>
      </c>
      <c r="B2334" s="327">
        <v>44111</v>
      </c>
      <c r="C2334" s="426" t="s">
        <v>3208</v>
      </c>
      <c r="D2334" s="427" t="s">
        <v>11201</v>
      </c>
      <c r="E2334" s="426" t="s">
        <v>3210</v>
      </c>
      <c r="F2334" s="338">
        <v>409.52</v>
      </c>
      <c r="G2334" s="338" t="s">
        <v>56</v>
      </c>
      <c r="H2334" s="338"/>
      <c r="I2334" s="329">
        <v>409.52</v>
      </c>
      <c r="J2334" s="329"/>
      <c r="K2334" s="338">
        <f t="shared" si="107"/>
        <v>102.38</v>
      </c>
      <c r="L2334" s="338">
        <f t="shared" si="107"/>
        <v>102.38</v>
      </c>
      <c r="M2334" s="338">
        <f t="shared" si="107"/>
        <v>102.38</v>
      </c>
      <c r="N2334" s="338">
        <f t="shared" si="107"/>
        <v>102.38</v>
      </c>
      <c r="O2334" s="338"/>
    </row>
    <row r="2335" spans="1:15" hidden="1" outlineLevel="2" x14ac:dyDescent="0.35">
      <c r="A2335" s="425" t="s">
        <v>208</v>
      </c>
      <c r="B2335" s="327">
        <v>44116</v>
      </c>
      <c r="C2335" s="426" t="s">
        <v>3235</v>
      </c>
      <c r="D2335" s="427" t="s">
        <v>11202</v>
      </c>
      <c r="E2335" s="426" t="s">
        <v>3210</v>
      </c>
      <c r="F2335" s="338">
        <v>409.63</v>
      </c>
      <c r="G2335" s="338" t="s">
        <v>56</v>
      </c>
      <c r="H2335" s="338"/>
      <c r="I2335" s="329">
        <v>409.63</v>
      </c>
      <c r="J2335" s="329"/>
      <c r="K2335" s="338">
        <f t="shared" si="107"/>
        <v>102.4075</v>
      </c>
      <c r="L2335" s="338">
        <f t="shared" si="107"/>
        <v>102.4075</v>
      </c>
      <c r="M2335" s="338">
        <f t="shared" si="107"/>
        <v>102.4075</v>
      </c>
      <c r="N2335" s="338">
        <f t="shared" si="107"/>
        <v>102.4075</v>
      </c>
      <c r="O2335" s="338"/>
    </row>
    <row r="2336" spans="1:15" hidden="1" outlineLevel="2" x14ac:dyDescent="0.35">
      <c r="A2336" s="425" t="s">
        <v>208</v>
      </c>
      <c r="B2336" s="327">
        <v>44264</v>
      </c>
      <c r="C2336" s="426" t="s">
        <v>11203</v>
      </c>
      <c r="D2336" s="427" t="s">
        <v>11204</v>
      </c>
      <c r="E2336" s="426" t="s">
        <v>3210</v>
      </c>
      <c r="F2336" s="338">
        <v>409.89</v>
      </c>
      <c r="G2336" s="338" t="s">
        <v>56</v>
      </c>
      <c r="H2336" s="338"/>
      <c r="I2336" s="329">
        <v>409.89</v>
      </c>
      <c r="J2336" s="329"/>
      <c r="K2336" s="338">
        <f t="shared" si="107"/>
        <v>102.4725</v>
      </c>
      <c r="L2336" s="338">
        <f t="shared" si="107"/>
        <v>102.4725</v>
      </c>
      <c r="M2336" s="338">
        <f t="shared" si="107"/>
        <v>102.4725</v>
      </c>
      <c r="N2336" s="338">
        <f t="shared" si="107"/>
        <v>102.4725</v>
      </c>
      <c r="O2336" s="338"/>
    </row>
    <row r="2337" spans="1:15" hidden="1" outlineLevel="2" x14ac:dyDescent="0.35">
      <c r="A2337" s="425" t="s">
        <v>208</v>
      </c>
      <c r="B2337" s="327">
        <v>43861</v>
      </c>
      <c r="C2337" s="426" t="s">
        <v>3217</v>
      </c>
      <c r="D2337" s="427" t="s">
        <v>11205</v>
      </c>
      <c r="E2337" s="426" t="s">
        <v>3210</v>
      </c>
      <c r="F2337" s="338">
        <v>410.13</v>
      </c>
      <c r="G2337" s="338" t="s">
        <v>56</v>
      </c>
      <c r="H2337" s="338"/>
      <c r="I2337" s="329">
        <v>410.13</v>
      </c>
      <c r="J2337" s="329"/>
      <c r="K2337" s="338">
        <f t="shared" si="107"/>
        <v>102.5325</v>
      </c>
      <c r="L2337" s="338">
        <f t="shared" si="107"/>
        <v>102.5325</v>
      </c>
      <c r="M2337" s="338">
        <f t="shared" si="107"/>
        <v>102.5325</v>
      </c>
      <c r="N2337" s="338">
        <f t="shared" si="107"/>
        <v>102.5325</v>
      </c>
      <c r="O2337" s="338"/>
    </row>
    <row r="2338" spans="1:15" hidden="1" outlineLevel="2" x14ac:dyDescent="0.35">
      <c r="A2338" s="425" t="s">
        <v>208</v>
      </c>
      <c r="B2338" s="327">
        <v>43862</v>
      </c>
      <c r="C2338" s="426" t="s">
        <v>3219</v>
      </c>
      <c r="D2338" s="427" t="s">
        <v>11206</v>
      </c>
      <c r="E2338" s="426" t="s">
        <v>3210</v>
      </c>
      <c r="F2338" s="338">
        <v>410.13</v>
      </c>
      <c r="G2338" s="338" t="s">
        <v>56</v>
      </c>
      <c r="H2338" s="338"/>
      <c r="I2338" s="329">
        <v>410.13</v>
      </c>
      <c r="J2338" s="329"/>
      <c r="K2338" s="338">
        <f t="shared" si="107"/>
        <v>102.5325</v>
      </c>
      <c r="L2338" s="338">
        <f t="shared" si="107"/>
        <v>102.5325</v>
      </c>
      <c r="M2338" s="338">
        <f t="shared" si="107"/>
        <v>102.5325</v>
      </c>
      <c r="N2338" s="338">
        <f t="shared" si="107"/>
        <v>102.5325</v>
      </c>
      <c r="O2338" s="338"/>
    </row>
    <row r="2339" spans="1:15" hidden="1" outlineLevel="2" x14ac:dyDescent="0.35">
      <c r="A2339" s="425" t="s">
        <v>208</v>
      </c>
      <c r="B2339" s="327">
        <v>43921</v>
      </c>
      <c r="C2339" s="426" t="s">
        <v>3221</v>
      </c>
      <c r="D2339" s="427" t="s">
        <v>11207</v>
      </c>
      <c r="E2339" s="426" t="s">
        <v>3210</v>
      </c>
      <c r="F2339" s="338">
        <v>410.13</v>
      </c>
      <c r="G2339" s="338" t="s">
        <v>56</v>
      </c>
      <c r="H2339" s="338"/>
      <c r="I2339" s="329">
        <v>410.13</v>
      </c>
      <c r="J2339" s="329"/>
      <c r="K2339" s="338">
        <f t="shared" si="107"/>
        <v>102.5325</v>
      </c>
      <c r="L2339" s="338">
        <f t="shared" si="107"/>
        <v>102.5325</v>
      </c>
      <c r="M2339" s="338">
        <f t="shared" si="107"/>
        <v>102.5325</v>
      </c>
      <c r="N2339" s="338">
        <f t="shared" si="107"/>
        <v>102.5325</v>
      </c>
      <c r="O2339" s="338"/>
    </row>
    <row r="2340" spans="1:15" hidden="1" outlineLevel="2" x14ac:dyDescent="0.35">
      <c r="A2340" s="425" t="s">
        <v>208</v>
      </c>
      <c r="B2340" s="327">
        <v>43983</v>
      </c>
      <c r="C2340" s="426" t="s">
        <v>3229</v>
      </c>
      <c r="D2340" s="427" t="s">
        <v>11208</v>
      </c>
      <c r="E2340" s="426" t="s">
        <v>3210</v>
      </c>
      <c r="F2340" s="338">
        <v>410.13</v>
      </c>
      <c r="G2340" s="338" t="s">
        <v>56</v>
      </c>
      <c r="H2340" s="338"/>
      <c r="I2340" s="329">
        <v>410.13</v>
      </c>
      <c r="J2340" s="329"/>
      <c r="K2340" s="338">
        <f t="shared" si="107"/>
        <v>102.5325</v>
      </c>
      <c r="L2340" s="338">
        <f t="shared" si="107"/>
        <v>102.5325</v>
      </c>
      <c r="M2340" s="338">
        <f t="shared" si="107"/>
        <v>102.5325</v>
      </c>
      <c r="N2340" s="338">
        <f t="shared" si="107"/>
        <v>102.5325</v>
      </c>
      <c r="O2340" s="338"/>
    </row>
    <row r="2341" spans="1:15" hidden="1" outlineLevel="2" x14ac:dyDescent="0.35">
      <c r="A2341" s="425" t="s">
        <v>208</v>
      </c>
      <c r="B2341" s="327">
        <v>43997</v>
      </c>
      <c r="C2341" s="426" t="s">
        <v>3233</v>
      </c>
      <c r="D2341" s="427" t="s">
        <v>11209</v>
      </c>
      <c r="E2341" s="426" t="s">
        <v>3210</v>
      </c>
      <c r="F2341" s="338">
        <v>409.52</v>
      </c>
      <c r="G2341" s="338" t="s">
        <v>56</v>
      </c>
      <c r="H2341" s="338"/>
      <c r="I2341" s="329">
        <v>409.52</v>
      </c>
      <c r="J2341" s="329"/>
      <c r="K2341" s="338">
        <f t="shared" si="107"/>
        <v>102.38</v>
      </c>
      <c r="L2341" s="338">
        <f t="shared" si="107"/>
        <v>102.38</v>
      </c>
      <c r="M2341" s="338">
        <f t="shared" si="107"/>
        <v>102.38</v>
      </c>
      <c r="N2341" s="338">
        <f t="shared" si="107"/>
        <v>102.38</v>
      </c>
      <c r="O2341" s="338"/>
    </row>
    <row r="2342" spans="1:15" hidden="1" outlineLevel="2" x14ac:dyDescent="0.35">
      <c r="A2342" s="425" t="s">
        <v>208</v>
      </c>
      <c r="B2342" s="327">
        <v>44196</v>
      </c>
      <c r="C2342" s="426" t="s">
        <v>11210</v>
      </c>
      <c r="D2342" s="427" t="s">
        <v>11211</v>
      </c>
      <c r="E2342" s="426" t="s">
        <v>3210</v>
      </c>
      <c r="F2342" s="338">
        <v>-409.52</v>
      </c>
      <c r="G2342" s="338" t="s">
        <v>56</v>
      </c>
      <c r="H2342" s="338"/>
      <c r="I2342" s="329">
        <v>-409.52</v>
      </c>
      <c r="J2342" s="329"/>
      <c r="K2342" s="338">
        <f t="shared" si="107"/>
        <v>-102.38</v>
      </c>
      <c r="L2342" s="338">
        <f t="shared" si="107"/>
        <v>-102.38</v>
      </c>
      <c r="M2342" s="338">
        <f t="shared" si="107"/>
        <v>-102.38</v>
      </c>
      <c r="N2342" s="338">
        <f t="shared" si="107"/>
        <v>-102.38</v>
      </c>
      <c r="O2342" s="338"/>
    </row>
    <row r="2343" spans="1:15" hidden="1" outlineLevel="2" x14ac:dyDescent="0.35">
      <c r="A2343" s="425" t="s">
        <v>208</v>
      </c>
      <c r="B2343" s="327">
        <v>44256</v>
      </c>
      <c r="C2343" s="426" t="s">
        <v>3211</v>
      </c>
      <c r="D2343" s="427" t="s">
        <v>11212</v>
      </c>
      <c r="E2343" s="426" t="s">
        <v>3210</v>
      </c>
      <c r="F2343" s="338">
        <v>405.78</v>
      </c>
      <c r="G2343" s="338" t="s">
        <v>56</v>
      </c>
      <c r="H2343" s="338"/>
      <c r="I2343" s="329">
        <v>405.78</v>
      </c>
      <c r="J2343" s="329"/>
      <c r="K2343" s="338">
        <f t="shared" si="107"/>
        <v>101.44499999999999</v>
      </c>
      <c r="L2343" s="338">
        <f t="shared" si="107"/>
        <v>101.44499999999999</v>
      </c>
      <c r="M2343" s="338">
        <f t="shared" si="107"/>
        <v>101.44499999999999</v>
      </c>
      <c r="N2343" s="338">
        <f t="shared" si="107"/>
        <v>101.44499999999999</v>
      </c>
      <c r="O2343" s="338"/>
    </row>
    <row r="2344" spans="1:15" hidden="1" outlineLevel="2" x14ac:dyDescent="0.35">
      <c r="A2344" s="425" t="s">
        <v>208</v>
      </c>
      <c r="B2344" s="327">
        <v>44343</v>
      </c>
      <c r="C2344" s="426" t="s">
        <v>11213</v>
      </c>
      <c r="D2344" s="427" t="s">
        <v>11214</v>
      </c>
      <c r="E2344" s="426" t="s">
        <v>10464</v>
      </c>
      <c r="F2344" s="338">
        <v>33.880000000000003</v>
      </c>
      <c r="G2344" s="338" t="s">
        <v>56</v>
      </c>
      <c r="H2344" s="338"/>
      <c r="I2344" s="329">
        <v>33.880000000000003</v>
      </c>
      <c r="J2344" s="329"/>
      <c r="K2344" s="338">
        <f t="shared" si="107"/>
        <v>8.4700000000000006</v>
      </c>
      <c r="L2344" s="338">
        <f t="shared" si="107"/>
        <v>8.4700000000000006</v>
      </c>
      <c r="M2344" s="338">
        <f t="shared" si="107"/>
        <v>8.4700000000000006</v>
      </c>
      <c r="N2344" s="338">
        <f t="shared" si="107"/>
        <v>8.4700000000000006</v>
      </c>
      <c r="O2344" s="338"/>
    </row>
    <row r="2345" spans="1:15" hidden="1" outlineLevel="2" x14ac:dyDescent="0.35">
      <c r="A2345" s="425" t="s">
        <v>208</v>
      </c>
      <c r="B2345" s="327">
        <v>44561</v>
      </c>
      <c r="C2345" s="426" t="s">
        <v>11215</v>
      </c>
      <c r="D2345" s="427" t="s">
        <v>11216</v>
      </c>
      <c r="E2345" s="426" t="s">
        <v>10464</v>
      </c>
      <c r="F2345" s="338">
        <v>33.880000000000003</v>
      </c>
      <c r="G2345" s="338" t="s">
        <v>56</v>
      </c>
      <c r="H2345" s="338"/>
      <c r="I2345" s="329">
        <v>33.880000000000003</v>
      </c>
      <c r="J2345" s="329"/>
      <c r="K2345" s="338">
        <f t="shared" si="107"/>
        <v>8.4700000000000006</v>
      </c>
      <c r="L2345" s="338">
        <f t="shared" si="107"/>
        <v>8.4700000000000006</v>
      </c>
      <c r="M2345" s="338">
        <f t="shared" si="107"/>
        <v>8.4700000000000006</v>
      </c>
      <c r="N2345" s="338">
        <f t="shared" si="107"/>
        <v>8.4700000000000006</v>
      </c>
      <c r="O2345" s="338"/>
    </row>
    <row r="2346" spans="1:15" hidden="1" outlineLevel="2" x14ac:dyDescent="0.35">
      <c r="A2346" s="425" t="s">
        <v>208</v>
      </c>
      <c r="B2346" s="327">
        <v>43951</v>
      </c>
      <c r="C2346" s="426" t="s">
        <v>3177</v>
      </c>
      <c r="D2346" s="427" t="s">
        <v>11217</v>
      </c>
      <c r="E2346" s="426" t="s">
        <v>11090</v>
      </c>
      <c r="F2346" s="338">
        <v>3560.16</v>
      </c>
      <c r="G2346" s="338" t="s">
        <v>56</v>
      </c>
      <c r="H2346" s="338"/>
      <c r="I2346" s="329">
        <v>3560.16</v>
      </c>
      <c r="J2346" s="329"/>
      <c r="K2346" s="338">
        <f t="shared" si="107"/>
        <v>890.04</v>
      </c>
      <c r="L2346" s="338">
        <f t="shared" si="107"/>
        <v>890.04</v>
      </c>
      <c r="M2346" s="338">
        <f t="shared" si="107"/>
        <v>890.04</v>
      </c>
      <c r="N2346" s="338">
        <f t="shared" si="107"/>
        <v>890.04</v>
      </c>
      <c r="O2346" s="338"/>
    </row>
    <row r="2347" spans="1:15" hidden="1" outlineLevel="2" x14ac:dyDescent="0.35">
      <c r="A2347" s="425" t="s">
        <v>208</v>
      </c>
      <c r="B2347" s="327">
        <v>43890</v>
      </c>
      <c r="C2347" s="426" t="s">
        <v>3173</v>
      </c>
      <c r="D2347" s="427" t="s">
        <v>11218</v>
      </c>
      <c r="E2347" s="426" t="s">
        <v>11137</v>
      </c>
      <c r="F2347" s="338">
        <v>19.5</v>
      </c>
      <c r="G2347" s="338" t="s">
        <v>56</v>
      </c>
      <c r="H2347" s="338"/>
      <c r="I2347" s="329">
        <v>19.5</v>
      </c>
      <c r="J2347" s="329"/>
      <c r="K2347" s="338">
        <f t="shared" si="107"/>
        <v>4.875</v>
      </c>
      <c r="L2347" s="338">
        <f t="shared" si="107"/>
        <v>4.875</v>
      </c>
      <c r="M2347" s="338">
        <f t="shared" si="107"/>
        <v>4.875</v>
      </c>
      <c r="N2347" s="338">
        <f t="shared" si="107"/>
        <v>4.875</v>
      </c>
      <c r="O2347" s="338"/>
    </row>
    <row r="2348" spans="1:15" hidden="1" outlineLevel="2" x14ac:dyDescent="0.35">
      <c r="A2348" s="425" t="s">
        <v>208</v>
      </c>
      <c r="B2348" s="327">
        <v>43890</v>
      </c>
      <c r="C2348" s="426" t="s">
        <v>3173</v>
      </c>
      <c r="D2348" s="427" t="s">
        <v>11218</v>
      </c>
      <c r="E2348" s="426" t="s">
        <v>11090</v>
      </c>
      <c r="F2348" s="338">
        <v>3415.96</v>
      </c>
      <c r="G2348" s="338" t="s">
        <v>56</v>
      </c>
      <c r="H2348" s="338"/>
      <c r="I2348" s="329">
        <v>3415.96</v>
      </c>
      <c r="J2348" s="329"/>
      <c r="K2348" s="338">
        <f t="shared" ref="K2348:N2367" si="108">$I2348/4</f>
        <v>853.99</v>
      </c>
      <c r="L2348" s="338">
        <f t="shared" si="108"/>
        <v>853.99</v>
      </c>
      <c r="M2348" s="338">
        <f t="shared" si="108"/>
        <v>853.99</v>
      </c>
      <c r="N2348" s="338">
        <f t="shared" si="108"/>
        <v>853.99</v>
      </c>
      <c r="O2348" s="338"/>
    </row>
    <row r="2349" spans="1:15" hidden="1" outlineLevel="2" x14ac:dyDescent="0.35">
      <c r="A2349" s="425" t="s">
        <v>208</v>
      </c>
      <c r="B2349" s="327">
        <v>43921</v>
      </c>
      <c r="C2349" s="426" t="s">
        <v>3175</v>
      </c>
      <c r="D2349" s="427" t="s">
        <v>11219</v>
      </c>
      <c r="E2349" s="426" t="s">
        <v>11137</v>
      </c>
      <c r="F2349" s="338">
        <v>19.510000000000002</v>
      </c>
      <c r="G2349" s="338" t="s">
        <v>56</v>
      </c>
      <c r="H2349" s="338"/>
      <c r="I2349" s="329">
        <v>19.510000000000002</v>
      </c>
      <c r="J2349" s="329"/>
      <c r="K2349" s="338">
        <f t="shared" si="108"/>
        <v>4.8775000000000004</v>
      </c>
      <c r="L2349" s="338">
        <f t="shared" si="108"/>
        <v>4.8775000000000004</v>
      </c>
      <c r="M2349" s="338">
        <f t="shared" si="108"/>
        <v>4.8775000000000004</v>
      </c>
      <c r="N2349" s="338">
        <f t="shared" si="108"/>
        <v>4.8775000000000004</v>
      </c>
      <c r="O2349" s="338"/>
    </row>
    <row r="2350" spans="1:15" hidden="1" outlineLevel="2" x14ac:dyDescent="0.35">
      <c r="A2350" s="425" t="s">
        <v>208</v>
      </c>
      <c r="B2350" s="327">
        <v>43921</v>
      </c>
      <c r="C2350" s="426" t="s">
        <v>3175</v>
      </c>
      <c r="D2350" s="427" t="s">
        <v>11219</v>
      </c>
      <c r="E2350" s="426" t="s">
        <v>11090</v>
      </c>
      <c r="F2350" s="338">
        <v>3415.96</v>
      </c>
      <c r="G2350" s="338" t="s">
        <v>56</v>
      </c>
      <c r="H2350" s="338"/>
      <c r="I2350" s="329">
        <v>3415.96</v>
      </c>
      <c r="J2350" s="329"/>
      <c r="K2350" s="338">
        <f t="shared" si="108"/>
        <v>853.99</v>
      </c>
      <c r="L2350" s="338">
        <f t="shared" si="108"/>
        <v>853.99</v>
      </c>
      <c r="M2350" s="338">
        <f t="shared" si="108"/>
        <v>853.99</v>
      </c>
      <c r="N2350" s="338">
        <f t="shared" si="108"/>
        <v>853.99</v>
      </c>
      <c r="O2350" s="338"/>
    </row>
    <row r="2351" spans="1:15" hidden="1" outlineLevel="2" x14ac:dyDescent="0.35">
      <c r="A2351" s="425" t="s">
        <v>208</v>
      </c>
      <c r="B2351" s="327">
        <v>43951</v>
      </c>
      <c r="C2351" s="426" t="s">
        <v>3260</v>
      </c>
      <c r="D2351" s="427" t="s">
        <v>11220</v>
      </c>
      <c r="E2351" s="426" t="s">
        <v>11090</v>
      </c>
      <c r="F2351" s="338">
        <v>35</v>
      </c>
      <c r="G2351" s="338" t="s">
        <v>56</v>
      </c>
      <c r="H2351" s="338"/>
      <c r="I2351" s="329">
        <v>35</v>
      </c>
      <c r="J2351" s="329"/>
      <c r="K2351" s="338">
        <f t="shared" si="108"/>
        <v>8.75</v>
      </c>
      <c r="L2351" s="338">
        <f t="shared" si="108"/>
        <v>8.75</v>
      </c>
      <c r="M2351" s="338">
        <f t="shared" si="108"/>
        <v>8.75</v>
      </c>
      <c r="N2351" s="338">
        <f t="shared" si="108"/>
        <v>8.75</v>
      </c>
      <c r="O2351" s="338"/>
    </row>
    <row r="2352" spans="1:15" hidden="1" outlineLevel="2" x14ac:dyDescent="0.35">
      <c r="A2352" s="425" t="s">
        <v>208</v>
      </c>
      <c r="B2352" s="327">
        <v>43951</v>
      </c>
      <c r="C2352" s="426" t="s">
        <v>3177</v>
      </c>
      <c r="D2352" s="427" t="s">
        <v>11221</v>
      </c>
      <c r="E2352" s="426" t="s">
        <v>11137</v>
      </c>
      <c r="F2352" s="338">
        <v>19.510000000000002</v>
      </c>
      <c r="G2352" s="338" t="s">
        <v>56</v>
      </c>
      <c r="H2352" s="338"/>
      <c r="I2352" s="329">
        <v>19.510000000000002</v>
      </c>
      <c r="J2352" s="329"/>
      <c r="K2352" s="338">
        <f t="shared" si="108"/>
        <v>4.8775000000000004</v>
      </c>
      <c r="L2352" s="338">
        <f t="shared" si="108"/>
        <v>4.8775000000000004</v>
      </c>
      <c r="M2352" s="338">
        <f t="shared" si="108"/>
        <v>4.8775000000000004</v>
      </c>
      <c r="N2352" s="338">
        <f t="shared" si="108"/>
        <v>4.8775000000000004</v>
      </c>
      <c r="O2352" s="338"/>
    </row>
    <row r="2353" spans="1:15" hidden="1" outlineLevel="2" x14ac:dyDescent="0.35">
      <c r="A2353" s="425" t="s">
        <v>208</v>
      </c>
      <c r="B2353" s="327">
        <v>43982</v>
      </c>
      <c r="C2353" s="426" t="s">
        <v>3179</v>
      </c>
      <c r="D2353" s="427" t="s">
        <v>11222</v>
      </c>
      <c r="E2353" s="426" t="s">
        <v>11137</v>
      </c>
      <c r="F2353" s="338">
        <v>39.01</v>
      </c>
      <c r="G2353" s="338" t="s">
        <v>56</v>
      </c>
      <c r="H2353" s="338"/>
      <c r="I2353" s="329">
        <v>39.01</v>
      </c>
      <c r="J2353" s="329"/>
      <c r="K2353" s="338">
        <f t="shared" si="108"/>
        <v>9.7524999999999995</v>
      </c>
      <c r="L2353" s="338">
        <f t="shared" si="108"/>
        <v>9.7524999999999995</v>
      </c>
      <c r="M2353" s="338">
        <f t="shared" si="108"/>
        <v>9.7524999999999995</v>
      </c>
      <c r="N2353" s="338">
        <f t="shared" si="108"/>
        <v>9.7524999999999995</v>
      </c>
      <c r="O2353" s="338"/>
    </row>
    <row r="2354" spans="1:15" hidden="1" outlineLevel="2" x14ac:dyDescent="0.35">
      <c r="A2354" s="425" t="s">
        <v>208</v>
      </c>
      <c r="B2354" s="327">
        <v>43982</v>
      </c>
      <c r="C2354" s="426" t="s">
        <v>3179</v>
      </c>
      <c r="D2354" s="427" t="s">
        <v>11222</v>
      </c>
      <c r="E2354" s="426" t="s">
        <v>11090</v>
      </c>
      <c r="F2354" s="338">
        <v>3580.16</v>
      </c>
      <c r="G2354" s="338" t="s">
        <v>56</v>
      </c>
      <c r="H2354" s="338"/>
      <c r="I2354" s="329">
        <v>3580.16</v>
      </c>
      <c r="J2354" s="329"/>
      <c r="K2354" s="338">
        <f t="shared" si="108"/>
        <v>895.04</v>
      </c>
      <c r="L2354" s="338">
        <f t="shared" si="108"/>
        <v>895.04</v>
      </c>
      <c r="M2354" s="338">
        <f t="shared" si="108"/>
        <v>895.04</v>
      </c>
      <c r="N2354" s="338">
        <f t="shared" si="108"/>
        <v>895.04</v>
      </c>
      <c r="O2354" s="338"/>
    </row>
    <row r="2355" spans="1:15" hidden="1" outlineLevel="2" x14ac:dyDescent="0.35">
      <c r="A2355" s="425" t="s">
        <v>208</v>
      </c>
      <c r="B2355" s="327">
        <v>44012</v>
      </c>
      <c r="C2355" s="426" t="s">
        <v>3181</v>
      </c>
      <c r="D2355" s="427" t="s">
        <v>11223</v>
      </c>
      <c r="E2355" s="426" t="s">
        <v>11137</v>
      </c>
      <c r="F2355" s="338">
        <v>19.510000000000002</v>
      </c>
      <c r="G2355" s="338" t="s">
        <v>56</v>
      </c>
      <c r="H2355" s="338"/>
      <c r="I2355" s="329">
        <v>19.510000000000002</v>
      </c>
      <c r="J2355" s="329"/>
      <c r="K2355" s="338">
        <f t="shared" si="108"/>
        <v>4.8775000000000004</v>
      </c>
      <c r="L2355" s="338">
        <f t="shared" si="108"/>
        <v>4.8775000000000004</v>
      </c>
      <c r="M2355" s="338">
        <f t="shared" si="108"/>
        <v>4.8775000000000004</v>
      </c>
      <c r="N2355" s="338">
        <f t="shared" si="108"/>
        <v>4.8775000000000004</v>
      </c>
      <c r="O2355" s="338"/>
    </row>
    <row r="2356" spans="1:15" hidden="1" outlineLevel="2" x14ac:dyDescent="0.35">
      <c r="A2356" s="425" t="s">
        <v>208</v>
      </c>
      <c r="B2356" s="327">
        <v>44012</v>
      </c>
      <c r="C2356" s="426" t="s">
        <v>3181</v>
      </c>
      <c r="D2356" s="427" t="s">
        <v>11223</v>
      </c>
      <c r="E2356" s="426" t="s">
        <v>11090</v>
      </c>
      <c r="F2356" s="338">
        <v>3570.16</v>
      </c>
      <c r="G2356" s="338" t="s">
        <v>56</v>
      </c>
      <c r="H2356" s="338"/>
      <c r="I2356" s="329">
        <v>3570.16</v>
      </c>
      <c r="J2356" s="329"/>
      <c r="K2356" s="338">
        <f t="shared" si="108"/>
        <v>892.54</v>
      </c>
      <c r="L2356" s="338">
        <f t="shared" si="108"/>
        <v>892.54</v>
      </c>
      <c r="M2356" s="338">
        <f t="shared" si="108"/>
        <v>892.54</v>
      </c>
      <c r="N2356" s="338">
        <f t="shared" si="108"/>
        <v>892.54</v>
      </c>
      <c r="O2356" s="338"/>
    </row>
    <row r="2357" spans="1:15" hidden="1" outlineLevel="2" x14ac:dyDescent="0.35">
      <c r="A2357" s="425" t="s">
        <v>208</v>
      </c>
      <c r="B2357" s="327">
        <v>44043</v>
      </c>
      <c r="C2357" s="426" t="s">
        <v>3183</v>
      </c>
      <c r="D2357" s="427" t="s">
        <v>11224</v>
      </c>
      <c r="E2357" s="426" t="s">
        <v>11137</v>
      </c>
      <c r="F2357" s="338">
        <v>19.510000000000002</v>
      </c>
      <c r="G2357" s="338" t="s">
        <v>56</v>
      </c>
      <c r="H2357" s="338"/>
      <c r="I2357" s="329">
        <v>19.510000000000002</v>
      </c>
      <c r="J2357" s="329"/>
      <c r="K2357" s="338">
        <f t="shared" si="108"/>
        <v>4.8775000000000004</v>
      </c>
      <c r="L2357" s="338">
        <f t="shared" si="108"/>
        <v>4.8775000000000004</v>
      </c>
      <c r="M2357" s="338">
        <f t="shared" si="108"/>
        <v>4.8775000000000004</v>
      </c>
      <c r="N2357" s="338">
        <f t="shared" si="108"/>
        <v>4.8775000000000004</v>
      </c>
      <c r="O2357" s="338"/>
    </row>
    <row r="2358" spans="1:15" hidden="1" outlineLevel="2" x14ac:dyDescent="0.35">
      <c r="A2358" s="425" t="s">
        <v>208</v>
      </c>
      <c r="B2358" s="327">
        <v>44043</v>
      </c>
      <c r="C2358" s="426" t="s">
        <v>3183</v>
      </c>
      <c r="D2358" s="427" t="s">
        <v>11224</v>
      </c>
      <c r="E2358" s="426" t="s">
        <v>11090</v>
      </c>
      <c r="F2358" s="338">
        <v>3560.16</v>
      </c>
      <c r="G2358" s="338" t="s">
        <v>56</v>
      </c>
      <c r="H2358" s="338"/>
      <c r="I2358" s="329">
        <v>3560.16</v>
      </c>
      <c r="J2358" s="329"/>
      <c r="K2358" s="338">
        <f t="shared" si="108"/>
        <v>890.04</v>
      </c>
      <c r="L2358" s="338">
        <f t="shared" si="108"/>
        <v>890.04</v>
      </c>
      <c r="M2358" s="338">
        <f t="shared" si="108"/>
        <v>890.04</v>
      </c>
      <c r="N2358" s="338">
        <f t="shared" si="108"/>
        <v>890.04</v>
      </c>
      <c r="O2358" s="338"/>
    </row>
    <row r="2359" spans="1:15" hidden="1" outlineLevel="2" x14ac:dyDescent="0.35">
      <c r="A2359" s="425" t="s">
        <v>208</v>
      </c>
      <c r="B2359" s="327">
        <v>43921</v>
      </c>
      <c r="C2359" s="426" t="s">
        <v>11225</v>
      </c>
      <c r="D2359" s="427" t="s">
        <v>11226</v>
      </c>
      <c r="E2359" s="426" t="s">
        <v>11137</v>
      </c>
      <c r="F2359" s="338">
        <v>19.5</v>
      </c>
      <c r="G2359" s="338" t="s">
        <v>56</v>
      </c>
      <c r="H2359" s="338"/>
      <c r="I2359" s="329">
        <v>19.5</v>
      </c>
      <c r="J2359" s="329"/>
      <c r="K2359" s="338">
        <f t="shared" si="108"/>
        <v>4.875</v>
      </c>
      <c r="L2359" s="338">
        <f t="shared" si="108"/>
        <v>4.875</v>
      </c>
      <c r="M2359" s="338">
        <f t="shared" si="108"/>
        <v>4.875</v>
      </c>
      <c r="N2359" s="338">
        <f t="shared" si="108"/>
        <v>4.875</v>
      </c>
      <c r="O2359" s="338"/>
    </row>
    <row r="2360" spans="1:15" hidden="1" outlineLevel="2" x14ac:dyDescent="0.35">
      <c r="A2360" s="425" t="s">
        <v>208</v>
      </c>
      <c r="B2360" s="327">
        <v>43921</v>
      </c>
      <c r="C2360" s="426" t="s">
        <v>11225</v>
      </c>
      <c r="D2360" s="427" t="s">
        <v>11226</v>
      </c>
      <c r="E2360" s="426" t="s">
        <v>11090</v>
      </c>
      <c r="F2360" s="338">
        <v>3415.96</v>
      </c>
      <c r="G2360" s="338" t="s">
        <v>56</v>
      </c>
      <c r="H2360" s="338"/>
      <c r="I2360" s="329">
        <v>3415.96</v>
      </c>
      <c r="J2360" s="329"/>
      <c r="K2360" s="338">
        <f t="shared" si="108"/>
        <v>853.99</v>
      </c>
      <c r="L2360" s="338">
        <f t="shared" si="108"/>
        <v>853.99</v>
      </c>
      <c r="M2360" s="338">
        <f t="shared" si="108"/>
        <v>853.99</v>
      </c>
      <c r="N2360" s="338">
        <f t="shared" si="108"/>
        <v>853.99</v>
      </c>
      <c r="O2360" s="338"/>
    </row>
    <row r="2361" spans="1:15" hidden="1" outlineLevel="2" x14ac:dyDescent="0.35">
      <c r="A2361" s="425" t="s">
        <v>208</v>
      </c>
      <c r="B2361" s="327">
        <v>44503</v>
      </c>
      <c r="C2361" s="426" t="s">
        <v>11227</v>
      </c>
      <c r="D2361" s="427" t="s">
        <v>11228</v>
      </c>
      <c r="E2361" s="426" t="s">
        <v>10680</v>
      </c>
      <c r="F2361" s="338">
        <v>1403.45</v>
      </c>
      <c r="G2361" s="338" t="s">
        <v>56</v>
      </c>
      <c r="H2361" s="338"/>
      <c r="I2361" s="329">
        <v>1403.45</v>
      </c>
      <c r="J2361" s="329"/>
      <c r="K2361" s="338">
        <f t="shared" si="108"/>
        <v>350.86250000000001</v>
      </c>
      <c r="L2361" s="338">
        <f t="shared" si="108"/>
        <v>350.86250000000001</v>
      </c>
      <c r="M2361" s="338">
        <f t="shared" si="108"/>
        <v>350.86250000000001</v>
      </c>
      <c r="N2361" s="338">
        <f t="shared" si="108"/>
        <v>350.86250000000001</v>
      </c>
      <c r="O2361" s="338"/>
    </row>
    <row r="2362" spans="1:15" hidden="1" outlineLevel="2" x14ac:dyDescent="0.35">
      <c r="A2362" s="425" t="s">
        <v>208</v>
      </c>
      <c r="B2362" s="327">
        <v>44561</v>
      </c>
      <c r="C2362" s="426" t="s">
        <v>11229</v>
      </c>
      <c r="D2362" s="427" t="s">
        <v>11230</v>
      </c>
      <c r="E2362" s="426" t="s">
        <v>2839</v>
      </c>
      <c r="F2362" s="338">
        <v>10</v>
      </c>
      <c r="G2362" s="338" t="s">
        <v>56</v>
      </c>
      <c r="H2362" s="338"/>
      <c r="I2362" s="329">
        <v>10</v>
      </c>
      <c r="J2362" s="329"/>
      <c r="K2362" s="338">
        <f t="shared" si="108"/>
        <v>2.5</v>
      </c>
      <c r="L2362" s="338">
        <f t="shared" si="108"/>
        <v>2.5</v>
      </c>
      <c r="M2362" s="338">
        <f t="shared" si="108"/>
        <v>2.5</v>
      </c>
      <c r="N2362" s="338">
        <f t="shared" si="108"/>
        <v>2.5</v>
      </c>
      <c r="O2362" s="338"/>
    </row>
    <row r="2363" spans="1:15" hidden="1" outlineLevel="2" x14ac:dyDescent="0.35">
      <c r="A2363" s="425" t="s">
        <v>208</v>
      </c>
      <c r="B2363" s="327">
        <v>44561</v>
      </c>
      <c r="C2363" s="426" t="s">
        <v>11231</v>
      </c>
      <c r="D2363" s="427" t="s">
        <v>11232</v>
      </c>
      <c r="E2363" s="426" t="s">
        <v>10464</v>
      </c>
      <c r="F2363" s="338">
        <v>33.880000000000003</v>
      </c>
      <c r="G2363" s="338" t="s">
        <v>56</v>
      </c>
      <c r="H2363" s="338"/>
      <c r="I2363" s="329">
        <v>33.880000000000003</v>
      </c>
      <c r="J2363" s="329"/>
      <c r="K2363" s="338">
        <f t="shared" si="108"/>
        <v>8.4700000000000006</v>
      </c>
      <c r="L2363" s="338">
        <f t="shared" si="108"/>
        <v>8.4700000000000006</v>
      </c>
      <c r="M2363" s="338">
        <f t="shared" si="108"/>
        <v>8.4700000000000006</v>
      </c>
      <c r="N2363" s="338">
        <f t="shared" si="108"/>
        <v>8.4700000000000006</v>
      </c>
      <c r="O2363" s="338"/>
    </row>
    <row r="2364" spans="1:15" hidden="1" outlineLevel="2" x14ac:dyDescent="0.35">
      <c r="A2364" s="425" t="s">
        <v>208</v>
      </c>
      <c r="B2364" s="327">
        <v>44256</v>
      </c>
      <c r="C2364" s="426" t="s">
        <v>3211</v>
      </c>
      <c r="D2364" s="427" t="s">
        <v>11233</v>
      </c>
      <c r="E2364" s="426" t="s">
        <v>3210</v>
      </c>
      <c r="F2364" s="338">
        <v>409.89</v>
      </c>
      <c r="G2364" s="338" t="s">
        <v>56</v>
      </c>
      <c r="H2364" s="338"/>
      <c r="I2364" s="329">
        <v>409.89</v>
      </c>
      <c r="J2364" s="329"/>
      <c r="K2364" s="338">
        <f t="shared" si="108"/>
        <v>102.4725</v>
      </c>
      <c r="L2364" s="338">
        <f t="shared" si="108"/>
        <v>102.4725</v>
      </c>
      <c r="M2364" s="338">
        <f t="shared" si="108"/>
        <v>102.4725</v>
      </c>
      <c r="N2364" s="338">
        <f t="shared" si="108"/>
        <v>102.4725</v>
      </c>
      <c r="O2364" s="338"/>
    </row>
    <row r="2365" spans="1:15" hidden="1" outlineLevel="2" x14ac:dyDescent="0.35">
      <c r="A2365" s="425" t="s">
        <v>208</v>
      </c>
      <c r="B2365" s="327">
        <v>44196</v>
      </c>
      <c r="C2365" s="426" t="s">
        <v>3292</v>
      </c>
      <c r="D2365" s="427" t="s">
        <v>3293</v>
      </c>
      <c r="E2365" s="426" t="s">
        <v>3294</v>
      </c>
      <c r="F2365" s="338">
        <v>1420.45</v>
      </c>
      <c r="G2365" s="338" t="s">
        <v>56</v>
      </c>
      <c r="H2365" s="338"/>
      <c r="I2365" s="329">
        <v>1420.45</v>
      </c>
      <c r="J2365" s="329"/>
      <c r="K2365" s="338">
        <f t="shared" si="108"/>
        <v>355.11250000000001</v>
      </c>
      <c r="L2365" s="338">
        <f t="shared" si="108"/>
        <v>355.11250000000001</v>
      </c>
      <c r="M2365" s="338">
        <f t="shared" si="108"/>
        <v>355.11250000000001</v>
      </c>
      <c r="N2365" s="338">
        <f t="shared" si="108"/>
        <v>355.11250000000001</v>
      </c>
      <c r="O2365" s="338"/>
    </row>
    <row r="2366" spans="1:15" hidden="1" outlineLevel="2" x14ac:dyDescent="0.35">
      <c r="A2366" s="425" t="s">
        <v>208</v>
      </c>
      <c r="B2366" s="327">
        <v>44196</v>
      </c>
      <c r="C2366" s="426" t="s">
        <v>3295</v>
      </c>
      <c r="D2366" s="427" t="s">
        <v>3296</v>
      </c>
      <c r="E2366" s="426" t="s">
        <v>3294</v>
      </c>
      <c r="F2366" s="338">
        <v>3503.64</v>
      </c>
      <c r="G2366" s="338" t="s">
        <v>56</v>
      </c>
      <c r="H2366" s="338"/>
      <c r="I2366" s="329">
        <v>3503.64</v>
      </c>
      <c r="J2366" s="329"/>
      <c r="K2366" s="338">
        <f t="shared" si="108"/>
        <v>875.91</v>
      </c>
      <c r="L2366" s="338">
        <f t="shared" si="108"/>
        <v>875.91</v>
      </c>
      <c r="M2366" s="338">
        <f t="shared" si="108"/>
        <v>875.91</v>
      </c>
      <c r="N2366" s="338">
        <f t="shared" si="108"/>
        <v>875.91</v>
      </c>
      <c r="O2366" s="338"/>
    </row>
    <row r="2367" spans="1:15" hidden="1" outlineLevel="2" x14ac:dyDescent="0.35">
      <c r="A2367" s="425" t="s">
        <v>208</v>
      </c>
      <c r="B2367" s="327">
        <v>44561</v>
      </c>
      <c r="C2367" s="426" t="s">
        <v>11234</v>
      </c>
      <c r="D2367" s="427" t="s">
        <v>11235</v>
      </c>
      <c r="E2367" s="426" t="s">
        <v>2839</v>
      </c>
      <c r="F2367" s="338">
        <v>10</v>
      </c>
      <c r="G2367" s="338" t="s">
        <v>56</v>
      </c>
      <c r="H2367" s="338"/>
      <c r="I2367" s="329">
        <v>10</v>
      </c>
      <c r="J2367" s="329"/>
      <c r="K2367" s="338">
        <f t="shared" si="108"/>
        <v>2.5</v>
      </c>
      <c r="L2367" s="338">
        <f t="shared" si="108"/>
        <v>2.5</v>
      </c>
      <c r="M2367" s="338">
        <f t="shared" si="108"/>
        <v>2.5</v>
      </c>
      <c r="N2367" s="338">
        <f t="shared" si="108"/>
        <v>2.5</v>
      </c>
      <c r="O2367" s="338"/>
    </row>
    <row r="2368" spans="1:15" outlineLevel="1" collapsed="1" x14ac:dyDescent="0.35">
      <c r="A2368" s="432" t="s">
        <v>3311</v>
      </c>
      <c r="B2368" s="327"/>
      <c r="C2368" s="426"/>
      <c r="D2368" s="427"/>
      <c r="E2368" s="426"/>
      <c r="F2368" s="338"/>
      <c r="G2368" s="338"/>
      <c r="H2368" s="338"/>
      <c r="I2368" s="329">
        <f t="shared" ref="I2368:O2368" si="109">SUBTOTAL(9,I2248:I2367)</f>
        <v>119006.66000000005</v>
      </c>
      <c r="J2368" s="329"/>
      <c r="K2368" s="338">
        <f t="shared" si="109"/>
        <v>29751.665000000012</v>
      </c>
      <c r="L2368" s="338">
        <f t="shared" si="109"/>
        <v>29751.665000000012</v>
      </c>
      <c r="M2368" s="338">
        <f t="shared" si="109"/>
        <v>29751.665000000012</v>
      </c>
      <c r="N2368" s="338">
        <f t="shared" si="109"/>
        <v>29751.665000000012</v>
      </c>
      <c r="O2368" s="338">
        <f t="shared" si="109"/>
        <v>0</v>
      </c>
    </row>
    <row r="2369" spans="1:15" hidden="1" outlineLevel="2" x14ac:dyDescent="0.35">
      <c r="A2369" s="425" t="s">
        <v>108</v>
      </c>
      <c r="B2369" s="327">
        <v>44562</v>
      </c>
      <c r="C2369" s="426" t="s">
        <v>11236</v>
      </c>
      <c r="D2369" s="427" t="s">
        <v>11237</v>
      </c>
      <c r="E2369" s="426" t="s">
        <v>11238</v>
      </c>
      <c r="F2369" s="338">
        <v>12808814.380000001</v>
      </c>
      <c r="G2369" s="338" t="s">
        <v>3800</v>
      </c>
      <c r="H2369" s="338"/>
      <c r="I2369" s="329">
        <v>3053.6621103333164</v>
      </c>
      <c r="J2369" s="329"/>
      <c r="K2369" s="338">
        <v>763.41552758332909</v>
      </c>
      <c r="L2369" s="338">
        <v>763.41552758332909</v>
      </c>
      <c r="M2369" s="338">
        <v>763.41552758332909</v>
      </c>
      <c r="N2369" s="338">
        <v>763.41552758332909</v>
      </c>
      <c r="O2369" s="338"/>
    </row>
    <row r="2370" spans="1:15" hidden="1" outlineLevel="2" x14ac:dyDescent="0.35">
      <c r="A2370" s="425" t="s">
        <v>108</v>
      </c>
      <c r="B2370" s="327">
        <v>44257</v>
      </c>
      <c r="C2370" s="328" t="s">
        <v>11236</v>
      </c>
      <c r="D2370" s="427" t="s">
        <v>11239</v>
      </c>
      <c r="E2370" s="426" t="s">
        <v>11238</v>
      </c>
      <c r="F2370" s="338">
        <v>12115525</v>
      </c>
      <c r="G2370" s="338" t="s">
        <v>3800</v>
      </c>
      <c r="H2370" s="338"/>
      <c r="I2370" s="329">
        <v>2888.3797158512693</v>
      </c>
      <c r="J2370" s="329"/>
      <c r="K2370" s="338">
        <v>722.09492896281733</v>
      </c>
      <c r="L2370" s="338">
        <v>722.09492896281733</v>
      </c>
      <c r="M2370" s="338">
        <v>722.09492896281733</v>
      </c>
      <c r="N2370" s="338">
        <v>722.09492896281733</v>
      </c>
      <c r="O2370" s="338"/>
    </row>
    <row r="2371" spans="1:15" hidden="1" outlineLevel="2" x14ac:dyDescent="0.35">
      <c r="A2371" s="425" t="s">
        <v>108</v>
      </c>
      <c r="B2371" s="327" t="s">
        <v>10037</v>
      </c>
      <c r="C2371" s="328" t="s">
        <v>9454</v>
      </c>
      <c r="D2371" s="427" t="s">
        <v>11239</v>
      </c>
      <c r="E2371" s="426" t="s">
        <v>11238</v>
      </c>
      <c r="F2371" s="338">
        <v>11998663</v>
      </c>
      <c r="G2371" s="338" t="s">
        <v>3800</v>
      </c>
      <c r="H2371" s="338"/>
      <c r="I2371" s="329">
        <v>2860.5194431553846</v>
      </c>
      <c r="J2371" s="329"/>
      <c r="K2371" s="338">
        <v>715.12986078884614</v>
      </c>
      <c r="L2371" s="338">
        <v>715.12986078884614</v>
      </c>
      <c r="M2371" s="338">
        <v>715.12986078884614</v>
      </c>
      <c r="N2371" s="338">
        <v>715.12986078884614</v>
      </c>
      <c r="O2371" s="338"/>
    </row>
    <row r="2372" spans="1:15" hidden="1" outlineLevel="2" x14ac:dyDescent="0.35">
      <c r="A2372" s="425" t="s">
        <v>108</v>
      </c>
      <c r="B2372" s="327">
        <v>44562</v>
      </c>
      <c r="C2372" s="426" t="s">
        <v>9337</v>
      </c>
      <c r="D2372" s="427" t="s">
        <v>11240</v>
      </c>
      <c r="E2372" s="426" t="s">
        <v>11238</v>
      </c>
      <c r="F2372" s="338">
        <v>12808779.98</v>
      </c>
      <c r="G2372" s="338" t="s">
        <v>3800</v>
      </c>
      <c r="H2372" s="338"/>
      <c r="I2372" s="329">
        <v>3053.6539092638436</v>
      </c>
      <c r="J2372" s="329"/>
      <c r="K2372" s="338">
        <v>763.4134773159609</v>
      </c>
      <c r="L2372" s="338">
        <v>763.4134773159609</v>
      </c>
      <c r="M2372" s="338">
        <v>763.4134773159609</v>
      </c>
      <c r="N2372" s="338">
        <v>763.4134773159609</v>
      </c>
      <c r="O2372" s="338"/>
    </row>
    <row r="2373" spans="1:15" hidden="1" outlineLevel="2" x14ac:dyDescent="0.35">
      <c r="A2373" s="425" t="s">
        <v>108</v>
      </c>
      <c r="B2373" s="327" t="s">
        <v>10037</v>
      </c>
      <c r="C2373" s="328" t="s">
        <v>8062</v>
      </c>
      <c r="D2373" s="427" t="s">
        <v>11241</v>
      </c>
      <c r="E2373" s="426" t="s">
        <v>8057</v>
      </c>
      <c r="F2373" s="338">
        <v>765872</v>
      </c>
      <c r="G2373" s="338" t="s">
        <v>3800</v>
      </c>
      <c r="H2373" s="338"/>
      <c r="I2373" s="329">
        <v>182.58632207340938</v>
      </c>
      <c r="J2373" s="329"/>
      <c r="K2373" s="338">
        <v>45.646580518352344</v>
      </c>
      <c r="L2373" s="338">
        <v>45.646580518352344</v>
      </c>
      <c r="M2373" s="338">
        <v>45.646580518352344</v>
      </c>
      <c r="N2373" s="338">
        <v>45.646580518352344</v>
      </c>
      <c r="O2373" s="338"/>
    </row>
    <row r="2374" spans="1:15" hidden="1" outlineLevel="2" x14ac:dyDescent="0.35">
      <c r="A2374" s="425" t="s">
        <v>108</v>
      </c>
      <c r="B2374" s="327">
        <v>44257</v>
      </c>
      <c r="C2374" s="328" t="s">
        <v>11242</v>
      </c>
      <c r="D2374" s="427" t="s">
        <v>11243</v>
      </c>
      <c r="E2374" s="426" t="s">
        <v>8057</v>
      </c>
      <c r="F2374" s="338">
        <v>649046</v>
      </c>
      <c r="G2374" s="338" t="s">
        <v>3800</v>
      </c>
      <c r="H2374" s="338"/>
      <c r="I2374" s="329">
        <v>154.73463189208911</v>
      </c>
      <c r="J2374" s="329"/>
      <c r="K2374" s="338">
        <v>38.683657973022278</v>
      </c>
      <c r="L2374" s="338">
        <v>38.683657973022278</v>
      </c>
      <c r="M2374" s="338">
        <v>38.683657973022278</v>
      </c>
      <c r="N2374" s="338">
        <v>38.683657973022278</v>
      </c>
      <c r="O2374" s="338"/>
    </row>
    <row r="2375" spans="1:15" hidden="1" outlineLevel="2" x14ac:dyDescent="0.35">
      <c r="A2375" s="425" t="s">
        <v>108</v>
      </c>
      <c r="B2375" s="327">
        <v>44562</v>
      </c>
      <c r="C2375" s="426" t="s">
        <v>11242</v>
      </c>
      <c r="D2375" s="427" t="s">
        <v>11244</v>
      </c>
      <c r="E2375" s="426" t="s">
        <v>11245</v>
      </c>
      <c r="F2375" s="338">
        <v>686186</v>
      </c>
      <c r="G2375" s="338" t="s">
        <v>3800</v>
      </c>
      <c r="H2375" s="338"/>
      <c r="I2375" s="329">
        <v>163.58892608459965</v>
      </c>
      <c r="J2375" s="329"/>
      <c r="K2375" s="338">
        <v>40.897231521149912</v>
      </c>
      <c r="L2375" s="338">
        <v>40.897231521149912</v>
      </c>
      <c r="M2375" s="338">
        <v>40.897231521149912</v>
      </c>
      <c r="N2375" s="338">
        <v>40.897231521149912</v>
      </c>
      <c r="O2375" s="338"/>
    </row>
    <row r="2376" spans="1:15" hidden="1" outlineLevel="2" x14ac:dyDescent="0.35">
      <c r="A2376" s="425" t="s">
        <v>108</v>
      </c>
      <c r="B2376" s="327">
        <v>44562</v>
      </c>
      <c r="C2376" s="426" t="s">
        <v>11246</v>
      </c>
      <c r="D2376" s="427" t="s">
        <v>11247</v>
      </c>
      <c r="E2376" s="426" t="s">
        <v>11245</v>
      </c>
      <c r="F2376" s="338">
        <v>686185</v>
      </c>
      <c r="G2376" s="338" t="s">
        <v>3800</v>
      </c>
      <c r="H2376" s="338"/>
      <c r="I2376" s="329">
        <v>163.5886876814173</v>
      </c>
      <c r="J2376" s="329"/>
      <c r="K2376" s="338">
        <v>40.897171920354324</v>
      </c>
      <c r="L2376" s="338">
        <v>40.897171920354324</v>
      </c>
      <c r="M2376" s="338">
        <v>40.897171920354324</v>
      </c>
      <c r="N2376" s="338">
        <v>40.897171920354324</v>
      </c>
      <c r="O2376" s="338"/>
    </row>
    <row r="2377" spans="1:15" outlineLevel="1" collapsed="1" x14ac:dyDescent="0.35">
      <c r="A2377" s="432" t="s">
        <v>11248</v>
      </c>
      <c r="B2377" s="327"/>
      <c r="C2377" s="426"/>
      <c r="D2377" s="427"/>
      <c r="E2377" s="426"/>
      <c r="F2377" s="338"/>
      <c r="G2377" s="338"/>
      <c r="H2377" s="338"/>
      <c r="I2377" s="329">
        <f t="shared" ref="I2377:O2377" si="110">SUBTOTAL(9,I2369:I2376)</f>
        <v>12520.71374633533</v>
      </c>
      <c r="J2377" s="329"/>
      <c r="K2377" s="338">
        <f t="shared" si="110"/>
        <v>3130.1784365838325</v>
      </c>
      <c r="L2377" s="338">
        <f t="shared" si="110"/>
        <v>3130.1784365838325</v>
      </c>
      <c r="M2377" s="338">
        <f t="shared" si="110"/>
        <v>3130.1784365838325</v>
      </c>
      <c r="N2377" s="338">
        <f t="shared" si="110"/>
        <v>3130.1784365838325</v>
      </c>
      <c r="O2377" s="338">
        <f t="shared" si="110"/>
        <v>0</v>
      </c>
    </row>
    <row r="2378" spans="1:15" hidden="1" outlineLevel="2" x14ac:dyDescent="0.35">
      <c r="A2378" s="425" t="s">
        <v>7861</v>
      </c>
      <c r="B2378" s="327">
        <v>44381</v>
      </c>
      <c r="C2378" s="328" t="s">
        <v>10067</v>
      </c>
      <c r="D2378" s="427" t="s">
        <v>11249</v>
      </c>
      <c r="E2378" s="426" t="s">
        <v>9776</v>
      </c>
      <c r="F2378" s="338">
        <v>25100370</v>
      </c>
      <c r="G2378" s="338" t="s">
        <v>3800</v>
      </c>
      <c r="H2378" s="338"/>
      <c r="I2378" s="329">
        <v>5984.0080861837787</v>
      </c>
      <c r="J2378" s="329"/>
      <c r="K2378" s="338"/>
      <c r="L2378" s="338"/>
      <c r="M2378" s="338">
        <v>5984.0080861837787</v>
      </c>
      <c r="N2378" s="338"/>
      <c r="O2378" s="338"/>
    </row>
    <row r="2379" spans="1:15" outlineLevel="1" collapsed="1" x14ac:dyDescent="0.35">
      <c r="A2379" s="432" t="s">
        <v>11250</v>
      </c>
      <c r="B2379" s="327"/>
      <c r="C2379" s="328"/>
      <c r="D2379" s="427"/>
      <c r="E2379" s="426"/>
      <c r="F2379" s="338"/>
      <c r="G2379" s="338"/>
      <c r="H2379" s="338"/>
      <c r="I2379" s="329">
        <f t="shared" ref="I2379:O2379" si="111">SUBTOTAL(9,I2378:I2378)</f>
        <v>5984.0080861837787</v>
      </c>
      <c r="J2379" s="329"/>
      <c r="K2379" s="338">
        <f t="shared" si="111"/>
        <v>0</v>
      </c>
      <c r="L2379" s="338">
        <f t="shared" si="111"/>
        <v>0</v>
      </c>
      <c r="M2379" s="338">
        <f t="shared" si="111"/>
        <v>5984.0080861837787</v>
      </c>
      <c r="N2379" s="338">
        <f t="shared" si="111"/>
        <v>0</v>
      </c>
      <c r="O2379" s="338">
        <f t="shared" si="111"/>
        <v>0</v>
      </c>
    </row>
    <row r="2380" spans="1:15" hidden="1" outlineLevel="2" x14ac:dyDescent="0.35">
      <c r="A2380" s="425" t="s">
        <v>214</v>
      </c>
      <c r="B2380" s="327">
        <v>44286</v>
      </c>
      <c r="C2380" s="426" t="s">
        <v>1101</v>
      </c>
      <c r="D2380" s="427" t="s">
        <v>11251</v>
      </c>
      <c r="E2380" s="426" t="s">
        <v>1116</v>
      </c>
      <c r="F2380" s="338">
        <v>2612.5500000000002</v>
      </c>
      <c r="G2380" s="338" t="s">
        <v>56</v>
      </c>
      <c r="H2380" s="338"/>
      <c r="I2380" s="329">
        <v>2612.5500000000002</v>
      </c>
      <c r="J2380" s="329"/>
      <c r="K2380" s="338">
        <f t="shared" ref="K2380:N2387" si="112">$I2380/4</f>
        <v>653.13750000000005</v>
      </c>
      <c r="L2380" s="338">
        <f t="shared" si="112"/>
        <v>653.13750000000005</v>
      </c>
      <c r="M2380" s="338">
        <f t="shared" si="112"/>
        <v>653.13750000000005</v>
      </c>
      <c r="N2380" s="338">
        <f t="shared" si="112"/>
        <v>653.13750000000005</v>
      </c>
      <c r="O2380" s="338"/>
    </row>
    <row r="2381" spans="1:15" hidden="1" outlineLevel="2" x14ac:dyDescent="0.35">
      <c r="A2381" s="425" t="s">
        <v>214</v>
      </c>
      <c r="B2381" s="327">
        <v>43921</v>
      </c>
      <c r="C2381" s="426" t="s">
        <v>1092</v>
      </c>
      <c r="D2381" s="427" t="s">
        <v>3498</v>
      </c>
      <c r="E2381" s="426" t="s">
        <v>1116</v>
      </c>
      <c r="F2381" s="338">
        <v>2612.5500000000002</v>
      </c>
      <c r="G2381" s="338" t="s">
        <v>56</v>
      </c>
      <c r="H2381" s="338"/>
      <c r="I2381" s="329">
        <v>2612.5500000000002</v>
      </c>
      <c r="J2381" s="329"/>
      <c r="K2381" s="338">
        <f t="shared" si="112"/>
        <v>653.13750000000005</v>
      </c>
      <c r="L2381" s="338">
        <f t="shared" si="112"/>
        <v>653.13750000000005</v>
      </c>
      <c r="M2381" s="338">
        <f t="shared" si="112"/>
        <v>653.13750000000005</v>
      </c>
      <c r="N2381" s="338">
        <f t="shared" si="112"/>
        <v>653.13750000000005</v>
      </c>
      <c r="O2381" s="338"/>
    </row>
    <row r="2382" spans="1:15" hidden="1" outlineLevel="2" x14ac:dyDescent="0.35">
      <c r="A2382" s="425" t="s">
        <v>214</v>
      </c>
      <c r="B2382" s="327">
        <v>44012</v>
      </c>
      <c r="C2382" s="426" t="s">
        <v>1094</v>
      </c>
      <c r="D2382" s="427" t="s">
        <v>3499</v>
      </c>
      <c r="E2382" s="426" t="s">
        <v>1116</v>
      </c>
      <c r="F2382" s="338">
        <v>2612.5500000000002</v>
      </c>
      <c r="G2382" s="338" t="s">
        <v>56</v>
      </c>
      <c r="H2382" s="338"/>
      <c r="I2382" s="329">
        <v>2612.5500000000002</v>
      </c>
      <c r="J2382" s="329"/>
      <c r="K2382" s="338">
        <f t="shared" si="112"/>
        <v>653.13750000000005</v>
      </c>
      <c r="L2382" s="338">
        <f t="shared" si="112"/>
        <v>653.13750000000005</v>
      </c>
      <c r="M2382" s="338">
        <f t="shared" si="112"/>
        <v>653.13750000000005</v>
      </c>
      <c r="N2382" s="338">
        <f t="shared" si="112"/>
        <v>653.13750000000005</v>
      </c>
      <c r="O2382" s="338"/>
    </row>
    <row r="2383" spans="1:15" hidden="1" outlineLevel="2" x14ac:dyDescent="0.35">
      <c r="A2383" s="425" t="s">
        <v>214</v>
      </c>
      <c r="B2383" s="327">
        <v>44104</v>
      </c>
      <c r="C2383" s="426" t="s">
        <v>1096</v>
      </c>
      <c r="D2383" s="427" t="s">
        <v>3500</v>
      </c>
      <c r="E2383" s="426" t="s">
        <v>1116</v>
      </c>
      <c r="F2383" s="338">
        <v>2612.5500000000002</v>
      </c>
      <c r="G2383" s="338" t="s">
        <v>56</v>
      </c>
      <c r="H2383" s="338"/>
      <c r="I2383" s="329">
        <v>2612.5500000000002</v>
      </c>
      <c r="J2383" s="329"/>
      <c r="K2383" s="338">
        <f t="shared" si="112"/>
        <v>653.13750000000005</v>
      </c>
      <c r="L2383" s="338">
        <f t="shared" si="112"/>
        <v>653.13750000000005</v>
      </c>
      <c r="M2383" s="338">
        <f t="shared" si="112"/>
        <v>653.13750000000005</v>
      </c>
      <c r="N2383" s="338">
        <f t="shared" si="112"/>
        <v>653.13750000000005</v>
      </c>
      <c r="O2383" s="338"/>
    </row>
    <row r="2384" spans="1:15" hidden="1" outlineLevel="2" x14ac:dyDescent="0.35">
      <c r="A2384" s="425" t="s">
        <v>214</v>
      </c>
      <c r="B2384" s="327">
        <v>44469</v>
      </c>
      <c r="C2384" s="426" t="s">
        <v>11252</v>
      </c>
      <c r="D2384" s="427" t="s">
        <v>11253</v>
      </c>
      <c r="E2384" s="426" t="s">
        <v>1602</v>
      </c>
      <c r="F2384" s="338">
        <v>2210.62</v>
      </c>
      <c r="G2384" s="338" t="s">
        <v>56</v>
      </c>
      <c r="H2384" s="338"/>
      <c r="I2384" s="329">
        <v>2210.62</v>
      </c>
      <c r="J2384" s="329"/>
      <c r="K2384" s="338">
        <f t="shared" si="112"/>
        <v>552.65499999999997</v>
      </c>
      <c r="L2384" s="338">
        <f t="shared" si="112"/>
        <v>552.65499999999997</v>
      </c>
      <c r="M2384" s="338">
        <f t="shared" si="112"/>
        <v>552.65499999999997</v>
      </c>
      <c r="N2384" s="338">
        <f t="shared" si="112"/>
        <v>552.65499999999997</v>
      </c>
      <c r="O2384" s="338"/>
    </row>
    <row r="2385" spans="1:15" hidden="1" outlineLevel="2" x14ac:dyDescent="0.35">
      <c r="A2385" s="425" t="s">
        <v>214</v>
      </c>
      <c r="B2385" s="327">
        <v>44561</v>
      </c>
      <c r="C2385" s="426" t="s">
        <v>11254</v>
      </c>
      <c r="D2385" s="427" t="s">
        <v>11255</v>
      </c>
      <c r="E2385" s="426" t="s">
        <v>1545</v>
      </c>
      <c r="F2385" s="338">
        <v>1105.31</v>
      </c>
      <c r="G2385" s="338" t="s">
        <v>56</v>
      </c>
      <c r="H2385" s="338"/>
      <c r="I2385" s="329">
        <v>1105.31</v>
      </c>
      <c r="J2385" s="329"/>
      <c r="K2385" s="338">
        <f t="shared" si="112"/>
        <v>276.32749999999999</v>
      </c>
      <c r="L2385" s="338">
        <f t="shared" si="112"/>
        <v>276.32749999999999</v>
      </c>
      <c r="M2385" s="338">
        <f t="shared" si="112"/>
        <v>276.32749999999999</v>
      </c>
      <c r="N2385" s="338">
        <f t="shared" si="112"/>
        <v>276.32749999999999</v>
      </c>
      <c r="O2385" s="338"/>
    </row>
    <row r="2386" spans="1:15" hidden="1" outlineLevel="2" x14ac:dyDescent="0.35">
      <c r="A2386" s="425" t="s">
        <v>214</v>
      </c>
      <c r="B2386" s="327">
        <v>44377</v>
      </c>
      <c r="C2386" s="426" t="s">
        <v>1103</v>
      </c>
      <c r="D2386" s="427" t="s">
        <v>11256</v>
      </c>
      <c r="E2386" s="426" t="s">
        <v>1116</v>
      </c>
      <c r="F2386" s="338">
        <v>2612.5500000000002</v>
      </c>
      <c r="G2386" s="338" t="s">
        <v>56</v>
      </c>
      <c r="H2386" s="338"/>
      <c r="I2386" s="329">
        <v>2612.5500000000002</v>
      </c>
      <c r="J2386" s="329"/>
      <c r="K2386" s="338">
        <f t="shared" si="112"/>
        <v>653.13750000000005</v>
      </c>
      <c r="L2386" s="338">
        <f t="shared" si="112"/>
        <v>653.13750000000005</v>
      </c>
      <c r="M2386" s="338">
        <f t="shared" si="112"/>
        <v>653.13750000000005</v>
      </c>
      <c r="N2386" s="338">
        <f t="shared" si="112"/>
        <v>653.13750000000005</v>
      </c>
      <c r="O2386" s="338"/>
    </row>
    <row r="2387" spans="1:15" hidden="1" outlineLevel="2" x14ac:dyDescent="0.35">
      <c r="A2387" s="425" t="s">
        <v>214</v>
      </c>
      <c r="B2387" s="327">
        <v>44196</v>
      </c>
      <c r="C2387" s="426" t="s">
        <v>1099</v>
      </c>
      <c r="D2387" s="427" t="s">
        <v>3501</v>
      </c>
      <c r="E2387" s="426" t="s">
        <v>1116</v>
      </c>
      <c r="F2387" s="338">
        <v>2612.5500000000002</v>
      </c>
      <c r="G2387" s="338" t="s">
        <v>56</v>
      </c>
      <c r="H2387" s="338"/>
      <c r="I2387" s="329">
        <v>2612.5500000000002</v>
      </c>
      <c r="J2387" s="329"/>
      <c r="K2387" s="338">
        <f t="shared" si="112"/>
        <v>653.13750000000005</v>
      </c>
      <c r="L2387" s="338">
        <f t="shared" si="112"/>
        <v>653.13750000000005</v>
      </c>
      <c r="M2387" s="338">
        <f t="shared" si="112"/>
        <v>653.13750000000005</v>
      </c>
      <c r="N2387" s="338">
        <f t="shared" si="112"/>
        <v>653.13750000000005</v>
      </c>
      <c r="O2387" s="338"/>
    </row>
    <row r="2388" spans="1:15" outlineLevel="1" collapsed="1" x14ac:dyDescent="0.35">
      <c r="A2388" s="432" t="s">
        <v>3510</v>
      </c>
      <c r="B2388" s="327"/>
      <c r="C2388" s="426"/>
      <c r="D2388" s="427"/>
      <c r="E2388" s="426"/>
      <c r="F2388" s="338"/>
      <c r="G2388" s="338"/>
      <c r="H2388" s="338"/>
      <c r="I2388" s="329">
        <f t="shared" ref="I2388:O2388" si="113">SUBTOTAL(9,I2380:I2387)</f>
        <v>18991.23</v>
      </c>
      <c r="J2388" s="329"/>
      <c r="K2388" s="338">
        <f t="shared" si="113"/>
        <v>4747.8074999999999</v>
      </c>
      <c r="L2388" s="338">
        <f t="shared" si="113"/>
        <v>4747.8074999999999</v>
      </c>
      <c r="M2388" s="338">
        <f t="shared" si="113"/>
        <v>4747.8074999999999</v>
      </c>
      <c r="N2388" s="338">
        <f t="shared" si="113"/>
        <v>4747.8074999999999</v>
      </c>
      <c r="O2388" s="338">
        <f t="shared" si="113"/>
        <v>0</v>
      </c>
    </row>
    <row r="2389" spans="1:15" hidden="1" outlineLevel="2" x14ac:dyDescent="0.35">
      <c r="A2389" s="425" t="s">
        <v>7835</v>
      </c>
      <c r="B2389" s="327">
        <v>44504</v>
      </c>
      <c r="C2389" s="426" t="s">
        <v>11257</v>
      </c>
      <c r="D2389" s="427" t="s">
        <v>11258</v>
      </c>
      <c r="E2389" s="426" t="s">
        <v>11259</v>
      </c>
      <c r="F2389" s="338">
        <v>590000</v>
      </c>
      <c r="G2389" s="338" t="s">
        <v>3800</v>
      </c>
      <c r="H2389" s="338"/>
      <c r="I2389" s="329">
        <v>140.65787758700088</v>
      </c>
      <c r="J2389" s="329"/>
      <c r="K2389" s="338">
        <v>35.164469396750221</v>
      </c>
      <c r="L2389" s="338">
        <v>35.164469396750221</v>
      </c>
      <c r="M2389" s="338">
        <v>35.164469396750221</v>
      </c>
      <c r="N2389" s="338">
        <v>35.164469396750221</v>
      </c>
      <c r="O2389" s="338"/>
    </row>
    <row r="2390" spans="1:15" hidden="1" outlineLevel="2" x14ac:dyDescent="0.35">
      <c r="A2390" s="425" t="s">
        <v>7835</v>
      </c>
      <c r="B2390" s="327">
        <v>44504</v>
      </c>
      <c r="C2390" s="426" t="s">
        <v>11260</v>
      </c>
      <c r="D2390" s="427" t="s">
        <v>11261</v>
      </c>
      <c r="E2390" s="426" t="s">
        <v>11259</v>
      </c>
      <c r="F2390" s="338">
        <v>6513600</v>
      </c>
      <c r="G2390" s="338" t="s">
        <v>3800</v>
      </c>
      <c r="H2390" s="338"/>
      <c r="I2390" s="329">
        <v>1552.8629685604897</v>
      </c>
      <c r="J2390" s="329"/>
      <c r="K2390" s="338">
        <v>388.21574214012242</v>
      </c>
      <c r="L2390" s="338">
        <v>388.21574214012242</v>
      </c>
      <c r="M2390" s="338">
        <v>388.21574214012242</v>
      </c>
      <c r="N2390" s="338">
        <v>388.21574214012242</v>
      </c>
      <c r="O2390" s="338"/>
    </row>
    <row r="2391" spans="1:15" hidden="1" outlineLevel="2" x14ac:dyDescent="0.35">
      <c r="A2391" s="425" t="s">
        <v>7835</v>
      </c>
      <c r="B2391" s="327">
        <v>44489</v>
      </c>
      <c r="C2391" s="426" t="s">
        <v>11262</v>
      </c>
      <c r="D2391" s="427" t="s">
        <v>11263</v>
      </c>
      <c r="E2391" s="426" t="s">
        <v>11259</v>
      </c>
      <c r="F2391" s="338">
        <v>590000</v>
      </c>
      <c r="G2391" s="338" t="s">
        <v>3800</v>
      </c>
      <c r="H2391" s="338"/>
      <c r="I2391" s="329">
        <v>140.65787758700088</v>
      </c>
      <c r="J2391" s="329"/>
      <c r="K2391" s="338">
        <v>35.164469396750221</v>
      </c>
      <c r="L2391" s="338">
        <v>35.164469396750221</v>
      </c>
      <c r="M2391" s="338">
        <v>35.164469396750221</v>
      </c>
      <c r="N2391" s="338">
        <v>35.164469396750221</v>
      </c>
      <c r="O2391" s="338"/>
    </row>
    <row r="2392" spans="1:15" hidden="1" outlineLevel="2" x14ac:dyDescent="0.35">
      <c r="A2392" s="425" t="s">
        <v>7835</v>
      </c>
      <c r="B2392" s="327">
        <v>44475</v>
      </c>
      <c r="C2392" s="426" t="s">
        <v>11264</v>
      </c>
      <c r="D2392" s="427" t="s">
        <v>11265</v>
      </c>
      <c r="E2392" s="426" t="s">
        <v>11259</v>
      </c>
      <c r="F2392" s="338">
        <v>5876400</v>
      </c>
      <c r="G2392" s="338" t="s">
        <v>3800</v>
      </c>
      <c r="H2392" s="338"/>
      <c r="I2392" s="329">
        <v>1400.9524607665287</v>
      </c>
      <c r="J2392" s="329"/>
      <c r="K2392" s="338">
        <v>350.23811519163218</v>
      </c>
      <c r="L2392" s="338">
        <v>350.23811519163218</v>
      </c>
      <c r="M2392" s="338">
        <v>350.23811519163218</v>
      </c>
      <c r="N2392" s="338">
        <v>350.23811519163218</v>
      </c>
      <c r="O2392" s="338"/>
    </row>
    <row r="2393" spans="1:15" hidden="1" outlineLevel="2" x14ac:dyDescent="0.35">
      <c r="A2393" s="425" t="s">
        <v>7835</v>
      </c>
      <c r="B2393" s="327">
        <v>44476</v>
      </c>
      <c r="C2393" s="426" t="s">
        <v>11266</v>
      </c>
      <c r="D2393" s="427" t="s">
        <v>11267</v>
      </c>
      <c r="E2393" s="426" t="s">
        <v>11268</v>
      </c>
      <c r="F2393" s="338">
        <v>15779998</v>
      </c>
      <c r="G2393" s="338" t="s">
        <v>3800</v>
      </c>
      <c r="H2393" s="338"/>
      <c r="I2393" s="329">
        <v>3762.001740690032</v>
      </c>
      <c r="J2393" s="329"/>
      <c r="K2393" s="338">
        <v>940.50043517250799</v>
      </c>
      <c r="L2393" s="338">
        <v>940.50043517250799</v>
      </c>
      <c r="M2393" s="338">
        <v>940.50043517250799</v>
      </c>
      <c r="N2393" s="338">
        <v>940.50043517250799</v>
      </c>
      <c r="O2393" s="338"/>
    </row>
    <row r="2394" spans="1:15" outlineLevel="1" collapsed="1" x14ac:dyDescent="0.35">
      <c r="A2394" s="432" t="s">
        <v>11269</v>
      </c>
      <c r="B2394" s="327"/>
      <c r="C2394" s="426"/>
      <c r="D2394" s="427"/>
      <c r="E2394" s="426"/>
      <c r="F2394" s="338"/>
      <c r="G2394" s="338"/>
      <c r="H2394" s="338"/>
      <c r="I2394" s="329">
        <f t="shared" ref="I2394:O2394" si="114">SUBTOTAL(9,I2389:I2393)</f>
        <v>6997.132925191052</v>
      </c>
      <c r="J2394" s="329"/>
      <c r="K2394" s="338">
        <f t="shared" si="114"/>
        <v>1749.283231297763</v>
      </c>
      <c r="L2394" s="338">
        <f t="shared" si="114"/>
        <v>1749.283231297763</v>
      </c>
      <c r="M2394" s="338">
        <f t="shared" si="114"/>
        <v>1749.283231297763</v>
      </c>
      <c r="N2394" s="338">
        <f t="shared" si="114"/>
        <v>1749.283231297763</v>
      </c>
      <c r="O2394" s="338">
        <f t="shared" si="114"/>
        <v>0</v>
      </c>
    </row>
    <row r="2395" spans="1:15" hidden="1" outlineLevel="2" x14ac:dyDescent="0.35">
      <c r="A2395" s="425" t="s">
        <v>7922</v>
      </c>
      <c r="B2395" s="327">
        <v>44545</v>
      </c>
      <c r="C2395" s="426" t="s">
        <v>11270</v>
      </c>
      <c r="D2395" s="427" t="s">
        <v>11271</v>
      </c>
      <c r="E2395" s="426" t="s">
        <v>9673</v>
      </c>
      <c r="F2395" s="338">
        <v>297500</v>
      </c>
      <c r="G2395" s="338" t="s">
        <v>3800</v>
      </c>
      <c r="H2395" s="338"/>
      <c r="I2395" s="329">
        <v>70.924946749377568</v>
      </c>
      <c r="J2395" s="329"/>
      <c r="K2395" s="338"/>
      <c r="L2395" s="338">
        <v>70.924946749377568</v>
      </c>
      <c r="M2395" s="338"/>
      <c r="N2395" s="338"/>
      <c r="O2395" s="338"/>
    </row>
    <row r="2396" spans="1:15" hidden="1" outlineLevel="2" x14ac:dyDescent="0.35">
      <c r="A2396" s="425" t="s">
        <v>7922</v>
      </c>
      <c r="B2396" s="327">
        <v>44877</v>
      </c>
      <c r="C2396" s="426" t="s">
        <v>11272</v>
      </c>
      <c r="D2396" s="427" t="s">
        <v>11273</v>
      </c>
      <c r="E2396" s="426" t="s">
        <v>11274</v>
      </c>
      <c r="F2396" s="338">
        <v>32129388</v>
      </c>
      <c r="G2396" s="338" t="s">
        <v>3800</v>
      </c>
      <c r="H2396" s="338"/>
      <c r="I2396" s="329">
        <v>7659.748346185178</v>
      </c>
      <c r="J2396" s="329"/>
      <c r="K2396" s="338"/>
      <c r="L2396" s="338">
        <v>7659.748346185178</v>
      </c>
      <c r="M2396" s="338"/>
      <c r="N2396" s="338"/>
      <c r="O2396" s="338"/>
    </row>
    <row r="2397" spans="1:15" hidden="1" outlineLevel="2" x14ac:dyDescent="0.35">
      <c r="A2397" s="425" t="s">
        <v>7922</v>
      </c>
      <c r="B2397" s="327">
        <v>44877</v>
      </c>
      <c r="C2397" s="426" t="s">
        <v>11275</v>
      </c>
      <c r="D2397" s="427" t="s">
        <v>11276</v>
      </c>
      <c r="E2397" s="426" t="s">
        <v>11274</v>
      </c>
      <c r="F2397" s="338">
        <v>22635200</v>
      </c>
      <c r="G2397" s="338" t="s">
        <v>3800</v>
      </c>
      <c r="H2397" s="338"/>
      <c r="I2397" s="329">
        <v>5396.3037131479359</v>
      </c>
      <c r="J2397" s="329"/>
      <c r="K2397" s="338"/>
      <c r="L2397" s="338">
        <v>5396.3037131479359</v>
      </c>
      <c r="M2397" s="338"/>
      <c r="N2397" s="338"/>
      <c r="O2397" s="338"/>
    </row>
    <row r="2398" spans="1:15" hidden="1" outlineLevel="2" x14ac:dyDescent="0.35">
      <c r="A2398" s="425" t="s">
        <v>7922</v>
      </c>
      <c r="B2398" s="327">
        <v>44518</v>
      </c>
      <c r="C2398" s="426" t="s">
        <v>11277</v>
      </c>
      <c r="D2398" s="427" t="s">
        <v>11278</v>
      </c>
      <c r="E2398" s="426" t="s">
        <v>9776</v>
      </c>
      <c r="F2398" s="338">
        <v>59706525</v>
      </c>
      <c r="G2398" s="338" t="s">
        <v>3800</v>
      </c>
      <c r="H2398" s="338"/>
      <c r="I2398" s="329">
        <v>14234.225567110521</v>
      </c>
      <c r="J2398" s="329"/>
      <c r="K2398" s="338"/>
      <c r="L2398" s="338">
        <v>14234.225567110521</v>
      </c>
      <c r="M2398" s="338"/>
      <c r="N2398" s="338"/>
      <c r="O2398" s="338"/>
    </row>
    <row r="2399" spans="1:15" hidden="1" outlineLevel="2" x14ac:dyDescent="0.35">
      <c r="A2399" s="425" t="s">
        <v>7922</v>
      </c>
      <c r="B2399" s="327">
        <v>44517</v>
      </c>
      <c r="C2399" s="426" t="s">
        <v>11279</v>
      </c>
      <c r="D2399" s="427" t="s">
        <v>11280</v>
      </c>
      <c r="E2399" s="426" t="s">
        <v>11281</v>
      </c>
      <c r="F2399" s="338">
        <v>56223750</v>
      </c>
      <c r="G2399" s="338" t="s">
        <v>3800</v>
      </c>
      <c r="H2399" s="338"/>
      <c r="I2399" s="329">
        <v>13403.920923698544</v>
      </c>
      <c r="J2399" s="329"/>
      <c r="K2399" s="338"/>
      <c r="L2399" s="338">
        <v>13403.920923698544</v>
      </c>
      <c r="M2399" s="338"/>
      <c r="N2399" s="338"/>
      <c r="O2399" s="338"/>
    </row>
    <row r="2400" spans="1:15" hidden="1" outlineLevel="2" x14ac:dyDescent="0.35">
      <c r="A2400" s="425" t="s">
        <v>7922</v>
      </c>
      <c r="B2400" s="327">
        <v>44877</v>
      </c>
      <c r="C2400" s="426" t="s">
        <v>11282</v>
      </c>
      <c r="D2400" s="427" t="s">
        <v>11283</v>
      </c>
      <c r="E2400" s="426" t="s">
        <v>11284</v>
      </c>
      <c r="F2400" s="338">
        <v>37299750</v>
      </c>
      <c r="G2400" s="338" t="s">
        <v>3800</v>
      </c>
      <c r="H2400" s="338"/>
      <c r="I2400" s="329">
        <v>8892.3791008910775</v>
      </c>
      <c r="J2400" s="329"/>
      <c r="K2400" s="338"/>
      <c r="L2400" s="338">
        <v>8892.3791008910775</v>
      </c>
      <c r="M2400" s="338"/>
      <c r="N2400" s="338"/>
      <c r="O2400" s="338"/>
    </row>
    <row r="2401" spans="1:15" hidden="1" outlineLevel="2" x14ac:dyDescent="0.35">
      <c r="A2401" s="425" t="s">
        <v>7922</v>
      </c>
      <c r="B2401" s="327">
        <v>44517</v>
      </c>
      <c r="C2401" s="426" t="s">
        <v>11285</v>
      </c>
      <c r="D2401" s="427" t="s">
        <v>11286</v>
      </c>
      <c r="E2401" s="426" t="s">
        <v>11287</v>
      </c>
      <c r="F2401" s="338">
        <v>3588750</v>
      </c>
      <c r="G2401" s="338" t="s">
        <v>3800</v>
      </c>
      <c r="H2401" s="338"/>
      <c r="I2401" s="329">
        <v>855.56942066160923</v>
      </c>
      <c r="J2401" s="329"/>
      <c r="K2401" s="338"/>
      <c r="L2401" s="338">
        <v>855.56942066160923</v>
      </c>
      <c r="M2401" s="338"/>
      <c r="N2401" s="338"/>
      <c r="O2401" s="338"/>
    </row>
    <row r="2402" spans="1:15" hidden="1" outlineLevel="2" x14ac:dyDescent="0.35">
      <c r="A2402" s="425" t="s">
        <v>7922</v>
      </c>
      <c r="B2402" s="327">
        <v>44877</v>
      </c>
      <c r="C2402" s="426" t="s">
        <v>11288</v>
      </c>
      <c r="D2402" s="427" t="s">
        <v>11289</v>
      </c>
      <c r="E2402" s="426" t="s">
        <v>11274</v>
      </c>
      <c r="F2402" s="338">
        <v>1212600</v>
      </c>
      <c r="G2402" s="338" t="s">
        <v>3800</v>
      </c>
      <c r="H2402" s="338"/>
      <c r="I2402" s="329">
        <v>289.08769891863943</v>
      </c>
      <c r="J2402" s="329"/>
      <c r="K2402" s="338"/>
      <c r="L2402" s="338">
        <v>289.08769891863943</v>
      </c>
      <c r="M2402" s="338"/>
      <c r="N2402" s="338"/>
      <c r="O2402" s="338"/>
    </row>
    <row r="2403" spans="1:15" hidden="1" outlineLevel="2" x14ac:dyDescent="0.35">
      <c r="A2403" s="425" t="s">
        <v>7922</v>
      </c>
      <c r="B2403" s="327">
        <v>44561</v>
      </c>
      <c r="C2403" s="426" t="s">
        <v>11290</v>
      </c>
      <c r="D2403" s="427" t="s">
        <v>11291</v>
      </c>
      <c r="E2403" s="426" t="s">
        <v>8456</v>
      </c>
      <c r="F2403" s="338">
        <v>4140000</v>
      </c>
      <c r="G2403" s="338" t="s">
        <v>3800</v>
      </c>
      <c r="H2403" s="338"/>
      <c r="I2403" s="329">
        <v>986.98917493251463</v>
      </c>
      <c r="J2403" s="329"/>
      <c r="K2403" s="338"/>
      <c r="L2403" s="338">
        <v>986.98917493251463</v>
      </c>
      <c r="M2403" s="338"/>
      <c r="N2403" s="338"/>
      <c r="O2403" s="338"/>
    </row>
    <row r="2404" spans="1:15" hidden="1" outlineLevel="2" x14ac:dyDescent="0.35">
      <c r="A2404" s="425" t="s">
        <v>7922</v>
      </c>
      <c r="B2404" s="327">
        <v>44561</v>
      </c>
      <c r="C2404" s="426" t="s">
        <v>11292</v>
      </c>
      <c r="D2404" s="427" t="s">
        <v>11293</v>
      </c>
      <c r="E2404" s="426" t="s">
        <v>8456</v>
      </c>
      <c r="F2404" s="338">
        <v>3772150</v>
      </c>
      <c r="G2404" s="338" t="s">
        <v>3800</v>
      </c>
      <c r="H2404" s="338"/>
      <c r="I2404" s="329">
        <v>899.29256430475493</v>
      </c>
      <c r="J2404" s="329"/>
      <c r="K2404" s="338"/>
      <c r="L2404" s="338">
        <v>899.29256430475493</v>
      </c>
      <c r="M2404" s="338"/>
      <c r="N2404" s="338"/>
      <c r="O2404" s="338"/>
    </row>
    <row r="2405" spans="1:15" hidden="1" outlineLevel="2" x14ac:dyDescent="0.35">
      <c r="A2405" s="425" t="s">
        <v>7922</v>
      </c>
      <c r="B2405" s="327">
        <v>44550</v>
      </c>
      <c r="C2405" s="426" t="s">
        <v>11294</v>
      </c>
      <c r="D2405" s="427" t="s">
        <v>11295</v>
      </c>
      <c r="E2405" s="426" t="s">
        <v>8456</v>
      </c>
      <c r="F2405" s="338">
        <v>25481000</v>
      </c>
      <c r="G2405" s="338" t="s">
        <v>3800</v>
      </c>
      <c r="H2405" s="338"/>
      <c r="I2405" s="329">
        <v>6074.7514894819824</v>
      </c>
      <c r="J2405" s="329"/>
      <c r="K2405" s="338"/>
      <c r="L2405" s="338">
        <v>6074.7514894819824</v>
      </c>
      <c r="M2405" s="338"/>
      <c r="N2405" s="338"/>
      <c r="O2405" s="338"/>
    </row>
    <row r="2406" spans="1:15" hidden="1" outlineLevel="2" x14ac:dyDescent="0.35">
      <c r="A2406" s="425" t="s">
        <v>7922</v>
      </c>
      <c r="B2406" s="327">
        <v>44877</v>
      </c>
      <c r="C2406" s="426" t="s">
        <v>11296</v>
      </c>
      <c r="D2406" s="427" t="s">
        <v>11297</v>
      </c>
      <c r="E2406" s="426" t="s">
        <v>11274</v>
      </c>
      <c r="F2406" s="338">
        <v>2050812</v>
      </c>
      <c r="G2406" s="338" t="s">
        <v>3800</v>
      </c>
      <c r="H2406" s="338"/>
      <c r="I2406" s="329">
        <v>488.92010720330927</v>
      </c>
      <c r="J2406" s="329"/>
      <c r="K2406" s="338"/>
      <c r="L2406" s="338">
        <v>488.92010720330927</v>
      </c>
      <c r="M2406" s="338"/>
      <c r="N2406" s="338"/>
      <c r="O2406" s="338"/>
    </row>
    <row r="2407" spans="1:15" outlineLevel="1" collapsed="1" x14ac:dyDescent="0.35">
      <c r="A2407" s="432" t="s">
        <v>11298</v>
      </c>
      <c r="B2407" s="327"/>
      <c r="C2407" s="426"/>
      <c r="D2407" s="427"/>
      <c r="E2407" s="426"/>
      <c r="F2407" s="338"/>
      <c r="G2407" s="338"/>
      <c r="H2407" s="338"/>
      <c r="I2407" s="329">
        <f t="shared" ref="I2407:O2407" si="115">SUBTOTAL(9,I2395:I2406)</f>
        <v>59252.113053285444</v>
      </c>
      <c r="J2407" s="329"/>
      <c r="K2407" s="338">
        <f t="shared" si="115"/>
        <v>0</v>
      </c>
      <c r="L2407" s="338">
        <f t="shared" si="115"/>
        <v>59252.113053285444</v>
      </c>
      <c r="M2407" s="338">
        <f t="shared" si="115"/>
        <v>0</v>
      </c>
      <c r="N2407" s="338">
        <f t="shared" si="115"/>
        <v>0</v>
      </c>
      <c r="O2407" s="338">
        <f t="shared" si="115"/>
        <v>0</v>
      </c>
    </row>
    <row r="2408" spans="1:15" hidden="1" outlineLevel="2" x14ac:dyDescent="0.35">
      <c r="A2408" s="425" t="s">
        <v>7834</v>
      </c>
      <c r="B2408" s="327">
        <v>44145</v>
      </c>
      <c r="C2408" s="426" t="s">
        <v>10391</v>
      </c>
      <c r="D2408" s="427" t="s">
        <v>11299</v>
      </c>
      <c r="E2408" s="426" t="s">
        <v>8122</v>
      </c>
      <c r="F2408" s="338">
        <v>100000</v>
      </c>
      <c r="G2408" s="338" t="s">
        <v>3800</v>
      </c>
      <c r="H2408" s="338"/>
      <c r="I2408" s="329">
        <v>23.441818099413176</v>
      </c>
      <c r="J2408" s="329"/>
      <c r="K2408" s="338">
        <v>5.860454524853294</v>
      </c>
      <c r="L2408" s="338">
        <v>5.860454524853294</v>
      </c>
      <c r="M2408" s="338">
        <v>5.860454524853294</v>
      </c>
      <c r="N2408" s="338">
        <v>5.860454524853294</v>
      </c>
      <c r="O2408" s="338"/>
    </row>
    <row r="2409" spans="1:15" hidden="1" outlineLevel="2" x14ac:dyDescent="0.35">
      <c r="A2409" s="425" t="s">
        <v>7834</v>
      </c>
      <c r="B2409" s="327">
        <v>44146</v>
      </c>
      <c r="C2409" s="426" t="s">
        <v>8090</v>
      </c>
      <c r="D2409" s="427" t="s">
        <v>11300</v>
      </c>
      <c r="E2409" s="426" t="s">
        <v>8122</v>
      </c>
      <c r="F2409" s="338">
        <v>340000</v>
      </c>
      <c r="G2409" s="338" t="s">
        <v>3800</v>
      </c>
      <c r="H2409" s="338"/>
      <c r="I2409" s="329">
        <v>79.702181538004794</v>
      </c>
      <c r="J2409" s="329"/>
      <c r="K2409" s="338">
        <v>19.925545384501198</v>
      </c>
      <c r="L2409" s="338">
        <v>19.925545384501198</v>
      </c>
      <c r="M2409" s="338">
        <v>19.925545384501198</v>
      </c>
      <c r="N2409" s="338">
        <v>19.925545384501198</v>
      </c>
      <c r="O2409" s="338"/>
    </row>
    <row r="2410" spans="1:15" hidden="1" outlineLevel="2" x14ac:dyDescent="0.35">
      <c r="A2410" s="425" t="s">
        <v>7834</v>
      </c>
      <c r="B2410" s="327">
        <v>44347</v>
      </c>
      <c r="C2410" s="426" t="s">
        <v>11301</v>
      </c>
      <c r="D2410" s="427" t="s">
        <v>11302</v>
      </c>
      <c r="E2410" s="426" t="s">
        <v>8122</v>
      </c>
      <c r="F2410" s="338">
        <v>360000</v>
      </c>
      <c r="G2410" s="338" t="s">
        <v>3800</v>
      </c>
      <c r="H2410" s="338"/>
      <c r="I2410" s="329">
        <v>85.825145646305629</v>
      </c>
      <c r="J2410" s="329"/>
      <c r="K2410" s="338">
        <v>21.456286411576407</v>
      </c>
      <c r="L2410" s="338">
        <v>21.456286411576407</v>
      </c>
      <c r="M2410" s="338">
        <v>21.456286411576407</v>
      </c>
      <c r="N2410" s="338">
        <v>21.456286411576407</v>
      </c>
      <c r="O2410" s="338"/>
    </row>
    <row r="2411" spans="1:15" hidden="1" outlineLevel="2" x14ac:dyDescent="0.35">
      <c r="A2411" s="425" t="s">
        <v>7834</v>
      </c>
      <c r="B2411" s="327">
        <v>44448</v>
      </c>
      <c r="C2411" s="426" t="s">
        <v>11303</v>
      </c>
      <c r="D2411" s="427" t="s">
        <v>11304</v>
      </c>
      <c r="E2411" s="426" t="s">
        <v>9443</v>
      </c>
      <c r="F2411" s="338">
        <v>200000</v>
      </c>
      <c r="G2411" s="338" t="s">
        <v>3800</v>
      </c>
      <c r="H2411" s="338"/>
      <c r="I2411" s="329">
        <v>47.680636470169794</v>
      </c>
      <c r="J2411" s="329"/>
      <c r="K2411" s="338">
        <v>11.920159117542449</v>
      </c>
      <c r="L2411" s="338">
        <v>11.920159117542449</v>
      </c>
      <c r="M2411" s="338">
        <v>11.920159117542449</v>
      </c>
      <c r="N2411" s="338">
        <v>11.920159117542449</v>
      </c>
      <c r="O2411" s="338"/>
    </row>
    <row r="2412" spans="1:15" hidden="1" outlineLevel="2" x14ac:dyDescent="0.35">
      <c r="A2412" s="425" t="s">
        <v>7834</v>
      </c>
      <c r="B2412" s="327">
        <v>44448</v>
      </c>
      <c r="C2412" s="426" t="s">
        <v>11305</v>
      </c>
      <c r="D2412" s="427" t="s">
        <v>11304</v>
      </c>
      <c r="E2412" s="426" t="s">
        <v>8122</v>
      </c>
      <c r="F2412" s="338">
        <v>200000</v>
      </c>
      <c r="G2412" s="338" t="s">
        <v>3800</v>
      </c>
      <c r="H2412" s="338"/>
      <c r="I2412" s="329">
        <v>47.680636470169794</v>
      </c>
      <c r="J2412" s="329"/>
      <c r="K2412" s="338">
        <v>11.920159117542449</v>
      </c>
      <c r="L2412" s="338">
        <v>11.920159117542449</v>
      </c>
      <c r="M2412" s="338">
        <v>11.920159117542449</v>
      </c>
      <c r="N2412" s="338">
        <v>11.920159117542449</v>
      </c>
      <c r="O2412" s="338"/>
    </row>
    <row r="2413" spans="1:15" hidden="1" outlineLevel="2" x14ac:dyDescent="0.35">
      <c r="A2413" s="425" t="s">
        <v>7834</v>
      </c>
      <c r="B2413" s="327">
        <v>44404</v>
      </c>
      <c r="C2413" s="426" t="s">
        <v>8154</v>
      </c>
      <c r="D2413" s="427" t="s">
        <v>11306</v>
      </c>
      <c r="E2413" s="426" t="s">
        <v>8122</v>
      </c>
      <c r="F2413" s="338">
        <v>360000</v>
      </c>
      <c r="G2413" s="338" t="s">
        <v>3800</v>
      </c>
      <c r="H2413" s="338"/>
      <c r="I2413" s="329">
        <v>85.825145646305629</v>
      </c>
      <c r="J2413" s="329"/>
      <c r="K2413" s="338">
        <v>21.456286411576407</v>
      </c>
      <c r="L2413" s="338">
        <v>21.456286411576407</v>
      </c>
      <c r="M2413" s="338">
        <v>21.456286411576407</v>
      </c>
      <c r="N2413" s="338">
        <v>21.456286411576407</v>
      </c>
      <c r="O2413" s="338"/>
    </row>
    <row r="2414" spans="1:15" hidden="1" outlineLevel="2" x14ac:dyDescent="0.35">
      <c r="A2414" s="425" t="s">
        <v>7834</v>
      </c>
      <c r="B2414" s="327" t="s">
        <v>8089</v>
      </c>
      <c r="C2414" s="426" t="s">
        <v>10391</v>
      </c>
      <c r="D2414" s="427" t="s">
        <v>11307</v>
      </c>
      <c r="E2414" s="426" t="s">
        <v>8122</v>
      </c>
      <c r="F2414" s="338">
        <v>510000</v>
      </c>
      <c r="G2414" s="338" t="s">
        <v>3800</v>
      </c>
      <c r="H2414" s="338"/>
      <c r="I2414" s="329">
        <v>121.58562299893296</v>
      </c>
      <c r="J2414" s="329"/>
      <c r="K2414" s="338">
        <v>30.39640574973324</v>
      </c>
      <c r="L2414" s="338">
        <v>30.39640574973324</v>
      </c>
      <c r="M2414" s="338">
        <v>30.39640574973324</v>
      </c>
      <c r="N2414" s="338">
        <v>30.39640574973324</v>
      </c>
      <c r="O2414" s="338"/>
    </row>
    <row r="2415" spans="1:15" hidden="1" outlineLevel="2" x14ac:dyDescent="0.35">
      <c r="A2415" s="425" t="s">
        <v>7834</v>
      </c>
      <c r="B2415" s="327" t="s">
        <v>8089</v>
      </c>
      <c r="C2415" s="426" t="s">
        <v>8080</v>
      </c>
      <c r="D2415" s="427" t="s">
        <v>11308</v>
      </c>
      <c r="E2415" s="426" t="s">
        <v>8119</v>
      </c>
      <c r="F2415" s="338">
        <v>460000</v>
      </c>
      <c r="G2415" s="338" t="s">
        <v>3800</v>
      </c>
      <c r="H2415" s="338"/>
      <c r="I2415" s="329">
        <v>109.66546388139052</v>
      </c>
      <c r="J2415" s="329"/>
      <c r="K2415" s="338">
        <v>27.416365970347631</v>
      </c>
      <c r="L2415" s="338">
        <v>27.416365970347631</v>
      </c>
      <c r="M2415" s="338">
        <v>27.416365970347631</v>
      </c>
      <c r="N2415" s="338">
        <v>27.416365970347631</v>
      </c>
      <c r="O2415" s="338"/>
    </row>
    <row r="2416" spans="1:15" hidden="1" outlineLevel="2" x14ac:dyDescent="0.35">
      <c r="A2416" s="425" t="s">
        <v>7834</v>
      </c>
      <c r="B2416" s="327" t="s">
        <v>8089</v>
      </c>
      <c r="C2416" s="426" t="s">
        <v>11246</v>
      </c>
      <c r="D2416" s="427" t="s">
        <v>11309</v>
      </c>
      <c r="E2416" s="426" t="s">
        <v>8122</v>
      </c>
      <c r="F2416" s="338">
        <v>340000</v>
      </c>
      <c r="G2416" s="338" t="s">
        <v>3800</v>
      </c>
      <c r="H2416" s="338"/>
      <c r="I2416" s="329">
        <v>81.057081999288641</v>
      </c>
      <c r="J2416" s="329"/>
      <c r="K2416" s="338">
        <v>20.26427049982216</v>
      </c>
      <c r="L2416" s="338">
        <v>20.26427049982216</v>
      </c>
      <c r="M2416" s="338">
        <v>20.26427049982216</v>
      </c>
      <c r="N2416" s="338">
        <v>20.26427049982216</v>
      </c>
      <c r="O2416" s="338"/>
    </row>
    <row r="2417" spans="1:15" hidden="1" outlineLevel="2" x14ac:dyDescent="0.35">
      <c r="A2417" s="425" t="s">
        <v>7834</v>
      </c>
      <c r="B2417" s="327">
        <v>44347</v>
      </c>
      <c r="C2417" s="426" t="s">
        <v>9849</v>
      </c>
      <c r="D2417" s="427" t="s">
        <v>11310</v>
      </c>
      <c r="E2417" s="426" t="s">
        <v>10039</v>
      </c>
      <c r="F2417" s="338">
        <v>240000</v>
      </c>
      <c r="G2417" s="338" t="s">
        <v>3800</v>
      </c>
      <c r="H2417" s="338"/>
      <c r="I2417" s="329">
        <v>57.216763764203748</v>
      </c>
      <c r="J2417" s="329"/>
      <c r="K2417" s="338">
        <v>14.304190941050937</v>
      </c>
      <c r="L2417" s="338">
        <v>14.304190941050937</v>
      </c>
      <c r="M2417" s="338">
        <v>14.304190941050937</v>
      </c>
      <c r="N2417" s="338">
        <v>14.304190941050937</v>
      </c>
      <c r="O2417" s="338"/>
    </row>
    <row r="2418" spans="1:15" hidden="1" outlineLevel="2" x14ac:dyDescent="0.35">
      <c r="A2418" s="425" t="s">
        <v>7834</v>
      </c>
      <c r="B2418" s="327">
        <v>44145</v>
      </c>
      <c r="C2418" s="426" t="s">
        <v>9451</v>
      </c>
      <c r="D2418" s="427" t="s">
        <v>11311</v>
      </c>
      <c r="E2418" s="426" t="s">
        <v>10039</v>
      </c>
      <c r="F2418" s="338">
        <v>300000</v>
      </c>
      <c r="G2418" s="338" t="s">
        <v>3800</v>
      </c>
      <c r="H2418" s="338"/>
      <c r="I2418" s="329">
        <v>70.325454298239535</v>
      </c>
      <c r="J2418" s="329"/>
      <c r="K2418" s="338">
        <v>17.581363574559884</v>
      </c>
      <c r="L2418" s="338">
        <v>17.581363574559884</v>
      </c>
      <c r="M2418" s="338">
        <v>17.581363574559884</v>
      </c>
      <c r="N2418" s="338">
        <v>17.581363574559884</v>
      </c>
      <c r="O2418" s="338"/>
    </row>
    <row r="2419" spans="1:15" hidden="1" outlineLevel="2" x14ac:dyDescent="0.35">
      <c r="A2419" s="425" t="s">
        <v>7834</v>
      </c>
      <c r="B2419" s="327">
        <v>44404</v>
      </c>
      <c r="C2419" s="426" t="s">
        <v>8253</v>
      </c>
      <c r="D2419" s="427" t="s">
        <v>11312</v>
      </c>
      <c r="E2419" s="426" t="s">
        <v>10039</v>
      </c>
      <c r="F2419" s="338">
        <v>240000</v>
      </c>
      <c r="G2419" s="338" t="s">
        <v>3800</v>
      </c>
      <c r="H2419" s="338"/>
      <c r="I2419" s="329">
        <v>57.216763764203748</v>
      </c>
      <c r="J2419" s="329"/>
      <c r="K2419" s="338">
        <v>14.304190941050937</v>
      </c>
      <c r="L2419" s="338">
        <v>14.304190941050937</v>
      </c>
      <c r="M2419" s="338">
        <v>14.304190941050937</v>
      </c>
      <c r="N2419" s="338">
        <v>14.304190941050937</v>
      </c>
      <c r="O2419" s="338"/>
    </row>
    <row r="2420" spans="1:15" hidden="1" outlineLevel="2" x14ac:dyDescent="0.35">
      <c r="A2420" s="425" t="s">
        <v>7834</v>
      </c>
      <c r="B2420" s="327" t="s">
        <v>8089</v>
      </c>
      <c r="C2420" s="426" t="s">
        <v>9337</v>
      </c>
      <c r="D2420" s="427" t="s">
        <v>11313</v>
      </c>
      <c r="E2420" s="426" t="s">
        <v>8119</v>
      </c>
      <c r="F2420" s="338">
        <v>690000</v>
      </c>
      <c r="G2420" s="338" t="s">
        <v>3800</v>
      </c>
      <c r="H2420" s="338"/>
      <c r="I2420" s="329">
        <v>164.49819582208579</v>
      </c>
      <c r="J2420" s="329"/>
      <c r="K2420" s="338">
        <v>41.124548955521448</v>
      </c>
      <c r="L2420" s="338">
        <v>41.124548955521448</v>
      </c>
      <c r="M2420" s="338">
        <v>41.124548955521448</v>
      </c>
      <c r="N2420" s="338">
        <v>41.124548955521448</v>
      </c>
      <c r="O2420" s="338"/>
    </row>
    <row r="2421" spans="1:15" hidden="1" outlineLevel="2" x14ac:dyDescent="0.35">
      <c r="A2421" s="425" t="s">
        <v>7834</v>
      </c>
      <c r="B2421" s="327">
        <v>44145</v>
      </c>
      <c r="C2421" s="426" t="s">
        <v>9904</v>
      </c>
      <c r="D2421" s="427" t="s">
        <v>11314</v>
      </c>
      <c r="E2421" s="426" t="s">
        <v>10039</v>
      </c>
      <c r="F2421" s="338">
        <v>460000</v>
      </c>
      <c r="G2421" s="338" t="s">
        <v>3800</v>
      </c>
      <c r="H2421" s="338"/>
      <c r="I2421" s="329">
        <v>107.83236325730061</v>
      </c>
      <c r="J2421" s="329"/>
      <c r="K2421" s="338">
        <v>26.958090814325153</v>
      </c>
      <c r="L2421" s="338">
        <v>26.958090814325153</v>
      </c>
      <c r="M2421" s="338">
        <v>26.958090814325153</v>
      </c>
      <c r="N2421" s="338">
        <v>26.958090814325153</v>
      </c>
      <c r="O2421" s="338"/>
    </row>
    <row r="2422" spans="1:15" outlineLevel="1" collapsed="1" x14ac:dyDescent="0.35">
      <c r="A2422" s="432" t="s">
        <v>11315</v>
      </c>
      <c r="B2422" s="327"/>
      <c r="C2422" s="426"/>
      <c r="D2422" s="427"/>
      <c r="E2422" s="426"/>
      <c r="F2422" s="338"/>
      <c r="G2422" s="338"/>
      <c r="H2422" s="338"/>
      <c r="I2422" s="329">
        <f t="shared" ref="I2422:O2422" si="116">SUBTOTAL(9,I2408:I2421)</f>
        <v>1139.5532736560144</v>
      </c>
      <c r="J2422" s="329"/>
      <c r="K2422" s="338">
        <f t="shared" si="116"/>
        <v>284.88831841400361</v>
      </c>
      <c r="L2422" s="338">
        <f t="shared" si="116"/>
        <v>284.88831841400361</v>
      </c>
      <c r="M2422" s="338">
        <f t="shared" si="116"/>
        <v>284.88831841400361</v>
      </c>
      <c r="N2422" s="338">
        <f t="shared" si="116"/>
        <v>284.88831841400361</v>
      </c>
      <c r="O2422" s="338">
        <f t="shared" si="116"/>
        <v>0</v>
      </c>
    </row>
    <row r="2423" spans="1:15" hidden="1" outlineLevel="2" x14ac:dyDescent="0.35">
      <c r="A2423" s="425" t="s">
        <v>7942</v>
      </c>
      <c r="B2423" s="327">
        <v>44120</v>
      </c>
      <c r="C2423" s="426" t="s">
        <v>9438</v>
      </c>
      <c r="D2423" s="427" t="s">
        <v>11316</v>
      </c>
      <c r="E2423" s="426" t="s">
        <v>8196</v>
      </c>
      <c r="F2423" s="338">
        <v>15111100</v>
      </c>
      <c r="G2423" s="338" t="s">
        <v>3800</v>
      </c>
      <c r="H2423" s="338"/>
      <c r="I2423" s="329">
        <v>3542.3165748204246</v>
      </c>
      <c r="J2423" s="329"/>
      <c r="K2423" s="338"/>
      <c r="L2423" s="338"/>
      <c r="M2423" s="338">
        <v>3542.3165748204246</v>
      </c>
      <c r="N2423" s="338"/>
      <c r="O2423" s="338"/>
    </row>
    <row r="2424" spans="1:15" hidden="1" outlineLevel="2" x14ac:dyDescent="0.35">
      <c r="A2424" s="425" t="s">
        <v>7942</v>
      </c>
      <c r="B2424" s="327">
        <v>44116</v>
      </c>
      <c r="C2424" s="426" t="s">
        <v>9818</v>
      </c>
      <c r="D2424" s="427" t="s">
        <v>11317</v>
      </c>
      <c r="E2424" s="426" t="s">
        <v>9670</v>
      </c>
      <c r="F2424" s="338">
        <v>6000000</v>
      </c>
      <c r="G2424" s="338" t="s">
        <v>3800</v>
      </c>
      <c r="H2424" s="338"/>
      <c r="I2424" s="329">
        <v>1406.5090859647905</v>
      </c>
      <c r="J2424" s="329"/>
      <c r="K2424" s="338"/>
      <c r="L2424" s="338"/>
      <c r="M2424" s="338">
        <v>1406.5090859647905</v>
      </c>
      <c r="N2424" s="338"/>
      <c r="O2424" s="338"/>
    </row>
    <row r="2425" spans="1:15" hidden="1" outlineLevel="2" x14ac:dyDescent="0.35">
      <c r="A2425" s="425" t="s">
        <v>7942</v>
      </c>
      <c r="B2425" s="327">
        <v>44148</v>
      </c>
      <c r="C2425" s="426" t="s">
        <v>11303</v>
      </c>
      <c r="D2425" s="427" t="s">
        <v>11318</v>
      </c>
      <c r="E2425" s="426" t="s">
        <v>9670</v>
      </c>
      <c r="F2425" s="338">
        <v>5500000</v>
      </c>
      <c r="G2425" s="338" t="s">
        <v>3800</v>
      </c>
      <c r="H2425" s="338"/>
      <c r="I2425" s="329">
        <v>1289.2999954677248</v>
      </c>
      <c r="J2425" s="329"/>
      <c r="K2425" s="338"/>
      <c r="L2425" s="338"/>
      <c r="M2425" s="338">
        <v>1289.2999954677248</v>
      </c>
      <c r="N2425" s="338"/>
      <c r="O2425" s="338"/>
    </row>
    <row r="2426" spans="1:15" hidden="1" outlineLevel="2" x14ac:dyDescent="0.35">
      <c r="A2426" s="425" t="s">
        <v>7942</v>
      </c>
      <c r="B2426" s="327">
        <v>44134</v>
      </c>
      <c r="C2426" s="426" t="s">
        <v>11319</v>
      </c>
      <c r="D2426" s="427" t="s">
        <v>11320</v>
      </c>
      <c r="E2426" s="426" t="s">
        <v>6620</v>
      </c>
      <c r="F2426" s="338">
        <v>720000</v>
      </c>
      <c r="G2426" s="338" t="s">
        <v>3800</v>
      </c>
      <c r="H2426" s="338"/>
      <c r="I2426" s="329">
        <v>168.78109031577486</v>
      </c>
      <c r="J2426" s="329"/>
      <c r="K2426" s="338"/>
      <c r="L2426" s="338"/>
      <c r="M2426" s="338">
        <v>168.78109031577486</v>
      </c>
      <c r="N2426" s="338"/>
      <c r="O2426" s="338"/>
    </row>
    <row r="2427" spans="1:15" hidden="1" outlineLevel="2" x14ac:dyDescent="0.35">
      <c r="A2427" s="425" t="s">
        <v>7942</v>
      </c>
      <c r="B2427" s="327">
        <v>44134</v>
      </c>
      <c r="C2427" s="426" t="s">
        <v>11321</v>
      </c>
      <c r="D2427" s="427" t="s">
        <v>11320</v>
      </c>
      <c r="E2427" s="426" t="s">
        <v>11322</v>
      </c>
      <c r="F2427" s="338">
        <v>250000</v>
      </c>
      <c r="G2427" s="338" t="s">
        <v>3800</v>
      </c>
      <c r="H2427" s="338"/>
      <c r="I2427" s="329">
        <v>58.604545248532943</v>
      </c>
      <c r="J2427" s="329"/>
      <c r="K2427" s="338"/>
      <c r="L2427" s="338"/>
      <c r="M2427" s="338">
        <v>58.604545248532943</v>
      </c>
      <c r="N2427" s="338"/>
      <c r="O2427" s="338"/>
    </row>
    <row r="2428" spans="1:15" hidden="1" outlineLevel="2" x14ac:dyDescent="0.35">
      <c r="A2428" s="425" t="s">
        <v>7942</v>
      </c>
      <c r="B2428" s="327">
        <v>44134</v>
      </c>
      <c r="C2428" s="426" t="s">
        <v>11323</v>
      </c>
      <c r="D2428" s="427" t="s">
        <v>11320</v>
      </c>
      <c r="E2428" s="426" t="s">
        <v>10239</v>
      </c>
      <c r="F2428" s="338">
        <v>600000</v>
      </c>
      <c r="G2428" s="338" t="s">
        <v>3800</v>
      </c>
      <c r="H2428" s="338"/>
      <c r="I2428" s="329">
        <v>140.65090859647907</v>
      </c>
      <c r="J2428" s="329"/>
      <c r="K2428" s="338"/>
      <c r="L2428" s="338"/>
      <c r="M2428" s="338">
        <v>140.65090859647907</v>
      </c>
      <c r="N2428" s="338"/>
      <c r="O2428" s="338"/>
    </row>
    <row r="2429" spans="1:15" hidden="1" outlineLevel="2" x14ac:dyDescent="0.35">
      <c r="A2429" s="425" t="s">
        <v>7942</v>
      </c>
      <c r="B2429" s="327">
        <v>44165</v>
      </c>
      <c r="C2429" s="426" t="s">
        <v>8520</v>
      </c>
      <c r="D2429" s="427" t="s">
        <v>11320</v>
      </c>
      <c r="E2429" s="426" t="s">
        <v>6620</v>
      </c>
      <c r="F2429" s="338">
        <v>600000</v>
      </c>
      <c r="G2429" s="338" t="s">
        <v>3800</v>
      </c>
      <c r="H2429" s="338"/>
      <c r="I2429" s="329">
        <v>140.65090859647907</v>
      </c>
      <c r="J2429" s="329"/>
      <c r="K2429" s="338"/>
      <c r="L2429" s="338"/>
      <c r="M2429" s="338">
        <v>140.65090859647907</v>
      </c>
      <c r="N2429" s="338"/>
      <c r="O2429" s="338"/>
    </row>
    <row r="2430" spans="1:15" hidden="1" outlineLevel="2" x14ac:dyDescent="0.35">
      <c r="A2430" s="425" t="s">
        <v>7942</v>
      </c>
      <c r="B2430" s="327">
        <v>44165</v>
      </c>
      <c r="C2430" s="426" t="s">
        <v>11324</v>
      </c>
      <c r="D2430" s="427" t="s">
        <v>11325</v>
      </c>
      <c r="E2430" s="426" t="s">
        <v>6620</v>
      </c>
      <c r="F2430" s="338">
        <v>720000</v>
      </c>
      <c r="G2430" s="338" t="s">
        <v>3800</v>
      </c>
      <c r="H2430" s="338"/>
      <c r="I2430" s="329">
        <v>168.78109031577486</v>
      </c>
      <c r="J2430" s="329"/>
      <c r="K2430" s="338"/>
      <c r="L2430" s="338"/>
      <c r="M2430" s="338">
        <v>168.78109031577486</v>
      </c>
      <c r="N2430" s="338"/>
      <c r="O2430" s="338"/>
    </row>
    <row r="2431" spans="1:15" hidden="1" outlineLevel="2" x14ac:dyDescent="0.35">
      <c r="A2431" s="425" t="s">
        <v>7942</v>
      </c>
      <c r="B2431" s="327">
        <v>44165</v>
      </c>
      <c r="C2431" s="426" t="s">
        <v>11326</v>
      </c>
      <c r="D2431" s="427" t="s">
        <v>11325</v>
      </c>
      <c r="E2431" s="426" t="s">
        <v>8256</v>
      </c>
      <c r="F2431" s="338">
        <v>250000</v>
      </c>
      <c r="G2431" s="338" t="s">
        <v>3800</v>
      </c>
      <c r="H2431" s="338"/>
      <c r="I2431" s="329">
        <v>58.604545248532943</v>
      </c>
      <c r="J2431" s="329"/>
      <c r="K2431" s="338"/>
      <c r="L2431" s="338"/>
      <c r="M2431" s="338">
        <v>58.604545248532943</v>
      </c>
      <c r="N2431" s="338"/>
      <c r="O2431" s="338"/>
    </row>
    <row r="2432" spans="1:15" hidden="1" outlineLevel="2" x14ac:dyDescent="0.35">
      <c r="A2432" s="425" t="s">
        <v>7942</v>
      </c>
      <c r="B2432" s="327">
        <v>44165</v>
      </c>
      <c r="C2432" s="426" t="s">
        <v>11327</v>
      </c>
      <c r="D2432" s="427" t="s">
        <v>11325</v>
      </c>
      <c r="E2432" s="426" t="s">
        <v>11328</v>
      </c>
      <c r="F2432" s="338">
        <v>300000</v>
      </c>
      <c r="G2432" s="338" t="s">
        <v>3800</v>
      </c>
      <c r="H2432" s="338"/>
      <c r="I2432" s="329">
        <v>70.325454298239535</v>
      </c>
      <c r="J2432" s="329"/>
      <c r="K2432" s="338"/>
      <c r="L2432" s="338"/>
      <c r="M2432" s="338">
        <v>70.325454298239535</v>
      </c>
      <c r="N2432" s="338"/>
      <c r="O2432" s="338"/>
    </row>
    <row r="2433" spans="1:15" hidden="1" outlineLevel="2" x14ac:dyDescent="0.35">
      <c r="A2433" s="425" t="s">
        <v>7942</v>
      </c>
      <c r="B2433" s="327">
        <v>44165</v>
      </c>
      <c r="C2433" s="426" t="s">
        <v>11329</v>
      </c>
      <c r="D2433" s="427" t="s">
        <v>11325</v>
      </c>
      <c r="E2433" s="426" t="s">
        <v>11330</v>
      </c>
      <c r="F2433" s="338">
        <v>500000</v>
      </c>
      <c r="G2433" s="338" t="s">
        <v>3800</v>
      </c>
      <c r="H2433" s="338"/>
      <c r="I2433" s="329">
        <v>117.20909049706589</v>
      </c>
      <c r="J2433" s="329"/>
      <c r="K2433" s="338"/>
      <c r="L2433" s="338"/>
      <c r="M2433" s="338">
        <v>117.20909049706589</v>
      </c>
      <c r="N2433" s="338"/>
      <c r="O2433" s="338"/>
    </row>
    <row r="2434" spans="1:15" hidden="1" outlineLevel="2" x14ac:dyDescent="0.35">
      <c r="A2434" s="425" t="s">
        <v>7942</v>
      </c>
      <c r="B2434" s="327">
        <v>44165</v>
      </c>
      <c r="C2434" s="426" t="s">
        <v>10321</v>
      </c>
      <c r="D2434" s="427" t="s">
        <v>11325</v>
      </c>
      <c r="E2434" s="426" t="s">
        <v>11331</v>
      </c>
      <c r="F2434" s="338">
        <v>450000</v>
      </c>
      <c r="G2434" s="338" t="s">
        <v>3800</v>
      </c>
      <c r="H2434" s="338"/>
      <c r="I2434" s="329">
        <v>105.4881814473593</v>
      </c>
      <c r="J2434" s="329"/>
      <c r="K2434" s="338"/>
      <c r="L2434" s="338"/>
      <c r="M2434" s="338">
        <v>105.4881814473593</v>
      </c>
      <c r="N2434" s="338"/>
      <c r="O2434" s="338"/>
    </row>
    <row r="2435" spans="1:15" hidden="1" outlineLevel="2" x14ac:dyDescent="0.35">
      <c r="A2435" s="425" t="s">
        <v>7942</v>
      </c>
      <c r="B2435" s="327">
        <v>44165</v>
      </c>
      <c r="C2435" s="426" t="s">
        <v>10323</v>
      </c>
      <c r="D2435" s="427" t="s">
        <v>11325</v>
      </c>
      <c r="E2435" s="426" t="s">
        <v>11331</v>
      </c>
      <c r="F2435" s="338">
        <v>540000</v>
      </c>
      <c r="G2435" s="338" t="s">
        <v>3800</v>
      </c>
      <c r="H2435" s="338"/>
      <c r="I2435" s="329">
        <v>126.58581773683116</v>
      </c>
      <c r="J2435" s="329"/>
      <c r="K2435" s="338"/>
      <c r="L2435" s="338"/>
      <c r="M2435" s="338">
        <v>126.58581773683116</v>
      </c>
      <c r="N2435" s="338"/>
      <c r="O2435" s="338"/>
    </row>
    <row r="2436" spans="1:15" hidden="1" outlineLevel="2" x14ac:dyDescent="0.35">
      <c r="A2436" s="425" t="s">
        <v>7942</v>
      </c>
      <c r="B2436" s="327">
        <v>44165</v>
      </c>
      <c r="C2436" s="426" t="s">
        <v>11332</v>
      </c>
      <c r="D2436" s="427" t="s">
        <v>11325</v>
      </c>
      <c r="E2436" s="426" t="s">
        <v>6620</v>
      </c>
      <c r="F2436" s="338">
        <v>600000</v>
      </c>
      <c r="G2436" s="338" t="s">
        <v>3800</v>
      </c>
      <c r="H2436" s="338"/>
      <c r="I2436" s="329">
        <v>140.65090859647907</v>
      </c>
      <c r="J2436" s="329"/>
      <c r="K2436" s="338"/>
      <c r="L2436" s="338"/>
      <c r="M2436" s="338">
        <v>140.65090859647907</v>
      </c>
      <c r="N2436" s="338"/>
      <c r="O2436" s="338"/>
    </row>
    <row r="2437" spans="1:15" hidden="1" outlineLevel="2" x14ac:dyDescent="0.35">
      <c r="A2437" s="425" t="s">
        <v>7942</v>
      </c>
      <c r="B2437" s="327">
        <v>44134</v>
      </c>
      <c r="C2437" s="426" t="s">
        <v>9835</v>
      </c>
      <c r="D2437" s="427" t="s">
        <v>11333</v>
      </c>
      <c r="E2437" s="426" t="s">
        <v>6620</v>
      </c>
      <c r="F2437" s="338">
        <v>600000</v>
      </c>
      <c r="G2437" s="338" t="s">
        <v>3800</v>
      </c>
      <c r="H2437" s="338"/>
      <c r="I2437" s="329">
        <v>140.65090859647907</v>
      </c>
      <c r="J2437" s="329"/>
      <c r="K2437" s="338"/>
      <c r="L2437" s="338"/>
      <c r="M2437" s="338">
        <v>140.65090859647907</v>
      </c>
      <c r="N2437" s="338"/>
      <c r="O2437" s="338"/>
    </row>
    <row r="2438" spans="1:15" hidden="1" outlineLevel="2" x14ac:dyDescent="0.35">
      <c r="A2438" s="425" t="s">
        <v>7942</v>
      </c>
      <c r="B2438" s="327">
        <v>44134</v>
      </c>
      <c r="C2438" s="426" t="s">
        <v>9793</v>
      </c>
      <c r="D2438" s="427" t="s">
        <v>11334</v>
      </c>
      <c r="E2438" s="426" t="s">
        <v>6620</v>
      </c>
      <c r="F2438" s="338">
        <v>600000</v>
      </c>
      <c r="G2438" s="338" t="s">
        <v>3800</v>
      </c>
      <c r="H2438" s="338"/>
      <c r="I2438" s="329">
        <v>140.65090859647907</v>
      </c>
      <c r="J2438" s="329"/>
      <c r="K2438" s="338"/>
      <c r="L2438" s="338"/>
      <c r="M2438" s="338">
        <v>140.65090859647907</v>
      </c>
      <c r="N2438" s="338"/>
      <c r="O2438" s="338"/>
    </row>
    <row r="2439" spans="1:15" hidden="1" outlineLevel="2" x14ac:dyDescent="0.35">
      <c r="A2439" s="425" t="s">
        <v>7942</v>
      </c>
      <c r="B2439" s="327">
        <v>44165</v>
      </c>
      <c r="C2439" s="426" t="s">
        <v>8451</v>
      </c>
      <c r="D2439" s="427" t="s">
        <v>11334</v>
      </c>
      <c r="E2439" s="426" t="s">
        <v>6620</v>
      </c>
      <c r="F2439" s="338">
        <v>450000</v>
      </c>
      <c r="G2439" s="338" t="s">
        <v>3800</v>
      </c>
      <c r="H2439" s="338"/>
      <c r="I2439" s="329">
        <v>105.4881814473593</v>
      </c>
      <c r="J2439" s="329"/>
      <c r="K2439" s="338"/>
      <c r="L2439" s="338"/>
      <c r="M2439" s="338">
        <v>105.4881814473593</v>
      </c>
      <c r="N2439" s="338"/>
      <c r="O2439" s="338"/>
    </row>
    <row r="2440" spans="1:15" hidden="1" outlineLevel="2" x14ac:dyDescent="0.35">
      <c r="A2440" s="425" t="s">
        <v>7942</v>
      </c>
      <c r="B2440" s="327">
        <v>43967</v>
      </c>
      <c r="C2440" s="426" t="s">
        <v>9827</v>
      </c>
      <c r="D2440" s="427" t="s">
        <v>11335</v>
      </c>
      <c r="E2440" s="426" t="s">
        <v>8499</v>
      </c>
      <c r="F2440" s="338">
        <v>6533021</v>
      </c>
      <c r="G2440" s="338" t="s">
        <v>3800</v>
      </c>
      <c r="H2440" s="338"/>
      <c r="I2440" s="329">
        <v>1531.4588992164638</v>
      </c>
      <c r="J2440" s="329"/>
      <c r="K2440" s="338"/>
      <c r="L2440" s="338"/>
      <c r="M2440" s="338">
        <v>1531.4588992164638</v>
      </c>
      <c r="N2440" s="338"/>
      <c r="O2440" s="338"/>
    </row>
    <row r="2441" spans="1:15" hidden="1" outlineLevel="2" x14ac:dyDescent="0.35">
      <c r="A2441" s="425" t="s">
        <v>7942</v>
      </c>
      <c r="B2441" s="327">
        <v>44142</v>
      </c>
      <c r="C2441" s="426" t="s">
        <v>10004</v>
      </c>
      <c r="D2441" s="427" t="s">
        <v>11336</v>
      </c>
      <c r="E2441" s="426" t="s">
        <v>8196</v>
      </c>
      <c r="F2441" s="338">
        <v>10512950</v>
      </c>
      <c r="G2441" s="338" t="s">
        <v>3800</v>
      </c>
      <c r="H2441" s="338"/>
      <c r="I2441" s="329">
        <v>2464.4266158822575</v>
      </c>
      <c r="J2441" s="329"/>
      <c r="K2441" s="338"/>
      <c r="L2441" s="338"/>
      <c r="M2441" s="338">
        <v>2464.4266158822575</v>
      </c>
      <c r="N2441" s="338"/>
      <c r="O2441" s="338"/>
    </row>
    <row r="2442" spans="1:15" hidden="1" outlineLevel="2" x14ac:dyDescent="0.35">
      <c r="A2442" s="425" t="s">
        <v>7942</v>
      </c>
      <c r="B2442" s="327">
        <v>44104</v>
      </c>
      <c r="C2442" s="426" t="s">
        <v>11337</v>
      </c>
      <c r="D2442" s="427" t="s">
        <v>11338</v>
      </c>
      <c r="E2442" s="426" t="s">
        <v>10393</v>
      </c>
      <c r="F2442" s="338">
        <v>2335000</v>
      </c>
      <c r="G2442" s="338" t="s">
        <v>3800</v>
      </c>
      <c r="H2442" s="338"/>
      <c r="I2442" s="329">
        <v>547.36645262129764</v>
      </c>
      <c r="J2442" s="329"/>
      <c r="K2442" s="338"/>
      <c r="L2442" s="338"/>
      <c r="M2442" s="338">
        <v>547.36645262129764</v>
      </c>
      <c r="N2442" s="338"/>
      <c r="O2442" s="338"/>
    </row>
    <row r="2443" spans="1:15" hidden="1" outlineLevel="2" x14ac:dyDescent="0.35">
      <c r="A2443" s="425" t="s">
        <v>7942</v>
      </c>
      <c r="B2443" s="327">
        <v>44164</v>
      </c>
      <c r="C2443" s="426" t="s">
        <v>11305</v>
      </c>
      <c r="D2443" s="427" t="s">
        <v>11339</v>
      </c>
      <c r="E2443" s="426" t="s">
        <v>9985</v>
      </c>
      <c r="F2443" s="338">
        <v>10086352</v>
      </c>
      <c r="G2443" s="338" t="s">
        <v>3800</v>
      </c>
      <c r="H2443" s="338"/>
      <c r="I2443" s="329">
        <v>2364.4242887065229</v>
      </c>
      <c r="J2443" s="329"/>
      <c r="K2443" s="338"/>
      <c r="L2443" s="338"/>
      <c r="M2443" s="338">
        <v>2364.4242887065229</v>
      </c>
      <c r="N2443" s="338"/>
      <c r="O2443" s="338"/>
    </row>
    <row r="2444" spans="1:15" outlineLevel="1" collapsed="1" x14ac:dyDescent="0.35">
      <c r="A2444" s="432" t="s">
        <v>11340</v>
      </c>
      <c r="B2444" s="327"/>
      <c r="C2444" s="426"/>
      <c r="D2444" s="427"/>
      <c r="E2444" s="426"/>
      <c r="F2444" s="338"/>
      <c r="G2444" s="338"/>
      <c r="H2444" s="338"/>
      <c r="I2444" s="329">
        <f t="shared" ref="I2444:O2444" si="117">SUBTOTAL(9,I2423:I2443)</f>
        <v>14828.924452217349</v>
      </c>
      <c r="J2444" s="329"/>
      <c r="K2444" s="338">
        <f t="shared" si="117"/>
        <v>0</v>
      </c>
      <c r="L2444" s="338">
        <f t="shared" si="117"/>
        <v>0</v>
      </c>
      <c r="M2444" s="338">
        <f t="shared" si="117"/>
        <v>14828.924452217349</v>
      </c>
      <c r="N2444" s="338">
        <f t="shared" si="117"/>
        <v>0</v>
      </c>
      <c r="O2444" s="338">
        <f t="shared" si="117"/>
        <v>0</v>
      </c>
    </row>
    <row r="2445" spans="1:15" hidden="1" outlineLevel="2" x14ac:dyDescent="0.35">
      <c r="A2445" s="425" t="s">
        <v>7931</v>
      </c>
      <c r="B2445" s="327">
        <v>44404</v>
      </c>
      <c r="C2445" s="426" t="s">
        <v>10098</v>
      </c>
      <c r="D2445" s="427" t="s">
        <v>11341</v>
      </c>
      <c r="E2445" s="426" t="s">
        <v>8196</v>
      </c>
      <c r="F2445" s="338">
        <v>750000</v>
      </c>
      <c r="G2445" s="338" t="s">
        <v>3800</v>
      </c>
      <c r="H2445" s="338"/>
      <c r="I2445" s="329">
        <v>178.80238676313672</v>
      </c>
      <c r="J2445" s="329"/>
      <c r="K2445" s="338"/>
      <c r="L2445" s="338"/>
      <c r="M2445" s="338">
        <v>178.80238676313672</v>
      </c>
      <c r="N2445" s="338"/>
      <c r="O2445" s="338"/>
    </row>
    <row r="2446" spans="1:15" hidden="1" outlineLevel="2" x14ac:dyDescent="0.35">
      <c r="A2446" s="425" t="s">
        <v>7931</v>
      </c>
      <c r="B2446" s="327">
        <v>44165</v>
      </c>
      <c r="C2446" s="426" t="s">
        <v>10330</v>
      </c>
      <c r="D2446" s="427" t="s">
        <v>11342</v>
      </c>
      <c r="E2446" s="426" t="s">
        <v>6620</v>
      </c>
      <c r="F2446" s="338">
        <v>3000000</v>
      </c>
      <c r="G2446" s="338" t="s">
        <v>3800</v>
      </c>
      <c r="H2446" s="338"/>
      <c r="I2446" s="329">
        <v>703.25454298239526</v>
      </c>
      <c r="J2446" s="329"/>
      <c r="K2446" s="338"/>
      <c r="L2446" s="338"/>
      <c r="M2446" s="338">
        <v>703.25454298239526</v>
      </c>
      <c r="N2446" s="338"/>
      <c r="O2446" s="338"/>
    </row>
    <row r="2447" spans="1:15" hidden="1" outlineLevel="2" x14ac:dyDescent="0.35">
      <c r="A2447" s="425" t="s">
        <v>7931</v>
      </c>
      <c r="B2447" s="327">
        <v>44194</v>
      </c>
      <c r="C2447" s="426" t="s">
        <v>10307</v>
      </c>
      <c r="D2447" s="427" t="s">
        <v>11342</v>
      </c>
      <c r="E2447" s="426" t="s">
        <v>6620</v>
      </c>
      <c r="F2447" s="338">
        <v>450000</v>
      </c>
      <c r="G2447" s="338" t="s">
        <v>3800</v>
      </c>
      <c r="H2447" s="338"/>
      <c r="I2447" s="329">
        <v>105.4881814473593</v>
      </c>
      <c r="J2447" s="329"/>
      <c r="K2447" s="338"/>
      <c r="L2447" s="338"/>
      <c r="M2447" s="338">
        <v>105.4881814473593</v>
      </c>
      <c r="N2447" s="338"/>
      <c r="O2447" s="338"/>
    </row>
    <row r="2448" spans="1:15" hidden="1" outlineLevel="2" x14ac:dyDescent="0.35">
      <c r="A2448" s="425" t="s">
        <v>7931</v>
      </c>
      <c r="B2448" s="327">
        <v>44369</v>
      </c>
      <c r="C2448" s="426" t="s">
        <v>11343</v>
      </c>
      <c r="D2448" s="427" t="s">
        <v>11344</v>
      </c>
      <c r="E2448" s="426" t="s">
        <v>11345</v>
      </c>
      <c r="F2448" s="338">
        <v>6000000</v>
      </c>
      <c r="G2448" s="338" t="s">
        <v>3800</v>
      </c>
      <c r="H2448" s="338"/>
      <c r="I2448" s="329">
        <v>1430.4190941050938</v>
      </c>
      <c r="J2448" s="329"/>
      <c r="K2448" s="338"/>
      <c r="L2448" s="338"/>
      <c r="M2448" s="338">
        <v>1430.4190941050938</v>
      </c>
      <c r="N2448" s="338"/>
      <c r="O2448" s="338"/>
    </row>
    <row r="2449" spans="1:15" hidden="1" outlineLevel="2" x14ac:dyDescent="0.35">
      <c r="A2449" s="425" t="s">
        <v>7931</v>
      </c>
      <c r="B2449" s="327">
        <v>44404</v>
      </c>
      <c r="C2449" s="426" t="s">
        <v>10098</v>
      </c>
      <c r="D2449" s="427" t="s">
        <v>11346</v>
      </c>
      <c r="E2449" s="426" t="s">
        <v>10217</v>
      </c>
      <c r="F2449" s="338">
        <v>250000</v>
      </c>
      <c r="G2449" s="338" t="s">
        <v>3800</v>
      </c>
      <c r="H2449" s="338"/>
      <c r="I2449" s="329">
        <v>59.600795587712241</v>
      </c>
      <c r="J2449" s="329"/>
      <c r="K2449" s="338"/>
      <c r="L2449" s="338"/>
      <c r="M2449" s="338">
        <v>59.600795587712241</v>
      </c>
      <c r="N2449" s="338"/>
      <c r="O2449" s="338"/>
    </row>
    <row r="2450" spans="1:15" hidden="1" outlineLevel="2" x14ac:dyDescent="0.35">
      <c r="A2450" s="425" t="s">
        <v>7931</v>
      </c>
      <c r="B2450" s="327">
        <v>44361</v>
      </c>
      <c r="C2450" s="426" t="s">
        <v>9782</v>
      </c>
      <c r="D2450" s="427" t="s">
        <v>11347</v>
      </c>
      <c r="E2450" s="426" t="s">
        <v>9456</v>
      </c>
      <c r="F2450" s="338">
        <v>53457800</v>
      </c>
      <c r="G2450" s="338" t="s">
        <v>3800</v>
      </c>
      <c r="H2450" s="338"/>
      <c r="I2450" s="329">
        <v>12744.509641475213</v>
      </c>
      <c r="J2450" s="329"/>
      <c r="K2450" s="338"/>
      <c r="L2450" s="338"/>
      <c r="M2450" s="338">
        <v>12744.509641475213</v>
      </c>
      <c r="N2450" s="338"/>
      <c r="O2450" s="338"/>
    </row>
    <row r="2451" spans="1:15" hidden="1" outlineLevel="2" x14ac:dyDescent="0.35">
      <c r="A2451" s="425" t="s">
        <v>7931</v>
      </c>
      <c r="B2451" s="327">
        <v>44369</v>
      </c>
      <c r="C2451" s="426" t="s">
        <v>11337</v>
      </c>
      <c r="D2451" s="427" t="s">
        <v>11348</v>
      </c>
      <c r="E2451" s="426" t="s">
        <v>8196</v>
      </c>
      <c r="F2451" s="338">
        <v>24346000</v>
      </c>
      <c r="G2451" s="338" t="s">
        <v>3800</v>
      </c>
      <c r="H2451" s="338"/>
      <c r="I2451" s="329">
        <v>5804.163877513769</v>
      </c>
      <c r="J2451" s="329"/>
      <c r="K2451" s="338"/>
      <c r="L2451" s="338"/>
      <c r="M2451" s="338">
        <v>5804.163877513769</v>
      </c>
      <c r="N2451" s="338"/>
      <c r="O2451" s="338"/>
    </row>
    <row r="2452" spans="1:15" hidden="1" outlineLevel="2" x14ac:dyDescent="0.35">
      <c r="A2452" s="425" t="s">
        <v>7931</v>
      </c>
      <c r="B2452" s="327">
        <v>44377</v>
      </c>
      <c r="C2452" s="426" t="s">
        <v>8248</v>
      </c>
      <c r="D2452" s="427" t="s">
        <v>11349</v>
      </c>
      <c r="E2452" s="426" t="s">
        <v>8110</v>
      </c>
      <c r="F2452" s="338">
        <v>3000000</v>
      </c>
      <c r="G2452" s="338" t="s">
        <v>3800</v>
      </c>
      <c r="H2452" s="338"/>
      <c r="I2452" s="329">
        <v>715.2095470525469</v>
      </c>
      <c r="J2452" s="329"/>
      <c r="K2452" s="338"/>
      <c r="L2452" s="338"/>
      <c r="M2452" s="338">
        <v>715.2095470525469</v>
      </c>
      <c r="N2452" s="338"/>
      <c r="O2452" s="338"/>
    </row>
    <row r="2453" spans="1:15" hidden="1" outlineLevel="2" x14ac:dyDescent="0.35">
      <c r="A2453" s="425" t="s">
        <v>7931</v>
      </c>
      <c r="B2453" s="327">
        <v>44377</v>
      </c>
      <c r="C2453" s="426" t="s">
        <v>10084</v>
      </c>
      <c r="D2453" s="427" t="s">
        <v>11350</v>
      </c>
      <c r="E2453" s="426" t="s">
        <v>8200</v>
      </c>
      <c r="F2453" s="338">
        <v>1200000</v>
      </c>
      <c r="G2453" s="338" t="s">
        <v>3800</v>
      </c>
      <c r="H2453" s="338"/>
      <c r="I2453" s="329">
        <v>286.08381882101872</v>
      </c>
      <c r="J2453" s="329"/>
      <c r="K2453" s="338"/>
      <c r="L2453" s="338"/>
      <c r="M2453" s="338">
        <v>286.08381882101872</v>
      </c>
      <c r="N2453" s="338"/>
      <c r="O2453" s="338"/>
    </row>
    <row r="2454" spans="1:15" hidden="1" outlineLevel="2" x14ac:dyDescent="0.35">
      <c r="A2454" s="425" t="s">
        <v>7931</v>
      </c>
      <c r="B2454" s="327">
        <v>44404</v>
      </c>
      <c r="C2454" s="426" t="s">
        <v>10098</v>
      </c>
      <c r="D2454" s="427" t="s">
        <v>11351</v>
      </c>
      <c r="E2454" s="426" t="s">
        <v>8196</v>
      </c>
      <c r="F2454" s="338">
        <v>300000</v>
      </c>
      <c r="G2454" s="338" t="s">
        <v>3800</v>
      </c>
      <c r="H2454" s="338"/>
      <c r="I2454" s="329">
        <v>71.520954705254681</v>
      </c>
      <c r="J2454" s="329"/>
      <c r="K2454" s="338"/>
      <c r="L2454" s="338"/>
      <c r="M2454" s="338">
        <v>71.520954705254681</v>
      </c>
      <c r="N2454" s="338"/>
      <c r="O2454" s="338"/>
    </row>
    <row r="2455" spans="1:15" hidden="1" outlineLevel="2" x14ac:dyDescent="0.35">
      <c r="A2455" s="425" t="s">
        <v>7931</v>
      </c>
      <c r="B2455" s="327">
        <v>44404</v>
      </c>
      <c r="C2455" s="426" t="s">
        <v>10334</v>
      </c>
      <c r="D2455" s="427" t="s">
        <v>11352</v>
      </c>
      <c r="E2455" s="426" t="s">
        <v>8191</v>
      </c>
      <c r="F2455" s="338">
        <v>900000</v>
      </c>
      <c r="G2455" s="338" t="s">
        <v>3800</v>
      </c>
      <c r="H2455" s="338"/>
      <c r="I2455" s="329">
        <v>214.56286411576406</v>
      </c>
      <c r="J2455" s="329"/>
      <c r="K2455" s="338"/>
      <c r="L2455" s="338"/>
      <c r="M2455" s="338">
        <v>214.56286411576406</v>
      </c>
      <c r="N2455" s="338"/>
      <c r="O2455" s="338"/>
    </row>
    <row r="2456" spans="1:15" hidden="1" outlineLevel="2" x14ac:dyDescent="0.35">
      <c r="A2456" s="425" t="s">
        <v>7931</v>
      </c>
      <c r="B2456" s="327">
        <v>44404</v>
      </c>
      <c r="C2456" s="426" t="s">
        <v>11353</v>
      </c>
      <c r="D2456" s="427" t="s">
        <v>11354</v>
      </c>
      <c r="E2456" s="426" t="s">
        <v>10217</v>
      </c>
      <c r="F2456" s="338">
        <v>6133500</v>
      </c>
      <c r="G2456" s="338" t="s">
        <v>3800</v>
      </c>
      <c r="H2456" s="338"/>
      <c r="I2456" s="329">
        <v>1462.2459189489321</v>
      </c>
      <c r="J2456" s="329"/>
      <c r="K2456" s="338"/>
      <c r="L2456" s="338"/>
      <c r="M2456" s="338">
        <v>1462.2459189489321</v>
      </c>
      <c r="N2456" s="338"/>
      <c r="O2456" s="338"/>
    </row>
    <row r="2457" spans="1:15" hidden="1" outlineLevel="2" x14ac:dyDescent="0.35">
      <c r="A2457" s="425" t="s">
        <v>7931</v>
      </c>
      <c r="B2457" s="327">
        <v>44369</v>
      </c>
      <c r="C2457" s="426" t="s">
        <v>11355</v>
      </c>
      <c r="D2457" s="427" t="s">
        <v>11356</v>
      </c>
      <c r="E2457" s="426" t="s">
        <v>11345</v>
      </c>
      <c r="F2457" s="338">
        <v>190000</v>
      </c>
      <c r="G2457" s="338" t="s">
        <v>3800</v>
      </c>
      <c r="H2457" s="338"/>
      <c r="I2457" s="329">
        <v>45.296604646661301</v>
      </c>
      <c r="J2457" s="329"/>
      <c r="K2457" s="338"/>
      <c r="L2457" s="338"/>
      <c r="M2457" s="338">
        <v>45.296604646661301</v>
      </c>
      <c r="N2457" s="338"/>
      <c r="O2457" s="338"/>
    </row>
    <row r="2458" spans="1:15" hidden="1" outlineLevel="2" x14ac:dyDescent="0.35">
      <c r="A2458" s="425" t="s">
        <v>7931</v>
      </c>
      <c r="B2458" s="327">
        <v>44361</v>
      </c>
      <c r="C2458" s="426" t="s">
        <v>8497</v>
      </c>
      <c r="D2458" s="427" t="s">
        <v>11357</v>
      </c>
      <c r="E2458" s="426" t="s">
        <v>11358</v>
      </c>
      <c r="F2458" s="338">
        <v>3412200</v>
      </c>
      <c r="G2458" s="338" t="s">
        <v>3800</v>
      </c>
      <c r="H2458" s="338"/>
      <c r="I2458" s="329">
        <v>813.47933881756683</v>
      </c>
      <c r="J2458" s="329"/>
      <c r="K2458" s="338"/>
      <c r="L2458" s="338"/>
      <c r="M2458" s="338">
        <v>813.47933881756683</v>
      </c>
      <c r="N2458" s="338"/>
      <c r="O2458" s="338"/>
    </row>
    <row r="2459" spans="1:15" hidden="1" outlineLevel="2" x14ac:dyDescent="0.35">
      <c r="A2459" s="425" t="s">
        <v>7931</v>
      </c>
      <c r="B2459" s="327">
        <v>44404</v>
      </c>
      <c r="C2459" s="426" t="s">
        <v>11359</v>
      </c>
      <c r="D2459" s="427" t="s">
        <v>11360</v>
      </c>
      <c r="E2459" s="426" t="s">
        <v>11361</v>
      </c>
      <c r="F2459" s="338">
        <v>391500</v>
      </c>
      <c r="G2459" s="338" t="s">
        <v>3800</v>
      </c>
      <c r="H2459" s="338"/>
      <c r="I2459" s="329">
        <v>93.334845890357371</v>
      </c>
      <c r="J2459" s="329"/>
      <c r="K2459" s="338"/>
      <c r="L2459" s="338"/>
      <c r="M2459" s="338">
        <v>93.334845890357371</v>
      </c>
      <c r="N2459" s="338"/>
      <c r="O2459" s="338"/>
    </row>
    <row r="2460" spans="1:15" outlineLevel="1" collapsed="1" x14ac:dyDescent="0.35">
      <c r="A2460" s="432" t="s">
        <v>11362</v>
      </c>
      <c r="B2460" s="327"/>
      <c r="C2460" s="426"/>
      <c r="D2460" s="427"/>
      <c r="E2460" s="426"/>
      <c r="F2460" s="338"/>
      <c r="G2460" s="338"/>
      <c r="H2460" s="338"/>
      <c r="I2460" s="329">
        <f t="shared" ref="I2460:O2460" si="118">SUBTOTAL(9,I2445:I2459)</f>
        <v>24727.972412872776</v>
      </c>
      <c r="J2460" s="329"/>
      <c r="K2460" s="338">
        <f t="shared" si="118"/>
        <v>0</v>
      </c>
      <c r="L2460" s="338">
        <f t="shared" si="118"/>
        <v>0</v>
      </c>
      <c r="M2460" s="338">
        <f t="shared" si="118"/>
        <v>24727.972412872776</v>
      </c>
      <c r="N2460" s="338">
        <f t="shared" si="118"/>
        <v>0</v>
      </c>
      <c r="O2460" s="338">
        <f t="shared" si="118"/>
        <v>0</v>
      </c>
    </row>
    <row r="2461" spans="1:15" hidden="1" outlineLevel="2" x14ac:dyDescent="0.35">
      <c r="A2461" s="425" t="s">
        <v>7956</v>
      </c>
      <c r="B2461" s="327">
        <v>44550</v>
      </c>
      <c r="C2461" s="426" t="s">
        <v>11363</v>
      </c>
      <c r="D2461" s="427" t="s">
        <v>11364</v>
      </c>
      <c r="E2461" s="426" t="s">
        <v>8196</v>
      </c>
      <c r="F2461" s="338">
        <v>600000</v>
      </c>
      <c r="G2461" s="338" t="s">
        <v>3800</v>
      </c>
      <c r="H2461" s="338"/>
      <c r="I2461" s="329">
        <v>143.04190941050936</v>
      </c>
      <c r="J2461" s="329"/>
      <c r="K2461" s="338"/>
      <c r="L2461" s="338"/>
      <c r="M2461" s="338"/>
      <c r="N2461" s="338">
        <v>143.04190941050936</v>
      </c>
      <c r="O2461" s="338"/>
    </row>
    <row r="2462" spans="1:15" hidden="1" outlineLevel="2" x14ac:dyDescent="0.35">
      <c r="A2462" s="425" t="s">
        <v>7956</v>
      </c>
      <c r="B2462" s="327">
        <v>44561</v>
      </c>
      <c r="C2462" s="426" t="s">
        <v>11365</v>
      </c>
      <c r="D2462" s="427" t="s">
        <v>11364</v>
      </c>
      <c r="E2462" s="426" t="s">
        <v>11366</v>
      </c>
      <c r="F2462" s="338">
        <v>480000</v>
      </c>
      <c r="G2462" s="338" t="s">
        <v>3800</v>
      </c>
      <c r="H2462" s="338"/>
      <c r="I2462" s="329">
        <v>114.4335275284075</v>
      </c>
      <c r="J2462" s="329"/>
      <c r="K2462" s="338"/>
      <c r="L2462" s="338"/>
      <c r="M2462" s="338"/>
      <c r="N2462" s="338">
        <v>114.4335275284075</v>
      </c>
      <c r="O2462" s="338"/>
    </row>
    <row r="2463" spans="1:15" outlineLevel="1" collapsed="1" x14ac:dyDescent="0.35">
      <c r="A2463" s="432" t="s">
        <v>11367</v>
      </c>
      <c r="B2463" s="327"/>
      <c r="C2463" s="426"/>
      <c r="D2463" s="427"/>
      <c r="E2463" s="426"/>
      <c r="F2463" s="338"/>
      <c r="G2463" s="338"/>
      <c r="H2463" s="338"/>
      <c r="I2463" s="329">
        <f t="shared" ref="I2463:O2463" si="119">SUBTOTAL(9,I2461:I2462)</f>
        <v>257.47543693891686</v>
      </c>
      <c r="J2463" s="329"/>
      <c r="K2463" s="338">
        <f t="shared" si="119"/>
        <v>0</v>
      </c>
      <c r="L2463" s="338">
        <f t="shared" si="119"/>
        <v>0</v>
      </c>
      <c r="M2463" s="338">
        <f t="shared" si="119"/>
        <v>0</v>
      </c>
      <c r="N2463" s="338">
        <f t="shared" si="119"/>
        <v>257.47543693891686</v>
      </c>
      <c r="O2463" s="338">
        <f t="shared" si="119"/>
        <v>0</v>
      </c>
    </row>
    <row r="2464" spans="1:15" hidden="1" outlineLevel="2" x14ac:dyDescent="0.35">
      <c r="A2464" s="425" t="s">
        <v>7836</v>
      </c>
      <c r="B2464" s="327">
        <v>44117</v>
      </c>
      <c r="C2464" s="426" t="s">
        <v>8080</v>
      </c>
      <c r="D2464" s="427" t="s">
        <v>11368</v>
      </c>
      <c r="E2464" s="426" t="s">
        <v>9985</v>
      </c>
      <c r="F2464" s="338">
        <v>9403253</v>
      </c>
      <c r="G2464" s="338" t="s">
        <v>3800</v>
      </c>
      <c r="H2464" s="338"/>
      <c r="I2464" s="329">
        <v>2204.2934636876125</v>
      </c>
      <c r="J2464" s="329"/>
      <c r="K2464" s="338">
        <v>551.07336592190313</v>
      </c>
      <c r="L2464" s="338">
        <v>551.07336592190313</v>
      </c>
      <c r="M2464" s="338">
        <v>551.07336592190313</v>
      </c>
      <c r="N2464" s="338">
        <v>551.07336592190313</v>
      </c>
      <c r="O2464" s="338"/>
    </row>
    <row r="2465" spans="1:15" hidden="1" outlineLevel="2" x14ac:dyDescent="0.35">
      <c r="A2465" s="425" t="s">
        <v>7836</v>
      </c>
      <c r="B2465" s="327">
        <v>44108</v>
      </c>
      <c r="C2465" s="426" t="s">
        <v>11246</v>
      </c>
      <c r="D2465" s="427" t="s">
        <v>11369</v>
      </c>
      <c r="E2465" s="426" t="s">
        <v>9985</v>
      </c>
      <c r="F2465" s="338">
        <v>1635789</v>
      </c>
      <c r="G2465" s="338" t="s">
        <v>3800</v>
      </c>
      <c r="H2465" s="338"/>
      <c r="I2465" s="329">
        <v>383.45868187020983</v>
      </c>
      <c r="J2465" s="329"/>
      <c r="K2465" s="338">
        <v>95.864670467552457</v>
      </c>
      <c r="L2465" s="338">
        <v>95.864670467552457</v>
      </c>
      <c r="M2465" s="338">
        <v>95.864670467552457</v>
      </c>
      <c r="N2465" s="338">
        <v>95.864670467552457</v>
      </c>
      <c r="O2465" s="338"/>
    </row>
    <row r="2466" spans="1:15" outlineLevel="1" collapsed="1" x14ac:dyDescent="0.35">
      <c r="A2466" s="432" t="s">
        <v>11370</v>
      </c>
      <c r="B2466" s="327"/>
      <c r="C2466" s="426"/>
      <c r="D2466" s="427"/>
      <c r="E2466" s="426"/>
      <c r="F2466" s="338"/>
      <c r="G2466" s="338"/>
      <c r="H2466" s="338"/>
      <c r="I2466" s="329">
        <f t="shared" ref="I2466:O2466" si="120">SUBTOTAL(9,I2464:I2465)</f>
        <v>2587.7521455578226</v>
      </c>
      <c r="J2466" s="329"/>
      <c r="K2466" s="338">
        <f t="shared" si="120"/>
        <v>646.93803638945565</v>
      </c>
      <c r="L2466" s="338">
        <f t="shared" si="120"/>
        <v>646.93803638945565</v>
      </c>
      <c r="M2466" s="338">
        <f t="shared" si="120"/>
        <v>646.93803638945565</v>
      </c>
      <c r="N2466" s="338">
        <f t="shared" si="120"/>
        <v>646.93803638945565</v>
      </c>
      <c r="O2466" s="338">
        <f t="shared" si="120"/>
        <v>0</v>
      </c>
    </row>
    <row r="2467" spans="1:15" hidden="1" outlineLevel="2" x14ac:dyDescent="0.35">
      <c r="A2467" s="425" t="s">
        <v>7936</v>
      </c>
      <c r="B2467" s="327">
        <v>44404</v>
      </c>
      <c r="C2467" s="426" t="s">
        <v>11371</v>
      </c>
      <c r="D2467" s="427" t="s">
        <v>11372</v>
      </c>
      <c r="E2467" s="426" t="s">
        <v>8196</v>
      </c>
      <c r="F2467" s="338">
        <v>60000</v>
      </c>
      <c r="G2467" s="338" t="s">
        <v>3800</v>
      </c>
      <c r="H2467" s="338"/>
      <c r="I2467" s="329">
        <v>14.304190941050937</v>
      </c>
      <c r="J2467" s="329"/>
      <c r="K2467" s="338"/>
      <c r="L2467" s="338"/>
      <c r="M2467" s="338">
        <v>14.304190941050937</v>
      </c>
      <c r="N2467" s="338"/>
      <c r="O2467" s="338"/>
    </row>
    <row r="2468" spans="1:15" hidden="1" outlineLevel="2" x14ac:dyDescent="0.35">
      <c r="A2468" s="425" t="s">
        <v>7936</v>
      </c>
      <c r="B2468" s="327">
        <v>44319</v>
      </c>
      <c r="C2468" s="426" t="s">
        <v>9786</v>
      </c>
      <c r="D2468" s="427" t="s">
        <v>11373</v>
      </c>
      <c r="E2468" s="426" t="s">
        <v>11374</v>
      </c>
      <c r="F2468" s="338">
        <v>14160000</v>
      </c>
      <c r="G2468" s="338" t="s">
        <v>3800</v>
      </c>
      <c r="H2468" s="338"/>
      <c r="I2468" s="329">
        <v>3375.7890620880212</v>
      </c>
      <c r="J2468" s="329"/>
      <c r="K2468" s="338">
        <v>3375.7890620880212</v>
      </c>
      <c r="L2468" s="338"/>
      <c r="M2468" s="338"/>
      <c r="N2468" s="338"/>
      <c r="O2468" s="338"/>
    </row>
    <row r="2469" spans="1:15" outlineLevel="1" collapsed="1" x14ac:dyDescent="0.35">
      <c r="A2469" s="432" t="s">
        <v>11375</v>
      </c>
      <c r="B2469" s="327"/>
      <c r="C2469" s="426"/>
      <c r="D2469" s="427"/>
      <c r="E2469" s="426"/>
      <c r="F2469" s="338"/>
      <c r="G2469" s="338"/>
      <c r="H2469" s="338"/>
      <c r="I2469" s="329">
        <f t="shared" ref="I2469:O2469" si="121">SUBTOTAL(9,I2467:I2468)</f>
        <v>3390.093253029072</v>
      </c>
      <c r="J2469" s="329"/>
      <c r="K2469" s="338">
        <f t="shared" si="121"/>
        <v>3375.7890620880212</v>
      </c>
      <c r="L2469" s="338">
        <f t="shared" si="121"/>
        <v>0</v>
      </c>
      <c r="M2469" s="338">
        <f t="shared" si="121"/>
        <v>14.304190941050937</v>
      </c>
      <c r="N2469" s="338">
        <f t="shared" si="121"/>
        <v>0</v>
      </c>
      <c r="O2469" s="338">
        <f t="shared" si="121"/>
        <v>0</v>
      </c>
    </row>
    <row r="2470" spans="1:15" hidden="1" outlineLevel="2" x14ac:dyDescent="0.35">
      <c r="A2470" s="425" t="s">
        <v>7877</v>
      </c>
      <c r="B2470" s="327">
        <v>44531</v>
      </c>
      <c r="C2470" s="426" t="s">
        <v>11376</v>
      </c>
      <c r="D2470" s="427" t="s">
        <v>11377</v>
      </c>
      <c r="E2470" s="426" t="s">
        <v>11378</v>
      </c>
      <c r="F2470" s="338">
        <v>30640000</v>
      </c>
      <c r="G2470" s="338" t="s">
        <v>3800</v>
      </c>
      <c r="H2470" s="338"/>
      <c r="I2470" s="329">
        <v>7304.6735072300116</v>
      </c>
      <c r="J2470" s="329"/>
      <c r="K2470" s="338">
        <v>1826.1683768075029</v>
      </c>
      <c r="L2470" s="338">
        <v>1826.1683768075029</v>
      </c>
      <c r="M2470" s="338">
        <v>1826.1683768075029</v>
      </c>
      <c r="N2470" s="338">
        <v>1826.1683768075029</v>
      </c>
      <c r="O2470" s="338"/>
    </row>
    <row r="2471" spans="1:15" hidden="1" outlineLevel="2" x14ac:dyDescent="0.35">
      <c r="A2471" s="425" t="s">
        <v>7877</v>
      </c>
      <c r="B2471" s="327">
        <v>44536</v>
      </c>
      <c r="C2471" s="426" t="s">
        <v>11379</v>
      </c>
      <c r="D2471" s="427" t="s">
        <v>11380</v>
      </c>
      <c r="E2471" s="426" t="s">
        <v>9659</v>
      </c>
      <c r="F2471" s="338">
        <v>875560</v>
      </c>
      <c r="G2471" s="338" t="s">
        <v>3800</v>
      </c>
      <c r="H2471" s="338"/>
      <c r="I2471" s="329">
        <v>208.7362903391093</v>
      </c>
      <c r="J2471" s="329"/>
      <c r="K2471" s="338">
        <v>52.184072584777326</v>
      </c>
      <c r="L2471" s="338">
        <v>52.184072584777326</v>
      </c>
      <c r="M2471" s="338">
        <v>52.184072584777326</v>
      </c>
      <c r="N2471" s="338">
        <v>52.184072584777326</v>
      </c>
      <c r="O2471" s="338"/>
    </row>
    <row r="2472" spans="1:15" outlineLevel="1" collapsed="1" x14ac:dyDescent="0.35">
      <c r="A2472" s="432" t="s">
        <v>11381</v>
      </c>
      <c r="B2472" s="327"/>
      <c r="C2472" s="426"/>
      <c r="D2472" s="427"/>
      <c r="E2472" s="426"/>
      <c r="F2472" s="338"/>
      <c r="G2472" s="338"/>
      <c r="H2472" s="338"/>
      <c r="I2472" s="329">
        <f t="shared" ref="I2472:O2472" si="122">SUBTOTAL(9,I2470:I2471)</f>
        <v>7513.4097975691211</v>
      </c>
      <c r="J2472" s="329"/>
      <c r="K2472" s="338">
        <f t="shared" si="122"/>
        <v>1878.3524493922803</v>
      </c>
      <c r="L2472" s="338">
        <f t="shared" si="122"/>
        <v>1878.3524493922803</v>
      </c>
      <c r="M2472" s="338">
        <f t="shared" si="122"/>
        <v>1878.3524493922803</v>
      </c>
      <c r="N2472" s="338">
        <f t="shared" si="122"/>
        <v>1878.3524493922803</v>
      </c>
      <c r="O2472" s="338">
        <f t="shared" si="122"/>
        <v>0</v>
      </c>
    </row>
    <row r="2473" spans="1:15" hidden="1" outlineLevel="2" x14ac:dyDescent="0.35">
      <c r="A2473" s="425" t="s">
        <v>7891</v>
      </c>
      <c r="B2473" s="327">
        <v>44408</v>
      </c>
      <c r="C2473" s="426" t="s">
        <v>11382</v>
      </c>
      <c r="D2473" s="427" t="s">
        <v>11383</v>
      </c>
      <c r="E2473" s="426" t="s">
        <v>11384</v>
      </c>
      <c r="F2473" s="338">
        <v>9584500</v>
      </c>
      <c r="G2473" s="338" t="s">
        <v>3800</v>
      </c>
      <c r="H2473" s="338"/>
      <c r="I2473" s="329">
        <v>2284.9753012417118</v>
      </c>
      <c r="J2473" s="329"/>
      <c r="K2473" s="338">
        <v>2284.9753012417118</v>
      </c>
      <c r="L2473" s="338"/>
      <c r="M2473" s="338"/>
      <c r="N2473" s="338"/>
      <c r="O2473" s="338"/>
    </row>
    <row r="2474" spans="1:15" hidden="1" outlineLevel="2" x14ac:dyDescent="0.35">
      <c r="A2474" s="425" t="s">
        <v>7891</v>
      </c>
      <c r="B2474" s="327">
        <v>44408</v>
      </c>
      <c r="C2474" s="426" t="s">
        <v>11385</v>
      </c>
      <c r="D2474" s="427" t="s">
        <v>11386</v>
      </c>
      <c r="E2474" s="426" t="s">
        <v>11384</v>
      </c>
      <c r="F2474" s="338">
        <v>9254000</v>
      </c>
      <c r="G2474" s="338" t="s">
        <v>3800</v>
      </c>
      <c r="H2474" s="338"/>
      <c r="I2474" s="329">
        <v>2206.1830494747564</v>
      </c>
      <c r="J2474" s="329"/>
      <c r="K2474" s="338">
        <v>2206.1830494747564</v>
      </c>
      <c r="L2474" s="338"/>
      <c r="M2474" s="338"/>
      <c r="N2474" s="338"/>
      <c r="O2474" s="338"/>
    </row>
    <row r="2475" spans="1:15" hidden="1" outlineLevel="2" x14ac:dyDescent="0.35">
      <c r="A2475" s="425" t="s">
        <v>7891</v>
      </c>
      <c r="B2475" s="327">
        <v>44408</v>
      </c>
      <c r="C2475" s="426" t="s">
        <v>11387</v>
      </c>
      <c r="D2475" s="427" t="s">
        <v>11388</v>
      </c>
      <c r="E2475" s="426" t="s">
        <v>11384</v>
      </c>
      <c r="F2475" s="338">
        <v>9506500</v>
      </c>
      <c r="G2475" s="338" t="s">
        <v>3800</v>
      </c>
      <c r="H2475" s="338"/>
      <c r="I2475" s="329">
        <v>2266.3798530183458</v>
      </c>
      <c r="J2475" s="329"/>
      <c r="K2475" s="338">
        <v>2266.3798530183458</v>
      </c>
      <c r="L2475" s="338"/>
      <c r="M2475" s="338"/>
      <c r="N2475" s="338"/>
      <c r="O2475" s="338"/>
    </row>
    <row r="2476" spans="1:15" hidden="1" outlineLevel="2" x14ac:dyDescent="0.35">
      <c r="A2476" s="425" t="s">
        <v>7891</v>
      </c>
      <c r="B2476" s="327">
        <v>44408</v>
      </c>
      <c r="C2476" s="426" t="s">
        <v>11389</v>
      </c>
      <c r="D2476" s="427" t="s">
        <v>11390</v>
      </c>
      <c r="E2476" s="426" t="s">
        <v>11384</v>
      </c>
      <c r="F2476" s="338">
        <v>9584500</v>
      </c>
      <c r="G2476" s="338" t="s">
        <v>3800</v>
      </c>
      <c r="H2476" s="338"/>
      <c r="I2476" s="329">
        <v>2284.9753012417118</v>
      </c>
      <c r="J2476" s="329"/>
      <c r="K2476" s="338">
        <v>2284.9753012417118</v>
      </c>
      <c r="L2476" s="338"/>
      <c r="M2476" s="338"/>
      <c r="N2476" s="338"/>
      <c r="O2476" s="338"/>
    </row>
    <row r="2477" spans="1:15" hidden="1" outlineLevel="2" x14ac:dyDescent="0.35">
      <c r="A2477" s="425" t="s">
        <v>7891</v>
      </c>
      <c r="B2477" s="327">
        <v>44281</v>
      </c>
      <c r="C2477" s="426" t="s">
        <v>11391</v>
      </c>
      <c r="D2477" s="427" t="s">
        <v>11392</v>
      </c>
      <c r="E2477" s="426" t="s">
        <v>8456</v>
      </c>
      <c r="F2477" s="338">
        <v>9504000</v>
      </c>
      <c r="G2477" s="338" t="s">
        <v>3800</v>
      </c>
      <c r="H2477" s="338"/>
      <c r="I2477" s="329">
        <v>2265.7838450624686</v>
      </c>
      <c r="J2477" s="329"/>
      <c r="K2477" s="338">
        <v>2265.7838450624686</v>
      </c>
      <c r="L2477" s="338"/>
      <c r="M2477" s="338"/>
      <c r="N2477" s="338"/>
      <c r="O2477" s="338"/>
    </row>
    <row r="2478" spans="1:15" hidden="1" outlineLevel="2" x14ac:dyDescent="0.35">
      <c r="A2478" s="425" t="s">
        <v>7891</v>
      </c>
      <c r="B2478" s="327">
        <v>44104</v>
      </c>
      <c r="C2478" s="426" t="s">
        <v>11355</v>
      </c>
      <c r="D2478" s="427" t="s">
        <v>11393</v>
      </c>
      <c r="E2478" s="426" t="s">
        <v>8196</v>
      </c>
      <c r="F2478" s="338">
        <v>7274250</v>
      </c>
      <c r="G2478" s="338" t="s">
        <v>3800</v>
      </c>
      <c r="H2478" s="338"/>
      <c r="I2478" s="329">
        <v>1705.2164530965631</v>
      </c>
      <c r="J2478" s="329"/>
      <c r="K2478" s="338">
        <v>1705.2164530965631</v>
      </c>
      <c r="L2478" s="338"/>
      <c r="M2478" s="338"/>
      <c r="N2478" s="338"/>
      <c r="O2478" s="338"/>
    </row>
    <row r="2479" spans="1:15" hidden="1" outlineLevel="2" x14ac:dyDescent="0.35">
      <c r="A2479" s="425" t="s">
        <v>7891</v>
      </c>
      <c r="B2479" s="327">
        <v>44539</v>
      </c>
      <c r="C2479" s="426" t="s">
        <v>11394</v>
      </c>
      <c r="D2479" s="427" t="s">
        <v>11395</v>
      </c>
      <c r="E2479" s="426" t="s">
        <v>8456</v>
      </c>
      <c r="F2479" s="338">
        <v>6540000</v>
      </c>
      <c r="G2479" s="338" t="s">
        <v>3800</v>
      </c>
      <c r="H2479" s="338"/>
      <c r="I2479" s="329">
        <v>1559.1568125745521</v>
      </c>
      <c r="J2479" s="329"/>
      <c r="K2479" s="338">
        <v>1559.1568125745521</v>
      </c>
      <c r="L2479" s="338"/>
      <c r="M2479" s="338"/>
      <c r="N2479" s="338"/>
      <c r="O2479" s="338"/>
    </row>
    <row r="2480" spans="1:15" hidden="1" outlineLevel="2" x14ac:dyDescent="0.35">
      <c r="A2480" s="425" t="s">
        <v>7891</v>
      </c>
      <c r="B2480" s="327">
        <v>44045</v>
      </c>
      <c r="C2480" s="426" t="s">
        <v>11396</v>
      </c>
      <c r="D2480" s="427" t="s">
        <v>11397</v>
      </c>
      <c r="E2480" s="426" t="s">
        <v>8456</v>
      </c>
      <c r="F2480" s="338">
        <v>9506500</v>
      </c>
      <c r="G2480" s="338" t="s">
        <v>3800</v>
      </c>
      <c r="H2480" s="338"/>
      <c r="I2480" s="329">
        <v>2266.3798530183458</v>
      </c>
      <c r="J2480" s="329"/>
      <c r="K2480" s="338">
        <v>2266.3798530183458</v>
      </c>
      <c r="L2480" s="338"/>
      <c r="M2480" s="338"/>
      <c r="N2480" s="338"/>
      <c r="O2480" s="338"/>
    </row>
    <row r="2481" spans="1:15" hidden="1" outlineLevel="2" x14ac:dyDescent="0.35">
      <c r="A2481" s="425" t="s">
        <v>7891</v>
      </c>
      <c r="B2481" s="327">
        <v>44378</v>
      </c>
      <c r="C2481" s="426" t="s">
        <v>11332</v>
      </c>
      <c r="D2481" s="427" t="s">
        <v>11398</v>
      </c>
      <c r="E2481" s="426" t="s">
        <v>8144</v>
      </c>
      <c r="F2481" s="338">
        <v>9506500</v>
      </c>
      <c r="G2481" s="338" t="s">
        <v>3800</v>
      </c>
      <c r="H2481" s="338"/>
      <c r="I2481" s="329">
        <v>2266.3798530183458</v>
      </c>
      <c r="J2481" s="329"/>
      <c r="K2481" s="338">
        <v>2266.3798530183458</v>
      </c>
      <c r="L2481" s="338"/>
      <c r="M2481" s="338"/>
      <c r="N2481" s="338"/>
      <c r="O2481" s="338"/>
    </row>
    <row r="2482" spans="1:15" hidden="1" outlineLevel="2" x14ac:dyDescent="0.35">
      <c r="A2482" s="425" t="s">
        <v>7891</v>
      </c>
      <c r="B2482" s="327">
        <v>44270</v>
      </c>
      <c r="C2482" s="426" t="s">
        <v>8049</v>
      </c>
      <c r="D2482" s="427" t="s">
        <v>11399</v>
      </c>
      <c r="E2482" s="426" t="s">
        <v>8456</v>
      </c>
      <c r="F2482" s="338">
        <v>9504750</v>
      </c>
      <c r="G2482" s="338" t="s">
        <v>3800</v>
      </c>
      <c r="H2482" s="338"/>
      <c r="I2482" s="329">
        <v>2265.9626474492316</v>
      </c>
      <c r="J2482" s="329"/>
      <c r="K2482" s="338">
        <v>2265.9626474492316</v>
      </c>
      <c r="L2482" s="338"/>
      <c r="M2482" s="338"/>
      <c r="N2482" s="338"/>
      <c r="O2482" s="338"/>
    </row>
    <row r="2483" spans="1:15" hidden="1" outlineLevel="2" x14ac:dyDescent="0.35">
      <c r="A2483" s="425" t="s">
        <v>7891</v>
      </c>
      <c r="B2483" s="327">
        <v>44286</v>
      </c>
      <c r="C2483" s="426" t="s">
        <v>9843</v>
      </c>
      <c r="D2483" s="427" t="s">
        <v>11400</v>
      </c>
      <c r="E2483" s="426" t="s">
        <v>8456</v>
      </c>
      <c r="F2483" s="338">
        <v>8848050</v>
      </c>
      <c r="G2483" s="338" t="s">
        <v>3800</v>
      </c>
      <c r="H2483" s="338"/>
      <c r="I2483" s="329">
        <v>2109.4032775994292</v>
      </c>
      <c r="J2483" s="329"/>
      <c r="K2483" s="338">
        <v>2109.4032775994292</v>
      </c>
      <c r="L2483" s="338"/>
      <c r="M2483" s="338"/>
      <c r="N2483" s="338"/>
      <c r="O2483" s="338"/>
    </row>
    <row r="2484" spans="1:15" hidden="1" outlineLevel="2" x14ac:dyDescent="0.35">
      <c r="A2484" s="425" t="s">
        <v>7891</v>
      </c>
      <c r="B2484" s="327">
        <v>44306</v>
      </c>
      <c r="C2484" s="426" t="s">
        <v>9833</v>
      </c>
      <c r="D2484" s="427" t="s">
        <v>11401</v>
      </c>
      <c r="E2484" s="426" t="s">
        <v>8456</v>
      </c>
      <c r="F2484" s="338">
        <v>8848050</v>
      </c>
      <c r="G2484" s="338" t="s">
        <v>3800</v>
      </c>
      <c r="H2484" s="338"/>
      <c r="I2484" s="329">
        <v>2109.4032775994292</v>
      </c>
      <c r="J2484" s="329"/>
      <c r="K2484" s="338">
        <v>2109.4032775994292</v>
      </c>
      <c r="L2484" s="338"/>
      <c r="M2484" s="338"/>
      <c r="N2484" s="338"/>
      <c r="O2484" s="338"/>
    </row>
    <row r="2485" spans="1:15" hidden="1" outlineLevel="2" x14ac:dyDescent="0.35">
      <c r="A2485" s="425" t="s">
        <v>7891</v>
      </c>
      <c r="B2485" s="327">
        <v>44281</v>
      </c>
      <c r="C2485" s="426" t="s">
        <v>9877</v>
      </c>
      <c r="D2485" s="427" t="s">
        <v>11402</v>
      </c>
      <c r="E2485" s="426" t="s">
        <v>8456</v>
      </c>
      <c r="F2485" s="338">
        <v>9504000</v>
      </c>
      <c r="G2485" s="338" t="s">
        <v>3800</v>
      </c>
      <c r="H2485" s="338"/>
      <c r="I2485" s="329">
        <v>2265.7838450624686</v>
      </c>
      <c r="J2485" s="329"/>
      <c r="K2485" s="338">
        <v>2265.7838450624686</v>
      </c>
      <c r="L2485" s="338"/>
      <c r="M2485" s="338"/>
      <c r="N2485" s="338"/>
      <c r="O2485" s="338"/>
    </row>
    <row r="2486" spans="1:15" hidden="1" outlineLevel="2" x14ac:dyDescent="0.35">
      <c r="A2486" s="425" t="s">
        <v>7891</v>
      </c>
      <c r="B2486" s="327">
        <v>44293</v>
      </c>
      <c r="C2486" s="426" t="s">
        <v>8138</v>
      </c>
      <c r="D2486" s="427" t="s">
        <v>11403</v>
      </c>
      <c r="E2486" s="426" t="s">
        <v>8456</v>
      </c>
      <c r="F2486" s="338">
        <v>9506500</v>
      </c>
      <c r="G2486" s="338" t="s">
        <v>3800</v>
      </c>
      <c r="H2486" s="338"/>
      <c r="I2486" s="329">
        <v>2266.3798530183458</v>
      </c>
      <c r="J2486" s="329"/>
      <c r="K2486" s="338">
        <v>2266.3798530183458</v>
      </c>
      <c r="L2486" s="338"/>
      <c r="M2486" s="338"/>
      <c r="N2486" s="338"/>
      <c r="O2486" s="338"/>
    </row>
    <row r="2487" spans="1:15" hidden="1" outlineLevel="2" x14ac:dyDescent="0.35">
      <c r="A2487" s="425" t="s">
        <v>7891</v>
      </c>
      <c r="B2487" s="327">
        <v>44293</v>
      </c>
      <c r="C2487" s="426" t="s">
        <v>9899</v>
      </c>
      <c r="D2487" s="427" t="s">
        <v>11404</v>
      </c>
      <c r="E2487" s="426" t="s">
        <v>8456</v>
      </c>
      <c r="F2487" s="338">
        <v>8028950</v>
      </c>
      <c r="G2487" s="338" t="s">
        <v>3800</v>
      </c>
      <c r="H2487" s="338"/>
      <c r="I2487" s="329">
        <v>1914.1272309358487</v>
      </c>
      <c r="J2487" s="329"/>
      <c r="K2487" s="338">
        <v>1914.1272309358487</v>
      </c>
      <c r="L2487" s="338"/>
      <c r="M2487" s="338"/>
      <c r="N2487" s="338"/>
      <c r="O2487" s="338"/>
    </row>
    <row r="2488" spans="1:15" hidden="1" outlineLevel="2" x14ac:dyDescent="0.35">
      <c r="A2488" s="425" t="s">
        <v>7891</v>
      </c>
      <c r="B2488" s="327">
        <v>44306</v>
      </c>
      <c r="C2488" s="426" t="s">
        <v>10032</v>
      </c>
      <c r="D2488" s="427" t="s">
        <v>11405</v>
      </c>
      <c r="E2488" s="426" t="s">
        <v>8456</v>
      </c>
      <c r="F2488" s="338">
        <v>9504750</v>
      </c>
      <c r="G2488" s="338" t="s">
        <v>3800</v>
      </c>
      <c r="H2488" s="338"/>
      <c r="I2488" s="329">
        <v>2265.9626474492316</v>
      </c>
      <c r="J2488" s="329"/>
      <c r="K2488" s="338">
        <v>2265.9626474492316</v>
      </c>
      <c r="L2488" s="338"/>
      <c r="M2488" s="338"/>
      <c r="N2488" s="338"/>
      <c r="O2488" s="338"/>
    </row>
    <row r="2489" spans="1:15" hidden="1" outlineLevel="2" x14ac:dyDescent="0.35">
      <c r="A2489" s="425" t="s">
        <v>7891</v>
      </c>
      <c r="B2489" s="327">
        <v>44286</v>
      </c>
      <c r="C2489" s="426" t="s">
        <v>8117</v>
      </c>
      <c r="D2489" s="427" t="s">
        <v>11406</v>
      </c>
      <c r="E2489" s="426" t="s">
        <v>8210</v>
      </c>
      <c r="F2489" s="338">
        <v>1200000</v>
      </c>
      <c r="G2489" s="338" t="s">
        <v>3800</v>
      </c>
      <c r="H2489" s="338"/>
      <c r="I2489" s="329">
        <v>286.08381882101872</v>
      </c>
      <c r="J2489" s="329"/>
      <c r="K2489" s="338">
        <v>286.08381882101872</v>
      </c>
      <c r="L2489" s="338"/>
      <c r="M2489" s="338"/>
      <c r="N2489" s="338"/>
      <c r="O2489" s="338"/>
    </row>
    <row r="2490" spans="1:15" hidden="1" outlineLevel="2" x14ac:dyDescent="0.35">
      <c r="A2490" s="425" t="s">
        <v>7891</v>
      </c>
      <c r="B2490" s="327">
        <v>44074</v>
      </c>
      <c r="C2490" s="426" t="s">
        <v>11343</v>
      </c>
      <c r="D2490" s="427" t="s">
        <v>11407</v>
      </c>
      <c r="E2490" s="426" t="s">
        <v>8210</v>
      </c>
      <c r="F2490" s="338">
        <v>640000</v>
      </c>
      <c r="G2490" s="338" t="s">
        <v>3800</v>
      </c>
      <c r="H2490" s="338"/>
      <c r="I2490" s="329">
        <v>150.02763583624434</v>
      </c>
      <c r="J2490" s="329"/>
      <c r="K2490" s="338">
        <v>150.02763583624434</v>
      </c>
      <c r="L2490" s="338"/>
      <c r="M2490" s="338"/>
      <c r="N2490" s="338"/>
      <c r="O2490" s="338"/>
    </row>
    <row r="2491" spans="1:15" hidden="1" outlineLevel="2" x14ac:dyDescent="0.35">
      <c r="A2491" s="425" t="s">
        <v>7891</v>
      </c>
      <c r="B2491" s="327">
        <v>44270</v>
      </c>
      <c r="C2491" s="426" t="s">
        <v>8128</v>
      </c>
      <c r="D2491" s="427" t="s">
        <v>11408</v>
      </c>
      <c r="E2491" s="426" t="s">
        <v>8456</v>
      </c>
      <c r="F2491" s="338">
        <v>9503550</v>
      </c>
      <c r="G2491" s="338" t="s">
        <v>3800</v>
      </c>
      <c r="H2491" s="338"/>
      <c r="I2491" s="329">
        <v>2265.6765636304108</v>
      </c>
      <c r="J2491" s="329"/>
      <c r="K2491" s="338">
        <v>2265.6765636304108</v>
      </c>
      <c r="L2491" s="338"/>
      <c r="M2491" s="338"/>
      <c r="N2491" s="338"/>
      <c r="O2491" s="338"/>
    </row>
    <row r="2492" spans="1:15" hidden="1" outlineLevel="2" x14ac:dyDescent="0.35">
      <c r="A2492" s="425" t="s">
        <v>7891</v>
      </c>
      <c r="B2492" s="327">
        <v>44549</v>
      </c>
      <c r="C2492" s="426" t="s">
        <v>11409</v>
      </c>
      <c r="D2492" s="427" t="s">
        <v>11410</v>
      </c>
      <c r="E2492" s="426" t="s">
        <v>8456</v>
      </c>
      <c r="F2492" s="338">
        <v>6540000</v>
      </c>
      <c r="G2492" s="338" t="s">
        <v>3800</v>
      </c>
      <c r="H2492" s="338"/>
      <c r="I2492" s="329">
        <v>1559.1568125745521</v>
      </c>
      <c r="J2492" s="329"/>
      <c r="K2492" s="338">
        <v>1559.1568125745521</v>
      </c>
      <c r="L2492" s="338"/>
      <c r="M2492" s="338"/>
      <c r="N2492" s="338"/>
      <c r="O2492" s="338"/>
    </row>
    <row r="2493" spans="1:15" hidden="1" outlineLevel="2" x14ac:dyDescent="0.35">
      <c r="A2493" s="425" t="s">
        <v>7891</v>
      </c>
      <c r="B2493" s="327">
        <v>44533</v>
      </c>
      <c r="C2493" s="426" t="s">
        <v>11411</v>
      </c>
      <c r="D2493" s="427" t="s">
        <v>11412</v>
      </c>
      <c r="E2493" s="426" t="s">
        <v>8456</v>
      </c>
      <c r="F2493" s="338">
        <v>6540000</v>
      </c>
      <c r="G2493" s="338" t="s">
        <v>3800</v>
      </c>
      <c r="H2493" s="338"/>
      <c r="I2493" s="329">
        <v>1559.1568125745521</v>
      </c>
      <c r="J2493" s="329"/>
      <c r="K2493" s="338">
        <v>1559.1568125745521</v>
      </c>
      <c r="L2493" s="338"/>
      <c r="M2493" s="338"/>
      <c r="N2493" s="338"/>
      <c r="O2493" s="338"/>
    </row>
    <row r="2494" spans="1:15" hidden="1" outlineLevel="2" x14ac:dyDescent="0.35">
      <c r="A2494" s="425" t="s">
        <v>7891</v>
      </c>
      <c r="B2494" s="327">
        <v>44286</v>
      </c>
      <c r="C2494" s="426" t="s">
        <v>11413</v>
      </c>
      <c r="D2494" s="427" t="s">
        <v>11414</v>
      </c>
      <c r="E2494" s="426" t="s">
        <v>8456</v>
      </c>
      <c r="F2494" s="338">
        <v>9503550</v>
      </c>
      <c r="G2494" s="338" t="s">
        <v>3800</v>
      </c>
      <c r="H2494" s="338"/>
      <c r="I2494" s="329">
        <v>2265.6765636304108</v>
      </c>
      <c r="J2494" s="329"/>
      <c r="K2494" s="338">
        <v>2265.6765636304108</v>
      </c>
      <c r="L2494" s="338"/>
      <c r="M2494" s="338"/>
      <c r="N2494" s="338"/>
      <c r="O2494" s="338"/>
    </row>
    <row r="2495" spans="1:15" hidden="1" outlineLevel="2" x14ac:dyDescent="0.35">
      <c r="A2495" s="425" t="s">
        <v>7891</v>
      </c>
      <c r="B2495" s="327">
        <v>44532</v>
      </c>
      <c r="C2495" s="426" t="s">
        <v>11415</v>
      </c>
      <c r="D2495" s="427" t="s">
        <v>11416</v>
      </c>
      <c r="E2495" s="426" t="s">
        <v>8456</v>
      </c>
      <c r="F2495" s="338">
        <v>981000</v>
      </c>
      <c r="G2495" s="338" t="s">
        <v>3800</v>
      </c>
      <c r="H2495" s="338"/>
      <c r="I2495" s="329">
        <v>233.87352188618283</v>
      </c>
      <c r="J2495" s="329"/>
      <c r="K2495" s="338">
        <v>233.87352188618283</v>
      </c>
      <c r="L2495" s="338"/>
      <c r="M2495" s="338"/>
      <c r="N2495" s="338"/>
      <c r="O2495" s="338"/>
    </row>
    <row r="2496" spans="1:15" hidden="1" outlineLevel="2" x14ac:dyDescent="0.35">
      <c r="A2496" s="425" t="s">
        <v>7891</v>
      </c>
      <c r="B2496" s="327">
        <v>44531</v>
      </c>
      <c r="C2496" s="426" t="s">
        <v>11417</v>
      </c>
      <c r="D2496" s="427" t="s">
        <v>11418</v>
      </c>
      <c r="E2496" s="426" t="s">
        <v>8456</v>
      </c>
      <c r="F2496" s="338">
        <v>9483000</v>
      </c>
      <c r="G2496" s="338" t="s">
        <v>3800</v>
      </c>
      <c r="H2496" s="338"/>
      <c r="I2496" s="329">
        <v>2260.7773782331005</v>
      </c>
      <c r="J2496" s="329"/>
      <c r="K2496" s="338">
        <v>2260.7773782331005</v>
      </c>
      <c r="L2496" s="338"/>
      <c r="M2496" s="338"/>
      <c r="N2496" s="338"/>
      <c r="O2496" s="338"/>
    </row>
    <row r="2497" spans="1:15" hidden="1" outlineLevel="2" x14ac:dyDescent="0.35">
      <c r="A2497" s="425" t="s">
        <v>7891</v>
      </c>
      <c r="B2497" s="327">
        <v>44533</v>
      </c>
      <c r="C2497" s="426" t="s">
        <v>11419</v>
      </c>
      <c r="D2497" s="427" t="s">
        <v>11418</v>
      </c>
      <c r="E2497" s="426" t="s">
        <v>8456</v>
      </c>
      <c r="F2497" s="338">
        <v>6540000</v>
      </c>
      <c r="G2497" s="338" t="s">
        <v>3800</v>
      </c>
      <c r="H2497" s="338"/>
      <c r="I2497" s="329">
        <v>1559.1568125745521</v>
      </c>
      <c r="J2497" s="329"/>
      <c r="K2497" s="338">
        <v>1559.1568125745521</v>
      </c>
      <c r="L2497" s="338"/>
      <c r="M2497" s="338"/>
      <c r="N2497" s="338"/>
      <c r="O2497" s="338"/>
    </row>
    <row r="2498" spans="1:15" hidden="1" outlineLevel="2" x14ac:dyDescent="0.35">
      <c r="A2498" s="425" t="s">
        <v>7891</v>
      </c>
      <c r="B2498" s="327">
        <v>44432</v>
      </c>
      <c r="C2498" s="426" t="s">
        <v>11420</v>
      </c>
      <c r="D2498" s="427" t="s">
        <v>11421</v>
      </c>
      <c r="E2498" s="426" t="s">
        <v>8456</v>
      </c>
      <c r="F2498" s="338">
        <v>9178750</v>
      </c>
      <c r="G2498" s="338" t="s">
        <v>3800</v>
      </c>
      <c r="H2498" s="338"/>
      <c r="I2498" s="329">
        <v>2188.243210002855</v>
      </c>
      <c r="J2498" s="329"/>
      <c r="K2498" s="338">
        <v>2188.243210002855</v>
      </c>
      <c r="L2498" s="338"/>
      <c r="M2498" s="338"/>
      <c r="N2498" s="338"/>
      <c r="O2498" s="338"/>
    </row>
    <row r="2499" spans="1:15" outlineLevel="1" collapsed="1" x14ac:dyDescent="0.35">
      <c r="A2499" s="432" t="s">
        <v>11422</v>
      </c>
      <c r="B2499" s="327"/>
      <c r="C2499" s="426"/>
      <c r="D2499" s="427"/>
      <c r="E2499" s="426"/>
      <c r="F2499" s="338"/>
      <c r="G2499" s="338"/>
      <c r="H2499" s="338"/>
      <c r="I2499" s="329">
        <f t="shared" ref="I2499:O2499" si="123">SUBTOTAL(9,I2473:I2498)</f>
        <v>48630.282230624674</v>
      </c>
      <c r="J2499" s="329"/>
      <c r="K2499" s="338">
        <f t="shared" si="123"/>
        <v>48630.282230624674</v>
      </c>
      <c r="L2499" s="338">
        <f t="shared" si="123"/>
        <v>0</v>
      </c>
      <c r="M2499" s="338">
        <f t="shared" si="123"/>
        <v>0</v>
      </c>
      <c r="N2499" s="338">
        <f t="shared" si="123"/>
        <v>0</v>
      </c>
      <c r="O2499" s="338">
        <f t="shared" si="123"/>
        <v>0</v>
      </c>
    </row>
    <row r="2500" spans="1:15" hidden="1" outlineLevel="2" x14ac:dyDescent="0.35">
      <c r="A2500" s="425" t="s">
        <v>7943</v>
      </c>
      <c r="B2500" s="327">
        <v>44561</v>
      </c>
      <c r="C2500" s="426" t="s">
        <v>11423</v>
      </c>
      <c r="D2500" s="427" t="s">
        <v>11424</v>
      </c>
      <c r="E2500" s="426" t="s">
        <v>9459</v>
      </c>
      <c r="F2500" s="338">
        <v>1760000</v>
      </c>
      <c r="G2500" s="338" t="s">
        <v>3800</v>
      </c>
      <c r="H2500" s="338"/>
      <c r="I2500" s="329">
        <v>419.58960093749414</v>
      </c>
      <c r="J2500" s="329"/>
      <c r="K2500" s="338"/>
      <c r="L2500" s="338"/>
      <c r="M2500" s="338">
        <v>419.58960093749414</v>
      </c>
      <c r="N2500" s="338"/>
      <c r="O2500" s="338"/>
    </row>
    <row r="2501" spans="1:15" hidden="1" outlineLevel="2" x14ac:dyDescent="0.35">
      <c r="A2501" s="425" t="s">
        <v>7943</v>
      </c>
      <c r="B2501" s="327">
        <v>44166</v>
      </c>
      <c r="C2501" s="426" t="s">
        <v>8488</v>
      </c>
      <c r="D2501" s="427" t="s">
        <v>11425</v>
      </c>
      <c r="E2501" s="426" t="s">
        <v>9985</v>
      </c>
      <c r="F2501" s="338">
        <v>2037135</v>
      </c>
      <c r="G2501" s="338" t="s">
        <v>3800</v>
      </c>
      <c r="H2501" s="338"/>
      <c r="I2501" s="329">
        <v>477.5414811394806</v>
      </c>
      <c r="J2501" s="329"/>
      <c r="K2501" s="338"/>
      <c r="L2501" s="338"/>
      <c r="M2501" s="338">
        <v>477.5414811394806</v>
      </c>
      <c r="N2501" s="338"/>
      <c r="O2501" s="338"/>
    </row>
    <row r="2502" spans="1:15" hidden="1" outlineLevel="2" x14ac:dyDescent="0.35">
      <c r="A2502" s="425" t="s">
        <v>7943</v>
      </c>
      <c r="B2502" s="327">
        <v>44165</v>
      </c>
      <c r="C2502" s="426" t="s">
        <v>11426</v>
      </c>
      <c r="D2502" s="427" t="s">
        <v>11427</v>
      </c>
      <c r="E2502" s="426" t="s">
        <v>8220</v>
      </c>
      <c r="F2502" s="338">
        <v>100000</v>
      </c>
      <c r="G2502" s="338" t="s">
        <v>3800</v>
      </c>
      <c r="H2502" s="338"/>
      <c r="I2502" s="329">
        <v>23.441818099413176</v>
      </c>
      <c r="J2502" s="329"/>
      <c r="K2502" s="338"/>
      <c r="L2502" s="338"/>
      <c r="M2502" s="338">
        <v>23.441818099413176</v>
      </c>
      <c r="N2502" s="338"/>
      <c r="O2502" s="338"/>
    </row>
    <row r="2503" spans="1:15" hidden="1" outlineLevel="2" x14ac:dyDescent="0.35">
      <c r="A2503" s="425" t="s">
        <v>7943</v>
      </c>
      <c r="B2503" s="327">
        <v>44165</v>
      </c>
      <c r="C2503" s="426" t="s">
        <v>11428</v>
      </c>
      <c r="D2503" s="427" t="s">
        <v>11427</v>
      </c>
      <c r="E2503" s="426" t="s">
        <v>7262</v>
      </c>
      <c r="F2503" s="338">
        <v>100000</v>
      </c>
      <c r="G2503" s="338" t="s">
        <v>3800</v>
      </c>
      <c r="H2503" s="338"/>
      <c r="I2503" s="329">
        <v>23.441818099413176</v>
      </c>
      <c r="J2503" s="329"/>
      <c r="K2503" s="338"/>
      <c r="L2503" s="338"/>
      <c r="M2503" s="338">
        <v>23.441818099413176</v>
      </c>
      <c r="N2503" s="338"/>
      <c r="O2503" s="338"/>
    </row>
    <row r="2504" spans="1:15" hidden="1" outlineLevel="2" x14ac:dyDescent="0.35">
      <c r="A2504" s="425" t="s">
        <v>7943</v>
      </c>
      <c r="B2504" s="327">
        <v>44165</v>
      </c>
      <c r="C2504" s="426" t="s">
        <v>11429</v>
      </c>
      <c r="D2504" s="427" t="s">
        <v>11427</v>
      </c>
      <c r="E2504" s="426" t="s">
        <v>11430</v>
      </c>
      <c r="F2504" s="338">
        <v>270000</v>
      </c>
      <c r="G2504" s="338" t="s">
        <v>3800</v>
      </c>
      <c r="H2504" s="338"/>
      <c r="I2504" s="329">
        <v>63.29290886841558</v>
      </c>
      <c r="J2504" s="329"/>
      <c r="K2504" s="338"/>
      <c r="L2504" s="338"/>
      <c r="M2504" s="338">
        <v>63.29290886841558</v>
      </c>
      <c r="N2504" s="338"/>
      <c r="O2504" s="338"/>
    </row>
    <row r="2505" spans="1:15" hidden="1" outlineLevel="2" x14ac:dyDescent="0.35">
      <c r="A2505" s="425" t="s">
        <v>7943</v>
      </c>
      <c r="B2505" s="327">
        <v>44194</v>
      </c>
      <c r="C2505" s="426" t="s">
        <v>10279</v>
      </c>
      <c r="D2505" s="427" t="s">
        <v>11427</v>
      </c>
      <c r="E2505" s="426" t="s">
        <v>6620</v>
      </c>
      <c r="F2505" s="338">
        <v>450000</v>
      </c>
      <c r="G2505" s="338" t="s">
        <v>3800</v>
      </c>
      <c r="H2505" s="338"/>
      <c r="I2505" s="329">
        <v>105.4881814473593</v>
      </c>
      <c r="J2505" s="329"/>
      <c r="K2505" s="338"/>
      <c r="L2505" s="338"/>
      <c r="M2505" s="338">
        <v>105.4881814473593</v>
      </c>
      <c r="N2505" s="338"/>
      <c r="O2505" s="338"/>
    </row>
    <row r="2506" spans="1:15" outlineLevel="1" collapsed="1" x14ac:dyDescent="0.35">
      <c r="A2506" s="432" t="s">
        <v>11431</v>
      </c>
      <c r="B2506" s="327"/>
      <c r="C2506" s="426"/>
      <c r="D2506" s="427"/>
      <c r="E2506" s="426"/>
      <c r="F2506" s="338"/>
      <c r="G2506" s="338"/>
      <c r="H2506" s="338"/>
      <c r="I2506" s="329">
        <f t="shared" ref="I2506:O2506" si="124">SUBTOTAL(9,I2500:I2505)</f>
        <v>1112.7958085915759</v>
      </c>
      <c r="J2506" s="329"/>
      <c r="K2506" s="338">
        <f t="shared" si="124"/>
        <v>0</v>
      </c>
      <c r="L2506" s="338">
        <f t="shared" si="124"/>
        <v>0</v>
      </c>
      <c r="M2506" s="338">
        <f t="shared" si="124"/>
        <v>1112.7958085915759</v>
      </c>
      <c r="N2506" s="338">
        <f t="shared" si="124"/>
        <v>0</v>
      </c>
      <c r="O2506" s="338">
        <f t="shared" si="124"/>
        <v>0</v>
      </c>
    </row>
    <row r="2507" spans="1:15" hidden="1" outlineLevel="2" x14ac:dyDescent="0.35">
      <c r="A2507" s="425" t="s">
        <v>7831</v>
      </c>
      <c r="B2507" s="327">
        <v>44511</v>
      </c>
      <c r="C2507" s="426" t="s">
        <v>11432</v>
      </c>
      <c r="D2507" s="427" t="s">
        <v>11433</v>
      </c>
      <c r="E2507" s="426" t="s">
        <v>11434</v>
      </c>
      <c r="F2507" s="338">
        <v>1912650</v>
      </c>
      <c r="G2507" s="338" t="s">
        <v>3800</v>
      </c>
      <c r="H2507" s="338"/>
      <c r="I2507" s="329">
        <v>455.98184672335128</v>
      </c>
      <c r="J2507" s="329"/>
      <c r="K2507" s="338">
        <v>113.99546168083782</v>
      </c>
      <c r="L2507" s="338">
        <v>113.99546168083782</v>
      </c>
      <c r="M2507" s="338">
        <v>113.99546168083782</v>
      </c>
      <c r="N2507" s="338">
        <v>113.99546168083782</v>
      </c>
      <c r="O2507" s="338"/>
    </row>
    <row r="2508" spans="1:15" hidden="1" outlineLevel="2" x14ac:dyDescent="0.35">
      <c r="A2508" s="425" t="s">
        <v>7831</v>
      </c>
      <c r="B2508" s="327">
        <v>44438</v>
      </c>
      <c r="C2508" s="426" t="s">
        <v>11435</v>
      </c>
      <c r="D2508" s="427" t="s">
        <v>11436</v>
      </c>
      <c r="E2508" s="426" t="s">
        <v>11437</v>
      </c>
      <c r="F2508" s="338">
        <v>3224200</v>
      </c>
      <c r="G2508" s="338" t="s">
        <v>3800</v>
      </c>
      <c r="H2508" s="338"/>
      <c r="I2508" s="329">
        <v>768.65954053560722</v>
      </c>
      <c r="J2508" s="329"/>
      <c r="K2508" s="338">
        <v>192.16488513390181</v>
      </c>
      <c r="L2508" s="338">
        <v>192.16488513390181</v>
      </c>
      <c r="M2508" s="338">
        <v>192.16488513390181</v>
      </c>
      <c r="N2508" s="338">
        <v>192.16488513390181</v>
      </c>
      <c r="O2508" s="338"/>
    </row>
    <row r="2509" spans="1:15" hidden="1" outlineLevel="2" x14ac:dyDescent="0.35">
      <c r="A2509" s="425" t="s">
        <v>7831</v>
      </c>
      <c r="B2509" s="327">
        <v>44438</v>
      </c>
      <c r="C2509" s="426" t="s">
        <v>8145</v>
      </c>
      <c r="D2509" s="427" t="s">
        <v>11438</v>
      </c>
      <c r="E2509" s="426" t="s">
        <v>11439</v>
      </c>
      <c r="F2509" s="338">
        <v>205800</v>
      </c>
      <c r="G2509" s="338" t="s">
        <v>3800</v>
      </c>
      <c r="H2509" s="338"/>
      <c r="I2509" s="329">
        <v>49.063374927804716</v>
      </c>
      <c r="J2509" s="329"/>
      <c r="K2509" s="338">
        <v>12.265843731951179</v>
      </c>
      <c r="L2509" s="338">
        <v>12.265843731951179</v>
      </c>
      <c r="M2509" s="338">
        <v>12.265843731951179</v>
      </c>
      <c r="N2509" s="338">
        <v>12.265843731951179</v>
      </c>
      <c r="O2509" s="338"/>
    </row>
    <row r="2510" spans="1:15" outlineLevel="1" collapsed="1" x14ac:dyDescent="0.35">
      <c r="A2510" s="438" t="s">
        <v>11440</v>
      </c>
      <c r="B2510" s="352"/>
      <c r="C2510" s="439"/>
      <c r="D2510" s="440"/>
      <c r="E2510" s="439"/>
      <c r="F2510" s="354"/>
      <c r="G2510" s="354"/>
      <c r="H2510" s="354"/>
      <c r="I2510" s="356">
        <f t="shared" ref="I2510:O2510" si="125">SUBTOTAL(9,I2507:I2509)</f>
        <v>1273.7047621867632</v>
      </c>
      <c r="J2510" s="356"/>
      <c r="K2510" s="354">
        <f t="shared" si="125"/>
        <v>318.4261905466908</v>
      </c>
      <c r="L2510" s="354">
        <f t="shared" si="125"/>
        <v>318.4261905466908</v>
      </c>
      <c r="M2510" s="354">
        <f t="shared" si="125"/>
        <v>318.4261905466908</v>
      </c>
      <c r="N2510" s="354">
        <f t="shared" si="125"/>
        <v>318.4261905466908</v>
      </c>
      <c r="O2510" s="354">
        <f t="shared" si="125"/>
        <v>0</v>
      </c>
    </row>
    <row r="2511" spans="1:15" outlineLevel="1" x14ac:dyDescent="0.35">
      <c r="A2511" s="441" t="s">
        <v>3782</v>
      </c>
      <c r="I2511" s="442">
        <f t="shared" ref="I2511:O2511" si="126">SUBTOTAL(9,I2:I2510)</f>
        <v>1175161.3202170141</v>
      </c>
      <c r="J2511" s="442"/>
      <c r="K2511" s="442">
        <f t="shared" si="126"/>
        <v>374603.1802551446</v>
      </c>
      <c r="L2511" s="442">
        <f t="shared" si="126"/>
        <v>324513.04026084754</v>
      </c>
      <c r="M2511" s="442">
        <f t="shared" si="126"/>
        <v>263751.624932356</v>
      </c>
      <c r="N2511" s="442">
        <f t="shared" si="126"/>
        <v>212293.47476866597</v>
      </c>
      <c r="O2511" s="442">
        <f t="shared" si="126"/>
        <v>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CD02EDC63C83B4DA6C4E284D1AB5566" ma:contentTypeVersion="25" ma:contentTypeDescription="Create a new document." ma:contentTypeScope="" ma:versionID="fd366eae0830aa453cf8f46ccd77bfb8">
  <xsd:schema xmlns:xsd="http://www.w3.org/2001/XMLSchema" xmlns:xs="http://www.w3.org/2001/XMLSchema" xmlns:p="http://schemas.microsoft.com/office/2006/metadata/properties" xmlns:ns2="2d926aab-3708-44f9-9783-e039b1f2d2f3" xmlns:ns3="48b0ec71-3dc6-42dc-8aaf-964cfe9da525" targetNamespace="http://schemas.microsoft.com/office/2006/metadata/properties" ma:root="true" ma:fieldsID="cdcc90fdf3da3715529f2f4032869839" ns2:_="" ns3:_="">
    <xsd:import namespace="2d926aab-3708-44f9-9783-e039b1f2d2f3"/>
    <xsd:import namespace="48b0ec71-3dc6-42dc-8aaf-964cfe9da525"/>
    <xsd:element name="properties">
      <xsd:complexType>
        <xsd:sequence>
          <xsd:element name="documentManagement">
            <xsd:complexType>
              <xsd:all>
                <xsd:element ref="ns3:ToBeArchived" minOccurs="0"/>
                <xsd:element ref="ns3:p5e7a70900b24fdf9bcfb9b5fc846c60" minOccurs="0"/>
                <xsd:element ref="ns3:TaxCatchAll" minOccurs="0"/>
                <xsd:element ref="ns3:TaxCatchAllLabel" minOccurs="0"/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LengthInSecond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926aab-3708-44f9-9783-e039b1f2d2f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20" nillable="true" ma:displayName="Tags" ma:internalName="MediaServiceAutoTags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27" nillable="true" ma:taxonomy="true" ma:internalName="lcf76f155ced4ddcb4097134ff3c332f" ma:taxonomyFieldName="MediaServiceImageTags" ma:displayName="Image Tags" ma:readOnly="false" ma:fieldId="{5cf76f15-5ced-4ddc-b409-7134ff3c332f}" ma:taxonomyMulti="true" ma:sspId="8710b318-ea48-4423-a308-0e87359dff9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8b0ec71-3dc6-42dc-8aaf-964cfe9da525" elementFormDefault="qualified">
    <xsd:import namespace="http://schemas.microsoft.com/office/2006/documentManagement/types"/>
    <xsd:import namespace="http://schemas.microsoft.com/office/infopath/2007/PartnerControls"/>
    <xsd:element name="ToBeArchived" ma:index="5" nillable="true" ma:displayName="To be archived" ma:internalName="ToBeArchived">
      <xsd:simpleType>
        <xsd:restriction base="dms:Boolean"/>
      </xsd:simpleType>
    </xsd:element>
    <xsd:element name="p5e7a70900b24fdf9bcfb9b5fc846c60" ma:index="8" nillable="true" ma:taxonomy="true" ma:internalName="p5e7a70900b24fdf9bcfb9b5fc846c60" ma:taxonomyFieldName="ArchiveCode" ma:displayName="Archive code" ma:readOnly="false" ma:default="" ma:fieldId="{95e7a709-00b2-4fdf-9bcf-b9b5fc846c60}" ma:sspId="8710b318-ea48-4423-a308-0e87359dff93" ma:termSetId="eca26591-3e39-4461-87f0-273b620e323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3b9ebbb7-3158-4ea9-99f1-112bad551a90}" ma:internalName="TaxCatchAll" ma:readOnly="false" ma:showField="CatchAllData" ma:web="48b0ec71-3dc6-42dc-8aaf-964cfe9da52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3b9ebbb7-3158-4ea9-99f1-112bad551a90}" ma:internalName="TaxCatchAllLabel" ma:readOnly="false" ma:showField="CatchAllDataLabel" ma:web="48b0ec71-3dc6-42dc-8aaf-964cfe9da52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2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/>
</file>

<file path=customXml/itemProps1.xml><?xml version="1.0" encoding="utf-8"?>
<ds:datastoreItem xmlns:ds="http://schemas.openxmlformats.org/officeDocument/2006/customXml" ds:itemID="{46DD6576-5743-4BED-B68E-0DAD3B91A6D2}"/>
</file>

<file path=customXml/itemProps2.xml><?xml version="1.0" encoding="utf-8"?>
<ds:datastoreItem xmlns:ds="http://schemas.openxmlformats.org/officeDocument/2006/customXml" ds:itemID="{2C444210-CF56-4301-B11B-F2335AB12F7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10</vt:i4>
      </vt:variant>
    </vt:vector>
  </HeadingPairs>
  <TitlesOfParts>
    <vt:vector size="10" baseType="lpstr">
      <vt:lpstr>Summary</vt:lpstr>
      <vt:lpstr>Budget - actual RWA</vt:lpstr>
      <vt:lpstr>Invoice list RWA</vt:lpstr>
      <vt:lpstr>Exchange rate RWA</vt:lpstr>
      <vt:lpstr>Budget - actual TAN </vt:lpstr>
      <vt:lpstr>Invoice list TAN</vt:lpstr>
      <vt:lpstr>Exchange rate TAN</vt:lpstr>
      <vt:lpstr>Budget - actual UGA</vt:lpstr>
      <vt:lpstr>Invoice list UGA</vt:lpstr>
      <vt:lpstr>Exchange rate UGA</vt:lpstr>
    </vt:vector>
  </TitlesOfParts>
  <Company>Rode Kruis Vlaanderen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Didier Van Aert</dc:creator>
  <cp:lastModifiedBy>Didier Van Aert</cp:lastModifiedBy>
  <cp:lastPrinted>2022-07-29T07:13:34Z</cp:lastPrinted>
  <dcterms:created xsi:type="dcterms:W3CDTF">2022-07-28T07:08:05Z</dcterms:created>
  <dcterms:modified xsi:type="dcterms:W3CDTF">2022-07-29T08:02:50Z</dcterms:modified>
</cp:coreProperties>
</file>